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comments1.xml" ContentType="application/vnd.openxmlformats-officedocument.spreadsheetml.comments+xml"/>
  <Override PartName="/xl/tables/table10.xml" ContentType="application/vnd.openxmlformats-officedocument.spreadsheetml.table+xml"/>
  <Override PartName="/xl/tables/table11.xml" ContentType="application/vnd.openxmlformats-officedocument.spreadsheetml.table+xml"/>
  <Override PartName="/xl/comments2.xml" ContentType="application/vnd.openxmlformats-officedocument.spreadsheetml.comments+xml"/>
  <Override PartName="/xl/tables/table12.xml" ContentType="application/vnd.openxmlformats-officedocument.spreadsheetml.table+xml"/>
  <Override PartName="/xl/tables/table13.xml" ContentType="application/vnd.openxmlformats-officedocument.spreadsheetml.table+xml"/>
  <Override PartName="/xl/comments3.xml" ContentType="application/vnd.openxmlformats-officedocument.spreadsheetml.comments+xml"/>
  <Override PartName="/xl/tables/table14.xml" ContentType="application/vnd.openxmlformats-officedocument.spreadsheetml.table+xml"/>
  <Override PartName="/xl/comments4.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drawings/drawing2.xml" ContentType="application/vnd.openxmlformats-officedocument.drawing+xml"/>
  <Override PartName="/xl/tables/table17.xml" ContentType="application/vnd.openxmlformats-officedocument.spreadsheetml.table+xml"/>
  <Override PartName="/xl/tables/table18.xml" ContentType="application/vnd.openxmlformats-officedocument.spreadsheetml.table+xml"/>
  <Override PartName="/xl/comments5.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6.xml" ContentType="application/vnd.openxmlformats-officedocument.spreadsheetml.comments+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saveExternalLinkValues="0" codeName="ThisWorkbook"/>
  <mc:AlternateContent xmlns:mc="http://schemas.openxmlformats.org/markup-compatibility/2006">
    <mc:Choice Requires="x15">
      <x15ac:absPath xmlns:x15ac="http://schemas.microsoft.com/office/spreadsheetml/2010/11/ac" url="D:\Desktop Files\OpenDominion\"/>
    </mc:Choice>
  </mc:AlternateContent>
  <xr:revisionPtr revIDLastSave="0" documentId="13_ncr:1_{D6C646CD-18EF-44AE-8E8B-3422469A6DC4}" xr6:coauthVersionLast="47" xr6:coauthVersionMax="47" xr10:uidLastSave="{00000000-0000-0000-0000-000000000000}"/>
  <bookViews>
    <workbookView xWindow="-120" yWindow="-120" windowWidth="38640" windowHeight="21120" tabRatio="839" xr2:uid="{00000000-000D-0000-FFFF-FFFF00000000}"/>
  </bookViews>
  <sheets>
    <sheet name="Overview" sheetId="4" r:id="rId1"/>
    <sheet name="Population" sheetId="2" r:id="rId2"/>
    <sheet name="Production" sheetId="1" r:id="rId3"/>
    <sheet name="Construction" sheetId="5" r:id="rId4"/>
    <sheet name="Explore" sheetId="7" r:id="rId5"/>
    <sheet name="Rezone" sheetId="10" r:id="rId6"/>
    <sheet name="Military" sheetId="8" r:id="rId7"/>
    <sheet name="Magic" sheetId="9" r:id="rId8"/>
    <sheet name="Techs" sheetId="14" r:id="rId9"/>
    <sheet name="Imps" sheetId="11" r:id="rId10"/>
    <sheet name="Log" sheetId="13" r:id="rId11"/>
    <sheet name="Log_support" sheetId="15" state="hidden" r:id="rId12"/>
    <sheet name="Constants" sheetId="6" r:id="rId13"/>
    <sheet name="Races" sheetId="3" r:id="rId14"/>
    <sheet name="calc" sheetId="12" r:id="rId15"/>
  </sheets>
  <functionGroups builtInGroupCount="19"/>
  <definedNames>
    <definedName name="abyss_enforce_bonus">Constants!$C$130</definedName>
    <definedName name="abyss_enforcer_cap">Constants!$F$130</definedName>
    <definedName name="adept_dp_bonus">Constants!$C$124</definedName>
    <definedName name="adept_dp_cap">Constants!$F$124</definedName>
    <definedName name="adept_op_bonus">Constants!$C$123</definedName>
    <definedName name="adept_op_cap">Constants!$F$123</definedName>
    <definedName name="alch_frost_bonus">Constants!$F$90</definedName>
    <definedName name="alch_plat">Constants!$B$4</definedName>
    <definedName name="alchemist_flame_bonus">Constants!$F$87</definedName>
    <definedName name="archmage_plat">Overview!$D$29</definedName>
    <definedName name="archspy_plat">Overview!$D$27</definedName>
    <definedName name="ares_call_bonus">Constants!$F$77</definedName>
    <definedName name="barracks_size">Constants!$B$64</definedName>
    <definedName name="blizzard_bonus">Constants!$F$86</definedName>
    <definedName name="boat_size">Constants!$B$96</definedName>
    <definedName name="bone_breaker_bonus">Constants!$C$128</definedName>
    <definedName name="bone_breaker_cap">Constants!$F$128</definedName>
    <definedName name="bonus_jobs_facts">Constants!$B$170</definedName>
    <definedName name="building_employment">Constants!$B$133</definedName>
    <definedName name="dark_elf">Military!$CO$8</definedName>
    <definedName name="days_late">Overview!$B$18</definedName>
    <definedName name="days_late_def_specs">Constants!$E$52</definedName>
    <definedName name="days_late_draftees">Constants!$E$53</definedName>
    <definedName name="days_late_food">Constants!$E$48</definedName>
    <definedName name="days_late_lumber">Constants!$E$49</definedName>
    <definedName name="days_late_mana">Constants!$E$51</definedName>
    <definedName name="days_late_ore">Constants!$E$50</definedName>
    <definedName name="days_late_peasants">Constants!$E$46</definedName>
    <definedName name="days_late_plat">Constants!$E$47</definedName>
    <definedName name="demon">Military!$CO$13</definedName>
    <definedName name="demonic_pact_food_cons">Constants!$F$92</definedName>
    <definedName name="demonic_pact_plat">Constants!$F$91</definedName>
    <definedName name="dm_gems">Constants!$B$8</definedName>
    <definedName name="dock_boats_hr">Constants!$B$10</definedName>
    <definedName name="dock_food">Constants!$D$10</definedName>
    <definedName name="druid_dp_bonus">Constants!$C$120</definedName>
    <definedName name="druid_dp_cap">Constants!$F$120</definedName>
    <definedName name="druid_op_bonus">Constants!$C$119</definedName>
    <definedName name="druid_op_cap">Constants!$F$119</definedName>
    <definedName name="dryad_bonus">Constants!$C$121</definedName>
    <definedName name="dryad_cap">Constants!$F$121</definedName>
    <definedName name="elite1_base_dp">Military!$CO$19</definedName>
    <definedName name="elite1_base_op">Military!$CO$18</definedName>
    <definedName name="elite1_dp">Overview!$C$24</definedName>
    <definedName name="elite1_name">Overview!$A$24</definedName>
    <definedName name="elite1_op">Overview!$B$24</definedName>
    <definedName name="elite1_ore">Overview!$E$24</definedName>
    <definedName name="elite1_plat">Overview!$D$24</definedName>
    <definedName name="elite2_base_dp">Military!$CO$21</definedName>
    <definedName name="elite2_base_op">Military!$CO$20</definedName>
    <definedName name="elite2_dp">Overview!$C$25</definedName>
    <definedName name="elite2_name">Overview!$A$25</definedName>
    <definedName name="elite2_op">Overview!$B$25</definedName>
    <definedName name="elite2_ore">Overview!$E$25</definedName>
    <definedName name="elite2_plat">Overview!$D$25</definedName>
    <definedName name="explore_tech_divisor">Constants!$M$144</definedName>
    <definedName name="facs_constr_factor">Constants!$B$21</definedName>
    <definedName name="facs_constr_max">Constants!$D$21</definedName>
    <definedName name="facs_rezone_factor">Constants!$B$22</definedName>
    <definedName name="facs_rezone_max">Constants!$D$22</definedName>
    <definedName name="farm_food">Constants!$B$5</definedName>
    <definedName name="favorable_terrain_bonus">Constants!$D$89</definedName>
    <definedName name="favorable_terrain_max">Constants!$F$89</definedName>
    <definedName name="fh_lumber">Constants!$B$11</definedName>
    <definedName name="fh_peas_dp">Constants!$B$14</definedName>
    <definedName name="fh_spy_cost_cap">Constants!$D$15</definedName>
    <definedName name="fh_spy_cost_red">Constants!$B$15</definedName>
    <definedName name="food_decay">Constants!$B$56</definedName>
    <definedName name="food_per_person">Constants!$B$60</definedName>
    <definedName name="frenzy_bonus">Constants!$F$82</definedName>
    <definedName name="frost_mage_bonus">Constants!$C$125</definedName>
    <definedName name="frost_mage_cap">Constants!$F$125</definedName>
    <definedName name="gaias_blessing_food">Constants!$F$84</definedName>
    <definedName name="gaias_blessing_lumber">Constants!$H$84</definedName>
    <definedName name="gaias_watch_bonus">Constants!$F$75</definedName>
    <definedName name="gem_invest">Constants!$B$164</definedName>
    <definedName name="global_constr_cap">Constants!$B$167</definedName>
    <definedName name="gn_bonus">Constants!$B$13</definedName>
    <definedName name="gn_bonus_cap">Constants!$D$13</definedName>
    <definedName name="gnome">Military!$CO$7</definedName>
    <definedName name="gt_bonus">Constants!$B$12</definedName>
    <definedName name="gt_bonus_cap">Constants!$D$12</definedName>
    <definedName name="harbor_towers_cap">Constants!$D$109</definedName>
    <definedName name="harbor_towers_param">Constants!$D$114</definedName>
    <definedName name="harmony_bonus">Constants!$F$78</definedName>
    <definedName name="home_land">Overview!$B$73</definedName>
    <definedName name="howling_dp_bonus">Constants!$H$85</definedName>
    <definedName name="howling_op_bonus">Constants!$F$85</definedName>
    <definedName name="ice_elem_bonus">Constants!$C$126</definedName>
    <definedName name="ice_elem_cap">Constants!$F$126</definedName>
    <definedName name="icekin">Military!$CO$10</definedName>
    <definedName name="Imps">Imps!$CD$35:$CD$40</definedName>
    <definedName name="infernal_cmd_op">Constants!$F$93</definedName>
    <definedName name="keep_cap">Constants!$D$106</definedName>
    <definedName name="keep_param">Constants!$D$111</definedName>
    <definedName name="kobold">Military!$CO$9</definedName>
    <definedName name="lumber_invest">Constants!$B$162</definedName>
    <definedName name="lumber_rot">Constants!$B$57</definedName>
    <definedName name="ly_lumber">Constants!$B$6</definedName>
    <definedName name="mana_drain">Constants!$B$58</definedName>
    <definedName name="mason_bonus">Constants!$B$20</definedName>
    <definedName name="mech_genius_bonus">Constants!$F$81</definedName>
    <definedName name="midas_bonus">Constants!$F$79</definedName>
    <definedName name="min_tech_cost">Constants!$M$64</definedName>
    <definedName name="miners_sight_bonus">Constants!$F$80</definedName>
    <definedName name="mining_strength_bonus">Constants!$F$76</definedName>
    <definedName name="mystic_bonus">Constants!$C$118</definedName>
    <definedName name="mystic_cap">Constants!$F$118</definedName>
    <definedName name="nightfall_bonus">Constants!$F$88</definedName>
    <definedName name="nightshade_bonus">Constants!$C$129</definedName>
    <definedName name="nox">Military!$CO$12</definedName>
    <definedName name="nox_nightshade_cap">Constants!$F$129</definedName>
    <definedName name="nox_nightshade_swamp_bonus">Constants!$C$129</definedName>
    <definedName name="om_ore">Constants!$B$7</definedName>
    <definedName name="orc">Military!$CO$11</definedName>
    <definedName name="ore_invest">Constants!$B$163</definedName>
    <definedName name="plat_invest">Constants!$B$161</definedName>
    <definedName name="pop_in_building">Constants!$B$68</definedName>
    <definedName name="pop_in_home">Constants!$B$65</definedName>
    <definedName name="pop_on_barren">Constants!$B$69</definedName>
    <definedName name="prestige_food_bonus">Constants!$B$100</definedName>
    <definedName name="prestige_multiplier">Constants!$B$101</definedName>
    <definedName name="prestige_offense_bonus">Constants!$B$102</definedName>
    <definedName name="prestige_pop_multiplier">Constants!$B$101</definedName>
    <definedName name="race">Overview!$B$14</definedName>
    <definedName name="race_construction_cost">Overview!$I$31</definedName>
    <definedName name="race_defense">Overview!$I$25</definedName>
    <definedName name="race_food_bonus">Overview!$I$19</definedName>
    <definedName name="race_food_consumption">Overview!$I$24</definedName>
    <definedName name="race_gem_bonus">Overview!$I$23</definedName>
    <definedName name="race_invest_bonus">Overview!$I$29</definedName>
    <definedName name="race_lumber_bonus">Overview!$I$20</definedName>
    <definedName name="race_mana_bonus">Overview!$I$21</definedName>
    <definedName name="race_offense">Overview!$I$26</definedName>
    <definedName name="race_ore_bonus">Overview!$I$22</definedName>
    <definedName name="race_platinum_bonus">Overview!$I$18</definedName>
    <definedName name="race_pop_bonus">Overview!$I$16</definedName>
    <definedName name="race_pop_growth">Overview!$I$17</definedName>
    <definedName name="race_rezone_cost">Overview!$I$30</definedName>
    <definedName name="race_spy_strength">Overview!$I$27</definedName>
    <definedName name="race_wizard_strength">Overview!$I$28</definedName>
    <definedName name="races">Races!$A$98:$A$118</definedName>
    <definedName name="raw_drafting">Constants!$B$55</definedName>
    <definedName name="raw_pop_growth">Constants!$B$54</definedName>
    <definedName name="research_bonus">Overview!$I$32</definedName>
    <definedName name="resources">Imps!$CD$30:$CD$33</definedName>
    <definedName name="rocka_bonus">Constants!$C$122</definedName>
    <definedName name="rocka_cap">Constants!$F$122</definedName>
    <definedName name="school_max">Constants!$D$23</definedName>
    <definedName name="school_rp">Constants!$B$23</definedName>
    <definedName name="science_cap">Constants!$D$107</definedName>
    <definedName name="science_param">Constants!$D$112</definedName>
    <definedName name="secondary_resource">Military!$AR$2</definedName>
    <definedName name="smithy_bonus">Constants!$B$19</definedName>
    <definedName name="smithy_bonus_cap">Constants!$D$19</definedName>
    <definedName name="solver_adj" localSheetId="4" hidden="1">Explore!$M$37:$M$50</definedName>
    <definedName name="solver_adj" localSheetId="6" hidden="1">Military!$AJ$64</definedName>
    <definedName name="solver_cvg" localSheetId="4" hidden="1">0.0001</definedName>
    <definedName name="solver_cvg" localSheetId="6" hidden="1">0.001</definedName>
    <definedName name="solver_drv" localSheetId="4" hidden="1">1</definedName>
    <definedName name="solver_drv" localSheetId="6" hidden="1">1</definedName>
    <definedName name="solver_est" localSheetId="4" hidden="1">1</definedName>
    <definedName name="solver_est" localSheetId="6" hidden="1">1</definedName>
    <definedName name="solver_itr" localSheetId="4" hidden="1">100</definedName>
    <definedName name="solver_itr" localSheetId="6" hidden="1">100</definedName>
    <definedName name="solver_lhs1" localSheetId="4" hidden="1">Explore!$M$37:$M$50</definedName>
    <definedName name="solver_lhs1" localSheetId="6" hidden="1">Military!$AQ$67</definedName>
    <definedName name="solver_lhs2" localSheetId="6" hidden="1">Military!$AJ$64</definedName>
    <definedName name="solver_lin" localSheetId="4" hidden="1">2</definedName>
    <definedName name="solver_lin" localSheetId="6" hidden="1">2</definedName>
    <definedName name="solver_neg" localSheetId="4" hidden="1">2</definedName>
    <definedName name="solver_neg" localSheetId="6" hidden="1">2</definedName>
    <definedName name="solver_num" localSheetId="4" hidden="1">1</definedName>
    <definedName name="solver_num" localSheetId="6" hidden="1">2</definedName>
    <definedName name="solver_nwt" localSheetId="4" hidden="1">1</definedName>
    <definedName name="solver_nwt" localSheetId="6" hidden="1">1</definedName>
    <definedName name="solver_opt" localSheetId="4" hidden="1">Explore!$M$32</definedName>
    <definedName name="solver_opt" localSheetId="6" hidden="1">Military!$AJ$64</definedName>
    <definedName name="solver_pre" localSheetId="4" hidden="1">0.000001</definedName>
    <definedName name="solver_pre" localSheetId="6" hidden="1">0.000001</definedName>
    <definedName name="solver_rel1" localSheetId="4" hidden="1">3</definedName>
    <definedName name="solver_rel1" localSheetId="6" hidden="1">3</definedName>
    <definedName name="solver_rel2" localSheetId="6" hidden="1">4</definedName>
    <definedName name="solver_rhs1" localSheetId="4" hidden="1">0</definedName>
    <definedName name="solver_rhs1" localSheetId="6" hidden="1">0</definedName>
    <definedName name="solver_rhs2" localSheetId="6" hidden="1">integer</definedName>
    <definedName name="solver_scl" localSheetId="4" hidden="1">2</definedName>
    <definedName name="solver_scl" localSheetId="6" hidden="1">2</definedName>
    <definedName name="solver_sho" localSheetId="4" hidden="1">2</definedName>
    <definedName name="solver_sho" localSheetId="6" hidden="1">2</definedName>
    <definedName name="solver_tim" localSheetId="4" hidden="1">100</definedName>
    <definedName name="solver_tim" localSheetId="6" hidden="1">100</definedName>
    <definedName name="solver_tol" localSheetId="4" hidden="1">0.05</definedName>
    <definedName name="solver_tol" localSheetId="6" hidden="1">0.05</definedName>
    <definedName name="solver_typ" localSheetId="4" hidden="1">1</definedName>
    <definedName name="solver_typ" localSheetId="6" hidden="1">1</definedName>
    <definedName name="solver_val" localSheetId="4" hidden="1">0</definedName>
    <definedName name="solver_val" localSheetId="6" hidden="1">0</definedName>
    <definedName name="spec_dp">Overview!$C$23</definedName>
    <definedName name="spec_dp_name">Overview!$A$23</definedName>
    <definedName name="spec_dp_ore">Overview!$E$23</definedName>
    <definedName name="spec_dp_plat">Overview!$D$23</definedName>
    <definedName name="spec_op">Overview!$B$22</definedName>
    <definedName name="spec_op_name">Overview!$A$22</definedName>
    <definedName name="spec_op_ore">Overview!$E$22</definedName>
    <definedName name="spec_op_plat">Overview!$D$22</definedName>
    <definedName name="spy_plat">Overview!$D$26</definedName>
    <definedName name="start_acres">Constants!$B$175</definedName>
    <definedName name="start_acres_test">Overview!$M$50</definedName>
    <definedName name="start_alchs">Constants!$B$26</definedName>
    <definedName name="start_ams">Constants!$B$42</definedName>
    <definedName name="start_ass">Constants!$B$40</definedName>
    <definedName name="start_boats">Constants!$B$51</definedName>
    <definedName name="start_caverns">Constants!$F$30</definedName>
    <definedName name="start_dm">Constants!$Q$26</definedName>
    <definedName name="start_docks">Constants!$S$26</definedName>
    <definedName name="start_dp_specs">Constants!$B$36</definedName>
    <definedName name="start_draftees">Constants!$B$34</definedName>
    <definedName name="start_elite1s">Constants!$B$37</definedName>
    <definedName name="start_elite2s">Constants!$B$38</definedName>
    <definedName name="start_facs">Constants!$J$26</definedName>
    <definedName name="start_farms">Constants!$C$26</definedName>
    <definedName name="start_food">Constants!$B$46</definedName>
    <definedName name="start_forest">Constants!$B$30</definedName>
    <definedName name="start_gems">Constants!$B$50</definedName>
    <definedName name="start_gn">Constants!$I$26</definedName>
    <definedName name="start_gt">Constants!$K$26</definedName>
    <definedName name="start_havens">Constants!$G$26</definedName>
    <definedName name="start_hills">Constants!$D$30</definedName>
    <definedName name="start_homes">Constants!$A$26</definedName>
    <definedName name="start_lumber">Constants!$B$47</definedName>
    <definedName name="start_ly">Constants!$F$26</definedName>
    <definedName name="start_mana">Constants!$B$48</definedName>
    <definedName name="start_masons">Constants!$E$26</definedName>
    <definedName name="start_mountains">Constants!$C$30</definedName>
    <definedName name="start_om">Constants!$H$26</definedName>
    <definedName name="start_op_specs">Constants!$B$35</definedName>
    <definedName name="start_ore">Constants!$B$49</definedName>
    <definedName name="start_peasants">Constants!$B$33</definedName>
    <definedName name="start_plains">Constants!$A$30</definedName>
    <definedName name="start_plat">Constants!$B$45</definedName>
    <definedName name="start_prestige">Constants!$B$99</definedName>
    <definedName name="start_rax">Constants!$L$26</definedName>
    <definedName name="start_schools">Constants!$R$26</definedName>
    <definedName name="start_shrines">Constants!$M$26</definedName>
    <definedName name="start_smithies">Constants!$D$26</definedName>
    <definedName name="start_spies">Constants!$B$39</definedName>
    <definedName name="start_swamp">Constants!$E$30</definedName>
    <definedName name="start_temples">Constants!$O$26</definedName>
    <definedName name="start_towers">Constants!$N$26</definedName>
    <definedName name="start_water">Constants!$G$30</definedName>
    <definedName name="start_wg">Constants!$P$26</definedName>
    <definedName name="start_wizards">Constants!$B$41</definedName>
    <definedName name="sylvan">Military!$CO$6</definedName>
    <definedName name="tax">Constants!$B$61</definedName>
    <definedName name="tech_1_1">Constants!$M$67</definedName>
    <definedName name="tech_1_10">Constants!$M$76</definedName>
    <definedName name="tech_1_11">Constants!$M$77</definedName>
    <definedName name="tech_1_2">Constants!$M$68</definedName>
    <definedName name="tech_1_3">Constants!$M$69</definedName>
    <definedName name="tech_1_4">Constants!$M$70</definedName>
    <definedName name="tech_1_5">Constants!$M$71</definedName>
    <definedName name="tech_1_6">Constants!$M$72</definedName>
    <definedName name="tech_1_7">Constants!$M$73</definedName>
    <definedName name="tech_1_8">Constants!$M$74</definedName>
    <definedName name="tech_1_9">Constants!$M$75</definedName>
    <definedName name="tech_1_9_2">Constants!$O$75</definedName>
    <definedName name="tech_10_1">Constants!$M$139</definedName>
    <definedName name="tech_10_2">Constants!$M$140</definedName>
    <definedName name="tech_11_1">Constants!$M$142</definedName>
    <definedName name="tech_2_1">Constants!$M$79</definedName>
    <definedName name="tech_2_10">Constants!$M$88</definedName>
    <definedName name="tech_2_2">Constants!$M$80</definedName>
    <definedName name="tech_2_3">Constants!$M$81</definedName>
    <definedName name="tech_2_4">Constants!$M$82</definedName>
    <definedName name="tech_2_5">Constants!$M$83</definedName>
    <definedName name="tech_2_6">Constants!$M$84</definedName>
    <definedName name="tech_2_6_2">Constants!$O$84</definedName>
    <definedName name="tech_2_7">Constants!$M$85</definedName>
    <definedName name="tech_2_8">Constants!$M$86</definedName>
    <definedName name="tech_2_9">Constants!$M$87</definedName>
    <definedName name="tech_2_9_2">Constants!$O$87</definedName>
    <definedName name="tech_3_1">Constants!$M$90</definedName>
    <definedName name="tech_3_2">Constants!$M$91</definedName>
    <definedName name="tech_3_3">Constants!$M$92</definedName>
    <definedName name="tech_3_3_2">Constants!$O$92</definedName>
    <definedName name="tech_3_4">Constants!$M$93</definedName>
    <definedName name="tech_3_4_2">Constants!$O$93</definedName>
    <definedName name="tech_3_5">Constants!$M$94</definedName>
    <definedName name="tech_3_6">Constants!$M$95</definedName>
    <definedName name="tech_3_7">Constants!$M$96</definedName>
    <definedName name="tech_3_7_2">Constants!$O$96</definedName>
    <definedName name="tech_3_8">Constants!$M$97</definedName>
    <definedName name="tech_3_9">Constants!$M$98</definedName>
    <definedName name="tech_4_1">Constants!$M$100</definedName>
    <definedName name="tech_4_2">Constants!$M$101</definedName>
    <definedName name="tech_4_3">Constants!$M$102</definedName>
    <definedName name="tech_4_3_2">Constants!$O$102</definedName>
    <definedName name="tech_4_4">Constants!$M$103</definedName>
    <definedName name="tech_4_5">Constants!$M$104</definedName>
    <definedName name="tech_4_6">Constants!$M$105</definedName>
    <definedName name="tech_4_7">Constants!$M$106</definedName>
    <definedName name="tech_4_8">Constants!$M$107</definedName>
    <definedName name="tech_5_1">Constants!$M$109</definedName>
    <definedName name="tech_5_2">Constants!$M$110</definedName>
    <definedName name="tech_5_2_3">Constants!$O$110</definedName>
    <definedName name="tech_5_3">Constants!$M$111</definedName>
    <definedName name="tech_5_4">Constants!$M$112</definedName>
    <definedName name="tech_5_4_2">Constants!$O$112</definedName>
    <definedName name="tech_5_5">Constants!$M$113</definedName>
    <definedName name="tech_5_6">Constants!$M$114</definedName>
    <definedName name="tech_5_7">Constants!$M$115</definedName>
    <definedName name="tech_6_1">Constants!$M$117</definedName>
    <definedName name="tech_6_2">Constants!$M$118</definedName>
    <definedName name="tech_6_2_2">Constants!$O$118</definedName>
    <definedName name="tech_6_3">Constants!$M$119</definedName>
    <definedName name="tech_6_3_2">Constants!$O$119</definedName>
    <definedName name="tech_6_3_3">Constants!$Q$119</definedName>
    <definedName name="tech_6_4">Constants!$M$120</definedName>
    <definedName name="tech_6_5">Constants!$M$121</definedName>
    <definedName name="tech_6_5_2">Constants!$O$121</definedName>
    <definedName name="tech_6_6">Constants!$M$122</definedName>
    <definedName name="tech_6_6_2">Constants!$O$122</definedName>
    <definedName name="tech_7__2">Constants!$O$128</definedName>
    <definedName name="tech_7_1">Constants!$M$124</definedName>
    <definedName name="tech_7_2">Constants!$M$125</definedName>
    <definedName name="tech_7_3">Constants!$M$126</definedName>
    <definedName name="tech_7_3_2">Constants!$O$126</definedName>
    <definedName name="tech_7_4">Constants!$M$127</definedName>
    <definedName name="tech_7_5">Constants!$M$128</definedName>
    <definedName name="tech_8_1">Constants!$M$130</definedName>
    <definedName name="tech_8_2">Constants!$M$131</definedName>
    <definedName name="tech_8_3">Constants!$M$132</definedName>
    <definedName name="tech_8_4">Constants!$M$133</definedName>
    <definedName name="tech_9_1">Constants!$M$135</definedName>
    <definedName name="tech_9_1_2">Constants!$O$135</definedName>
    <definedName name="tech_9_2">Constants!$M$136</definedName>
    <definedName name="tech_9_3">Constants!$M$137</definedName>
    <definedName name="tech_conquerors_crafts">Constants!$M$55</definedName>
    <definedName name="tech_construction">Constants!$M$39</definedName>
    <definedName name="tech_construction_pop">Constants!$M$41</definedName>
    <definedName name="tech_construction_rezone">Constants!$M$40</definedName>
    <definedName name="tech_cost_per_acre">Constants!$M$62</definedName>
    <definedName name="tech_enchanted_lands_explore">Constants!$M$56</definedName>
    <definedName name="tech_enchanted_lands_mana">Constants!$O$56</definedName>
    <definedName name="tech_explore_cost">Constants!$M$36</definedName>
    <definedName name="tech_explore_cost2">Constants!$M$38</definedName>
    <definedName name="tech_explore_draft1">Constants!$M$37</definedName>
    <definedName name="tech_explore_draft2">Constants!$O$38</definedName>
    <definedName name="tech_fruits_of_labor_gems">Constants!$O$52</definedName>
    <definedName name="tech_fruits_of_labor1">Constants!$M$52</definedName>
    <definedName name="tech_magical_weaponry_op">Constants!$M$58</definedName>
    <definedName name="tech_magical_weaponry_wiz">Constants!$O$58</definedName>
    <definedName name="tech_master_of_frugality">Constants!$M$51</definedName>
    <definedName name="tech_military_offense">Constants!$M$44</definedName>
    <definedName name="tech_production_food">Constants!$M$33</definedName>
    <definedName name="tech_production_gems">Constants!$M$34</definedName>
    <definedName name="tech_production_plat">Constants!$M$35</definedName>
    <definedName name="tech_spy_cost">Constants!$M$46</definedName>
    <definedName name="tech_treasure_hunt_plat">Constants!$M$54</definedName>
    <definedName name="tech_urban_mastery_pop">Constants!$M$53</definedName>
    <definedName name="tech_wizard_cost">Constants!$M$49</definedName>
    <definedName name="tower_mana">Constants!$B$9</definedName>
    <definedName name="towers_param">Constants!$D$115</definedName>
    <definedName name="voodoo_magi_bonus">Constants!$C$127</definedName>
    <definedName name="voodoo_magi_cap">Constants!$F$127</definedName>
    <definedName name="walls_forges_cap">Constants!$D$108</definedName>
    <definedName name="walls_forges_param">Constants!$D$113</definedName>
    <definedName name="warsong_bonus">Constants!$F$83</definedName>
    <definedName name="waves">Races!$D$99:$D$104</definedName>
    <definedName name="wg_mana_prod">Constants!$B$18</definedName>
    <definedName name="wg_spell_cost_cap">Constants!$D$16</definedName>
    <definedName name="wg_spell_cost_red">Constants!$B$16</definedName>
    <definedName name="wg_wiz_cost_bonus">Constants!$B$17</definedName>
    <definedName name="wg_wiz_cost_cap">Constants!$D$17</definedName>
    <definedName name="wisp_bonus">Constants!$C$173</definedName>
    <definedName name="wisp_cap">Constants!$E$173</definedName>
    <definedName name="wizard_plat">Overview!$D$28</definedName>
    <definedName name="woodie">Military!$CO$5</definedName>
  </definedNames>
  <calcPr calcId="191029"/>
</workbook>
</file>

<file path=xl/calcChain.xml><?xml version="1.0" encoding="utf-8"?>
<calcChain xmlns="http://schemas.openxmlformats.org/spreadsheetml/2006/main">
  <c r="BC4" i="1" l="1"/>
  <c r="BC5" i="1"/>
  <c r="BC6" i="1"/>
  <c r="BC7" i="1"/>
  <c r="BC8" i="1"/>
  <c r="BC9" i="1"/>
  <c r="BC10" i="1"/>
  <c r="BC11" i="1"/>
  <c r="BC12" i="1"/>
  <c r="BC13" i="1"/>
  <c r="BC14" i="1"/>
  <c r="BC15" i="1"/>
  <c r="BC16" i="1"/>
  <c r="BC17" i="1"/>
  <c r="BC18" i="1"/>
  <c r="BC19" i="1"/>
  <c r="BC20" i="1"/>
  <c r="BC21" i="1"/>
  <c r="BC22" i="1"/>
  <c r="BC23" i="1"/>
  <c r="BC24" i="1"/>
  <c r="BC25" i="1"/>
  <c r="BC26" i="1"/>
  <c r="BC27" i="1"/>
  <c r="BC28" i="1"/>
  <c r="BC29" i="1"/>
  <c r="BC30" i="1"/>
  <c r="BC31" i="1"/>
  <c r="BC32" i="1"/>
  <c r="BC33" i="1"/>
  <c r="BC34" i="1"/>
  <c r="BC35" i="1"/>
  <c r="BC36" i="1"/>
  <c r="BC37" i="1"/>
  <c r="BC38" i="1"/>
  <c r="BC39" i="1"/>
  <c r="BC40" i="1"/>
  <c r="BC41" i="1"/>
  <c r="BC42" i="1"/>
  <c r="BC43" i="1"/>
  <c r="BC44" i="1"/>
  <c r="BC45" i="1"/>
  <c r="BC46" i="1"/>
  <c r="BC47" i="1"/>
  <c r="BC48" i="1"/>
  <c r="BC49" i="1"/>
  <c r="BC50" i="1"/>
  <c r="BC51" i="1"/>
  <c r="BC52" i="1"/>
  <c r="BC53" i="1"/>
  <c r="BC54" i="1"/>
  <c r="BC55" i="1"/>
  <c r="BC56" i="1"/>
  <c r="BC57" i="1"/>
  <c r="BC58" i="1"/>
  <c r="BC59" i="1"/>
  <c r="BC60" i="1"/>
  <c r="BC61" i="1"/>
  <c r="BC62" i="1"/>
  <c r="BC63" i="1"/>
  <c r="BC64" i="1"/>
  <c r="BC65" i="1"/>
  <c r="BC66" i="1"/>
  <c r="BC67" i="1"/>
  <c r="BC68" i="1"/>
  <c r="BC69" i="1"/>
  <c r="BC70" i="1"/>
  <c r="BC71" i="1"/>
  <c r="BC72" i="1"/>
  <c r="BC73" i="1"/>
  <c r="BC74" i="1"/>
  <c r="BC75" i="1"/>
  <c r="BC76" i="1"/>
  <c r="BC77" i="1"/>
  <c r="BC78" i="1"/>
  <c r="BC79" i="1"/>
  <c r="BC80" i="1"/>
  <c r="BC81" i="1"/>
  <c r="BC82" i="1"/>
  <c r="BC83" i="1"/>
  <c r="BC84" i="1"/>
  <c r="BC85" i="1"/>
  <c r="BC86" i="1"/>
  <c r="BC87" i="1"/>
  <c r="BC88" i="1"/>
  <c r="BC89" i="1"/>
  <c r="BC90" i="1"/>
  <c r="BC91" i="1"/>
  <c r="BC92" i="1"/>
  <c r="BC93" i="1"/>
  <c r="BC94" i="1"/>
  <c r="BC95" i="1"/>
  <c r="BC96" i="1"/>
  <c r="BC97" i="1"/>
  <c r="BC98" i="1"/>
  <c r="BC99" i="1"/>
  <c r="BC100" i="1"/>
  <c r="BC101" i="1"/>
  <c r="BC102" i="1"/>
  <c r="BC103" i="1"/>
  <c r="BC104" i="1"/>
  <c r="BC105" i="1"/>
  <c r="BC106" i="1"/>
  <c r="BC107" i="1"/>
  <c r="BC108" i="1"/>
  <c r="BC109" i="1"/>
  <c r="BC110" i="1"/>
  <c r="BC111" i="1"/>
  <c r="BC112" i="1"/>
  <c r="BC113" i="1"/>
  <c r="BC114" i="1"/>
  <c r="BC115" i="1"/>
  <c r="BC116" i="1"/>
  <c r="BC117" i="1"/>
  <c r="BC118" i="1"/>
  <c r="BC119" i="1"/>
  <c r="BC120" i="1"/>
  <c r="BC121" i="1"/>
  <c r="BC122" i="1"/>
  <c r="BC123" i="1"/>
  <c r="BC124" i="1"/>
  <c r="BC125" i="1"/>
  <c r="BC126" i="1"/>
  <c r="BC127" i="1"/>
  <c r="BC128" i="1"/>
  <c r="BC129" i="1"/>
  <c r="BC130" i="1"/>
  <c r="BC131" i="1"/>
  <c r="BC132" i="1"/>
  <c r="BC133" i="1"/>
  <c r="BC134" i="1"/>
  <c r="BC135" i="1"/>
  <c r="BC136" i="1"/>
  <c r="E15" i="4"/>
  <c r="B69" i="6" l="1"/>
  <c r="A42" i="1"/>
  <c r="A43" i="1" s="1"/>
  <c r="A44" i="1" s="1"/>
  <c r="A45" i="1" s="1"/>
  <c r="A46" i="1" s="1"/>
  <c r="A47" i="1" s="1"/>
  <c r="A48" i="1" s="1"/>
  <c r="A49" i="1" s="1"/>
  <c r="A50" i="1" s="1"/>
  <c r="A51" i="1" s="1"/>
  <c r="A52" i="1" s="1"/>
  <c r="A53" i="1" s="1"/>
  <c r="A54" i="1" s="1"/>
  <c r="A55" i="1" s="1"/>
  <c r="A56" i="1" s="1"/>
  <c r="A57" i="1" s="1"/>
  <c r="A58" i="1" s="1"/>
  <c r="A59" i="1" s="1"/>
  <c r="A60" i="1" s="1"/>
  <c r="A61" i="1" s="1"/>
  <c r="A62" i="1" s="1"/>
  <c r="A63" i="1" s="1"/>
  <c r="A64" i="1" s="1"/>
  <c r="A65" i="1" s="1"/>
  <c r="A66" i="1" s="1"/>
  <c r="A67" i="1" s="1"/>
  <c r="A68" i="1" s="1"/>
  <c r="A69" i="1" s="1"/>
  <c r="A70" i="1" s="1"/>
  <c r="A71" i="1" s="1"/>
  <c r="A72" i="1" s="1"/>
  <c r="A73" i="1" s="1"/>
  <c r="A74" i="1" s="1"/>
  <c r="A75" i="1" s="1"/>
  <c r="A76" i="1" s="1"/>
  <c r="A77" i="1" s="1"/>
  <c r="A78" i="1" s="1"/>
  <c r="A79" i="1" s="1"/>
  <c r="A80" i="1" s="1"/>
  <c r="A81" i="1" s="1"/>
  <c r="A82" i="1" s="1"/>
  <c r="A83" i="1" s="1"/>
  <c r="A84" i="1" s="1"/>
  <c r="A85" i="1" s="1"/>
  <c r="A86" i="1" s="1"/>
  <c r="A87" i="1" s="1"/>
  <c r="A88" i="1" s="1"/>
  <c r="A89" i="1" s="1"/>
  <c r="A90" i="1" s="1"/>
  <c r="A91" i="1" s="1"/>
  <c r="A92" i="1" s="1"/>
  <c r="A93" i="1" s="1"/>
  <c r="A94" i="1" s="1"/>
  <c r="A95" i="1" s="1"/>
  <c r="A96" i="1" s="1"/>
  <c r="A97" i="1" s="1"/>
  <c r="A98" i="1" s="1"/>
  <c r="A99" i="1" s="1"/>
  <c r="A100" i="1" s="1"/>
  <c r="A101" i="1" s="1"/>
  <c r="A102" i="1" s="1"/>
  <c r="A103" i="1" s="1"/>
  <c r="A104" i="1" s="1"/>
  <c r="A105" i="1" s="1"/>
  <c r="A106" i="1" s="1"/>
  <c r="A107" i="1" s="1"/>
  <c r="A108" i="1" s="1"/>
  <c r="A109" i="1" s="1"/>
  <c r="A110" i="1" s="1"/>
  <c r="A111" i="1" s="1"/>
  <c r="A112" i="1" s="1"/>
  <c r="A113" i="1" s="1"/>
  <c r="A114" i="1" s="1"/>
  <c r="A115" i="1" s="1"/>
  <c r="A116" i="1" s="1"/>
  <c r="A117" i="1" s="1"/>
  <c r="A118" i="1" s="1"/>
  <c r="A119" i="1" s="1"/>
  <c r="A120" i="1" s="1"/>
  <c r="A121" i="1" s="1"/>
  <c r="A122" i="1" s="1"/>
  <c r="A123" i="1" s="1"/>
  <c r="A124" i="1" s="1"/>
  <c r="A125" i="1" s="1"/>
  <c r="A126" i="1" s="1"/>
  <c r="A127" i="1" s="1"/>
  <c r="A128" i="1" s="1"/>
  <c r="A129" i="1" s="1"/>
  <c r="A130" i="1" s="1"/>
  <c r="A131" i="1" s="1"/>
  <c r="A132" i="1" s="1"/>
  <c r="A133" i="1" s="1"/>
  <c r="A134" i="1" s="1"/>
  <c r="A135" i="1" s="1"/>
  <c r="A136" i="1" s="1"/>
  <c r="D15" i="5"/>
  <c r="D14" i="5"/>
  <c r="D13" i="5"/>
  <c r="D12" i="5"/>
  <c r="D11" i="5"/>
  <c r="D10" i="5"/>
  <c r="D9" i="5"/>
  <c r="D8" i="5"/>
  <c r="D7" i="5"/>
  <c r="D6" i="5"/>
  <c r="D4" i="5"/>
  <c r="D5" i="5"/>
  <c r="S26" i="6" l="1"/>
  <c r="R26" i="6"/>
  <c r="Q26" i="6"/>
  <c r="BO4" i="5" s="1"/>
  <c r="P26" i="6"/>
  <c r="BN4" i="5" s="1"/>
  <c r="O26" i="6"/>
  <c r="BM4" i="5" s="1"/>
  <c r="N26" i="6"/>
  <c r="BL4" i="5" s="1"/>
  <c r="M26" i="6"/>
  <c r="BK4" i="5" s="1"/>
  <c r="L26" i="6"/>
  <c r="BJ4" i="5" s="1"/>
  <c r="K26" i="6"/>
  <c r="BI4" i="5" s="1"/>
  <c r="J26" i="6"/>
  <c r="BH4" i="5" s="1"/>
  <c r="I26" i="6"/>
  <c r="BG4" i="5" s="1"/>
  <c r="H26" i="6"/>
  <c r="BF4" i="5" s="1"/>
  <c r="G26" i="6"/>
  <c r="BE4" i="5" s="1"/>
  <c r="F26" i="6"/>
  <c r="BD4" i="5" s="1"/>
  <c r="E26" i="6"/>
  <c r="BC4" i="5" s="1"/>
  <c r="D26" i="6"/>
  <c r="BB4" i="5" s="1"/>
  <c r="C26" i="6"/>
  <c r="BA4" i="5" s="1"/>
  <c r="B26" i="6"/>
  <c r="AZ4" i="5" s="1"/>
  <c r="A26" i="6"/>
  <c r="AY4" i="5" s="1"/>
  <c r="BQ4" i="5"/>
  <c r="BP4" i="5"/>
  <c r="L35" i="4"/>
  <c r="M35" i="4" s="1"/>
  <c r="M69" i="7" l="1"/>
  <c r="M68" i="7"/>
  <c r="M67" i="7"/>
  <c r="M66" i="7"/>
  <c r="M65" i="7"/>
  <c r="M64" i="7"/>
  <c r="M63" i="7"/>
  <c r="M62" i="7"/>
  <c r="M61" i="7"/>
  <c r="M60" i="7"/>
  <c r="M59" i="7"/>
  <c r="M58" i="7"/>
  <c r="M57" i="7"/>
  <c r="M56" i="7"/>
  <c r="M55" i="7"/>
  <c r="Z4" i="8"/>
  <c r="L57" i="7"/>
  <c r="L58" i="7" s="1"/>
  <c r="L59" i="7" s="1"/>
  <c r="L60" i="7" s="1"/>
  <c r="L61" i="7" s="1"/>
  <c r="L62" i="7" s="1"/>
  <c r="L63" i="7" s="1"/>
  <c r="L64" i="7" s="1"/>
  <c r="L65" i="7" s="1"/>
  <c r="L66" i="7" s="1"/>
  <c r="L67" i="7" s="1"/>
  <c r="L68" i="7" s="1"/>
  <c r="L69" i="7" s="1"/>
  <c r="L56" i="7"/>
  <c r="B96" i="6" l="1"/>
  <c r="E98" i="4"/>
  <c r="E89" i="4"/>
  <c r="CO13" i="8"/>
  <c r="C91" i="6"/>
  <c r="AQ5" i="9"/>
  <c r="CM5" i="8" s="1"/>
  <c r="AQ4" i="9"/>
  <c r="CM4" i="8" s="1"/>
  <c r="I80" i="3"/>
  <c r="I79" i="3"/>
  <c r="I76" i="3"/>
  <c r="I75" i="3"/>
  <c r="I72" i="3"/>
  <c r="I71" i="3"/>
  <c r="I68" i="3"/>
  <c r="I67" i="3"/>
  <c r="I60" i="3"/>
  <c r="I59" i="3"/>
  <c r="I55" i="3"/>
  <c r="I52" i="3"/>
  <c r="I51" i="3"/>
  <c r="I48" i="3"/>
  <c r="I47" i="3"/>
  <c r="I44" i="3"/>
  <c r="I43" i="3"/>
  <c r="I40" i="3"/>
  <c r="I39" i="3"/>
  <c r="I36" i="3"/>
  <c r="I35" i="3"/>
  <c r="I32" i="3"/>
  <c r="I31" i="3"/>
  <c r="I27" i="3"/>
  <c r="I24" i="3"/>
  <c r="I23" i="3"/>
  <c r="I20" i="3"/>
  <c r="I19" i="3"/>
  <c r="I16" i="3"/>
  <c r="I15" i="3"/>
  <c r="I12" i="3"/>
  <c r="I11" i="3"/>
  <c r="I8" i="3"/>
  <c r="I7" i="3"/>
  <c r="AQ6" i="9" l="1"/>
  <c r="CM6" i="8" s="1"/>
  <c r="L144" i="6"/>
  <c r="M144" i="6" s="1"/>
  <c r="AQ7" i="9" l="1"/>
  <c r="CM7" i="8" s="1"/>
  <c r="M96" i="6"/>
  <c r="M87" i="6"/>
  <c r="M84" i="6"/>
  <c r="AQ8" i="9" l="1"/>
  <c r="CM8" i="8" s="1"/>
  <c r="AT76" i="5"/>
  <c r="AT75" i="5"/>
  <c r="AT74" i="5"/>
  <c r="AT73" i="5"/>
  <c r="AT72" i="5"/>
  <c r="AT71" i="5"/>
  <c r="AT70" i="5"/>
  <c r="AT69" i="5"/>
  <c r="AT68" i="5"/>
  <c r="AT67" i="5"/>
  <c r="AT66" i="5"/>
  <c r="AT65" i="5"/>
  <c r="AT64" i="5"/>
  <c r="AT63" i="5"/>
  <c r="AT62" i="5"/>
  <c r="AT61" i="5"/>
  <c r="AT60" i="5"/>
  <c r="AQ9" i="9" l="1"/>
  <c r="CM9" i="8" s="1"/>
  <c r="AI4" i="9"/>
  <c r="AO4" i="8" s="1"/>
  <c r="B27" i="4"/>
  <c r="I4" i="8"/>
  <c r="I5" i="8" s="1"/>
  <c r="I6" i="8" s="1"/>
  <c r="I7" i="8" s="1"/>
  <c r="I8" i="8" s="1"/>
  <c r="I9" i="8" s="1"/>
  <c r="I10" i="8" s="1"/>
  <c r="I11" i="8" s="1"/>
  <c r="I12" i="8" s="1"/>
  <c r="I13" i="8" s="1"/>
  <c r="I14" i="8" s="1"/>
  <c r="J4" i="8"/>
  <c r="J5" i="8" s="1"/>
  <c r="J6" i="8" s="1"/>
  <c r="J7" i="8" s="1"/>
  <c r="J8" i="8" s="1"/>
  <c r="J9" i="8" s="1"/>
  <c r="J10" i="8" s="1"/>
  <c r="J11" i="8" s="1"/>
  <c r="J12" i="8" s="1"/>
  <c r="J13" i="8" s="1"/>
  <c r="J14" i="8" s="1"/>
  <c r="J15" i="8" s="1"/>
  <c r="J16" i="8" s="1"/>
  <c r="J17" i="8" s="1"/>
  <c r="J18" i="8" s="1"/>
  <c r="J19" i="8" s="1"/>
  <c r="J20" i="8" s="1"/>
  <c r="J21" i="8" s="1"/>
  <c r="J22" i="8" s="1"/>
  <c r="J23" i="8" s="1"/>
  <c r="J24" i="8" s="1"/>
  <c r="J25" i="8" s="1"/>
  <c r="J26" i="8" s="1"/>
  <c r="J27" i="8" s="1"/>
  <c r="J28" i="8" s="1"/>
  <c r="J29" i="8" s="1"/>
  <c r="J30" i="8" s="1"/>
  <c r="J31" i="8" s="1"/>
  <c r="J32" i="8" s="1"/>
  <c r="J33" i="8" s="1"/>
  <c r="J34" i="8" s="1"/>
  <c r="J35" i="8" s="1"/>
  <c r="J36" i="8" s="1"/>
  <c r="J37" i="8" s="1"/>
  <c r="J38" i="8" s="1"/>
  <c r="J39" i="8" s="1"/>
  <c r="J40" i="8" s="1"/>
  <c r="E96" i="4"/>
  <c r="E97" i="4"/>
  <c r="E95" i="4"/>
  <c r="E94" i="4"/>
  <c r="D94" i="4"/>
  <c r="A4" i="1"/>
  <c r="AQ10" i="9" l="1"/>
  <c r="CM10" i="8" s="1"/>
  <c r="J41" i="8"/>
  <c r="J42" i="8" s="1"/>
  <c r="J43" i="8" s="1"/>
  <c r="J44" i="8" s="1"/>
  <c r="J45" i="8" s="1"/>
  <c r="J46" i="8" s="1"/>
  <c r="J47" i="8" s="1"/>
  <c r="J48" i="8" s="1"/>
  <c r="J49" i="8" s="1"/>
  <c r="J50" i="8" s="1"/>
  <c r="J51" i="8" s="1"/>
  <c r="J52" i="8" s="1"/>
  <c r="J53" i="8" s="1"/>
  <c r="J54" i="8" s="1"/>
  <c r="J55" i="8" s="1"/>
  <c r="J56" i="8" s="1"/>
  <c r="J57" i="8" s="1"/>
  <c r="J58" i="8" s="1"/>
  <c r="J59" i="8" s="1"/>
  <c r="J60" i="8" s="1"/>
  <c r="J61" i="8" s="1"/>
  <c r="J62" i="8" s="1"/>
  <c r="J63" i="8" s="1"/>
  <c r="J64" i="8" s="1"/>
  <c r="J65" i="8" s="1"/>
  <c r="J66" i="8" s="1"/>
  <c r="J67" i="8" s="1"/>
  <c r="J68" i="8" s="1"/>
  <c r="J69" i="8" s="1"/>
  <c r="J70" i="8" s="1"/>
  <c r="J71" i="8" s="1"/>
  <c r="J72" i="8" s="1"/>
  <c r="J73" i="8" s="1"/>
  <c r="J74" i="8" s="1"/>
  <c r="J75" i="8" s="1"/>
  <c r="J76" i="8" s="1"/>
  <c r="J77" i="8" s="1"/>
  <c r="J78" i="8" s="1"/>
  <c r="J79" i="8" s="1"/>
  <c r="J80" i="8" s="1"/>
  <c r="J81" i="8" s="1"/>
  <c r="J82" i="8" s="1"/>
  <c r="J83" i="8" s="1"/>
  <c r="J84" i="8" s="1"/>
  <c r="J85" i="8" s="1"/>
  <c r="J86" i="8" s="1"/>
  <c r="J87" i="8" s="1"/>
  <c r="J88" i="8" s="1"/>
  <c r="J89" i="8" s="1"/>
  <c r="J90" i="8" s="1"/>
  <c r="J91" i="8" s="1"/>
  <c r="J92" i="8" s="1"/>
  <c r="J93" i="8" s="1"/>
  <c r="J94" i="8" s="1"/>
  <c r="J95" i="8" s="1"/>
  <c r="J96" i="8" s="1"/>
  <c r="J97" i="8" s="1"/>
  <c r="J98" i="8" s="1"/>
  <c r="J99" i="8" s="1"/>
  <c r="J100" i="8" s="1"/>
  <c r="J101" i="8" s="1"/>
  <c r="J102" i="8" s="1"/>
  <c r="J103" i="8" s="1"/>
  <c r="J104" i="8" s="1"/>
  <c r="J105" i="8" s="1"/>
  <c r="J106" i="8" s="1"/>
  <c r="J107" i="8" s="1"/>
  <c r="J108" i="8" s="1"/>
  <c r="J109" i="8" s="1"/>
  <c r="J110" i="8" s="1"/>
  <c r="J111" i="8" s="1"/>
  <c r="J112" i="8" s="1"/>
  <c r="J113" i="8" s="1"/>
  <c r="J114" i="8" s="1"/>
  <c r="J115" i="8" s="1"/>
  <c r="J116" i="8" s="1"/>
  <c r="J117" i="8" s="1"/>
  <c r="J118" i="8" s="1"/>
  <c r="J119" i="8" s="1"/>
  <c r="J120" i="8" s="1"/>
  <c r="J121" i="8" s="1"/>
  <c r="J122" i="8" s="1"/>
  <c r="J123" i="8" s="1"/>
  <c r="J124" i="8" s="1"/>
  <c r="J125" i="8" s="1"/>
  <c r="J126" i="8" s="1"/>
  <c r="J127" i="8" s="1"/>
  <c r="J128" i="8" s="1"/>
  <c r="J129" i="8" s="1"/>
  <c r="J130" i="8" s="1"/>
  <c r="J131" i="8" s="1"/>
  <c r="J132" i="8" s="1"/>
  <c r="J133" i="8" s="1"/>
  <c r="J134" i="8" s="1"/>
  <c r="J135" i="8" s="1"/>
  <c r="J136" i="8" s="1"/>
  <c r="B49" i="4"/>
  <c r="AI5" i="9"/>
  <c r="AO5" i="8" s="1"/>
  <c r="E27" i="4"/>
  <c r="D27" i="4"/>
  <c r="C27" i="4"/>
  <c r="AP4" i="9"/>
  <c r="AP5" i="9" s="1"/>
  <c r="AP6" i="9" s="1"/>
  <c r="AP7" i="9" s="1"/>
  <c r="AP8" i="9" s="1"/>
  <c r="AP9" i="9" s="1"/>
  <c r="AP10" i="9" s="1"/>
  <c r="AP11" i="9" s="1"/>
  <c r="AP12" i="9" s="1"/>
  <c r="AP13" i="9" s="1"/>
  <c r="AP14" i="9" s="1"/>
  <c r="AP15" i="9" s="1"/>
  <c r="AP16" i="9" s="1"/>
  <c r="AP17" i="9" s="1"/>
  <c r="AP18" i="9" s="1"/>
  <c r="AP19" i="9" s="1"/>
  <c r="AP20" i="9" s="1"/>
  <c r="AP21" i="9" s="1"/>
  <c r="AP22" i="9" s="1"/>
  <c r="AP23" i="9" s="1"/>
  <c r="AP24" i="9" s="1"/>
  <c r="AP25" i="9" s="1"/>
  <c r="AP26" i="9" s="1"/>
  <c r="AP27" i="9" s="1"/>
  <c r="AP28" i="9" s="1"/>
  <c r="AP29" i="9" s="1"/>
  <c r="AP30" i="9" s="1"/>
  <c r="AP31" i="9" s="1"/>
  <c r="AP32" i="9" s="1"/>
  <c r="AP33" i="9" s="1"/>
  <c r="AP34" i="9" s="1"/>
  <c r="AP35" i="9" s="1"/>
  <c r="AP36" i="9" s="1"/>
  <c r="AP37" i="9" s="1"/>
  <c r="AP38" i="9" s="1"/>
  <c r="AP39" i="9" s="1"/>
  <c r="AP40" i="9" s="1"/>
  <c r="AP41" i="9" s="1"/>
  <c r="AP42" i="9" s="1"/>
  <c r="AP43" i="9" s="1"/>
  <c r="AP44" i="9" s="1"/>
  <c r="AP45" i="9" s="1"/>
  <c r="AP46" i="9" s="1"/>
  <c r="AP47" i="9" s="1"/>
  <c r="AP48" i="9" s="1"/>
  <c r="AP49" i="9" s="1"/>
  <c r="AP50" i="9" s="1"/>
  <c r="AP51" i="9" s="1"/>
  <c r="AP52" i="9" s="1"/>
  <c r="AP53" i="9" s="1"/>
  <c r="AP54" i="9" s="1"/>
  <c r="AP55" i="9" s="1"/>
  <c r="AP56" i="9" s="1"/>
  <c r="AP57" i="9" s="1"/>
  <c r="AP58" i="9" s="1"/>
  <c r="AP59" i="9" s="1"/>
  <c r="AP60" i="9" s="1"/>
  <c r="AP61" i="9" s="1"/>
  <c r="AP62" i="9" s="1"/>
  <c r="AP63" i="9" s="1"/>
  <c r="AP64" i="9" s="1"/>
  <c r="AP65" i="9" s="1"/>
  <c r="AP66" i="9" s="1"/>
  <c r="AP67" i="9" s="1"/>
  <c r="AP68" i="9" s="1"/>
  <c r="AP69" i="9" s="1"/>
  <c r="AP70" i="9" s="1"/>
  <c r="AP71" i="9" s="1"/>
  <c r="AP72" i="9" s="1"/>
  <c r="AP73" i="9" s="1"/>
  <c r="AP74" i="9" s="1"/>
  <c r="AP75" i="9" s="1"/>
  <c r="AP76" i="9" s="1"/>
  <c r="AP77" i="9" s="1"/>
  <c r="AP78" i="9" s="1"/>
  <c r="AP79" i="9" s="1"/>
  <c r="AP80" i="9" s="1"/>
  <c r="AP81" i="9" s="1"/>
  <c r="AP82" i="9" s="1"/>
  <c r="AP83" i="9" s="1"/>
  <c r="AP84" i="9" s="1"/>
  <c r="AP85" i="9" s="1"/>
  <c r="AP86" i="9" s="1"/>
  <c r="AP87" i="9" s="1"/>
  <c r="AP88" i="9" s="1"/>
  <c r="AP89" i="9" s="1"/>
  <c r="AP90" i="9" s="1"/>
  <c r="AP91" i="9" s="1"/>
  <c r="AP92" i="9" s="1"/>
  <c r="AP93" i="9" s="1"/>
  <c r="AP94" i="9" s="1"/>
  <c r="AP95" i="9" s="1"/>
  <c r="AP96" i="9" s="1"/>
  <c r="AP97" i="9" s="1"/>
  <c r="AP98" i="9" s="1"/>
  <c r="AP99" i="9" s="1"/>
  <c r="AP100" i="9" s="1"/>
  <c r="AP101" i="9" s="1"/>
  <c r="AP102" i="9" s="1"/>
  <c r="AP103" i="9" s="1"/>
  <c r="AP104" i="9" s="1"/>
  <c r="AP105" i="9" s="1"/>
  <c r="AP106" i="9" s="1"/>
  <c r="AP107" i="9" s="1"/>
  <c r="AP108" i="9" s="1"/>
  <c r="AP109" i="9" s="1"/>
  <c r="AP110" i="9" s="1"/>
  <c r="AP111" i="9" s="1"/>
  <c r="AP112" i="9" s="1"/>
  <c r="AP113" i="9" s="1"/>
  <c r="AP114" i="9" s="1"/>
  <c r="AP115" i="9" s="1"/>
  <c r="AP116" i="9" s="1"/>
  <c r="AP117" i="9" s="1"/>
  <c r="AP118" i="9" s="1"/>
  <c r="AP119" i="9" s="1"/>
  <c r="AP120" i="9" s="1"/>
  <c r="AP121" i="9" s="1"/>
  <c r="AP122" i="9" s="1"/>
  <c r="AP123" i="9" s="1"/>
  <c r="AP124" i="9" s="1"/>
  <c r="AP125" i="9" s="1"/>
  <c r="AP126" i="9" s="1"/>
  <c r="AP127" i="9" s="1"/>
  <c r="AP128" i="9" s="1"/>
  <c r="AP129" i="9" s="1"/>
  <c r="AP130" i="9" s="1"/>
  <c r="AP131" i="9" s="1"/>
  <c r="AP132" i="9" s="1"/>
  <c r="AP133" i="9" s="1"/>
  <c r="AP134" i="9" s="1"/>
  <c r="AP135" i="9" s="1"/>
  <c r="AP136" i="9" s="1"/>
  <c r="AO4" i="9"/>
  <c r="AO5" i="9" s="1"/>
  <c r="AQ11" i="9" l="1"/>
  <c r="CM11" i="8" s="1"/>
  <c r="AI6" i="9"/>
  <c r="AO6" i="8" s="1"/>
  <c r="I16" i="4"/>
  <c r="I17" i="4"/>
  <c r="I18" i="4"/>
  <c r="I19" i="4"/>
  <c r="I20" i="4"/>
  <c r="I21" i="4"/>
  <c r="I22" i="4"/>
  <c r="I23" i="4"/>
  <c r="I24" i="4"/>
  <c r="I25" i="4"/>
  <c r="I26" i="4"/>
  <c r="I27" i="4"/>
  <c r="I28" i="4"/>
  <c r="I29" i="4"/>
  <c r="I30" i="4"/>
  <c r="I31" i="4"/>
  <c r="I32" i="4"/>
  <c r="I33" i="4"/>
  <c r="AQ12" i="9" l="1"/>
  <c r="CM12" i="8" s="1"/>
  <c r="AI7" i="9"/>
  <c r="AO7" i="8" s="1"/>
  <c r="C26" i="4"/>
  <c r="C28" i="4"/>
  <c r="C29" i="4"/>
  <c r="B26" i="4"/>
  <c r="B28" i="4"/>
  <c r="B29" i="4"/>
  <c r="BT4" i="11"/>
  <c r="BS4" i="11"/>
  <c r="BR4" i="11"/>
  <c r="BQ4" i="11"/>
  <c r="BO4" i="11"/>
  <c r="BM4" i="11"/>
  <c r="BI4" i="11"/>
  <c r="BS5" i="11"/>
  <c r="BS6" i="11"/>
  <c r="BS7" i="11"/>
  <c r="BS8" i="11"/>
  <c r="BS9" i="11"/>
  <c r="BS10" i="11"/>
  <c r="BS11" i="11"/>
  <c r="BS12" i="11"/>
  <c r="BS13" i="11"/>
  <c r="BS14" i="11"/>
  <c r="BS15" i="11"/>
  <c r="BS16" i="11"/>
  <c r="BS17" i="11"/>
  <c r="BS18" i="11"/>
  <c r="BS19" i="11"/>
  <c r="BS20" i="11"/>
  <c r="BS21" i="11"/>
  <c r="BS22" i="11"/>
  <c r="BS23" i="11"/>
  <c r="BS24" i="11"/>
  <c r="BS25" i="11"/>
  <c r="BS26" i="11"/>
  <c r="BS27" i="11"/>
  <c r="BS28" i="11"/>
  <c r="BS29" i="11"/>
  <c r="BS30" i="11"/>
  <c r="BS31" i="11"/>
  <c r="BS32" i="11"/>
  <c r="BS33" i="11"/>
  <c r="BS34" i="11"/>
  <c r="BS35" i="11"/>
  <c r="BS36" i="11"/>
  <c r="BS37" i="11"/>
  <c r="BS38" i="11"/>
  <c r="BS39" i="11"/>
  <c r="BS40" i="11"/>
  <c r="BS41" i="11"/>
  <c r="BS42" i="11"/>
  <c r="BS43" i="11"/>
  <c r="BS44" i="11"/>
  <c r="BS45" i="11"/>
  <c r="BS46" i="11"/>
  <c r="BS47" i="11"/>
  <c r="BS48" i="11"/>
  <c r="BS49" i="11"/>
  <c r="BS50" i="11"/>
  <c r="BS51" i="11"/>
  <c r="BS52" i="11"/>
  <c r="BS53" i="11"/>
  <c r="BS54" i="11"/>
  <c r="BS55" i="11"/>
  <c r="BS56" i="11"/>
  <c r="BS57" i="11"/>
  <c r="BS58" i="11"/>
  <c r="BS59" i="11"/>
  <c r="BS60" i="11"/>
  <c r="BS61" i="11"/>
  <c r="BS62" i="11"/>
  <c r="BS63" i="11"/>
  <c r="BS64" i="11"/>
  <c r="BS65" i="11"/>
  <c r="BS66" i="11"/>
  <c r="BS67" i="11"/>
  <c r="BS68" i="11"/>
  <c r="BS69" i="11"/>
  <c r="BS70" i="11"/>
  <c r="BS71" i="11"/>
  <c r="BS72" i="11"/>
  <c r="BS73" i="11"/>
  <c r="BS74" i="11"/>
  <c r="BS75" i="11"/>
  <c r="BS76" i="11"/>
  <c r="BS77" i="11"/>
  <c r="BS78" i="11"/>
  <c r="BS79" i="11"/>
  <c r="BS80" i="11"/>
  <c r="BS81" i="11"/>
  <c r="BS82" i="11"/>
  <c r="BS83" i="11"/>
  <c r="BS84" i="11"/>
  <c r="BS85" i="11"/>
  <c r="BS86" i="11"/>
  <c r="BS87" i="11"/>
  <c r="BS88" i="11"/>
  <c r="BS89" i="11"/>
  <c r="BS90" i="11"/>
  <c r="BS91" i="11"/>
  <c r="BS92" i="11"/>
  <c r="BS93" i="11"/>
  <c r="BS94" i="11"/>
  <c r="BS95" i="11"/>
  <c r="BS96" i="11"/>
  <c r="BS97" i="11"/>
  <c r="BS98" i="11"/>
  <c r="BS99" i="11"/>
  <c r="BS100" i="11"/>
  <c r="BS101" i="11"/>
  <c r="BS102" i="11"/>
  <c r="BS103" i="11"/>
  <c r="BS104" i="11"/>
  <c r="BS105" i="11"/>
  <c r="BS106" i="11"/>
  <c r="BS107" i="11"/>
  <c r="BS108" i="11"/>
  <c r="BS109" i="11"/>
  <c r="BS110" i="11"/>
  <c r="BS111" i="11"/>
  <c r="BS112" i="11"/>
  <c r="BS113" i="11"/>
  <c r="BS114" i="11"/>
  <c r="BS115" i="11"/>
  <c r="BS116" i="11"/>
  <c r="BS117" i="11"/>
  <c r="BS118" i="11"/>
  <c r="BS119" i="11"/>
  <c r="BS120" i="11"/>
  <c r="BS121" i="11"/>
  <c r="BS122" i="11"/>
  <c r="BS123" i="11"/>
  <c r="BS124" i="11"/>
  <c r="BS125" i="11"/>
  <c r="BS126" i="11"/>
  <c r="BS127" i="11"/>
  <c r="BS128" i="11"/>
  <c r="BS129" i="11"/>
  <c r="BS130" i="11"/>
  <c r="BS131" i="11"/>
  <c r="BS132" i="11"/>
  <c r="BS133" i="11"/>
  <c r="BS134" i="11"/>
  <c r="BS135" i="11"/>
  <c r="BS136" i="11"/>
  <c r="BN4" i="11"/>
  <c r="BN5" i="11"/>
  <c r="BN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I5" i="11"/>
  <c r="BI6" i="11"/>
  <c r="BI7" i="11"/>
  <c r="BI8" i="11"/>
  <c r="BI9" i="11"/>
  <c r="BI10" i="11"/>
  <c r="BI11" i="11"/>
  <c r="BI12" i="11"/>
  <c r="BI13" i="11"/>
  <c r="BI14" i="11"/>
  <c r="BI15" i="11"/>
  <c r="BI16" i="11"/>
  <c r="BI17" i="11"/>
  <c r="BI18" i="11"/>
  <c r="BI19" i="11"/>
  <c r="BI20" i="11"/>
  <c r="BI21" i="11"/>
  <c r="BI22" i="11"/>
  <c r="BI23" i="11"/>
  <c r="BI24" i="11"/>
  <c r="BI25" i="11"/>
  <c r="BI26" i="11"/>
  <c r="BI27" i="11"/>
  <c r="BI28" i="11"/>
  <c r="BI29" i="11"/>
  <c r="BI30" i="11"/>
  <c r="BI31" i="11"/>
  <c r="BI32" i="11"/>
  <c r="BI33" i="11"/>
  <c r="BI34" i="11"/>
  <c r="BI35" i="11"/>
  <c r="BI36" i="11"/>
  <c r="BI37" i="11"/>
  <c r="BI38" i="11"/>
  <c r="BI39" i="11"/>
  <c r="BI40" i="11"/>
  <c r="BI41" i="11"/>
  <c r="BI42" i="11"/>
  <c r="BI43" i="11"/>
  <c r="BI44" i="11"/>
  <c r="BI45" i="11"/>
  <c r="BI46" i="11"/>
  <c r="BI47" i="11"/>
  <c r="BI48" i="11"/>
  <c r="BI49" i="11"/>
  <c r="BI50" i="11"/>
  <c r="BI51" i="11"/>
  <c r="BI52" i="11"/>
  <c r="BI53" i="11"/>
  <c r="BI54" i="11"/>
  <c r="BI55" i="11"/>
  <c r="BI56" i="11"/>
  <c r="BI57" i="11"/>
  <c r="BI58" i="11"/>
  <c r="BI59" i="11"/>
  <c r="BI60" i="11"/>
  <c r="BI61" i="11"/>
  <c r="BI62" i="11"/>
  <c r="BI63" i="11"/>
  <c r="BI64" i="11"/>
  <c r="BI65" i="11"/>
  <c r="BI66" i="11"/>
  <c r="BI67" i="11"/>
  <c r="BI68" i="11"/>
  <c r="BI69" i="11"/>
  <c r="BI70" i="11"/>
  <c r="BI71" i="11"/>
  <c r="BI72" i="11"/>
  <c r="BI73" i="11"/>
  <c r="BI74" i="11"/>
  <c r="BI75" i="11"/>
  <c r="BI76" i="11"/>
  <c r="BI77" i="11"/>
  <c r="BI78" i="11"/>
  <c r="BI79" i="11"/>
  <c r="BI80" i="11"/>
  <c r="BI81" i="11"/>
  <c r="BI82" i="11"/>
  <c r="BI83" i="11"/>
  <c r="BI84" i="11"/>
  <c r="BI85" i="11"/>
  <c r="BI86" i="11"/>
  <c r="BI87" i="11"/>
  <c r="BI88" i="11"/>
  <c r="BI89" i="11"/>
  <c r="BI90" i="11"/>
  <c r="BI91" i="11"/>
  <c r="BI92" i="11"/>
  <c r="BI93" i="11"/>
  <c r="BI94" i="11"/>
  <c r="BI95" i="11"/>
  <c r="BI96" i="11"/>
  <c r="BI97" i="11"/>
  <c r="BI98" i="11"/>
  <c r="BI99" i="11"/>
  <c r="BI100" i="11"/>
  <c r="BI101" i="11"/>
  <c r="BI102" i="11"/>
  <c r="BI103" i="11"/>
  <c r="BI104" i="11"/>
  <c r="BI105" i="11"/>
  <c r="BI106" i="11"/>
  <c r="BI107" i="11"/>
  <c r="BI108" i="11"/>
  <c r="BI109" i="11"/>
  <c r="BI110" i="11"/>
  <c r="BI111" i="11"/>
  <c r="BI112" i="11"/>
  <c r="BI113" i="11"/>
  <c r="BI114" i="11"/>
  <c r="BI115" i="11"/>
  <c r="BI116" i="11"/>
  <c r="BI117" i="11"/>
  <c r="BI118" i="11"/>
  <c r="BI119" i="11"/>
  <c r="BI120" i="11"/>
  <c r="BI121" i="11"/>
  <c r="BI122" i="11"/>
  <c r="BI123" i="11"/>
  <c r="BI124" i="11"/>
  <c r="BI125" i="11"/>
  <c r="BI126" i="11"/>
  <c r="BI127" i="11"/>
  <c r="BI128" i="11"/>
  <c r="BI129" i="11"/>
  <c r="BI130" i="11"/>
  <c r="BI131" i="11"/>
  <c r="BI132" i="11"/>
  <c r="BI133" i="11"/>
  <c r="BI134" i="11"/>
  <c r="BI135" i="11"/>
  <c r="BI136" i="11"/>
  <c r="BD4" i="11"/>
  <c r="BD5" i="11"/>
  <c r="BD6" i="11"/>
  <c r="BD7" i="11"/>
  <c r="BD8" i="11"/>
  <c r="BD9" i="11"/>
  <c r="BD10" i="11"/>
  <c r="BD11" i="11"/>
  <c r="BD12" i="11"/>
  <c r="BD13" i="11"/>
  <c r="BD14" i="11"/>
  <c r="BD15" i="11"/>
  <c r="BD16" i="11"/>
  <c r="BD17" i="11"/>
  <c r="BD18" i="11"/>
  <c r="BD19" i="11"/>
  <c r="BD20" i="11"/>
  <c r="BD21" i="11"/>
  <c r="BD22" i="11"/>
  <c r="BD23" i="11"/>
  <c r="BD24" i="11"/>
  <c r="BD25" i="11"/>
  <c r="BD26" i="11"/>
  <c r="BD27" i="11"/>
  <c r="BD28" i="11"/>
  <c r="BD29" i="11"/>
  <c r="BD30" i="11"/>
  <c r="BD31" i="11"/>
  <c r="BD32" i="11"/>
  <c r="BD33" i="11"/>
  <c r="BD34" i="11"/>
  <c r="BD35" i="11"/>
  <c r="BD36" i="11"/>
  <c r="BD37" i="11"/>
  <c r="BD38" i="11"/>
  <c r="BD39" i="11"/>
  <c r="BD40" i="11"/>
  <c r="BD41" i="11"/>
  <c r="BD42" i="11"/>
  <c r="BD43" i="11"/>
  <c r="BD44" i="11"/>
  <c r="BD45" i="11"/>
  <c r="BD46" i="11"/>
  <c r="BD47" i="11"/>
  <c r="BD48" i="11"/>
  <c r="BD49" i="11"/>
  <c r="BD50" i="11"/>
  <c r="BD51" i="11"/>
  <c r="BD52" i="11"/>
  <c r="BD53" i="11"/>
  <c r="BD54" i="11"/>
  <c r="BD55" i="11"/>
  <c r="BD56" i="11"/>
  <c r="BD57" i="11"/>
  <c r="BD58" i="11"/>
  <c r="BD59" i="11"/>
  <c r="BD60" i="11"/>
  <c r="BD61" i="11"/>
  <c r="BD62" i="11"/>
  <c r="BD63" i="11"/>
  <c r="BD64" i="11"/>
  <c r="BD65" i="11"/>
  <c r="BD66" i="11"/>
  <c r="BD67" i="11"/>
  <c r="BD68" i="11"/>
  <c r="BD69" i="11"/>
  <c r="BD70" i="11"/>
  <c r="BD71" i="11"/>
  <c r="BD72" i="11"/>
  <c r="BD73" i="11"/>
  <c r="BD74" i="11"/>
  <c r="BD75" i="11"/>
  <c r="BD76" i="11"/>
  <c r="BD77" i="11"/>
  <c r="BD78" i="11"/>
  <c r="BD79" i="11"/>
  <c r="BD80" i="11"/>
  <c r="BD81" i="11"/>
  <c r="BD82" i="11"/>
  <c r="BD83" i="11"/>
  <c r="BD84" i="11"/>
  <c r="BD85" i="11"/>
  <c r="BD86" i="11"/>
  <c r="BD87" i="11"/>
  <c r="BD88" i="11"/>
  <c r="BD89" i="11"/>
  <c r="BD90" i="11"/>
  <c r="BD91" i="11"/>
  <c r="BD92" i="11"/>
  <c r="BD93" i="11"/>
  <c r="BD94" i="11"/>
  <c r="BD95" i="11"/>
  <c r="BD96" i="11"/>
  <c r="BD97" i="11"/>
  <c r="BD98" i="11"/>
  <c r="BD99" i="11"/>
  <c r="BD100" i="11"/>
  <c r="BD101" i="11"/>
  <c r="BD102" i="11"/>
  <c r="BD103" i="11"/>
  <c r="BD104" i="11"/>
  <c r="BD105" i="11"/>
  <c r="BD106" i="11"/>
  <c r="BD107" i="11"/>
  <c r="BD108" i="11"/>
  <c r="BD109" i="11"/>
  <c r="BD110" i="11"/>
  <c r="BD111" i="11"/>
  <c r="BD112" i="11"/>
  <c r="BD113" i="11"/>
  <c r="BD114" i="11"/>
  <c r="BD115" i="11"/>
  <c r="BD116" i="11"/>
  <c r="BD117" i="11"/>
  <c r="BD118" i="11"/>
  <c r="BD119" i="11"/>
  <c r="BD120" i="11"/>
  <c r="BD121" i="11"/>
  <c r="BD122" i="11"/>
  <c r="BD123" i="11"/>
  <c r="BD124" i="11"/>
  <c r="BD125" i="11"/>
  <c r="BD126" i="11"/>
  <c r="BD127" i="11"/>
  <c r="BD128" i="11"/>
  <c r="BD129" i="11"/>
  <c r="BD130" i="11"/>
  <c r="BD131" i="11"/>
  <c r="BD132" i="11"/>
  <c r="BD133" i="11"/>
  <c r="BD134" i="11"/>
  <c r="BD135" i="11"/>
  <c r="BD136" i="11"/>
  <c r="AY4" i="11"/>
  <c r="AY5" i="11"/>
  <c r="AY6" i="11"/>
  <c r="AY7" i="11"/>
  <c r="AY8" i="11"/>
  <c r="AY9" i="11"/>
  <c r="AY10" i="11"/>
  <c r="AY11" i="11"/>
  <c r="AY12" i="11"/>
  <c r="AY13" i="11"/>
  <c r="AY14" i="11"/>
  <c r="AY15" i="11"/>
  <c r="AY16" i="11"/>
  <c r="AY17" i="11"/>
  <c r="AY18" i="11"/>
  <c r="AY19" i="11"/>
  <c r="AY20" i="11"/>
  <c r="AY21" i="11"/>
  <c r="AY22" i="11"/>
  <c r="AY23" i="11"/>
  <c r="AY24" i="11"/>
  <c r="AY25" i="11"/>
  <c r="AY26" i="11"/>
  <c r="AY27" i="11"/>
  <c r="AY28" i="11"/>
  <c r="AY29" i="11"/>
  <c r="AY30" i="11"/>
  <c r="AY31" i="11"/>
  <c r="AY32" i="11"/>
  <c r="AY33" i="11"/>
  <c r="AY34" i="11"/>
  <c r="AY35" i="11"/>
  <c r="AY36" i="11"/>
  <c r="AY37" i="11"/>
  <c r="AY38" i="11"/>
  <c r="AY39" i="11"/>
  <c r="AY40" i="11"/>
  <c r="AY41" i="11"/>
  <c r="AY42" i="11"/>
  <c r="AY43" i="11"/>
  <c r="AY44" i="11"/>
  <c r="AY45" i="11"/>
  <c r="AY46" i="11"/>
  <c r="AY47" i="11"/>
  <c r="AY48" i="11"/>
  <c r="AY49" i="11"/>
  <c r="AY50" i="11"/>
  <c r="AY51" i="11"/>
  <c r="AY52" i="11"/>
  <c r="AY53" i="11"/>
  <c r="AY54" i="11"/>
  <c r="AY55" i="11"/>
  <c r="AY56" i="11"/>
  <c r="AY57" i="11"/>
  <c r="AY58" i="11"/>
  <c r="AY59" i="11"/>
  <c r="AY60" i="11"/>
  <c r="AY61" i="11"/>
  <c r="AY62" i="11"/>
  <c r="AY63" i="11"/>
  <c r="AY64" i="11"/>
  <c r="AY65" i="11"/>
  <c r="AY66" i="11"/>
  <c r="AY67" i="11"/>
  <c r="AY68" i="11"/>
  <c r="AY69" i="11"/>
  <c r="AY70" i="11"/>
  <c r="AY71" i="11"/>
  <c r="AY72" i="11"/>
  <c r="AY73" i="11"/>
  <c r="AY74" i="11"/>
  <c r="AY75" i="11"/>
  <c r="AY76" i="11"/>
  <c r="AY77" i="11"/>
  <c r="AY78" i="11"/>
  <c r="AY79" i="11"/>
  <c r="AY80" i="11"/>
  <c r="AY81" i="11"/>
  <c r="AY82" i="11"/>
  <c r="AY83" i="11"/>
  <c r="AY84" i="11"/>
  <c r="AY85" i="11"/>
  <c r="AY86" i="11"/>
  <c r="AY87" i="11"/>
  <c r="AY88" i="11"/>
  <c r="AY89" i="11"/>
  <c r="AY90" i="11"/>
  <c r="AY91" i="11"/>
  <c r="AY92" i="11"/>
  <c r="AY93" i="11"/>
  <c r="AY94" i="11"/>
  <c r="AY95" i="11"/>
  <c r="AY96" i="11"/>
  <c r="AY97" i="11"/>
  <c r="AY98" i="11"/>
  <c r="AY99" i="11"/>
  <c r="AY100" i="11"/>
  <c r="AY101" i="11"/>
  <c r="AY102" i="11"/>
  <c r="AY103" i="11"/>
  <c r="AY104" i="11"/>
  <c r="AY105" i="11"/>
  <c r="AY106" i="11"/>
  <c r="AY107" i="11"/>
  <c r="AY108" i="11"/>
  <c r="AY109" i="11"/>
  <c r="AY110" i="11"/>
  <c r="AY111" i="11"/>
  <c r="AY112" i="11"/>
  <c r="AY113" i="11"/>
  <c r="AY114" i="11"/>
  <c r="AY115" i="11"/>
  <c r="AY116" i="11"/>
  <c r="AY117" i="11"/>
  <c r="AY118" i="11"/>
  <c r="AY119" i="11"/>
  <c r="AY120" i="11"/>
  <c r="AY121" i="11"/>
  <c r="AY122" i="11"/>
  <c r="AY123" i="11"/>
  <c r="AY124" i="11"/>
  <c r="AY125" i="11"/>
  <c r="AY126" i="11"/>
  <c r="AY127" i="11"/>
  <c r="AY128" i="11"/>
  <c r="AY129" i="11"/>
  <c r="AY130" i="11"/>
  <c r="AY131" i="11"/>
  <c r="AY132" i="11"/>
  <c r="AY133" i="11"/>
  <c r="AY134" i="11"/>
  <c r="AY135" i="11"/>
  <c r="AY136" i="11"/>
  <c r="AT4" i="11"/>
  <c r="AT5" i="11"/>
  <c r="AT6" i="11"/>
  <c r="AT7" i="11"/>
  <c r="AT8" i="11"/>
  <c r="AT9" i="11"/>
  <c r="AT10" i="11"/>
  <c r="AT11" i="11"/>
  <c r="AT12" i="11"/>
  <c r="AT13" i="11"/>
  <c r="AT14" i="11"/>
  <c r="AT15" i="11"/>
  <c r="AT16" i="11"/>
  <c r="AT17" i="11"/>
  <c r="AT18" i="11"/>
  <c r="AT19" i="11"/>
  <c r="AT20" i="11"/>
  <c r="AT21" i="11"/>
  <c r="AT22" i="11"/>
  <c r="AT23" i="11"/>
  <c r="AT24" i="11"/>
  <c r="AT25" i="11"/>
  <c r="AT26" i="11"/>
  <c r="AT27" i="11"/>
  <c r="AT28" i="11"/>
  <c r="AT29" i="11"/>
  <c r="AT30" i="11"/>
  <c r="AT31" i="11"/>
  <c r="AT32" i="11"/>
  <c r="AT33" i="11"/>
  <c r="AT34" i="11"/>
  <c r="AT35" i="11"/>
  <c r="AT36" i="11"/>
  <c r="AT37"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AT118" i="11"/>
  <c r="AT119" i="11"/>
  <c r="AT120" i="11"/>
  <c r="AT121" i="11"/>
  <c r="AT122" i="11"/>
  <c r="AT123" i="11"/>
  <c r="AT124" i="11"/>
  <c r="AT125" i="11"/>
  <c r="AT126" i="11"/>
  <c r="AT127" i="11"/>
  <c r="AT128" i="11"/>
  <c r="AT129" i="11"/>
  <c r="AT130" i="11"/>
  <c r="AT131" i="11"/>
  <c r="AT132" i="11"/>
  <c r="AT133" i="11"/>
  <c r="AT134" i="11"/>
  <c r="AT135" i="11"/>
  <c r="AT136" i="11"/>
  <c r="BR5" i="11"/>
  <c r="BR6" i="11"/>
  <c r="BR7" i="11"/>
  <c r="BR8" i="11"/>
  <c r="BR9" i="11"/>
  <c r="BR10" i="11"/>
  <c r="BR11" i="11"/>
  <c r="BR12" i="11"/>
  <c r="BR13" i="11"/>
  <c r="BR14" i="11"/>
  <c r="BR15" i="11"/>
  <c r="BR16" i="11"/>
  <c r="BR17" i="11"/>
  <c r="BR18" i="11"/>
  <c r="BR19" i="11"/>
  <c r="BR20" i="11"/>
  <c r="BR21" i="11"/>
  <c r="BR22" i="11"/>
  <c r="BR23" i="11"/>
  <c r="BR24" i="11"/>
  <c r="BR25" i="11"/>
  <c r="BR26" i="11"/>
  <c r="BR27" i="11"/>
  <c r="BR28" i="11"/>
  <c r="BR29" i="11"/>
  <c r="BR30" i="11"/>
  <c r="BR31" i="11"/>
  <c r="BR32" i="11"/>
  <c r="BR33" i="11"/>
  <c r="BR34" i="11"/>
  <c r="BR35" i="11"/>
  <c r="BR36" i="11"/>
  <c r="BR37" i="11"/>
  <c r="BR38" i="11"/>
  <c r="BR39" i="11"/>
  <c r="BR40" i="11"/>
  <c r="BR41" i="11"/>
  <c r="BR42" i="11"/>
  <c r="BR43" i="11"/>
  <c r="BR44" i="11"/>
  <c r="BR45" i="11"/>
  <c r="BR46" i="11"/>
  <c r="BR47" i="11"/>
  <c r="BR48" i="11"/>
  <c r="BR49" i="11"/>
  <c r="BR50" i="11"/>
  <c r="BR51" i="11"/>
  <c r="BR52" i="11"/>
  <c r="BR53" i="11"/>
  <c r="BR54" i="11"/>
  <c r="BR55" i="11"/>
  <c r="BR56" i="11"/>
  <c r="BR57" i="11"/>
  <c r="BR58" i="11"/>
  <c r="BR59" i="11"/>
  <c r="BR60" i="11"/>
  <c r="BR61" i="11"/>
  <c r="BR62" i="11"/>
  <c r="BR63" i="11"/>
  <c r="BR64" i="11"/>
  <c r="BR65" i="11"/>
  <c r="BR66" i="11"/>
  <c r="BR67" i="11"/>
  <c r="BR68" i="11"/>
  <c r="BR69" i="11"/>
  <c r="BR70" i="11"/>
  <c r="BR71" i="11"/>
  <c r="BR72" i="11"/>
  <c r="BR73" i="11"/>
  <c r="BR74" i="11"/>
  <c r="BR75" i="11"/>
  <c r="BR76" i="11"/>
  <c r="BR77" i="11"/>
  <c r="BR78" i="11"/>
  <c r="BR79" i="11"/>
  <c r="BR80" i="11"/>
  <c r="BR81" i="11"/>
  <c r="BR82" i="11"/>
  <c r="BR83" i="11"/>
  <c r="BR84" i="11"/>
  <c r="BR85" i="11"/>
  <c r="BR86" i="11"/>
  <c r="BR87" i="11"/>
  <c r="BR88" i="11"/>
  <c r="BR89" i="11"/>
  <c r="BR90" i="11"/>
  <c r="BR91" i="11"/>
  <c r="BR92" i="11"/>
  <c r="BR93" i="11"/>
  <c r="BR94" i="11"/>
  <c r="BR95" i="11"/>
  <c r="BR96" i="11"/>
  <c r="BR97" i="11"/>
  <c r="BR98" i="11"/>
  <c r="BR99" i="11"/>
  <c r="BR100" i="11"/>
  <c r="BR101" i="11"/>
  <c r="BR102" i="11"/>
  <c r="BR103" i="11"/>
  <c r="BR104" i="11"/>
  <c r="BR105" i="11"/>
  <c r="BR106" i="11"/>
  <c r="BR107" i="11"/>
  <c r="BR108" i="11"/>
  <c r="BR109" i="11"/>
  <c r="BR110" i="11"/>
  <c r="BR111" i="11"/>
  <c r="BR112" i="11"/>
  <c r="BR113" i="11"/>
  <c r="BR114" i="11"/>
  <c r="BR115" i="11"/>
  <c r="BR116" i="11"/>
  <c r="BR117" i="11"/>
  <c r="BR118" i="11"/>
  <c r="BR119" i="11"/>
  <c r="BR120" i="11"/>
  <c r="BR121" i="11"/>
  <c r="BR122" i="11"/>
  <c r="BR123" i="11"/>
  <c r="BR124" i="11"/>
  <c r="BR125" i="11"/>
  <c r="BR126" i="11"/>
  <c r="BR127" i="11"/>
  <c r="BR128" i="11"/>
  <c r="BR129" i="11"/>
  <c r="BR130" i="11"/>
  <c r="BR131" i="11"/>
  <c r="BR132" i="11"/>
  <c r="BR133" i="11"/>
  <c r="BR134" i="11"/>
  <c r="BR135" i="11"/>
  <c r="BR136" i="11"/>
  <c r="BM5" i="11"/>
  <c r="BM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H4" i="11"/>
  <c r="BH5" i="11"/>
  <c r="BH6" i="11"/>
  <c r="BH7" i="11"/>
  <c r="BH8" i="11"/>
  <c r="BH9" i="11"/>
  <c r="BH10" i="11"/>
  <c r="BH11" i="11"/>
  <c r="BH12" i="11"/>
  <c r="BH13" i="11"/>
  <c r="BH14" i="11"/>
  <c r="BH15" i="11"/>
  <c r="BH16" i="11"/>
  <c r="BH17" i="11"/>
  <c r="BH18" i="11"/>
  <c r="BH19" i="11"/>
  <c r="BH20" i="11"/>
  <c r="BH21" i="11"/>
  <c r="BH22" i="11"/>
  <c r="BH23" i="11"/>
  <c r="BH24" i="11"/>
  <c r="BH25" i="11"/>
  <c r="BH26" i="11"/>
  <c r="BH27" i="11"/>
  <c r="BH28" i="11"/>
  <c r="BH29" i="11"/>
  <c r="BH30" i="11"/>
  <c r="BH31" i="11"/>
  <c r="BH32" i="11"/>
  <c r="BH33" i="11"/>
  <c r="BH34" i="11"/>
  <c r="BH35" i="11"/>
  <c r="BH36" i="11"/>
  <c r="BH37" i="11"/>
  <c r="BH38" i="11"/>
  <c r="BH39" i="11"/>
  <c r="BH40" i="11"/>
  <c r="BH41" i="11"/>
  <c r="BH42" i="11"/>
  <c r="BH43" i="11"/>
  <c r="BH44" i="11"/>
  <c r="BH45" i="11"/>
  <c r="BH46" i="11"/>
  <c r="BH47" i="11"/>
  <c r="BH48" i="11"/>
  <c r="BH49" i="11"/>
  <c r="BH50" i="11"/>
  <c r="BH51" i="11"/>
  <c r="BH52" i="11"/>
  <c r="BH53" i="11"/>
  <c r="BH54" i="11"/>
  <c r="BH55" i="11"/>
  <c r="BH56" i="11"/>
  <c r="BH57" i="11"/>
  <c r="BH58" i="11"/>
  <c r="BH59" i="11"/>
  <c r="BH60" i="11"/>
  <c r="BH61" i="11"/>
  <c r="BH62" i="11"/>
  <c r="BH63" i="11"/>
  <c r="BH64" i="11"/>
  <c r="BH65" i="11"/>
  <c r="BH66" i="11"/>
  <c r="BH67" i="11"/>
  <c r="BH68" i="11"/>
  <c r="BH69" i="11"/>
  <c r="BH70" i="11"/>
  <c r="BH71" i="11"/>
  <c r="BH72" i="11"/>
  <c r="BH73" i="11"/>
  <c r="BH74" i="11"/>
  <c r="BH75" i="11"/>
  <c r="BH76" i="11"/>
  <c r="BH77" i="11"/>
  <c r="BH78" i="11"/>
  <c r="BH79" i="11"/>
  <c r="BH80" i="11"/>
  <c r="BH81" i="11"/>
  <c r="BH82" i="11"/>
  <c r="BH83" i="11"/>
  <c r="BH84" i="11"/>
  <c r="BH85" i="11"/>
  <c r="BH86" i="11"/>
  <c r="BH87" i="11"/>
  <c r="BH88" i="11"/>
  <c r="BH89" i="11"/>
  <c r="BH90" i="11"/>
  <c r="BH91" i="11"/>
  <c r="BH92" i="11"/>
  <c r="BH93" i="11"/>
  <c r="BH94" i="11"/>
  <c r="BH95" i="11"/>
  <c r="BH96" i="11"/>
  <c r="BH97" i="11"/>
  <c r="BH98" i="11"/>
  <c r="BH99" i="11"/>
  <c r="BH100" i="11"/>
  <c r="BH101" i="11"/>
  <c r="BH102" i="11"/>
  <c r="BH103" i="11"/>
  <c r="BH104" i="11"/>
  <c r="BH105" i="11"/>
  <c r="BH106" i="11"/>
  <c r="BH107" i="11"/>
  <c r="BH108" i="11"/>
  <c r="BH109" i="11"/>
  <c r="BH110" i="11"/>
  <c r="BH111" i="11"/>
  <c r="BH112" i="11"/>
  <c r="BH113" i="11"/>
  <c r="BH114" i="11"/>
  <c r="BH115" i="11"/>
  <c r="BH116" i="11"/>
  <c r="BH117" i="11"/>
  <c r="BH118" i="11"/>
  <c r="BH119" i="11"/>
  <c r="BH120" i="11"/>
  <c r="BH121" i="11"/>
  <c r="BH122" i="11"/>
  <c r="BH123" i="11"/>
  <c r="BH124" i="11"/>
  <c r="BH125" i="11"/>
  <c r="BH126" i="11"/>
  <c r="BH127" i="11"/>
  <c r="BH128" i="11"/>
  <c r="BH129" i="11"/>
  <c r="BH130" i="11"/>
  <c r="BH131" i="11"/>
  <c r="BH132" i="11"/>
  <c r="BH133" i="11"/>
  <c r="BH134" i="11"/>
  <c r="BH135" i="11"/>
  <c r="BH136" i="11"/>
  <c r="BC4" i="11"/>
  <c r="BC5" i="11"/>
  <c r="BC6" i="11"/>
  <c r="BC7" i="11"/>
  <c r="BC8" i="11"/>
  <c r="BC9" i="11"/>
  <c r="BC10" i="11"/>
  <c r="BC11" i="11"/>
  <c r="BC12" i="11"/>
  <c r="BC13" i="11"/>
  <c r="BC14" i="11"/>
  <c r="BC15" i="11"/>
  <c r="BC16" i="11"/>
  <c r="BC17" i="11"/>
  <c r="BC18" i="11"/>
  <c r="BC19" i="11"/>
  <c r="BC20" i="11"/>
  <c r="BC21" i="11"/>
  <c r="BC22" i="11"/>
  <c r="BC23" i="11"/>
  <c r="BC24" i="11"/>
  <c r="BC25" i="11"/>
  <c r="BC26" i="11"/>
  <c r="BC27" i="11"/>
  <c r="BC28" i="11"/>
  <c r="BC29" i="11"/>
  <c r="BC30" i="11"/>
  <c r="BC31" i="11"/>
  <c r="BC32" i="11"/>
  <c r="BC33" i="11"/>
  <c r="BC34" i="11"/>
  <c r="BC35" i="11"/>
  <c r="BC36" i="11"/>
  <c r="BC37" i="11"/>
  <c r="BC38" i="11"/>
  <c r="BC39" i="11"/>
  <c r="BC40" i="11"/>
  <c r="BC41" i="11"/>
  <c r="BC42" i="11"/>
  <c r="BC43" i="11"/>
  <c r="BC44" i="11"/>
  <c r="BC45" i="11"/>
  <c r="BC46" i="11"/>
  <c r="BC47" i="11"/>
  <c r="BC48" i="11"/>
  <c r="BC49" i="11"/>
  <c r="BC50" i="11"/>
  <c r="BC51" i="11"/>
  <c r="BC52" i="11"/>
  <c r="BC53" i="11"/>
  <c r="BC54" i="11"/>
  <c r="BC55" i="11"/>
  <c r="BC56" i="11"/>
  <c r="BC57" i="11"/>
  <c r="BC58" i="11"/>
  <c r="BC59" i="11"/>
  <c r="BC60" i="11"/>
  <c r="BC61" i="11"/>
  <c r="BC62" i="11"/>
  <c r="BC63" i="11"/>
  <c r="BC64" i="11"/>
  <c r="BC65" i="11"/>
  <c r="BC66" i="11"/>
  <c r="BC67" i="11"/>
  <c r="BC68" i="11"/>
  <c r="BC69" i="11"/>
  <c r="BC70" i="11"/>
  <c r="BC71" i="11"/>
  <c r="BC72" i="11"/>
  <c r="BC73" i="11"/>
  <c r="BC74" i="11"/>
  <c r="BC75" i="11"/>
  <c r="BC76" i="11"/>
  <c r="BC77" i="11"/>
  <c r="BC78" i="11"/>
  <c r="BC79" i="11"/>
  <c r="BC80" i="11"/>
  <c r="BC81" i="11"/>
  <c r="BC82" i="11"/>
  <c r="BC83" i="11"/>
  <c r="BC84" i="11"/>
  <c r="BC85" i="11"/>
  <c r="BC86" i="11"/>
  <c r="BC87" i="11"/>
  <c r="BC88" i="11"/>
  <c r="BC89" i="11"/>
  <c r="BC90" i="11"/>
  <c r="BC91" i="11"/>
  <c r="BC92" i="11"/>
  <c r="BC93" i="11"/>
  <c r="BC94" i="11"/>
  <c r="BC95" i="11"/>
  <c r="BC96" i="11"/>
  <c r="BC97" i="11"/>
  <c r="BC98" i="11"/>
  <c r="BC99" i="11"/>
  <c r="BC100" i="11"/>
  <c r="BC101" i="11"/>
  <c r="BC102" i="11"/>
  <c r="BC103" i="11"/>
  <c r="BC104" i="11"/>
  <c r="BC105" i="11"/>
  <c r="BC106" i="11"/>
  <c r="BC107" i="11"/>
  <c r="BC108" i="11"/>
  <c r="BC109" i="11"/>
  <c r="BC110" i="11"/>
  <c r="BC111" i="11"/>
  <c r="BC112" i="11"/>
  <c r="BC113" i="11"/>
  <c r="BC114" i="11"/>
  <c r="BC115" i="11"/>
  <c r="BC116" i="11"/>
  <c r="BC117" i="11"/>
  <c r="BC118" i="11"/>
  <c r="BC119" i="11"/>
  <c r="BC120" i="11"/>
  <c r="BC121" i="11"/>
  <c r="BC122" i="11"/>
  <c r="BC123" i="11"/>
  <c r="BC124" i="11"/>
  <c r="BC125" i="11"/>
  <c r="BC126" i="11"/>
  <c r="BC127" i="11"/>
  <c r="BC128" i="11"/>
  <c r="BC129" i="11"/>
  <c r="BC130" i="11"/>
  <c r="BC131" i="11"/>
  <c r="BC132" i="11"/>
  <c r="BC133" i="11"/>
  <c r="BC134" i="11"/>
  <c r="BC135" i="11"/>
  <c r="BC136" i="11"/>
  <c r="AX4" i="11"/>
  <c r="AX5" i="11"/>
  <c r="AX6" i="11"/>
  <c r="AX7" i="11"/>
  <c r="AX8" i="11"/>
  <c r="AX9" i="11"/>
  <c r="AX10" i="11"/>
  <c r="AX11" i="11"/>
  <c r="AX12" i="11"/>
  <c r="AX13" i="11"/>
  <c r="AX14" i="11"/>
  <c r="AX15" i="11"/>
  <c r="AX16" i="11"/>
  <c r="AX17" i="11"/>
  <c r="AX18" i="11"/>
  <c r="AX19" i="11"/>
  <c r="AX20" i="11"/>
  <c r="AX21" i="11"/>
  <c r="AX22" i="11"/>
  <c r="AX23" i="11"/>
  <c r="AX24" i="11"/>
  <c r="AX25" i="11"/>
  <c r="AX26" i="11"/>
  <c r="AX27" i="11"/>
  <c r="AX28" i="11"/>
  <c r="AX29" i="11"/>
  <c r="AX30" i="11"/>
  <c r="AX31" i="11"/>
  <c r="AX32" i="11"/>
  <c r="AX33" i="11"/>
  <c r="AX34" i="11"/>
  <c r="AX35" i="11"/>
  <c r="AX36" i="11"/>
  <c r="AX37" i="11"/>
  <c r="AX38" i="11"/>
  <c r="AX39" i="11"/>
  <c r="AX40" i="11"/>
  <c r="AX41" i="11"/>
  <c r="AX42" i="11"/>
  <c r="AX43" i="11"/>
  <c r="AX44" i="11"/>
  <c r="AX45" i="11"/>
  <c r="AX46" i="11"/>
  <c r="AX47" i="11"/>
  <c r="AX48" i="11"/>
  <c r="AX49" i="11"/>
  <c r="AX50" i="11"/>
  <c r="AX51" i="11"/>
  <c r="AX52" i="11"/>
  <c r="AX53" i="11"/>
  <c r="AX54" i="11"/>
  <c r="AX55" i="11"/>
  <c r="AX56" i="11"/>
  <c r="AX57" i="11"/>
  <c r="AX58" i="11"/>
  <c r="AX59" i="11"/>
  <c r="AX60" i="11"/>
  <c r="AX61" i="11"/>
  <c r="AX62" i="11"/>
  <c r="AX63" i="11"/>
  <c r="AX64" i="11"/>
  <c r="AX65" i="11"/>
  <c r="AX66" i="11"/>
  <c r="AX67" i="11"/>
  <c r="AX68" i="11"/>
  <c r="AX69" i="11"/>
  <c r="AX70" i="11"/>
  <c r="AX71" i="11"/>
  <c r="AX72" i="11"/>
  <c r="AX73" i="11"/>
  <c r="AX74" i="11"/>
  <c r="AX75" i="11"/>
  <c r="AX76" i="11"/>
  <c r="AX77" i="11"/>
  <c r="AX78" i="11"/>
  <c r="AX79" i="11"/>
  <c r="AX80" i="11"/>
  <c r="AX81" i="11"/>
  <c r="AX82" i="11"/>
  <c r="AX83" i="11"/>
  <c r="AX84" i="11"/>
  <c r="AX85" i="11"/>
  <c r="AX86" i="11"/>
  <c r="AX87" i="11"/>
  <c r="AX88" i="11"/>
  <c r="AX89" i="11"/>
  <c r="AX90" i="11"/>
  <c r="AX91" i="11"/>
  <c r="AX92" i="11"/>
  <c r="AX93" i="11"/>
  <c r="AX94" i="11"/>
  <c r="AX95" i="11"/>
  <c r="AX96" i="11"/>
  <c r="AX97" i="11"/>
  <c r="AX98" i="11"/>
  <c r="AX99" i="11"/>
  <c r="AX100" i="11"/>
  <c r="AX101" i="11"/>
  <c r="AX102" i="11"/>
  <c r="AX103" i="11"/>
  <c r="AX104" i="11"/>
  <c r="AX105" i="11"/>
  <c r="AX106" i="11"/>
  <c r="AX107" i="11"/>
  <c r="AX108" i="11"/>
  <c r="AX109" i="11"/>
  <c r="AX110" i="11"/>
  <c r="AX111" i="11"/>
  <c r="AX112" i="11"/>
  <c r="AX113" i="11"/>
  <c r="AX114" i="11"/>
  <c r="AX115" i="11"/>
  <c r="AX116" i="11"/>
  <c r="AX117" i="11"/>
  <c r="AX118" i="11"/>
  <c r="AX119" i="11"/>
  <c r="AX120" i="11"/>
  <c r="AX121" i="11"/>
  <c r="AX122" i="11"/>
  <c r="AX123" i="11"/>
  <c r="AX124" i="11"/>
  <c r="AX125" i="11"/>
  <c r="AX126" i="11"/>
  <c r="AX127" i="11"/>
  <c r="AX128" i="11"/>
  <c r="AX129" i="11"/>
  <c r="AX130" i="11"/>
  <c r="AX131" i="11"/>
  <c r="AX132" i="11"/>
  <c r="AX133" i="11"/>
  <c r="AX134" i="11"/>
  <c r="AX135" i="11"/>
  <c r="AX136" i="11"/>
  <c r="AS4" i="11"/>
  <c r="AS5" i="11"/>
  <c r="AS6" i="11"/>
  <c r="AS7" i="11"/>
  <c r="AS8" i="11"/>
  <c r="AS9" i="11"/>
  <c r="AS10" i="11"/>
  <c r="AS11" i="11"/>
  <c r="AS12" i="11"/>
  <c r="AS13" i="11"/>
  <c r="AS14" i="11"/>
  <c r="AS15" i="11"/>
  <c r="AS16" i="11"/>
  <c r="AS17" i="11"/>
  <c r="AS18" i="11"/>
  <c r="AS19" i="11"/>
  <c r="AS20" i="11"/>
  <c r="AS21" i="11"/>
  <c r="AS22" i="11"/>
  <c r="AS23" i="11"/>
  <c r="AS24" i="11"/>
  <c r="AS25" i="11"/>
  <c r="AS26" i="11"/>
  <c r="AS27" i="11"/>
  <c r="AS28" i="11"/>
  <c r="AS29" i="11"/>
  <c r="AS30" i="11"/>
  <c r="AS31" i="11"/>
  <c r="AS32" i="11"/>
  <c r="AS33" i="11"/>
  <c r="AS34" i="11"/>
  <c r="AS35" i="11"/>
  <c r="AS36" i="11"/>
  <c r="AS37" i="11"/>
  <c r="AS38" i="11"/>
  <c r="AS39" i="11"/>
  <c r="AS40" i="11"/>
  <c r="AS41" i="11"/>
  <c r="AS42" i="11"/>
  <c r="AS43" i="11"/>
  <c r="AS44" i="11"/>
  <c r="AS45" i="11"/>
  <c r="AS46" i="11"/>
  <c r="AS47" i="11"/>
  <c r="AS48" i="11"/>
  <c r="AS49" i="11"/>
  <c r="AS50" i="11"/>
  <c r="AS51" i="11"/>
  <c r="AS52" i="11"/>
  <c r="AS53" i="11"/>
  <c r="AS54" i="11"/>
  <c r="AS55" i="11"/>
  <c r="AS56" i="11"/>
  <c r="AS57" i="11"/>
  <c r="AS58" i="11"/>
  <c r="AS59" i="11"/>
  <c r="AS60" i="11"/>
  <c r="AS61" i="11"/>
  <c r="AS62" i="11"/>
  <c r="AS63" i="11"/>
  <c r="AS64" i="11"/>
  <c r="AS65" i="11"/>
  <c r="AS66" i="11"/>
  <c r="AS67" i="11"/>
  <c r="AS68" i="11"/>
  <c r="AS69" i="11"/>
  <c r="AS70" i="11"/>
  <c r="AS71" i="11"/>
  <c r="AS72" i="11"/>
  <c r="AS73" i="11"/>
  <c r="AS74" i="11"/>
  <c r="AS75" i="11"/>
  <c r="AS76" i="11"/>
  <c r="AS77" i="11"/>
  <c r="AS78" i="11"/>
  <c r="AS79" i="11"/>
  <c r="AS80" i="11"/>
  <c r="AS81" i="11"/>
  <c r="AS82" i="11"/>
  <c r="AS83" i="11"/>
  <c r="AS84" i="11"/>
  <c r="AS85" i="11"/>
  <c r="AS86" i="11"/>
  <c r="AS87" i="11"/>
  <c r="AS88" i="11"/>
  <c r="AS89" i="11"/>
  <c r="AS90" i="11"/>
  <c r="AS91" i="11"/>
  <c r="AS92" i="11"/>
  <c r="AS93" i="11"/>
  <c r="AS94" i="11"/>
  <c r="AS95" i="11"/>
  <c r="AS96" i="11"/>
  <c r="AS97" i="11"/>
  <c r="AS98" i="11"/>
  <c r="AS99" i="11"/>
  <c r="AS100" i="11"/>
  <c r="AS101" i="11"/>
  <c r="AS102" i="11"/>
  <c r="AS103" i="11"/>
  <c r="AS104" i="11"/>
  <c r="AS105" i="11"/>
  <c r="AS106" i="11"/>
  <c r="AS107" i="11"/>
  <c r="AS108" i="11"/>
  <c r="AS109" i="11"/>
  <c r="AS110" i="11"/>
  <c r="AS111" i="11"/>
  <c r="AS112" i="11"/>
  <c r="AS113" i="11"/>
  <c r="AS114" i="11"/>
  <c r="AS115" i="11"/>
  <c r="AS116" i="11"/>
  <c r="AS117" i="11"/>
  <c r="AS118" i="11"/>
  <c r="AS119" i="11"/>
  <c r="AS120" i="11"/>
  <c r="AS121" i="11"/>
  <c r="AS122" i="11"/>
  <c r="AS123" i="11"/>
  <c r="AS124" i="11"/>
  <c r="AS125" i="11"/>
  <c r="AS126" i="11"/>
  <c r="AS127" i="11"/>
  <c r="AS128" i="11"/>
  <c r="AS129" i="11"/>
  <c r="AS130" i="11"/>
  <c r="AS131" i="11"/>
  <c r="AS132" i="11"/>
  <c r="AS133" i="11"/>
  <c r="AS134" i="11"/>
  <c r="AS135" i="11"/>
  <c r="AS136" i="11"/>
  <c r="BQ5" i="11"/>
  <c r="BQ6" i="11"/>
  <c r="BQ7" i="11"/>
  <c r="BQ8" i="11"/>
  <c r="BQ9" i="11"/>
  <c r="BQ10" i="11"/>
  <c r="BQ11" i="11"/>
  <c r="BQ12" i="11"/>
  <c r="BQ13" i="11"/>
  <c r="BQ14" i="11"/>
  <c r="BQ15" i="11"/>
  <c r="BQ16" i="11"/>
  <c r="BQ17" i="11"/>
  <c r="BQ18" i="11"/>
  <c r="BQ19" i="11"/>
  <c r="BQ20" i="11"/>
  <c r="BQ21" i="11"/>
  <c r="BQ22" i="11"/>
  <c r="BQ23" i="11"/>
  <c r="BQ24" i="11"/>
  <c r="BQ25" i="11"/>
  <c r="BQ26" i="11"/>
  <c r="BQ27" i="11"/>
  <c r="BQ28" i="11"/>
  <c r="BQ29" i="11"/>
  <c r="BQ30" i="11"/>
  <c r="BQ31" i="11"/>
  <c r="BQ32" i="11"/>
  <c r="BQ33" i="11"/>
  <c r="BQ34" i="11"/>
  <c r="BQ35" i="11"/>
  <c r="BQ36" i="11"/>
  <c r="BQ37" i="11"/>
  <c r="BQ38" i="11"/>
  <c r="BQ39" i="11"/>
  <c r="BQ40" i="11"/>
  <c r="BQ41" i="11"/>
  <c r="BQ42" i="11"/>
  <c r="BQ43" i="11"/>
  <c r="BQ44" i="11"/>
  <c r="BQ45" i="11"/>
  <c r="BQ46" i="11"/>
  <c r="BQ47" i="11"/>
  <c r="BQ48" i="11"/>
  <c r="BQ49" i="11"/>
  <c r="BQ50" i="11"/>
  <c r="BQ51" i="11"/>
  <c r="BQ52" i="11"/>
  <c r="BQ53" i="11"/>
  <c r="BQ54" i="11"/>
  <c r="BQ55" i="11"/>
  <c r="BQ56" i="11"/>
  <c r="BQ57" i="11"/>
  <c r="BQ58" i="11"/>
  <c r="BQ59" i="11"/>
  <c r="BQ60" i="11"/>
  <c r="BQ61" i="11"/>
  <c r="BQ62" i="11"/>
  <c r="BQ63" i="11"/>
  <c r="BQ64" i="11"/>
  <c r="BQ65" i="11"/>
  <c r="BQ66" i="11"/>
  <c r="BQ67" i="11"/>
  <c r="BQ68" i="11"/>
  <c r="BQ69" i="11"/>
  <c r="BQ70" i="11"/>
  <c r="BQ71" i="11"/>
  <c r="BQ72" i="11"/>
  <c r="BQ73" i="11"/>
  <c r="BQ74" i="11"/>
  <c r="BQ75" i="11"/>
  <c r="BQ76" i="11"/>
  <c r="BQ77" i="11"/>
  <c r="BQ78" i="11"/>
  <c r="BQ79" i="11"/>
  <c r="BQ80" i="11"/>
  <c r="BQ81" i="11"/>
  <c r="BQ82" i="11"/>
  <c r="BQ83" i="11"/>
  <c r="BQ84" i="11"/>
  <c r="BQ85" i="11"/>
  <c r="BQ86" i="11"/>
  <c r="BQ87" i="11"/>
  <c r="BQ88" i="11"/>
  <c r="BQ89" i="11"/>
  <c r="BQ90" i="11"/>
  <c r="BQ91" i="11"/>
  <c r="BQ92" i="11"/>
  <c r="BQ93" i="11"/>
  <c r="BQ94" i="11"/>
  <c r="BQ95" i="11"/>
  <c r="BQ96" i="11"/>
  <c r="BQ97" i="11"/>
  <c r="BQ98" i="11"/>
  <c r="BQ99" i="11"/>
  <c r="BQ100" i="11"/>
  <c r="BQ101" i="11"/>
  <c r="BQ102" i="11"/>
  <c r="BQ103" i="11"/>
  <c r="BQ104" i="11"/>
  <c r="BQ105" i="11"/>
  <c r="BQ106" i="11"/>
  <c r="BQ107" i="11"/>
  <c r="BQ108" i="11"/>
  <c r="BQ109" i="11"/>
  <c r="BQ110" i="11"/>
  <c r="BQ111" i="11"/>
  <c r="BQ112" i="11"/>
  <c r="BQ113" i="11"/>
  <c r="BQ114" i="11"/>
  <c r="BQ115" i="11"/>
  <c r="BQ116" i="11"/>
  <c r="BQ117" i="11"/>
  <c r="BQ118" i="11"/>
  <c r="BQ119" i="11"/>
  <c r="BQ120" i="11"/>
  <c r="BQ121" i="11"/>
  <c r="BQ122" i="11"/>
  <c r="BQ123" i="11"/>
  <c r="BQ124" i="11"/>
  <c r="BQ125" i="11"/>
  <c r="BQ126" i="11"/>
  <c r="BQ127" i="11"/>
  <c r="BQ128" i="11"/>
  <c r="BQ129" i="11"/>
  <c r="BQ130" i="11"/>
  <c r="BQ131" i="11"/>
  <c r="BQ132" i="11"/>
  <c r="BQ133" i="11"/>
  <c r="BQ134" i="11"/>
  <c r="BQ135" i="11"/>
  <c r="BQ136" i="11"/>
  <c r="BL4" i="11"/>
  <c r="BL5" i="11"/>
  <c r="BL6" i="11"/>
  <c r="BL7" i="11"/>
  <c r="BL8" i="11"/>
  <c r="BL9" i="11"/>
  <c r="BL10" i="11"/>
  <c r="BL11" i="11"/>
  <c r="BL12" i="11"/>
  <c r="BL13" i="11"/>
  <c r="BL14" i="11"/>
  <c r="BL15" i="11"/>
  <c r="BL16" i="11"/>
  <c r="BL17" i="11"/>
  <c r="BL18" i="11"/>
  <c r="BL19" i="11"/>
  <c r="BL20" i="11"/>
  <c r="BL21" i="11"/>
  <c r="BL22" i="11"/>
  <c r="BL23" i="11"/>
  <c r="BL24" i="11"/>
  <c r="BL25" i="11"/>
  <c r="BL26" i="11"/>
  <c r="BL27" i="11"/>
  <c r="BL28" i="11"/>
  <c r="BL29" i="11"/>
  <c r="BL30" i="11"/>
  <c r="BL31" i="11"/>
  <c r="BL32" i="11"/>
  <c r="BL33" i="11"/>
  <c r="BL34" i="11"/>
  <c r="BL35" i="11"/>
  <c r="BL36" i="11"/>
  <c r="BL37" i="11"/>
  <c r="BL38" i="11"/>
  <c r="BL39" i="11"/>
  <c r="BL40" i="11"/>
  <c r="BL41" i="11"/>
  <c r="BL42" i="11"/>
  <c r="BL43" i="11"/>
  <c r="BL44" i="11"/>
  <c r="BL45" i="11"/>
  <c r="BL46" i="11"/>
  <c r="BL47" i="11"/>
  <c r="BL48" i="11"/>
  <c r="BL49" i="11"/>
  <c r="BL50" i="11"/>
  <c r="BL51" i="11"/>
  <c r="BL52" i="11"/>
  <c r="BL53" i="11"/>
  <c r="BL54" i="11"/>
  <c r="BL55" i="11"/>
  <c r="BL56" i="11"/>
  <c r="BL57" i="11"/>
  <c r="BL58" i="11"/>
  <c r="BL59" i="11"/>
  <c r="BL60" i="11"/>
  <c r="BL61" i="11"/>
  <c r="BL62" i="11"/>
  <c r="BL63" i="11"/>
  <c r="BL64" i="11"/>
  <c r="BL65" i="11"/>
  <c r="BL66" i="11"/>
  <c r="BL67" i="11"/>
  <c r="BL68" i="11"/>
  <c r="BL69" i="11"/>
  <c r="BL70" i="11"/>
  <c r="BL71" i="11"/>
  <c r="BL72" i="11"/>
  <c r="BL73" i="11"/>
  <c r="BL74" i="11"/>
  <c r="BL75" i="11"/>
  <c r="BL76" i="11"/>
  <c r="BL77" i="11"/>
  <c r="BL78" i="11"/>
  <c r="BL79" i="11"/>
  <c r="BL80" i="11"/>
  <c r="BL81" i="11"/>
  <c r="BL82" i="11"/>
  <c r="BL83" i="11"/>
  <c r="BL84" i="11"/>
  <c r="BL85" i="11"/>
  <c r="BL86" i="11"/>
  <c r="BL87" i="11"/>
  <c r="BL88" i="11"/>
  <c r="BL89" i="11"/>
  <c r="BL90" i="11"/>
  <c r="BL91" i="11"/>
  <c r="BL92" i="11"/>
  <c r="BL93" i="11"/>
  <c r="BL94" i="11"/>
  <c r="BL95" i="11"/>
  <c r="BL96" i="11"/>
  <c r="BL97" i="11"/>
  <c r="BL98" i="11"/>
  <c r="BL99" i="11"/>
  <c r="BL100" i="11"/>
  <c r="BL101" i="11"/>
  <c r="BL102" i="11"/>
  <c r="BL103" i="11"/>
  <c r="BL104" i="11"/>
  <c r="BL105" i="11"/>
  <c r="BL106" i="11"/>
  <c r="BL107" i="11"/>
  <c r="BL108" i="11"/>
  <c r="BL109" i="11"/>
  <c r="BL110" i="11"/>
  <c r="BL111" i="11"/>
  <c r="BL112" i="11"/>
  <c r="BL113" i="11"/>
  <c r="BL114" i="11"/>
  <c r="BL115" i="11"/>
  <c r="BL116" i="11"/>
  <c r="BL117" i="11"/>
  <c r="BL118" i="11"/>
  <c r="BL119" i="11"/>
  <c r="BL120" i="11"/>
  <c r="BL121" i="11"/>
  <c r="BL122" i="11"/>
  <c r="BL123" i="11"/>
  <c r="BL124" i="11"/>
  <c r="BL125" i="11"/>
  <c r="BL126" i="11"/>
  <c r="BL127" i="11"/>
  <c r="BL128" i="11"/>
  <c r="BL129" i="11"/>
  <c r="BL130" i="11"/>
  <c r="BL131" i="11"/>
  <c r="BL132" i="11"/>
  <c r="BL133" i="11"/>
  <c r="BL134" i="11"/>
  <c r="BL135" i="11"/>
  <c r="BL136" i="11"/>
  <c r="BG4" i="11"/>
  <c r="BG5" i="11"/>
  <c r="BG6" i="11"/>
  <c r="BG7" i="11"/>
  <c r="BG8" i="11"/>
  <c r="BG9" i="11"/>
  <c r="BG10" i="11"/>
  <c r="BG11" i="11"/>
  <c r="BG12" i="11"/>
  <c r="BG13" i="11"/>
  <c r="BG14" i="11"/>
  <c r="BG15" i="11"/>
  <c r="BG16" i="11"/>
  <c r="BG17" i="11"/>
  <c r="BG18" i="11"/>
  <c r="BG19" i="11"/>
  <c r="BG20" i="11"/>
  <c r="BG21" i="11"/>
  <c r="BG22" i="11"/>
  <c r="BG23" i="11"/>
  <c r="BG24" i="11"/>
  <c r="BG25" i="11"/>
  <c r="BG26" i="11"/>
  <c r="BG27" i="11"/>
  <c r="BG28" i="11"/>
  <c r="BG29" i="11"/>
  <c r="BG30" i="11"/>
  <c r="BG31" i="11"/>
  <c r="BG32" i="11"/>
  <c r="BG33" i="11"/>
  <c r="BG34" i="11"/>
  <c r="BG35" i="11"/>
  <c r="BG36" i="11"/>
  <c r="BG37" i="11"/>
  <c r="BG38" i="11"/>
  <c r="BG39" i="11"/>
  <c r="BG40" i="11"/>
  <c r="BG41" i="11"/>
  <c r="BG42" i="11"/>
  <c r="BG43" i="11"/>
  <c r="BG44" i="11"/>
  <c r="BG45" i="11"/>
  <c r="BG46" i="11"/>
  <c r="BG47" i="11"/>
  <c r="BG48" i="11"/>
  <c r="BG49" i="11"/>
  <c r="BG50" i="11"/>
  <c r="BG51" i="11"/>
  <c r="BG52" i="11"/>
  <c r="BG53" i="11"/>
  <c r="BG54" i="11"/>
  <c r="BG55" i="11"/>
  <c r="BG56" i="11"/>
  <c r="BG57" i="11"/>
  <c r="BG58" i="11"/>
  <c r="BG59" i="11"/>
  <c r="BG60" i="11"/>
  <c r="BG61" i="11"/>
  <c r="BG62" i="11"/>
  <c r="BG63" i="11"/>
  <c r="BG64" i="11"/>
  <c r="BG65" i="11"/>
  <c r="BG66" i="11"/>
  <c r="BG67" i="11"/>
  <c r="BG68" i="11"/>
  <c r="BG69" i="11"/>
  <c r="BG70" i="11"/>
  <c r="BG71" i="11"/>
  <c r="BG72" i="11"/>
  <c r="BG73" i="11"/>
  <c r="BG74" i="11"/>
  <c r="BG75" i="11"/>
  <c r="BG76" i="11"/>
  <c r="BG77" i="11"/>
  <c r="BG78" i="11"/>
  <c r="BG79" i="11"/>
  <c r="BG80" i="11"/>
  <c r="BG81" i="11"/>
  <c r="BG82" i="11"/>
  <c r="BG83" i="11"/>
  <c r="BG84" i="11"/>
  <c r="BG85" i="11"/>
  <c r="BG86" i="11"/>
  <c r="BG87" i="11"/>
  <c r="BG88" i="11"/>
  <c r="BG89" i="11"/>
  <c r="BG90" i="11"/>
  <c r="BG91" i="11"/>
  <c r="BG92" i="11"/>
  <c r="BG93" i="11"/>
  <c r="BG94" i="11"/>
  <c r="BG95" i="11"/>
  <c r="BG96" i="11"/>
  <c r="BG97" i="11"/>
  <c r="BG98" i="11"/>
  <c r="BG99" i="11"/>
  <c r="BG100" i="11"/>
  <c r="BG101" i="11"/>
  <c r="BG102" i="11"/>
  <c r="BG103" i="11"/>
  <c r="BG104" i="11"/>
  <c r="BG105" i="11"/>
  <c r="BG106" i="11"/>
  <c r="BG107" i="11"/>
  <c r="BG108" i="11"/>
  <c r="BG109" i="11"/>
  <c r="BG110" i="11"/>
  <c r="BG111" i="11"/>
  <c r="BG112" i="11"/>
  <c r="BG113" i="11"/>
  <c r="BG114" i="11"/>
  <c r="BG115" i="11"/>
  <c r="BG116" i="11"/>
  <c r="BG117" i="11"/>
  <c r="BG118" i="11"/>
  <c r="BG119" i="11"/>
  <c r="BG120" i="11"/>
  <c r="BG121" i="11"/>
  <c r="BG122" i="11"/>
  <c r="BG123" i="11"/>
  <c r="BG124" i="11"/>
  <c r="BG125" i="11"/>
  <c r="BG126" i="11"/>
  <c r="BG127" i="11"/>
  <c r="BG128" i="11"/>
  <c r="BG129" i="11"/>
  <c r="BG130" i="11"/>
  <c r="BG131" i="11"/>
  <c r="BG132" i="11"/>
  <c r="BG133" i="11"/>
  <c r="BG134" i="11"/>
  <c r="BG135" i="11"/>
  <c r="BG136" i="11"/>
  <c r="BB4" i="11"/>
  <c r="BB5" i="11"/>
  <c r="BB6" i="11"/>
  <c r="BB7" i="11"/>
  <c r="BB8" i="11"/>
  <c r="BB9" i="11"/>
  <c r="BB10" i="11"/>
  <c r="BB11" i="11"/>
  <c r="BB12" i="11"/>
  <c r="BB13" i="11"/>
  <c r="BB14" i="11"/>
  <c r="BB15" i="11"/>
  <c r="BB16" i="11"/>
  <c r="BB17" i="11"/>
  <c r="BB18" i="11"/>
  <c r="BB19" i="11"/>
  <c r="BB20" i="11"/>
  <c r="BB21" i="11"/>
  <c r="BB22" i="11"/>
  <c r="BB23" i="11"/>
  <c r="BB24" i="11"/>
  <c r="BB25" i="11"/>
  <c r="BB26" i="11"/>
  <c r="BB27" i="11"/>
  <c r="BB28" i="11"/>
  <c r="BB29" i="11"/>
  <c r="BB30" i="11"/>
  <c r="BB31" i="11"/>
  <c r="BB32" i="11"/>
  <c r="BB33" i="11"/>
  <c r="BB34" i="11"/>
  <c r="BB35" i="11"/>
  <c r="BB36" i="11"/>
  <c r="BB37" i="11"/>
  <c r="BB38" i="11"/>
  <c r="BB39" i="11"/>
  <c r="BB40" i="11"/>
  <c r="BB41" i="11"/>
  <c r="BB42" i="11"/>
  <c r="BB43" i="11"/>
  <c r="BB44" i="11"/>
  <c r="BB45" i="11"/>
  <c r="BB46" i="11"/>
  <c r="BB47" i="11"/>
  <c r="BB48" i="11"/>
  <c r="BB49" i="11"/>
  <c r="BB50" i="11"/>
  <c r="BB51" i="11"/>
  <c r="BB52" i="11"/>
  <c r="BB53" i="11"/>
  <c r="BB54" i="11"/>
  <c r="BB55" i="11"/>
  <c r="BB56" i="11"/>
  <c r="BB57" i="11"/>
  <c r="BB58" i="11"/>
  <c r="BB59" i="11"/>
  <c r="BB60" i="11"/>
  <c r="BB61" i="11"/>
  <c r="BB62" i="11"/>
  <c r="BB63" i="11"/>
  <c r="BB64" i="11"/>
  <c r="BB65" i="11"/>
  <c r="BB66" i="11"/>
  <c r="BB67" i="11"/>
  <c r="BB68" i="11"/>
  <c r="BB69" i="11"/>
  <c r="BB70" i="11"/>
  <c r="BB71" i="11"/>
  <c r="BB72" i="11"/>
  <c r="BB73" i="11"/>
  <c r="BB74" i="11"/>
  <c r="BB75" i="11"/>
  <c r="BB76" i="11"/>
  <c r="BB77" i="11"/>
  <c r="BB78" i="11"/>
  <c r="BB79" i="11"/>
  <c r="BB80" i="11"/>
  <c r="BB81" i="11"/>
  <c r="BB82" i="11"/>
  <c r="BB83" i="11"/>
  <c r="BB84" i="11"/>
  <c r="BB85" i="11"/>
  <c r="BB86" i="11"/>
  <c r="BB87" i="11"/>
  <c r="BB88" i="11"/>
  <c r="BB89" i="11"/>
  <c r="BB90" i="11"/>
  <c r="BB91" i="11"/>
  <c r="BB92" i="11"/>
  <c r="BB93" i="11"/>
  <c r="BB94" i="11"/>
  <c r="BB95" i="11"/>
  <c r="BB96" i="11"/>
  <c r="BB97" i="11"/>
  <c r="BB98" i="11"/>
  <c r="BB99" i="11"/>
  <c r="BB100" i="11"/>
  <c r="BB101" i="11"/>
  <c r="BB102" i="11"/>
  <c r="BB103" i="11"/>
  <c r="BB104" i="11"/>
  <c r="BB105" i="11"/>
  <c r="BB106" i="11"/>
  <c r="BB107" i="11"/>
  <c r="BB108" i="11"/>
  <c r="BB109" i="11"/>
  <c r="BB110" i="11"/>
  <c r="BB111" i="11"/>
  <c r="BB112" i="11"/>
  <c r="BB113" i="11"/>
  <c r="BB114" i="11"/>
  <c r="BB115" i="11"/>
  <c r="BB116" i="11"/>
  <c r="BB117" i="11"/>
  <c r="BB118" i="11"/>
  <c r="BB119" i="11"/>
  <c r="BB120" i="11"/>
  <c r="BB121" i="11"/>
  <c r="BB122" i="11"/>
  <c r="BB123" i="11"/>
  <c r="BB124" i="11"/>
  <c r="BB125" i="11"/>
  <c r="BB126" i="11"/>
  <c r="BB127" i="11"/>
  <c r="BB128" i="11"/>
  <c r="BB129" i="11"/>
  <c r="BB130" i="11"/>
  <c r="BB131" i="11"/>
  <c r="BB132" i="11"/>
  <c r="BB133" i="11"/>
  <c r="BB134" i="11"/>
  <c r="BB135" i="11"/>
  <c r="BB136" i="11"/>
  <c r="AW4" i="11"/>
  <c r="AW5" i="11"/>
  <c r="AW6" i="11"/>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87" i="11"/>
  <c r="AW88" i="11"/>
  <c r="AW89" i="11"/>
  <c r="AW90" i="11"/>
  <c r="AW91" i="11"/>
  <c r="AW92" i="11"/>
  <c r="AW93" i="11"/>
  <c r="AW94" i="11"/>
  <c r="AW95" i="11"/>
  <c r="AW96" i="11"/>
  <c r="AW97" i="11"/>
  <c r="AW98" i="11"/>
  <c r="AW99" i="11"/>
  <c r="AW100" i="11"/>
  <c r="AW101" i="11"/>
  <c r="AW102" i="11"/>
  <c r="AW103" i="11"/>
  <c r="AW104" i="11"/>
  <c r="AW105" i="11"/>
  <c r="AW106" i="11"/>
  <c r="AW107" i="11"/>
  <c r="AW108" i="11"/>
  <c r="AW109" i="11"/>
  <c r="AW110" i="11"/>
  <c r="AW111" i="11"/>
  <c r="AW112" i="11"/>
  <c r="AW113" i="11"/>
  <c r="AW114" i="11"/>
  <c r="AW115" i="11"/>
  <c r="AW116" i="11"/>
  <c r="AW117" i="11"/>
  <c r="AW118" i="11"/>
  <c r="AW119" i="11"/>
  <c r="AW120" i="11"/>
  <c r="AW121" i="11"/>
  <c r="AW122" i="11"/>
  <c r="AW123" i="11"/>
  <c r="AW124" i="11"/>
  <c r="AW125" i="11"/>
  <c r="AW126" i="11"/>
  <c r="AW127" i="11"/>
  <c r="AW128" i="11"/>
  <c r="AW129" i="11"/>
  <c r="AW130" i="11"/>
  <c r="AW131" i="11"/>
  <c r="AW132" i="11"/>
  <c r="AW133" i="11"/>
  <c r="AW134" i="11"/>
  <c r="AW135" i="11"/>
  <c r="AW136" i="11"/>
  <c r="BT5" i="11"/>
  <c r="BT6" i="11"/>
  <c r="BT7" i="11"/>
  <c r="BT8" i="11"/>
  <c r="BT9" i="11"/>
  <c r="BT10" i="11"/>
  <c r="BT11" i="11"/>
  <c r="BT12" i="11"/>
  <c r="BT13" i="11"/>
  <c r="BT14" i="11"/>
  <c r="BT15" i="11"/>
  <c r="BT16" i="11"/>
  <c r="BT17" i="11"/>
  <c r="BT18" i="11"/>
  <c r="BT19" i="11"/>
  <c r="BT20" i="11"/>
  <c r="BT21" i="11"/>
  <c r="BT22" i="11"/>
  <c r="BT23" i="11"/>
  <c r="BT24" i="11"/>
  <c r="BT25" i="11"/>
  <c r="BT26" i="11"/>
  <c r="BT27" i="11"/>
  <c r="BT28" i="11"/>
  <c r="BT29" i="11"/>
  <c r="BT30" i="11"/>
  <c r="BT31" i="11"/>
  <c r="BT32" i="11"/>
  <c r="BT33" i="11"/>
  <c r="BT34" i="11"/>
  <c r="BT35" i="11"/>
  <c r="BT36" i="11"/>
  <c r="BT37" i="11"/>
  <c r="BT38" i="11"/>
  <c r="BT39" i="11"/>
  <c r="BT40" i="11"/>
  <c r="BT41" i="11"/>
  <c r="BT42" i="11"/>
  <c r="BT43" i="11"/>
  <c r="BT44" i="11"/>
  <c r="BT45" i="11"/>
  <c r="BT46" i="11"/>
  <c r="BT47" i="11"/>
  <c r="BT48" i="11"/>
  <c r="BT49" i="11"/>
  <c r="BT50" i="11"/>
  <c r="BT51" i="11"/>
  <c r="BT52" i="11"/>
  <c r="BT53" i="11"/>
  <c r="BT54" i="11"/>
  <c r="BT55" i="11"/>
  <c r="BT56" i="11"/>
  <c r="BT57" i="11"/>
  <c r="BT58" i="11"/>
  <c r="BT59" i="11"/>
  <c r="BT60" i="11"/>
  <c r="BT61" i="11"/>
  <c r="BT62" i="11"/>
  <c r="BT63" i="11"/>
  <c r="BT64" i="11"/>
  <c r="BT65" i="11"/>
  <c r="BT66" i="11"/>
  <c r="BT67" i="11"/>
  <c r="BT68" i="11"/>
  <c r="BT69" i="11"/>
  <c r="BT70" i="11"/>
  <c r="BT71" i="11"/>
  <c r="BT72" i="11"/>
  <c r="BT73" i="11"/>
  <c r="BT74" i="11"/>
  <c r="BT75" i="11"/>
  <c r="BT76" i="11"/>
  <c r="BT77" i="11"/>
  <c r="BT78" i="11"/>
  <c r="BT79" i="11"/>
  <c r="BT80" i="11"/>
  <c r="BT81" i="11"/>
  <c r="BT82" i="11"/>
  <c r="BT83" i="11"/>
  <c r="BT84" i="11"/>
  <c r="BT85" i="11"/>
  <c r="BT86" i="11"/>
  <c r="BT87" i="11"/>
  <c r="BT88" i="11"/>
  <c r="BT89" i="11"/>
  <c r="BT90" i="11"/>
  <c r="BT91" i="11"/>
  <c r="BT92" i="11"/>
  <c r="BT93" i="11"/>
  <c r="BT94" i="11"/>
  <c r="BT95" i="11"/>
  <c r="BT96" i="11"/>
  <c r="BT97" i="11"/>
  <c r="BT98" i="11"/>
  <c r="BT99" i="11"/>
  <c r="BT100" i="11"/>
  <c r="BT101" i="11"/>
  <c r="BT102" i="11"/>
  <c r="BT103" i="11"/>
  <c r="BT104" i="11"/>
  <c r="BT105" i="11"/>
  <c r="BT106" i="11"/>
  <c r="BT107" i="11"/>
  <c r="BT108" i="11"/>
  <c r="BT109" i="11"/>
  <c r="BT110" i="11"/>
  <c r="BT111" i="11"/>
  <c r="BT112" i="11"/>
  <c r="BT113" i="11"/>
  <c r="BT114" i="11"/>
  <c r="BT115" i="11"/>
  <c r="BT116" i="11"/>
  <c r="BT117" i="11"/>
  <c r="BT118" i="11"/>
  <c r="BT119" i="11"/>
  <c r="BT120" i="11"/>
  <c r="BT121" i="11"/>
  <c r="BT122" i="11"/>
  <c r="BT123" i="11"/>
  <c r="BT124" i="11"/>
  <c r="BT125" i="11"/>
  <c r="BT126" i="11"/>
  <c r="BT127" i="11"/>
  <c r="BT128" i="11"/>
  <c r="BT129" i="11"/>
  <c r="BT130" i="11"/>
  <c r="BT131" i="11"/>
  <c r="BT132" i="11"/>
  <c r="BT133" i="11"/>
  <c r="BT134" i="11"/>
  <c r="BT135" i="11"/>
  <c r="BT136" i="11"/>
  <c r="BO5" i="11"/>
  <c r="BO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J4" i="11"/>
  <c r="BJ5" i="11"/>
  <c r="BJ6" i="11"/>
  <c r="BJ7" i="11"/>
  <c r="BJ8" i="11"/>
  <c r="BJ9" i="11"/>
  <c r="BJ10" i="11"/>
  <c r="BJ11" i="11"/>
  <c r="BJ12" i="11"/>
  <c r="BJ13" i="11"/>
  <c r="BJ14" i="11"/>
  <c r="BJ15" i="11"/>
  <c r="BJ16" i="11"/>
  <c r="BJ17" i="11"/>
  <c r="BJ18" i="11"/>
  <c r="BJ19" i="11"/>
  <c r="BJ20" i="11"/>
  <c r="BJ21" i="11"/>
  <c r="BJ22" i="11"/>
  <c r="BJ23" i="11"/>
  <c r="BJ24" i="11"/>
  <c r="BJ25" i="11"/>
  <c r="BJ26" i="11"/>
  <c r="BJ27" i="11"/>
  <c r="BJ28" i="11"/>
  <c r="BJ29" i="11"/>
  <c r="BJ30" i="11"/>
  <c r="BJ31" i="11"/>
  <c r="BJ32" i="11"/>
  <c r="BJ33" i="11"/>
  <c r="BJ34" i="11"/>
  <c r="BJ35" i="11"/>
  <c r="BJ36" i="11"/>
  <c r="BJ37" i="11"/>
  <c r="BJ38" i="11"/>
  <c r="BJ39" i="11"/>
  <c r="BJ40" i="11"/>
  <c r="BJ41" i="11"/>
  <c r="BJ42" i="11"/>
  <c r="BJ43" i="11"/>
  <c r="BJ44" i="11"/>
  <c r="BJ45" i="11"/>
  <c r="BJ46" i="11"/>
  <c r="BJ47" i="11"/>
  <c r="BJ48" i="11"/>
  <c r="BJ49" i="11"/>
  <c r="BJ50" i="11"/>
  <c r="BJ51" i="11"/>
  <c r="BJ52" i="11"/>
  <c r="BJ53" i="11"/>
  <c r="BJ54" i="11"/>
  <c r="BJ55" i="11"/>
  <c r="BJ56" i="11"/>
  <c r="BJ57" i="11"/>
  <c r="BJ58" i="11"/>
  <c r="BJ59" i="11"/>
  <c r="BJ60" i="11"/>
  <c r="BJ61" i="11"/>
  <c r="BJ62" i="11"/>
  <c r="BJ63" i="11"/>
  <c r="BJ64" i="11"/>
  <c r="BJ65" i="11"/>
  <c r="BJ66" i="11"/>
  <c r="BJ67" i="11"/>
  <c r="BJ68" i="11"/>
  <c r="BJ69" i="11"/>
  <c r="BJ70" i="11"/>
  <c r="BJ71" i="11"/>
  <c r="BJ72" i="11"/>
  <c r="BJ73" i="11"/>
  <c r="BJ74" i="11"/>
  <c r="BJ75" i="11"/>
  <c r="BJ76" i="11"/>
  <c r="BJ77" i="11"/>
  <c r="BJ78" i="11"/>
  <c r="BJ79" i="11"/>
  <c r="BJ80" i="11"/>
  <c r="BJ81" i="11"/>
  <c r="BJ82" i="11"/>
  <c r="BJ83" i="11"/>
  <c r="BJ84" i="11"/>
  <c r="BJ85" i="11"/>
  <c r="BJ86" i="11"/>
  <c r="BJ87" i="11"/>
  <c r="BJ88" i="11"/>
  <c r="BJ89" i="11"/>
  <c r="BJ90" i="11"/>
  <c r="BJ91" i="11"/>
  <c r="BJ92" i="11"/>
  <c r="BJ93" i="11"/>
  <c r="BJ94" i="11"/>
  <c r="BJ95" i="11"/>
  <c r="BJ96" i="11"/>
  <c r="BJ97" i="11"/>
  <c r="BJ98" i="11"/>
  <c r="BJ99" i="11"/>
  <c r="BJ100" i="11"/>
  <c r="BJ101" i="11"/>
  <c r="BJ102" i="11"/>
  <c r="BJ103" i="11"/>
  <c r="BJ104" i="11"/>
  <c r="BJ105" i="11"/>
  <c r="BJ106" i="11"/>
  <c r="BJ107" i="11"/>
  <c r="BJ108" i="11"/>
  <c r="BJ109" i="11"/>
  <c r="BJ110" i="11"/>
  <c r="BJ111" i="11"/>
  <c r="BJ112" i="11"/>
  <c r="BJ113" i="11"/>
  <c r="BJ114" i="11"/>
  <c r="BJ115" i="11"/>
  <c r="BJ116" i="11"/>
  <c r="BJ117" i="11"/>
  <c r="BJ118" i="11"/>
  <c r="BJ119" i="11"/>
  <c r="BJ120" i="11"/>
  <c r="BJ121" i="11"/>
  <c r="BJ122" i="11"/>
  <c r="BJ123" i="11"/>
  <c r="BJ124" i="11"/>
  <c r="BJ125" i="11"/>
  <c r="BJ126" i="11"/>
  <c r="BJ127" i="11"/>
  <c r="BJ128" i="11"/>
  <c r="BJ129" i="11"/>
  <c r="BJ130" i="11"/>
  <c r="BJ131" i="11"/>
  <c r="BJ132" i="11"/>
  <c r="BJ133" i="11"/>
  <c r="BJ134" i="11"/>
  <c r="BJ135" i="11"/>
  <c r="BJ136" i="11"/>
  <c r="BE4" i="11"/>
  <c r="BE5" i="11"/>
  <c r="BE6" i="11"/>
  <c r="BE7" i="11"/>
  <c r="BE8" i="11"/>
  <c r="BE9" i="11"/>
  <c r="BE10" i="11"/>
  <c r="BE11" i="11"/>
  <c r="BE12" i="11"/>
  <c r="BE13" i="11"/>
  <c r="BE14" i="11"/>
  <c r="BE15" i="11"/>
  <c r="BE16" i="11"/>
  <c r="BE17" i="11"/>
  <c r="BE18" i="11"/>
  <c r="BE19" i="11"/>
  <c r="BE20" i="11"/>
  <c r="BE21" i="11"/>
  <c r="BE22" i="11"/>
  <c r="BE23" i="11"/>
  <c r="BE24" i="11"/>
  <c r="BE25" i="11"/>
  <c r="BE26" i="11"/>
  <c r="BE27" i="11"/>
  <c r="BE28" i="11"/>
  <c r="BE29" i="11"/>
  <c r="BE30" i="11"/>
  <c r="BE31" i="11"/>
  <c r="BE32" i="11"/>
  <c r="BE33" i="11"/>
  <c r="BE34" i="11"/>
  <c r="BE35" i="11"/>
  <c r="BE36" i="11"/>
  <c r="BE37" i="11"/>
  <c r="BE38" i="11"/>
  <c r="BE39" i="11"/>
  <c r="BE40" i="11"/>
  <c r="BE41" i="11"/>
  <c r="BE42" i="11"/>
  <c r="BE43" i="11"/>
  <c r="BE44" i="11"/>
  <c r="BE45" i="11"/>
  <c r="BE46" i="11"/>
  <c r="BE47" i="11"/>
  <c r="BE48" i="11"/>
  <c r="BE49" i="11"/>
  <c r="BE50" i="11"/>
  <c r="BE51" i="11"/>
  <c r="BE52" i="11"/>
  <c r="BE53" i="11"/>
  <c r="BE54" i="11"/>
  <c r="BE55" i="11"/>
  <c r="BE56" i="11"/>
  <c r="BE57" i="11"/>
  <c r="BE58" i="11"/>
  <c r="BE59" i="11"/>
  <c r="BE60" i="11"/>
  <c r="BE61" i="11"/>
  <c r="BE62" i="11"/>
  <c r="BE63" i="11"/>
  <c r="BE64" i="11"/>
  <c r="BE65" i="11"/>
  <c r="BE66" i="11"/>
  <c r="BE67" i="11"/>
  <c r="BE68" i="11"/>
  <c r="BE69" i="11"/>
  <c r="BE70" i="11"/>
  <c r="BE71" i="11"/>
  <c r="BE72" i="11"/>
  <c r="BE73" i="11"/>
  <c r="BE74" i="11"/>
  <c r="BE75" i="11"/>
  <c r="BE76" i="11"/>
  <c r="BE77" i="11"/>
  <c r="BE78" i="11"/>
  <c r="BE79" i="11"/>
  <c r="BE80" i="11"/>
  <c r="BE81" i="11"/>
  <c r="BE82" i="11"/>
  <c r="BE83" i="11"/>
  <c r="BE84" i="11"/>
  <c r="BE85" i="11"/>
  <c r="BE86" i="11"/>
  <c r="BE87" i="11"/>
  <c r="BE88" i="11"/>
  <c r="BE89" i="11"/>
  <c r="BE90" i="11"/>
  <c r="BE91" i="11"/>
  <c r="BE92" i="11"/>
  <c r="BE93" i="11"/>
  <c r="BE94" i="11"/>
  <c r="BE95" i="11"/>
  <c r="BE96" i="11"/>
  <c r="BE97" i="11"/>
  <c r="BE98" i="11"/>
  <c r="BE99" i="11"/>
  <c r="BE100" i="11"/>
  <c r="BE101" i="11"/>
  <c r="BE102" i="11"/>
  <c r="BE103" i="11"/>
  <c r="BE104" i="11"/>
  <c r="BE105" i="11"/>
  <c r="BE106" i="11"/>
  <c r="BE107" i="11"/>
  <c r="BE108" i="11"/>
  <c r="BE109" i="11"/>
  <c r="BE110" i="11"/>
  <c r="BE111" i="11"/>
  <c r="BE112" i="11"/>
  <c r="BE113" i="11"/>
  <c r="BE114" i="11"/>
  <c r="BE115" i="11"/>
  <c r="BE116" i="11"/>
  <c r="BE117" i="11"/>
  <c r="BE118" i="11"/>
  <c r="BE119" i="11"/>
  <c r="BE120" i="11"/>
  <c r="BE121" i="11"/>
  <c r="BE122" i="11"/>
  <c r="BE123" i="11"/>
  <c r="BE124" i="11"/>
  <c r="BE125" i="11"/>
  <c r="BE126" i="11"/>
  <c r="BE127" i="11"/>
  <c r="BE128" i="11"/>
  <c r="BE129" i="11"/>
  <c r="BE130" i="11"/>
  <c r="BE131" i="11"/>
  <c r="BE132" i="11"/>
  <c r="BE133" i="11"/>
  <c r="BE134" i="11"/>
  <c r="BE135" i="11"/>
  <c r="BE136" i="11"/>
  <c r="AZ4" i="11"/>
  <c r="AZ5" i="11"/>
  <c r="AZ6" i="11"/>
  <c r="AZ7" i="11"/>
  <c r="AZ8" i="11"/>
  <c r="AZ9" i="11"/>
  <c r="AZ10" i="11"/>
  <c r="AZ11" i="11"/>
  <c r="AZ12" i="11"/>
  <c r="AZ13" i="11"/>
  <c r="AZ14" i="11"/>
  <c r="AZ15" i="11"/>
  <c r="AZ16" i="11"/>
  <c r="AZ17" i="11"/>
  <c r="AZ18" i="11"/>
  <c r="AZ19" i="11"/>
  <c r="AZ20" i="11"/>
  <c r="AZ21" i="11"/>
  <c r="AZ22" i="11"/>
  <c r="AZ23" i="11"/>
  <c r="AZ24" i="11"/>
  <c r="AZ25" i="11"/>
  <c r="AZ26" i="11"/>
  <c r="AZ27" i="11"/>
  <c r="AZ28" i="11"/>
  <c r="AZ29" i="11"/>
  <c r="AZ30" i="11"/>
  <c r="AZ31" i="11"/>
  <c r="AZ32" i="11"/>
  <c r="AZ33" i="11"/>
  <c r="AZ34" i="11"/>
  <c r="AZ35" i="11"/>
  <c r="AZ36" i="11"/>
  <c r="AZ37" i="11"/>
  <c r="AZ38" i="11"/>
  <c r="AZ39" i="11"/>
  <c r="AZ40" i="11"/>
  <c r="AZ41" i="11"/>
  <c r="AZ42" i="11"/>
  <c r="AZ43" i="11"/>
  <c r="AZ44" i="11"/>
  <c r="AZ45" i="11"/>
  <c r="AZ46" i="11"/>
  <c r="AZ47" i="11"/>
  <c r="AZ48" i="11"/>
  <c r="AZ49" i="11"/>
  <c r="AZ50" i="11"/>
  <c r="AZ51" i="11"/>
  <c r="AZ52" i="11"/>
  <c r="AZ53" i="11"/>
  <c r="AZ54" i="11"/>
  <c r="AZ55" i="11"/>
  <c r="AZ56" i="11"/>
  <c r="AZ57" i="11"/>
  <c r="AZ58" i="11"/>
  <c r="AZ59" i="11"/>
  <c r="AZ60" i="11"/>
  <c r="AZ61" i="11"/>
  <c r="AZ62" i="11"/>
  <c r="AZ63" i="11"/>
  <c r="AZ64" i="11"/>
  <c r="AZ65" i="11"/>
  <c r="AZ66" i="11"/>
  <c r="AZ67" i="11"/>
  <c r="AZ68" i="11"/>
  <c r="AZ69" i="11"/>
  <c r="AZ70" i="11"/>
  <c r="AZ71" i="11"/>
  <c r="AZ72" i="11"/>
  <c r="AZ73" i="11"/>
  <c r="AZ74" i="11"/>
  <c r="AZ75" i="11"/>
  <c r="AZ76" i="11"/>
  <c r="AZ77" i="11"/>
  <c r="AZ78" i="11"/>
  <c r="AZ79" i="11"/>
  <c r="AZ80" i="11"/>
  <c r="AZ81" i="11"/>
  <c r="AZ82" i="11"/>
  <c r="AZ83" i="11"/>
  <c r="AZ84" i="11"/>
  <c r="AZ85" i="11"/>
  <c r="AZ86" i="11"/>
  <c r="AZ87" i="11"/>
  <c r="AZ88" i="11"/>
  <c r="AZ89" i="11"/>
  <c r="AZ90" i="11"/>
  <c r="AZ91" i="11"/>
  <c r="AZ92" i="11"/>
  <c r="AZ93" i="11"/>
  <c r="AZ94" i="11"/>
  <c r="AZ95" i="11"/>
  <c r="AZ96" i="11"/>
  <c r="AZ97" i="11"/>
  <c r="AZ98" i="11"/>
  <c r="AZ99" i="11"/>
  <c r="AZ100" i="11"/>
  <c r="AZ101" i="11"/>
  <c r="AZ102" i="11"/>
  <c r="AZ103" i="11"/>
  <c r="AZ104" i="11"/>
  <c r="AZ105" i="11"/>
  <c r="AZ106" i="11"/>
  <c r="AZ107" i="11"/>
  <c r="AZ108" i="11"/>
  <c r="AZ109" i="11"/>
  <c r="AZ110" i="11"/>
  <c r="AZ111" i="11"/>
  <c r="AZ112" i="11"/>
  <c r="AZ113" i="11"/>
  <c r="AZ114" i="11"/>
  <c r="AZ115" i="11"/>
  <c r="AZ116" i="11"/>
  <c r="AZ117" i="11"/>
  <c r="AZ118" i="11"/>
  <c r="AZ119" i="11"/>
  <c r="AZ120" i="11"/>
  <c r="AZ121" i="11"/>
  <c r="AZ122" i="11"/>
  <c r="AZ123" i="11"/>
  <c r="AZ124" i="11"/>
  <c r="AZ125" i="11"/>
  <c r="AZ126" i="11"/>
  <c r="AZ127" i="11"/>
  <c r="AZ128" i="11"/>
  <c r="AZ129" i="11"/>
  <c r="AZ130" i="11"/>
  <c r="AZ131" i="11"/>
  <c r="AZ132" i="11"/>
  <c r="AZ133" i="11"/>
  <c r="AZ134" i="11"/>
  <c r="AZ135" i="11"/>
  <c r="AZ136" i="11"/>
  <c r="AU4" i="11"/>
  <c r="AU5" i="11"/>
  <c r="AU6" i="11"/>
  <c r="AU7" i="11"/>
  <c r="AU8" i="11"/>
  <c r="AU9" i="11"/>
  <c r="AU10" i="11"/>
  <c r="AU11" i="11"/>
  <c r="AU12" i="11"/>
  <c r="AU13" i="11"/>
  <c r="AU14" i="11"/>
  <c r="AU15" i="11"/>
  <c r="AU16" i="11"/>
  <c r="AU17" i="11"/>
  <c r="AU18" i="11"/>
  <c r="AU19" i="11"/>
  <c r="AU20" i="11"/>
  <c r="AU21" i="11"/>
  <c r="AU22" i="11"/>
  <c r="AU23" i="11"/>
  <c r="AU24" i="11"/>
  <c r="AU25" i="11"/>
  <c r="AU26" i="11"/>
  <c r="AU27" i="11"/>
  <c r="AU28" i="11"/>
  <c r="AU29" i="11"/>
  <c r="AU30" i="11"/>
  <c r="AU31" i="11"/>
  <c r="AU32" i="11"/>
  <c r="AU33" i="11"/>
  <c r="AU34" i="11"/>
  <c r="AU35" i="11"/>
  <c r="AU36" i="11"/>
  <c r="AU37" i="11"/>
  <c r="AU38" i="11"/>
  <c r="AU39" i="11"/>
  <c r="AU40" i="11"/>
  <c r="AU41" i="11"/>
  <c r="AU42" i="11"/>
  <c r="AU43" i="11"/>
  <c r="AU44" i="11"/>
  <c r="AU45" i="11"/>
  <c r="AU46" i="11"/>
  <c r="AU47" i="11"/>
  <c r="AU48" i="11"/>
  <c r="AU49" i="11"/>
  <c r="AU50" i="11"/>
  <c r="AU51" i="11"/>
  <c r="AU52" i="11"/>
  <c r="AU53" i="11"/>
  <c r="AU54" i="11"/>
  <c r="AU55" i="11"/>
  <c r="AU56" i="11"/>
  <c r="AU57" i="11"/>
  <c r="AU58" i="11"/>
  <c r="AU59" i="11"/>
  <c r="AU60" i="11"/>
  <c r="AU61" i="11"/>
  <c r="AU62" i="11"/>
  <c r="AU63" i="11"/>
  <c r="AU64" i="11"/>
  <c r="AU65" i="11"/>
  <c r="AU66" i="11"/>
  <c r="AU67" i="11"/>
  <c r="AU68" i="11"/>
  <c r="AU69" i="11"/>
  <c r="AU70" i="11"/>
  <c r="AU71" i="11"/>
  <c r="AU72" i="11"/>
  <c r="AU73" i="11"/>
  <c r="AU74" i="11"/>
  <c r="AU75" i="11"/>
  <c r="AU76" i="11"/>
  <c r="AU77" i="11"/>
  <c r="AU78" i="11"/>
  <c r="AU79" i="11"/>
  <c r="AU80" i="11"/>
  <c r="AU81" i="11"/>
  <c r="AU82" i="11"/>
  <c r="AU83" i="11"/>
  <c r="AU84" i="11"/>
  <c r="AU85" i="11"/>
  <c r="AU86" i="11"/>
  <c r="AU87" i="11"/>
  <c r="AU88" i="11"/>
  <c r="AU89" i="11"/>
  <c r="AU90" i="11"/>
  <c r="AU91" i="11"/>
  <c r="AU92" i="11"/>
  <c r="AU93" i="11"/>
  <c r="AU94" i="11"/>
  <c r="AU95" i="11"/>
  <c r="AU96" i="11"/>
  <c r="AU97" i="11"/>
  <c r="AU98" i="11"/>
  <c r="AU99" i="11"/>
  <c r="AU100" i="11"/>
  <c r="AU101" i="11"/>
  <c r="AU102" i="11"/>
  <c r="AU103" i="11"/>
  <c r="AU104" i="11"/>
  <c r="AU105" i="11"/>
  <c r="AU106" i="11"/>
  <c r="AU107" i="11"/>
  <c r="AU108" i="11"/>
  <c r="AU109" i="11"/>
  <c r="AU110" i="11"/>
  <c r="AU111" i="11"/>
  <c r="AU112" i="11"/>
  <c r="AU113" i="11"/>
  <c r="AU114" i="11"/>
  <c r="AU115" i="11"/>
  <c r="AU116" i="11"/>
  <c r="AU117" i="11"/>
  <c r="AU118" i="11"/>
  <c r="AU119" i="11"/>
  <c r="AU120" i="11"/>
  <c r="AU121" i="11"/>
  <c r="AU122" i="11"/>
  <c r="AU123" i="11"/>
  <c r="AU124" i="11"/>
  <c r="AU125" i="11"/>
  <c r="AU126" i="11"/>
  <c r="AU127" i="11"/>
  <c r="AU128" i="11"/>
  <c r="AU129" i="11"/>
  <c r="AU130" i="11"/>
  <c r="AU131" i="11"/>
  <c r="AU132" i="11"/>
  <c r="AU133" i="11"/>
  <c r="AU134" i="11"/>
  <c r="AU135" i="11"/>
  <c r="AU136" i="11"/>
  <c r="AR4" i="11"/>
  <c r="AR5" i="11"/>
  <c r="AR6" i="11"/>
  <c r="AR7" i="11"/>
  <c r="AR8" i="11"/>
  <c r="AR9" i="11"/>
  <c r="AR10" i="11"/>
  <c r="AR11" i="11"/>
  <c r="AR12" i="11"/>
  <c r="AR13" i="11"/>
  <c r="AR14" i="11"/>
  <c r="AR15" i="11"/>
  <c r="AR16" i="11"/>
  <c r="AR17" i="11"/>
  <c r="AR18" i="11"/>
  <c r="AR19" i="11"/>
  <c r="AR20" i="11"/>
  <c r="AR21" i="11"/>
  <c r="AR22" i="11"/>
  <c r="AR23" i="11"/>
  <c r="AR24" i="11"/>
  <c r="AR25" i="11"/>
  <c r="AR26" i="11"/>
  <c r="AR27" i="11"/>
  <c r="AR28" i="11"/>
  <c r="AR29" i="11"/>
  <c r="AR30" i="11"/>
  <c r="AR31" i="11"/>
  <c r="AR32" i="11"/>
  <c r="AR33" i="11"/>
  <c r="AR34" i="11"/>
  <c r="AR35" i="11"/>
  <c r="AR36" i="11"/>
  <c r="AR37" i="11"/>
  <c r="AR38" i="11"/>
  <c r="AR39" i="11"/>
  <c r="AR40" i="11"/>
  <c r="AR41" i="11"/>
  <c r="AR42" i="11"/>
  <c r="AR43" i="11"/>
  <c r="AR44" i="11"/>
  <c r="AR45" i="11"/>
  <c r="AR46" i="11"/>
  <c r="AR47" i="11"/>
  <c r="AR48" i="11"/>
  <c r="AR49" i="11"/>
  <c r="AR50" i="11"/>
  <c r="AR51" i="11"/>
  <c r="AR52" i="11"/>
  <c r="AR53" i="11"/>
  <c r="AR54" i="11"/>
  <c r="AR55" i="11"/>
  <c r="AR56" i="11"/>
  <c r="AR57" i="11"/>
  <c r="AR58" i="11"/>
  <c r="AR59" i="11"/>
  <c r="AR60" i="11"/>
  <c r="AR61" i="11"/>
  <c r="AR62" i="11"/>
  <c r="AR63" i="11"/>
  <c r="AR64" i="11"/>
  <c r="AR65" i="11"/>
  <c r="AR66" i="11"/>
  <c r="AR67" i="11"/>
  <c r="AR68" i="11"/>
  <c r="AR69" i="11"/>
  <c r="AR70" i="11"/>
  <c r="AR71" i="11"/>
  <c r="AR72" i="11"/>
  <c r="AR73" i="11"/>
  <c r="AR74" i="11"/>
  <c r="AR75" i="11"/>
  <c r="AR76" i="11"/>
  <c r="AR77" i="11"/>
  <c r="AR78" i="11"/>
  <c r="AR79" i="11"/>
  <c r="AR80" i="11"/>
  <c r="AR81" i="11"/>
  <c r="AR82" i="11"/>
  <c r="AR83" i="11"/>
  <c r="AR84" i="11"/>
  <c r="AR85" i="11"/>
  <c r="AR86" i="11"/>
  <c r="AR87" i="11"/>
  <c r="AR88" i="11"/>
  <c r="AR89" i="11"/>
  <c r="AR90" i="11"/>
  <c r="AR91" i="11"/>
  <c r="AR92" i="11"/>
  <c r="AR93" i="11"/>
  <c r="AR94" i="11"/>
  <c r="AR95" i="11"/>
  <c r="AR96" i="11"/>
  <c r="AR97" i="11"/>
  <c r="AR98" i="11"/>
  <c r="AR99" i="11"/>
  <c r="AR100" i="11"/>
  <c r="AR101" i="11"/>
  <c r="AR102" i="11"/>
  <c r="AR103" i="11"/>
  <c r="AR104" i="11"/>
  <c r="AR105" i="11"/>
  <c r="AR106" i="11"/>
  <c r="AR107" i="11"/>
  <c r="AR108" i="11"/>
  <c r="AR109" i="11"/>
  <c r="AR110" i="11"/>
  <c r="AR111" i="11"/>
  <c r="AR112" i="11"/>
  <c r="AR113" i="11"/>
  <c r="AR114" i="11"/>
  <c r="AR115" i="11"/>
  <c r="AR116" i="11"/>
  <c r="AR117" i="11"/>
  <c r="AR118" i="11"/>
  <c r="AR119" i="11"/>
  <c r="AR120" i="11"/>
  <c r="AR121" i="11"/>
  <c r="AR122" i="11"/>
  <c r="AR123" i="11"/>
  <c r="AR124" i="11"/>
  <c r="AR125" i="11"/>
  <c r="AR126" i="11"/>
  <c r="AR127" i="11"/>
  <c r="AR128" i="11"/>
  <c r="AR129" i="11"/>
  <c r="AR130" i="11"/>
  <c r="AR131" i="11"/>
  <c r="AR132" i="11"/>
  <c r="AR133" i="11"/>
  <c r="AR134" i="11"/>
  <c r="AR135" i="11"/>
  <c r="AR136" i="11"/>
  <c r="AP4" i="11"/>
  <c r="AP5" i="11"/>
  <c r="AP6" i="11"/>
  <c r="AP7" i="11"/>
  <c r="AP8" i="11"/>
  <c r="AP9" i="11"/>
  <c r="AP10" i="11"/>
  <c r="AP11" i="11"/>
  <c r="AP12" i="11"/>
  <c r="AP13" i="11"/>
  <c r="AP14" i="11"/>
  <c r="AP15" i="11"/>
  <c r="AP16" i="11"/>
  <c r="AP17" i="11"/>
  <c r="AP18" i="11"/>
  <c r="AP19" i="11"/>
  <c r="AP20" i="11"/>
  <c r="AP21" i="11"/>
  <c r="AP22" i="11"/>
  <c r="AP23" i="11"/>
  <c r="AP24" i="11"/>
  <c r="AP25" i="11"/>
  <c r="AP26" i="11"/>
  <c r="AP27" i="11"/>
  <c r="AP28" i="11"/>
  <c r="AP29" i="11"/>
  <c r="AP30" i="11"/>
  <c r="AP31" i="11"/>
  <c r="AP32" i="11"/>
  <c r="AP33" i="11"/>
  <c r="AP34" i="11"/>
  <c r="AP35" i="11"/>
  <c r="AP36" i="11"/>
  <c r="AP37" i="11"/>
  <c r="AP38" i="11"/>
  <c r="AP39" i="11"/>
  <c r="AP40" i="11"/>
  <c r="AP41" i="11"/>
  <c r="AP42" i="11"/>
  <c r="AP43" i="11"/>
  <c r="AP44" i="11"/>
  <c r="AP45" i="11"/>
  <c r="AP46" i="11"/>
  <c r="AP47" i="11"/>
  <c r="AP48" i="11"/>
  <c r="AP49" i="11"/>
  <c r="AP50" i="11"/>
  <c r="AP51" i="11"/>
  <c r="AP52" i="11"/>
  <c r="AP53" i="11"/>
  <c r="AP54" i="11"/>
  <c r="AP55" i="11"/>
  <c r="AP56" i="11"/>
  <c r="AP57" i="11"/>
  <c r="AP58" i="11"/>
  <c r="AP59" i="11"/>
  <c r="AP60" i="11"/>
  <c r="AP61" i="11"/>
  <c r="AP62" i="11"/>
  <c r="AP63" i="11"/>
  <c r="AP64" i="11"/>
  <c r="AP65" i="11"/>
  <c r="AP66" i="11"/>
  <c r="AP67" i="11"/>
  <c r="AP68" i="11"/>
  <c r="AP69" i="11"/>
  <c r="AP70" i="11"/>
  <c r="AP71" i="11"/>
  <c r="AP72" i="11"/>
  <c r="AP73" i="11"/>
  <c r="AP74" i="11"/>
  <c r="AP75" i="11"/>
  <c r="AP76" i="11"/>
  <c r="AP77" i="11"/>
  <c r="AP78" i="11"/>
  <c r="AP79" i="11"/>
  <c r="AP80" i="11"/>
  <c r="AP81" i="11"/>
  <c r="AP82" i="11"/>
  <c r="AP83" i="11"/>
  <c r="AP84" i="11"/>
  <c r="AP85" i="11"/>
  <c r="AP86" i="11"/>
  <c r="AP87" i="11"/>
  <c r="AP88" i="11"/>
  <c r="AP89" i="11"/>
  <c r="AP90" i="11"/>
  <c r="AP91" i="11"/>
  <c r="AP92" i="11"/>
  <c r="AP93" i="11"/>
  <c r="AP94" i="11"/>
  <c r="AP95" i="11"/>
  <c r="AP96" i="11"/>
  <c r="AP97" i="11"/>
  <c r="AP98" i="11"/>
  <c r="AP99" i="11"/>
  <c r="AP100" i="11"/>
  <c r="AP101" i="11"/>
  <c r="AP102" i="11"/>
  <c r="AP103" i="11"/>
  <c r="AP104" i="11"/>
  <c r="AP105" i="11"/>
  <c r="AP106" i="11"/>
  <c r="AP107" i="11"/>
  <c r="AP108" i="11"/>
  <c r="AP109" i="11"/>
  <c r="AP110" i="11"/>
  <c r="AP111" i="11"/>
  <c r="AP112" i="11"/>
  <c r="AP113" i="11"/>
  <c r="AP114" i="11"/>
  <c r="AP115" i="11"/>
  <c r="AP116" i="11"/>
  <c r="AP117" i="11"/>
  <c r="AP118" i="11"/>
  <c r="AP119" i="11"/>
  <c r="AP120" i="11"/>
  <c r="AP121" i="11"/>
  <c r="AP122" i="11"/>
  <c r="AP123" i="11"/>
  <c r="AP124" i="11"/>
  <c r="AP125" i="11"/>
  <c r="AP126" i="11"/>
  <c r="AP127" i="11"/>
  <c r="AP128" i="11"/>
  <c r="AP129" i="11"/>
  <c r="AP130" i="11"/>
  <c r="AP131" i="11"/>
  <c r="AP132" i="11"/>
  <c r="AP133" i="11"/>
  <c r="AP134" i="11"/>
  <c r="AP135" i="11"/>
  <c r="AP136" i="11"/>
  <c r="AO4" i="11"/>
  <c r="AO5" i="11"/>
  <c r="AO6" i="11"/>
  <c r="AO7" i="11"/>
  <c r="AO8" i="11"/>
  <c r="AO9" i="11"/>
  <c r="AO10" i="11"/>
  <c r="AO11" i="11"/>
  <c r="AO12" i="11"/>
  <c r="AO13" i="11"/>
  <c r="AO14" i="11"/>
  <c r="AO15" i="11"/>
  <c r="AO16" i="11"/>
  <c r="AO17" i="11"/>
  <c r="AO18" i="11"/>
  <c r="AO19" i="11"/>
  <c r="AO20" i="11"/>
  <c r="AO21" i="11"/>
  <c r="AO22" i="11"/>
  <c r="AO23" i="11"/>
  <c r="AO24" i="11"/>
  <c r="AO25" i="11"/>
  <c r="AO26" i="11"/>
  <c r="AO27" i="11"/>
  <c r="AO28" i="11"/>
  <c r="AO29" i="11"/>
  <c r="AO30" i="11"/>
  <c r="AO31" i="11"/>
  <c r="AO32" i="11"/>
  <c r="AO33" i="11"/>
  <c r="AO34" i="11"/>
  <c r="AO35" i="11"/>
  <c r="AO36" i="11"/>
  <c r="AO37" i="11"/>
  <c r="AO38" i="11"/>
  <c r="AO39" i="11"/>
  <c r="AO40" i="11"/>
  <c r="AO41" i="11"/>
  <c r="AO42" i="11"/>
  <c r="AO43" i="11"/>
  <c r="AO44" i="11"/>
  <c r="AO45" i="11"/>
  <c r="AO46" i="11"/>
  <c r="AO47" i="11"/>
  <c r="AO48" i="11"/>
  <c r="AO49" i="11"/>
  <c r="AO50" i="11"/>
  <c r="AO51" i="11"/>
  <c r="AO52" i="11"/>
  <c r="AO53" i="11"/>
  <c r="AO54" i="11"/>
  <c r="AO55" i="11"/>
  <c r="AO56" i="11"/>
  <c r="AO57" i="11"/>
  <c r="AO58" i="11"/>
  <c r="AO59" i="11"/>
  <c r="AO60" i="11"/>
  <c r="AO61" i="11"/>
  <c r="AO62" i="11"/>
  <c r="AO63" i="11"/>
  <c r="AO64" i="11"/>
  <c r="AO65" i="11"/>
  <c r="AO66" i="11"/>
  <c r="AO67" i="11"/>
  <c r="AO68" i="11"/>
  <c r="AO69" i="11"/>
  <c r="AO70" i="11"/>
  <c r="AO71" i="11"/>
  <c r="AO72" i="11"/>
  <c r="AO73" i="11"/>
  <c r="AO74" i="11"/>
  <c r="AO75" i="11"/>
  <c r="AO76" i="11"/>
  <c r="AO77" i="11"/>
  <c r="AO78" i="11"/>
  <c r="AO79" i="11"/>
  <c r="AO80" i="11"/>
  <c r="AO81" i="11"/>
  <c r="AO82" i="11"/>
  <c r="AO83" i="11"/>
  <c r="AO84" i="11"/>
  <c r="AO85" i="11"/>
  <c r="AO86" i="11"/>
  <c r="AO87" i="11"/>
  <c r="AO88" i="11"/>
  <c r="AO89" i="11"/>
  <c r="AO90" i="11"/>
  <c r="AO91" i="11"/>
  <c r="AO92" i="11"/>
  <c r="AO93" i="11"/>
  <c r="AO94" i="11"/>
  <c r="AO95" i="11"/>
  <c r="AO96" i="11"/>
  <c r="AO97" i="11"/>
  <c r="AO98" i="11"/>
  <c r="AO99" i="11"/>
  <c r="AO100" i="11"/>
  <c r="AO101" i="11"/>
  <c r="AO102" i="11"/>
  <c r="AO103" i="11"/>
  <c r="AO104" i="11"/>
  <c r="AO105" i="11"/>
  <c r="AO106" i="11"/>
  <c r="AO107" i="11"/>
  <c r="AO108" i="11"/>
  <c r="AO109" i="11"/>
  <c r="AO110" i="11"/>
  <c r="AO111" i="11"/>
  <c r="AO112" i="11"/>
  <c r="AO113" i="11"/>
  <c r="AO114" i="11"/>
  <c r="AO115" i="11"/>
  <c r="AO116" i="11"/>
  <c r="AO117" i="11"/>
  <c r="AO118" i="11"/>
  <c r="AO119" i="11"/>
  <c r="AO120" i="11"/>
  <c r="AO121" i="11"/>
  <c r="AO122" i="11"/>
  <c r="AO123" i="11"/>
  <c r="AO124" i="11"/>
  <c r="AO125" i="11"/>
  <c r="AO126" i="11"/>
  <c r="AO127" i="11"/>
  <c r="AO128" i="11"/>
  <c r="AO129" i="11"/>
  <c r="AO130" i="11"/>
  <c r="AO131" i="11"/>
  <c r="AO132" i="11"/>
  <c r="AO133" i="11"/>
  <c r="AO134" i="11"/>
  <c r="AO135" i="11"/>
  <c r="AO136" i="11"/>
  <c r="AN4" i="11"/>
  <c r="AN5" i="11"/>
  <c r="AN6" i="11"/>
  <c r="AN7" i="11"/>
  <c r="AN8" i="11"/>
  <c r="AN9" i="11"/>
  <c r="AN10" i="11"/>
  <c r="AN11" i="11"/>
  <c r="AN12" i="11"/>
  <c r="AN13" i="11"/>
  <c r="AN14" i="11"/>
  <c r="AN15" i="11"/>
  <c r="AN16" i="11"/>
  <c r="AN17" i="11"/>
  <c r="AN18" i="11"/>
  <c r="AN19" i="11"/>
  <c r="AN20" i="11"/>
  <c r="AN21" i="11"/>
  <c r="AN22" i="11"/>
  <c r="AN23" i="11"/>
  <c r="AN24" i="11"/>
  <c r="AN25" i="11"/>
  <c r="AN26" i="11"/>
  <c r="AN27" i="11"/>
  <c r="AN28" i="11"/>
  <c r="AN29" i="11"/>
  <c r="AN30" i="11"/>
  <c r="AN31" i="11"/>
  <c r="AN32" i="11"/>
  <c r="AN33" i="11"/>
  <c r="AN34" i="11"/>
  <c r="AN35" i="11"/>
  <c r="AN36" i="11"/>
  <c r="AN37" i="11"/>
  <c r="AN38" i="11"/>
  <c r="AN39" i="11"/>
  <c r="AN40" i="11"/>
  <c r="AN41" i="11"/>
  <c r="AN42" i="11"/>
  <c r="AN43" i="11"/>
  <c r="AN44" i="11"/>
  <c r="AN45" i="11"/>
  <c r="AN46" i="11"/>
  <c r="AN47" i="11"/>
  <c r="AN48" i="11"/>
  <c r="AN49" i="11"/>
  <c r="AN50" i="11"/>
  <c r="AN51" i="11"/>
  <c r="AN52" i="11"/>
  <c r="AN53" i="11"/>
  <c r="AN54" i="11"/>
  <c r="AN55" i="11"/>
  <c r="AN56" i="11"/>
  <c r="AN57" i="11"/>
  <c r="AN58" i="11"/>
  <c r="AN59" i="11"/>
  <c r="AN60" i="11"/>
  <c r="AN61" i="11"/>
  <c r="AN62" i="11"/>
  <c r="AN63" i="11"/>
  <c r="AN64" i="11"/>
  <c r="AN65" i="11"/>
  <c r="AN66" i="11"/>
  <c r="AN67" i="11"/>
  <c r="AN68" i="11"/>
  <c r="AN69" i="11"/>
  <c r="AN70" i="11"/>
  <c r="AN71" i="11"/>
  <c r="AN72" i="11"/>
  <c r="AN73" i="11"/>
  <c r="AN74" i="11"/>
  <c r="AN75" i="11"/>
  <c r="AN76" i="11"/>
  <c r="AN77" i="11"/>
  <c r="AN78" i="11"/>
  <c r="AN79" i="11"/>
  <c r="AN80" i="11"/>
  <c r="AN81" i="11"/>
  <c r="AN82" i="11"/>
  <c r="AN83" i="11"/>
  <c r="AN84" i="11"/>
  <c r="AN85" i="11"/>
  <c r="AN86" i="11"/>
  <c r="AN87" i="11"/>
  <c r="AN88" i="11"/>
  <c r="AN89" i="11"/>
  <c r="AN90" i="11"/>
  <c r="AN91" i="11"/>
  <c r="AN92" i="11"/>
  <c r="AN93" i="11"/>
  <c r="AN94" i="11"/>
  <c r="AN95" i="11"/>
  <c r="AN96" i="11"/>
  <c r="AN97" i="11"/>
  <c r="AN98" i="11"/>
  <c r="AN99" i="11"/>
  <c r="AN100" i="11"/>
  <c r="AN101" i="11"/>
  <c r="AN102" i="11"/>
  <c r="AN103" i="11"/>
  <c r="AN104" i="11"/>
  <c r="AN105" i="11"/>
  <c r="AN106" i="11"/>
  <c r="AN107" i="11"/>
  <c r="AN108" i="11"/>
  <c r="AN109" i="11"/>
  <c r="AN110" i="11"/>
  <c r="AN111" i="11"/>
  <c r="AN112" i="11"/>
  <c r="AN113" i="11"/>
  <c r="AN114" i="11"/>
  <c r="AN115" i="11"/>
  <c r="AN116" i="11"/>
  <c r="AN117" i="11"/>
  <c r="AN118" i="11"/>
  <c r="AN119" i="11"/>
  <c r="AN120" i="11"/>
  <c r="AN121" i="11"/>
  <c r="AN122" i="11"/>
  <c r="AN123" i="11"/>
  <c r="AN124" i="11"/>
  <c r="AN125" i="11"/>
  <c r="AN126" i="11"/>
  <c r="AN127" i="11"/>
  <c r="AN128" i="11"/>
  <c r="AN129" i="11"/>
  <c r="AN130" i="11"/>
  <c r="AN131" i="11"/>
  <c r="AN132" i="11"/>
  <c r="AN133" i="11"/>
  <c r="AN134" i="11"/>
  <c r="AN135" i="11"/>
  <c r="AN136" i="11"/>
  <c r="AM4" i="11"/>
  <c r="AM5" i="11"/>
  <c r="AM6" i="11"/>
  <c r="AM7" i="11"/>
  <c r="AM8" i="11"/>
  <c r="AM9" i="11"/>
  <c r="AM10" i="11"/>
  <c r="AM11" i="11"/>
  <c r="AM12" i="11"/>
  <c r="AM13" i="11"/>
  <c r="AM14" i="11"/>
  <c r="AM15" i="11"/>
  <c r="AM16" i="11"/>
  <c r="AM17" i="11"/>
  <c r="AM18" i="11"/>
  <c r="AM19" i="11"/>
  <c r="AM20" i="11"/>
  <c r="AM21" i="11"/>
  <c r="AM22" i="11"/>
  <c r="AM23" i="11"/>
  <c r="AM24" i="11"/>
  <c r="AM25" i="11"/>
  <c r="AM26" i="11"/>
  <c r="AM27" i="11"/>
  <c r="AM28" i="11"/>
  <c r="AM29" i="11"/>
  <c r="AM30" i="11"/>
  <c r="AM31" i="11"/>
  <c r="AM32" i="11"/>
  <c r="AM33" i="11"/>
  <c r="AM34" i="11"/>
  <c r="AM35" i="11"/>
  <c r="AM36" i="11"/>
  <c r="AM37" i="11"/>
  <c r="AM38" i="11"/>
  <c r="AM39" i="11"/>
  <c r="AM40" i="11"/>
  <c r="AM41" i="11"/>
  <c r="AM42" i="11"/>
  <c r="AM43" i="11"/>
  <c r="AM44" i="11"/>
  <c r="AM45" i="11"/>
  <c r="AM46" i="11"/>
  <c r="AM47" i="11"/>
  <c r="AM48" i="11"/>
  <c r="AM49" i="11"/>
  <c r="AM50" i="11"/>
  <c r="AM51" i="11"/>
  <c r="AM52" i="11"/>
  <c r="AM53" i="11"/>
  <c r="AM54" i="11"/>
  <c r="AM55" i="11"/>
  <c r="AM56" i="11"/>
  <c r="AM57" i="11"/>
  <c r="AM58" i="11"/>
  <c r="AM59" i="11"/>
  <c r="AM60" i="11"/>
  <c r="AM61" i="11"/>
  <c r="AM62" i="11"/>
  <c r="AM63" i="11"/>
  <c r="AM64" i="11"/>
  <c r="AM65" i="11"/>
  <c r="AM66" i="11"/>
  <c r="AM67" i="11"/>
  <c r="AM68" i="11"/>
  <c r="AM69" i="11"/>
  <c r="AM70" i="11"/>
  <c r="AM71" i="11"/>
  <c r="AM72" i="11"/>
  <c r="AM73" i="11"/>
  <c r="AM74" i="11"/>
  <c r="AM75" i="11"/>
  <c r="AM76" i="11"/>
  <c r="AM77" i="11"/>
  <c r="AM78" i="11"/>
  <c r="AM79" i="11"/>
  <c r="AM80" i="11"/>
  <c r="AM81" i="11"/>
  <c r="AM82" i="11"/>
  <c r="AM83" i="11"/>
  <c r="AM84" i="11"/>
  <c r="AM85" i="11"/>
  <c r="AM86" i="11"/>
  <c r="AM87" i="11"/>
  <c r="AM88" i="11"/>
  <c r="AM89" i="11"/>
  <c r="AM90" i="11"/>
  <c r="AM91" i="11"/>
  <c r="AM92" i="11"/>
  <c r="AM93" i="11"/>
  <c r="AM94" i="11"/>
  <c r="AM95" i="11"/>
  <c r="AM96" i="11"/>
  <c r="AM97" i="11"/>
  <c r="AM98" i="11"/>
  <c r="AM99" i="11"/>
  <c r="AM100" i="11"/>
  <c r="AM101" i="11"/>
  <c r="AM102" i="11"/>
  <c r="AM103" i="11"/>
  <c r="AM104" i="11"/>
  <c r="AM105" i="11"/>
  <c r="AM106" i="11"/>
  <c r="AM107" i="11"/>
  <c r="AM108" i="11"/>
  <c r="AM109" i="11"/>
  <c r="AM110" i="11"/>
  <c r="AM111" i="11"/>
  <c r="AM112" i="11"/>
  <c r="AM113" i="11"/>
  <c r="AM114" i="11"/>
  <c r="AM115" i="11"/>
  <c r="AM116" i="11"/>
  <c r="AM117" i="11"/>
  <c r="AM118" i="11"/>
  <c r="AM119" i="11"/>
  <c r="AM120" i="11"/>
  <c r="AM121" i="11"/>
  <c r="AM122" i="11"/>
  <c r="AM123" i="11"/>
  <c r="AM124" i="11"/>
  <c r="AM125" i="11"/>
  <c r="AM126" i="11"/>
  <c r="AM127" i="11"/>
  <c r="AM128" i="11"/>
  <c r="AM129" i="11"/>
  <c r="AM130" i="11"/>
  <c r="AM131" i="11"/>
  <c r="AM132" i="11"/>
  <c r="AM133" i="11"/>
  <c r="AM134" i="11"/>
  <c r="AM135" i="11"/>
  <c r="AM136" i="11"/>
  <c r="AQ13" i="9" l="1"/>
  <c r="CM13" i="8" s="1"/>
  <c r="I68" i="4"/>
  <c r="AI8" i="9"/>
  <c r="AO8" i="8" s="1"/>
  <c r="AT17" i="5"/>
  <c r="AT18" i="5"/>
  <c r="AT19" i="5"/>
  <c r="AT20" i="5"/>
  <c r="AT21" i="5"/>
  <c r="AT23" i="5"/>
  <c r="AT24" i="5"/>
  <c r="AT25" i="5"/>
  <c r="AT26" i="5"/>
  <c r="AT31" i="5"/>
  <c r="AT32" i="5"/>
  <c r="AT33" i="5"/>
  <c r="AT34" i="5"/>
  <c r="AT35" i="5"/>
  <c r="AT36" i="5"/>
  <c r="AT37" i="5"/>
  <c r="AT38" i="5"/>
  <c r="AT41" i="5"/>
  <c r="AT42" i="5"/>
  <c r="AT44" i="5"/>
  <c r="AT45" i="5"/>
  <c r="AT46" i="5"/>
  <c r="AT47" i="5"/>
  <c r="AT48" i="5"/>
  <c r="AT50" i="5"/>
  <c r="AT53" i="5"/>
  <c r="AT54" i="5"/>
  <c r="AT55" i="5"/>
  <c r="AT56" i="5"/>
  <c r="AT57" i="5"/>
  <c r="AT58" i="5"/>
  <c r="AT59" i="5"/>
  <c r="AT77" i="5"/>
  <c r="AT78" i="5"/>
  <c r="AT79" i="5"/>
  <c r="AT80" i="5"/>
  <c r="AT81" i="5"/>
  <c r="AT82" i="5"/>
  <c r="AT83" i="5"/>
  <c r="AT84" i="5"/>
  <c r="AT85" i="5"/>
  <c r="AT86" i="5"/>
  <c r="AT87" i="5"/>
  <c r="AT88" i="5"/>
  <c r="AT89" i="5"/>
  <c r="AT90" i="5"/>
  <c r="AT91" i="5"/>
  <c r="AT92" i="5"/>
  <c r="AT93" i="5"/>
  <c r="AT94" i="5"/>
  <c r="AT95" i="5"/>
  <c r="AT96" i="5"/>
  <c r="AT97" i="5"/>
  <c r="AT98" i="5"/>
  <c r="AT99" i="5"/>
  <c r="AT100" i="5"/>
  <c r="AT101" i="5"/>
  <c r="AT102" i="5"/>
  <c r="AT103" i="5"/>
  <c r="AT104" i="5"/>
  <c r="AT105" i="5"/>
  <c r="AT106" i="5"/>
  <c r="AT107" i="5"/>
  <c r="AT108" i="5"/>
  <c r="AT109" i="5"/>
  <c r="AT110" i="5"/>
  <c r="AT111" i="5"/>
  <c r="AT112" i="5"/>
  <c r="AT113" i="5"/>
  <c r="AT114" i="5"/>
  <c r="AT115" i="5"/>
  <c r="AT116" i="5"/>
  <c r="AT117" i="5"/>
  <c r="AT118" i="5"/>
  <c r="AT119" i="5"/>
  <c r="AT120" i="5"/>
  <c r="AT121" i="5"/>
  <c r="AT122" i="5"/>
  <c r="AT123" i="5"/>
  <c r="AT124" i="5"/>
  <c r="AT125" i="5"/>
  <c r="AT126" i="5"/>
  <c r="AT127" i="5"/>
  <c r="AT128" i="5"/>
  <c r="AT129" i="5"/>
  <c r="AT130" i="5"/>
  <c r="AT131" i="5"/>
  <c r="AT132" i="5"/>
  <c r="AT133" i="5"/>
  <c r="AT134" i="5"/>
  <c r="AT135" i="5"/>
  <c r="AT136" i="5"/>
  <c r="AT5" i="5"/>
  <c r="AT6" i="5"/>
  <c r="AT7" i="5"/>
  <c r="AT8" i="5"/>
  <c r="AT9" i="5"/>
  <c r="AT10" i="5"/>
  <c r="AT11" i="5"/>
  <c r="AT12" i="5"/>
  <c r="AT13" i="5"/>
  <c r="AT14" i="5"/>
  <c r="AT15" i="5"/>
  <c r="J69" i="4"/>
  <c r="AS4" i="5"/>
  <c r="N4" i="5"/>
  <c r="A4" i="5"/>
  <c r="E17" i="4"/>
  <c r="A22" i="4"/>
  <c r="AQ14" i="9" l="1"/>
  <c r="CM14" i="8" s="1"/>
  <c r="AI9" i="9"/>
  <c r="C22" i="4"/>
  <c r="B22" i="4"/>
  <c r="D26" i="5"/>
  <c r="AQ15" i="9" l="1"/>
  <c r="CM15" i="8" s="1"/>
  <c r="AI10" i="9"/>
  <c r="S4" i="10"/>
  <c r="S5" i="10"/>
  <c r="S6" i="10"/>
  <c r="S7" i="10"/>
  <c r="S8" i="10"/>
  <c r="S9" i="10"/>
  <c r="S10" i="10"/>
  <c r="S11" i="10"/>
  <c r="S12" i="10"/>
  <c r="S13" i="10"/>
  <c r="S14" i="10"/>
  <c r="S15" i="10"/>
  <c r="S16" i="10"/>
  <c r="S17" i="10"/>
  <c r="S18" i="10"/>
  <c r="S19" i="10"/>
  <c r="S20" i="10"/>
  <c r="S21" i="10"/>
  <c r="S22" i="10"/>
  <c r="S23" i="10"/>
  <c r="S24" i="10"/>
  <c r="S25" i="10"/>
  <c r="S26" i="10"/>
  <c r="S27" i="10"/>
  <c r="S28" i="10"/>
  <c r="S29" i="10"/>
  <c r="S30" i="10"/>
  <c r="S31" i="10"/>
  <c r="S32" i="10"/>
  <c r="S33" i="10"/>
  <c r="S34" i="10"/>
  <c r="S35" i="10"/>
  <c r="S36" i="10"/>
  <c r="S37" i="10"/>
  <c r="S38" i="10"/>
  <c r="S39" i="10"/>
  <c r="S40" i="10"/>
  <c r="S41" i="10"/>
  <c r="S42" i="10"/>
  <c r="S43" i="10"/>
  <c r="S44" i="10"/>
  <c r="S45" i="10"/>
  <c r="S46" i="10"/>
  <c r="S47" i="10"/>
  <c r="S48" i="10"/>
  <c r="S49" i="10"/>
  <c r="S50" i="10"/>
  <c r="S51" i="10"/>
  <c r="S52" i="10"/>
  <c r="S53" i="10"/>
  <c r="S54" i="10"/>
  <c r="S55" i="10"/>
  <c r="S56" i="10"/>
  <c r="S57" i="10"/>
  <c r="S58" i="10"/>
  <c r="S59" i="10"/>
  <c r="S60" i="10"/>
  <c r="S61" i="10"/>
  <c r="S62" i="10"/>
  <c r="S63" i="10"/>
  <c r="S64" i="10"/>
  <c r="S65" i="10"/>
  <c r="S66" i="10"/>
  <c r="S67" i="10"/>
  <c r="S68" i="10"/>
  <c r="S69" i="10"/>
  <c r="S70" i="10"/>
  <c r="S71" i="10"/>
  <c r="S72" i="10"/>
  <c r="S73" i="10"/>
  <c r="S74" i="10"/>
  <c r="S75" i="10"/>
  <c r="S76" i="10"/>
  <c r="S77" i="10"/>
  <c r="S78" i="10"/>
  <c r="S79" i="10"/>
  <c r="S80" i="10"/>
  <c r="S81" i="10"/>
  <c r="S82" i="10"/>
  <c r="S83" i="10"/>
  <c r="S84" i="10"/>
  <c r="S85" i="10"/>
  <c r="S86" i="10"/>
  <c r="S87" i="10"/>
  <c r="S88" i="10"/>
  <c r="S89" i="10"/>
  <c r="S90" i="10"/>
  <c r="S91" i="10"/>
  <c r="S92" i="10"/>
  <c r="S93" i="10"/>
  <c r="S94" i="10"/>
  <c r="S95" i="10"/>
  <c r="S96" i="10"/>
  <c r="S97" i="10"/>
  <c r="S98" i="10"/>
  <c r="S99" i="10"/>
  <c r="S100" i="10"/>
  <c r="S101" i="10"/>
  <c r="S102" i="10"/>
  <c r="S103" i="10"/>
  <c r="S104" i="10"/>
  <c r="S105" i="10"/>
  <c r="S106" i="10"/>
  <c r="S107" i="10"/>
  <c r="S108" i="10"/>
  <c r="S109" i="10"/>
  <c r="S110" i="10"/>
  <c r="S111" i="10"/>
  <c r="S112" i="10"/>
  <c r="S113" i="10"/>
  <c r="S114" i="10"/>
  <c r="S115" i="10"/>
  <c r="S116" i="10"/>
  <c r="S117" i="10"/>
  <c r="S118" i="10"/>
  <c r="S119" i="10"/>
  <c r="S120" i="10"/>
  <c r="S121" i="10"/>
  <c r="S122" i="10"/>
  <c r="S123" i="10"/>
  <c r="S124" i="10"/>
  <c r="S125" i="10"/>
  <c r="S126" i="10"/>
  <c r="S127" i="10"/>
  <c r="S128" i="10"/>
  <c r="S129" i="10"/>
  <c r="S130" i="10"/>
  <c r="S131" i="10"/>
  <c r="S132" i="10"/>
  <c r="S133" i="10"/>
  <c r="S134" i="10"/>
  <c r="S135" i="10"/>
  <c r="S136" i="10"/>
  <c r="T4" i="10"/>
  <c r="T5" i="10"/>
  <c r="T6" i="10"/>
  <c r="T7" i="10"/>
  <c r="T8" i="10"/>
  <c r="T9" i="10"/>
  <c r="T10" i="10"/>
  <c r="T11" i="10"/>
  <c r="T12" i="10"/>
  <c r="T13" i="10"/>
  <c r="T14" i="10"/>
  <c r="T15" i="10"/>
  <c r="T16" i="10"/>
  <c r="T17" i="10"/>
  <c r="T18" i="10"/>
  <c r="T19" i="10"/>
  <c r="T20" i="10"/>
  <c r="T21" i="10"/>
  <c r="T22" i="10"/>
  <c r="T23" i="10"/>
  <c r="T24" i="10"/>
  <c r="T25" i="10"/>
  <c r="T26" i="10"/>
  <c r="T27" i="10"/>
  <c r="T28" i="10"/>
  <c r="T29" i="10"/>
  <c r="T30" i="10"/>
  <c r="T31" i="10"/>
  <c r="T32" i="10"/>
  <c r="T33" i="10"/>
  <c r="T34" i="10"/>
  <c r="T35" i="10"/>
  <c r="T36" i="10"/>
  <c r="T37" i="10"/>
  <c r="T38" i="10"/>
  <c r="T39" i="10"/>
  <c r="T40" i="10"/>
  <c r="T41" i="10"/>
  <c r="T42" i="10"/>
  <c r="T43" i="10"/>
  <c r="T44" i="10"/>
  <c r="T45" i="10"/>
  <c r="T46" i="10"/>
  <c r="T47" i="10"/>
  <c r="T48" i="10"/>
  <c r="T49" i="10"/>
  <c r="T50" i="10"/>
  <c r="T51" i="10"/>
  <c r="T52" i="10"/>
  <c r="T53" i="10"/>
  <c r="T54" i="10"/>
  <c r="T55" i="10"/>
  <c r="T56" i="10"/>
  <c r="T57" i="10"/>
  <c r="T58" i="10"/>
  <c r="T59" i="10"/>
  <c r="T60" i="10"/>
  <c r="T61" i="10"/>
  <c r="T62" i="10"/>
  <c r="T63" i="10"/>
  <c r="T64" i="10"/>
  <c r="T65" i="10"/>
  <c r="T66" i="10"/>
  <c r="T67" i="10"/>
  <c r="T68" i="10"/>
  <c r="T69" i="10"/>
  <c r="T70" i="10"/>
  <c r="T71" i="10"/>
  <c r="T72" i="10"/>
  <c r="T73" i="10"/>
  <c r="T74" i="10"/>
  <c r="T75" i="10"/>
  <c r="T76" i="10"/>
  <c r="T77" i="10"/>
  <c r="T78" i="10"/>
  <c r="T79" i="10"/>
  <c r="T80" i="10"/>
  <c r="T81" i="10"/>
  <c r="T82" i="10"/>
  <c r="T83" i="10"/>
  <c r="T84" i="10"/>
  <c r="T85" i="10"/>
  <c r="T86" i="10"/>
  <c r="T87" i="10"/>
  <c r="T88" i="10"/>
  <c r="T89" i="10"/>
  <c r="T90" i="10"/>
  <c r="T91" i="10"/>
  <c r="T92" i="10"/>
  <c r="T93" i="10"/>
  <c r="T94" i="10"/>
  <c r="T95" i="10"/>
  <c r="T96" i="10"/>
  <c r="T97" i="10"/>
  <c r="T98" i="10"/>
  <c r="T99" i="10"/>
  <c r="T100" i="10"/>
  <c r="T101" i="10"/>
  <c r="T102" i="10"/>
  <c r="T103" i="10"/>
  <c r="T104" i="10"/>
  <c r="T105" i="10"/>
  <c r="T106" i="10"/>
  <c r="T107" i="10"/>
  <c r="T108" i="10"/>
  <c r="T109" i="10"/>
  <c r="T110" i="10"/>
  <c r="T111" i="10"/>
  <c r="T112" i="10"/>
  <c r="T113" i="10"/>
  <c r="T114" i="10"/>
  <c r="T115" i="10"/>
  <c r="T116" i="10"/>
  <c r="T117" i="10"/>
  <c r="T118" i="10"/>
  <c r="T119" i="10"/>
  <c r="T120" i="10"/>
  <c r="T121" i="10"/>
  <c r="T122" i="10"/>
  <c r="T123" i="10"/>
  <c r="T124" i="10"/>
  <c r="T125" i="10"/>
  <c r="T126" i="10"/>
  <c r="T127" i="10"/>
  <c r="T128" i="10"/>
  <c r="T129" i="10"/>
  <c r="T130" i="10"/>
  <c r="T131" i="10"/>
  <c r="T132" i="10"/>
  <c r="T133" i="10"/>
  <c r="T134" i="10"/>
  <c r="T135" i="10"/>
  <c r="T136" i="10"/>
  <c r="AQ16" i="9" l="1"/>
  <c r="CM16" i="8" s="1"/>
  <c r="AI11" i="9"/>
  <c r="AT4" i="5"/>
  <c r="AR2" i="8"/>
  <c r="E21" i="4" s="1"/>
  <c r="BZ4" i="11"/>
  <c r="Z7" i="9"/>
  <c r="BV4" i="11"/>
  <c r="BV5" i="11"/>
  <c r="BV6" i="11"/>
  <c r="BV7" i="11"/>
  <c r="BV8" i="11"/>
  <c r="BV9" i="11"/>
  <c r="BV10" i="11"/>
  <c r="BV11" i="11"/>
  <c r="BV12" i="11"/>
  <c r="BV13" i="11"/>
  <c r="BV14" i="11"/>
  <c r="BV15" i="11"/>
  <c r="BV16" i="11"/>
  <c r="BV17" i="11"/>
  <c r="BV18" i="11"/>
  <c r="BV19" i="11"/>
  <c r="BV20" i="11"/>
  <c r="BV21" i="11"/>
  <c r="BV22" i="11"/>
  <c r="BV23" i="11"/>
  <c r="BV24" i="11"/>
  <c r="BV25" i="11"/>
  <c r="BV26" i="11"/>
  <c r="BV27" i="11"/>
  <c r="BV28" i="11"/>
  <c r="BV29" i="11"/>
  <c r="BV30" i="11"/>
  <c r="BV31" i="11"/>
  <c r="BV32" i="11"/>
  <c r="BV33" i="11"/>
  <c r="BV34" i="11"/>
  <c r="BV35" i="11"/>
  <c r="BV36" i="11"/>
  <c r="BV37" i="11"/>
  <c r="BV38" i="11"/>
  <c r="BV39" i="11"/>
  <c r="BV40" i="11"/>
  <c r="BV41" i="11"/>
  <c r="BV42" i="11"/>
  <c r="BV43" i="11"/>
  <c r="BV44" i="11"/>
  <c r="BV45" i="11"/>
  <c r="BV46" i="11"/>
  <c r="BV47" i="11"/>
  <c r="BV48" i="11"/>
  <c r="BV49" i="11"/>
  <c r="BV50" i="11"/>
  <c r="BV51" i="11"/>
  <c r="BV52" i="11"/>
  <c r="BV53" i="11"/>
  <c r="BV54" i="11"/>
  <c r="BV55" i="11"/>
  <c r="BV56" i="11"/>
  <c r="BV57" i="11"/>
  <c r="BV58" i="11"/>
  <c r="BV59" i="11"/>
  <c r="BV60" i="11"/>
  <c r="BV61" i="11"/>
  <c r="BV62" i="11"/>
  <c r="BV63" i="11"/>
  <c r="BV64" i="11"/>
  <c r="BV65" i="11"/>
  <c r="BV66" i="11"/>
  <c r="BV67" i="11"/>
  <c r="BV68" i="11"/>
  <c r="BV69" i="11"/>
  <c r="BV70" i="11"/>
  <c r="BV71" i="11"/>
  <c r="BV72" i="11"/>
  <c r="BV73" i="11"/>
  <c r="BV74" i="11"/>
  <c r="BV75" i="11"/>
  <c r="BV76" i="11"/>
  <c r="BV77" i="11"/>
  <c r="BV78" i="11"/>
  <c r="BV79" i="11"/>
  <c r="BV80" i="11"/>
  <c r="BV81" i="11"/>
  <c r="BV82" i="11"/>
  <c r="BV83" i="11"/>
  <c r="BV84" i="11"/>
  <c r="BV85" i="11"/>
  <c r="BV86" i="11"/>
  <c r="BV87" i="11"/>
  <c r="BV88" i="11"/>
  <c r="BV89" i="11"/>
  <c r="BV90" i="11"/>
  <c r="BV91" i="11"/>
  <c r="BV92" i="11"/>
  <c r="BV93" i="11"/>
  <c r="BV94" i="11"/>
  <c r="BV95" i="11"/>
  <c r="BV96" i="11"/>
  <c r="BV97" i="11"/>
  <c r="BV98" i="11"/>
  <c r="BV99" i="11"/>
  <c r="BV100" i="11"/>
  <c r="BV101" i="11"/>
  <c r="BV102" i="11"/>
  <c r="BV103" i="11"/>
  <c r="BV104" i="11"/>
  <c r="BV105" i="11"/>
  <c r="BV106" i="11"/>
  <c r="BV107" i="11"/>
  <c r="BV108" i="11"/>
  <c r="BV109" i="11"/>
  <c r="BV110" i="11"/>
  <c r="BV111" i="11"/>
  <c r="BV112" i="11"/>
  <c r="BV113" i="11"/>
  <c r="BV114" i="11"/>
  <c r="BV115" i="11"/>
  <c r="BV116" i="11"/>
  <c r="BV117" i="11"/>
  <c r="BV118" i="11"/>
  <c r="BV119" i="11"/>
  <c r="BV120" i="11"/>
  <c r="BV121" i="11"/>
  <c r="BV122" i="11"/>
  <c r="BV123" i="11"/>
  <c r="BV124" i="11"/>
  <c r="BV125" i="11"/>
  <c r="BV126" i="11"/>
  <c r="BV127" i="11"/>
  <c r="BV128" i="11"/>
  <c r="BV129" i="11"/>
  <c r="BV130" i="11"/>
  <c r="BV131" i="11"/>
  <c r="BV132" i="11"/>
  <c r="BV133" i="11"/>
  <c r="BV134" i="11"/>
  <c r="BV135" i="11"/>
  <c r="BV136" i="11"/>
  <c r="AQ17" i="9" l="1"/>
  <c r="CM17" i="8" s="1"/>
  <c r="AI12" i="9"/>
  <c r="J4" i="2"/>
  <c r="AT2" i="8"/>
  <c r="CO25" i="8"/>
  <c r="CO26" i="8"/>
  <c r="CO24" i="8"/>
  <c r="BZ5" i="11"/>
  <c r="BZ6" i="11" s="1"/>
  <c r="BZ7" i="11" s="1"/>
  <c r="BZ8" i="11" s="1"/>
  <c r="BZ9" i="11" s="1"/>
  <c r="BZ10" i="11" s="1"/>
  <c r="BZ11" i="11" s="1"/>
  <c r="BZ12" i="11" s="1"/>
  <c r="BZ13" i="11" s="1"/>
  <c r="BZ14" i="11" s="1"/>
  <c r="BZ15" i="11" s="1"/>
  <c r="BZ16" i="11" s="1"/>
  <c r="BZ17" i="11" s="1"/>
  <c r="BZ18" i="11" s="1"/>
  <c r="BZ19" i="11" s="1"/>
  <c r="BZ20" i="11" s="1"/>
  <c r="BZ21" i="11" s="1"/>
  <c r="BZ22" i="11" s="1"/>
  <c r="BZ23" i="11" s="1"/>
  <c r="BZ24" i="11" s="1"/>
  <c r="BZ25" i="11" s="1"/>
  <c r="BZ26" i="11" s="1"/>
  <c r="BZ27" i="11" s="1"/>
  <c r="BZ28" i="11" s="1"/>
  <c r="BZ29" i="11" s="1"/>
  <c r="BZ30" i="11" s="1"/>
  <c r="BZ31" i="11" s="1"/>
  <c r="BZ32" i="11" s="1"/>
  <c r="BZ33" i="11" s="1"/>
  <c r="BZ34" i="11" s="1"/>
  <c r="BZ35" i="11" s="1"/>
  <c r="BZ36" i="11" s="1"/>
  <c r="BZ37" i="11" s="1"/>
  <c r="BZ38" i="11" s="1"/>
  <c r="BZ39" i="11" s="1"/>
  <c r="BZ40" i="11" s="1"/>
  <c r="BZ41" i="11" s="1"/>
  <c r="BZ42" i="11" s="1"/>
  <c r="BZ43" i="11" s="1"/>
  <c r="BZ44" i="11" s="1"/>
  <c r="BZ45" i="11" s="1"/>
  <c r="BZ46" i="11" s="1"/>
  <c r="BZ47" i="11" s="1"/>
  <c r="BZ48" i="11" s="1"/>
  <c r="BZ49" i="11" s="1"/>
  <c r="BZ50" i="11" s="1"/>
  <c r="BZ51" i="11" s="1"/>
  <c r="BZ52" i="11" s="1"/>
  <c r="BZ53" i="11" s="1"/>
  <c r="BZ54" i="11" s="1"/>
  <c r="BZ55" i="11" s="1"/>
  <c r="BZ56" i="11" s="1"/>
  <c r="BZ57" i="11" s="1"/>
  <c r="BZ58" i="11" s="1"/>
  <c r="BZ59" i="11" s="1"/>
  <c r="BZ60" i="11" s="1"/>
  <c r="BZ61" i="11" s="1"/>
  <c r="BZ62" i="11" s="1"/>
  <c r="BZ63" i="11" s="1"/>
  <c r="BZ64" i="11" s="1"/>
  <c r="BZ65" i="11" s="1"/>
  <c r="BZ66" i="11" s="1"/>
  <c r="BZ67" i="11" s="1"/>
  <c r="BZ68" i="11" s="1"/>
  <c r="BZ69" i="11" s="1"/>
  <c r="BZ70" i="11" s="1"/>
  <c r="BZ71" i="11" s="1"/>
  <c r="BZ72" i="11" s="1"/>
  <c r="BZ73" i="11" s="1"/>
  <c r="BZ74" i="11" s="1"/>
  <c r="BZ75" i="11" s="1"/>
  <c r="BZ76" i="11" s="1"/>
  <c r="BZ77" i="11" s="1"/>
  <c r="BZ78" i="11" s="1"/>
  <c r="BZ79" i="11" s="1"/>
  <c r="BZ80" i="11" s="1"/>
  <c r="BZ81" i="11" s="1"/>
  <c r="BZ82" i="11" s="1"/>
  <c r="BZ83" i="11" s="1"/>
  <c r="BZ84" i="11" s="1"/>
  <c r="BZ85" i="11" s="1"/>
  <c r="BZ86" i="11" s="1"/>
  <c r="BZ87" i="11" s="1"/>
  <c r="BZ88" i="11" s="1"/>
  <c r="BZ89" i="11" s="1"/>
  <c r="BZ90" i="11" s="1"/>
  <c r="BZ91" i="11" s="1"/>
  <c r="BZ92" i="11" s="1"/>
  <c r="BZ93" i="11" s="1"/>
  <c r="BZ94" i="11" s="1"/>
  <c r="BZ95" i="11" s="1"/>
  <c r="BZ96" i="11" s="1"/>
  <c r="BZ97" i="11" s="1"/>
  <c r="BZ98" i="11" s="1"/>
  <c r="BZ99" i="11" s="1"/>
  <c r="BZ100" i="11" s="1"/>
  <c r="BZ101" i="11" s="1"/>
  <c r="BZ102" i="11" s="1"/>
  <c r="BZ103" i="11" s="1"/>
  <c r="BZ104" i="11" s="1"/>
  <c r="BZ105" i="11" s="1"/>
  <c r="BZ106" i="11" s="1"/>
  <c r="BZ107" i="11" s="1"/>
  <c r="BZ108" i="11" s="1"/>
  <c r="BZ109" i="11" s="1"/>
  <c r="BZ110" i="11" s="1"/>
  <c r="BZ111" i="11" s="1"/>
  <c r="BZ112" i="11" s="1"/>
  <c r="BZ113" i="11" s="1"/>
  <c r="BZ114" i="11" s="1"/>
  <c r="BZ115" i="11" s="1"/>
  <c r="BZ116" i="11" s="1"/>
  <c r="BZ117" i="11" s="1"/>
  <c r="BZ118" i="11" s="1"/>
  <c r="BZ119" i="11" s="1"/>
  <c r="BZ120" i="11" s="1"/>
  <c r="BZ121" i="11" s="1"/>
  <c r="BZ122" i="11" s="1"/>
  <c r="BZ123" i="11" s="1"/>
  <c r="BZ124" i="11" s="1"/>
  <c r="BZ125" i="11" s="1"/>
  <c r="BZ126" i="11" s="1"/>
  <c r="BZ127" i="11" s="1"/>
  <c r="BZ128" i="11" s="1"/>
  <c r="BZ129" i="11" s="1"/>
  <c r="BZ130" i="11" s="1"/>
  <c r="BZ131" i="11" s="1"/>
  <c r="BZ132" i="11" s="1"/>
  <c r="BZ133" i="11" s="1"/>
  <c r="BZ134" i="11" s="1"/>
  <c r="BZ135" i="11" s="1"/>
  <c r="BZ136" i="11" s="1"/>
  <c r="F2" i="14"/>
  <c r="N2" i="14"/>
  <c r="O2" i="14"/>
  <c r="P2" i="14"/>
  <c r="Q2" i="14"/>
  <c r="R2" i="14"/>
  <c r="S2" i="14"/>
  <c r="T2" i="14"/>
  <c r="U2" i="14"/>
  <c r="V2" i="14"/>
  <c r="W2" i="14"/>
  <c r="X2" i="14"/>
  <c r="Y2" i="14"/>
  <c r="Z2" i="14"/>
  <c r="AA2" i="14"/>
  <c r="AB2" i="14"/>
  <c r="AC2" i="14"/>
  <c r="AD2" i="14"/>
  <c r="AE2" i="14"/>
  <c r="AF2" i="14"/>
  <c r="AG2" i="14"/>
  <c r="AH2" i="14"/>
  <c r="AI2" i="14"/>
  <c r="AJ2" i="14"/>
  <c r="AK2" i="14"/>
  <c r="AL2" i="14"/>
  <c r="AM2" i="14"/>
  <c r="AN2" i="14"/>
  <c r="AO2" i="14"/>
  <c r="AP2" i="14"/>
  <c r="AQ2" i="14"/>
  <c r="AR2" i="14"/>
  <c r="AS2" i="14"/>
  <c r="AT2" i="14"/>
  <c r="AU2" i="14"/>
  <c r="AV2" i="14"/>
  <c r="AW2" i="14"/>
  <c r="AX2" i="14"/>
  <c r="AY2" i="14"/>
  <c r="AZ2" i="14"/>
  <c r="BA2" i="14"/>
  <c r="BB2" i="14"/>
  <c r="BC2" i="14"/>
  <c r="BD2" i="14"/>
  <c r="BE2" i="14"/>
  <c r="BF2" i="14"/>
  <c r="BG2" i="14"/>
  <c r="BH2" i="14"/>
  <c r="BI2" i="14"/>
  <c r="BJ2" i="14"/>
  <c r="BK2" i="14"/>
  <c r="BL2" i="14"/>
  <c r="BM2" i="14"/>
  <c r="BN2" i="14"/>
  <c r="BO2" i="14"/>
  <c r="BP2" i="14"/>
  <c r="BQ2" i="14"/>
  <c r="BR2" i="14"/>
  <c r="BS2" i="14"/>
  <c r="BT2" i="14"/>
  <c r="BU2" i="14"/>
  <c r="BV2" i="14"/>
  <c r="BW2" i="14"/>
  <c r="BX2" i="14"/>
  <c r="BY2" i="14"/>
  <c r="BZ2" i="14"/>
  <c r="M2" i="14"/>
  <c r="AQ18" i="9" l="1"/>
  <c r="CM18" i="8" s="1"/>
  <c r="AI13" i="9"/>
  <c r="K4" i="11"/>
  <c r="AX136" i="1"/>
  <c r="AX135" i="1"/>
  <c r="AX134" i="1"/>
  <c r="AX133" i="1"/>
  <c r="AX132" i="1"/>
  <c r="AX131" i="1"/>
  <c r="AX130" i="1"/>
  <c r="AX129" i="1"/>
  <c r="AX128" i="1"/>
  <c r="AX127" i="1"/>
  <c r="AX126" i="1"/>
  <c r="AX125" i="1"/>
  <c r="AX124" i="1"/>
  <c r="AX123" i="1"/>
  <c r="AX122" i="1"/>
  <c r="AX121" i="1"/>
  <c r="AX120" i="1"/>
  <c r="AX119" i="1"/>
  <c r="AX118" i="1"/>
  <c r="AX117" i="1"/>
  <c r="AX116" i="1"/>
  <c r="AX115" i="1"/>
  <c r="AX114" i="1"/>
  <c r="AX113" i="1"/>
  <c r="AX112" i="1"/>
  <c r="AX111" i="1"/>
  <c r="AX110" i="1"/>
  <c r="AX109" i="1"/>
  <c r="AX108" i="1"/>
  <c r="AX107" i="1"/>
  <c r="AX106" i="1"/>
  <c r="AX105" i="1"/>
  <c r="AX104" i="1"/>
  <c r="AX103" i="1"/>
  <c r="AX102" i="1"/>
  <c r="AX101" i="1"/>
  <c r="AX100" i="1"/>
  <c r="AX99" i="1"/>
  <c r="AX98" i="1"/>
  <c r="AX97" i="1"/>
  <c r="AX96" i="1"/>
  <c r="AX95" i="1"/>
  <c r="AX94" i="1"/>
  <c r="AX93" i="1"/>
  <c r="AX92" i="1"/>
  <c r="AX91" i="1"/>
  <c r="AX90" i="1"/>
  <c r="AX89" i="1"/>
  <c r="AX88" i="1"/>
  <c r="AX87" i="1"/>
  <c r="AX86" i="1"/>
  <c r="AX85" i="1"/>
  <c r="AX84" i="1"/>
  <c r="AX83" i="1"/>
  <c r="AX82" i="1"/>
  <c r="AX81" i="1"/>
  <c r="AX80" i="1"/>
  <c r="AX79" i="1"/>
  <c r="AX78" i="1"/>
  <c r="AX77" i="1"/>
  <c r="AX76" i="1"/>
  <c r="AX75" i="1"/>
  <c r="AX74" i="1"/>
  <c r="AX73" i="1"/>
  <c r="AX72" i="1"/>
  <c r="AX71" i="1"/>
  <c r="AX70" i="1"/>
  <c r="AX69" i="1"/>
  <c r="AX68" i="1"/>
  <c r="AX67" i="1"/>
  <c r="AX66" i="1"/>
  <c r="AX65" i="1"/>
  <c r="AX64" i="1"/>
  <c r="AX63" i="1"/>
  <c r="AX62" i="1"/>
  <c r="AX61" i="1"/>
  <c r="AX60" i="1"/>
  <c r="AX59" i="1"/>
  <c r="AX58" i="1"/>
  <c r="AX57" i="1"/>
  <c r="AX56" i="1"/>
  <c r="AX55" i="1"/>
  <c r="AX54" i="1"/>
  <c r="AX53" i="1"/>
  <c r="AX52" i="1"/>
  <c r="AX51" i="1"/>
  <c r="AX50" i="1"/>
  <c r="AX49" i="1"/>
  <c r="AX48" i="1"/>
  <c r="AX47" i="1"/>
  <c r="AX46" i="1"/>
  <c r="AX45" i="1"/>
  <c r="AX44" i="1"/>
  <c r="AX43" i="1"/>
  <c r="AX42" i="1"/>
  <c r="AX41" i="1"/>
  <c r="AX40" i="1"/>
  <c r="AX39" i="1"/>
  <c r="AX38" i="1"/>
  <c r="AX37" i="1"/>
  <c r="AX36" i="1"/>
  <c r="AX35" i="1"/>
  <c r="AX34" i="1"/>
  <c r="AX33" i="1"/>
  <c r="AX32" i="1"/>
  <c r="AX31" i="1"/>
  <c r="AX30" i="1"/>
  <c r="AX29" i="1"/>
  <c r="AX28" i="1"/>
  <c r="AX27" i="1"/>
  <c r="AX26" i="1"/>
  <c r="AX25" i="1"/>
  <c r="AX24" i="1"/>
  <c r="AX23" i="1"/>
  <c r="AX22" i="1"/>
  <c r="AX21" i="1"/>
  <c r="AX20" i="1"/>
  <c r="AX19" i="1"/>
  <c r="AX18" i="1"/>
  <c r="AX17" i="1"/>
  <c r="AX16" i="1"/>
  <c r="AX15" i="1"/>
  <c r="AX14" i="1"/>
  <c r="AX13" i="1"/>
  <c r="AX12" i="1"/>
  <c r="AX11" i="1"/>
  <c r="AX10" i="1"/>
  <c r="AX9" i="1"/>
  <c r="AX8" i="1"/>
  <c r="AX7" i="1"/>
  <c r="AX6" i="1"/>
  <c r="AX5" i="1"/>
  <c r="AX4" i="1"/>
  <c r="AQ19" i="9" l="1"/>
  <c r="CM19" i="8" s="1"/>
  <c r="AI14" i="9"/>
  <c r="A4" i="14"/>
  <c r="CA4" i="14" s="1"/>
  <c r="AQ20" i="9" l="1"/>
  <c r="CM20" i="8" s="1"/>
  <c r="AI15" i="9"/>
  <c r="AV4" i="14" a="1"/>
  <c r="AV4" i="14" s="1"/>
  <c r="BS4" i="14" a="1"/>
  <c r="BS4" i="14" s="1"/>
  <c r="BT4" i="14" a="1"/>
  <c r="BT4" i="14" s="1"/>
  <c r="M4" i="14" a="1"/>
  <c r="M4" i="14" s="1"/>
  <c r="AU4" i="14" a="1"/>
  <c r="AU4" i="14" s="1"/>
  <c r="BK4" i="14" a="1"/>
  <c r="BK4" i="14" s="1"/>
  <c r="BC4" i="14" a="1"/>
  <c r="BC4" i="14" s="1"/>
  <c r="AE4" i="14" a="1"/>
  <c r="AE4" i="14" s="1"/>
  <c r="AD4" i="14" a="1"/>
  <c r="AD4" i="14" s="1"/>
  <c r="W4" i="14" a="1"/>
  <c r="W4" i="14" s="1"/>
  <c r="O4" i="14" a="1"/>
  <c r="O4" i="14" s="1"/>
  <c r="BJ4" i="14" a="1"/>
  <c r="BJ4" i="14" s="1"/>
  <c r="BR4" i="14" a="1"/>
  <c r="BR4" i="14" s="1"/>
  <c r="AM4" i="14" a="1"/>
  <c r="AM4" i="14" s="1"/>
  <c r="X4" i="14" a="1"/>
  <c r="X4" i="14" s="1"/>
  <c r="AT4" i="14" a="1"/>
  <c r="AT4" i="14" s="1"/>
  <c r="N4" i="14" a="1"/>
  <c r="N4" i="14" s="1"/>
  <c r="V4" i="14" a="1"/>
  <c r="V4" i="14" s="1"/>
  <c r="BB4" i="14" a="1"/>
  <c r="BB4" i="14" s="1"/>
  <c r="AL4" i="14" a="1"/>
  <c r="AL4" i="14" s="1"/>
  <c r="BQ4" i="14" a="1"/>
  <c r="BQ4" i="14" s="1"/>
  <c r="BI4" i="14" a="1"/>
  <c r="BI4" i="14" s="1"/>
  <c r="BD4" i="14" a="1"/>
  <c r="BD4" i="14" s="1"/>
  <c r="U4" i="14" a="1"/>
  <c r="U4" i="14" s="1"/>
  <c r="P4" i="14" a="1"/>
  <c r="P4" i="14" s="1"/>
  <c r="AK4" i="14" a="1"/>
  <c r="AK4" i="14" s="1"/>
  <c r="BA4" i="14" a="1"/>
  <c r="BA4" i="14" s="1"/>
  <c r="AC4" i="14" a="1"/>
  <c r="AC4" i="14" s="1"/>
  <c r="AR4" i="14" a="1"/>
  <c r="AR4" i="14" s="1"/>
  <c r="BY4" i="14" a="1"/>
  <c r="BY4" i="14" s="1"/>
  <c r="BZ4" i="14" a="1"/>
  <c r="BZ4" i="14" s="1"/>
  <c r="BP4" i="14" a="1"/>
  <c r="BP4" i="14" s="1"/>
  <c r="AZ4" i="14" a="1"/>
  <c r="AZ4" i="14" s="1"/>
  <c r="BX4" i="14" a="1"/>
  <c r="BX4" i="14" s="1"/>
  <c r="AB4" i="14" a="1"/>
  <c r="AB4" i="14" s="1"/>
  <c r="AS4" i="14" a="1"/>
  <c r="AS4" i="14" s="1"/>
  <c r="AN4" i="14" a="1"/>
  <c r="AN4" i="14" s="1"/>
  <c r="BO4" i="14" a="1"/>
  <c r="BO4" i="14" s="1"/>
  <c r="BH4" i="14" a="1"/>
  <c r="BH4" i="14" s="1"/>
  <c r="T4" i="14" a="1"/>
  <c r="T4" i="14" s="1"/>
  <c r="AJ4" i="14" a="1"/>
  <c r="AJ4" i="14" s="1"/>
  <c r="BG4" i="14" a="1"/>
  <c r="BG4" i="14" s="1"/>
  <c r="AA4" i="14" a="1"/>
  <c r="AA4" i="14" s="1"/>
  <c r="AF4" i="14" a="1"/>
  <c r="AF4" i="14" s="1"/>
  <c r="BV4" i="14" a="1"/>
  <c r="BV4" i="14" s="1"/>
  <c r="BW4" i="14" a="1"/>
  <c r="BW4" i="14" s="1"/>
  <c r="AI4" i="14" a="1"/>
  <c r="AI4" i="14" s="1"/>
  <c r="S4" i="14" a="1"/>
  <c r="S4" i="14" s="1"/>
  <c r="BF4" i="14" a="1"/>
  <c r="BF4" i="14" s="1"/>
  <c r="AQ4" i="14" a="1"/>
  <c r="AQ4" i="14" s="1"/>
  <c r="BN4" i="14" a="1"/>
  <c r="BN4" i="14" s="1"/>
  <c r="AY4" i="14" a="1"/>
  <c r="AY4" i="14" s="1"/>
  <c r="AW4" i="14" a="1"/>
  <c r="AW4" i="14" s="1"/>
  <c r="Z4" i="14" a="1"/>
  <c r="Z4" i="14" s="1"/>
  <c r="AH4" i="14" a="1"/>
  <c r="AH4" i="14" s="1"/>
  <c r="AP4" i="14" a="1"/>
  <c r="AP4" i="14" s="1"/>
  <c r="BL4" i="14" a="1"/>
  <c r="BL4" i="14" s="1"/>
  <c r="AX4" i="14" a="1"/>
  <c r="AX4" i="14" s="1"/>
  <c r="BE4" i="14" a="1"/>
  <c r="BE4" i="14" s="1"/>
  <c r="BU4" i="14" a="1"/>
  <c r="BU4" i="14" s="1"/>
  <c r="AO4" i="14" a="1"/>
  <c r="AO4" i="14" s="1"/>
  <c r="AG4" i="14" a="1"/>
  <c r="AG4" i="14" s="1"/>
  <c r="Q4" i="14" a="1"/>
  <c r="Q4" i="14" s="1"/>
  <c r="BM4" i="14" a="1"/>
  <c r="BM4" i="14" s="1"/>
  <c r="Y4" i="14" a="1"/>
  <c r="Y4" i="14" s="1"/>
  <c r="R4" i="14" a="1"/>
  <c r="R4" i="14" s="1"/>
  <c r="Z4" i="9"/>
  <c r="D4" i="9" s="1"/>
  <c r="Z5" i="9"/>
  <c r="Z6" i="9"/>
  <c r="Z8" i="9"/>
  <c r="Z9" i="9"/>
  <c r="Z10" i="9"/>
  <c r="Z11" i="9"/>
  <c r="Z12" i="9"/>
  <c r="Z13" i="9"/>
  <c r="Z14" i="9"/>
  <c r="Z15" i="9"/>
  <c r="Z16" i="9"/>
  <c r="Z17" i="9"/>
  <c r="Z18" i="9"/>
  <c r="Z19" i="9"/>
  <c r="Z20" i="9"/>
  <c r="Z21" i="9"/>
  <c r="Z22" i="9"/>
  <c r="Z23" i="9"/>
  <c r="Z24" i="9"/>
  <c r="Z25" i="9"/>
  <c r="Z26" i="9"/>
  <c r="Z27" i="9"/>
  <c r="Z28" i="9"/>
  <c r="Z29" i="9"/>
  <c r="Z30" i="9"/>
  <c r="Z31" i="9"/>
  <c r="Z32" i="9"/>
  <c r="Z33" i="9"/>
  <c r="Z34" i="9"/>
  <c r="Z35" i="9"/>
  <c r="Z36" i="9"/>
  <c r="Z37" i="9"/>
  <c r="Z38" i="9"/>
  <c r="Z39" i="9"/>
  <c r="Z40" i="9"/>
  <c r="Z41" i="9"/>
  <c r="Z42" i="9"/>
  <c r="Z43" i="9"/>
  <c r="Z44" i="9"/>
  <c r="Z45" i="9"/>
  <c r="Z46" i="9"/>
  <c r="Z47" i="9"/>
  <c r="Z48" i="9"/>
  <c r="Z49" i="9"/>
  <c r="Z50" i="9"/>
  <c r="Z51" i="9"/>
  <c r="Z52" i="9"/>
  <c r="Z53" i="9"/>
  <c r="Z54" i="9"/>
  <c r="Z55" i="9"/>
  <c r="Z56" i="9"/>
  <c r="Z57" i="9"/>
  <c r="Z58" i="9"/>
  <c r="Z59" i="9"/>
  <c r="Z60" i="9"/>
  <c r="Z61" i="9"/>
  <c r="Z62" i="9"/>
  <c r="Z63" i="9"/>
  <c r="Z64" i="9"/>
  <c r="Z65" i="9"/>
  <c r="Z66" i="9"/>
  <c r="Z67" i="9"/>
  <c r="Z68" i="9"/>
  <c r="Z69" i="9"/>
  <c r="Z70" i="9"/>
  <c r="Z71" i="9"/>
  <c r="Z72" i="9"/>
  <c r="Z73" i="9"/>
  <c r="Z74" i="9"/>
  <c r="Z75" i="9"/>
  <c r="Z76" i="9"/>
  <c r="Z77" i="9"/>
  <c r="Z78" i="9"/>
  <c r="Z79" i="9"/>
  <c r="Z80" i="9"/>
  <c r="Z81" i="9"/>
  <c r="Z82" i="9"/>
  <c r="Z83" i="9"/>
  <c r="Z84" i="9"/>
  <c r="Z85" i="9"/>
  <c r="Z86" i="9"/>
  <c r="Z87" i="9"/>
  <c r="Z88" i="9"/>
  <c r="Z89" i="9"/>
  <c r="Z90" i="9"/>
  <c r="Z91" i="9"/>
  <c r="Z92" i="9"/>
  <c r="Z93" i="9"/>
  <c r="Z94" i="9"/>
  <c r="Z95" i="9"/>
  <c r="Z96" i="9"/>
  <c r="Z97" i="9"/>
  <c r="Z98" i="9"/>
  <c r="Z99" i="9"/>
  <c r="Z100" i="9"/>
  <c r="Z101" i="9"/>
  <c r="Z102" i="9"/>
  <c r="Z103" i="9"/>
  <c r="Z104" i="9"/>
  <c r="Z105" i="9"/>
  <c r="Z106" i="9"/>
  <c r="Z107" i="9"/>
  <c r="Z108" i="9"/>
  <c r="Z109" i="9"/>
  <c r="Z110" i="9"/>
  <c r="Z111" i="9"/>
  <c r="Z112" i="9"/>
  <c r="Z113" i="9"/>
  <c r="Z114" i="9"/>
  <c r="Z115" i="9"/>
  <c r="Z116" i="9"/>
  <c r="Z117" i="9"/>
  <c r="Z118" i="9"/>
  <c r="Z119" i="9"/>
  <c r="Z120" i="9"/>
  <c r="Z121" i="9"/>
  <c r="Z122" i="9"/>
  <c r="Z123" i="9"/>
  <c r="Z124" i="9"/>
  <c r="Z125" i="9"/>
  <c r="Z126" i="9"/>
  <c r="Z127" i="9"/>
  <c r="Z128" i="9"/>
  <c r="Z129" i="9"/>
  <c r="Z130" i="9"/>
  <c r="Z131" i="9"/>
  <c r="Z132" i="9"/>
  <c r="Z133" i="9"/>
  <c r="Z134" i="9"/>
  <c r="Z135" i="9"/>
  <c r="Z136" i="9"/>
  <c r="AD4" i="9"/>
  <c r="AD5" i="9" s="1"/>
  <c r="AD6" i="9" s="1"/>
  <c r="AD7" i="9" s="1"/>
  <c r="AD8" i="9" s="1"/>
  <c r="AD9" i="9" s="1"/>
  <c r="AD10" i="9" s="1"/>
  <c r="AD11" i="9" s="1"/>
  <c r="AD12" i="9" s="1"/>
  <c r="AD13" i="9" s="1"/>
  <c r="AD14" i="9" s="1"/>
  <c r="AD15" i="9" s="1"/>
  <c r="AD16" i="9" s="1"/>
  <c r="AD17" i="9" s="1"/>
  <c r="AD18" i="9" s="1"/>
  <c r="AD19" i="9" s="1"/>
  <c r="AD20" i="9" s="1"/>
  <c r="AD21" i="9" s="1"/>
  <c r="AD22" i="9" s="1"/>
  <c r="AD23" i="9" s="1"/>
  <c r="AD24" i="9" s="1"/>
  <c r="AD25" i="9" s="1"/>
  <c r="AD26" i="9" s="1"/>
  <c r="AD27" i="9" s="1"/>
  <c r="AD28" i="9" s="1"/>
  <c r="AD29" i="9" s="1"/>
  <c r="AD30" i="9" s="1"/>
  <c r="AD31" i="9" s="1"/>
  <c r="AD32" i="9" s="1"/>
  <c r="AD33" i="9" s="1"/>
  <c r="AD34" i="9" s="1"/>
  <c r="AD35" i="9" s="1"/>
  <c r="AD36" i="9" s="1"/>
  <c r="AD37" i="9" s="1"/>
  <c r="AD38" i="9" s="1"/>
  <c r="AD39" i="9" s="1"/>
  <c r="AD40" i="9" s="1"/>
  <c r="AD41" i="9" s="1"/>
  <c r="AD42" i="9" s="1"/>
  <c r="AD43" i="9" s="1"/>
  <c r="AD44" i="9" s="1"/>
  <c r="AD45" i="9" s="1"/>
  <c r="AD46" i="9" s="1"/>
  <c r="AD47" i="9" s="1"/>
  <c r="AD48" i="9" s="1"/>
  <c r="AD49" i="9" s="1"/>
  <c r="AD50" i="9" s="1"/>
  <c r="AD51" i="9" s="1"/>
  <c r="AD52" i="9" s="1"/>
  <c r="AD53" i="9" s="1"/>
  <c r="AD54" i="9" s="1"/>
  <c r="AD55" i="9" s="1"/>
  <c r="AD56" i="9" s="1"/>
  <c r="AD57" i="9" s="1"/>
  <c r="AD58" i="9" s="1"/>
  <c r="AD59" i="9" s="1"/>
  <c r="AD60" i="9" s="1"/>
  <c r="AD61" i="9" s="1"/>
  <c r="AD62" i="9" s="1"/>
  <c r="AD63" i="9" s="1"/>
  <c r="AD64" i="9" s="1"/>
  <c r="AD65" i="9" s="1"/>
  <c r="AD66" i="9" s="1"/>
  <c r="AD67" i="9" s="1"/>
  <c r="AD68" i="9" s="1"/>
  <c r="AD69" i="9" s="1"/>
  <c r="AD70" i="9" s="1"/>
  <c r="AD71" i="9" s="1"/>
  <c r="AD72" i="9" s="1"/>
  <c r="AD73" i="9" s="1"/>
  <c r="AD74" i="9" s="1"/>
  <c r="AD75" i="9" s="1"/>
  <c r="AD76" i="9" s="1"/>
  <c r="AD77" i="9" s="1"/>
  <c r="AD78" i="9" s="1"/>
  <c r="AD79" i="9" s="1"/>
  <c r="AD80" i="9" s="1"/>
  <c r="AD81" i="9" s="1"/>
  <c r="AD82" i="9" s="1"/>
  <c r="AD83" i="9" s="1"/>
  <c r="AD84" i="9" s="1"/>
  <c r="AD85" i="9" s="1"/>
  <c r="AD86" i="9" s="1"/>
  <c r="AD87" i="9" s="1"/>
  <c r="AD88" i="9" s="1"/>
  <c r="AD89" i="9" s="1"/>
  <c r="AD90" i="9" s="1"/>
  <c r="AD91" i="9" s="1"/>
  <c r="AD92" i="9" s="1"/>
  <c r="AD93" i="9" s="1"/>
  <c r="AD94" i="9" s="1"/>
  <c r="AD95" i="9" s="1"/>
  <c r="AD96" i="9" s="1"/>
  <c r="AD97" i="9" s="1"/>
  <c r="AD98" i="9" s="1"/>
  <c r="AD99" i="9" s="1"/>
  <c r="AD100" i="9" s="1"/>
  <c r="AD101" i="9" s="1"/>
  <c r="AD102" i="9" s="1"/>
  <c r="AD103" i="9" s="1"/>
  <c r="AD104" i="9" s="1"/>
  <c r="AD105" i="9" s="1"/>
  <c r="AD106" i="9" s="1"/>
  <c r="AD107" i="9" s="1"/>
  <c r="AD108" i="9" s="1"/>
  <c r="AD109" i="9" s="1"/>
  <c r="AD110" i="9" s="1"/>
  <c r="AD111" i="9" s="1"/>
  <c r="AD112" i="9" s="1"/>
  <c r="AD113" i="9" s="1"/>
  <c r="AD114" i="9" s="1"/>
  <c r="AD115" i="9" s="1"/>
  <c r="AD116" i="9" s="1"/>
  <c r="AD117" i="9" s="1"/>
  <c r="AD118" i="9" s="1"/>
  <c r="AD119" i="9" s="1"/>
  <c r="AD120" i="9" s="1"/>
  <c r="AD121" i="9" s="1"/>
  <c r="AD122" i="9" s="1"/>
  <c r="AD123" i="9" s="1"/>
  <c r="AD124" i="9" s="1"/>
  <c r="AD125" i="9" s="1"/>
  <c r="AD126" i="9" s="1"/>
  <c r="AD127" i="9" s="1"/>
  <c r="AD128" i="9" s="1"/>
  <c r="AD129" i="9" s="1"/>
  <c r="AD130" i="9" s="1"/>
  <c r="AD131" i="9" s="1"/>
  <c r="AD132" i="9" s="1"/>
  <c r="AD133" i="9" s="1"/>
  <c r="AD134" i="9" s="1"/>
  <c r="AD135" i="9" s="1"/>
  <c r="AD136" i="9" s="1"/>
  <c r="AE4" i="9"/>
  <c r="AE5" i="9" s="1"/>
  <c r="AF4" i="9"/>
  <c r="AF5" i="9" s="1"/>
  <c r="AF6" i="9" s="1"/>
  <c r="AF7" i="9" s="1"/>
  <c r="AF8" i="9" s="1"/>
  <c r="AF9" i="9" s="1"/>
  <c r="AF10" i="9" s="1"/>
  <c r="AF11" i="9" s="1"/>
  <c r="AF12" i="9" s="1"/>
  <c r="AF13" i="9" s="1"/>
  <c r="AF14" i="9" s="1"/>
  <c r="AF15" i="9" s="1"/>
  <c r="AF16" i="9" s="1"/>
  <c r="AF17" i="9" s="1"/>
  <c r="AF18" i="9" s="1"/>
  <c r="AF19" i="9" s="1"/>
  <c r="AF20" i="9" s="1"/>
  <c r="AF21" i="9" s="1"/>
  <c r="AF22" i="9" s="1"/>
  <c r="AF23" i="9" s="1"/>
  <c r="AF24" i="9" s="1"/>
  <c r="AF25" i="9" s="1"/>
  <c r="AF26" i="9" s="1"/>
  <c r="AF27" i="9" s="1"/>
  <c r="AF28" i="9" s="1"/>
  <c r="AF29" i="9" s="1"/>
  <c r="AF30" i="9" s="1"/>
  <c r="AF31" i="9" s="1"/>
  <c r="AF32" i="9" s="1"/>
  <c r="AF33" i="9" s="1"/>
  <c r="AF34" i="9" s="1"/>
  <c r="AF35" i="9" s="1"/>
  <c r="AF36" i="9" s="1"/>
  <c r="AF37" i="9" s="1"/>
  <c r="AF38" i="9" s="1"/>
  <c r="AF39" i="9" s="1"/>
  <c r="AF40" i="9" s="1"/>
  <c r="AF41" i="9" s="1"/>
  <c r="AF42" i="9" s="1"/>
  <c r="AF43" i="9" s="1"/>
  <c r="AF44" i="9" s="1"/>
  <c r="AF45" i="9" s="1"/>
  <c r="AF46" i="9" s="1"/>
  <c r="AF47" i="9" s="1"/>
  <c r="AF48" i="9" s="1"/>
  <c r="AF49" i="9" s="1"/>
  <c r="AF50" i="9" s="1"/>
  <c r="AF51" i="9" s="1"/>
  <c r="AF52" i="9" s="1"/>
  <c r="AF53" i="9" s="1"/>
  <c r="AF54" i="9" s="1"/>
  <c r="AF55" i="9" s="1"/>
  <c r="AF56" i="9" s="1"/>
  <c r="AF57" i="9" s="1"/>
  <c r="AF58" i="9" s="1"/>
  <c r="AF59" i="9" s="1"/>
  <c r="AF60" i="9" s="1"/>
  <c r="AF61" i="9" s="1"/>
  <c r="AF62" i="9" s="1"/>
  <c r="AF63" i="9" s="1"/>
  <c r="AF64" i="9" s="1"/>
  <c r="AF65" i="9" s="1"/>
  <c r="AF66" i="9" s="1"/>
  <c r="AF67" i="9" s="1"/>
  <c r="AF68" i="9" s="1"/>
  <c r="AF69" i="9" s="1"/>
  <c r="AF70" i="9" s="1"/>
  <c r="AF71" i="9" s="1"/>
  <c r="AF72" i="9" s="1"/>
  <c r="AF73" i="9" s="1"/>
  <c r="AF74" i="9" s="1"/>
  <c r="AF75" i="9" s="1"/>
  <c r="AF76" i="9" s="1"/>
  <c r="AF77" i="9" s="1"/>
  <c r="AF78" i="9" s="1"/>
  <c r="AF79" i="9" s="1"/>
  <c r="AF80" i="9" s="1"/>
  <c r="AF81" i="9" s="1"/>
  <c r="AF82" i="9" s="1"/>
  <c r="AF83" i="9" s="1"/>
  <c r="AF84" i="9" s="1"/>
  <c r="AF85" i="9" s="1"/>
  <c r="AF86" i="9" s="1"/>
  <c r="AF87" i="9" s="1"/>
  <c r="AF88" i="9" s="1"/>
  <c r="AF89" i="9" s="1"/>
  <c r="AF90" i="9" s="1"/>
  <c r="AF91" i="9" s="1"/>
  <c r="AF92" i="9" s="1"/>
  <c r="AF93" i="9" s="1"/>
  <c r="AF94" i="9" s="1"/>
  <c r="AF95" i="9" s="1"/>
  <c r="AF96" i="9" s="1"/>
  <c r="AF97" i="9" s="1"/>
  <c r="AF98" i="9" s="1"/>
  <c r="AF99" i="9" s="1"/>
  <c r="AF100" i="9" s="1"/>
  <c r="AF101" i="9" s="1"/>
  <c r="AF102" i="9" s="1"/>
  <c r="AF103" i="9" s="1"/>
  <c r="AF104" i="9" s="1"/>
  <c r="AF105" i="9" s="1"/>
  <c r="AF106" i="9" s="1"/>
  <c r="AF107" i="9" s="1"/>
  <c r="AF108" i="9" s="1"/>
  <c r="AF109" i="9" s="1"/>
  <c r="AF110" i="9" s="1"/>
  <c r="AF111" i="9" s="1"/>
  <c r="AF112" i="9" s="1"/>
  <c r="AF113" i="9" s="1"/>
  <c r="AF114" i="9" s="1"/>
  <c r="AF115" i="9" s="1"/>
  <c r="AF116" i="9" s="1"/>
  <c r="AF117" i="9" s="1"/>
  <c r="AF118" i="9" s="1"/>
  <c r="AF119" i="9" s="1"/>
  <c r="AF120" i="9" s="1"/>
  <c r="AF121" i="9" s="1"/>
  <c r="AF122" i="9" s="1"/>
  <c r="AF123" i="9" s="1"/>
  <c r="AF124" i="9" s="1"/>
  <c r="AF125" i="9" s="1"/>
  <c r="AF126" i="9" s="1"/>
  <c r="AF127" i="9" s="1"/>
  <c r="AF128" i="9" s="1"/>
  <c r="AF129" i="9" s="1"/>
  <c r="AF130" i="9" s="1"/>
  <c r="AF131" i="9" s="1"/>
  <c r="AF132" i="9" s="1"/>
  <c r="AF133" i="9" s="1"/>
  <c r="AF134" i="9" s="1"/>
  <c r="AF135" i="9" s="1"/>
  <c r="AF136" i="9" s="1"/>
  <c r="AG4" i="9"/>
  <c r="AG5" i="9" s="1"/>
  <c r="AH4" i="9"/>
  <c r="AH5" i="9" s="1"/>
  <c r="AJ4" i="9"/>
  <c r="AJ5" i="9" s="1"/>
  <c r="AJ6" i="9" s="1"/>
  <c r="AJ7" i="9" s="1"/>
  <c r="AJ8" i="9" s="1"/>
  <c r="AJ9" i="9" s="1"/>
  <c r="AJ10" i="9" s="1"/>
  <c r="AJ11" i="9" s="1"/>
  <c r="AJ12" i="9" s="1"/>
  <c r="AJ13" i="9" s="1"/>
  <c r="AJ14" i="9" s="1"/>
  <c r="AJ15" i="9" s="1"/>
  <c r="AJ16" i="9" s="1"/>
  <c r="AJ17" i="9" s="1"/>
  <c r="AJ18" i="9" s="1"/>
  <c r="AJ19" i="9" s="1"/>
  <c r="AJ20" i="9" s="1"/>
  <c r="AJ21" i="9" s="1"/>
  <c r="AJ22" i="9" s="1"/>
  <c r="AJ23" i="9" s="1"/>
  <c r="AJ24" i="9" s="1"/>
  <c r="AJ25" i="9" s="1"/>
  <c r="AJ26" i="9" s="1"/>
  <c r="AJ27" i="9" s="1"/>
  <c r="AJ28" i="9" s="1"/>
  <c r="AJ29" i="9" s="1"/>
  <c r="AJ30" i="9" s="1"/>
  <c r="AJ31" i="9" s="1"/>
  <c r="AJ32" i="9" s="1"/>
  <c r="AJ33" i="9" s="1"/>
  <c r="AJ34" i="9" s="1"/>
  <c r="AJ35" i="9" s="1"/>
  <c r="AJ36" i="9" s="1"/>
  <c r="AJ37" i="9" s="1"/>
  <c r="AJ38" i="9" s="1"/>
  <c r="AJ39" i="9" s="1"/>
  <c r="AJ40" i="9" s="1"/>
  <c r="AJ41" i="9" s="1"/>
  <c r="AJ42" i="9" s="1"/>
  <c r="AJ43" i="9" s="1"/>
  <c r="AJ44" i="9" s="1"/>
  <c r="AJ45" i="9" s="1"/>
  <c r="AJ46" i="9" s="1"/>
  <c r="AJ47" i="9" s="1"/>
  <c r="AJ48" i="9" s="1"/>
  <c r="AJ49" i="9" s="1"/>
  <c r="AJ50" i="9" s="1"/>
  <c r="AJ51" i="9" s="1"/>
  <c r="AJ52" i="9" s="1"/>
  <c r="AJ53" i="9" s="1"/>
  <c r="AJ54" i="9" s="1"/>
  <c r="AJ55" i="9" s="1"/>
  <c r="AJ56" i="9" s="1"/>
  <c r="AJ57" i="9" s="1"/>
  <c r="AJ58" i="9" s="1"/>
  <c r="AJ59" i="9" s="1"/>
  <c r="AJ60" i="9" s="1"/>
  <c r="AJ61" i="9" s="1"/>
  <c r="AJ62" i="9" s="1"/>
  <c r="AJ63" i="9" s="1"/>
  <c r="AJ64" i="9" s="1"/>
  <c r="AJ65" i="9" s="1"/>
  <c r="AJ66" i="9" s="1"/>
  <c r="AJ67" i="9" s="1"/>
  <c r="AJ68" i="9" s="1"/>
  <c r="AJ69" i="9" s="1"/>
  <c r="AJ70" i="9" s="1"/>
  <c r="AJ71" i="9" s="1"/>
  <c r="AJ72" i="9" s="1"/>
  <c r="AJ73" i="9" s="1"/>
  <c r="AJ74" i="9" s="1"/>
  <c r="AJ75" i="9" s="1"/>
  <c r="AJ76" i="9" s="1"/>
  <c r="AJ77" i="9" s="1"/>
  <c r="AJ78" i="9" s="1"/>
  <c r="AJ79" i="9" s="1"/>
  <c r="AJ80" i="9" s="1"/>
  <c r="AJ81" i="9" s="1"/>
  <c r="AJ82" i="9" s="1"/>
  <c r="AJ83" i="9" s="1"/>
  <c r="AJ84" i="9" s="1"/>
  <c r="AJ85" i="9" s="1"/>
  <c r="AJ86" i="9" s="1"/>
  <c r="AJ87" i="9" s="1"/>
  <c r="AJ88" i="9" s="1"/>
  <c r="AJ89" i="9" s="1"/>
  <c r="AJ90" i="9" s="1"/>
  <c r="AJ91" i="9" s="1"/>
  <c r="AJ92" i="9" s="1"/>
  <c r="AJ93" i="9" s="1"/>
  <c r="AJ94" i="9" s="1"/>
  <c r="AJ95" i="9" s="1"/>
  <c r="AJ96" i="9" s="1"/>
  <c r="AJ97" i="9" s="1"/>
  <c r="AJ98" i="9" s="1"/>
  <c r="AJ99" i="9" s="1"/>
  <c r="AJ100" i="9" s="1"/>
  <c r="AJ101" i="9" s="1"/>
  <c r="AJ102" i="9" s="1"/>
  <c r="AJ103" i="9" s="1"/>
  <c r="AJ104" i="9" s="1"/>
  <c r="AJ105" i="9" s="1"/>
  <c r="AJ106" i="9" s="1"/>
  <c r="AJ107" i="9" s="1"/>
  <c r="AJ108" i="9" s="1"/>
  <c r="AJ109" i="9" s="1"/>
  <c r="AJ110" i="9" s="1"/>
  <c r="AJ111" i="9" s="1"/>
  <c r="AJ112" i="9" s="1"/>
  <c r="AJ113" i="9" s="1"/>
  <c r="AJ114" i="9" s="1"/>
  <c r="AJ115" i="9" s="1"/>
  <c r="AJ116" i="9" s="1"/>
  <c r="AJ117" i="9" s="1"/>
  <c r="AJ118" i="9" s="1"/>
  <c r="AJ119" i="9" s="1"/>
  <c r="AJ120" i="9" s="1"/>
  <c r="AJ121" i="9" s="1"/>
  <c r="AJ122" i="9" s="1"/>
  <c r="AJ123" i="9" s="1"/>
  <c r="AJ124" i="9" s="1"/>
  <c r="AJ125" i="9" s="1"/>
  <c r="AJ126" i="9" s="1"/>
  <c r="AJ127" i="9" s="1"/>
  <c r="AJ128" i="9" s="1"/>
  <c r="AJ129" i="9" s="1"/>
  <c r="AJ130" i="9" s="1"/>
  <c r="AJ131" i="9" s="1"/>
  <c r="AJ132" i="9" s="1"/>
  <c r="AJ133" i="9" s="1"/>
  <c r="AJ134" i="9" s="1"/>
  <c r="AJ135" i="9" s="1"/>
  <c r="AJ136" i="9" s="1"/>
  <c r="AK4" i="9"/>
  <c r="AK5" i="9" s="1"/>
  <c r="AL4" i="9"/>
  <c r="AL5" i="9" s="1"/>
  <c r="AL6" i="9" s="1"/>
  <c r="AL7" i="9" s="1"/>
  <c r="AL8" i="9" s="1"/>
  <c r="AL9" i="9" s="1"/>
  <c r="AL10" i="9" s="1"/>
  <c r="AL11" i="9" s="1"/>
  <c r="AL12" i="9" s="1"/>
  <c r="AL13" i="9" s="1"/>
  <c r="AL14" i="9" s="1"/>
  <c r="AL15" i="9" s="1"/>
  <c r="AL16" i="9" s="1"/>
  <c r="AL17" i="9" s="1"/>
  <c r="AL18" i="9" s="1"/>
  <c r="AL19" i="9" s="1"/>
  <c r="AL20" i="9" s="1"/>
  <c r="AL21" i="9" s="1"/>
  <c r="AL22" i="9" s="1"/>
  <c r="AL23" i="9" s="1"/>
  <c r="AL24" i="9" s="1"/>
  <c r="AL25" i="9" s="1"/>
  <c r="AL26" i="9" s="1"/>
  <c r="AL27" i="9" s="1"/>
  <c r="AL28" i="9" s="1"/>
  <c r="AL29" i="9" s="1"/>
  <c r="AL30" i="9" s="1"/>
  <c r="AL31" i="9" s="1"/>
  <c r="AL32" i="9" s="1"/>
  <c r="AL33" i="9" s="1"/>
  <c r="AL34" i="9" s="1"/>
  <c r="AL35" i="9" s="1"/>
  <c r="AL36" i="9" s="1"/>
  <c r="AL37" i="9" s="1"/>
  <c r="AL38" i="9" s="1"/>
  <c r="AL39" i="9" s="1"/>
  <c r="AL40" i="9" s="1"/>
  <c r="AL41" i="9" s="1"/>
  <c r="AL42" i="9" s="1"/>
  <c r="AL43" i="9" s="1"/>
  <c r="AL44" i="9" s="1"/>
  <c r="AL45" i="9" s="1"/>
  <c r="AL46" i="9" s="1"/>
  <c r="AL47" i="9" s="1"/>
  <c r="AL48" i="9" s="1"/>
  <c r="AL49" i="9" s="1"/>
  <c r="AL50" i="9" s="1"/>
  <c r="AL51" i="9" s="1"/>
  <c r="AL52" i="9" s="1"/>
  <c r="AL53" i="9" s="1"/>
  <c r="AL54" i="9" s="1"/>
  <c r="AL55" i="9" s="1"/>
  <c r="AL56" i="9" s="1"/>
  <c r="AL57" i="9" s="1"/>
  <c r="AL58" i="9" s="1"/>
  <c r="AL59" i="9" s="1"/>
  <c r="AL60" i="9" s="1"/>
  <c r="AL61" i="9" s="1"/>
  <c r="AL62" i="9" s="1"/>
  <c r="AL63" i="9" s="1"/>
  <c r="AL64" i="9" s="1"/>
  <c r="AL65" i="9" s="1"/>
  <c r="AL66" i="9" s="1"/>
  <c r="AL67" i="9" s="1"/>
  <c r="AL68" i="9" s="1"/>
  <c r="AL69" i="9" s="1"/>
  <c r="AL70" i="9" s="1"/>
  <c r="AL71" i="9" s="1"/>
  <c r="AL72" i="9" s="1"/>
  <c r="AL73" i="9" s="1"/>
  <c r="AL74" i="9" s="1"/>
  <c r="AL75" i="9" s="1"/>
  <c r="AL76" i="9" s="1"/>
  <c r="AL77" i="9" s="1"/>
  <c r="AL78" i="9" s="1"/>
  <c r="AL79" i="9" s="1"/>
  <c r="AL80" i="9" s="1"/>
  <c r="AL81" i="9" s="1"/>
  <c r="AL82" i="9" s="1"/>
  <c r="AL83" i="9" s="1"/>
  <c r="AL84" i="9" s="1"/>
  <c r="AL85" i="9" s="1"/>
  <c r="AL86" i="9" s="1"/>
  <c r="AL87" i="9" s="1"/>
  <c r="AL88" i="9" s="1"/>
  <c r="AL89" i="9" s="1"/>
  <c r="AL90" i="9" s="1"/>
  <c r="AL91" i="9" s="1"/>
  <c r="AL92" i="9" s="1"/>
  <c r="AL93" i="9" s="1"/>
  <c r="AL94" i="9" s="1"/>
  <c r="AL95" i="9" s="1"/>
  <c r="AL96" i="9" s="1"/>
  <c r="AL97" i="9" s="1"/>
  <c r="AL98" i="9" s="1"/>
  <c r="AL99" i="9" s="1"/>
  <c r="AL100" i="9" s="1"/>
  <c r="AL101" i="9" s="1"/>
  <c r="AL102" i="9" s="1"/>
  <c r="AL103" i="9" s="1"/>
  <c r="AL104" i="9" s="1"/>
  <c r="AL105" i="9" s="1"/>
  <c r="AL106" i="9" s="1"/>
  <c r="AL107" i="9" s="1"/>
  <c r="AL108" i="9" s="1"/>
  <c r="AL109" i="9" s="1"/>
  <c r="AL110" i="9" s="1"/>
  <c r="AL111" i="9" s="1"/>
  <c r="AL112" i="9" s="1"/>
  <c r="AL113" i="9" s="1"/>
  <c r="AL114" i="9" s="1"/>
  <c r="AL115" i="9" s="1"/>
  <c r="AL116" i="9" s="1"/>
  <c r="AL117" i="9" s="1"/>
  <c r="AL118" i="9" s="1"/>
  <c r="AL119" i="9" s="1"/>
  <c r="AL120" i="9" s="1"/>
  <c r="AL121" i="9" s="1"/>
  <c r="AL122" i="9" s="1"/>
  <c r="AL123" i="9" s="1"/>
  <c r="AL124" i="9" s="1"/>
  <c r="AL125" i="9" s="1"/>
  <c r="AL126" i="9" s="1"/>
  <c r="AL127" i="9" s="1"/>
  <c r="AL128" i="9" s="1"/>
  <c r="AL129" i="9" s="1"/>
  <c r="AL130" i="9" s="1"/>
  <c r="AL131" i="9" s="1"/>
  <c r="AL132" i="9" s="1"/>
  <c r="AL133" i="9" s="1"/>
  <c r="AL134" i="9" s="1"/>
  <c r="AL135" i="9" s="1"/>
  <c r="AL136" i="9" s="1"/>
  <c r="AM4" i="9"/>
  <c r="AM5" i="9" s="1"/>
  <c r="AN4" i="9"/>
  <c r="AN5" i="9" s="1"/>
  <c r="AN6" i="9" s="1"/>
  <c r="AN7" i="9" s="1"/>
  <c r="AN8" i="9" s="1"/>
  <c r="AN9" i="9" s="1"/>
  <c r="AN10" i="9" s="1"/>
  <c r="AN11" i="9" s="1"/>
  <c r="AN12" i="9" s="1"/>
  <c r="AN13" i="9" s="1"/>
  <c r="AN14" i="9" s="1"/>
  <c r="AN15" i="9" s="1"/>
  <c r="AN16" i="9" s="1"/>
  <c r="AN17" i="9" s="1"/>
  <c r="AN18" i="9" s="1"/>
  <c r="AN19" i="9" s="1"/>
  <c r="AN20" i="9" s="1"/>
  <c r="AN21" i="9" s="1"/>
  <c r="AN22" i="9" s="1"/>
  <c r="AN23" i="9" s="1"/>
  <c r="AN24" i="9" s="1"/>
  <c r="AN25" i="9" s="1"/>
  <c r="AN26" i="9" s="1"/>
  <c r="AN27" i="9" s="1"/>
  <c r="AN28" i="9" s="1"/>
  <c r="AN29" i="9" s="1"/>
  <c r="AN30" i="9" s="1"/>
  <c r="AN31" i="9" s="1"/>
  <c r="AN32" i="9" s="1"/>
  <c r="AN33" i="9" s="1"/>
  <c r="AN34" i="9" s="1"/>
  <c r="AN35" i="9" s="1"/>
  <c r="AN36" i="9" s="1"/>
  <c r="AN37" i="9" s="1"/>
  <c r="AN38" i="9" s="1"/>
  <c r="AN39" i="9" s="1"/>
  <c r="AN40" i="9" s="1"/>
  <c r="AN41" i="9" s="1"/>
  <c r="AN42" i="9" s="1"/>
  <c r="AN43" i="9" s="1"/>
  <c r="AN44" i="9" s="1"/>
  <c r="AN45" i="9" s="1"/>
  <c r="AN46" i="9" s="1"/>
  <c r="AN47" i="9" s="1"/>
  <c r="AN48" i="9" s="1"/>
  <c r="AN49" i="9" s="1"/>
  <c r="AN50" i="9" s="1"/>
  <c r="AN51" i="9" s="1"/>
  <c r="AN52" i="9" s="1"/>
  <c r="AN53" i="9" s="1"/>
  <c r="AN54" i="9" s="1"/>
  <c r="AN55" i="9" s="1"/>
  <c r="AN56" i="9" s="1"/>
  <c r="AN57" i="9" s="1"/>
  <c r="AN58" i="9" s="1"/>
  <c r="AN59" i="9" s="1"/>
  <c r="AN60" i="9" s="1"/>
  <c r="AN61" i="9" s="1"/>
  <c r="AN62" i="9" s="1"/>
  <c r="AN63" i="9" s="1"/>
  <c r="AN64" i="9" s="1"/>
  <c r="AN65" i="9" s="1"/>
  <c r="AN66" i="9" s="1"/>
  <c r="AN67" i="9" s="1"/>
  <c r="AN68" i="9" s="1"/>
  <c r="AN69" i="9" s="1"/>
  <c r="AN70" i="9" s="1"/>
  <c r="AN71" i="9" s="1"/>
  <c r="AN72" i="9" s="1"/>
  <c r="AN73" i="9" s="1"/>
  <c r="AN74" i="9" s="1"/>
  <c r="AN75" i="9" s="1"/>
  <c r="AN76" i="9" s="1"/>
  <c r="AN77" i="9" s="1"/>
  <c r="AN78" i="9" s="1"/>
  <c r="AN79" i="9" s="1"/>
  <c r="AN80" i="9" s="1"/>
  <c r="AN81" i="9" s="1"/>
  <c r="AN82" i="9" s="1"/>
  <c r="AN83" i="9" s="1"/>
  <c r="AN84" i="9" s="1"/>
  <c r="AN85" i="9" s="1"/>
  <c r="AN86" i="9" s="1"/>
  <c r="AN87" i="9" s="1"/>
  <c r="AN88" i="9" s="1"/>
  <c r="AN89" i="9" s="1"/>
  <c r="AN90" i="9" s="1"/>
  <c r="AN91" i="9" s="1"/>
  <c r="AN92" i="9" s="1"/>
  <c r="AN93" i="9" s="1"/>
  <c r="AN94" i="9" s="1"/>
  <c r="AN95" i="9" s="1"/>
  <c r="AN96" i="9" s="1"/>
  <c r="AN97" i="9" s="1"/>
  <c r="AN98" i="9" s="1"/>
  <c r="AN99" i="9" s="1"/>
  <c r="AN100" i="9" s="1"/>
  <c r="AN101" i="9" s="1"/>
  <c r="AN102" i="9" s="1"/>
  <c r="AN103" i="9" s="1"/>
  <c r="AN104" i="9" s="1"/>
  <c r="AN105" i="9" s="1"/>
  <c r="AN106" i="9" s="1"/>
  <c r="AN107" i="9" s="1"/>
  <c r="AN108" i="9" s="1"/>
  <c r="AN109" i="9" s="1"/>
  <c r="AN110" i="9" s="1"/>
  <c r="AN111" i="9" s="1"/>
  <c r="AN112" i="9" s="1"/>
  <c r="AN113" i="9" s="1"/>
  <c r="AN114" i="9" s="1"/>
  <c r="AN115" i="9" s="1"/>
  <c r="AN116" i="9" s="1"/>
  <c r="AN117" i="9" s="1"/>
  <c r="AN118" i="9" s="1"/>
  <c r="AN119" i="9" s="1"/>
  <c r="AN120" i="9" s="1"/>
  <c r="AN121" i="9" s="1"/>
  <c r="AN122" i="9" s="1"/>
  <c r="AN123" i="9" s="1"/>
  <c r="AN124" i="9" s="1"/>
  <c r="AN125" i="9" s="1"/>
  <c r="AN126" i="9" s="1"/>
  <c r="AN127" i="9" s="1"/>
  <c r="AN128" i="9" s="1"/>
  <c r="AN129" i="9" s="1"/>
  <c r="AN130" i="9" s="1"/>
  <c r="AN131" i="9" s="1"/>
  <c r="AN132" i="9" s="1"/>
  <c r="AN133" i="9" s="1"/>
  <c r="AN134" i="9" s="1"/>
  <c r="AN135" i="9" s="1"/>
  <c r="AN136" i="9" s="1"/>
  <c r="AO6" i="9"/>
  <c r="AO7" i="9" s="1"/>
  <c r="AO8" i="9" s="1"/>
  <c r="AO9" i="9" s="1"/>
  <c r="AO10" i="9" s="1"/>
  <c r="AO11" i="9" s="1"/>
  <c r="AO12" i="9" s="1"/>
  <c r="AO13" i="9" s="1"/>
  <c r="AO14" i="9" s="1"/>
  <c r="AO15" i="9" s="1"/>
  <c r="AO16" i="9" s="1"/>
  <c r="AO17" i="9" s="1"/>
  <c r="AO18" i="9" s="1"/>
  <c r="AO19" i="9" s="1"/>
  <c r="AO20" i="9" s="1"/>
  <c r="AO21" i="9" s="1"/>
  <c r="AO22" i="9" s="1"/>
  <c r="AO23" i="9" s="1"/>
  <c r="AO24" i="9" s="1"/>
  <c r="AO25" i="9" s="1"/>
  <c r="AO26" i="9" s="1"/>
  <c r="AO27" i="9" s="1"/>
  <c r="AO28" i="9" s="1"/>
  <c r="AO29" i="9" s="1"/>
  <c r="AO30" i="9" s="1"/>
  <c r="AO31" i="9" s="1"/>
  <c r="AO32" i="9" s="1"/>
  <c r="AO33" i="9" s="1"/>
  <c r="AO34" i="9" s="1"/>
  <c r="AO35" i="9" s="1"/>
  <c r="AO36" i="9" s="1"/>
  <c r="AO37" i="9" s="1"/>
  <c r="AO38" i="9" s="1"/>
  <c r="AO39" i="9" s="1"/>
  <c r="AO40" i="9" s="1"/>
  <c r="AO41" i="9" s="1"/>
  <c r="AO42" i="9" s="1"/>
  <c r="AO43" i="9" s="1"/>
  <c r="AO44" i="9" s="1"/>
  <c r="AO45" i="9" s="1"/>
  <c r="AO46" i="9" s="1"/>
  <c r="AO47" i="9" s="1"/>
  <c r="AO48" i="9" s="1"/>
  <c r="AO49" i="9" s="1"/>
  <c r="AO50" i="9" s="1"/>
  <c r="AO51" i="9" s="1"/>
  <c r="AO52" i="9" s="1"/>
  <c r="AO53" i="9" s="1"/>
  <c r="AO54" i="9" s="1"/>
  <c r="AO55" i="9" s="1"/>
  <c r="AO56" i="9" s="1"/>
  <c r="AO57" i="9" s="1"/>
  <c r="AO58" i="9" s="1"/>
  <c r="AO59" i="9" s="1"/>
  <c r="AO60" i="9" s="1"/>
  <c r="AO61" i="9" s="1"/>
  <c r="AO62" i="9" s="1"/>
  <c r="AO63" i="9" s="1"/>
  <c r="AO64" i="9" s="1"/>
  <c r="AO65" i="9" s="1"/>
  <c r="AO66" i="9" s="1"/>
  <c r="AO67" i="9" s="1"/>
  <c r="AO68" i="9" s="1"/>
  <c r="AO69" i="9" s="1"/>
  <c r="AO70" i="9" s="1"/>
  <c r="AO71" i="9" s="1"/>
  <c r="AO72" i="9" s="1"/>
  <c r="AO73" i="9" s="1"/>
  <c r="AO74" i="9" s="1"/>
  <c r="AO75" i="9" s="1"/>
  <c r="AO76" i="9" s="1"/>
  <c r="AO77" i="9" s="1"/>
  <c r="AO78" i="9" s="1"/>
  <c r="AO79" i="9" s="1"/>
  <c r="AO80" i="9" s="1"/>
  <c r="AO81" i="9" s="1"/>
  <c r="AO82" i="9" s="1"/>
  <c r="AO83" i="9" s="1"/>
  <c r="AO84" i="9" s="1"/>
  <c r="AO85" i="9" s="1"/>
  <c r="AO86" i="9" s="1"/>
  <c r="AO87" i="9" s="1"/>
  <c r="AO88" i="9" s="1"/>
  <c r="AO89" i="9" s="1"/>
  <c r="AO90" i="9" s="1"/>
  <c r="AO91" i="9" s="1"/>
  <c r="AO92" i="9" s="1"/>
  <c r="AO93" i="9" s="1"/>
  <c r="AO94" i="9" s="1"/>
  <c r="AO95" i="9" s="1"/>
  <c r="AO96" i="9" s="1"/>
  <c r="AO97" i="9" s="1"/>
  <c r="AO98" i="9" s="1"/>
  <c r="AO99" i="9" s="1"/>
  <c r="AO100" i="9" s="1"/>
  <c r="AO101" i="9" s="1"/>
  <c r="AO102" i="9" s="1"/>
  <c r="AO103" i="9" s="1"/>
  <c r="AO104" i="9" s="1"/>
  <c r="AO105" i="9" s="1"/>
  <c r="AO106" i="9" s="1"/>
  <c r="AO107" i="9" s="1"/>
  <c r="AO108" i="9" s="1"/>
  <c r="AO109" i="9" s="1"/>
  <c r="AO110" i="9" s="1"/>
  <c r="AO111" i="9" s="1"/>
  <c r="AO112" i="9" s="1"/>
  <c r="AO113" i="9" s="1"/>
  <c r="AO114" i="9" s="1"/>
  <c r="AO115" i="9" s="1"/>
  <c r="AO116" i="9" s="1"/>
  <c r="AO117" i="9" s="1"/>
  <c r="AO118" i="9" s="1"/>
  <c r="AO119" i="9" s="1"/>
  <c r="AO120" i="9" s="1"/>
  <c r="AO121" i="9" s="1"/>
  <c r="AO122" i="9" s="1"/>
  <c r="AO123" i="9" s="1"/>
  <c r="AO124" i="9" s="1"/>
  <c r="AO125" i="9" s="1"/>
  <c r="AO126" i="9" s="1"/>
  <c r="AO127" i="9" s="1"/>
  <c r="AO128" i="9" s="1"/>
  <c r="AO129" i="9" s="1"/>
  <c r="AO130" i="9" s="1"/>
  <c r="AO131" i="9" s="1"/>
  <c r="AO132" i="9" s="1"/>
  <c r="AO133" i="9" s="1"/>
  <c r="AO134" i="9" s="1"/>
  <c r="AO135" i="9" s="1"/>
  <c r="AO136" i="9" s="1"/>
  <c r="AC4" i="9"/>
  <c r="AC5" i="9" s="1"/>
  <c r="AC6" i="9" s="1"/>
  <c r="AC7" i="9" s="1"/>
  <c r="AC8" i="9" s="1"/>
  <c r="AC9" i="9" s="1"/>
  <c r="AC10" i="9" s="1"/>
  <c r="AC11" i="9" s="1"/>
  <c r="AC12" i="9" s="1"/>
  <c r="AC13" i="9" s="1"/>
  <c r="AC14" i="9" s="1"/>
  <c r="AC15" i="9" s="1"/>
  <c r="AC16" i="9" s="1"/>
  <c r="AC17" i="9" s="1"/>
  <c r="AC18" i="9" s="1"/>
  <c r="AC19" i="9" s="1"/>
  <c r="AC20" i="9" s="1"/>
  <c r="AC21" i="9" s="1"/>
  <c r="AC22" i="9" s="1"/>
  <c r="AC23" i="9" s="1"/>
  <c r="AC24" i="9" s="1"/>
  <c r="AC25" i="9" s="1"/>
  <c r="AC26" i="9" s="1"/>
  <c r="AC27" i="9" s="1"/>
  <c r="AC28" i="9" s="1"/>
  <c r="AC29" i="9" s="1"/>
  <c r="AC30" i="9" s="1"/>
  <c r="AC31" i="9" s="1"/>
  <c r="AC32" i="9" s="1"/>
  <c r="AC33" i="9" s="1"/>
  <c r="AC34" i="9" s="1"/>
  <c r="AC35" i="9" s="1"/>
  <c r="AC36" i="9" s="1"/>
  <c r="AC37" i="9" s="1"/>
  <c r="AC38" i="9" s="1"/>
  <c r="AC39" i="9" s="1"/>
  <c r="AC40" i="9" s="1"/>
  <c r="AC41" i="9" s="1"/>
  <c r="AC42" i="9" s="1"/>
  <c r="AC43" i="9" s="1"/>
  <c r="AC44" i="9" s="1"/>
  <c r="AC45" i="9" s="1"/>
  <c r="AC46" i="9" s="1"/>
  <c r="AC47" i="9" s="1"/>
  <c r="AC48" i="9" s="1"/>
  <c r="AC49" i="9" s="1"/>
  <c r="AC50" i="9" s="1"/>
  <c r="AC51" i="9" s="1"/>
  <c r="AC52" i="9" s="1"/>
  <c r="AC53" i="9" s="1"/>
  <c r="AC54" i="9" s="1"/>
  <c r="AC55" i="9" s="1"/>
  <c r="AC56" i="9" s="1"/>
  <c r="AC57" i="9" s="1"/>
  <c r="AC58" i="9" s="1"/>
  <c r="AC59" i="9" s="1"/>
  <c r="AC60" i="9" s="1"/>
  <c r="AC61" i="9" s="1"/>
  <c r="AC62" i="9" s="1"/>
  <c r="AC63" i="9" s="1"/>
  <c r="AC64" i="9" s="1"/>
  <c r="AC65" i="9" s="1"/>
  <c r="AC66" i="9" s="1"/>
  <c r="AC67" i="9" s="1"/>
  <c r="AC68" i="9" s="1"/>
  <c r="AC69" i="9" s="1"/>
  <c r="AC70" i="9" s="1"/>
  <c r="AC71" i="9" s="1"/>
  <c r="AC72" i="9" s="1"/>
  <c r="AC73" i="9" s="1"/>
  <c r="AC74" i="9" s="1"/>
  <c r="AC75" i="9" s="1"/>
  <c r="AC76" i="9" s="1"/>
  <c r="AC77" i="9" s="1"/>
  <c r="AC78" i="9" s="1"/>
  <c r="AC79" i="9" s="1"/>
  <c r="AC80" i="9" s="1"/>
  <c r="AC81" i="9" s="1"/>
  <c r="AC82" i="9" s="1"/>
  <c r="AC83" i="9" s="1"/>
  <c r="AC84" i="9" s="1"/>
  <c r="AC85" i="9" s="1"/>
  <c r="AC86" i="9" s="1"/>
  <c r="AC87" i="9" s="1"/>
  <c r="AC88" i="9" s="1"/>
  <c r="AC89" i="9" s="1"/>
  <c r="AC90" i="9" s="1"/>
  <c r="AC91" i="9" s="1"/>
  <c r="AC92" i="9" s="1"/>
  <c r="AC93" i="9" s="1"/>
  <c r="AC94" i="9" s="1"/>
  <c r="AC95" i="9" s="1"/>
  <c r="AC96" i="9" s="1"/>
  <c r="AC97" i="9" s="1"/>
  <c r="AC98" i="9" s="1"/>
  <c r="AC99" i="9" s="1"/>
  <c r="AC100" i="9" s="1"/>
  <c r="AC101" i="9" s="1"/>
  <c r="AC102" i="9" s="1"/>
  <c r="AC103" i="9" s="1"/>
  <c r="AC104" i="9" s="1"/>
  <c r="AC105" i="9" s="1"/>
  <c r="AC106" i="9" s="1"/>
  <c r="AC107" i="9" s="1"/>
  <c r="AC108" i="9" s="1"/>
  <c r="AC109" i="9" s="1"/>
  <c r="AC110" i="9" s="1"/>
  <c r="AC111" i="9" s="1"/>
  <c r="AC112" i="9" s="1"/>
  <c r="AC113" i="9" s="1"/>
  <c r="AC114" i="9" s="1"/>
  <c r="AC115" i="9" s="1"/>
  <c r="AC116" i="9" s="1"/>
  <c r="AC117" i="9" s="1"/>
  <c r="AC118" i="9" s="1"/>
  <c r="AC119" i="9" s="1"/>
  <c r="AC120" i="9" s="1"/>
  <c r="AC121" i="9" s="1"/>
  <c r="AC122" i="9" s="1"/>
  <c r="AC123" i="9" s="1"/>
  <c r="AC124" i="9" s="1"/>
  <c r="AC125" i="9" s="1"/>
  <c r="AC126" i="9" s="1"/>
  <c r="AC127" i="9" s="1"/>
  <c r="AC128" i="9" s="1"/>
  <c r="AC129" i="9" s="1"/>
  <c r="AC130" i="9" s="1"/>
  <c r="AC131" i="9" s="1"/>
  <c r="AC132" i="9" s="1"/>
  <c r="AC133" i="9" s="1"/>
  <c r="AC134" i="9" s="1"/>
  <c r="AC135" i="9" s="1"/>
  <c r="AC136" i="9" s="1"/>
  <c r="AB4" i="9"/>
  <c r="AB5" i="9" s="1"/>
  <c r="AB6" i="9" s="1"/>
  <c r="AB7" i="9" s="1"/>
  <c r="AB8" i="9" s="1"/>
  <c r="AB9" i="9" s="1"/>
  <c r="AB10" i="9" s="1"/>
  <c r="AB11" i="9" s="1"/>
  <c r="AB12" i="9" s="1"/>
  <c r="AB13" i="9" s="1"/>
  <c r="AB14" i="9" s="1"/>
  <c r="AB15" i="9" s="1"/>
  <c r="AB16" i="9" s="1"/>
  <c r="AB17" i="9" s="1"/>
  <c r="AB18" i="9" s="1"/>
  <c r="AB19" i="9" s="1"/>
  <c r="AB20" i="9" s="1"/>
  <c r="AB21" i="9" s="1"/>
  <c r="AB22" i="9" s="1"/>
  <c r="AB23" i="9" s="1"/>
  <c r="AB24" i="9" s="1"/>
  <c r="AB25" i="9" s="1"/>
  <c r="AB26" i="9" s="1"/>
  <c r="AB27" i="9" s="1"/>
  <c r="AB28" i="9" s="1"/>
  <c r="AB29" i="9" s="1"/>
  <c r="AB30" i="9" s="1"/>
  <c r="AB31" i="9" s="1"/>
  <c r="AB32" i="9" s="1"/>
  <c r="AB33" i="9" s="1"/>
  <c r="AB34" i="9" s="1"/>
  <c r="AB35" i="9" s="1"/>
  <c r="AB36" i="9" s="1"/>
  <c r="AB37" i="9" s="1"/>
  <c r="AB38" i="9" s="1"/>
  <c r="AB39" i="9" s="1"/>
  <c r="AB40" i="9" s="1"/>
  <c r="AB41" i="9" s="1"/>
  <c r="AB42" i="9" s="1"/>
  <c r="AB43" i="9" s="1"/>
  <c r="AB44" i="9" s="1"/>
  <c r="AB45" i="9" s="1"/>
  <c r="AB46" i="9" s="1"/>
  <c r="AB47" i="9" s="1"/>
  <c r="AB48" i="9" s="1"/>
  <c r="AB49" i="9" s="1"/>
  <c r="AB50" i="9" s="1"/>
  <c r="AB51" i="9" s="1"/>
  <c r="AB52" i="9" s="1"/>
  <c r="AB53" i="9" s="1"/>
  <c r="AB54" i="9" s="1"/>
  <c r="AB55" i="9" s="1"/>
  <c r="AB56" i="9" s="1"/>
  <c r="AB57" i="9" s="1"/>
  <c r="AB58" i="9" s="1"/>
  <c r="AB59" i="9" s="1"/>
  <c r="AB60" i="9" s="1"/>
  <c r="AB61" i="9" s="1"/>
  <c r="AB62" i="9" s="1"/>
  <c r="AB63" i="9" s="1"/>
  <c r="AB64" i="9" s="1"/>
  <c r="AB65" i="9" s="1"/>
  <c r="AB66" i="9" s="1"/>
  <c r="AB67" i="9" s="1"/>
  <c r="AB68" i="9" s="1"/>
  <c r="AB69" i="9" s="1"/>
  <c r="AB70" i="9" s="1"/>
  <c r="AB71" i="9" s="1"/>
  <c r="AB72" i="9" s="1"/>
  <c r="AB73" i="9" s="1"/>
  <c r="AB74" i="9" s="1"/>
  <c r="AB75" i="9" s="1"/>
  <c r="AB76" i="9" s="1"/>
  <c r="AB77" i="9" s="1"/>
  <c r="AB78" i="9" s="1"/>
  <c r="AB79" i="9" s="1"/>
  <c r="AB80" i="9" s="1"/>
  <c r="AB81" i="9" s="1"/>
  <c r="AB82" i="9" s="1"/>
  <c r="AB83" i="9" s="1"/>
  <c r="AB84" i="9" s="1"/>
  <c r="AB85" i="9" s="1"/>
  <c r="AB86" i="9" s="1"/>
  <c r="AB87" i="9" s="1"/>
  <c r="AB88" i="9" s="1"/>
  <c r="AB89" i="9" s="1"/>
  <c r="AB90" i="9" s="1"/>
  <c r="AB91" i="9" s="1"/>
  <c r="AB92" i="9" s="1"/>
  <c r="AB93" i="9" s="1"/>
  <c r="AB94" i="9" s="1"/>
  <c r="AB95" i="9" s="1"/>
  <c r="AB96" i="9" s="1"/>
  <c r="AB97" i="9" s="1"/>
  <c r="AB98" i="9" s="1"/>
  <c r="AB99" i="9" s="1"/>
  <c r="AB100" i="9" s="1"/>
  <c r="AB101" i="9" s="1"/>
  <c r="AB102" i="9" s="1"/>
  <c r="AB103" i="9" s="1"/>
  <c r="AB104" i="9" s="1"/>
  <c r="AB105" i="9" s="1"/>
  <c r="AB106" i="9" s="1"/>
  <c r="AB107" i="9" s="1"/>
  <c r="AB108" i="9" s="1"/>
  <c r="AB109" i="9" s="1"/>
  <c r="AB110" i="9" s="1"/>
  <c r="AB111" i="9" s="1"/>
  <c r="AB112" i="9" s="1"/>
  <c r="AB113" i="9" s="1"/>
  <c r="AB114" i="9" s="1"/>
  <c r="AB115" i="9" s="1"/>
  <c r="AB116" i="9" s="1"/>
  <c r="AB117" i="9" s="1"/>
  <c r="AB118" i="9" s="1"/>
  <c r="AB119" i="9" s="1"/>
  <c r="AB120" i="9" s="1"/>
  <c r="AB121" i="9" s="1"/>
  <c r="AB122" i="9" s="1"/>
  <c r="AB123" i="9" s="1"/>
  <c r="AB124" i="9" s="1"/>
  <c r="AB125" i="9" s="1"/>
  <c r="AB126" i="9" s="1"/>
  <c r="AB127" i="9" s="1"/>
  <c r="AB128" i="9" s="1"/>
  <c r="AB129" i="9" s="1"/>
  <c r="AB130" i="9" s="1"/>
  <c r="AB131" i="9" s="1"/>
  <c r="AB132" i="9" s="1"/>
  <c r="AB133" i="9" s="1"/>
  <c r="AB134" i="9" s="1"/>
  <c r="AB135" i="9" s="1"/>
  <c r="AB136" i="9" s="1"/>
  <c r="A4" i="9"/>
  <c r="A4" i="8"/>
  <c r="A4" i="7"/>
  <c r="R4" i="7" s="1"/>
  <c r="A4" i="2"/>
  <c r="AQ21" i="9" l="1"/>
  <c r="CM21" i="8" s="1"/>
  <c r="AI16" i="9"/>
  <c r="AH6" i="9"/>
  <c r="AG6" i="9"/>
  <c r="AK6" i="9"/>
  <c r="AE6" i="9"/>
  <c r="AM6" i="9"/>
  <c r="AQ22" i="9" l="1"/>
  <c r="CM22" i="8" s="1"/>
  <c r="AI17" i="9"/>
  <c r="AM7" i="9"/>
  <c r="AH7" i="9"/>
  <c r="AG7" i="9"/>
  <c r="AK7" i="9"/>
  <c r="AE7" i="9"/>
  <c r="AQ23" i="9" l="1"/>
  <c r="CM23" i="8" s="1"/>
  <c r="AI18" i="9"/>
  <c r="AO18" i="8" s="1"/>
  <c r="AM8" i="9"/>
  <c r="AH8" i="9"/>
  <c r="AG8" i="9"/>
  <c r="AK8" i="9"/>
  <c r="AE8" i="9"/>
  <c r="CX4" i="5"/>
  <c r="CX5" i="5"/>
  <c r="CX6" i="5"/>
  <c r="CX7" i="5"/>
  <c r="CX8" i="5"/>
  <c r="CX9" i="5"/>
  <c r="CX10" i="5"/>
  <c r="CX11" i="5"/>
  <c r="CX12" i="5"/>
  <c r="CX13" i="5"/>
  <c r="CX14" i="5"/>
  <c r="CX15" i="5"/>
  <c r="CX16" i="5"/>
  <c r="CX17" i="5"/>
  <c r="CX18" i="5"/>
  <c r="CX19" i="5"/>
  <c r="CX20" i="5"/>
  <c r="CX21" i="5"/>
  <c r="CX22" i="5"/>
  <c r="CX23" i="5"/>
  <c r="CX24" i="5"/>
  <c r="CX25" i="5"/>
  <c r="CX26" i="5"/>
  <c r="CX27" i="5"/>
  <c r="CX28" i="5"/>
  <c r="CX29" i="5"/>
  <c r="CX30" i="5"/>
  <c r="CX31" i="5"/>
  <c r="CX32" i="5"/>
  <c r="CX33" i="5"/>
  <c r="CX34" i="5"/>
  <c r="CX35" i="5"/>
  <c r="CX36" i="5"/>
  <c r="CX37" i="5"/>
  <c r="CX38" i="5"/>
  <c r="CX39" i="5"/>
  <c r="CX40" i="5"/>
  <c r="CX41" i="5"/>
  <c r="CX42" i="5"/>
  <c r="CX43" i="5"/>
  <c r="CX44" i="5"/>
  <c r="CX45" i="5"/>
  <c r="CX46" i="5"/>
  <c r="CX47" i="5"/>
  <c r="CX48" i="5"/>
  <c r="CX49" i="5"/>
  <c r="CX50" i="5"/>
  <c r="CX51" i="5"/>
  <c r="CX52" i="5"/>
  <c r="CX53" i="5"/>
  <c r="CX54" i="5"/>
  <c r="CX55" i="5"/>
  <c r="CX56" i="5"/>
  <c r="CX57" i="5"/>
  <c r="CX58" i="5"/>
  <c r="CX59" i="5"/>
  <c r="CX60" i="5"/>
  <c r="CX61" i="5"/>
  <c r="CX62" i="5"/>
  <c r="CX63" i="5"/>
  <c r="CX64" i="5"/>
  <c r="CX65" i="5"/>
  <c r="CX66" i="5"/>
  <c r="CX67" i="5"/>
  <c r="CX68" i="5"/>
  <c r="CX69" i="5"/>
  <c r="CX70" i="5"/>
  <c r="CX71" i="5"/>
  <c r="CX72" i="5"/>
  <c r="CX73" i="5"/>
  <c r="CX74" i="5"/>
  <c r="CX75" i="5"/>
  <c r="CX76" i="5"/>
  <c r="CX77" i="5"/>
  <c r="CX78" i="5"/>
  <c r="CX79" i="5"/>
  <c r="CX80" i="5"/>
  <c r="CX81" i="5"/>
  <c r="CX82" i="5"/>
  <c r="CX83" i="5"/>
  <c r="CX84" i="5"/>
  <c r="CX85" i="5"/>
  <c r="CX86" i="5"/>
  <c r="CX87" i="5"/>
  <c r="CX88" i="5"/>
  <c r="CX89" i="5"/>
  <c r="CX90" i="5"/>
  <c r="CX91" i="5"/>
  <c r="CX92" i="5"/>
  <c r="CX93" i="5"/>
  <c r="CX94" i="5"/>
  <c r="CX95" i="5"/>
  <c r="CX96" i="5"/>
  <c r="CX97" i="5"/>
  <c r="CX98" i="5"/>
  <c r="CX99" i="5"/>
  <c r="CX100" i="5"/>
  <c r="CX101" i="5"/>
  <c r="CX102" i="5"/>
  <c r="CX103" i="5"/>
  <c r="CX104" i="5"/>
  <c r="CX105" i="5"/>
  <c r="CX106" i="5"/>
  <c r="CX107" i="5"/>
  <c r="CX108" i="5"/>
  <c r="CX109" i="5"/>
  <c r="CX110" i="5"/>
  <c r="CX111" i="5"/>
  <c r="CX112" i="5"/>
  <c r="CX113" i="5"/>
  <c r="CX114" i="5"/>
  <c r="CX115" i="5"/>
  <c r="CX116" i="5"/>
  <c r="CX117" i="5"/>
  <c r="CX118" i="5"/>
  <c r="CX119" i="5"/>
  <c r="CX120" i="5"/>
  <c r="CX121" i="5"/>
  <c r="CX122" i="5"/>
  <c r="CX123" i="5"/>
  <c r="CX124" i="5"/>
  <c r="CX125" i="5"/>
  <c r="CX126" i="5"/>
  <c r="CX127" i="5"/>
  <c r="CX128" i="5"/>
  <c r="CX129" i="5"/>
  <c r="CX130" i="5"/>
  <c r="CX131" i="5"/>
  <c r="CX132" i="5"/>
  <c r="CX133" i="5"/>
  <c r="CX134" i="5"/>
  <c r="CX135" i="5"/>
  <c r="CX136" i="5"/>
  <c r="C4" i="5"/>
  <c r="BH67" i="1"/>
  <c r="BH68" i="1"/>
  <c r="BH69" i="1"/>
  <c r="BH70" i="1"/>
  <c r="BH71" i="1"/>
  <c r="BH72" i="1"/>
  <c r="BH73" i="1"/>
  <c r="BH74" i="1"/>
  <c r="BH75" i="1"/>
  <c r="BH76" i="1"/>
  <c r="BH77" i="1"/>
  <c r="BH78" i="1"/>
  <c r="BH79" i="1"/>
  <c r="BH80" i="1"/>
  <c r="BH81" i="1"/>
  <c r="BH82" i="1"/>
  <c r="BH83" i="1"/>
  <c r="BH84" i="1"/>
  <c r="BH85" i="1"/>
  <c r="BH86" i="1"/>
  <c r="BH87" i="1"/>
  <c r="BH88" i="1"/>
  <c r="BH89" i="1"/>
  <c r="BH90" i="1"/>
  <c r="BH91" i="1"/>
  <c r="BH92" i="1"/>
  <c r="BH93" i="1"/>
  <c r="BH94" i="1"/>
  <c r="BH95" i="1"/>
  <c r="BH96" i="1"/>
  <c r="BH97" i="1"/>
  <c r="BH98" i="1"/>
  <c r="BH99" i="1"/>
  <c r="BH100" i="1"/>
  <c r="BH101" i="1"/>
  <c r="BH102" i="1"/>
  <c r="BH103" i="1"/>
  <c r="BH104" i="1"/>
  <c r="BH105" i="1"/>
  <c r="BH106" i="1"/>
  <c r="BH107" i="1"/>
  <c r="BH108" i="1"/>
  <c r="BH109" i="1"/>
  <c r="BH110" i="1"/>
  <c r="BH111" i="1"/>
  <c r="BH112" i="1"/>
  <c r="BH113" i="1"/>
  <c r="BH114" i="1"/>
  <c r="BH115" i="1"/>
  <c r="BH116" i="1"/>
  <c r="BH117" i="1"/>
  <c r="BH118" i="1"/>
  <c r="BH119" i="1"/>
  <c r="BH120" i="1"/>
  <c r="BH121" i="1"/>
  <c r="BH122" i="1"/>
  <c r="BH123" i="1"/>
  <c r="BH124" i="1"/>
  <c r="BH125" i="1"/>
  <c r="BH126" i="1"/>
  <c r="BH127" i="1"/>
  <c r="BH128" i="1"/>
  <c r="BH129" i="1"/>
  <c r="BH130" i="1"/>
  <c r="BH131" i="1"/>
  <c r="BH132" i="1"/>
  <c r="BH133" i="1"/>
  <c r="BH134" i="1"/>
  <c r="BH135" i="1"/>
  <c r="BH136" i="1"/>
  <c r="BB4" i="1"/>
  <c r="BB5" i="1"/>
  <c r="BB6" i="1"/>
  <c r="BB7" i="1"/>
  <c r="BB8" i="1"/>
  <c r="BB9" i="1"/>
  <c r="BB10" i="1"/>
  <c r="BB11" i="1"/>
  <c r="BB12" i="1"/>
  <c r="BB13" i="1"/>
  <c r="BB14" i="1"/>
  <c r="BB15" i="1"/>
  <c r="BB16" i="1"/>
  <c r="BB17" i="1"/>
  <c r="BB18" i="1"/>
  <c r="BB19" i="1"/>
  <c r="BB20" i="1"/>
  <c r="BB21" i="1"/>
  <c r="BB22" i="1"/>
  <c r="BB23" i="1"/>
  <c r="BB24" i="1"/>
  <c r="BB25" i="1"/>
  <c r="BB26" i="1"/>
  <c r="BB27" i="1"/>
  <c r="BB28" i="1"/>
  <c r="BB29" i="1"/>
  <c r="BB30" i="1"/>
  <c r="BB31" i="1"/>
  <c r="BB32" i="1"/>
  <c r="BB33" i="1"/>
  <c r="BB34" i="1"/>
  <c r="BB35" i="1"/>
  <c r="BB36" i="1"/>
  <c r="BB37" i="1"/>
  <c r="BB38" i="1"/>
  <c r="BB39" i="1"/>
  <c r="BB40" i="1"/>
  <c r="BB41" i="1"/>
  <c r="BB42" i="1"/>
  <c r="BB43" i="1"/>
  <c r="BB44" i="1"/>
  <c r="BB45" i="1"/>
  <c r="BB46" i="1"/>
  <c r="BB47" i="1"/>
  <c r="BB48" i="1"/>
  <c r="BB49" i="1"/>
  <c r="BB50" i="1"/>
  <c r="BB51" i="1"/>
  <c r="BB52" i="1"/>
  <c r="BB53" i="1"/>
  <c r="BB54" i="1"/>
  <c r="BB55" i="1"/>
  <c r="BB56" i="1"/>
  <c r="BB57" i="1"/>
  <c r="BB58" i="1"/>
  <c r="BB59" i="1"/>
  <c r="BB60" i="1"/>
  <c r="BB61" i="1"/>
  <c r="BB62" i="1"/>
  <c r="BB63" i="1"/>
  <c r="BB64" i="1"/>
  <c r="BB65" i="1"/>
  <c r="BB66" i="1"/>
  <c r="BB67" i="1"/>
  <c r="BB68" i="1"/>
  <c r="BB69" i="1"/>
  <c r="BB70" i="1"/>
  <c r="BB71" i="1"/>
  <c r="BB72" i="1"/>
  <c r="BB73" i="1"/>
  <c r="BB74" i="1"/>
  <c r="BB75" i="1"/>
  <c r="BB76" i="1"/>
  <c r="BB77" i="1"/>
  <c r="BB78" i="1"/>
  <c r="BB79" i="1"/>
  <c r="BB80" i="1"/>
  <c r="BB81" i="1"/>
  <c r="BB82" i="1"/>
  <c r="BB83" i="1"/>
  <c r="BB84" i="1"/>
  <c r="BB85" i="1"/>
  <c r="BB86" i="1"/>
  <c r="BB87" i="1"/>
  <c r="BB88" i="1"/>
  <c r="BB89" i="1"/>
  <c r="BB90" i="1"/>
  <c r="BB91" i="1"/>
  <c r="BB92" i="1"/>
  <c r="BB93" i="1"/>
  <c r="BB94" i="1"/>
  <c r="BB95" i="1"/>
  <c r="BB96" i="1"/>
  <c r="BB97" i="1"/>
  <c r="BB98" i="1"/>
  <c r="BB99" i="1"/>
  <c r="BB100" i="1"/>
  <c r="BB101" i="1"/>
  <c r="BB102" i="1"/>
  <c r="BB103" i="1"/>
  <c r="BB104" i="1"/>
  <c r="BB105" i="1"/>
  <c r="BB106" i="1"/>
  <c r="BB107" i="1"/>
  <c r="BB108" i="1"/>
  <c r="BB109" i="1"/>
  <c r="BB110" i="1"/>
  <c r="BB111" i="1"/>
  <c r="BB112" i="1"/>
  <c r="BB113" i="1"/>
  <c r="BB114" i="1"/>
  <c r="BB115" i="1"/>
  <c r="BB116" i="1"/>
  <c r="BB117" i="1"/>
  <c r="BB118" i="1"/>
  <c r="BB119" i="1"/>
  <c r="BB120" i="1"/>
  <c r="BB121" i="1"/>
  <c r="BB122" i="1"/>
  <c r="BB123" i="1"/>
  <c r="BB124" i="1"/>
  <c r="BB125" i="1"/>
  <c r="BB126" i="1"/>
  <c r="BB127" i="1"/>
  <c r="BB128" i="1"/>
  <c r="BB129" i="1"/>
  <c r="BB130" i="1"/>
  <c r="BB131" i="1"/>
  <c r="BB132" i="1"/>
  <c r="BB133" i="1"/>
  <c r="BB134" i="1"/>
  <c r="BB135" i="1"/>
  <c r="BB136" i="1"/>
  <c r="BH14" i="1"/>
  <c r="BH15" i="1"/>
  <c r="BH16" i="1"/>
  <c r="BH22"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5" i="1"/>
  <c r="BH66" i="1"/>
  <c r="AZ4" i="1"/>
  <c r="AZ5" i="1" s="1"/>
  <c r="AZ6" i="1" s="1"/>
  <c r="AZ7" i="1" s="1"/>
  <c r="AZ8" i="1" s="1"/>
  <c r="AZ9" i="1" s="1"/>
  <c r="AZ10" i="1" s="1"/>
  <c r="AZ11" i="1" s="1"/>
  <c r="AZ12" i="1" s="1"/>
  <c r="AZ13" i="1" s="1"/>
  <c r="AZ14" i="1" s="1"/>
  <c r="AZ15" i="1" s="1"/>
  <c r="AZ16" i="1" s="1"/>
  <c r="AZ17" i="1" s="1"/>
  <c r="AZ18" i="1" s="1"/>
  <c r="AZ19" i="1" s="1"/>
  <c r="AZ20" i="1" s="1"/>
  <c r="AZ21" i="1" s="1"/>
  <c r="AZ22" i="1" s="1"/>
  <c r="AZ23" i="1" s="1"/>
  <c r="AZ24" i="1" s="1"/>
  <c r="AZ25" i="1" s="1"/>
  <c r="AZ26" i="1" s="1"/>
  <c r="AZ27" i="1" s="1"/>
  <c r="AZ28" i="1" s="1"/>
  <c r="AZ29" i="1" s="1"/>
  <c r="AZ30" i="1" s="1"/>
  <c r="AZ31" i="1" s="1"/>
  <c r="AZ32" i="1" s="1"/>
  <c r="AZ33" i="1" s="1"/>
  <c r="AZ34" i="1" s="1"/>
  <c r="AZ35" i="1" s="1"/>
  <c r="AZ36" i="1" s="1"/>
  <c r="AZ37" i="1" s="1"/>
  <c r="AZ38" i="1" s="1"/>
  <c r="AZ39" i="1" s="1"/>
  <c r="AZ40" i="1" s="1"/>
  <c r="AZ41" i="1" s="1"/>
  <c r="AZ42" i="1" s="1"/>
  <c r="AZ43" i="1" s="1"/>
  <c r="AZ44" i="1" s="1"/>
  <c r="AZ45" i="1" s="1"/>
  <c r="AZ46" i="1" s="1"/>
  <c r="AZ47" i="1" s="1"/>
  <c r="AZ48" i="1" s="1"/>
  <c r="AZ49" i="1" s="1"/>
  <c r="AZ50" i="1" s="1"/>
  <c r="AZ51" i="1" s="1"/>
  <c r="AZ52" i="1" s="1"/>
  <c r="AZ53" i="1" s="1"/>
  <c r="AZ54" i="1" s="1"/>
  <c r="AZ55" i="1" s="1"/>
  <c r="AZ56" i="1" s="1"/>
  <c r="AZ57" i="1" s="1"/>
  <c r="AZ58" i="1" s="1"/>
  <c r="AZ59" i="1" s="1"/>
  <c r="AZ60" i="1" s="1"/>
  <c r="AZ61" i="1" s="1"/>
  <c r="AZ62" i="1" s="1"/>
  <c r="AZ63" i="1" s="1"/>
  <c r="AZ64" i="1" s="1"/>
  <c r="AZ65" i="1" s="1"/>
  <c r="AZ66" i="1" s="1"/>
  <c r="AZ67" i="1" s="1"/>
  <c r="AZ68" i="1" s="1"/>
  <c r="AZ69" i="1" s="1"/>
  <c r="AZ70" i="1" s="1"/>
  <c r="AZ71" i="1" s="1"/>
  <c r="AZ72" i="1" s="1"/>
  <c r="AZ73" i="1" s="1"/>
  <c r="AZ74" i="1" s="1"/>
  <c r="AZ75" i="1" s="1"/>
  <c r="AZ76" i="1" s="1"/>
  <c r="AZ77" i="1" s="1"/>
  <c r="AZ78" i="1" s="1"/>
  <c r="AZ79" i="1" s="1"/>
  <c r="AZ80" i="1" s="1"/>
  <c r="AZ81" i="1" s="1"/>
  <c r="AZ82" i="1" s="1"/>
  <c r="AZ83" i="1" s="1"/>
  <c r="AZ84" i="1" s="1"/>
  <c r="AZ85" i="1" s="1"/>
  <c r="AZ86" i="1" s="1"/>
  <c r="AZ87" i="1" s="1"/>
  <c r="AZ88" i="1" s="1"/>
  <c r="AZ89" i="1" s="1"/>
  <c r="AZ90" i="1" s="1"/>
  <c r="AZ91" i="1" s="1"/>
  <c r="AZ92" i="1" s="1"/>
  <c r="AZ93" i="1" s="1"/>
  <c r="AZ94" i="1" s="1"/>
  <c r="AZ95" i="1" s="1"/>
  <c r="AZ96" i="1" s="1"/>
  <c r="AZ97" i="1" s="1"/>
  <c r="AZ98" i="1" s="1"/>
  <c r="AZ99" i="1" s="1"/>
  <c r="AZ100" i="1" s="1"/>
  <c r="AZ101" i="1" s="1"/>
  <c r="AZ102" i="1" s="1"/>
  <c r="AZ103" i="1" s="1"/>
  <c r="AZ104" i="1" s="1"/>
  <c r="AZ105" i="1" s="1"/>
  <c r="AZ106" i="1" s="1"/>
  <c r="AZ107" i="1" s="1"/>
  <c r="AZ108" i="1" s="1"/>
  <c r="AZ109" i="1" s="1"/>
  <c r="AZ110" i="1" s="1"/>
  <c r="AZ111" i="1" s="1"/>
  <c r="AZ112" i="1" s="1"/>
  <c r="AZ113" i="1" s="1"/>
  <c r="AZ114" i="1" s="1"/>
  <c r="AZ115" i="1" s="1"/>
  <c r="AZ116" i="1" s="1"/>
  <c r="AZ117" i="1" s="1"/>
  <c r="AZ118" i="1" s="1"/>
  <c r="AZ119" i="1" s="1"/>
  <c r="AZ120" i="1" s="1"/>
  <c r="AZ121" i="1" s="1"/>
  <c r="AZ122" i="1" s="1"/>
  <c r="AZ123" i="1" s="1"/>
  <c r="AZ124" i="1" s="1"/>
  <c r="AZ125" i="1" s="1"/>
  <c r="AZ126" i="1" s="1"/>
  <c r="AZ127" i="1" s="1"/>
  <c r="AZ128" i="1" s="1"/>
  <c r="AZ129" i="1" s="1"/>
  <c r="AZ130" i="1" s="1"/>
  <c r="AZ131" i="1" s="1"/>
  <c r="AZ132" i="1" s="1"/>
  <c r="AZ133" i="1" s="1"/>
  <c r="AZ134" i="1" s="1"/>
  <c r="AZ135" i="1" s="1"/>
  <c r="AZ136" i="1" s="1"/>
  <c r="AF136" i="1"/>
  <c r="O4" i="1"/>
  <c r="O5" i="1" s="1"/>
  <c r="N4" i="1"/>
  <c r="AQ24" i="9" l="1"/>
  <c r="CM24" i="8" s="1"/>
  <c r="AI19" i="9"/>
  <c r="AO19" i="8" s="1"/>
  <c r="AM9" i="9"/>
  <c r="O6" i="1"/>
  <c r="AH9" i="9"/>
  <c r="AG9" i="9"/>
  <c r="AK9" i="9"/>
  <c r="AE9" i="9"/>
  <c r="AB4" i="1"/>
  <c r="AQ25" i="9" l="1"/>
  <c r="CM25" i="8" s="1"/>
  <c r="AI20" i="9"/>
  <c r="AO20" i="8" s="1"/>
  <c r="AM10" i="9"/>
  <c r="O7" i="1"/>
  <c r="AH10" i="9"/>
  <c r="AG10" i="9"/>
  <c r="AK10" i="9"/>
  <c r="AE10" i="9"/>
  <c r="AE4" i="8"/>
  <c r="AU4" i="8"/>
  <c r="Z5" i="8"/>
  <c r="Z6" i="8" s="1"/>
  <c r="Z7" i="8" s="1"/>
  <c r="Z8" i="8" s="1"/>
  <c r="Z9" i="8" s="1"/>
  <c r="Z10" i="8" s="1"/>
  <c r="Z11" i="8" s="1"/>
  <c r="Z12" i="8" s="1"/>
  <c r="Z13" i="8" s="1"/>
  <c r="Z14" i="8" s="1"/>
  <c r="Z15" i="8" s="1"/>
  <c r="Z16" i="8" s="1"/>
  <c r="Z17" i="8" s="1"/>
  <c r="Z18" i="8" s="1"/>
  <c r="Z19" i="8" s="1"/>
  <c r="Z20" i="8" s="1"/>
  <c r="Z21" i="8" s="1"/>
  <c r="Z22" i="8" s="1"/>
  <c r="Z23" i="8" s="1"/>
  <c r="Z24" i="8" s="1"/>
  <c r="Z25" i="8" s="1"/>
  <c r="Z26" i="8" s="1"/>
  <c r="Z27" i="8" s="1"/>
  <c r="Z28" i="8" s="1"/>
  <c r="Z29" i="8" s="1"/>
  <c r="Z30" i="8" s="1"/>
  <c r="Z31" i="8" s="1"/>
  <c r="Z32" i="8" s="1"/>
  <c r="Z33" i="8" s="1"/>
  <c r="Z34" i="8" s="1"/>
  <c r="Z35" i="8" s="1"/>
  <c r="Z36" i="8" s="1"/>
  <c r="Z37" i="8" s="1"/>
  <c r="Z38" i="8" s="1"/>
  <c r="Z39" i="8" s="1"/>
  <c r="Z40" i="8" s="1"/>
  <c r="Z41" i="8" s="1"/>
  <c r="Z42" i="8" s="1"/>
  <c r="Z43" i="8" s="1"/>
  <c r="Z44" i="8" s="1"/>
  <c r="Z45" i="8" s="1"/>
  <c r="Z46" i="8" s="1"/>
  <c r="Z47" i="8" s="1"/>
  <c r="Z48" i="8" s="1"/>
  <c r="Z49" i="8" s="1"/>
  <c r="Z50" i="8" s="1"/>
  <c r="Z51" i="8" s="1"/>
  <c r="Z52" i="8" s="1"/>
  <c r="Z53" i="8" s="1"/>
  <c r="Z54" i="8" s="1"/>
  <c r="Z55" i="8" s="1"/>
  <c r="Z56" i="8" s="1"/>
  <c r="Z57" i="8" s="1"/>
  <c r="Z58" i="8" s="1"/>
  <c r="Z59" i="8" s="1"/>
  <c r="Z60" i="8" s="1"/>
  <c r="Z61" i="8" s="1"/>
  <c r="Z62" i="8" s="1"/>
  <c r="Z63" i="8" s="1"/>
  <c r="Z64" i="8" s="1"/>
  <c r="Z65" i="8" s="1"/>
  <c r="Z66" i="8" s="1"/>
  <c r="Z67" i="8" s="1"/>
  <c r="Z68" i="8" s="1"/>
  <c r="Z69" i="8" s="1"/>
  <c r="Z70" i="8" s="1"/>
  <c r="Z71" i="8" s="1"/>
  <c r="Z72" i="8" s="1"/>
  <c r="Z73" i="8" s="1"/>
  <c r="Z74" i="8" s="1"/>
  <c r="Z75" i="8" s="1"/>
  <c r="Z76" i="8" s="1"/>
  <c r="Z77" i="8" s="1"/>
  <c r="Z78" i="8" s="1"/>
  <c r="Z79" i="8" s="1"/>
  <c r="Z80" i="8" s="1"/>
  <c r="Z81" i="8" s="1"/>
  <c r="Z82" i="8" s="1"/>
  <c r="Z83" i="8" s="1"/>
  <c r="Z84" i="8" s="1"/>
  <c r="Z85" i="8" s="1"/>
  <c r="Z86" i="8" s="1"/>
  <c r="Z87" i="8" s="1"/>
  <c r="Z88" i="8" s="1"/>
  <c r="Z89" i="8" s="1"/>
  <c r="Z90" i="8" s="1"/>
  <c r="Z91" i="8" s="1"/>
  <c r="Z92" i="8" s="1"/>
  <c r="Z93" i="8" s="1"/>
  <c r="Z94" i="8" s="1"/>
  <c r="Z95" i="8" s="1"/>
  <c r="Z96" i="8" s="1"/>
  <c r="Z97" i="8" s="1"/>
  <c r="Z98" i="8" s="1"/>
  <c r="Z99" i="8" s="1"/>
  <c r="Z100" i="8" s="1"/>
  <c r="Z101" i="8" s="1"/>
  <c r="Z102" i="8" s="1"/>
  <c r="Z103" i="8" s="1"/>
  <c r="Z104" i="8" s="1"/>
  <c r="Z105" i="8" s="1"/>
  <c r="Z106" i="8" s="1"/>
  <c r="Z107" i="8" s="1"/>
  <c r="Z108" i="8" s="1"/>
  <c r="Z109" i="8" s="1"/>
  <c r="Z110" i="8" s="1"/>
  <c r="Z111" i="8" s="1"/>
  <c r="Z112" i="8" s="1"/>
  <c r="Z113" i="8" s="1"/>
  <c r="Z114" i="8" s="1"/>
  <c r="Z115" i="8" s="1"/>
  <c r="Z116" i="8" s="1"/>
  <c r="Z117" i="8" s="1"/>
  <c r="Z118" i="8" s="1"/>
  <c r="Z119" i="8" s="1"/>
  <c r="Z120" i="8" s="1"/>
  <c r="Z121" i="8" s="1"/>
  <c r="Z122" i="8" s="1"/>
  <c r="Z123" i="8" s="1"/>
  <c r="Z124" i="8" s="1"/>
  <c r="Z125" i="8" s="1"/>
  <c r="Z126" i="8" s="1"/>
  <c r="Z127" i="8" s="1"/>
  <c r="Z128" i="8" s="1"/>
  <c r="Z129" i="8" s="1"/>
  <c r="Z130" i="8" s="1"/>
  <c r="Z131" i="8" s="1"/>
  <c r="Z132" i="8" s="1"/>
  <c r="Z133" i="8" s="1"/>
  <c r="Z134" i="8" s="1"/>
  <c r="Z135" i="8" s="1"/>
  <c r="Z136" i="8" s="1"/>
  <c r="L4" i="8"/>
  <c r="K4" i="8"/>
  <c r="K5" i="8" s="1"/>
  <c r="H4" i="8"/>
  <c r="H5" i="8" s="1"/>
  <c r="H6" i="8" s="1"/>
  <c r="H7" i="8" s="1"/>
  <c r="H8" i="8" s="1"/>
  <c r="H9" i="8" s="1"/>
  <c r="H10" i="8" s="1"/>
  <c r="H11" i="8" s="1"/>
  <c r="H12" i="8" s="1"/>
  <c r="H13" i="8" s="1"/>
  <c r="H14" i="8" s="1"/>
  <c r="H15" i="8" s="1"/>
  <c r="H16" i="8" s="1"/>
  <c r="H17" i="8" s="1"/>
  <c r="H18" i="8" s="1"/>
  <c r="H19" i="8" s="1"/>
  <c r="H20" i="8" s="1"/>
  <c r="H21" i="8" s="1"/>
  <c r="H22" i="8" s="1"/>
  <c r="H23" i="8" s="1"/>
  <c r="H24" i="8" s="1"/>
  <c r="H25" i="8" s="1"/>
  <c r="H26" i="8" s="1"/>
  <c r="H27" i="8" s="1"/>
  <c r="H28" i="8" s="1"/>
  <c r="H29" i="8" s="1"/>
  <c r="H30" i="8" s="1"/>
  <c r="H31" i="8" s="1"/>
  <c r="H32" i="8" s="1"/>
  <c r="H33" i="8" s="1"/>
  <c r="H34" i="8" s="1"/>
  <c r="H35" i="8" s="1"/>
  <c r="H36" i="8" s="1"/>
  <c r="H37" i="8" s="1"/>
  <c r="H38" i="8" s="1"/>
  <c r="H39" i="8" s="1"/>
  <c r="H40" i="8" s="1"/>
  <c r="G4" i="8"/>
  <c r="E4" i="8"/>
  <c r="E5" i="8" s="1"/>
  <c r="F4" i="8"/>
  <c r="F5" i="8" s="1"/>
  <c r="E26" i="4"/>
  <c r="E28" i="4"/>
  <c r="E29" i="4"/>
  <c r="D26" i="4"/>
  <c r="D29" i="4"/>
  <c r="D28" i="4"/>
  <c r="A25" i="4"/>
  <c r="A24" i="4"/>
  <c r="A23" i="4"/>
  <c r="AQ26" i="9" l="1"/>
  <c r="CM26" i="8" s="1"/>
  <c r="H41" i="8"/>
  <c r="H42" i="8" s="1"/>
  <c r="H43" i="8" s="1"/>
  <c r="H44" i="8" s="1"/>
  <c r="H45" i="8" s="1"/>
  <c r="H46" i="8" s="1"/>
  <c r="H47" i="8" s="1"/>
  <c r="H48" i="8" s="1"/>
  <c r="H49" i="8" s="1"/>
  <c r="H50" i="8" s="1"/>
  <c r="H51" i="8" s="1"/>
  <c r="H52" i="8" s="1"/>
  <c r="H53" i="8" s="1"/>
  <c r="H54" i="8" s="1"/>
  <c r="H55" i="8" s="1"/>
  <c r="H56" i="8" s="1"/>
  <c r="H57" i="8" s="1"/>
  <c r="H58" i="8" s="1"/>
  <c r="H59" i="8" s="1"/>
  <c r="H60" i="8" s="1"/>
  <c r="H61" i="8" s="1"/>
  <c r="H62" i="8" s="1"/>
  <c r="H63" i="8" s="1"/>
  <c r="H64" i="8" s="1"/>
  <c r="H65" i="8" s="1"/>
  <c r="H66" i="8" s="1"/>
  <c r="H67" i="8" s="1"/>
  <c r="H68" i="8" s="1"/>
  <c r="H69" i="8" s="1"/>
  <c r="H70" i="8" s="1"/>
  <c r="H71" i="8" s="1"/>
  <c r="H72" i="8" s="1"/>
  <c r="H73" i="8" s="1"/>
  <c r="H74" i="8" s="1"/>
  <c r="H75" i="8" s="1"/>
  <c r="H76" i="8" s="1"/>
  <c r="H77" i="8" s="1"/>
  <c r="H78" i="8" s="1"/>
  <c r="H79" i="8" s="1"/>
  <c r="H80" i="8" s="1"/>
  <c r="H81" i="8" s="1"/>
  <c r="H82" i="8" s="1"/>
  <c r="H83" i="8" s="1"/>
  <c r="H84" i="8" s="1"/>
  <c r="H85" i="8" s="1"/>
  <c r="H86" i="8" s="1"/>
  <c r="H87" i="8" s="1"/>
  <c r="H88" i="8" s="1"/>
  <c r="H89" i="8" s="1"/>
  <c r="H90" i="8" s="1"/>
  <c r="H91" i="8" s="1"/>
  <c r="H92" i="8" s="1"/>
  <c r="H93" i="8" s="1"/>
  <c r="H94" i="8" s="1"/>
  <c r="H95" i="8" s="1"/>
  <c r="H96" i="8" s="1"/>
  <c r="H97" i="8" s="1"/>
  <c r="H98" i="8" s="1"/>
  <c r="H99" i="8" s="1"/>
  <c r="H100" i="8" s="1"/>
  <c r="H101" i="8" s="1"/>
  <c r="H102" i="8" s="1"/>
  <c r="H103" i="8" s="1"/>
  <c r="H104" i="8" s="1"/>
  <c r="H105" i="8" s="1"/>
  <c r="H106" i="8" s="1"/>
  <c r="H107" i="8" s="1"/>
  <c r="H108" i="8" s="1"/>
  <c r="H109" i="8" s="1"/>
  <c r="H110" i="8" s="1"/>
  <c r="H111" i="8" s="1"/>
  <c r="H112" i="8" s="1"/>
  <c r="H113" i="8" s="1"/>
  <c r="H114" i="8" s="1"/>
  <c r="H115" i="8" s="1"/>
  <c r="H116" i="8" s="1"/>
  <c r="H117" i="8" s="1"/>
  <c r="H118" i="8" s="1"/>
  <c r="H119" i="8" s="1"/>
  <c r="H120" i="8" s="1"/>
  <c r="H121" i="8" s="1"/>
  <c r="H122" i="8" s="1"/>
  <c r="H123" i="8" s="1"/>
  <c r="H124" i="8" s="1"/>
  <c r="H125" i="8" s="1"/>
  <c r="H126" i="8" s="1"/>
  <c r="H127" i="8" s="1"/>
  <c r="H128" i="8" s="1"/>
  <c r="H129" i="8" s="1"/>
  <c r="H130" i="8" s="1"/>
  <c r="H131" i="8" s="1"/>
  <c r="H132" i="8" s="1"/>
  <c r="H133" i="8" s="1"/>
  <c r="H134" i="8" s="1"/>
  <c r="H135" i="8" s="1"/>
  <c r="H136" i="8" s="1"/>
  <c r="B42" i="4"/>
  <c r="AI21" i="9"/>
  <c r="AO21" i="8" s="1"/>
  <c r="CF4" i="8"/>
  <c r="AM11" i="9"/>
  <c r="L5" i="8"/>
  <c r="L6" i="8" s="1"/>
  <c r="L7" i="8" s="1"/>
  <c r="L8" i="8" s="1"/>
  <c r="L9" i="8" s="1"/>
  <c r="L10" i="8" s="1"/>
  <c r="L11" i="8" s="1"/>
  <c r="L12" i="8" s="1"/>
  <c r="L13" i="8" s="1"/>
  <c r="L14" i="8" s="1"/>
  <c r="L15" i="8" s="1"/>
  <c r="L16" i="8" s="1"/>
  <c r="L17" i="8" s="1"/>
  <c r="L18" i="8" s="1"/>
  <c r="L19" i="8" s="1"/>
  <c r="L20" i="8" s="1"/>
  <c r="L21" i="8" s="1"/>
  <c r="L22" i="8" s="1"/>
  <c r="L23" i="8" s="1"/>
  <c r="L24" i="8" s="1"/>
  <c r="L25" i="8" s="1"/>
  <c r="L26" i="8" s="1"/>
  <c r="L27" i="8" s="1"/>
  <c r="L28" i="8" s="1"/>
  <c r="L29" i="8" s="1"/>
  <c r="L30" i="8" s="1"/>
  <c r="L31" i="8" s="1"/>
  <c r="L32" i="8" s="1"/>
  <c r="L33" i="8" s="1"/>
  <c r="L34" i="8" s="1"/>
  <c r="L35" i="8" s="1"/>
  <c r="L36" i="8" s="1"/>
  <c r="L37" i="8" s="1"/>
  <c r="L38" i="8" s="1"/>
  <c r="L39" i="8" s="1"/>
  <c r="L40" i="8" s="1"/>
  <c r="I15" i="8"/>
  <c r="I16" i="8" s="1"/>
  <c r="I17" i="8" s="1"/>
  <c r="I18" i="8" s="1"/>
  <c r="I19" i="8" s="1"/>
  <c r="I20" i="8" s="1"/>
  <c r="I21" i="8" s="1"/>
  <c r="I22" i="8" s="1"/>
  <c r="I23" i="8" s="1"/>
  <c r="I24" i="8" s="1"/>
  <c r="I25" i="8" s="1"/>
  <c r="I26" i="8" s="1"/>
  <c r="I27" i="8" s="1"/>
  <c r="I28" i="8" s="1"/>
  <c r="I29" i="8" s="1"/>
  <c r="I30" i="8" s="1"/>
  <c r="I31" i="8" s="1"/>
  <c r="I32" i="8" s="1"/>
  <c r="I33" i="8" s="1"/>
  <c r="I34" i="8" s="1"/>
  <c r="I35" i="8" s="1"/>
  <c r="I36" i="8" s="1"/>
  <c r="I37" i="8" s="1"/>
  <c r="I38" i="8" s="1"/>
  <c r="I39" i="8" s="1"/>
  <c r="I40" i="8" s="1"/>
  <c r="O8" i="1"/>
  <c r="C23" i="4"/>
  <c r="B23" i="4"/>
  <c r="D22" i="4"/>
  <c r="AG2" i="8"/>
  <c r="AY2" i="8"/>
  <c r="E2" i="8"/>
  <c r="AM4" i="1"/>
  <c r="AJ4" i="1"/>
  <c r="D24" i="4"/>
  <c r="BA2" i="8"/>
  <c r="G2" i="8"/>
  <c r="AI2" i="8"/>
  <c r="BB2" i="8"/>
  <c r="H2" i="8"/>
  <c r="AJ2" i="8"/>
  <c r="AL4" i="1"/>
  <c r="D23" i="4"/>
  <c r="AZ2" i="8"/>
  <c r="F2" i="8"/>
  <c r="AH2" i="8"/>
  <c r="AK4" i="11"/>
  <c r="AH4" i="11"/>
  <c r="AG4" i="11"/>
  <c r="AG5" i="11" s="1"/>
  <c r="AG6" i="11" s="1"/>
  <c r="AG7" i="11" s="1"/>
  <c r="AG8" i="11" s="1"/>
  <c r="AG9" i="11" s="1"/>
  <c r="AG10" i="11" s="1"/>
  <c r="AG11" i="11" s="1"/>
  <c r="AG12" i="11" s="1"/>
  <c r="AG13" i="11" s="1"/>
  <c r="AG14" i="11" s="1"/>
  <c r="AG15" i="11" s="1"/>
  <c r="AG16" i="11" s="1"/>
  <c r="AG17" i="11" s="1"/>
  <c r="AG18" i="11" s="1"/>
  <c r="AG19" i="11" s="1"/>
  <c r="AG20" i="11" s="1"/>
  <c r="AG21" i="11" s="1"/>
  <c r="AG22" i="11" s="1"/>
  <c r="AG23" i="11" s="1"/>
  <c r="AG24" i="11" s="1"/>
  <c r="AG25" i="11" s="1"/>
  <c r="AG26" i="11" s="1"/>
  <c r="AG27" i="11" s="1"/>
  <c r="AG28" i="11" s="1"/>
  <c r="AG29" i="11" s="1"/>
  <c r="AG30" i="11" s="1"/>
  <c r="AG31" i="11" s="1"/>
  <c r="AG32" i="11" s="1"/>
  <c r="AG33" i="11" s="1"/>
  <c r="AG34" i="11" s="1"/>
  <c r="AG35" i="11" s="1"/>
  <c r="AG36" i="11" s="1"/>
  <c r="AG37" i="11" s="1"/>
  <c r="AG38" i="11" s="1"/>
  <c r="AG39" i="11" s="1"/>
  <c r="AG40" i="11" s="1"/>
  <c r="AG41" i="11" s="1"/>
  <c r="AG42" i="11" s="1"/>
  <c r="AG43" i="11" s="1"/>
  <c r="AG44" i="11" s="1"/>
  <c r="AG45" i="11" s="1"/>
  <c r="AG46" i="11" s="1"/>
  <c r="AG47" i="11" s="1"/>
  <c r="AG48" i="11" s="1"/>
  <c r="AG49" i="11" s="1"/>
  <c r="AG50" i="11" s="1"/>
  <c r="AG51" i="11" s="1"/>
  <c r="AG52" i="11" s="1"/>
  <c r="AG53" i="11" s="1"/>
  <c r="AG54" i="11" s="1"/>
  <c r="AG55" i="11" s="1"/>
  <c r="AG56" i="11" s="1"/>
  <c r="AG57" i="11" s="1"/>
  <c r="AG58" i="11" s="1"/>
  <c r="AG59" i="11" s="1"/>
  <c r="AG60" i="11" s="1"/>
  <c r="AG61" i="11" s="1"/>
  <c r="AG62" i="11" s="1"/>
  <c r="AG63" i="11" s="1"/>
  <c r="AG64" i="11" s="1"/>
  <c r="AG65" i="11" s="1"/>
  <c r="AG66" i="11" s="1"/>
  <c r="AG67" i="11" s="1"/>
  <c r="AG68" i="11" s="1"/>
  <c r="AG69" i="11" s="1"/>
  <c r="AG70" i="11" s="1"/>
  <c r="AG71" i="11" s="1"/>
  <c r="AG72" i="11" s="1"/>
  <c r="AG73" i="11" s="1"/>
  <c r="AG74" i="11" s="1"/>
  <c r="AG75" i="11" s="1"/>
  <c r="AG76" i="11" s="1"/>
  <c r="AG77" i="11" s="1"/>
  <c r="AG78" i="11" s="1"/>
  <c r="AG79" i="11" s="1"/>
  <c r="AG80" i="11" s="1"/>
  <c r="AG81" i="11" s="1"/>
  <c r="AG82" i="11" s="1"/>
  <c r="AG83" i="11" s="1"/>
  <c r="AG84" i="11" s="1"/>
  <c r="AG85" i="11" s="1"/>
  <c r="AG86" i="11" s="1"/>
  <c r="AG87" i="11" s="1"/>
  <c r="AG88" i="11" s="1"/>
  <c r="AG89" i="11" s="1"/>
  <c r="AG90" i="11" s="1"/>
  <c r="AG91" i="11" s="1"/>
  <c r="AG92" i="11" s="1"/>
  <c r="AG93" i="11" s="1"/>
  <c r="AG94" i="11" s="1"/>
  <c r="AG95" i="11" s="1"/>
  <c r="AG96" i="11" s="1"/>
  <c r="AG97" i="11" s="1"/>
  <c r="AG98" i="11" s="1"/>
  <c r="AG99" i="11" s="1"/>
  <c r="AG100" i="11" s="1"/>
  <c r="AG101" i="11" s="1"/>
  <c r="AG102" i="11" s="1"/>
  <c r="AG103" i="11" s="1"/>
  <c r="AG104" i="11" s="1"/>
  <c r="AG105" i="11" s="1"/>
  <c r="AG106" i="11" s="1"/>
  <c r="AG107" i="11" s="1"/>
  <c r="AG108" i="11" s="1"/>
  <c r="AG109" i="11" s="1"/>
  <c r="AG110" i="11" s="1"/>
  <c r="AG111" i="11" s="1"/>
  <c r="AG112" i="11" s="1"/>
  <c r="AG113" i="11" s="1"/>
  <c r="AG114" i="11" s="1"/>
  <c r="AG115" i="11" s="1"/>
  <c r="AG116" i="11" s="1"/>
  <c r="AG117" i="11" s="1"/>
  <c r="AG118" i="11" s="1"/>
  <c r="AG119" i="11" s="1"/>
  <c r="AG120" i="11" s="1"/>
  <c r="AG121" i="11" s="1"/>
  <c r="AG122" i="11" s="1"/>
  <c r="AG123" i="11" s="1"/>
  <c r="AG124" i="11" s="1"/>
  <c r="AG125" i="11" s="1"/>
  <c r="AG126" i="11" s="1"/>
  <c r="AG127" i="11" s="1"/>
  <c r="AG128" i="11" s="1"/>
  <c r="AG129" i="11" s="1"/>
  <c r="AG130" i="11" s="1"/>
  <c r="AG131" i="11" s="1"/>
  <c r="AG132" i="11" s="1"/>
  <c r="AG133" i="11" s="1"/>
  <c r="AG134" i="11" s="1"/>
  <c r="AG135" i="11" s="1"/>
  <c r="AG136" i="11" s="1"/>
  <c r="AI4" i="11"/>
  <c r="AI5" i="11" s="1"/>
  <c r="AI6" i="11" s="1"/>
  <c r="AI7" i="11" s="1"/>
  <c r="AI8" i="11" s="1"/>
  <c r="AI9" i="11" s="1"/>
  <c r="AI10" i="11" s="1"/>
  <c r="AI11" i="11" s="1"/>
  <c r="AI12" i="11" s="1"/>
  <c r="AI13" i="11" s="1"/>
  <c r="AI14" i="11" s="1"/>
  <c r="AI15" i="11" s="1"/>
  <c r="AI16" i="11" s="1"/>
  <c r="AI17" i="11" s="1"/>
  <c r="AI18" i="11" s="1"/>
  <c r="AI19" i="11" s="1"/>
  <c r="AI20" i="11" s="1"/>
  <c r="AI21" i="11" s="1"/>
  <c r="AI22" i="11" s="1"/>
  <c r="AI23" i="11" s="1"/>
  <c r="AI24" i="11" s="1"/>
  <c r="AI25" i="11" s="1"/>
  <c r="AI26" i="11" s="1"/>
  <c r="AI27" i="11" s="1"/>
  <c r="AI28" i="11" s="1"/>
  <c r="AI29" i="11" s="1"/>
  <c r="AI30" i="11" s="1"/>
  <c r="AI31" i="11" s="1"/>
  <c r="AI32" i="11" s="1"/>
  <c r="AI33" i="11" s="1"/>
  <c r="AI34" i="11" s="1"/>
  <c r="AI35" i="11" s="1"/>
  <c r="AI36" i="11" s="1"/>
  <c r="AI37" i="11" s="1"/>
  <c r="AI38" i="11" s="1"/>
  <c r="AI39" i="11" s="1"/>
  <c r="AI40" i="11" s="1"/>
  <c r="AI41" i="11" s="1"/>
  <c r="AI42" i="11" s="1"/>
  <c r="AI43" i="11" s="1"/>
  <c r="AI44" i="11" s="1"/>
  <c r="AI45" i="11" s="1"/>
  <c r="AI46" i="11" s="1"/>
  <c r="AI47" i="11" s="1"/>
  <c r="AI48" i="11" s="1"/>
  <c r="AI49" i="11" s="1"/>
  <c r="AI50" i="11" s="1"/>
  <c r="AI51" i="11" s="1"/>
  <c r="AI52" i="11" s="1"/>
  <c r="AI53" i="11" s="1"/>
  <c r="AI54" i="11" s="1"/>
  <c r="AI55" i="11" s="1"/>
  <c r="AI56" i="11" s="1"/>
  <c r="AI57" i="11" s="1"/>
  <c r="AI58" i="11" s="1"/>
  <c r="AI59" i="11" s="1"/>
  <c r="AI60" i="11" s="1"/>
  <c r="AI61" i="11" s="1"/>
  <c r="AI62" i="11" s="1"/>
  <c r="AI63" i="11" s="1"/>
  <c r="AI64" i="11" s="1"/>
  <c r="AI65" i="11" s="1"/>
  <c r="AI66" i="11" s="1"/>
  <c r="AI67" i="11" s="1"/>
  <c r="AI68" i="11" s="1"/>
  <c r="AI69" i="11" s="1"/>
  <c r="AI70" i="11" s="1"/>
  <c r="AI71" i="11" s="1"/>
  <c r="AI72" i="11" s="1"/>
  <c r="AI73" i="11" s="1"/>
  <c r="AI74" i="11" s="1"/>
  <c r="AI75" i="11" s="1"/>
  <c r="AI76" i="11" s="1"/>
  <c r="AI77" i="11" s="1"/>
  <c r="AI78" i="11" s="1"/>
  <c r="AI79" i="11" s="1"/>
  <c r="AI80" i="11" s="1"/>
  <c r="AI81" i="11" s="1"/>
  <c r="AI82" i="11" s="1"/>
  <c r="AI83" i="11" s="1"/>
  <c r="AI84" i="11" s="1"/>
  <c r="AI85" i="11" s="1"/>
  <c r="AI86" i="11" s="1"/>
  <c r="AI87" i="11" s="1"/>
  <c r="AI88" i="11" s="1"/>
  <c r="AI89" i="11" s="1"/>
  <c r="AI90" i="11" s="1"/>
  <c r="AI91" i="11" s="1"/>
  <c r="AI92" i="11" s="1"/>
  <c r="AI93" i="11" s="1"/>
  <c r="AI94" i="11" s="1"/>
  <c r="AI95" i="11" s="1"/>
  <c r="AI96" i="11" s="1"/>
  <c r="AI97" i="11" s="1"/>
  <c r="AI98" i="11" s="1"/>
  <c r="AI99" i="11" s="1"/>
  <c r="AI100" i="11" s="1"/>
  <c r="AI101" i="11" s="1"/>
  <c r="AI102" i="11" s="1"/>
  <c r="AI103" i="11" s="1"/>
  <c r="AI104" i="11" s="1"/>
  <c r="AI105" i="11" s="1"/>
  <c r="AI106" i="11" s="1"/>
  <c r="AI107" i="11" s="1"/>
  <c r="AI108" i="11" s="1"/>
  <c r="AI109" i="11" s="1"/>
  <c r="AI110" i="11" s="1"/>
  <c r="AI111" i="11" s="1"/>
  <c r="AI112" i="11" s="1"/>
  <c r="AI113" i="11" s="1"/>
  <c r="AI114" i="11" s="1"/>
  <c r="AI115" i="11" s="1"/>
  <c r="AI116" i="11" s="1"/>
  <c r="AI117" i="11" s="1"/>
  <c r="AI118" i="11" s="1"/>
  <c r="AI119" i="11" s="1"/>
  <c r="AI120" i="11" s="1"/>
  <c r="AI121" i="11" s="1"/>
  <c r="AI122" i="11" s="1"/>
  <c r="AI123" i="11" s="1"/>
  <c r="AI124" i="11" s="1"/>
  <c r="AI125" i="11" s="1"/>
  <c r="AI126" i="11" s="1"/>
  <c r="AI127" i="11" s="1"/>
  <c r="AI128" i="11" s="1"/>
  <c r="AI129" i="11" s="1"/>
  <c r="AI130" i="11" s="1"/>
  <c r="AI131" i="11" s="1"/>
  <c r="AI132" i="11" s="1"/>
  <c r="AI133" i="11" s="1"/>
  <c r="AI134" i="11" s="1"/>
  <c r="AI135" i="11" s="1"/>
  <c r="AI136" i="11" s="1"/>
  <c r="AJ4" i="11"/>
  <c r="AJ5" i="11" s="1"/>
  <c r="AJ6" i="11" s="1"/>
  <c r="AJ7" i="11" s="1"/>
  <c r="AJ8" i="11" s="1"/>
  <c r="AJ9" i="11" s="1"/>
  <c r="AJ10" i="11" s="1"/>
  <c r="AJ11" i="11" s="1"/>
  <c r="AJ12" i="11" s="1"/>
  <c r="AJ13" i="11" s="1"/>
  <c r="AJ14" i="11" s="1"/>
  <c r="AJ15" i="11" s="1"/>
  <c r="AJ16" i="11" s="1"/>
  <c r="AJ17" i="11" s="1"/>
  <c r="AJ18" i="11" s="1"/>
  <c r="AJ19" i="11" s="1"/>
  <c r="AJ20" i="11" s="1"/>
  <c r="AJ21" i="11" s="1"/>
  <c r="AJ22" i="11" s="1"/>
  <c r="AJ23" i="11" s="1"/>
  <c r="AJ24" i="11" s="1"/>
  <c r="AJ25" i="11" s="1"/>
  <c r="AJ26" i="11" s="1"/>
  <c r="AJ27" i="11" s="1"/>
  <c r="AJ28" i="11" s="1"/>
  <c r="AJ29" i="11" s="1"/>
  <c r="AJ30" i="11" s="1"/>
  <c r="AJ31" i="11" s="1"/>
  <c r="AJ32" i="11" s="1"/>
  <c r="AJ33" i="11" s="1"/>
  <c r="AJ34" i="11" s="1"/>
  <c r="AJ35" i="11" s="1"/>
  <c r="AJ36" i="11" s="1"/>
  <c r="AJ37" i="11" s="1"/>
  <c r="AJ38" i="11" s="1"/>
  <c r="AJ39" i="11" s="1"/>
  <c r="AJ40" i="11" s="1"/>
  <c r="AJ41" i="11" s="1"/>
  <c r="AJ42" i="11" s="1"/>
  <c r="AJ43" i="11" s="1"/>
  <c r="AJ44" i="11" s="1"/>
  <c r="AJ45" i="11" s="1"/>
  <c r="AJ46" i="11" s="1"/>
  <c r="AJ47" i="11" s="1"/>
  <c r="AJ48" i="11" s="1"/>
  <c r="AJ49" i="11" s="1"/>
  <c r="AJ50" i="11" s="1"/>
  <c r="AJ51" i="11" s="1"/>
  <c r="AJ52" i="11" s="1"/>
  <c r="AJ53" i="11" s="1"/>
  <c r="AJ54" i="11" s="1"/>
  <c r="AJ55" i="11" s="1"/>
  <c r="AJ56" i="11" s="1"/>
  <c r="AJ57" i="11" s="1"/>
  <c r="AJ58" i="11" s="1"/>
  <c r="AJ59" i="11" s="1"/>
  <c r="AJ60" i="11" s="1"/>
  <c r="AJ61" i="11" s="1"/>
  <c r="AJ62" i="11" s="1"/>
  <c r="AJ63" i="11" s="1"/>
  <c r="AJ64" i="11" s="1"/>
  <c r="AJ65" i="11" s="1"/>
  <c r="AJ66" i="11" s="1"/>
  <c r="AJ67" i="11" s="1"/>
  <c r="AJ68" i="11" s="1"/>
  <c r="AJ69" i="11" s="1"/>
  <c r="AJ70" i="11" s="1"/>
  <c r="AJ71" i="11" s="1"/>
  <c r="AJ72" i="11" s="1"/>
  <c r="AJ73" i="11" s="1"/>
  <c r="AJ74" i="11" s="1"/>
  <c r="AJ75" i="11" s="1"/>
  <c r="AJ76" i="11" s="1"/>
  <c r="AJ77" i="11" s="1"/>
  <c r="AJ78" i="11" s="1"/>
  <c r="AJ79" i="11" s="1"/>
  <c r="AJ80" i="11" s="1"/>
  <c r="AJ81" i="11" s="1"/>
  <c r="AJ82" i="11" s="1"/>
  <c r="AJ83" i="11" s="1"/>
  <c r="AJ84" i="11" s="1"/>
  <c r="AJ85" i="11" s="1"/>
  <c r="AJ86" i="11" s="1"/>
  <c r="AJ87" i="11" s="1"/>
  <c r="AJ88" i="11" s="1"/>
  <c r="AJ89" i="11" s="1"/>
  <c r="AJ90" i="11" s="1"/>
  <c r="AJ91" i="11" s="1"/>
  <c r="AJ92" i="11" s="1"/>
  <c r="AJ93" i="11" s="1"/>
  <c r="AJ94" i="11" s="1"/>
  <c r="AJ95" i="11" s="1"/>
  <c r="AJ96" i="11" s="1"/>
  <c r="AJ97" i="11" s="1"/>
  <c r="AJ98" i="11" s="1"/>
  <c r="AJ99" i="11" s="1"/>
  <c r="AJ100" i="11" s="1"/>
  <c r="AJ101" i="11" s="1"/>
  <c r="AJ102" i="11" s="1"/>
  <c r="AJ103" i="11" s="1"/>
  <c r="AJ104" i="11" s="1"/>
  <c r="AJ105" i="11" s="1"/>
  <c r="AJ106" i="11" s="1"/>
  <c r="AJ107" i="11" s="1"/>
  <c r="AJ108" i="11" s="1"/>
  <c r="AJ109" i="11" s="1"/>
  <c r="AJ110" i="11" s="1"/>
  <c r="AJ111" i="11" s="1"/>
  <c r="AJ112" i="11" s="1"/>
  <c r="AJ113" i="11" s="1"/>
  <c r="AJ114" i="11" s="1"/>
  <c r="AJ115" i="11" s="1"/>
  <c r="AJ116" i="11" s="1"/>
  <c r="AJ117" i="11" s="1"/>
  <c r="AJ118" i="11" s="1"/>
  <c r="AJ119" i="11" s="1"/>
  <c r="AJ120" i="11" s="1"/>
  <c r="AJ121" i="11" s="1"/>
  <c r="AJ122" i="11" s="1"/>
  <c r="AJ123" i="11" s="1"/>
  <c r="AJ124" i="11" s="1"/>
  <c r="AJ125" i="11" s="1"/>
  <c r="AJ126" i="11" s="1"/>
  <c r="AJ127" i="11" s="1"/>
  <c r="AJ128" i="11" s="1"/>
  <c r="AJ129" i="11" s="1"/>
  <c r="AJ130" i="11" s="1"/>
  <c r="AJ131" i="11" s="1"/>
  <c r="AJ132" i="11" s="1"/>
  <c r="AJ133" i="11" s="1"/>
  <c r="AJ134" i="11" s="1"/>
  <c r="AJ135" i="11" s="1"/>
  <c r="AJ136" i="11" s="1"/>
  <c r="AF4" i="11"/>
  <c r="AF5" i="11" s="1"/>
  <c r="AF6" i="11" s="1"/>
  <c r="AF7" i="11" s="1"/>
  <c r="AF8" i="11" s="1"/>
  <c r="AF9" i="11" s="1"/>
  <c r="AF10" i="11" s="1"/>
  <c r="AF11" i="11" s="1"/>
  <c r="AF12" i="11" s="1"/>
  <c r="AF13" i="11" s="1"/>
  <c r="AF14" i="11" s="1"/>
  <c r="AF15" i="11" s="1"/>
  <c r="AF16" i="11" s="1"/>
  <c r="AF17" i="11" s="1"/>
  <c r="AF18" i="11" s="1"/>
  <c r="AF19" i="11" s="1"/>
  <c r="AF20" i="11" s="1"/>
  <c r="AF21" i="11" s="1"/>
  <c r="AF22" i="11" s="1"/>
  <c r="AF23" i="11" s="1"/>
  <c r="AF24" i="11" s="1"/>
  <c r="AF25" i="11" s="1"/>
  <c r="AF26" i="11" s="1"/>
  <c r="AF27" i="11" s="1"/>
  <c r="AF28" i="11" s="1"/>
  <c r="AF29" i="11" s="1"/>
  <c r="AF30" i="11" s="1"/>
  <c r="AF31" i="11" s="1"/>
  <c r="AF32" i="11" s="1"/>
  <c r="AF33" i="11" s="1"/>
  <c r="AF34" i="11" s="1"/>
  <c r="AF35" i="11" s="1"/>
  <c r="AF36" i="11" s="1"/>
  <c r="AF37" i="11" s="1"/>
  <c r="AF38" i="11" s="1"/>
  <c r="AF39" i="11" s="1"/>
  <c r="AF40" i="11" s="1"/>
  <c r="AF41" i="11" s="1"/>
  <c r="AF42" i="11" s="1"/>
  <c r="AF43" i="11" s="1"/>
  <c r="AF44" i="11" s="1"/>
  <c r="AF45" i="11" s="1"/>
  <c r="AF46" i="11" s="1"/>
  <c r="AF47" i="11" s="1"/>
  <c r="AF48" i="11" s="1"/>
  <c r="AF49" i="11" s="1"/>
  <c r="AF50" i="11" s="1"/>
  <c r="AF51" i="11" s="1"/>
  <c r="AF52" i="11" s="1"/>
  <c r="AF53" i="11" s="1"/>
  <c r="AF54" i="11" s="1"/>
  <c r="AF55" i="11" s="1"/>
  <c r="AF56" i="11" s="1"/>
  <c r="AF57" i="11" s="1"/>
  <c r="AF58" i="11" s="1"/>
  <c r="AF59" i="11" s="1"/>
  <c r="AF60" i="11" s="1"/>
  <c r="AF61" i="11" s="1"/>
  <c r="AF62" i="11" s="1"/>
  <c r="AF63" i="11" s="1"/>
  <c r="AF64" i="11" s="1"/>
  <c r="AF65" i="11" s="1"/>
  <c r="AF66" i="11" s="1"/>
  <c r="AF67" i="11" s="1"/>
  <c r="AF68" i="11" s="1"/>
  <c r="AF69" i="11" s="1"/>
  <c r="AF70" i="11" s="1"/>
  <c r="AF71" i="11" s="1"/>
  <c r="AF72" i="11" s="1"/>
  <c r="AF73" i="11" s="1"/>
  <c r="AF74" i="11" s="1"/>
  <c r="AF75" i="11" s="1"/>
  <c r="AF76" i="11" s="1"/>
  <c r="AF77" i="11" s="1"/>
  <c r="AF78" i="11" s="1"/>
  <c r="AF79" i="11" s="1"/>
  <c r="AF80" i="11" s="1"/>
  <c r="AF81" i="11" s="1"/>
  <c r="AF82" i="11" s="1"/>
  <c r="AF83" i="11" s="1"/>
  <c r="AF84" i="11" s="1"/>
  <c r="AF85" i="11" s="1"/>
  <c r="AF86" i="11" s="1"/>
  <c r="AF87" i="11" s="1"/>
  <c r="AF88" i="11" s="1"/>
  <c r="AF89" i="11" s="1"/>
  <c r="AF90" i="11" s="1"/>
  <c r="AF91" i="11" s="1"/>
  <c r="AF92" i="11" s="1"/>
  <c r="AF93" i="11" s="1"/>
  <c r="AF94" i="11" s="1"/>
  <c r="AF95" i="11" s="1"/>
  <c r="AF96" i="11" s="1"/>
  <c r="AF97" i="11" s="1"/>
  <c r="AF98" i="11" s="1"/>
  <c r="AF99" i="11" s="1"/>
  <c r="AF100" i="11" s="1"/>
  <c r="AF101" i="11" s="1"/>
  <c r="AF102" i="11" s="1"/>
  <c r="AF103" i="11" s="1"/>
  <c r="AF104" i="11" s="1"/>
  <c r="AF105" i="11" s="1"/>
  <c r="AF106" i="11" s="1"/>
  <c r="AF107" i="11" s="1"/>
  <c r="AF108" i="11" s="1"/>
  <c r="AF109" i="11" s="1"/>
  <c r="AF110" i="11" s="1"/>
  <c r="AF111" i="11" s="1"/>
  <c r="AF112" i="11" s="1"/>
  <c r="AF113" i="11" s="1"/>
  <c r="AF114" i="11" s="1"/>
  <c r="AF115" i="11" s="1"/>
  <c r="AF116" i="11" s="1"/>
  <c r="AF117" i="11" s="1"/>
  <c r="AF118" i="11" s="1"/>
  <c r="AF119" i="11" s="1"/>
  <c r="AF120" i="11" s="1"/>
  <c r="AF121" i="11" s="1"/>
  <c r="AF122" i="11" s="1"/>
  <c r="AF123" i="11" s="1"/>
  <c r="AF124" i="11" s="1"/>
  <c r="AF125" i="11" s="1"/>
  <c r="AF126" i="11" s="1"/>
  <c r="AF127" i="11" s="1"/>
  <c r="AF128" i="11" s="1"/>
  <c r="AF129" i="11" s="1"/>
  <c r="AF130" i="11" s="1"/>
  <c r="AF131" i="11" s="1"/>
  <c r="AF132" i="11" s="1"/>
  <c r="AF133" i="11" s="1"/>
  <c r="AF134" i="11" s="1"/>
  <c r="AF135" i="11" s="1"/>
  <c r="AF136" i="11" s="1"/>
  <c r="F6" i="8"/>
  <c r="CG4" i="8"/>
  <c r="S4" i="2"/>
  <c r="G5" i="8"/>
  <c r="K6" i="8"/>
  <c r="E6" i="8"/>
  <c r="AH11" i="9"/>
  <c r="AG11" i="9"/>
  <c r="AK11" i="9"/>
  <c r="AE11" i="9"/>
  <c r="A41" i="4"/>
  <c r="A42" i="4"/>
  <c r="P2" i="2"/>
  <c r="O2" i="2"/>
  <c r="N2" i="2"/>
  <c r="M2" i="2"/>
  <c r="A39" i="4"/>
  <c r="A40" i="4"/>
  <c r="CG5" i="8"/>
  <c r="O4" i="2"/>
  <c r="Q4" i="2"/>
  <c r="R4" i="2"/>
  <c r="M4" i="2"/>
  <c r="N4" i="2"/>
  <c r="R5" i="2"/>
  <c r="P4" i="2"/>
  <c r="E22" i="4"/>
  <c r="F22" i="4"/>
  <c r="E23" i="4"/>
  <c r="E25" i="4"/>
  <c r="E24" i="4"/>
  <c r="F23" i="4"/>
  <c r="D25" i="4"/>
  <c r="A50" i="4"/>
  <c r="A51" i="4"/>
  <c r="A48" i="4"/>
  <c r="CJ136" i="8"/>
  <c r="CJ135" i="8"/>
  <c r="CJ134" i="8"/>
  <c r="CJ133" i="8"/>
  <c r="CJ132" i="8"/>
  <c r="CJ131" i="8"/>
  <c r="CJ130" i="8"/>
  <c r="CJ129" i="8"/>
  <c r="CJ128" i="8"/>
  <c r="CJ127" i="8"/>
  <c r="CJ126" i="8"/>
  <c r="CJ125" i="8"/>
  <c r="CJ124" i="8"/>
  <c r="CJ123" i="8"/>
  <c r="CJ122" i="8"/>
  <c r="CJ121" i="8"/>
  <c r="CJ120" i="8"/>
  <c r="CJ119" i="8"/>
  <c r="CJ118" i="8"/>
  <c r="CJ117" i="8"/>
  <c r="CJ116" i="8"/>
  <c r="CJ115" i="8"/>
  <c r="CJ114" i="8"/>
  <c r="CJ113" i="8"/>
  <c r="CJ112" i="8"/>
  <c r="CJ111" i="8"/>
  <c r="CJ110" i="8"/>
  <c r="CJ109" i="8"/>
  <c r="CJ108" i="8"/>
  <c r="CJ107" i="8"/>
  <c r="CJ106" i="8"/>
  <c r="CJ105" i="8"/>
  <c r="CJ104" i="8"/>
  <c r="CJ103" i="8"/>
  <c r="CJ102" i="8"/>
  <c r="CJ101" i="8"/>
  <c r="CJ100" i="8"/>
  <c r="CJ99" i="8"/>
  <c r="CJ98" i="8"/>
  <c r="CJ97" i="8"/>
  <c r="CJ96" i="8"/>
  <c r="CJ95" i="8"/>
  <c r="CJ94" i="8"/>
  <c r="CJ93" i="8"/>
  <c r="CJ92" i="8"/>
  <c r="CJ91" i="8"/>
  <c r="CJ90" i="8"/>
  <c r="CJ89" i="8"/>
  <c r="CJ88" i="8"/>
  <c r="CJ87" i="8"/>
  <c r="CJ86" i="8"/>
  <c r="CJ85" i="8"/>
  <c r="CJ84" i="8"/>
  <c r="CJ83" i="8"/>
  <c r="CJ82" i="8"/>
  <c r="CJ81" i="8"/>
  <c r="CJ80" i="8"/>
  <c r="CJ79" i="8"/>
  <c r="CJ78" i="8"/>
  <c r="CJ77" i="8"/>
  <c r="CJ76" i="8"/>
  <c r="CJ75" i="8"/>
  <c r="CJ74" i="8"/>
  <c r="CJ73" i="8"/>
  <c r="CJ72" i="8"/>
  <c r="CJ71" i="8"/>
  <c r="CJ70" i="8"/>
  <c r="CJ69" i="8"/>
  <c r="CJ68" i="8"/>
  <c r="CJ67" i="8"/>
  <c r="CJ66" i="8"/>
  <c r="CJ65" i="8"/>
  <c r="CJ64" i="8"/>
  <c r="CJ63" i="8"/>
  <c r="CJ62" i="8"/>
  <c r="CJ61" i="8"/>
  <c r="CJ60" i="8"/>
  <c r="CJ59" i="8"/>
  <c r="CJ58" i="8"/>
  <c r="CJ57" i="8"/>
  <c r="CJ56" i="8"/>
  <c r="CJ55" i="8"/>
  <c r="CJ54" i="8"/>
  <c r="CJ53" i="8"/>
  <c r="CJ52" i="8"/>
  <c r="CJ51" i="8"/>
  <c r="CJ50" i="8"/>
  <c r="CJ49" i="8"/>
  <c r="CJ48" i="8"/>
  <c r="CJ47" i="8"/>
  <c r="CJ46" i="8"/>
  <c r="CJ45" i="8"/>
  <c r="CJ44" i="8"/>
  <c r="CJ43" i="8"/>
  <c r="CJ42" i="8"/>
  <c r="CJ41" i="8"/>
  <c r="CJ40" i="8"/>
  <c r="CJ39" i="8"/>
  <c r="CJ38" i="8"/>
  <c r="CJ37" i="8"/>
  <c r="CJ36" i="8"/>
  <c r="CJ35" i="8"/>
  <c r="CJ34" i="8"/>
  <c r="CJ33" i="8"/>
  <c r="CJ32" i="8"/>
  <c r="CJ31" i="8"/>
  <c r="CJ30" i="8"/>
  <c r="CJ29" i="8"/>
  <c r="CJ28" i="8"/>
  <c r="CJ27" i="8"/>
  <c r="CJ26" i="8"/>
  <c r="CJ25" i="8"/>
  <c r="CJ24" i="8"/>
  <c r="CJ23" i="8"/>
  <c r="CJ22" i="8"/>
  <c r="CJ21" i="8"/>
  <c r="CJ20" i="8"/>
  <c r="CJ19" i="8"/>
  <c r="CJ18" i="8"/>
  <c r="CJ17" i="8"/>
  <c r="CJ16" i="8"/>
  <c r="CJ15" i="8"/>
  <c r="CJ14" i="8"/>
  <c r="CJ13" i="8"/>
  <c r="CJ12" i="8"/>
  <c r="CJ11" i="8"/>
  <c r="CJ10" i="8"/>
  <c r="CJ9" i="8"/>
  <c r="CJ8" i="8"/>
  <c r="CJ7" i="8"/>
  <c r="CJ6" i="8"/>
  <c r="CJ5" i="8"/>
  <c r="CJ4" i="8"/>
  <c r="C87" i="4"/>
  <c r="D86" i="4"/>
  <c r="E87" i="4"/>
  <c r="BY4" i="11"/>
  <c r="CO12" i="8"/>
  <c r="CO11" i="8"/>
  <c r="CO10" i="8"/>
  <c r="CO9" i="8"/>
  <c r="CO8" i="8"/>
  <c r="CO7" i="8"/>
  <c r="CO6" i="8"/>
  <c r="CO5" i="8"/>
  <c r="N5" i="2"/>
  <c r="DH4" i="5"/>
  <c r="B47" i="6"/>
  <c r="B46" i="6"/>
  <c r="I4" i="1" s="1"/>
  <c r="AO4" i="1" s="1"/>
  <c r="F3" i="12"/>
  <c r="E3" i="12" s="1"/>
  <c r="J3" i="12"/>
  <c r="C4" i="12"/>
  <c r="C5" i="12" s="1"/>
  <c r="C6" i="12" s="1"/>
  <c r="C7" i="12" s="1"/>
  <c r="C8" i="12" s="1"/>
  <c r="C9" i="12" s="1"/>
  <c r="C10" i="12" s="1"/>
  <c r="C11" i="12" s="1"/>
  <c r="C12" i="12" s="1"/>
  <c r="C13" i="12" s="1"/>
  <c r="C14" i="12" s="1"/>
  <c r="C15" i="12" s="1"/>
  <c r="C16" i="12" s="1"/>
  <c r="C17" i="12" s="1"/>
  <c r="D4" i="12"/>
  <c r="I4" i="12"/>
  <c r="I5" i="12" s="1"/>
  <c r="J5" i="12" s="1"/>
  <c r="B9" i="12"/>
  <c r="B13" i="12"/>
  <c r="M22" i="12"/>
  <c r="C23" i="12"/>
  <c r="C26" i="12" s="1"/>
  <c r="E24" i="12"/>
  <c r="F24" i="12"/>
  <c r="I25" i="12"/>
  <c r="M25" i="12"/>
  <c r="M26" i="12"/>
  <c r="K27" i="12"/>
  <c r="K28" i="12"/>
  <c r="C34" i="12"/>
  <c r="I35" i="12"/>
  <c r="I36" i="12"/>
  <c r="M37" i="12"/>
  <c r="K38" i="12"/>
  <c r="K39" i="12"/>
  <c r="K36" i="12" s="1"/>
  <c r="F52" i="12"/>
  <c r="E52" i="12" s="1"/>
  <c r="F53" i="12"/>
  <c r="E53" i="12" s="1"/>
  <c r="F54" i="12"/>
  <c r="E54" i="12" s="1"/>
  <c r="F55" i="12"/>
  <c r="E55" i="12" s="1"/>
  <c r="C68" i="6"/>
  <c r="A72" i="6"/>
  <c r="B82" i="6"/>
  <c r="C82" i="6"/>
  <c r="B83" i="6"/>
  <c r="C83" i="6"/>
  <c r="C84" i="6" s="1"/>
  <c r="C85" i="6" s="1"/>
  <c r="C86" i="6" s="1"/>
  <c r="C87" i="6" s="1"/>
  <c r="C88" i="6" s="1"/>
  <c r="C89" i="6" s="1"/>
  <c r="C90" i="6" s="1"/>
  <c r="B85" i="6"/>
  <c r="B86" i="6" s="1"/>
  <c r="D16" i="5"/>
  <c r="D17" i="5"/>
  <c r="D18" i="5"/>
  <c r="D19" i="5"/>
  <c r="D20" i="5"/>
  <c r="D21" i="5"/>
  <c r="D22" i="5"/>
  <c r="D23" i="5"/>
  <c r="D24" i="5"/>
  <c r="D25" i="5"/>
  <c r="D27" i="5"/>
  <c r="D28" i="5"/>
  <c r="D29" i="5"/>
  <c r="D30" i="5"/>
  <c r="D31" i="5"/>
  <c r="D32" i="5"/>
  <c r="D33" i="5"/>
  <c r="D34" i="5"/>
  <c r="D35" i="5"/>
  <c r="D36" i="5"/>
  <c r="D37" i="5"/>
  <c r="D38" i="5"/>
  <c r="D39" i="5"/>
  <c r="D40" i="5"/>
  <c r="B71" i="4" s="1"/>
  <c r="D41" i="5"/>
  <c r="D42" i="5"/>
  <c r="D43" i="5"/>
  <c r="D44" i="5"/>
  <c r="D45" i="5"/>
  <c r="D46" i="5"/>
  <c r="D47" i="5"/>
  <c r="D48" i="5"/>
  <c r="D49" i="5"/>
  <c r="D50" i="5"/>
  <c r="D51" i="5"/>
  <c r="D52" i="5"/>
  <c r="D53" i="5"/>
  <c r="D54" i="5"/>
  <c r="D55" i="5"/>
  <c r="D56" i="5"/>
  <c r="D57" i="5"/>
  <c r="D58" i="5"/>
  <c r="D59" i="5"/>
  <c r="D60" i="5"/>
  <c r="D61" i="5"/>
  <c r="D62" i="5"/>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96" i="5"/>
  <c r="D97" i="5"/>
  <c r="D98" i="5"/>
  <c r="D99" i="5"/>
  <c r="D100" i="5"/>
  <c r="D101" i="5"/>
  <c r="D102" i="5"/>
  <c r="D103" i="5"/>
  <c r="D104" i="5"/>
  <c r="D105" i="5"/>
  <c r="D106" i="5"/>
  <c r="D107" i="5"/>
  <c r="D108" i="5"/>
  <c r="D109" i="5"/>
  <c r="D110" i="5"/>
  <c r="D111" i="5"/>
  <c r="D112" i="5"/>
  <c r="D113" i="5"/>
  <c r="D114" i="5"/>
  <c r="D115" i="5"/>
  <c r="D116" i="5"/>
  <c r="D117" i="5"/>
  <c r="D118" i="5"/>
  <c r="D119" i="5"/>
  <c r="D120" i="5"/>
  <c r="D121" i="5"/>
  <c r="D122" i="5"/>
  <c r="D123" i="5"/>
  <c r="D124" i="5"/>
  <c r="D125" i="5"/>
  <c r="D126" i="5"/>
  <c r="D127" i="5"/>
  <c r="D128" i="5"/>
  <c r="D129" i="5"/>
  <c r="D130" i="5"/>
  <c r="D131" i="5"/>
  <c r="D132" i="5"/>
  <c r="D133" i="5"/>
  <c r="D134" i="5"/>
  <c r="D135" i="5"/>
  <c r="D136" i="5"/>
  <c r="M4" i="11"/>
  <c r="M5" i="11"/>
  <c r="M6" i="11"/>
  <c r="BW6" i="11" s="1"/>
  <c r="M7" i="11"/>
  <c r="BW7" i="11" s="1"/>
  <c r="M8" i="11"/>
  <c r="BW8" i="11" s="1"/>
  <c r="M9" i="11"/>
  <c r="BW9" i="11" s="1"/>
  <c r="M10" i="11"/>
  <c r="BW10" i="11" s="1"/>
  <c r="M11" i="11"/>
  <c r="BW11" i="11" s="1"/>
  <c r="M12" i="11"/>
  <c r="BW12" i="11" s="1"/>
  <c r="M13" i="11"/>
  <c r="BW13" i="11" s="1"/>
  <c r="M14" i="11"/>
  <c r="BW14" i="11" s="1"/>
  <c r="M15" i="11"/>
  <c r="BW15" i="11" s="1"/>
  <c r="M16" i="11"/>
  <c r="BW16" i="11" s="1"/>
  <c r="M17" i="11"/>
  <c r="BW17" i="11" s="1"/>
  <c r="M18" i="11"/>
  <c r="BW18" i="11" s="1"/>
  <c r="M19" i="11"/>
  <c r="BW19" i="11" s="1"/>
  <c r="M20" i="11"/>
  <c r="BW20" i="11" s="1"/>
  <c r="M21" i="11"/>
  <c r="BW21" i="11" s="1"/>
  <c r="M22" i="11"/>
  <c r="BW22" i="11" s="1"/>
  <c r="M23" i="11"/>
  <c r="BW23" i="11" s="1"/>
  <c r="M24" i="11"/>
  <c r="BW24" i="11" s="1"/>
  <c r="M25" i="11"/>
  <c r="BW25" i="11" s="1"/>
  <c r="M26" i="11"/>
  <c r="BW26" i="11" s="1"/>
  <c r="M27" i="11"/>
  <c r="BW27" i="11" s="1"/>
  <c r="M28" i="11"/>
  <c r="BW28" i="11" s="1"/>
  <c r="M29" i="11"/>
  <c r="BW29" i="11" s="1"/>
  <c r="M30" i="11"/>
  <c r="BW30" i="11" s="1"/>
  <c r="M31" i="11"/>
  <c r="BW31" i="11" s="1"/>
  <c r="M32" i="11"/>
  <c r="BW32" i="11" s="1"/>
  <c r="M33" i="11"/>
  <c r="BW33" i="11" s="1"/>
  <c r="M34" i="11"/>
  <c r="BW34" i="11" s="1"/>
  <c r="M35" i="11"/>
  <c r="BW35" i="11" s="1"/>
  <c r="M36" i="11"/>
  <c r="BW36" i="11" s="1"/>
  <c r="M37" i="11"/>
  <c r="BW37" i="11" s="1"/>
  <c r="M38" i="11"/>
  <c r="BW38" i="11" s="1"/>
  <c r="M39" i="11"/>
  <c r="BW39" i="11" s="1"/>
  <c r="M40" i="11"/>
  <c r="BW40" i="11" s="1"/>
  <c r="M41" i="11"/>
  <c r="BW41" i="11" s="1"/>
  <c r="M42" i="11"/>
  <c r="BW42" i="11" s="1"/>
  <c r="M43" i="11"/>
  <c r="BW43" i="11" s="1"/>
  <c r="M44" i="11"/>
  <c r="BW44" i="11" s="1"/>
  <c r="M45" i="11"/>
  <c r="BW45" i="11" s="1"/>
  <c r="M46" i="11"/>
  <c r="BW46" i="11" s="1"/>
  <c r="M47" i="11"/>
  <c r="BW47" i="11" s="1"/>
  <c r="M48" i="11"/>
  <c r="BW48" i="11" s="1"/>
  <c r="M49" i="11"/>
  <c r="BW49" i="11" s="1"/>
  <c r="M50" i="11"/>
  <c r="BW50" i="11" s="1"/>
  <c r="M51" i="11"/>
  <c r="BW51" i="11" s="1"/>
  <c r="M52" i="11"/>
  <c r="BW52" i="11" s="1"/>
  <c r="M53" i="11"/>
  <c r="BW53" i="11" s="1"/>
  <c r="M54" i="11"/>
  <c r="BW54" i="11" s="1"/>
  <c r="M55" i="11"/>
  <c r="BW55" i="11" s="1"/>
  <c r="M56" i="11"/>
  <c r="BW56" i="11" s="1"/>
  <c r="M57" i="11"/>
  <c r="BW57" i="11" s="1"/>
  <c r="M58" i="11"/>
  <c r="BW58" i="11" s="1"/>
  <c r="M59" i="11"/>
  <c r="BW59" i="11" s="1"/>
  <c r="M60" i="11"/>
  <c r="BW60" i="11" s="1"/>
  <c r="M61" i="11"/>
  <c r="BW61" i="11" s="1"/>
  <c r="M62" i="11"/>
  <c r="BW62" i="11" s="1"/>
  <c r="M63" i="11"/>
  <c r="BW63" i="11" s="1"/>
  <c r="M64" i="11"/>
  <c r="BW64" i="11" s="1"/>
  <c r="M65" i="11"/>
  <c r="BW65" i="11" s="1"/>
  <c r="M66" i="11"/>
  <c r="BW66" i="11" s="1"/>
  <c r="M67" i="11"/>
  <c r="BW67" i="11" s="1"/>
  <c r="M68" i="11"/>
  <c r="BW68" i="11" s="1"/>
  <c r="M69" i="11"/>
  <c r="BW69" i="11" s="1"/>
  <c r="M70" i="11"/>
  <c r="BW70" i="11" s="1"/>
  <c r="M71" i="11"/>
  <c r="BW71" i="11" s="1"/>
  <c r="M72" i="11"/>
  <c r="BW72" i="11" s="1"/>
  <c r="M73" i="11"/>
  <c r="BW73" i="11" s="1"/>
  <c r="M74" i="11"/>
  <c r="BW74" i="11" s="1"/>
  <c r="M75" i="11"/>
  <c r="BW75" i="11" s="1"/>
  <c r="M76" i="11"/>
  <c r="BW76" i="11" s="1"/>
  <c r="M77" i="11"/>
  <c r="BW77" i="11" s="1"/>
  <c r="M78" i="11"/>
  <c r="BW78" i="11" s="1"/>
  <c r="M79" i="11"/>
  <c r="BW79" i="11" s="1"/>
  <c r="M80" i="11"/>
  <c r="BW80" i="11" s="1"/>
  <c r="M81" i="11"/>
  <c r="BW81" i="11" s="1"/>
  <c r="M82" i="11"/>
  <c r="BW82" i="11" s="1"/>
  <c r="M83" i="11"/>
  <c r="BW83" i="11" s="1"/>
  <c r="M84" i="11"/>
  <c r="BW84" i="11" s="1"/>
  <c r="M85" i="11"/>
  <c r="BW85" i="11" s="1"/>
  <c r="M86" i="11"/>
  <c r="BW86" i="11" s="1"/>
  <c r="M87" i="11"/>
  <c r="BW87" i="11" s="1"/>
  <c r="M88" i="11"/>
  <c r="BW88" i="11" s="1"/>
  <c r="M89" i="11"/>
  <c r="BW89" i="11" s="1"/>
  <c r="M90" i="11"/>
  <c r="BW90" i="11" s="1"/>
  <c r="M91" i="11"/>
  <c r="BW91" i="11" s="1"/>
  <c r="M92" i="11"/>
  <c r="BW92" i="11" s="1"/>
  <c r="M93" i="11"/>
  <c r="BW93" i="11" s="1"/>
  <c r="M94" i="11"/>
  <c r="BW94" i="11" s="1"/>
  <c r="M95" i="11"/>
  <c r="BW95" i="11" s="1"/>
  <c r="M96" i="11"/>
  <c r="BW96" i="11" s="1"/>
  <c r="M97" i="11"/>
  <c r="BW97" i="11" s="1"/>
  <c r="M98" i="11"/>
  <c r="BW98" i="11" s="1"/>
  <c r="M99" i="11"/>
  <c r="BW99" i="11" s="1"/>
  <c r="M100" i="11"/>
  <c r="BW100" i="11" s="1"/>
  <c r="M101" i="11"/>
  <c r="BW101" i="11" s="1"/>
  <c r="M102" i="11"/>
  <c r="BW102" i="11" s="1"/>
  <c r="M103" i="11"/>
  <c r="BW103" i="11" s="1"/>
  <c r="M104" i="11"/>
  <c r="BW104" i="11" s="1"/>
  <c r="M105" i="11"/>
  <c r="BW105" i="11" s="1"/>
  <c r="M106" i="11"/>
  <c r="BW106" i="11" s="1"/>
  <c r="M107" i="11"/>
  <c r="BW107" i="11" s="1"/>
  <c r="M108" i="11"/>
  <c r="BW108" i="11" s="1"/>
  <c r="M109" i="11"/>
  <c r="BW109" i="11" s="1"/>
  <c r="M110" i="11"/>
  <c r="BW110" i="11" s="1"/>
  <c r="M111" i="11"/>
  <c r="BW111" i="11" s="1"/>
  <c r="M112" i="11"/>
  <c r="BW112" i="11" s="1"/>
  <c r="M113" i="11"/>
  <c r="BW113" i="11" s="1"/>
  <c r="M114" i="11"/>
  <c r="BW114" i="11" s="1"/>
  <c r="M115" i="11"/>
  <c r="BW115" i="11" s="1"/>
  <c r="M116" i="11"/>
  <c r="BW116" i="11" s="1"/>
  <c r="M117" i="11"/>
  <c r="BW117" i="11" s="1"/>
  <c r="M118" i="11"/>
  <c r="BW118" i="11" s="1"/>
  <c r="M119" i="11"/>
  <c r="BW119" i="11" s="1"/>
  <c r="M120" i="11"/>
  <c r="BW120" i="11" s="1"/>
  <c r="M121" i="11"/>
  <c r="BW121" i="11" s="1"/>
  <c r="M122" i="11"/>
  <c r="BW122" i="11" s="1"/>
  <c r="M123" i="11"/>
  <c r="BW123" i="11" s="1"/>
  <c r="M124" i="11"/>
  <c r="BW124" i="11" s="1"/>
  <c r="M125" i="11"/>
  <c r="BW125" i="11" s="1"/>
  <c r="M126" i="11"/>
  <c r="BW126" i="11" s="1"/>
  <c r="M127" i="11"/>
  <c r="BW127" i="11" s="1"/>
  <c r="M128" i="11"/>
  <c r="BW128" i="11" s="1"/>
  <c r="M129" i="11"/>
  <c r="BW129" i="11" s="1"/>
  <c r="M130" i="11"/>
  <c r="BW130" i="11" s="1"/>
  <c r="M131" i="11"/>
  <c r="BW131" i="11" s="1"/>
  <c r="M132" i="11"/>
  <c r="BW132" i="11" s="1"/>
  <c r="M133" i="11"/>
  <c r="BW133" i="11" s="1"/>
  <c r="M134" i="11"/>
  <c r="BW134" i="11" s="1"/>
  <c r="M135" i="11"/>
  <c r="BW135" i="11" s="1"/>
  <c r="M136" i="11"/>
  <c r="BW136" i="11" s="1"/>
  <c r="E16" i="4"/>
  <c r="B17" i="4"/>
  <c r="D51" i="4"/>
  <c r="D52" i="4"/>
  <c r="D53" i="4"/>
  <c r="D54" i="4"/>
  <c r="D55" i="4"/>
  <c r="D56" i="4"/>
  <c r="D57" i="4"/>
  <c r="D58" i="4"/>
  <c r="D59" i="4"/>
  <c r="D60" i="4"/>
  <c r="D61" i="4"/>
  <c r="D62" i="4"/>
  <c r="D63" i="4"/>
  <c r="D64" i="4"/>
  <c r="D65" i="4"/>
  <c r="D66" i="4"/>
  <c r="D67" i="4"/>
  <c r="D68" i="4"/>
  <c r="B70" i="4"/>
  <c r="D69" i="4"/>
  <c r="B72" i="4"/>
  <c r="B73" i="4"/>
  <c r="CQ16" i="5" s="1"/>
  <c r="E79" i="4"/>
  <c r="E81" i="4"/>
  <c r="E82" i="4"/>
  <c r="E83" i="4"/>
  <c r="E84" i="4"/>
  <c r="E86" i="4"/>
  <c r="E88" i="4"/>
  <c r="E92" i="4"/>
  <c r="F24" i="4"/>
  <c r="F25" i="4"/>
  <c r="J5" i="10"/>
  <c r="N5" i="5" s="1"/>
  <c r="C1270" i="1"/>
  <c r="B1270" i="11"/>
  <c r="C1270" i="2"/>
  <c r="A1270" i="10"/>
  <c r="B1270" i="7"/>
  <c r="A1270" i="5"/>
  <c r="B1270" i="8"/>
  <c r="P5" i="2"/>
  <c r="AQ27" i="9" l="1"/>
  <c r="CM27" i="8" s="1"/>
  <c r="BW5" i="11"/>
  <c r="B54" i="4"/>
  <c r="L41" i="8"/>
  <c r="L42" i="8" s="1"/>
  <c r="L43" i="8" s="1"/>
  <c r="L44" i="8" s="1"/>
  <c r="L45" i="8" s="1"/>
  <c r="L46" i="8" s="1"/>
  <c r="L47" i="8" s="1"/>
  <c r="L48" i="8" s="1"/>
  <c r="L49" i="8" s="1"/>
  <c r="L50" i="8" s="1"/>
  <c r="L51" i="8" s="1"/>
  <c r="L52" i="8" s="1"/>
  <c r="L53" i="8" s="1"/>
  <c r="L54" i="8" s="1"/>
  <c r="L55" i="8" s="1"/>
  <c r="L56" i="8" s="1"/>
  <c r="L57" i="8" s="1"/>
  <c r="L58" i="8" s="1"/>
  <c r="L59" i="8" s="1"/>
  <c r="L60" i="8" s="1"/>
  <c r="L61" i="8" s="1"/>
  <c r="L62" i="8" s="1"/>
  <c r="L63" i="8" s="1"/>
  <c r="L64" i="8" s="1"/>
  <c r="L65" i="8" s="1"/>
  <c r="L66" i="8" s="1"/>
  <c r="L67" i="8" s="1"/>
  <c r="L68" i="8" s="1"/>
  <c r="L69" i="8" s="1"/>
  <c r="L70" i="8" s="1"/>
  <c r="L71" i="8" s="1"/>
  <c r="L72" i="8" s="1"/>
  <c r="L73" i="8" s="1"/>
  <c r="L74" i="8" s="1"/>
  <c r="L75" i="8" s="1"/>
  <c r="L76" i="8" s="1"/>
  <c r="L77" i="8" s="1"/>
  <c r="L78" i="8" s="1"/>
  <c r="L79" i="8" s="1"/>
  <c r="L80" i="8" s="1"/>
  <c r="L81" i="8" s="1"/>
  <c r="L82" i="8" s="1"/>
  <c r="L83" i="8" s="1"/>
  <c r="L84" i="8" s="1"/>
  <c r="L85" i="8" s="1"/>
  <c r="L86" i="8" s="1"/>
  <c r="L87" i="8" s="1"/>
  <c r="L88" i="8" s="1"/>
  <c r="L89" i="8" s="1"/>
  <c r="L90" i="8" s="1"/>
  <c r="L91" i="8" s="1"/>
  <c r="L92" i="8" s="1"/>
  <c r="L93" i="8" s="1"/>
  <c r="L94" i="8" s="1"/>
  <c r="L95" i="8" s="1"/>
  <c r="L96" i="8" s="1"/>
  <c r="L97" i="8" s="1"/>
  <c r="L98" i="8" s="1"/>
  <c r="L99" i="8" s="1"/>
  <c r="L100" i="8" s="1"/>
  <c r="L101" i="8" s="1"/>
  <c r="L102" i="8" s="1"/>
  <c r="L103" i="8" s="1"/>
  <c r="L104" i="8" s="1"/>
  <c r="L105" i="8" s="1"/>
  <c r="L106" i="8" s="1"/>
  <c r="L107" i="8" s="1"/>
  <c r="L108" i="8" s="1"/>
  <c r="L109" i="8" s="1"/>
  <c r="L110" i="8" s="1"/>
  <c r="L111" i="8" s="1"/>
  <c r="L112" i="8" s="1"/>
  <c r="L113" i="8" s="1"/>
  <c r="L114" i="8" s="1"/>
  <c r="L115" i="8" s="1"/>
  <c r="L116" i="8" s="1"/>
  <c r="L117" i="8" s="1"/>
  <c r="L118" i="8" s="1"/>
  <c r="L119" i="8" s="1"/>
  <c r="L120" i="8" s="1"/>
  <c r="L121" i="8" s="1"/>
  <c r="L122" i="8" s="1"/>
  <c r="L123" i="8" s="1"/>
  <c r="L124" i="8" s="1"/>
  <c r="L125" i="8" s="1"/>
  <c r="L126" i="8" s="1"/>
  <c r="L127" i="8" s="1"/>
  <c r="L128" i="8" s="1"/>
  <c r="L129" i="8" s="1"/>
  <c r="L130" i="8" s="1"/>
  <c r="L131" i="8" s="1"/>
  <c r="L132" i="8" s="1"/>
  <c r="L133" i="8" s="1"/>
  <c r="L134" i="8" s="1"/>
  <c r="L135" i="8" s="1"/>
  <c r="L136" i="8" s="1"/>
  <c r="B51" i="4"/>
  <c r="I41" i="8"/>
  <c r="I42" i="8" s="1"/>
  <c r="I43" i="8" s="1"/>
  <c r="I44" i="8" s="1"/>
  <c r="I45" i="8" s="1"/>
  <c r="I46" i="8" s="1"/>
  <c r="I47" i="8" s="1"/>
  <c r="I48" i="8" s="1"/>
  <c r="I49" i="8" s="1"/>
  <c r="I50" i="8" s="1"/>
  <c r="I51" i="8" s="1"/>
  <c r="I52" i="8" s="1"/>
  <c r="I53" i="8" s="1"/>
  <c r="I54" i="8" s="1"/>
  <c r="I55" i="8" s="1"/>
  <c r="I56" i="8" s="1"/>
  <c r="I57" i="8" s="1"/>
  <c r="I58" i="8" s="1"/>
  <c r="I59" i="8" s="1"/>
  <c r="I60" i="8" s="1"/>
  <c r="I61" i="8" s="1"/>
  <c r="I62" i="8" s="1"/>
  <c r="I63" i="8" s="1"/>
  <c r="I64" i="8" s="1"/>
  <c r="I65" i="8" s="1"/>
  <c r="I66" i="8" s="1"/>
  <c r="I67" i="8" s="1"/>
  <c r="I68" i="8" s="1"/>
  <c r="I69" i="8" s="1"/>
  <c r="I70" i="8" s="1"/>
  <c r="I71" i="8" s="1"/>
  <c r="I72" i="8" s="1"/>
  <c r="I73" i="8" s="1"/>
  <c r="I74" i="8" s="1"/>
  <c r="I75" i="8" s="1"/>
  <c r="I76" i="8" s="1"/>
  <c r="I77" i="8" s="1"/>
  <c r="I78" i="8" s="1"/>
  <c r="I79" i="8" s="1"/>
  <c r="I80" i="8" s="1"/>
  <c r="I81" i="8" s="1"/>
  <c r="I82" i="8" s="1"/>
  <c r="I83" i="8" s="1"/>
  <c r="I84" i="8" s="1"/>
  <c r="I85" i="8" s="1"/>
  <c r="I86" i="8" s="1"/>
  <c r="I87" i="8" s="1"/>
  <c r="I88" i="8" s="1"/>
  <c r="I89" i="8" s="1"/>
  <c r="I90" i="8" s="1"/>
  <c r="I91" i="8" s="1"/>
  <c r="I92" i="8" s="1"/>
  <c r="I93" i="8" s="1"/>
  <c r="I94" i="8" s="1"/>
  <c r="I95" i="8" s="1"/>
  <c r="I96" i="8" s="1"/>
  <c r="I97" i="8" s="1"/>
  <c r="I98" i="8" s="1"/>
  <c r="I99" i="8" s="1"/>
  <c r="I100" i="8" s="1"/>
  <c r="I101" i="8" s="1"/>
  <c r="I102" i="8" s="1"/>
  <c r="I103" i="8" s="1"/>
  <c r="I104" i="8" s="1"/>
  <c r="I105" i="8" s="1"/>
  <c r="I106" i="8" s="1"/>
  <c r="I107" i="8" s="1"/>
  <c r="I108" i="8" s="1"/>
  <c r="I109" i="8" s="1"/>
  <c r="I110" i="8" s="1"/>
  <c r="I111" i="8" s="1"/>
  <c r="I112" i="8" s="1"/>
  <c r="I113" i="8" s="1"/>
  <c r="I114" i="8" s="1"/>
  <c r="I115" i="8" s="1"/>
  <c r="I116" i="8" s="1"/>
  <c r="I117" i="8" s="1"/>
  <c r="I118" i="8" s="1"/>
  <c r="I119" i="8" s="1"/>
  <c r="I120" i="8" s="1"/>
  <c r="I121" i="8" s="1"/>
  <c r="I122" i="8" s="1"/>
  <c r="I123" i="8" s="1"/>
  <c r="I124" i="8" s="1"/>
  <c r="I125" i="8" s="1"/>
  <c r="I126" i="8" s="1"/>
  <c r="I127" i="8" s="1"/>
  <c r="I128" i="8" s="1"/>
  <c r="I129" i="8" s="1"/>
  <c r="I130" i="8" s="1"/>
  <c r="I131" i="8" s="1"/>
  <c r="I132" i="8" s="1"/>
  <c r="I133" i="8" s="1"/>
  <c r="I134" i="8" s="1"/>
  <c r="I135" i="8" s="1"/>
  <c r="I136" i="8" s="1"/>
  <c r="B48" i="4"/>
  <c r="E72" i="4"/>
  <c r="BW4" i="11"/>
  <c r="AI22" i="9"/>
  <c r="AO22" i="8" s="1"/>
  <c r="I6" i="12"/>
  <c r="I7" i="12" s="1"/>
  <c r="K35" i="12"/>
  <c r="J36" i="12"/>
  <c r="N36" i="12" s="1"/>
  <c r="N39" i="12" s="1"/>
  <c r="J6" i="12"/>
  <c r="K24" i="12"/>
  <c r="G6" i="8"/>
  <c r="O6" i="2" s="1"/>
  <c r="CF5" i="8"/>
  <c r="S5" i="2"/>
  <c r="K23" i="12"/>
  <c r="J23" i="12" s="1"/>
  <c r="M23" i="12" s="1"/>
  <c r="I24" i="12"/>
  <c r="J24" i="12" s="1"/>
  <c r="M24" i="12" s="1"/>
  <c r="M27" i="12" s="1"/>
  <c r="K34" i="12"/>
  <c r="J34" i="12" s="1"/>
  <c r="M34" i="12" s="1"/>
  <c r="M39" i="12" s="1"/>
  <c r="AM12" i="9"/>
  <c r="J35" i="12"/>
  <c r="O9" i="1"/>
  <c r="BJ4" i="1"/>
  <c r="CQ4" i="5"/>
  <c r="G4" i="5" s="1"/>
  <c r="CT4" i="5"/>
  <c r="J4" i="5" s="1"/>
  <c r="CW4" i="5"/>
  <c r="M4" i="5" s="1"/>
  <c r="DF4" i="5" s="1"/>
  <c r="CS4" i="5"/>
  <c r="I4" i="5" s="1"/>
  <c r="CV4" i="5"/>
  <c r="L4" i="5" s="1"/>
  <c r="CR4" i="5"/>
  <c r="H4" i="5" s="1"/>
  <c r="CU4" i="5"/>
  <c r="K4" i="5" s="1"/>
  <c r="CG6" i="8"/>
  <c r="K5" i="11"/>
  <c r="A5" i="14"/>
  <c r="CA5" i="14" s="1"/>
  <c r="A5" i="9"/>
  <c r="A5" i="7"/>
  <c r="R5" i="7" s="1"/>
  <c r="A5" i="2"/>
  <c r="A5" i="5"/>
  <c r="CQ5" i="5" s="1"/>
  <c r="A5" i="8"/>
  <c r="J6" i="10"/>
  <c r="N6" i="5" s="1"/>
  <c r="BY5" i="11"/>
  <c r="K4" i="10"/>
  <c r="AA4" i="7"/>
  <c r="AF4" i="8" s="1"/>
  <c r="AV4" i="8" s="1"/>
  <c r="L4" i="11"/>
  <c r="F7" i="8"/>
  <c r="K7" i="8"/>
  <c r="R7" i="2" s="1"/>
  <c r="E7" i="8"/>
  <c r="AH12" i="9"/>
  <c r="AG12" i="9"/>
  <c r="AK12" i="9"/>
  <c r="AE12" i="9"/>
  <c r="C1270" i="9"/>
  <c r="R6" i="2"/>
  <c r="Q5" i="2"/>
  <c r="P6" i="2"/>
  <c r="O5" i="2"/>
  <c r="N6" i="2"/>
  <c r="M5" i="2"/>
  <c r="M6" i="2"/>
  <c r="D5" i="12"/>
  <c r="F4" i="12"/>
  <c r="E4" i="12" s="1"/>
  <c r="K22" i="12"/>
  <c r="K25" i="12"/>
  <c r="K33" i="12"/>
  <c r="J4" i="12"/>
  <c r="D70" i="4"/>
  <c r="A35" i="6"/>
  <c r="I39" i="4"/>
  <c r="I40" i="4"/>
  <c r="A36" i="6"/>
  <c r="I8" i="12"/>
  <c r="J7" i="12"/>
  <c r="F1" i="14"/>
  <c r="AQ28" i="9" l="1"/>
  <c r="CM28" i="8" s="1"/>
  <c r="V4" i="2"/>
  <c r="AI23" i="9"/>
  <c r="AO23" i="8" s="1"/>
  <c r="CV5" i="5"/>
  <c r="L5" i="5" s="1"/>
  <c r="G7" i="8"/>
  <c r="CF6" i="8"/>
  <c r="CR5" i="5"/>
  <c r="H5" i="5" s="1"/>
  <c r="CS5" i="5"/>
  <c r="I5" i="5" s="1"/>
  <c r="AM13" i="9"/>
  <c r="CT5" i="5"/>
  <c r="J5" i="5" s="1"/>
  <c r="CU5" i="5"/>
  <c r="K5" i="5" s="1"/>
  <c r="CW5" i="5"/>
  <c r="M5" i="5" s="1"/>
  <c r="J7" i="10"/>
  <c r="N7" i="5" s="1"/>
  <c r="BK5" i="5" a="1"/>
  <c r="BK5" i="5" s="1"/>
  <c r="BN5" i="5" a="1"/>
  <c r="BN5" i="5" s="1"/>
  <c r="BJ5" i="5" a="1"/>
  <c r="BJ5" i="5" s="1"/>
  <c r="BM5" i="5" a="1"/>
  <c r="BM5" i="5" s="1"/>
  <c r="BH5" i="5" a="1"/>
  <c r="BH5" i="5" s="1"/>
  <c r="BG5" i="5" a="1"/>
  <c r="BG5" i="5" s="1"/>
  <c r="BF5" i="5" a="1"/>
  <c r="BF5" i="5" s="1"/>
  <c r="AE4" i="1" s="1"/>
  <c r="AY5" i="5" a="1"/>
  <c r="AY5" i="5" s="1"/>
  <c r="BI5" i="5" a="1"/>
  <c r="BI5" i="5" s="1"/>
  <c r="BE5" i="5" a="1"/>
  <c r="BE5" i="5" s="1"/>
  <c r="BD5" i="5" a="1"/>
  <c r="BD5" i="5" s="1"/>
  <c r="BL5" i="5" a="1"/>
  <c r="BL5" i="5" s="1"/>
  <c r="BC5" i="5" a="1"/>
  <c r="BC5" i="5" s="1"/>
  <c r="BB5" i="5" a="1"/>
  <c r="BB5" i="5" s="1"/>
  <c r="BQ5" i="5" a="1"/>
  <c r="BQ5" i="5" s="1"/>
  <c r="BA5" i="5" a="1"/>
  <c r="BA5" i="5" s="1"/>
  <c r="AZ5" i="5" a="1"/>
  <c r="AZ5" i="5" s="1"/>
  <c r="BO5" i="5" a="1"/>
  <c r="BO5" i="5" s="1"/>
  <c r="N7" i="2"/>
  <c r="O10" i="1"/>
  <c r="AS5" i="5"/>
  <c r="AE5" i="8"/>
  <c r="AU5" i="8"/>
  <c r="BP5" i="5" a="1"/>
  <c r="BP5" i="5" s="1"/>
  <c r="K6" i="11"/>
  <c r="A6" i="14"/>
  <c r="CA6" i="14" s="1"/>
  <c r="A6" i="5"/>
  <c r="A6" i="9"/>
  <c r="A6" i="7"/>
  <c r="R6" i="7" s="1"/>
  <c r="A6" i="2"/>
  <c r="A6" i="8"/>
  <c r="AU5" i="14" a="1"/>
  <c r="AU5" i="14" s="1"/>
  <c r="BJ5" i="14" a="1"/>
  <c r="BJ5" i="14" s="1"/>
  <c r="BD5" i="14" a="1"/>
  <c r="BD5" i="14" s="1"/>
  <c r="BH5" i="14" a="1"/>
  <c r="BH5" i="14" s="1"/>
  <c r="BX5" i="14" a="1"/>
  <c r="BX5" i="14" s="1"/>
  <c r="AI5" i="14" a="1"/>
  <c r="AI5" i="14" s="1"/>
  <c r="S5" i="14" a="1"/>
  <c r="S5" i="14" s="1"/>
  <c r="M5" i="14" a="1"/>
  <c r="M5" i="14" s="1"/>
  <c r="AM5" i="14" a="1"/>
  <c r="AM5" i="14" s="1"/>
  <c r="V5" i="14" a="1"/>
  <c r="V5" i="14" s="1"/>
  <c r="AK5" i="14" a="1"/>
  <c r="AK5" i="14" s="1"/>
  <c r="AZ5" i="14" a="1"/>
  <c r="AZ5" i="14" s="1"/>
  <c r="AJ5" i="14" a="1"/>
  <c r="AJ5" i="14" s="1"/>
  <c r="AX5" i="14" a="1"/>
  <c r="AX5" i="14" s="1"/>
  <c r="BN5" i="14" a="1"/>
  <c r="BN5" i="14" s="1"/>
  <c r="R5" i="14" a="1"/>
  <c r="R5" i="14" s="1"/>
  <c r="AL5" i="1" s="1"/>
  <c r="X5" i="14" a="1"/>
  <c r="X5" i="14" s="1"/>
  <c r="AT5" i="14" a="1"/>
  <c r="AT5" i="14" s="1"/>
  <c r="AC5" i="14" a="1"/>
  <c r="AC5" i="14" s="1"/>
  <c r="AR5" i="14" a="1"/>
  <c r="AR5" i="14" s="1"/>
  <c r="T5" i="14" a="1"/>
  <c r="T5" i="14" s="1"/>
  <c r="BE5" i="14" a="1"/>
  <c r="BE5" i="14" s="1"/>
  <c r="AP5" i="14" a="1"/>
  <c r="AP5" i="14" s="1"/>
  <c r="BL5" i="14" a="1"/>
  <c r="BL5" i="14" s="1"/>
  <c r="BK5" i="14" a="1"/>
  <c r="BK5" i="14" s="1"/>
  <c r="BR5" i="14" a="1"/>
  <c r="BR5" i="14" s="1"/>
  <c r="AL5" i="14" a="1"/>
  <c r="AL5" i="14" s="1"/>
  <c r="BA5" i="14" a="1"/>
  <c r="BA5" i="14" s="1"/>
  <c r="P5" i="14" a="1"/>
  <c r="P5" i="14" s="1"/>
  <c r="BO5" i="14" a="1"/>
  <c r="BO5" i="14" s="1"/>
  <c r="AF5" i="14" a="1"/>
  <c r="AF5" i="14" s="1"/>
  <c r="AG5" i="14" a="1"/>
  <c r="AG5" i="14" s="1"/>
  <c r="AO5" i="14" a="1"/>
  <c r="AO5" i="14" s="1"/>
  <c r="AV5" i="14" a="1"/>
  <c r="AV5" i="14" s="1"/>
  <c r="BB5" i="14" a="1"/>
  <c r="BB5" i="14" s="1"/>
  <c r="AD5" i="14" a="1"/>
  <c r="AD5" i="14" s="1"/>
  <c r="AS5" i="14" a="1"/>
  <c r="AS5" i="14" s="1"/>
  <c r="BZ5" i="14" a="1"/>
  <c r="BZ5" i="14" s="1"/>
  <c r="AY5" i="14" a="1"/>
  <c r="AY5" i="14" s="1"/>
  <c r="Z5" i="14" a="1"/>
  <c r="Z5" i="14" s="1"/>
  <c r="Q5" i="14" a="1"/>
  <c r="Q5" i="14" s="1"/>
  <c r="AW5" i="14" a="1"/>
  <c r="AW5" i="14" s="1"/>
  <c r="BI5" i="14" a="1"/>
  <c r="BI5" i="14" s="1"/>
  <c r="AN5" i="14" a="1"/>
  <c r="AN5" i="14" s="1"/>
  <c r="BM5" i="14" a="1"/>
  <c r="BM5" i="14" s="1"/>
  <c r="N5" i="14" a="1"/>
  <c r="N5" i="14" s="1"/>
  <c r="AQ5" i="14" a="1"/>
  <c r="AQ5" i="14" s="1"/>
  <c r="BU5" i="14" a="1"/>
  <c r="BU5" i="14" s="1"/>
  <c r="BS5" i="14" a="1"/>
  <c r="BS5" i="14" s="1"/>
  <c r="BQ5" i="14" a="1"/>
  <c r="BQ5" i="14" s="1"/>
  <c r="BV5" i="14" a="1"/>
  <c r="BV5" i="14" s="1"/>
  <c r="BT5" i="14" a="1"/>
  <c r="BT5" i="14" s="1"/>
  <c r="BY5" i="14" a="1"/>
  <c r="BY5" i="14" s="1"/>
  <c r="BG5" i="14" a="1"/>
  <c r="BG5" i="14" s="1"/>
  <c r="BC5" i="14" a="1"/>
  <c r="BC5" i="14" s="1"/>
  <c r="BP5" i="14" a="1"/>
  <c r="BP5" i="14" s="1"/>
  <c r="AH5" i="14" a="1"/>
  <c r="AH5" i="14" s="1"/>
  <c r="AE5" i="14" a="1"/>
  <c r="AE5" i="14" s="1"/>
  <c r="U5" i="14" a="1"/>
  <c r="U5" i="14" s="1"/>
  <c r="BF5" i="14" a="1"/>
  <c r="BF5" i="14" s="1"/>
  <c r="W5" i="14" a="1"/>
  <c r="W5" i="14" s="1"/>
  <c r="BW5" i="14" a="1"/>
  <c r="BW5" i="14" s="1"/>
  <c r="AA5" i="14" a="1"/>
  <c r="AA5" i="14" s="1"/>
  <c r="O5" i="14" a="1"/>
  <c r="O5" i="14" s="1"/>
  <c r="AB5" i="14" a="1"/>
  <c r="AB5" i="14" s="1"/>
  <c r="Y5" i="14" a="1"/>
  <c r="Y5" i="14" s="1"/>
  <c r="BH5" i="1" s="1"/>
  <c r="B4" i="1"/>
  <c r="BG4" i="1" s="1"/>
  <c r="B4" i="2"/>
  <c r="BU4" i="5"/>
  <c r="AH4" i="5"/>
  <c r="E4" i="9"/>
  <c r="E5" i="9" s="1"/>
  <c r="E6" i="9" s="1"/>
  <c r="E7" i="9" s="1"/>
  <c r="E8" i="9" s="1"/>
  <c r="E9" i="9" s="1"/>
  <c r="E10" i="9" s="1"/>
  <c r="E11" i="9" s="1"/>
  <c r="E12" i="9" s="1"/>
  <c r="E13" i="9" s="1"/>
  <c r="E14" i="9" s="1"/>
  <c r="E15" i="9" s="1"/>
  <c r="E16" i="9" s="1"/>
  <c r="E17" i="9" s="1"/>
  <c r="E18" i="9" s="1"/>
  <c r="E19" i="9" s="1"/>
  <c r="E20" i="9" s="1"/>
  <c r="E21" i="9" s="1"/>
  <c r="E22" i="9" s="1"/>
  <c r="E23" i="9" s="1"/>
  <c r="E24" i="9" s="1"/>
  <c r="E25" i="9" s="1"/>
  <c r="E26" i="9" s="1"/>
  <c r="E27" i="9" s="1"/>
  <c r="E28" i="9" s="1"/>
  <c r="E29" i="9" s="1"/>
  <c r="E30" i="9" s="1"/>
  <c r="E31" i="9" s="1"/>
  <c r="E32" i="9" s="1"/>
  <c r="E33" i="9" s="1"/>
  <c r="E34" i="9" s="1"/>
  <c r="E35" i="9" s="1"/>
  <c r="E36" i="9" s="1"/>
  <c r="E37" i="9" s="1"/>
  <c r="E38" i="9" s="1"/>
  <c r="E39" i="9" s="1"/>
  <c r="E40" i="9" s="1"/>
  <c r="E41" i="9" s="1"/>
  <c r="E42" i="9" s="1"/>
  <c r="E43" i="9" s="1"/>
  <c r="E44" i="9" s="1"/>
  <c r="E45" i="9" s="1"/>
  <c r="E46" i="9" s="1"/>
  <c r="E47" i="9" s="1"/>
  <c r="E48" i="9" s="1"/>
  <c r="E49" i="9" s="1"/>
  <c r="E50" i="9" s="1"/>
  <c r="E51" i="9" s="1"/>
  <c r="E52" i="9" s="1"/>
  <c r="E53" i="9" s="1"/>
  <c r="E54" i="9" s="1"/>
  <c r="E55" i="9" s="1"/>
  <c r="E56" i="9" s="1"/>
  <c r="E57" i="9" s="1"/>
  <c r="E58" i="9" s="1"/>
  <c r="E59" i="9" s="1"/>
  <c r="E60" i="9" s="1"/>
  <c r="E61" i="9" s="1"/>
  <c r="E62" i="9" s="1"/>
  <c r="E63" i="9" s="1"/>
  <c r="E64" i="9" s="1"/>
  <c r="E65" i="9" s="1"/>
  <c r="E66" i="9" s="1"/>
  <c r="E67" i="9" s="1"/>
  <c r="E68" i="9" s="1"/>
  <c r="E69" i="9" s="1"/>
  <c r="E70" i="9" s="1"/>
  <c r="E71" i="9" s="1"/>
  <c r="E72" i="9" s="1"/>
  <c r="E73" i="9" s="1"/>
  <c r="E74" i="9" s="1"/>
  <c r="E75" i="9" s="1"/>
  <c r="E76" i="9" s="1"/>
  <c r="E77" i="9" s="1"/>
  <c r="E78" i="9" s="1"/>
  <c r="E79" i="9" s="1"/>
  <c r="E80" i="9" s="1"/>
  <c r="E81" i="9" s="1"/>
  <c r="E82" i="9" s="1"/>
  <c r="E83" i="9" s="1"/>
  <c r="E84" i="9" s="1"/>
  <c r="E85" i="9" s="1"/>
  <c r="E86" i="9" s="1"/>
  <c r="E87" i="9" s="1"/>
  <c r="E88" i="9" s="1"/>
  <c r="E89" i="9" s="1"/>
  <c r="E90" i="9" s="1"/>
  <c r="E91" i="9" s="1"/>
  <c r="E92" i="9" s="1"/>
  <c r="E93" i="9" s="1"/>
  <c r="E94" i="9" s="1"/>
  <c r="E95" i="9" s="1"/>
  <c r="E96" i="9" s="1"/>
  <c r="E97" i="9" s="1"/>
  <c r="E98" i="9" s="1"/>
  <c r="E99" i="9" s="1"/>
  <c r="E100" i="9" s="1"/>
  <c r="E101" i="9" s="1"/>
  <c r="E102" i="9" s="1"/>
  <c r="E103" i="9" s="1"/>
  <c r="E104" i="9" s="1"/>
  <c r="E105" i="9" s="1"/>
  <c r="E106" i="9" s="1"/>
  <c r="E107" i="9" s="1"/>
  <c r="E108" i="9" s="1"/>
  <c r="E109" i="9" s="1"/>
  <c r="E110" i="9" s="1"/>
  <c r="E111" i="9" s="1"/>
  <c r="E112" i="9" s="1"/>
  <c r="E113" i="9" s="1"/>
  <c r="E114" i="9" s="1"/>
  <c r="E115" i="9" s="1"/>
  <c r="E116" i="9" s="1"/>
  <c r="E117" i="9" s="1"/>
  <c r="E118" i="9" s="1"/>
  <c r="E119" i="9" s="1"/>
  <c r="E120" i="9" s="1"/>
  <c r="E121" i="9" s="1"/>
  <c r="E122" i="9" s="1"/>
  <c r="E123" i="9" s="1"/>
  <c r="E124" i="9" s="1"/>
  <c r="E125" i="9" s="1"/>
  <c r="E126" i="9" s="1"/>
  <c r="E127" i="9" s="1"/>
  <c r="E128" i="9" s="1"/>
  <c r="E129" i="9" s="1"/>
  <c r="E130" i="9" s="1"/>
  <c r="E131" i="9" s="1"/>
  <c r="E132" i="9" s="1"/>
  <c r="E133" i="9" s="1"/>
  <c r="E134" i="9" s="1"/>
  <c r="E135" i="9" s="1"/>
  <c r="E136" i="9" s="1"/>
  <c r="BY6" i="11"/>
  <c r="K5" i="10"/>
  <c r="AA5" i="7"/>
  <c r="AF5" i="8" s="1"/>
  <c r="AV5" i="8" s="1"/>
  <c r="L5" i="11"/>
  <c r="DD4" i="5"/>
  <c r="H4" i="7"/>
  <c r="F4" i="10"/>
  <c r="I4" i="7"/>
  <c r="G4" i="10"/>
  <c r="H4" i="10"/>
  <c r="J4" i="7"/>
  <c r="CZ4" i="5"/>
  <c r="B4" i="10"/>
  <c r="D4" i="7"/>
  <c r="G5" i="5"/>
  <c r="B4" i="5"/>
  <c r="G4" i="7"/>
  <c r="DC4" i="5"/>
  <c r="E4" i="10"/>
  <c r="DB4" i="5"/>
  <c r="F4" i="7"/>
  <c r="D4" i="10"/>
  <c r="DA4" i="5"/>
  <c r="C4" i="10"/>
  <c r="E4" i="7"/>
  <c r="F8" i="8"/>
  <c r="K8" i="8"/>
  <c r="E8" i="8"/>
  <c r="CG7" i="8"/>
  <c r="AH13" i="9"/>
  <c r="AG13" i="9"/>
  <c r="AK13" i="9"/>
  <c r="AE13" i="9"/>
  <c r="S6" i="2"/>
  <c r="P7" i="2"/>
  <c r="Q6" i="2"/>
  <c r="M7" i="2"/>
  <c r="J8" i="10"/>
  <c r="N8" i="5" s="1"/>
  <c r="D6" i="12"/>
  <c r="F5" i="12"/>
  <c r="E5" i="12" s="1"/>
  <c r="DE4" i="5"/>
  <c r="A37" i="6"/>
  <c r="I41" i="4"/>
  <c r="CO18" i="8"/>
  <c r="CO19" i="8"/>
  <c r="J8" i="12"/>
  <c r="I9" i="12"/>
  <c r="AQ29" i="9" l="1"/>
  <c r="CM29" i="8" s="1"/>
  <c r="A7" i="7"/>
  <c r="R7" i="7" s="1"/>
  <c r="A7" i="8"/>
  <c r="A7" i="2"/>
  <c r="A7" i="9"/>
  <c r="A7" i="5"/>
  <c r="A7" i="14"/>
  <c r="CA7" i="14" s="1"/>
  <c r="AI24" i="9"/>
  <c r="AO24" i="8" s="1"/>
  <c r="J5" i="2"/>
  <c r="K7" i="11"/>
  <c r="BI6" i="5" a="1"/>
  <c r="BI6" i="5" s="1"/>
  <c r="BI7" i="5" s="1" a="1"/>
  <c r="BI7" i="5" s="1"/>
  <c r="BH6" i="5" a="1"/>
  <c r="BH6" i="5" s="1"/>
  <c r="BH7" i="5" s="1" a="1"/>
  <c r="BH7" i="5" s="1"/>
  <c r="G8" i="8"/>
  <c r="CF7" i="8"/>
  <c r="O7" i="2"/>
  <c r="BD6" i="5" a="1"/>
  <c r="BD6" i="5" s="1"/>
  <c r="BF6" i="5" a="1"/>
  <c r="BF6" i="5" s="1"/>
  <c r="AE5" i="1" s="1"/>
  <c r="BJ6" i="5" a="1"/>
  <c r="BJ6" i="5" s="1"/>
  <c r="BJ7" i="5" s="1" a="1"/>
  <c r="BJ7" i="5" s="1"/>
  <c r="BO6" i="5" a="1"/>
  <c r="BO6" i="5" s="1"/>
  <c r="BO7" i="5" s="1" a="1"/>
  <c r="BO7" i="5" s="1"/>
  <c r="BE6" i="5" a="1"/>
  <c r="BE6" i="5" s="1"/>
  <c r="BE7" i="5" s="1" a="1"/>
  <c r="BE7" i="5" s="1"/>
  <c r="BG6" i="5" a="1"/>
  <c r="BG6" i="5" s="1"/>
  <c r="BG7" i="5" s="1" a="1"/>
  <c r="BG7" i="5" s="1"/>
  <c r="AM14" i="9"/>
  <c r="AD4" i="1"/>
  <c r="CR7" i="5"/>
  <c r="CS7" i="5"/>
  <c r="CU7" i="5"/>
  <c r="CT7" i="5"/>
  <c r="CV7" i="5"/>
  <c r="CQ7" i="5"/>
  <c r="CW7" i="5"/>
  <c r="BM6" i="5" a="1"/>
  <c r="BM6" i="5" s="1"/>
  <c r="BM7" i="5" s="1" a="1"/>
  <c r="BM7" i="5" s="1"/>
  <c r="BN6" i="5" a="1"/>
  <c r="BN6" i="5" s="1"/>
  <c r="BN7" i="5" s="1" a="1"/>
  <c r="BN7" i="5" s="1"/>
  <c r="AY6" i="5" a="1"/>
  <c r="AY6" i="5" s="1"/>
  <c r="AY7" i="5" s="1" a="1"/>
  <c r="AY7" i="5" s="1"/>
  <c r="BL6" i="5" a="1"/>
  <c r="BL6" i="5" s="1"/>
  <c r="CT6" i="5"/>
  <c r="J6" i="5" s="1"/>
  <c r="CR6" i="5"/>
  <c r="H6" i="5" s="1"/>
  <c r="CQ6" i="5"/>
  <c r="G6" i="5" s="1"/>
  <c r="CW6" i="5"/>
  <c r="M6" i="5" s="1"/>
  <c r="CS6" i="5"/>
  <c r="I6" i="5" s="1"/>
  <c r="CU6" i="5"/>
  <c r="K6" i="5" s="1"/>
  <c r="CV6" i="5"/>
  <c r="L6" i="5" s="1"/>
  <c r="AZ6" i="5" a="1"/>
  <c r="AZ6" i="5" s="1"/>
  <c r="BK6" i="5" a="1"/>
  <c r="BK6" i="5" s="1"/>
  <c r="BK7" i="5" s="1" a="1"/>
  <c r="BK7" i="5" s="1"/>
  <c r="BA6" i="5" a="1"/>
  <c r="BA6" i="5" s="1"/>
  <c r="BA7" i="5" s="1" a="1"/>
  <c r="BA7" i="5" s="1"/>
  <c r="BQ6" i="5" a="1"/>
  <c r="BQ6" i="5" s="1"/>
  <c r="BQ7" i="5" s="1" a="1"/>
  <c r="BQ7" i="5" s="1"/>
  <c r="BB6" i="5" a="1"/>
  <c r="BB6" i="5" s="1"/>
  <c r="BB7" i="5" s="1" a="1"/>
  <c r="BB7" i="5" s="1"/>
  <c r="BC6" i="5" a="1"/>
  <c r="BC6" i="5" s="1"/>
  <c r="BC7" i="5" s="1" a="1"/>
  <c r="BC7" i="5" s="1"/>
  <c r="V5" i="2"/>
  <c r="O11" i="1"/>
  <c r="BP6" i="5" a="1"/>
  <c r="BP6" i="5" s="1"/>
  <c r="AS6" i="5"/>
  <c r="DG4" i="5" a="1"/>
  <c r="DG4" i="5" s="1"/>
  <c r="DD5" i="5"/>
  <c r="AE6" i="8"/>
  <c r="AU6" i="8"/>
  <c r="AM5" i="1"/>
  <c r="AE7" i="8"/>
  <c r="AU7" i="8"/>
  <c r="C5" i="5"/>
  <c r="DH5" i="5"/>
  <c r="AF4" i="1"/>
  <c r="Y4" i="1"/>
  <c r="DJ5" i="5"/>
  <c r="BC6" i="14" a="1"/>
  <c r="BC6" i="14" s="1"/>
  <c r="AE6" i="14" a="1"/>
  <c r="AE6" i="14" s="1"/>
  <c r="V6" i="14" a="1"/>
  <c r="V6" i="14" s="1"/>
  <c r="AJ6" i="14" a="1"/>
  <c r="AJ6" i="14" s="1"/>
  <c r="AB6" i="14" a="1"/>
  <c r="AB6" i="14" s="1"/>
  <c r="AQ6" i="14" a="1"/>
  <c r="AQ6" i="14" s="1"/>
  <c r="AO6" i="14" a="1"/>
  <c r="AO6" i="14" s="1"/>
  <c r="BF6" i="14" a="1"/>
  <c r="BF6" i="14" s="1"/>
  <c r="AM6" i="14" a="1"/>
  <c r="AM6" i="14" s="1"/>
  <c r="BB6" i="14" a="1"/>
  <c r="BB6" i="14" s="1"/>
  <c r="BI6" i="14" a="1"/>
  <c r="BI6" i="14" s="1"/>
  <c r="AR6" i="14" a="1"/>
  <c r="AR6" i="14" s="1"/>
  <c r="BX6" i="14" a="1"/>
  <c r="BX6" i="14" s="1"/>
  <c r="BV6" i="14" a="1"/>
  <c r="BV6" i="14" s="1"/>
  <c r="AX6" i="14" a="1"/>
  <c r="AX6" i="14" s="1"/>
  <c r="BM6" i="14" a="1"/>
  <c r="BM6" i="14" s="1"/>
  <c r="AU6" i="14" a="1"/>
  <c r="AU6" i="14" s="1"/>
  <c r="BJ6" i="14" a="1"/>
  <c r="BJ6" i="14" s="1"/>
  <c r="BA6" i="14" a="1"/>
  <c r="BA6" i="14" s="1"/>
  <c r="P6" i="14" a="1"/>
  <c r="P6" i="14" s="1"/>
  <c r="BO6" i="14" a="1"/>
  <c r="BO6" i="14" s="1"/>
  <c r="AI6" i="14" a="1"/>
  <c r="AI6" i="14" s="1"/>
  <c r="BL6" i="14" a="1"/>
  <c r="BL6" i="14" s="1"/>
  <c r="Q6" i="14" a="1"/>
  <c r="Q6" i="14" s="1"/>
  <c r="BK6" i="14" a="1"/>
  <c r="BK6" i="14" s="1"/>
  <c r="N6" i="14" a="1"/>
  <c r="N6" i="14" s="1"/>
  <c r="BQ6" i="14" a="1"/>
  <c r="BQ6" i="14" s="1"/>
  <c r="BY6" i="14" a="1"/>
  <c r="BY6" i="14" s="1"/>
  <c r="T6" i="14" a="1"/>
  <c r="T6" i="14" s="1"/>
  <c r="AA6" i="14" a="1"/>
  <c r="AA6" i="14" s="1"/>
  <c r="BU6" i="14" a="1"/>
  <c r="BU6" i="14" s="1"/>
  <c r="AG6" i="14" a="1"/>
  <c r="AG6" i="14" s="1"/>
  <c r="W6" i="14" a="1"/>
  <c r="W6" i="14" s="1"/>
  <c r="AT6" i="14" a="1"/>
  <c r="AT6" i="14" s="1"/>
  <c r="AC6" i="14" a="1"/>
  <c r="AC6" i="14" s="1"/>
  <c r="AK6" i="14" a="1"/>
  <c r="AK6" i="14" s="1"/>
  <c r="AN6" i="14" a="1"/>
  <c r="AN6" i="14" s="1"/>
  <c r="S6" i="14" a="1"/>
  <c r="S6" i="14" s="1"/>
  <c r="AW6" i="14" a="1"/>
  <c r="AW6" i="14" s="1"/>
  <c r="Y6" i="14" a="1"/>
  <c r="Y6" i="14" s="1"/>
  <c r="BH6" i="1" s="1"/>
  <c r="BT6" i="14" a="1"/>
  <c r="BT6" i="14" s="1"/>
  <c r="O6" i="14" a="1"/>
  <c r="O6" i="14" s="1"/>
  <c r="AL6" i="14" a="1"/>
  <c r="AL6" i="14" s="1"/>
  <c r="U6" i="14" a="1"/>
  <c r="U6" i="14" s="1"/>
  <c r="BZ6" i="14" a="1"/>
  <c r="BZ6" i="14" s="1"/>
  <c r="BW6" i="14" a="1"/>
  <c r="BW6" i="14" s="1"/>
  <c r="AF6" i="14" a="1"/>
  <c r="AF6" i="14" s="1"/>
  <c r="BN6" i="14" a="1"/>
  <c r="BN6" i="14" s="1"/>
  <c r="BE6" i="14" a="1"/>
  <c r="BE6" i="14" s="1"/>
  <c r="BS6" i="14" a="1"/>
  <c r="BS6" i="14" s="1"/>
  <c r="X6" i="14" a="1"/>
  <c r="X6" i="14" s="1"/>
  <c r="AD6" i="14" a="1"/>
  <c r="AD6" i="14" s="1"/>
  <c r="AS6" i="14" a="1"/>
  <c r="AS6" i="14" s="1"/>
  <c r="BP6" i="14" a="1"/>
  <c r="BP6" i="14" s="1"/>
  <c r="BG6" i="14" a="1"/>
  <c r="BG6" i="14" s="1"/>
  <c r="AP6" i="14" a="1"/>
  <c r="AP6" i="14" s="1"/>
  <c r="AH6" i="14" a="1"/>
  <c r="AH6" i="14" s="1"/>
  <c r="M6" i="14" a="1"/>
  <c r="M6" i="14" s="1"/>
  <c r="AV6" i="14" a="1"/>
  <c r="AV6" i="14" s="1"/>
  <c r="BR6" i="14" a="1"/>
  <c r="BR6" i="14" s="1"/>
  <c r="BD6" i="14" a="1"/>
  <c r="BD6" i="14" s="1"/>
  <c r="BH6" i="14" a="1"/>
  <c r="BH6" i="14" s="1"/>
  <c r="AZ6" i="14" a="1"/>
  <c r="AZ6" i="14" s="1"/>
  <c r="AY6" i="14" a="1"/>
  <c r="AY6" i="14" s="1"/>
  <c r="R6" i="14" a="1"/>
  <c r="R6" i="14" s="1"/>
  <c r="AL6" i="1" s="1"/>
  <c r="Z6" i="14" a="1"/>
  <c r="Z6" i="14" s="1"/>
  <c r="BK7" i="14" a="1"/>
  <c r="BK7" i="14" s="1"/>
  <c r="BR7" i="14" a="1"/>
  <c r="BR7" i="14" s="1"/>
  <c r="BA7" i="14" a="1"/>
  <c r="BA7" i="14" s="1"/>
  <c r="BH7" i="14" a="1"/>
  <c r="BH7" i="14" s="1"/>
  <c r="BZ7" i="14" a="1"/>
  <c r="BZ7" i="14" s="1"/>
  <c r="AA7" i="14" a="1"/>
  <c r="AA7" i="14" s="1"/>
  <c r="R7" i="14" a="1"/>
  <c r="R7" i="14" s="1"/>
  <c r="AL7" i="1" s="1"/>
  <c r="AH7" i="14" a="1"/>
  <c r="AH7" i="14" s="1"/>
  <c r="AM7" i="14" a="1"/>
  <c r="AM7" i="14" s="1"/>
  <c r="AL7" i="14" a="1"/>
  <c r="AL7" i="14" s="1"/>
  <c r="BI7" i="14" a="1"/>
  <c r="BI7" i="14" s="1"/>
  <c r="AJ7" i="14" a="1"/>
  <c r="AJ7" i="14" s="1"/>
  <c r="AN7" i="14" a="1"/>
  <c r="AN7" i="14" s="1"/>
  <c r="AY7" i="14" a="1"/>
  <c r="AY7" i="14" s="1"/>
  <c r="AF7" i="14" a="1"/>
  <c r="AF7" i="14" s="1"/>
  <c r="BM7" i="14" a="1"/>
  <c r="BM7" i="14" s="1"/>
  <c r="AU7" i="14" a="1"/>
  <c r="AU7" i="14" s="1"/>
  <c r="AD7" i="14" a="1"/>
  <c r="AD7" i="14" s="1"/>
  <c r="BB7" i="14" a="1"/>
  <c r="BB7" i="14" s="1"/>
  <c r="AR7" i="14" a="1"/>
  <c r="AR7" i="14" s="1"/>
  <c r="BW7" i="14" a="1"/>
  <c r="BW7" i="14" s="1"/>
  <c r="AI7" i="14" a="1"/>
  <c r="AI7" i="14" s="1"/>
  <c r="AX7" i="14" a="1"/>
  <c r="AX7" i="14" s="1"/>
  <c r="BE7" i="14" a="1"/>
  <c r="BE7" i="14" s="1"/>
  <c r="BJ7" i="14" a="1"/>
  <c r="BJ7" i="14" s="1"/>
  <c r="AT7" i="14" a="1"/>
  <c r="AT7" i="14" s="1"/>
  <c r="U7" i="14" a="1"/>
  <c r="U7" i="14" s="1"/>
  <c r="BY7" i="14" a="1"/>
  <c r="BY7" i="14" s="1"/>
  <c r="AZ7" i="14" a="1"/>
  <c r="AZ7" i="14" s="1"/>
  <c r="BV7" i="14" a="1"/>
  <c r="BV7" i="14" s="1"/>
  <c r="AP7" i="14" a="1"/>
  <c r="AP7" i="14" s="1"/>
  <c r="Y7" i="14" a="1"/>
  <c r="Y7" i="14" s="1"/>
  <c r="BH7" i="1" s="1"/>
  <c r="BT7" i="14" a="1"/>
  <c r="BT7" i="14" s="1"/>
  <c r="AE7" i="14" a="1"/>
  <c r="AE7" i="14" s="1"/>
  <c r="V7" i="14" a="1"/>
  <c r="V7" i="14" s="1"/>
  <c r="AC7" i="14" a="1"/>
  <c r="AC7" i="14" s="1"/>
  <c r="BP7" i="14" a="1"/>
  <c r="BP7" i="14" s="1"/>
  <c r="T7" i="14" a="1"/>
  <c r="T7" i="14" s="1"/>
  <c r="AQ7" i="14" a="1"/>
  <c r="AQ7" i="14" s="1"/>
  <c r="AW7" i="14" a="1"/>
  <c r="AW7" i="14" s="1"/>
  <c r="Q7" i="14" a="1"/>
  <c r="Q7" i="14" s="1"/>
  <c r="AV7" i="14" a="1"/>
  <c r="AV7" i="14" s="1"/>
  <c r="X7" i="14" a="1"/>
  <c r="X7" i="14" s="1"/>
  <c r="N7" i="14" a="1"/>
  <c r="N7" i="14" s="1"/>
  <c r="AK7" i="14" a="1"/>
  <c r="AK7" i="14" s="1"/>
  <c r="AS7" i="14" a="1"/>
  <c r="AS7" i="14" s="1"/>
  <c r="BG7" i="14" a="1"/>
  <c r="BG7" i="14" s="1"/>
  <c r="S7" i="14" a="1"/>
  <c r="S7" i="14" s="1"/>
  <c r="BL7" i="14" a="1"/>
  <c r="BL7" i="14" s="1"/>
  <c r="M7" i="14" a="1"/>
  <c r="M7" i="14" s="1"/>
  <c r="BS7" i="14" a="1"/>
  <c r="BS7" i="14" s="1"/>
  <c r="O7" i="14" a="1"/>
  <c r="O7" i="14" s="1"/>
  <c r="BD7" i="14" a="1"/>
  <c r="BD7" i="14" s="1"/>
  <c r="P7" i="14" a="1"/>
  <c r="P7" i="14" s="1"/>
  <c r="AB7" i="14" a="1"/>
  <c r="AB7" i="14" s="1"/>
  <c r="BN7" i="14" a="1"/>
  <c r="BN7" i="14" s="1"/>
  <c r="BU7" i="14" a="1"/>
  <c r="BU7" i="14" s="1"/>
  <c r="AO7" i="14" a="1"/>
  <c r="AO7" i="14" s="1"/>
  <c r="BO7" i="14" a="1"/>
  <c r="BO7" i="14" s="1"/>
  <c r="BF7" i="14" a="1"/>
  <c r="BF7" i="14" s="1"/>
  <c r="Z7" i="14" a="1"/>
  <c r="Z7" i="14" s="1"/>
  <c r="AG7" i="14" a="1"/>
  <c r="AG7" i="14" s="1"/>
  <c r="BC7" i="14" a="1"/>
  <c r="BC7" i="14" s="1"/>
  <c r="W7" i="14" a="1"/>
  <c r="W7" i="14" s="1"/>
  <c r="BQ7" i="14" a="1"/>
  <c r="BQ7" i="14" s="1"/>
  <c r="BX7" i="14" a="1"/>
  <c r="BX7" i="14" s="1"/>
  <c r="W4" i="1"/>
  <c r="K8" i="11"/>
  <c r="A8" i="14"/>
  <c r="CA8" i="14" s="1"/>
  <c r="A8" i="8"/>
  <c r="A8" i="2"/>
  <c r="A8" i="7"/>
  <c r="R8" i="7" s="1"/>
  <c r="A8" i="9"/>
  <c r="A8" i="5"/>
  <c r="AJ5" i="1"/>
  <c r="AH5" i="11"/>
  <c r="AK5" i="11"/>
  <c r="BU5" i="5"/>
  <c r="B5" i="2"/>
  <c r="B5" i="1"/>
  <c r="BG5" i="1" s="1"/>
  <c r="AH5" i="5"/>
  <c r="BY7" i="11"/>
  <c r="K6" i="10"/>
  <c r="AA6" i="7"/>
  <c r="AF6" i="8" s="1"/>
  <c r="AV6" i="8" s="1"/>
  <c r="L6" i="11"/>
  <c r="D5" i="10"/>
  <c r="F5" i="7"/>
  <c r="I5" i="7"/>
  <c r="G5" i="10"/>
  <c r="CZ5" i="5"/>
  <c r="D5" i="7"/>
  <c r="B5" i="10"/>
  <c r="B5" i="5"/>
  <c r="E5" i="7"/>
  <c r="C5" i="10"/>
  <c r="G5" i="7"/>
  <c r="E5" i="10"/>
  <c r="F5" i="10"/>
  <c r="H5" i="7"/>
  <c r="F4" i="5"/>
  <c r="AW4" i="5" s="1"/>
  <c r="J5" i="7"/>
  <c r="H5" i="10"/>
  <c r="F9" i="8"/>
  <c r="N8" i="2"/>
  <c r="K9" i="8"/>
  <c r="E9" i="8"/>
  <c r="CG8" i="8"/>
  <c r="AH14" i="9"/>
  <c r="AB5" i="1"/>
  <c r="DI5" i="5"/>
  <c r="AG14" i="9"/>
  <c r="AK14" i="9"/>
  <c r="AE14" i="9"/>
  <c r="S7" i="2"/>
  <c r="P8" i="2"/>
  <c r="R8" i="2"/>
  <c r="Q7" i="2"/>
  <c r="J9" i="10"/>
  <c r="N9" i="5" s="1"/>
  <c r="M8" i="2"/>
  <c r="F6" i="12"/>
  <c r="E6" i="12" s="1"/>
  <c r="D7" i="12"/>
  <c r="DB5" i="5"/>
  <c r="DE5" i="5"/>
  <c r="DF5" i="5"/>
  <c r="DC5" i="5"/>
  <c r="A38" i="6"/>
  <c r="CO20" i="8"/>
  <c r="CO21" i="8"/>
  <c r="I42" i="4"/>
  <c r="I10" i="12"/>
  <c r="J9" i="12"/>
  <c r="AQ30" i="9" l="1"/>
  <c r="CM30" i="8" s="1"/>
  <c r="AV4" i="5"/>
  <c r="CL4" i="8"/>
  <c r="BL7" i="5" a="1"/>
  <c r="BL7" i="5" s="1"/>
  <c r="BL8" i="5" s="1" a="1"/>
  <c r="BL8" i="5" s="1"/>
  <c r="BD7" i="5" a="1"/>
  <c r="BD7" i="5" s="1"/>
  <c r="BD8" i="5" s="1" a="1"/>
  <c r="BD8" i="5" s="1"/>
  <c r="AI25" i="9"/>
  <c r="AO25" i="8" s="1"/>
  <c r="AZ7" i="5" a="1"/>
  <c r="AZ7" i="5" s="1"/>
  <c r="AZ8" i="5" s="1" a="1"/>
  <c r="AZ8" i="5" s="1"/>
  <c r="J6" i="2"/>
  <c r="BF7" i="5" a="1"/>
  <c r="BF7" i="5" s="1"/>
  <c r="AE6" i="1" s="1"/>
  <c r="W5" i="1"/>
  <c r="G9" i="8"/>
  <c r="CF8" i="8"/>
  <c r="O8" i="2"/>
  <c r="BQ8" i="5" a="1"/>
  <c r="BQ8" i="5" s="1"/>
  <c r="BJ8" i="5" a="1"/>
  <c r="BJ8" i="5" s="1"/>
  <c r="BA8" i="5" a="1"/>
  <c r="BA8" i="5" s="1"/>
  <c r="BM8" i="5" a="1"/>
  <c r="BM8" i="5" s="1"/>
  <c r="BK8" i="5" a="1"/>
  <c r="BK8" i="5" s="1"/>
  <c r="BH8" i="5" a="1"/>
  <c r="BH8" i="5" s="1"/>
  <c r="AM15" i="9"/>
  <c r="AD5" i="1"/>
  <c r="AY8" i="5" a="1"/>
  <c r="AY8" i="5" s="1"/>
  <c r="CU8" i="5"/>
  <c r="CT8" i="5"/>
  <c r="CR8" i="5"/>
  <c r="CW8" i="5"/>
  <c r="CQ8" i="5"/>
  <c r="CS8" i="5"/>
  <c r="CV8" i="5"/>
  <c r="BC8" i="5" a="1"/>
  <c r="BC8" i="5" s="1"/>
  <c r="BE8" i="5" a="1"/>
  <c r="BE8" i="5" s="1"/>
  <c r="BN8" i="5" a="1"/>
  <c r="BN8" i="5" s="1"/>
  <c r="BG8" i="5" a="1"/>
  <c r="BG8" i="5" s="1"/>
  <c r="BB8" i="5" a="1"/>
  <c r="BB8" i="5" s="1"/>
  <c r="BO8" i="5" a="1"/>
  <c r="BO8" i="5" s="1"/>
  <c r="BI8" i="5" a="1"/>
  <c r="BI8" i="5" s="1"/>
  <c r="V6" i="2"/>
  <c r="BP7" i="5" a="1"/>
  <c r="BP7" i="5" s="1"/>
  <c r="O12" i="1"/>
  <c r="AK6" i="11"/>
  <c r="AK7" i="11" s="1"/>
  <c r="AH6" i="11"/>
  <c r="AH7" i="11" s="1"/>
  <c r="AS7" i="5"/>
  <c r="DC6" i="5"/>
  <c r="AJ7" i="1"/>
  <c r="AM6" i="1"/>
  <c r="DE6" i="5"/>
  <c r="AJ6" i="1"/>
  <c r="DB6" i="5"/>
  <c r="F5" i="5"/>
  <c r="Y5" i="1"/>
  <c r="DJ6" i="5"/>
  <c r="AU8" i="14" a="1"/>
  <c r="AU8" i="14" s="1"/>
  <c r="AT8" i="14" a="1"/>
  <c r="AT8" i="14" s="1"/>
  <c r="BI8" i="14" a="1"/>
  <c r="BI8" i="14" s="1"/>
  <c r="BX8" i="14" a="1"/>
  <c r="BX8" i="14" s="1"/>
  <c r="T8" i="14" a="1"/>
  <c r="T8" i="14" s="1"/>
  <c r="AF8" i="14" a="1"/>
  <c r="AF8" i="14" s="1"/>
  <c r="BM8" i="14" a="1"/>
  <c r="BM8" i="14" s="1"/>
  <c r="AG8" i="14" a="1"/>
  <c r="AG8" i="14" s="1"/>
  <c r="BC8" i="14" a="1"/>
  <c r="BC8" i="14" s="1"/>
  <c r="BB8" i="14" a="1"/>
  <c r="BB8" i="14" s="1"/>
  <c r="AS8" i="14" a="1"/>
  <c r="AS8" i="14" s="1"/>
  <c r="BQ8" i="14" a="1"/>
  <c r="BQ8" i="14" s="1"/>
  <c r="AR8" i="14" a="1"/>
  <c r="AR8" i="14" s="1"/>
  <c r="S8" i="14" a="1"/>
  <c r="S8" i="14" s="1"/>
  <c r="AO8" i="14" a="1"/>
  <c r="AO8" i="14" s="1"/>
  <c r="AH8" i="14" a="1"/>
  <c r="AH8" i="14" s="1"/>
  <c r="AM8" i="14" a="1"/>
  <c r="AM8" i="14" s="1"/>
  <c r="BR8" i="14" a="1"/>
  <c r="BR8" i="14" s="1"/>
  <c r="BD8" i="14" a="1"/>
  <c r="BD8" i="14" s="1"/>
  <c r="P8" i="14" a="1"/>
  <c r="P8" i="14" s="1"/>
  <c r="BZ8" i="14" a="1"/>
  <c r="BZ8" i="14" s="1"/>
  <c r="BF8" i="14" a="1"/>
  <c r="BF8" i="14" s="1"/>
  <c r="R8" i="14" a="1"/>
  <c r="R8" i="14" s="1"/>
  <c r="AL8" i="1" s="1"/>
  <c r="BL8" i="14" a="1"/>
  <c r="BL8" i="14" s="1"/>
  <c r="BK8" i="14" a="1"/>
  <c r="BK8" i="14" s="1"/>
  <c r="BJ8" i="14" a="1"/>
  <c r="BJ8" i="14" s="1"/>
  <c r="U8" i="14" a="1"/>
  <c r="U8" i="14" s="1"/>
  <c r="BY8" i="14" a="1"/>
  <c r="BY8" i="14" s="1"/>
  <c r="AN8" i="14" a="1"/>
  <c r="AN8" i="14" s="1"/>
  <c r="AY8" i="14" a="1"/>
  <c r="AY8" i="14" s="1"/>
  <c r="BV8" i="14" a="1"/>
  <c r="BV8" i="14" s="1"/>
  <c r="M8" i="14" a="1"/>
  <c r="M8" i="14" s="1"/>
  <c r="AE8" i="14" a="1"/>
  <c r="AE8" i="14" s="1"/>
  <c r="AL8" i="14" a="1"/>
  <c r="AL8" i="14" s="1"/>
  <c r="AK8" i="14" a="1"/>
  <c r="AK8" i="14" s="1"/>
  <c r="BH8" i="14" a="1"/>
  <c r="BH8" i="14" s="1"/>
  <c r="BW8" i="14" a="1"/>
  <c r="BW8" i="14" s="1"/>
  <c r="BO8" i="14" a="1"/>
  <c r="BO8" i="14" s="1"/>
  <c r="BN8" i="14" a="1"/>
  <c r="BN8" i="14" s="1"/>
  <c r="Y8" i="14" a="1"/>
  <c r="Y8" i="14" s="1"/>
  <c r="BH8" i="1" s="1"/>
  <c r="BS8" i="14" a="1"/>
  <c r="BS8" i="14" s="1"/>
  <c r="W8" i="14" a="1"/>
  <c r="W8" i="14" s="1"/>
  <c r="AD8" i="14" a="1"/>
  <c r="AD8" i="14" s="1"/>
  <c r="BA8" i="14" a="1"/>
  <c r="BA8" i="14" s="1"/>
  <c r="AB8" i="14" a="1"/>
  <c r="AB8" i="14" s="1"/>
  <c r="AI8" i="14" a="1"/>
  <c r="AI8" i="14" s="1"/>
  <c r="AQ8" i="14" a="1"/>
  <c r="AQ8" i="14" s="1"/>
  <c r="AP8" i="14" a="1"/>
  <c r="AP8" i="14" s="1"/>
  <c r="BU8" i="14" a="1"/>
  <c r="BU8" i="14" s="1"/>
  <c r="BT8" i="14" a="1"/>
  <c r="BT8" i="14" s="1"/>
  <c r="O8" i="14" a="1"/>
  <c r="O8" i="14" s="1"/>
  <c r="V8" i="14" a="1"/>
  <c r="V8" i="14" s="1"/>
  <c r="AC8" i="14" a="1"/>
  <c r="AC8" i="14" s="1"/>
  <c r="BP8" i="14" a="1"/>
  <c r="BP8" i="14" s="1"/>
  <c r="BG8" i="14" a="1"/>
  <c r="BG8" i="14" s="1"/>
  <c r="Z8" i="14" a="1"/>
  <c r="Z8" i="14" s="1"/>
  <c r="BE8" i="14" a="1"/>
  <c r="BE8" i="14" s="1"/>
  <c r="Q8" i="14" a="1"/>
  <c r="Q8" i="14" s="1"/>
  <c r="AZ8" i="14" a="1"/>
  <c r="AZ8" i="14" s="1"/>
  <c r="AJ8" i="14" a="1"/>
  <c r="AJ8" i="14" s="1"/>
  <c r="AA8" i="14" a="1"/>
  <c r="AA8" i="14" s="1"/>
  <c r="AX8" i="14" a="1"/>
  <c r="AX8" i="14" s="1"/>
  <c r="AW8" i="14" a="1"/>
  <c r="AW8" i="14" s="1"/>
  <c r="AV8" i="14" a="1"/>
  <c r="AV8" i="14" s="1"/>
  <c r="X8" i="14" a="1"/>
  <c r="X8" i="14" s="1"/>
  <c r="N8" i="14" a="1"/>
  <c r="N8" i="14" s="1"/>
  <c r="K9" i="11"/>
  <c r="A9" i="14"/>
  <c r="CA9" i="14" s="1"/>
  <c r="A9" i="8"/>
  <c r="A9" i="2"/>
  <c r="A9" i="9"/>
  <c r="A9" i="7"/>
  <c r="R9" i="7" s="1"/>
  <c r="A9" i="5"/>
  <c r="DF6" i="5"/>
  <c r="DH6" i="5"/>
  <c r="AU8" i="8"/>
  <c r="AE8" i="8"/>
  <c r="AM7" i="1"/>
  <c r="AF5" i="1"/>
  <c r="AH6" i="5"/>
  <c r="BU6" i="5"/>
  <c r="B6" i="2"/>
  <c r="B6" i="1"/>
  <c r="BG6" i="1" s="1"/>
  <c r="BY8" i="11"/>
  <c r="K7" i="10"/>
  <c r="AA7" i="7"/>
  <c r="AF7" i="8" s="1"/>
  <c r="H7" i="5"/>
  <c r="C6" i="10"/>
  <c r="E6" i="7"/>
  <c r="K7" i="5"/>
  <c r="F6" i="10"/>
  <c r="H6" i="7"/>
  <c r="DD6" i="5"/>
  <c r="AC4" i="8"/>
  <c r="X4" i="8"/>
  <c r="DD4" i="8" s="1"/>
  <c r="A4" i="10"/>
  <c r="AA4" i="10" s="1"/>
  <c r="BH4" i="8"/>
  <c r="AJ4" i="5"/>
  <c r="AP4" i="5" s="1"/>
  <c r="A4" i="11"/>
  <c r="N4" i="11" s="1"/>
  <c r="BI4" i="8"/>
  <c r="BS4" i="8" s="1"/>
  <c r="AI4" i="5"/>
  <c r="AN4" i="5" s="1"/>
  <c r="B4" i="9"/>
  <c r="Y4" i="9" s="1"/>
  <c r="BT4" i="5"/>
  <c r="DH4" i="8"/>
  <c r="DI4" i="8" s="1"/>
  <c r="B4" i="7"/>
  <c r="Q4" i="7" s="1"/>
  <c r="E4" i="1"/>
  <c r="Q4" i="1" s="1"/>
  <c r="L7" i="5"/>
  <c r="G6" i="10"/>
  <c r="I6" i="7"/>
  <c r="BW4" i="8"/>
  <c r="CK4" i="8"/>
  <c r="M7" i="5"/>
  <c r="H6" i="10"/>
  <c r="J6" i="7"/>
  <c r="J7" i="5"/>
  <c r="E6" i="10"/>
  <c r="G6" i="7"/>
  <c r="G7" i="5"/>
  <c r="D6" i="7"/>
  <c r="B6" i="10"/>
  <c r="I7" i="5"/>
  <c r="D6" i="10"/>
  <c r="F6" i="7"/>
  <c r="N9" i="2"/>
  <c r="F10" i="8"/>
  <c r="K10" i="8"/>
  <c r="E10" i="8"/>
  <c r="CG9" i="8"/>
  <c r="AH15" i="9"/>
  <c r="CZ6" i="5"/>
  <c r="C6" i="5"/>
  <c r="DA5" i="5"/>
  <c r="DG5" i="5" s="1" a="1"/>
  <c r="DG5" i="5" s="1"/>
  <c r="AB6" i="1"/>
  <c r="DI6" i="5"/>
  <c r="AG15" i="9"/>
  <c r="AK15" i="9"/>
  <c r="AE15" i="9"/>
  <c r="B6" i="5"/>
  <c r="S8" i="2"/>
  <c r="P9" i="2"/>
  <c r="R9" i="2"/>
  <c r="Q8" i="2"/>
  <c r="M9" i="2"/>
  <c r="J10" i="10"/>
  <c r="N10" i="5" s="1"/>
  <c r="F7" i="12"/>
  <c r="E7" i="12" s="1"/>
  <c r="D8" i="12"/>
  <c r="J10" i="12"/>
  <c r="I11" i="12"/>
  <c r="AQ31" i="9" l="1"/>
  <c r="CM31" i="8" s="1"/>
  <c r="AO4" i="5"/>
  <c r="AM4" i="5"/>
  <c r="AV5" i="5"/>
  <c r="AW5" i="5"/>
  <c r="CL5" i="8"/>
  <c r="AD6" i="1"/>
  <c r="BF8" i="5" a="1"/>
  <c r="BF8" i="5" s="1"/>
  <c r="AE7" i="1" s="1"/>
  <c r="CC4" i="8"/>
  <c r="CV4" i="8" s="1"/>
  <c r="CW4" i="8" s="1"/>
  <c r="AC4" i="1"/>
  <c r="AI26" i="9"/>
  <c r="AO26" i="8" s="1"/>
  <c r="J7" i="2"/>
  <c r="BJ9" i="5" a="1"/>
  <c r="BJ9" i="5" s="1"/>
  <c r="G10" i="8"/>
  <c r="CF9" i="8"/>
  <c r="O9" i="2"/>
  <c r="BM9" i="5" a="1"/>
  <c r="BM9" i="5" s="1"/>
  <c r="BQ9" i="5" a="1"/>
  <c r="BQ9" i="5" s="1"/>
  <c r="AM16" i="9"/>
  <c r="BR4" i="8"/>
  <c r="AD7" i="1"/>
  <c r="BI9" i="5" a="1"/>
  <c r="BI9" i="5" s="1"/>
  <c r="AY9" i="5" a="1"/>
  <c r="AY9" i="5" s="1"/>
  <c r="BL9" i="5" a="1"/>
  <c r="BL9" i="5" s="1"/>
  <c r="CV9" i="5"/>
  <c r="CQ9" i="5"/>
  <c r="CT9" i="5"/>
  <c r="CU9" i="5"/>
  <c r="CS9" i="5"/>
  <c r="CR9" i="5"/>
  <c r="CW9" i="5"/>
  <c r="BO9" i="5" a="1"/>
  <c r="BO9" i="5" s="1"/>
  <c r="BB9" i="5" a="1"/>
  <c r="BB9" i="5" s="1"/>
  <c r="BG9" i="5" a="1"/>
  <c r="BG9" i="5" s="1"/>
  <c r="BN9" i="5" a="1"/>
  <c r="BN9" i="5" s="1"/>
  <c r="BE9" i="5" a="1"/>
  <c r="BE9" i="5" s="1"/>
  <c r="AZ9" i="5" a="1"/>
  <c r="AZ9" i="5" s="1"/>
  <c r="BD9" i="5" a="1"/>
  <c r="BD9" i="5" s="1"/>
  <c r="BA9" i="5" a="1"/>
  <c r="BA9" i="5" s="1"/>
  <c r="BH9" i="5" a="1"/>
  <c r="BH9" i="5" s="1"/>
  <c r="BC9" i="5" a="1"/>
  <c r="BC9" i="5" s="1"/>
  <c r="BK9" i="5" a="1"/>
  <c r="BK9" i="5" s="1"/>
  <c r="V7" i="2"/>
  <c r="BP8" i="5" a="1"/>
  <c r="BP8" i="5" s="1"/>
  <c r="BH5" i="8"/>
  <c r="BU5" i="8" s="1"/>
  <c r="O13" i="1"/>
  <c r="BU4" i="8"/>
  <c r="BT4" i="8"/>
  <c r="BP4" i="8"/>
  <c r="BQ4" i="8"/>
  <c r="BN4" i="8"/>
  <c r="BO4" i="8"/>
  <c r="BL4" i="8"/>
  <c r="BM4" i="8"/>
  <c r="BJ4" i="8"/>
  <c r="BK4" i="8"/>
  <c r="BX4" i="8"/>
  <c r="CD4" i="8" s="1"/>
  <c r="AC4" i="10"/>
  <c r="X4" i="10" s="1"/>
  <c r="AR4" i="5"/>
  <c r="AS8" i="5"/>
  <c r="AK8" i="11"/>
  <c r="AH8" i="11"/>
  <c r="B5" i="7"/>
  <c r="AE5" i="7" s="1"/>
  <c r="AF5" i="7" s="1"/>
  <c r="X5" i="8"/>
  <c r="DD5" i="8" s="1"/>
  <c r="AI5" i="5"/>
  <c r="B5" i="9"/>
  <c r="Y5" i="9" s="1"/>
  <c r="AC5" i="8"/>
  <c r="BQ5" i="8" s="1"/>
  <c r="A5" i="10"/>
  <c r="AA5" i="10" s="1"/>
  <c r="A5" i="11"/>
  <c r="N5" i="11" s="1"/>
  <c r="BT5" i="5"/>
  <c r="CK5" i="8"/>
  <c r="AM8" i="1"/>
  <c r="AJ8" i="1"/>
  <c r="DH5" i="8"/>
  <c r="DI5" i="8" s="1"/>
  <c r="AJ5" i="5"/>
  <c r="AP5" i="5" s="1"/>
  <c r="E5" i="1"/>
  <c r="BI5" i="8"/>
  <c r="DE7" i="5"/>
  <c r="DF7" i="5"/>
  <c r="DH7" i="5"/>
  <c r="K10" i="11"/>
  <c r="A10" i="14"/>
  <c r="CA10" i="14" s="1"/>
  <c r="A10" i="5"/>
  <c r="A10" i="8"/>
  <c r="A10" i="7"/>
  <c r="R10" i="7" s="1"/>
  <c r="A10" i="9"/>
  <c r="A10" i="2"/>
  <c r="AF6" i="1"/>
  <c r="Y6" i="1"/>
  <c r="DJ7" i="5"/>
  <c r="AU9" i="8"/>
  <c r="AE9" i="8"/>
  <c r="W6" i="1"/>
  <c r="BS9" i="14" a="1"/>
  <c r="BS9" i="14" s="1"/>
  <c r="AE9" i="14" a="1"/>
  <c r="AE9" i="14" s="1"/>
  <c r="V9" i="14" a="1"/>
  <c r="V9" i="14" s="1"/>
  <c r="AS9" i="14" a="1"/>
  <c r="AS9" i="14" s="1"/>
  <c r="BO9" i="14" a="1"/>
  <c r="BO9" i="14" s="1"/>
  <c r="AI9" i="14" a="1"/>
  <c r="AI9" i="14" s="1"/>
  <c r="BL9" i="14" a="1"/>
  <c r="BL9" i="14" s="1"/>
  <c r="BT9" i="14" a="1"/>
  <c r="BT9" i="14" s="1"/>
  <c r="BB9" i="14" a="1"/>
  <c r="BB9" i="14" s="1"/>
  <c r="BQ9" i="14" a="1"/>
  <c r="BQ9" i="14" s="1"/>
  <c r="U9" i="14" a="1"/>
  <c r="U9" i="14" s="1"/>
  <c r="AJ9" i="14" a="1"/>
  <c r="AJ9" i="14" s="1"/>
  <c r="AY9" i="14" a="1"/>
  <c r="AY9" i="14" s="1"/>
  <c r="BK9" i="14" a="1"/>
  <c r="BK9" i="14" s="1"/>
  <c r="AT9" i="14" a="1"/>
  <c r="AT9" i="14" s="1"/>
  <c r="BD9" i="14" a="1"/>
  <c r="BD9" i="14" s="1"/>
  <c r="BZ9" i="14" a="1"/>
  <c r="BZ9" i="14" s="1"/>
  <c r="BW9" i="14" a="1"/>
  <c r="BW9" i="14" s="1"/>
  <c r="AQ9" i="14" a="1"/>
  <c r="AQ9" i="14" s="1"/>
  <c r="AX9" i="14" a="1"/>
  <c r="AX9" i="14" s="1"/>
  <c r="AW9" i="14" a="1"/>
  <c r="AW9" i="14" s="1"/>
  <c r="AU9" i="14" a="1"/>
  <c r="AU9" i="14" s="1"/>
  <c r="AL9" i="14" a="1"/>
  <c r="AL9" i="14" s="1"/>
  <c r="BI9" i="14" a="1"/>
  <c r="BI9" i="14" s="1"/>
  <c r="AB9" i="14" a="1"/>
  <c r="AB9" i="14" s="1"/>
  <c r="P9" i="14" a="1"/>
  <c r="P9" i="14" s="1"/>
  <c r="BG9" i="14" a="1"/>
  <c r="BG9" i="14" s="1"/>
  <c r="AP9" i="14" a="1"/>
  <c r="AP9" i="14" s="1"/>
  <c r="AO9" i="14" a="1"/>
  <c r="AO9" i="14" s="1"/>
  <c r="AM9" i="14" a="1"/>
  <c r="AM9" i="14" s="1"/>
  <c r="N9" i="14" a="1"/>
  <c r="N9" i="14" s="1"/>
  <c r="AD9" i="14" a="1"/>
  <c r="AD9" i="14" s="1"/>
  <c r="BX9" i="14" a="1"/>
  <c r="BX9" i="14" s="1"/>
  <c r="T9" i="14" a="1"/>
  <c r="T9" i="14" s="1"/>
  <c r="AF9" i="14" a="1"/>
  <c r="AF9" i="14" s="1"/>
  <c r="R9" i="14" a="1"/>
  <c r="R9" i="14" s="1"/>
  <c r="AL9" i="1" s="1"/>
  <c r="Y9" i="14" a="1"/>
  <c r="Y9" i="14" s="1"/>
  <c r="BH9" i="1" s="1"/>
  <c r="BC9" i="14" a="1"/>
  <c r="BC9" i="14" s="1"/>
  <c r="X9" i="14" a="1"/>
  <c r="X9" i="14" s="1"/>
  <c r="AC9" i="14" a="1"/>
  <c r="AC9" i="14" s="1"/>
  <c r="BH9" i="14" a="1"/>
  <c r="BH9" i="14" s="1"/>
  <c r="BP9" i="14" a="1"/>
  <c r="BP9" i="14" s="1"/>
  <c r="AA9" i="14" a="1"/>
  <c r="AA9" i="14" s="1"/>
  <c r="W9" i="14" a="1"/>
  <c r="W9" i="14" s="1"/>
  <c r="BR9" i="14" a="1"/>
  <c r="BR9" i="14" s="1"/>
  <c r="AK9" i="14" a="1"/>
  <c r="AK9" i="14" s="1"/>
  <c r="AR9" i="14" a="1"/>
  <c r="AR9" i="14" s="1"/>
  <c r="AZ9" i="14" a="1"/>
  <c r="AZ9" i="14" s="1"/>
  <c r="BN9" i="14" a="1"/>
  <c r="BN9" i="14" s="1"/>
  <c r="S9" i="14" a="1"/>
  <c r="S9" i="14" s="1"/>
  <c r="BE9" i="14" a="1"/>
  <c r="BE9" i="14" s="1"/>
  <c r="AV9" i="14" a="1"/>
  <c r="AV9" i="14" s="1"/>
  <c r="Z9" i="14" a="1"/>
  <c r="Z9" i="14" s="1"/>
  <c r="O9" i="14" a="1"/>
  <c r="O9" i="14" s="1"/>
  <c r="BV9" i="14" a="1"/>
  <c r="BV9" i="14" s="1"/>
  <c r="BJ9" i="14" a="1"/>
  <c r="BJ9" i="14" s="1"/>
  <c r="BF9" i="14" a="1"/>
  <c r="BF9" i="14" s="1"/>
  <c r="BA9" i="14" a="1"/>
  <c r="BA9" i="14" s="1"/>
  <c r="BM9" i="14" a="1"/>
  <c r="BM9" i="14" s="1"/>
  <c r="AN9" i="14" a="1"/>
  <c r="AN9" i="14" s="1"/>
  <c r="BU9" i="14" a="1"/>
  <c r="BU9" i="14" s="1"/>
  <c r="BY9" i="14" a="1"/>
  <c r="BY9" i="14" s="1"/>
  <c r="Q9" i="14" a="1"/>
  <c r="Q9" i="14" s="1"/>
  <c r="AH9" i="14" a="1"/>
  <c r="AH9" i="14" s="1"/>
  <c r="M9" i="14" a="1"/>
  <c r="M9" i="14" s="1"/>
  <c r="AG9" i="14" a="1"/>
  <c r="AG9" i="14" s="1"/>
  <c r="CH4" i="8"/>
  <c r="CZ4" i="8" s="1"/>
  <c r="BZ4" i="8"/>
  <c r="BW5" i="8"/>
  <c r="CB4" i="8"/>
  <c r="CT4" i="8" s="1"/>
  <c r="CI4" i="8"/>
  <c r="DA4" i="8" s="1"/>
  <c r="CA4" i="8"/>
  <c r="BY4" i="8"/>
  <c r="AE4" i="7"/>
  <c r="AF4" i="7" s="1"/>
  <c r="BY9" i="11"/>
  <c r="AA8" i="7"/>
  <c r="AF8" i="8" s="1"/>
  <c r="AV8" i="8" s="1"/>
  <c r="K8" i="10"/>
  <c r="L8" i="11"/>
  <c r="J8" i="5"/>
  <c r="DC8" i="5" s="1"/>
  <c r="E7" i="10"/>
  <c r="G7" i="7"/>
  <c r="L8" i="5"/>
  <c r="G7" i="10"/>
  <c r="I7" i="7"/>
  <c r="B7" i="10"/>
  <c r="G8" i="5"/>
  <c r="D7" i="7"/>
  <c r="M8" i="5"/>
  <c r="H7" i="10"/>
  <c r="J7" i="7"/>
  <c r="I8" i="5"/>
  <c r="D7" i="10"/>
  <c r="F7" i="7"/>
  <c r="N4" i="7"/>
  <c r="H8" i="5"/>
  <c r="C7" i="10"/>
  <c r="E7" i="7"/>
  <c r="K8" i="5"/>
  <c r="F7" i="10"/>
  <c r="H7" i="7"/>
  <c r="DD7" i="5"/>
  <c r="DB7" i="5"/>
  <c r="DC7" i="5"/>
  <c r="D5" i="9"/>
  <c r="F11" i="8"/>
  <c r="K11" i="8"/>
  <c r="E11" i="8"/>
  <c r="CG10" i="8"/>
  <c r="AH16" i="9"/>
  <c r="F6" i="5"/>
  <c r="CZ7" i="5"/>
  <c r="AB7" i="1"/>
  <c r="DI7" i="5"/>
  <c r="DA7" i="5"/>
  <c r="DA6" i="5"/>
  <c r="DG6" i="5" s="1" a="1"/>
  <c r="DG6" i="5" s="1"/>
  <c r="AG16" i="9"/>
  <c r="AK16" i="9"/>
  <c r="AE16" i="9"/>
  <c r="B7" i="5"/>
  <c r="S9" i="2"/>
  <c r="P10" i="2"/>
  <c r="N10" i="2"/>
  <c r="R10" i="2"/>
  <c r="Q9" i="2"/>
  <c r="J11" i="10"/>
  <c r="N11" i="5" s="1"/>
  <c r="D9" i="12"/>
  <c r="F8" i="12"/>
  <c r="E8" i="12" s="1"/>
  <c r="M10" i="2"/>
  <c r="M4" i="1"/>
  <c r="F4" i="11" s="1"/>
  <c r="I12" i="12"/>
  <c r="J11" i="12"/>
  <c r="AG4" i="7" l="1"/>
  <c r="AQ32" i="9"/>
  <c r="CM32" i="8" s="1"/>
  <c r="AO5" i="5"/>
  <c r="AM5" i="5"/>
  <c r="AN5" i="5"/>
  <c r="AR5" i="5" s="1"/>
  <c r="AV6" i="5"/>
  <c r="AW6" i="5"/>
  <c r="AG5" i="7"/>
  <c r="CL6" i="8"/>
  <c r="J8" i="2"/>
  <c r="BF9" i="5" a="1"/>
  <c r="BF9" i="5" s="1"/>
  <c r="AE8" i="1" s="1"/>
  <c r="P4" i="8"/>
  <c r="CA5" i="8"/>
  <c r="AC5" i="1"/>
  <c r="AI27" i="9"/>
  <c r="AO27" i="8" s="1"/>
  <c r="G11" i="8"/>
  <c r="CF10" i="8"/>
  <c r="O10" i="2"/>
  <c r="BB10" i="5" a="1"/>
  <c r="BB10" i="5" s="1"/>
  <c r="BO10" i="5" a="1"/>
  <c r="BO10" i="5" s="1"/>
  <c r="BN10" i="5" a="1"/>
  <c r="BN10" i="5" s="1"/>
  <c r="BG10" i="5" a="1"/>
  <c r="BG10" i="5" s="1"/>
  <c r="AM17" i="9"/>
  <c r="BR5" i="8"/>
  <c r="BS5" i="8"/>
  <c r="BK10" i="5" a="1"/>
  <c r="BK10" i="5" s="1"/>
  <c r="AY10" i="5" a="1"/>
  <c r="AY10" i="5" s="1"/>
  <c r="BL10" i="5" a="1"/>
  <c r="BL10" i="5" s="1"/>
  <c r="CV10" i="5"/>
  <c r="CU10" i="5"/>
  <c r="CT10" i="5"/>
  <c r="CW10" i="5"/>
  <c r="CS10" i="5"/>
  <c r="CR10" i="5"/>
  <c r="CQ10" i="5"/>
  <c r="BC10" i="5" a="1"/>
  <c r="BC10" i="5" s="1"/>
  <c r="AD8" i="1"/>
  <c r="BH10" i="5" a="1"/>
  <c r="BH10" i="5" s="1"/>
  <c r="BA10" i="5" a="1"/>
  <c r="BA10" i="5" s="1"/>
  <c r="BD10" i="5" a="1"/>
  <c r="BD10" i="5" s="1"/>
  <c r="BJ10" i="5" a="1"/>
  <c r="BJ10" i="5" s="1"/>
  <c r="BQ10" i="5" a="1"/>
  <c r="BQ10" i="5" s="1"/>
  <c r="AZ10" i="5" a="1"/>
  <c r="AZ10" i="5" s="1"/>
  <c r="BI10" i="5" a="1"/>
  <c r="BI10" i="5" s="1"/>
  <c r="BE10" i="5" a="1"/>
  <c r="BE10" i="5" s="1"/>
  <c r="BM10" i="5" a="1"/>
  <c r="BM10" i="5" s="1"/>
  <c r="BX5" i="8"/>
  <c r="CD5" i="8" s="1"/>
  <c r="D6" i="9"/>
  <c r="V8" i="2"/>
  <c r="CQ4" i="8"/>
  <c r="CU4" i="8" s="1"/>
  <c r="BP9" i="5" a="1"/>
  <c r="BP9" i="5" s="1"/>
  <c r="BT5" i="8"/>
  <c r="AI4" i="7"/>
  <c r="AA4" i="8" s="1"/>
  <c r="O14" i="1"/>
  <c r="CE4" i="8"/>
  <c r="CX4" i="8" s="1"/>
  <c r="CY4" i="8" s="1"/>
  <c r="BO5" i="8"/>
  <c r="BP5" i="8"/>
  <c r="BM5" i="8"/>
  <c r="BN5" i="8"/>
  <c r="BK5" i="8"/>
  <c r="BL5" i="8"/>
  <c r="BJ5" i="8"/>
  <c r="AC5" i="10"/>
  <c r="X5" i="10" s="1"/>
  <c r="AS9" i="5"/>
  <c r="AK9" i="11"/>
  <c r="Q5" i="7"/>
  <c r="DB8" i="5"/>
  <c r="AA4" i="11"/>
  <c r="AK4" i="1" s="1"/>
  <c r="N5" i="7"/>
  <c r="AC4" i="11"/>
  <c r="U4" i="8" s="1"/>
  <c r="AB4" i="11"/>
  <c r="Q4" i="8" s="1"/>
  <c r="Y4" i="11"/>
  <c r="AH4" i="1" s="1"/>
  <c r="AD4" i="11"/>
  <c r="AI4" i="1" s="1"/>
  <c r="Z4" i="11"/>
  <c r="CI5" i="8"/>
  <c r="DA5" i="8" s="1"/>
  <c r="AJ9" i="1"/>
  <c r="DF8" i="5"/>
  <c r="DE8" i="5"/>
  <c r="AV10" i="14" a="1"/>
  <c r="AV10" i="14" s="1"/>
  <c r="O10" i="14" a="1"/>
  <c r="O10" i="14" s="1"/>
  <c r="BR10" i="14" a="1"/>
  <c r="BR10" i="14" s="1"/>
  <c r="BY10" i="14" a="1"/>
  <c r="BY10" i="14" s="1"/>
  <c r="BO10" i="14" a="1"/>
  <c r="BO10" i="14" s="1"/>
  <c r="AN10" i="14" a="1"/>
  <c r="AN10" i="14" s="1"/>
  <c r="AI10" i="14" a="1"/>
  <c r="AI10" i="14" s="1"/>
  <c r="BS10" i="14" a="1"/>
  <c r="BS10" i="14" s="1"/>
  <c r="X10" i="14" a="1"/>
  <c r="X10" i="14" s="1"/>
  <c r="N10" i="14" a="1"/>
  <c r="N10" i="14" s="1"/>
  <c r="AK10" i="14" a="1"/>
  <c r="AK10" i="14" s="1"/>
  <c r="BX10" i="14" a="1"/>
  <c r="BX10" i="14" s="1"/>
  <c r="BG10" i="14" a="1"/>
  <c r="BG10" i="14" s="1"/>
  <c r="BF10" i="14" a="1"/>
  <c r="BF10" i="14" s="1"/>
  <c r="BU10" i="14" a="1"/>
  <c r="BU10" i="14" s="1"/>
  <c r="BK10" i="14" a="1"/>
  <c r="BK10" i="14" s="1"/>
  <c r="AT10" i="14" a="1"/>
  <c r="AT10" i="14" s="1"/>
  <c r="BA10" i="14" a="1"/>
  <c r="BA10" i="14" s="1"/>
  <c r="AR10" i="14" a="1"/>
  <c r="AR10" i="14" s="1"/>
  <c r="BH10" i="14" a="1"/>
  <c r="BH10" i="14" s="1"/>
  <c r="BW10" i="14" a="1"/>
  <c r="BW10" i="14" s="1"/>
  <c r="Z10" i="14" a="1"/>
  <c r="Z10" i="14" s="1"/>
  <c r="AW10" i="14" a="1"/>
  <c r="AW10" i="14" s="1"/>
  <c r="AU10" i="14" a="1"/>
  <c r="AU10" i="14" s="1"/>
  <c r="AL10" i="14" a="1"/>
  <c r="AL10" i="14" s="1"/>
  <c r="BD10" i="14" a="1"/>
  <c r="BD10" i="14" s="1"/>
  <c r="AJ10" i="14" a="1"/>
  <c r="AJ10" i="14" s="1"/>
  <c r="AZ10" i="14" a="1"/>
  <c r="AZ10" i="14" s="1"/>
  <c r="AY10" i="14" a="1"/>
  <c r="AY10" i="14" s="1"/>
  <c r="AP10" i="14" a="1"/>
  <c r="AP10" i="14" s="1"/>
  <c r="AO10" i="14" a="1"/>
  <c r="AO10" i="14" s="1"/>
  <c r="W10" i="14" a="1"/>
  <c r="W10" i="14" s="1"/>
  <c r="BJ10" i="14" a="1"/>
  <c r="BJ10" i="14" s="1"/>
  <c r="BQ10" i="14" a="1"/>
  <c r="BQ10" i="14" s="1"/>
  <c r="AB10" i="14" a="1"/>
  <c r="AB10" i="14" s="1"/>
  <c r="P10" i="14" a="1"/>
  <c r="P10" i="14" s="1"/>
  <c r="AF10" i="14" a="1"/>
  <c r="AF10" i="14" s="1"/>
  <c r="R10" i="14" a="1"/>
  <c r="R10" i="14" s="1"/>
  <c r="AL10" i="1" s="1"/>
  <c r="AG10" i="14" a="1"/>
  <c r="AG10" i="14" s="1"/>
  <c r="BC10" i="14" a="1"/>
  <c r="BC10" i="14" s="1"/>
  <c r="AD10" i="14" a="1"/>
  <c r="AD10" i="14" s="1"/>
  <c r="BI10" i="14" a="1"/>
  <c r="BI10" i="14" s="1"/>
  <c r="U10" i="14" a="1"/>
  <c r="U10" i="14" s="1"/>
  <c r="BP10" i="14" a="1"/>
  <c r="BP10" i="14" s="1"/>
  <c r="BV10" i="14" a="1"/>
  <c r="BV10" i="14" s="1"/>
  <c r="BL10" i="14" a="1"/>
  <c r="BL10" i="14" s="1"/>
  <c r="Y10" i="14" a="1"/>
  <c r="Y10" i="14" s="1"/>
  <c r="BH10" i="1" s="1"/>
  <c r="AM10" i="14" a="1"/>
  <c r="AM10" i="14" s="1"/>
  <c r="BB10" i="14" a="1"/>
  <c r="BB10" i="14" s="1"/>
  <c r="AC10" i="14" a="1"/>
  <c r="AC10" i="14" s="1"/>
  <c r="T10" i="14" a="1"/>
  <c r="T10" i="14" s="1"/>
  <c r="AA10" i="14" a="1"/>
  <c r="AA10" i="14" s="1"/>
  <c r="BN10" i="14" a="1"/>
  <c r="BN10" i="14" s="1"/>
  <c r="AH10" i="14" a="1"/>
  <c r="AH10" i="14" s="1"/>
  <c r="BM10" i="14" a="1"/>
  <c r="BM10" i="14" s="1"/>
  <c r="AE10" i="14" a="1"/>
  <c r="AE10" i="14" s="1"/>
  <c r="Q10" i="14" a="1"/>
  <c r="Q10" i="14" s="1"/>
  <c r="V10" i="14" a="1"/>
  <c r="V10" i="14" s="1"/>
  <c r="M10" i="14" a="1"/>
  <c r="M10" i="14" s="1"/>
  <c r="AS10" i="14" a="1"/>
  <c r="AS10" i="14" s="1"/>
  <c r="BZ10" i="14" a="1"/>
  <c r="BZ10" i="14" s="1"/>
  <c r="S10" i="14" a="1"/>
  <c r="S10" i="14" s="1"/>
  <c r="AQ10" i="14" a="1"/>
  <c r="AQ10" i="14" s="1"/>
  <c r="BE10" i="14" a="1"/>
  <c r="BE10" i="14" s="1"/>
  <c r="BT10" i="14" a="1"/>
  <c r="BT10" i="14" s="1"/>
  <c r="AX10" i="14" a="1"/>
  <c r="AX10" i="14" s="1"/>
  <c r="AM9" i="1"/>
  <c r="AF7" i="1"/>
  <c r="DH8" i="5"/>
  <c r="Y7" i="1"/>
  <c r="DJ8" i="5"/>
  <c r="AH9" i="11"/>
  <c r="K11" i="11"/>
  <c r="A11" i="14"/>
  <c r="CA11" i="14" s="1"/>
  <c r="A11" i="7"/>
  <c r="R11" i="7" s="1"/>
  <c r="A11" i="8"/>
  <c r="A11" i="9"/>
  <c r="A11" i="5"/>
  <c r="A11" i="2"/>
  <c r="AU10" i="8"/>
  <c r="AE10" i="8"/>
  <c r="W7" i="1"/>
  <c r="BZ5" i="8"/>
  <c r="DB4" i="8"/>
  <c r="CR4" i="8"/>
  <c r="AQ4" i="5"/>
  <c r="BY5" i="8"/>
  <c r="CB5" i="8"/>
  <c r="CT5" i="8" s="1"/>
  <c r="CH5" i="8"/>
  <c r="CZ5" i="8" s="1"/>
  <c r="CC5" i="8"/>
  <c r="CV5" i="8" s="1"/>
  <c r="CW5" i="8" s="1"/>
  <c r="AH8" i="5"/>
  <c r="BU8" i="5"/>
  <c r="B8" i="1"/>
  <c r="BG8" i="1" s="1"/>
  <c r="B8" i="2"/>
  <c r="BY10" i="11"/>
  <c r="AA9" i="7"/>
  <c r="AF9" i="8" s="1"/>
  <c r="AV9" i="8" s="1"/>
  <c r="K9" i="10"/>
  <c r="L9" i="11"/>
  <c r="K9" i="5"/>
  <c r="F8" i="10"/>
  <c r="H8" i="7"/>
  <c r="I9" i="5"/>
  <c r="D8" i="10"/>
  <c r="F8" i="7"/>
  <c r="DG7" i="5" a="1"/>
  <c r="DG7" i="5" s="1"/>
  <c r="H9" i="5"/>
  <c r="C8" i="10"/>
  <c r="E8" i="7"/>
  <c r="L9" i="5"/>
  <c r="G8" i="10"/>
  <c r="I8" i="7"/>
  <c r="M9" i="5"/>
  <c r="H8" i="10"/>
  <c r="J8" i="7"/>
  <c r="D8" i="7"/>
  <c r="G9" i="5"/>
  <c r="B8" i="10"/>
  <c r="J9" i="5"/>
  <c r="DC9" i="5" s="1"/>
  <c r="E8" i="10"/>
  <c r="G8" i="7"/>
  <c r="DD8" i="5"/>
  <c r="F12" i="8"/>
  <c r="DH6" i="8"/>
  <c r="DI6" i="8" s="1"/>
  <c r="K12" i="8"/>
  <c r="CK6" i="8"/>
  <c r="E12" i="8"/>
  <c r="CG11" i="8"/>
  <c r="BW6" i="8"/>
  <c r="BI6" i="8"/>
  <c r="BH6" i="8"/>
  <c r="BU6" i="8" s="1"/>
  <c r="AH17" i="9"/>
  <c r="A6" i="10"/>
  <c r="AA6" i="10" s="1"/>
  <c r="BT6" i="5"/>
  <c r="B6" i="7"/>
  <c r="Q6" i="7" s="1"/>
  <c r="AI6" i="5"/>
  <c r="AJ6" i="5"/>
  <c r="AP6" i="5" s="1"/>
  <c r="B6" i="9"/>
  <c r="Y6" i="9" s="1"/>
  <c r="AC6" i="8"/>
  <c r="BQ6" i="8" s="1"/>
  <c r="A6" i="11"/>
  <c r="N6" i="11" s="1"/>
  <c r="CZ8" i="5"/>
  <c r="E6" i="1"/>
  <c r="X6" i="8"/>
  <c r="DD6" i="8" s="1"/>
  <c r="C7" i="5"/>
  <c r="F7" i="5" s="1"/>
  <c r="DI8" i="5"/>
  <c r="AB8" i="1"/>
  <c r="AG17" i="9"/>
  <c r="AK17" i="9"/>
  <c r="AE17" i="9"/>
  <c r="B8" i="5"/>
  <c r="S10" i="2"/>
  <c r="P11" i="2"/>
  <c r="N11" i="2"/>
  <c r="R11" i="2"/>
  <c r="Q10" i="2"/>
  <c r="D10" i="12"/>
  <c r="F9" i="12"/>
  <c r="E9" i="12" s="1"/>
  <c r="J12" i="10"/>
  <c r="N12" i="5" s="1"/>
  <c r="M11" i="2"/>
  <c r="I13" i="12"/>
  <c r="J12" i="12"/>
  <c r="AQ33" i="9" l="1"/>
  <c r="CM33" i="8" s="1"/>
  <c r="AO6" i="5"/>
  <c r="AM6" i="5"/>
  <c r="AN6" i="5"/>
  <c r="AR6" i="5" s="1"/>
  <c r="AV7" i="5"/>
  <c r="AW7" i="5"/>
  <c r="AI5" i="7"/>
  <c r="J9" i="2"/>
  <c r="CL7" i="8"/>
  <c r="BF10" i="5" a="1"/>
  <c r="BF10" i="5" s="1"/>
  <c r="AE9" i="1" s="1"/>
  <c r="CR5" i="8"/>
  <c r="P5" i="8"/>
  <c r="CC6" i="8"/>
  <c r="CV6" i="8" s="1"/>
  <c r="CW6" i="8" s="1"/>
  <c r="AC6" i="1"/>
  <c r="AI28" i="9"/>
  <c r="AO28" i="8" s="1"/>
  <c r="B4" i="8"/>
  <c r="D4" i="2" s="1"/>
  <c r="G12" i="8"/>
  <c r="CF11" i="8"/>
  <c r="O11" i="2"/>
  <c r="BN11" i="5" a="1"/>
  <c r="BN11" i="5" s="1"/>
  <c r="AW4" i="8"/>
  <c r="AD9" i="1"/>
  <c r="BC11" i="5" a="1"/>
  <c r="BC11" i="5" s="1"/>
  <c r="AM18" i="9"/>
  <c r="BR6" i="8"/>
  <c r="BS6" i="8"/>
  <c r="CE5" i="8"/>
  <c r="CX5" i="8" s="1"/>
  <c r="CY5" i="8" s="1"/>
  <c r="BM11" i="5" a="1"/>
  <c r="BM11" i="5" s="1"/>
  <c r="BE11" i="5" a="1"/>
  <c r="BE11" i="5" s="1"/>
  <c r="BI11" i="5" a="1"/>
  <c r="BI11" i="5" s="1"/>
  <c r="AZ11" i="5" a="1"/>
  <c r="AZ11" i="5" s="1"/>
  <c r="BQ11" i="5" a="1"/>
  <c r="BQ11" i="5" s="1"/>
  <c r="BJ11" i="5" a="1"/>
  <c r="BJ11" i="5" s="1"/>
  <c r="BD11" i="5" a="1"/>
  <c r="BD11" i="5" s="1"/>
  <c r="BK11" i="5" a="1"/>
  <c r="BK11" i="5" s="1"/>
  <c r="AY11" i="5" a="1"/>
  <c r="AY11" i="5" s="1"/>
  <c r="BL11" i="5" a="1"/>
  <c r="BL11" i="5" s="1"/>
  <c r="CQ11" i="5"/>
  <c r="CT11" i="5"/>
  <c r="CV11" i="5"/>
  <c r="CW11" i="5"/>
  <c r="CU11" i="5"/>
  <c r="CS11" i="5"/>
  <c r="CR11" i="5"/>
  <c r="BA11" i="5" a="1"/>
  <c r="BA11" i="5" s="1"/>
  <c r="BO11" i="5" a="1"/>
  <c r="BO11" i="5" s="1"/>
  <c r="BB11" i="5" a="1"/>
  <c r="BB11" i="5" s="1"/>
  <c r="BH11" i="5" a="1"/>
  <c r="BH11" i="5" s="1"/>
  <c r="BG11" i="5" a="1"/>
  <c r="BG11" i="5" s="1"/>
  <c r="V9" i="2"/>
  <c r="CS4" i="8"/>
  <c r="DF4" i="8" s="1"/>
  <c r="G4" i="1" s="1"/>
  <c r="N4" i="8" s="1"/>
  <c r="F13" i="8"/>
  <c r="CQ5" i="8"/>
  <c r="CU5" i="8" s="1"/>
  <c r="BP10" i="5" a="1"/>
  <c r="BP10" i="5" s="1"/>
  <c r="O15" i="1"/>
  <c r="D7" i="9"/>
  <c r="BT6" i="8"/>
  <c r="BO6" i="8"/>
  <c r="BP6" i="8"/>
  <c r="BM6" i="8"/>
  <c r="BN6" i="8"/>
  <c r="BK6" i="8"/>
  <c r="BL6" i="8"/>
  <c r="BJ6" i="8"/>
  <c r="AC6" i="10"/>
  <c r="X6" i="10" s="1"/>
  <c r="AS10" i="5"/>
  <c r="H4" i="11"/>
  <c r="E13" i="8"/>
  <c r="AK10" i="11"/>
  <c r="DB5" i="8"/>
  <c r="DE9" i="5"/>
  <c r="AH10" i="11"/>
  <c r="AM10" i="1"/>
  <c r="DF9" i="5"/>
  <c r="AU11" i="8"/>
  <c r="AE11" i="8"/>
  <c r="DH9" i="5"/>
  <c r="DB9" i="5"/>
  <c r="AF8" i="1"/>
  <c r="AV11" i="14" a="1"/>
  <c r="AV11" i="14" s="1"/>
  <c r="BR11" i="14" a="1"/>
  <c r="BR11" i="14" s="1"/>
  <c r="BI11" i="14" a="1"/>
  <c r="BI11" i="14" s="1"/>
  <c r="BD11" i="14" a="1"/>
  <c r="BD11" i="14" s="1"/>
  <c r="BY11" i="14" a="1"/>
  <c r="BY11" i="14" s="1"/>
  <c r="BG11" i="14" a="1"/>
  <c r="BG11" i="14" s="1"/>
  <c r="AH11" i="14" a="1"/>
  <c r="AH11" i="14" s="1"/>
  <c r="BM11" i="14" a="1"/>
  <c r="BM11" i="14" s="1"/>
  <c r="BK11" i="14" a="1"/>
  <c r="BK11" i="14" s="1"/>
  <c r="O11" i="14" a="1"/>
  <c r="O11" i="14" s="1"/>
  <c r="BA11" i="14" a="1"/>
  <c r="BA11" i="14" s="1"/>
  <c r="P11" i="14" a="1"/>
  <c r="P11" i="14" s="1"/>
  <c r="T11" i="14" a="1"/>
  <c r="T11" i="14" s="1"/>
  <c r="AY11" i="14" a="1"/>
  <c r="AY11" i="14" s="1"/>
  <c r="BL11" i="14" a="1"/>
  <c r="BL11" i="14" s="1"/>
  <c r="Z11" i="14" a="1"/>
  <c r="Z11" i="14" s="1"/>
  <c r="AU11" i="14" a="1"/>
  <c r="AU11" i="14" s="1"/>
  <c r="AL11" i="14" a="1"/>
  <c r="AL11" i="14" s="1"/>
  <c r="AS11" i="14" a="1"/>
  <c r="AS11" i="14" s="1"/>
  <c r="BX11" i="14" a="1"/>
  <c r="BX11" i="14" s="1"/>
  <c r="BW11" i="14" a="1"/>
  <c r="BW11" i="14" s="1"/>
  <c r="BF11" i="14" a="1"/>
  <c r="BF11" i="14" s="1"/>
  <c r="AP11" i="14" a="1"/>
  <c r="AP11" i="14" s="1"/>
  <c r="BE11" i="14" a="1"/>
  <c r="BE11" i="14" s="1"/>
  <c r="AE11" i="14" a="1"/>
  <c r="AE11" i="14" s="1"/>
  <c r="BJ11" i="14" a="1"/>
  <c r="BJ11" i="14" s="1"/>
  <c r="BQ11" i="14" a="1"/>
  <c r="BQ11" i="14" s="1"/>
  <c r="BH11" i="14" a="1"/>
  <c r="BH11" i="14" s="1"/>
  <c r="AR11" i="14" a="1"/>
  <c r="AR11" i="14" s="1"/>
  <c r="AA11" i="14" a="1"/>
  <c r="AA11" i="14" s="1"/>
  <c r="R11" i="14" a="1"/>
  <c r="R11" i="14" s="1"/>
  <c r="AL11" i="1" s="1"/>
  <c r="Y11" i="14" a="1"/>
  <c r="Y11" i="14" s="1"/>
  <c r="BH11" i="1" s="1"/>
  <c r="BC11" i="14" a="1"/>
  <c r="BC11" i="14" s="1"/>
  <c r="BB11" i="14" a="1"/>
  <c r="BB11" i="14" s="1"/>
  <c r="N11" i="14" a="1"/>
  <c r="N11" i="14" s="1"/>
  <c r="BZ11" i="14" a="1"/>
  <c r="BZ11" i="14" s="1"/>
  <c r="AB11" i="14" a="1"/>
  <c r="AB11" i="14" s="1"/>
  <c r="BO11" i="14" a="1"/>
  <c r="BO11" i="14" s="1"/>
  <c r="BU11" i="14" a="1"/>
  <c r="BU11" i="14" s="1"/>
  <c r="M11" i="14" a="1"/>
  <c r="M11" i="14" s="1"/>
  <c r="AM11" i="14" a="1"/>
  <c r="AM11" i="14" s="1"/>
  <c r="AT11" i="14" a="1"/>
  <c r="AT11" i="14" s="1"/>
  <c r="AK11" i="14" a="1"/>
  <c r="AK11" i="14" s="1"/>
  <c r="AZ11" i="14" a="1"/>
  <c r="AZ11" i="14" s="1"/>
  <c r="AN11" i="14" a="1"/>
  <c r="AN11" i="14" s="1"/>
  <c r="AF11" i="14" a="1"/>
  <c r="AF11" i="14" s="1"/>
  <c r="AG11" i="14" a="1"/>
  <c r="AG11" i="14" s="1"/>
  <c r="AW11" i="14" a="1"/>
  <c r="AW11" i="14" s="1"/>
  <c r="BS11" i="14" a="1"/>
  <c r="BS11" i="14" s="1"/>
  <c r="W11" i="14" a="1"/>
  <c r="W11" i="14" s="1"/>
  <c r="AD11" i="14" a="1"/>
  <c r="AD11" i="14" s="1"/>
  <c r="AC11" i="14" a="1"/>
  <c r="AC11" i="14" s="1"/>
  <c r="AJ11" i="14" a="1"/>
  <c r="AJ11" i="14" s="1"/>
  <c r="AQ11" i="14" a="1"/>
  <c r="AQ11" i="14" s="1"/>
  <c r="BV11" i="14" a="1"/>
  <c r="BV11" i="14" s="1"/>
  <c r="BN11" i="14" a="1"/>
  <c r="BN11" i="14" s="1"/>
  <c r="AO11" i="14" a="1"/>
  <c r="AO11" i="14" s="1"/>
  <c r="S11" i="14" a="1"/>
  <c r="S11" i="14" s="1"/>
  <c r="AI11" i="14" a="1"/>
  <c r="AI11" i="14" s="1"/>
  <c r="AX11" i="14" a="1"/>
  <c r="AX11" i="14" s="1"/>
  <c r="X11" i="14" a="1"/>
  <c r="X11" i="14" s="1"/>
  <c r="V11" i="14" a="1"/>
  <c r="V11" i="14" s="1"/>
  <c r="U11" i="14" a="1"/>
  <c r="U11" i="14" s="1"/>
  <c r="BT11" i="14" a="1"/>
  <c r="BT11" i="14" s="1"/>
  <c r="BP11" i="14" a="1"/>
  <c r="BP11" i="14" s="1"/>
  <c r="Q11" i="14" a="1"/>
  <c r="Q11" i="14" s="1"/>
  <c r="Y8" i="1"/>
  <c r="DJ9" i="5"/>
  <c r="K12" i="11"/>
  <c r="A12" i="14"/>
  <c r="CA12" i="14" s="1"/>
  <c r="A12" i="7"/>
  <c r="R12" i="7" s="1"/>
  <c r="A12" i="8"/>
  <c r="A12" i="5"/>
  <c r="A12" i="9"/>
  <c r="A12" i="2"/>
  <c r="W8" i="1"/>
  <c r="AJ10" i="1"/>
  <c r="B9" i="5"/>
  <c r="BU9" i="5"/>
  <c r="AH9" i="5"/>
  <c r="B9" i="2"/>
  <c r="B9" i="1"/>
  <c r="BG9" i="1" s="1"/>
  <c r="BY11" i="11"/>
  <c r="AA10" i="7"/>
  <c r="AF10" i="8" s="1"/>
  <c r="AV10" i="8" s="1"/>
  <c r="K10" i="10"/>
  <c r="L10" i="11"/>
  <c r="H10" i="5"/>
  <c r="C9" i="10"/>
  <c r="E9" i="7"/>
  <c r="M10" i="5"/>
  <c r="H9" i="10"/>
  <c r="J9" i="7"/>
  <c r="G10" i="5"/>
  <c r="D9" i="7"/>
  <c r="B9" i="10"/>
  <c r="I10" i="5"/>
  <c r="D9" i="10"/>
  <c r="F9" i="7"/>
  <c r="L10" i="5"/>
  <c r="G9" i="10"/>
  <c r="I9" i="7"/>
  <c r="J10" i="5"/>
  <c r="DC10" i="5" s="1"/>
  <c r="E9" i="10"/>
  <c r="G9" i="7"/>
  <c r="K10" i="5"/>
  <c r="F9" i="10"/>
  <c r="H9" i="7"/>
  <c r="DD9" i="5"/>
  <c r="CI6" i="8"/>
  <c r="DA6" i="8" s="1"/>
  <c r="DH7" i="8"/>
  <c r="DI7" i="8" s="1"/>
  <c r="K13" i="8"/>
  <c r="CK7" i="8"/>
  <c r="CG12" i="8"/>
  <c r="BW7" i="8"/>
  <c r="BX6" i="8"/>
  <c r="CD6" i="8" s="1"/>
  <c r="N6" i="7"/>
  <c r="BH7" i="8"/>
  <c r="BU7" i="8" s="1"/>
  <c r="BI7" i="8"/>
  <c r="AH18" i="9"/>
  <c r="Y5" i="11"/>
  <c r="AH5" i="1" s="1"/>
  <c r="CA6" i="8"/>
  <c r="AE6" i="7"/>
  <c r="AF6" i="7" s="1"/>
  <c r="AB5" i="11"/>
  <c r="Q5" i="8" s="1"/>
  <c r="CB6" i="8"/>
  <c r="CT6" i="8" s="1"/>
  <c r="BZ6" i="8"/>
  <c r="BY6" i="8"/>
  <c r="CH6" i="8"/>
  <c r="CZ6" i="8" s="1"/>
  <c r="DA8" i="5"/>
  <c r="DG8" i="5" s="1" a="1"/>
  <c r="DG8" i="5" s="1"/>
  <c r="AD5" i="11"/>
  <c r="AI5" i="1" s="1"/>
  <c r="AC5" i="11"/>
  <c r="U5" i="8" s="1"/>
  <c r="Z5" i="11"/>
  <c r="E7" i="1"/>
  <c r="A7" i="11"/>
  <c r="AC6" i="11" s="1"/>
  <c r="U6" i="8" s="1"/>
  <c r="B7" i="7"/>
  <c r="Q7" i="7" s="1"/>
  <c r="BT7" i="5"/>
  <c r="B7" i="9"/>
  <c r="Y7" i="9" s="1"/>
  <c r="X7" i="8"/>
  <c r="DD7" i="8" s="1"/>
  <c r="AJ7" i="5"/>
  <c r="AP7" i="5" s="1"/>
  <c r="AI7" i="5"/>
  <c r="AC7" i="8"/>
  <c r="BQ7" i="8" s="1"/>
  <c r="A7" i="10"/>
  <c r="AA7" i="10" s="1"/>
  <c r="C8" i="5"/>
  <c r="F8" i="5" s="1"/>
  <c r="AA5" i="11"/>
  <c r="AK5" i="1" s="1"/>
  <c r="CZ9" i="5"/>
  <c r="AB9" i="1"/>
  <c r="DI9" i="5"/>
  <c r="AG18" i="9"/>
  <c r="AK18" i="9"/>
  <c r="AE18" i="9"/>
  <c r="AE19" i="9" s="1"/>
  <c r="AE20" i="9" s="1"/>
  <c r="AE21" i="9" s="1"/>
  <c r="AE22" i="9" s="1"/>
  <c r="AE23" i="9" s="1"/>
  <c r="AE24" i="9" s="1"/>
  <c r="AE25" i="9" s="1"/>
  <c r="AE26" i="9" s="1"/>
  <c r="AE27" i="9" s="1"/>
  <c r="AE28" i="9" s="1"/>
  <c r="AE29" i="9" s="1"/>
  <c r="AE30" i="9" s="1"/>
  <c r="AE31" i="9" s="1"/>
  <c r="AE32" i="9" s="1"/>
  <c r="AE33" i="9" s="1"/>
  <c r="AE34" i="9" s="1"/>
  <c r="AE35" i="9" s="1"/>
  <c r="AE36" i="9" s="1"/>
  <c r="AE37" i="9" s="1"/>
  <c r="AE38" i="9" s="1"/>
  <c r="AE39" i="9" s="1"/>
  <c r="AE40" i="9" s="1"/>
  <c r="AE41" i="9" s="1"/>
  <c r="AE42" i="9" s="1"/>
  <c r="AE43" i="9" s="1"/>
  <c r="AE44" i="9" s="1"/>
  <c r="AE45" i="9" s="1"/>
  <c r="AE46" i="9" s="1"/>
  <c r="AE47" i="9" s="1"/>
  <c r="AE48" i="9" s="1"/>
  <c r="AE49" i="9" s="1"/>
  <c r="AE50" i="9" s="1"/>
  <c r="AE51" i="9" s="1"/>
  <c r="AE52" i="9" s="1"/>
  <c r="AE53" i="9" s="1"/>
  <c r="AE54" i="9" s="1"/>
  <c r="AE55" i="9" s="1"/>
  <c r="AE56" i="9" s="1"/>
  <c r="AE57" i="9" s="1"/>
  <c r="AE58" i="9" s="1"/>
  <c r="AE59" i="9" s="1"/>
  <c r="AE60" i="9" s="1"/>
  <c r="AE61" i="9" s="1"/>
  <c r="AE62" i="9" s="1"/>
  <c r="AE63" i="9" s="1"/>
  <c r="AE64" i="9" s="1"/>
  <c r="AE65" i="9" s="1"/>
  <c r="AE66" i="9" s="1"/>
  <c r="AE67" i="9" s="1"/>
  <c r="AE68" i="9" s="1"/>
  <c r="AE69" i="9" s="1"/>
  <c r="AE70" i="9" s="1"/>
  <c r="AE71" i="9" s="1"/>
  <c r="AE72" i="9" s="1"/>
  <c r="AE73" i="9" s="1"/>
  <c r="AE74" i="9" s="1"/>
  <c r="AE75" i="9" s="1"/>
  <c r="AE76" i="9" s="1"/>
  <c r="AE77" i="9" s="1"/>
  <c r="AE78" i="9" s="1"/>
  <c r="AE79" i="9" s="1"/>
  <c r="AE80" i="9" s="1"/>
  <c r="E4" i="2"/>
  <c r="L4" i="2" s="1"/>
  <c r="AB4" i="7"/>
  <c r="S11" i="2"/>
  <c r="P12" i="2"/>
  <c r="N12" i="2"/>
  <c r="R12" i="2"/>
  <c r="Q11" i="2"/>
  <c r="M12" i="2"/>
  <c r="D11" i="12"/>
  <c r="F10" i="12"/>
  <c r="E10" i="12" s="1"/>
  <c r="J13" i="10"/>
  <c r="N13" i="5" s="1"/>
  <c r="I14" i="12"/>
  <c r="J13" i="12"/>
  <c r="AQ34" i="9" l="1"/>
  <c r="CM34" i="8" s="1"/>
  <c r="AO7" i="5"/>
  <c r="AM7" i="5"/>
  <c r="AN7" i="5"/>
  <c r="AV8" i="5"/>
  <c r="AW8" i="5"/>
  <c r="BF11" i="5" a="1"/>
  <c r="BF11" i="5" s="1"/>
  <c r="AE10" i="1" s="1"/>
  <c r="AG6" i="7"/>
  <c r="AI6" i="7" s="1"/>
  <c r="J10" i="2"/>
  <c r="CL8" i="8"/>
  <c r="P6" i="8"/>
  <c r="CC7" i="8"/>
  <c r="CV7" i="8" s="1"/>
  <c r="CW7" i="8" s="1"/>
  <c r="AC7" i="1"/>
  <c r="AI29" i="9"/>
  <c r="AO29" i="8" s="1"/>
  <c r="G13" i="8"/>
  <c r="CF12" i="8"/>
  <c r="O12" i="2"/>
  <c r="AD10" i="1"/>
  <c r="AM19" i="9"/>
  <c r="BR7" i="8"/>
  <c r="BS7" i="8"/>
  <c r="BG12" i="5" a="1"/>
  <c r="BG12" i="5" s="1"/>
  <c r="BD12" i="5" a="1"/>
  <c r="BD12" i="5" s="1"/>
  <c r="BH12" i="5" a="1"/>
  <c r="BH12" i="5" s="1"/>
  <c r="BJ12" i="5" a="1"/>
  <c r="BJ12" i="5" s="1"/>
  <c r="BB12" i="5" a="1"/>
  <c r="BB12" i="5" s="1"/>
  <c r="BQ12" i="5" a="1"/>
  <c r="BQ12" i="5" s="1"/>
  <c r="AY12" i="5" a="1"/>
  <c r="AY12" i="5" s="1"/>
  <c r="BL12" i="5" a="1"/>
  <c r="BL12" i="5" s="1"/>
  <c r="CR12" i="5"/>
  <c r="CQ12" i="5"/>
  <c r="CS12" i="5"/>
  <c r="CT12" i="5"/>
  <c r="CV12" i="5"/>
  <c r="CU12" i="5"/>
  <c r="CW12" i="5"/>
  <c r="BK12" i="5" a="1"/>
  <c r="BK12" i="5" s="1"/>
  <c r="AZ12" i="5" a="1"/>
  <c r="AZ12" i="5" s="1"/>
  <c r="BO12" i="5" a="1"/>
  <c r="BO12" i="5" s="1"/>
  <c r="BI12" i="5" a="1"/>
  <c r="BI12" i="5" s="1"/>
  <c r="BA12" i="5" a="1"/>
  <c r="BA12" i="5" s="1"/>
  <c r="BE12" i="5" a="1"/>
  <c r="BE12" i="5" s="1"/>
  <c r="BM12" i="5" a="1"/>
  <c r="BM12" i="5" s="1"/>
  <c r="BC12" i="5" a="1"/>
  <c r="BC12" i="5" s="1"/>
  <c r="BN12" i="5" a="1"/>
  <c r="BN12" i="5" s="1"/>
  <c r="V10" i="2"/>
  <c r="CS5" i="8"/>
  <c r="DF5" i="8" s="1"/>
  <c r="G5" i="1" s="1"/>
  <c r="N5" i="8" s="1"/>
  <c r="F14" i="8"/>
  <c r="BP11" i="5" a="1"/>
  <c r="BP11" i="5" s="1"/>
  <c r="O16" i="1"/>
  <c r="BT7" i="8"/>
  <c r="BO7" i="8"/>
  <c r="BP7" i="8"/>
  <c r="BM7" i="8"/>
  <c r="BN7" i="8"/>
  <c r="BK7" i="8"/>
  <c r="BL7" i="8"/>
  <c r="BJ7" i="8"/>
  <c r="AC7" i="10"/>
  <c r="X7" i="10" s="1"/>
  <c r="AR7" i="5"/>
  <c r="AS11" i="5"/>
  <c r="E14" i="8"/>
  <c r="AK11" i="11"/>
  <c r="DF10" i="5"/>
  <c r="DB10" i="5"/>
  <c r="AH11" i="11"/>
  <c r="AM11" i="1"/>
  <c r="DE10" i="5"/>
  <c r="BK12" i="14" a="1"/>
  <c r="BK12" i="14" s="1"/>
  <c r="X12" i="14" a="1"/>
  <c r="X12" i="14" s="1"/>
  <c r="BQ12" i="14" a="1"/>
  <c r="BQ12" i="14" s="1"/>
  <c r="BX12" i="14" a="1"/>
  <c r="BX12" i="14" s="1"/>
  <c r="AN12" i="14" a="1"/>
  <c r="AN12" i="14" s="1"/>
  <c r="AA12" i="14" a="1"/>
  <c r="AA12" i="14" s="1"/>
  <c r="AF12" i="14" a="1"/>
  <c r="AF12" i="14" s="1"/>
  <c r="Z12" i="14" a="1"/>
  <c r="Z12" i="14" s="1"/>
  <c r="AU12" i="14" a="1"/>
  <c r="AU12" i="14" s="1"/>
  <c r="AL12" i="14" a="1"/>
  <c r="AL12" i="14" s="1"/>
  <c r="AS12" i="14" a="1"/>
  <c r="AS12" i="14" s="1"/>
  <c r="BH12" i="14" a="1"/>
  <c r="BH12" i="14" s="1"/>
  <c r="BO12" i="14" a="1"/>
  <c r="BO12" i="14" s="1"/>
  <c r="BN12" i="14" a="1"/>
  <c r="BN12" i="14" s="1"/>
  <c r="AH12" i="14" a="1"/>
  <c r="AH12" i="14" s="1"/>
  <c r="BE12" i="14" a="1"/>
  <c r="BE12" i="14" s="1"/>
  <c r="AE12" i="14" a="1"/>
  <c r="AE12" i="14" s="1"/>
  <c r="V12" i="14" a="1"/>
  <c r="V12" i="14" s="1"/>
  <c r="BA12" i="14" a="1"/>
  <c r="BA12" i="14" s="1"/>
  <c r="BP12" i="14" a="1"/>
  <c r="BP12" i="14" s="1"/>
  <c r="AB12" i="14" a="1"/>
  <c r="AB12" i="14" s="1"/>
  <c r="S12" i="14" a="1"/>
  <c r="S12" i="14" s="1"/>
  <c r="AP12" i="14" a="1"/>
  <c r="AP12" i="14" s="1"/>
  <c r="BM12" i="14" a="1"/>
  <c r="BM12" i="14" s="1"/>
  <c r="W12" i="14" a="1"/>
  <c r="W12" i="14" s="1"/>
  <c r="AT12" i="14" a="1"/>
  <c r="AT12" i="14" s="1"/>
  <c r="BI12" i="14" a="1"/>
  <c r="BI12" i="14" s="1"/>
  <c r="AZ12" i="14" a="1"/>
  <c r="AZ12" i="14" s="1"/>
  <c r="AR12" i="14" a="1"/>
  <c r="AR12" i="14" s="1"/>
  <c r="BV12" i="14" a="1"/>
  <c r="BV12" i="14" s="1"/>
  <c r="BL12" i="14" a="1"/>
  <c r="BL12" i="14" s="1"/>
  <c r="AO12" i="14" a="1"/>
  <c r="AO12" i="14" s="1"/>
  <c r="AV12" i="14" a="1"/>
  <c r="AV12" i="14" s="1"/>
  <c r="AM12" i="14" a="1"/>
  <c r="AM12" i="14" s="1"/>
  <c r="AD12" i="14" a="1"/>
  <c r="AD12" i="14" s="1"/>
  <c r="AK12" i="14" a="1"/>
  <c r="AK12" i="14" s="1"/>
  <c r="P12" i="14" a="1"/>
  <c r="P12" i="14" s="1"/>
  <c r="BW12" i="14" a="1"/>
  <c r="BW12" i="14" s="1"/>
  <c r="AQ12" i="14" a="1"/>
  <c r="AQ12" i="14" s="1"/>
  <c r="Q12" i="14" a="1"/>
  <c r="Q12" i="14" s="1"/>
  <c r="M12" i="14" a="1"/>
  <c r="M12" i="14" s="1"/>
  <c r="BT12" i="14" a="1"/>
  <c r="BT12" i="14" s="1"/>
  <c r="BJ12" i="14" a="1"/>
  <c r="BJ12" i="14" s="1"/>
  <c r="N12" i="14" a="1"/>
  <c r="N12" i="14" s="1"/>
  <c r="BZ12" i="14" a="1"/>
  <c r="BZ12" i="14" s="1"/>
  <c r="AJ12" i="14" a="1"/>
  <c r="AJ12" i="14" s="1"/>
  <c r="AY12" i="14" a="1"/>
  <c r="AY12" i="14" s="1"/>
  <c r="R12" i="14" a="1"/>
  <c r="R12" i="14" s="1"/>
  <c r="AL12" i="1" s="1"/>
  <c r="AW12" i="14" a="1"/>
  <c r="AW12" i="14" s="1"/>
  <c r="BR12" i="14" a="1"/>
  <c r="BR12" i="14" s="1"/>
  <c r="AI12" i="14" a="1"/>
  <c r="AI12" i="14" s="1"/>
  <c r="BB12" i="14" a="1"/>
  <c r="BB12" i="14" s="1"/>
  <c r="BF12" i="14" a="1"/>
  <c r="BF12" i="14" s="1"/>
  <c r="BD12" i="14" a="1"/>
  <c r="BD12" i="14" s="1"/>
  <c r="BU12" i="14" a="1"/>
  <c r="BU12" i="14" s="1"/>
  <c r="AC12" i="14" a="1"/>
  <c r="AC12" i="14" s="1"/>
  <c r="AX12" i="14" a="1"/>
  <c r="AX12" i="14" s="1"/>
  <c r="BY12" i="14" a="1"/>
  <c r="BY12" i="14" s="1"/>
  <c r="Y12" i="14" a="1"/>
  <c r="Y12" i="14" s="1"/>
  <c r="BH12" i="1" s="1"/>
  <c r="BS12" i="14" a="1"/>
  <c r="BS12" i="14" s="1"/>
  <c r="U12" i="14" a="1"/>
  <c r="U12" i="14" s="1"/>
  <c r="AG12" i="14" a="1"/>
  <c r="AG12" i="14" s="1"/>
  <c r="BC12" i="14" a="1"/>
  <c r="BC12" i="14" s="1"/>
  <c r="T12" i="14" a="1"/>
  <c r="T12" i="14" s="1"/>
  <c r="BG12" i="14" a="1"/>
  <c r="BG12" i="14" s="1"/>
  <c r="O12" i="14" a="1"/>
  <c r="O12" i="14" s="1"/>
  <c r="AJ11" i="1"/>
  <c r="W9" i="1"/>
  <c r="DH10" i="5"/>
  <c r="AF9" i="1"/>
  <c r="Y9" i="1"/>
  <c r="DJ10" i="5"/>
  <c r="K13" i="11"/>
  <c r="A13" i="14"/>
  <c r="CA13" i="14" s="1"/>
  <c r="A13" i="9"/>
  <c r="A13" i="5"/>
  <c r="A13" i="8"/>
  <c r="A13" i="7"/>
  <c r="R13" i="7" s="1"/>
  <c r="A13" i="2"/>
  <c r="AU12" i="8"/>
  <c r="AE12" i="8"/>
  <c r="B10" i="5"/>
  <c r="B10" i="2"/>
  <c r="B10" i="1"/>
  <c r="BG10" i="1" s="1"/>
  <c r="AH10" i="5"/>
  <c r="BU10" i="5"/>
  <c r="BY12" i="11"/>
  <c r="AA11" i="7"/>
  <c r="AF11" i="8" s="1"/>
  <c r="AV11" i="8" s="1"/>
  <c r="K11" i="10"/>
  <c r="L11" i="11"/>
  <c r="L11" i="5"/>
  <c r="G10" i="10"/>
  <c r="I10" i="7"/>
  <c r="K11" i="5"/>
  <c r="F10" i="10"/>
  <c r="H10" i="7"/>
  <c r="DD10" i="5"/>
  <c r="M11" i="5"/>
  <c r="H10" i="10"/>
  <c r="J10" i="7"/>
  <c r="I11" i="5"/>
  <c r="D10" i="10"/>
  <c r="F10" i="7"/>
  <c r="D10" i="7"/>
  <c r="G11" i="5"/>
  <c r="B10" i="10"/>
  <c r="J11" i="5"/>
  <c r="DC11" i="5" s="1"/>
  <c r="E10" i="10"/>
  <c r="G10" i="7"/>
  <c r="H11" i="5"/>
  <c r="C10" i="10"/>
  <c r="E10" i="7"/>
  <c r="CQ6" i="8"/>
  <c r="CU6" i="8" s="1"/>
  <c r="D8" i="9"/>
  <c r="DB6" i="8"/>
  <c r="CI7" i="8"/>
  <c r="DA7" i="8" s="1"/>
  <c r="DH8" i="8"/>
  <c r="DI8" i="8" s="1"/>
  <c r="K14" i="8"/>
  <c r="CK8" i="8"/>
  <c r="CG13" i="8"/>
  <c r="BW8" i="8"/>
  <c r="CE6" i="8"/>
  <c r="CX6" i="8" s="1"/>
  <c r="CY6" i="8" s="1"/>
  <c r="BX7" i="8"/>
  <c r="CE7" i="8" s="1"/>
  <c r="N7" i="7"/>
  <c r="BH8" i="8"/>
  <c r="BU8" i="8" s="1"/>
  <c r="BI8" i="8"/>
  <c r="AH19" i="9"/>
  <c r="B4" i="14"/>
  <c r="AD6" i="11"/>
  <c r="AI6" i="1" s="1"/>
  <c r="AQ6" i="5"/>
  <c r="CR6" i="8"/>
  <c r="CA7" i="8"/>
  <c r="BY7" i="8"/>
  <c r="CH7" i="8"/>
  <c r="CZ7" i="8" s="1"/>
  <c r="Z6" i="11"/>
  <c r="AB6" i="11"/>
  <c r="Q6" i="8" s="1"/>
  <c r="BZ7" i="8"/>
  <c r="Y6" i="11"/>
  <c r="AH6" i="1" s="1"/>
  <c r="CB7" i="8"/>
  <c r="CT7" i="8" s="1"/>
  <c r="AA6" i="11"/>
  <c r="AK6" i="1" s="1"/>
  <c r="N7" i="11"/>
  <c r="A8" i="11"/>
  <c r="N8" i="11" s="1"/>
  <c r="A8" i="10"/>
  <c r="AA8" i="10" s="1"/>
  <c r="B8" i="7"/>
  <c r="Q8" i="7" s="1"/>
  <c r="AJ8" i="5"/>
  <c r="AP8" i="5" s="1"/>
  <c r="AI8" i="5"/>
  <c r="B8" i="9"/>
  <c r="Y8" i="9" s="1"/>
  <c r="X8" i="8"/>
  <c r="DD8" i="8" s="1"/>
  <c r="E8" i="1"/>
  <c r="AC8" i="8"/>
  <c r="BQ8" i="8" s="1"/>
  <c r="BT8" i="5"/>
  <c r="C9" i="5"/>
  <c r="F9" i="5" s="1"/>
  <c r="AE7" i="7"/>
  <c r="AF7" i="7" s="1"/>
  <c r="CZ10" i="5"/>
  <c r="C10" i="5"/>
  <c r="DA9" i="5"/>
  <c r="DG9" i="5" s="1" a="1"/>
  <c r="DG9" i="5" s="1"/>
  <c r="AB10" i="1"/>
  <c r="DI10" i="5"/>
  <c r="AG19" i="9"/>
  <c r="AK19" i="9"/>
  <c r="AE81" i="9"/>
  <c r="S12" i="2"/>
  <c r="P13" i="2"/>
  <c r="N13" i="2"/>
  <c r="R13" i="2"/>
  <c r="Q12" i="2"/>
  <c r="D12" i="12"/>
  <c r="F11" i="12"/>
  <c r="E11" i="12" s="1"/>
  <c r="M13" i="2"/>
  <c r="J14" i="10"/>
  <c r="N14" i="5" s="1"/>
  <c r="I15" i="12"/>
  <c r="J14" i="12"/>
  <c r="AQ35" i="9" l="1"/>
  <c r="CM35" i="8" s="1"/>
  <c r="AO8" i="5"/>
  <c r="AM8" i="5"/>
  <c r="AN8" i="5"/>
  <c r="AR8" i="5" s="1"/>
  <c r="AV9" i="5"/>
  <c r="AW9" i="5"/>
  <c r="BF12" i="5" a="1"/>
  <c r="BF12" i="5" s="1"/>
  <c r="AE11" i="1" s="1"/>
  <c r="J11" i="2"/>
  <c r="AG7" i="7"/>
  <c r="AI7" i="7" s="1"/>
  <c r="CL9" i="8"/>
  <c r="CC8" i="8"/>
  <c r="CV8" i="8" s="1"/>
  <c r="CW8" i="8" s="1"/>
  <c r="AC8" i="1"/>
  <c r="AI30" i="9"/>
  <c r="AO30" i="8" s="1"/>
  <c r="G14" i="8"/>
  <c r="CF13" i="8"/>
  <c r="O13" i="2"/>
  <c r="BK13" i="5" a="1"/>
  <c r="BK13" i="5" s="1"/>
  <c r="AM20" i="9"/>
  <c r="BR8" i="8"/>
  <c r="BS8" i="8"/>
  <c r="BN13" i="5" a="1"/>
  <c r="BN13" i="5" s="1"/>
  <c r="BC13" i="5" a="1"/>
  <c r="BC13" i="5" s="1"/>
  <c r="AD11" i="1"/>
  <c r="AY13" i="5" a="1"/>
  <c r="AY13" i="5" s="1"/>
  <c r="BL13" i="5" a="1"/>
  <c r="BL13" i="5" s="1"/>
  <c r="CQ13" i="5"/>
  <c r="CR13" i="5"/>
  <c r="CT13" i="5"/>
  <c r="CW13" i="5"/>
  <c r="CS13" i="5"/>
  <c r="CV13" i="5"/>
  <c r="CU13" i="5"/>
  <c r="BM13" i="5" a="1"/>
  <c r="BM13" i="5" s="1"/>
  <c r="BE13" i="5" a="1"/>
  <c r="BE13" i="5" s="1"/>
  <c r="BQ13" i="5" a="1"/>
  <c r="BQ13" i="5" s="1"/>
  <c r="BA13" i="5" a="1"/>
  <c r="BA13" i="5" s="1"/>
  <c r="BB13" i="5" a="1"/>
  <c r="BB13" i="5" s="1"/>
  <c r="BI13" i="5" a="1"/>
  <c r="BI13" i="5" s="1"/>
  <c r="BJ13" i="5" a="1"/>
  <c r="BJ13" i="5" s="1"/>
  <c r="BO13" i="5" a="1"/>
  <c r="BO13" i="5" s="1"/>
  <c r="BH13" i="5" a="1"/>
  <c r="BH13" i="5" s="1"/>
  <c r="AZ13" i="5" a="1"/>
  <c r="AZ13" i="5" s="1"/>
  <c r="BD13" i="5" a="1"/>
  <c r="BD13" i="5" s="1"/>
  <c r="BG13" i="5" a="1"/>
  <c r="BG13" i="5" s="1"/>
  <c r="V11" i="2"/>
  <c r="F15" i="8"/>
  <c r="BP12" i="5" a="1"/>
  <c r="BP12" i="5" s="1"/>
  <c r="O17" i="1"/>
  <c r="BT8" i="8"/>
  <c r="BO8" i="8"/>
  <c r="BP8" i="8"/>
  <c r="BM8" i="8"/>
  <c r="BN8" i="8"/>
  <c r="BK8" i="8"/>
  <c r="BL8" i="8"/>
  <c r="BJ8" i="8"/>
  <c r="AC8" i="10"/>
  <c r="X8" i="10" s="1"/>
  <c r="AS12" i="5"/>
  <c r="E15" i="8"/>
  <c r="AK12" i="11"/>
  <c r="AH12" i="11"/>
  <c r="AM12" i="1"/>
  <c r="DF11" i="5"/>
  <c r="DB11" i="5"/>
  <c r="DE11" i="5"/>
  <c r="DH11" i="5"/>
  <c r="AE13" i="8"/>
  <c r="AU13" i="8"/>
  <c r="AF10" i="1"/>
  <c r="W10" i="1"/>
  <c r="K14" i="11"/>
  <c r="A14" i="14"/>
  <c r="CA14" i="14" s="1"/>
  <c r="A14" i="5"/>
  <c r="A14" i="9"/>
  <c r="A14" i="2"/>
  <c r="A14" i="8"/>
  <c r="A14" i="7"/>
  <c r="R14" i="7" s="1"/>
  <c r="Y10" i="1"/>
  <c r="DJ11" i="5"/>
  <c r="BR13" i="14" a="1"/>
  <c r="BR13" i="14" s="1"/>
  <c r="AD13" i="14" a="1"/>
  <c r="AD13" i="14" s="1"/>
  <c r="AK13" i="14" a="1"/>
  <c r="AK13" i="14" s="1"/>
  <c r="BY13" i="14" a="1"/>
  <c r="BY13" i="14" s="1"/>
  <c r="BW13" i="14" a="1"/>
  <c r="BW13" i="14" s="1"/>
  <c r="S13" i="14" a="1"/>
  <c r="S13" i="14" s="1"/>
  <c r="BL13" i="14" a="1"/>
  <c r="BL13" i="14" s="1"/>
  <c r="AG13" i="14" a="1"/>
  <c r="AG13" i="14" s="1"/>
  <c r="AV13" i="14" a="1"/>
  <c r="AV13" i="14" s="1"/>
  <c r="AE13" i="14" a="1"/>
  <c r="AE13" i="14" s="1"/>
  <c r="O13" i="14" a="1"/>
  <c r="O13" i="14" s="1"/>
  <c r="U13" i="14" a="1"/>
  <c r="U13" i="14" s="1"/>
  <c r="BA13" i="14" a="1"/>
  <c r="BA13" i="14" s="1"/>
  <c r="AY13" i="14" a="1"/>
  <c r="AY13" i="14" s="1"/>
  <c r="AX13" i="14" a="1"/>
  <c r="AX13" i="14" s="1"/>
  <c r="BF13" i="14" a="1"/>
  <c r="BF13" i="14" s="1"/>
  <c r="AO13" i="14" a="1"/>
  <c r="AO13" i="14" s="1"/>
  <c r="BT13" i="14" a="1"/>
  <c r="BT13" i="14" s="1"/>
  <c r="W13" i="14" a="1"/>
  <c r="W13" i="14" s="1"/>
  <c r="BB13" i="14" a="1"/>
  <c r="BB13" i="14" s="1"/>
  <c r="AJ13" i="14" a="1"/>
  <c r="AJ13" i="14" s="1"/>
  <c r="BH13" i="14" a="1"/>
  <c r="BH13" i="14" s="1"/>
  <c r="AN13" i="14" a="1"/>
  <c r="AN13" i="14" s="1"/>
  <c r="BM13" i="14" a="1"/>
  <c r="BM13" i="14" s="1"/>
  <c r="AP13" i="14" a="1"/>
  <c r="AP13" i="14" s="1"/>
  <c r="M13" i="14" a="1"/>
  <c r="M13" i="14" s="1"/>
  <c r="BS13" i="14" a="1"/>
  <c r="BS13" i="14" s="1"/>
  <c r="X13" i="14" a="1"/>
  <c r="X13" i="14" s="1"/>
  <c r="N13" i="14" a="1"/>
  <c r="N13" i="14" s="1"/>
  <c r="AC13" i="14" a="1"/>
  <c r="AC13" i="14" s="1"/>
  <c r="T13" i="14" a="1"/>
  <c r="T13" i="14" s="1"/>
  <c r="AA13" i="14" a="1"/>
  <c r="AA13" i="14" s="1"/>
  <c r="BE13" i="14" a="1"/>
  <c r="BE13" i="14" s="1"/>
  <c r="R13" i="14" a="1"/>
  <c r="R13" i="14" s="1"/>
  <c r="AL13" i="1" s="1"/>
  <c r="BC13" i="14" a="1"/>
  <c r="BC13" i="14" s="1"/>
  <c r="AT13" i="14" a="1"/>
  <c r="AT13" i="14" s="1"/>
  <c r="AS13" i="14" a="1"/>
  <c r="AS13" i="14" s="1"/>
  <c r="BZ13" i="14" a="1"/>
  <c r="BZ13" i="14" s="1"/>
  <c r="BO13" i="14" a="1"/>
  <c r="BO13" i="14" s="1"/>
  <c r="AQ13" i="14" a="1"/>
  <c r="AQ13" i="14" s="1"/>
  <c r="AI13" i="14" a="1"/>
  <c r="AI13" i="14" s="1"/>
  <c r="Y13" i="14" a="1"/>
  <c r="Y13" i="14" s="1"/>
  <c r="BH13" i="1" s="1"/>
  <c r="AU13" i="14" a="1"/>
  <c r="AU13" i="14" s="1"/>
  <c r="V13" i="14" a="1"/>
  <c r="V13" i="14" s="1"/>
  <c r="BQ13" i="14" a="1"/>
  <c r="BQ13" i="14" s="1"/>
  <c r="AZ13" i="14" a="1"/>
  <c r="AZ13" i="14" s="1"/>
  <c r="AR13" i="14" a="1"/>
  <c r="AR13" i="14" s="1"/>
  <c r="BG13" i="14" a="1"/>
  <c r="BG13" i="14" s="1"/>
  <c r="Z13" i="14" a="1"/>
  <c r="Z13" i="14" s="1"/>
  <c r="Q13" i="14" a="1"/>
  <c r="Q13" i="14" s="1"/>
  <c r="BK13" i="14" a="1"/>
  <c r="BK13" i="14" s="1"/>
  <c r="AL13" i="14" a="1"/>
  <c r="AL13" i="14" s="1"/>
  <c r="BI13" i="14" a="1"/>
  <c r="BI13" i="14" s="1"/>
  <c r="P13" i="14" a="1"/>
  <c r="P13" i="14" s="1"/>
  <c r="AB13" i="14" a="1"/>
  <c r="AB13" i="14" s="1"/>
  <c r="BN13" i="14" a="1"/>
  <c r="BN13" i="14" s="1"/>
  <c r="AF13" i="14" a="1"/>
  <c r="AF13" i="14" s="1"/>
  <c r="AW13" i="14" a="1"/>
  <c r="AW13" i="14" s="1"/>
  <c r="BJ13" i="14" a="1"/>
  <c r="BJ13" i="14" s="1"/>
  <c r="BD13" i="14" a="1"/>
  <c r="BD13" i="14" s="1"/>
  <c r="BP13" i="14" a="1"/>
  <c r="BP13" i="14" s="1"/>
  <c r="BX13" i="14" a="1"/>
  <c r="BX13" i="14" s="1"/>
  <c r="BV13" i="14" a="1"/>
  <c r="BV13" i="14" s="1"/>
  <c r="AH13" i="14" a="1"/>
  <c r="AH13" i="14" s="1"/>
  <c r="BU13" i="14" a="1"/>
  <c r="BU13" i="14" s="1"/>
  <c r="AM13" i="14" a="1"/>
  <c r="AM13" i="14" s="1"/>
  <c r="AJ12" i="1"/>
  <c r="F10" i="5"/>
  <c r="BY13" i="11"/>
  <c r="K12" i="10"/>
  <c r="AA12" i="7"/>
  <c r="AF12" i="8" s="1"/>
  <c r="AV12" i="8" s="1"/>
  <c r="L12" i="11"/>
  <c r="B11" i="2"/>
  <c r="B11" i="1"/>
  <c r="BG11" i="1" s="1"/>
  <c r="AH11" i="5"/>
  <c r="BU11" i="5"/>
  <c r="H12" i="5"/>
  <c r="C11" i="10"/>
  <c r="E11" i="7"/>
  <c r="B11" i="5"/>
  <c r="M12" i="5"/>
  <c r="H11" i="10"/>
  <c r="J11" i="7"/>
  <c r="I12" i="5"/>
  <c r="D11" i="10"/>
  <c r="F11" i="7"/>
  <c r="K12" i="5"/>
  <c r="F11" i="10"/>
  <c r="H11" i="7"/>
  <c r="DD11" i="5"/>
  <c r="J12" i="5"/>
  <c r="DC12" i="5" s="1"/>
  <c r="E11" i="10"/>
  <c r="G11" i="7"/>
  <c r="G12" i="5"/>
  <c r="D11" i="7"/>
  <c r="B11" i="10"/>
  <c r="L12" i="5"/>
  <c r="G11" i="10"/>
  <c r="I11" i="7"/>
  <c r="CS6" i="8"/>
  <c r="DF6" i="8" s="1"/>
  <c r="G6" i="1" s="1"/>
  <c r="N6" i="8" s="1"/>
  <c r="CQ7" i="8"/>
  <c r="CU7" i="8" s="1"/>
  <c r="D9" i="9"/>
  <c r="DB7" i="8"/>
  <c r="CD7" i="8"/>
  <c r="P7" i="8" s="1"/>
  <c r="CI8" i="8"/>
  <c r="DA8" i="8" s="1"/>
  <c r="DH9" i="8"/>
  <c r="DI9" i="8" s="1"/>
  <c r="K15" i="8"/>
  <c r="K16" i="8" s="1"/>
  <c r="K17" i="8" s="1"/>
  <c r="K18" i="8" s="1"/>
  <c r="K19" i="8" s="1"/>
  <c r="K20" i="8" s="1"/>
  <c r="K21" i="8" s="1"/>
  <c r="K22" i="8" s="1"/>
  <c r="K23" i="8" s="1"/>
  <c r="K24" i="8" s="1"/>
  <c r="K25" i="8" s="1"/>
  <c r="K26" i="8" s="1"/>
  <c r="K27" i="8" s="1"/>
  <c r="K28" i="8" s="1"/>
  <c r="K29" i="8" s="1"/>
  <c r="K30" i="8" s="1"/>
  <c r="K31" i="8" s="1"/>
  <c r="K32" i="8" s="1"/>
  <c r="K33" i="8" s="1"/>
  <c r="K34" i="8" s="1"/>
  <c r="K35" i="8" s="1"/>
  <c r="K36" i="8" s="1"/>
  <c r="K37" i="8" s="1"/>
  <c r="K38" i="8" s="1"/>
  <c r="K39" i="8" s="1"/>
  <c r="K40" i="8" s="1"/>
  <c r="CK9" i="8"/>
  <c r="CG14" i="8"/>
  <c r="BW9" i="8"/>
  <c r="AC9" i="1" s="1"/>
  <c r="BX8" i="8"/>
  <c r="CE8" i="8" s="1"/>
  <c r="N8" i="7"/>
  <c r="BH9" i="8"/>
  <c r="BU9" i="8" s="1"/>
  <c r="BI9" i="8"/>
  <c r="AH20" i="9"/>
  <c r="CH8" i="8"/>
  <c r="CZ8" i="8" s="1"/>
  <c r="CR7" i="8"/>
  <c r="CA8" i="8"/>
  <c r="AC7" i="11"/>
  <c r="U7" i="8" s="1"/>
  <c r="AE8" i="7"/>
  <c r="AF8" i="7" s="1"/>
  <c r="BY8" i="8"/>
  <c r="AA7" i="11"/>
  <c r="AK7" i="1" s="1"/>
  <c r="Z7" i="11"/>
  <c r="AQ7" i="5"/>
  <c r="BZ8" i="8"/>
  <c r="CB8" i="8"/>
  <c r="CT8" i="8" s="1"/>
  <c r="AB7" i="11"/>
  <c r="Q7" i="8" s="1"/>
  <c r="X9" i="8"/>
  <c r="DD9" i="8" s="1"/>
  <c r="B9" i="7"/>
  <c r="AJ9" i="5"/>
  <c r="AP9" i="5" s="1"/>
  <c r="AI9" i="5"/>
  <c r="B9" i="9"/>
  <c r="Y9" i="9" s="1"/>
  <c r="AC9" i="8"/>
  <c r="BQ9" i="8" s="1"/>
  <c r="A9" i="10"/>
  <c r="AA9" i="10" s="1"/>
  <c r="BT9" i="5"/>
  <c r="A9" i="11"/>
  <c r="E9" i="1"/>
  <c r="CZ11" i="5"/>
  <c r="AD7" i="11"/>
  <c r="AI7" i="1" s="1"/>
  <c r="Y7" i="11"/>
  <c r="AH7" i="1" s="1"/>
  <c r="C11" i="5"/>
  <c r="DA10" i="5"/>
  <c r="DG10" i="5" s="1" a="1"/>
  <c r="DG10" i="5" s="1"/>
  <c r="AB11" i="1"/>
  <c r="DI11" i="5"/>
  <c r="AG20" i="9"/>
  <c r="AK20" i="9"/>
  <c r="AE82" i="9"/>
  <c r="S13" i="2"/>
  <c r="P14" i="2"/>
  <c r="N14" i="2"/>
  <c r="R14" i="2"/>
  <c r="Q13" i="2"/>
  <c r="M14" i="2"/>
  <c r="J15" i="10"/>
  <c r="N15" i="5" s="1"/>
  <c r="D13" i="12"/>
  <c r="F12" i="12"/>
  <c r="E12" i="12" s="1"/>
  <c r="J15" i="12"/>
  <c r="I16" i="12"/>
  <c r="AQ36" i="9" l="1"/>
  <c r="CM36" i="8" s="1"/>
  <c r="K41" i="8"/>
  <c r="K42" i="8" s="1"/>
  <c r="K43" i="8" s="1"/>
  <c r="K44" i="8" s="1"/>
  <c r="K45" i="8" s="1"/>
  <c r="K46" i="8" s="1"/>
  <c r="K47" i="8" s="1"/>
  <c r="K48" i="8" s="1"/>
  <c r="K49" i="8" s="1"/>
  <c r="K50" i="8" s="1"/>
  <c r="K51" i="8" s="1"/>
  <c r="K52" i="8" s="1"/>
  <c r="K53" i="8" s="1"/>
  <c r="K54" i="8" s="1"/>
  <c r="K55" i="8" s="1"/>
  <c r="K56" i="8" s="1"/>
  <c r="K57" i="8" s="1"/>
  <c r="K58" i="8" s="1"/>
  <c r="K59" i="8" s="1"/>
  <c r="K60" i="8" s="1"/>
  <c r="K61" i="8" s="1"/>
  <c r="K62" i="8" s="1"/>
  <c r="K63" i="8" s="1"/>
  <c r="K64" i="8" s="1"/>
  <c r="K65" i="8" s="1"/>
  <c r="K66" i="8" s="1"/>
  <c r="K67" i="8" s="1"/>
  <c r="K68" i="8" s="1"/>
  <c r="K69" i="8" s="1"/>
  <c r="K70" i="8" s="1"/>
  <c r="K71" i="8" s="1"/>
  <c r="K72" i="8" s="1"/>
  <c r="K73" i="8" s="1"/>
  <c r="K74" i="8" s="1"/>
  <c r="K75" i="8" s="1"/>
  <c r="B50" i="4"/>
  <c r="AO9" i="5"/>
  <c r="AM9" i="5"/>
  <c r="AN9" i="5"/>
  <c r="J12" i="2"/>
  <c r="BF13" i="5" a="1"/>
  <c r="BF13" i="5" s="1"/>
  <c r="AE12" i="1" s="1"/>
  <c r="AV10" i="5"/>
  <c r="AW10" i="5"/>
  <c r="AG8" i="7"/>
  <c r="AI8" i="7" s="1"/>
  <c r="CL10" i="8"/>
  <c r="F16" i="8"/>
  <c r="F17" i="8" s="1"/>
  <c r="E16" i="8"/>
  <c r="AI31" i="9"/>
  <c r="AO31" i="8" s="1"/>
  <c r="G15" i="8"/>
  <c r="CF14" i="8"/>
  <c r="O14" i="2"/>
  <c r="BK14" i="5" a="1"/>
  <c r="BK14" i="5" s="1"/>
  <c r="BO14" i="5" a="1"/>
  <c r="BO14" i="5" s="1"/>
  <c r="BA14" i="5" a="1"/>
  <c r="BA14" i="5" s="1"/>
  <c r="BD14" i="5" a="1"/>
  <c r="BD14" i="5" s="1"/>
  <c r="BJ14" i="5" a="1"/>
  <c r="BJ14" i="5" s="1"/>
  <c r="BQ14" i="5" a="1"/>
  <c r="BQ14" i="5" s="1"/>
  <c r="AZ14" i="5" a="1"/>
  <c r="AZ14" i="5" s="1"/>
  <c r="BE14" i="5" a="1"/>
  <c r="BE14" i="5" s="1"/>
  <c r="BG14" i="5" a="1"/>
  <c r="BG14" i="5" s="1"/>
  <c r="BM14" i="5" a="1"/>
  <c r="BM14" i="5" s="1"/>
  <c r="AM21" i="9"/>
  <c r="BR9" i="8"/>
  <c r="BS9" i="8"/>
  <c r="AD12" i="1"/>
  <c r="BH14" i="5" a="1"/>
  <c r="BH14" i="5" s="1"/>
  <c r="BI14" i="5" a="1"/>
  <c r="BI14" i="5" s="1"/>
  <c r="BC14" i="5" a="1"/>
  <c r="BC14" i="5" s="1"/>
  <c r="AY14" i="5" a="1"/>
  <c r="AY14" i="5" s="1"/>
  <c r="BL14" i="5" a="1"/>
  <c r="BL14" i="5" s="1"/>
  <c r="CQ14" i="5"/>
  <c r="CS14" i="5"/>
  <c r="CR14" i="5"/>
  <c r="CW14" i="5"/>
  <c r="CU14" i="5"/>
  <c r="CT14" i="5"/>
  <c r="CV14" i="5"/>
  <c r="BB14" i="5" a="1"/>
  <c r="BB14" i="5" s="1"/>
  <c r="BN14" i="5" a="1"/>
  <c r="BN14" i="5" s="1"/>
  <c r="V12" i="2"/>
  <c r="CX7" i="8"/>
  <c r="CY7" i="8" s="1"/>
  <c r="BP13" i="5" a="1"/>
  <c r="BP13" i="5" s="1"/>
  <c r="X10" i="8"/>
  <c r="DD10" i="8" s="1"/>
  <c r="O18" i="1"/>
  <c r="BT9" i="8"/>
  <c r="BO9" i="8"/>
  <c r="BP9" i="8"/>
  <c r="BM9" i="8"/>
  <c r="BN9" i="8"/>
  <c r="BK9" i="8"/>
  <c r="BL9" i="8"/>
  <c r="BJ9" i="8"/>
  <c r="AC9" i="10"/>
  <c r="X9" i="10" s="1"/>
  <c r="AR9" i="5"/>
  <c r="AS13" i="5"/>
  <c r="AH13" i="11"/>
  <c r="DH10" i="8"/>
  <c r="DI10" i="8" s="1"/>
  <c r="DF12" i="5"/>
  <c r="DE12" i="5"/>
  <c r="AU14" i="14" a="1"/>
  <c r="AU14" i="14" s="1"/>
  <c r="AD14" i="14" a="1"/>
  <c r="AD14" i="14" s="1"/>
  <c r="AS14" i="14" a="1"/>
  <c r="AS14" i="14" s="1"/>
  <c r="AC14" i="14" a="1"/>
  <c r="AC14" i="14" s="1"/>
  <c r="BX14" i="14" a="1"/>
  <c r="BX14" i="14" s="1"/>
  <c r="BG14" i="14" a="1"/>
  <c r="BG14" i="14" s="1"/>
  <c r="AX14" i="14" a="1"/>
  <c r="AX14" i="14" s="1"/>
  <c r="AO14" i="14" a="1"/>
  <c r="AO14" i="14" s="1"/>
  <c r="X14" i="14" a="1"/>
  <c r="X14" i="14" s="1"/>
  <c r="BB14" i="14" a="1"/>
  <c r="BB14" i="14" s="1"/>
  <c r="BD14" i="14" a="1"/>
  <c r="BD14" i="14" s="1"/>
  <c r="AZ14" i="14" a="1"/>
  <c r="AZ14" i="14" s="1"/>
  <c r="AJ14" i="14" a="1"/>
  <c r="AJ14" i="14" s="1"/>
  <c r="AQ14" i="14" a="1"/>
  <c r="AQ14" i="14" s="1"/>
  <c r="Z14" i="14" a="1"/>
  <c r="Z14" i="14" s="1"/>
  <c r="AG14" i="14" a="1"/>
  <c r="AG14" i="14" s="1"/>
  <c r="AM14" i="14" a="1"/>
  <c r="AM14" i="14" s="1"/>
  <c r="AT14" i="14" a="1"/>
  <c r="AT14" i="14" s="1"/>
  <c r="BQ14" i="14" a="1"/>
  <c r="BQ14" i="14" s="1"/>
  <c r="AN14" i="14" a="1"/>
  <c r="AN14" i="14" s="1"/>
  <c r="BO14" i="14" a="1"/>
  <c r="BO14" i="14" s="1"/>
  <c r="AY14" i="14" a="1"/>
  <c r="AY14" i="14" s="1"/>
  <c r="AH14" i="14" a="1"/>
  <c r="AH14" i="14" s="1"/>
  <c r="Q14" i="14" a="1"/>
  <c r="Q14" i="14" s="1"/>
  <c r="BS14" i="14" a="1"/>
  <c r="BS14" i="14" s="1"/>
  <c r="BR14" i="14" a="1"/>
  <c r="BR14" i="14" s="1"/>
  <c r="AL14" i="14" a="1"/>
  <c r="AL14" i="14" s="1"/>
  <c r="AR14" i="14" a="1"/>
  <c r="AR14" i="14" s="1"/>
  <c r="U14" i="14" a="1"/>
  <c r="U14" i="14" s="1"/>
  <c r="AF14" i="14" a="1"/>
  <c r="AF14" i="14" s="1"/>
  <c r="R14" i="14" a="1"/>
  <c r="R14" i="14" s="1"/>
  <c r="AL14" i="1" s="1"/>
  <c r="AA14" i="14" a="1"/>
  <c r="AA14" i="14" s="1"/>
  <c r="M14" i="14" a="1"/>
  <c r="M14" i="14" s="1"/>
  <c r="AV14" i="14" a="1"/>
  <c r="AV14" i="14" s="1"/>
  <c r="BJ14" i="14" a="1"/>
  <c r="BJ14" i="14" s="1"/>
  <c r="V14" i="14" a="1"/>
  <c r="V14" i="14" s="1"/>
  <c r="BY14" i="14" a="1"/>
  <c r="BY14" i="14" s="1"/>
  <c r="BH14" i="14" a="1"/>
  <c r="BH14" i="14" s="1"/>
  <c r="AI14" i="14" a="1"/>
  <c r="AI14" i="14" s="1"/>
  <c r="BU14" i="14" a="1"/>
  <c r="BU14" i="14" s="1"/>
  <c r="AP14" i="14" a="1"/>
  <c r="AP14" i="14" s="1"/>
  <c r="Y14" i="14" a="1"/>
  <c r="Y14" i="14" s="1"/>
  <c r="BT14" i="14" a="1"/>
  <c r="BT14" i="14" s="1"/>
  <c r="W14" i="14" a="1"/>
  <c r="W14" i="14" s="1"/>
  <c r="N14" i="14" a="1"/>
  <c r="N14" i="14" s="1"/>
  <c r="BP14" i="14" a="1"/>
  <c r="BP14" i="14" s="1"/>
  <c r="T14" i="14" a="1"/>
  <c r="T14" i="14" s="1"/>
  <c r="BV14" i="14" a="1"/>
  <c r="BV14" i="14" s="1"/>
  <c r="AW14" i="14" a="1"/>
  <c r="AW14" i="14" s="1"/>
  <c r="BL14" i="14" a="1"/>
  <c r="BL14" i="14" s="1"/>
  <c r="BK14" i="14" a="1"/>
  <c r="BK14" i="14" s="1"/>
  <c r="AE14" i="14" a="1"/>
  <c r="AE14" i="14" s="1"/>
  <c r="BI14" i="14" a="1"/>
  <c r="BI14" i="14" s="1"/>
  <c r="AB14" i="14" a="1"/>
  <c r="AB14" i="14" s="1"/>
  <c r="BZ14" i="14" a="1"/>
  <c r="BZ14" i="14" s="1"/>
  <c r="BW14" i="14" a="1"/>
  <c r="BW14" i="14" s="1"/>
  <c r="BN14" i="14" a="1"/>
  <c r="BN14" i="14" s="1"/>
  <c r="BM14" i="14" a="1"/>
  <c r="BM14" i="14" s="1"/>
  <c r="BC14" i="14" a="1"/>
  <c r="BC14" i="14" s="1"/>
  <c r="O14" i="14" a="1"/>
  <c r="O14" i="14" s="1"/>
  <c r="BA14" i="14" a="1"/>
  <c r="BA14" i="14" s="1"/>
  <c r="AK14" i="14" a="1"/>
  <c r="AK14" i="14" s="1"/>
  <c r="P14" i="14" a="1"/>
  <c r="P14" i="14" s="1"/>
  <c r="S14" i="14" a="1"/>
  <c r="S14" i="14" s="1"/>
  <c r="BF14" i="14" a="1"/>
  <c r="BF14" i="14" s="1"/>
  <c r="BE14" i="14" a="1"/>
  <c r="BE14" i="14" s="1"/>
  <c r="AJ13" i="1"/>
  <c r="Y11" i="1"/>
  <c r="DJ12" i="5"/>
  <c r="DH12" i="5"/>
  <c r="AM13" i="1"/>
  <c r="K15" i="11"/>
  <c r="A15" i="14"/>
  <c r="CA15" i="14" s="1"/>
  <c r="A15" i="5"/>
  <c r="A15" i="7"/>
  <c r="R15" i="7" s="1"/>
  <c r="A15" i="2"/>
  <c r="A15" i="9"/>
  <c r="A15" i="8"/>
  <c r="DD12" i="5"/>
  <c r="AK13" i="11"/>
  <c r="AE14" i="8"/>
  <c r="AU14" i="8"/>
  <c r="W11" i="1"/>
  <c r="AF11" i="1"/>
  <c r="BT10" i="5"/>
  <c r="A10" i="11"/>
  <c r="AC9" i="11" s="1"/>
  <c r="U9" i="8" s="1"/>
  <c r="E10" i="1"/>
  <c r="B10" i="7"/>
  <c r="Q10" i="7" s="1"/>
  <c r="A10" i="10"/>
  <c r="AA10" i="10" s="1"/>
  <c r="CK10" i="8"/>
  <c r="AC10" i="8"/>
  <c r="BQ10" i="8" s="1"/>
  <c r="BI10" i="8"/>
  <c r="B10" i="9"/>
  <c r="Y10" i="9" s="1"/>
  <c r="AJ10" i="5"/>
  <c r="AP10" i="5" s="1"/>
  <c r="BH10" i="8"/>
  <c r="BU10" i="8" s="1"/>
  <c r="AI10" i="5"/>
  <c r="BW10" i="8"/>
  <c r="F11" i="5"/>
  <c r="B12" i="5"/>
  <c r="DB12" i="5"/>
  <c r="B12" i="2"/>
  <c r="AH12" i="5"/>
  <c r="B12" i="1"/>
  <c r="BG12" i="1" s="1"/>
  <c r="BU12" i="5"/>
  <c r="BY14" i="11"/>
  <c r="K13" i="10"/>
  <c r="AA13" i="7"/>
  <c r="AF13" i="8" s="1"/>
  <c r="AV13" i="8" s="1"/>
  <c r="L13" i="11"/>
  <c r="J13" i="5"/>
  <c r="DC13" i="5" s="1"/>
  <c r="E12" i="10"/>
  <c r="G12" i="7"/>
  <c r="L13" i="5"/>
  <c r="G12" i="10"/>
  <c r="I12" i="7"/>
  <c r="M13" i="5"/>
  <c r="H12" i="10"/>
  <c r="J12" i="7"/>
  <c r="G13" i="5"/>
  <c r="D12" i="7"/>
  <c r="B12" i="10"/>
  <c r="K13" i="5"/>
  <c r="F12" i="10"/>
  <c r="H12" i="7"/>
  <c r="I13" i="5"/>
  <c r="D12" i="10"/>
  <c r="F12" i="7"/>
  <c r="H13" i="5"/>
  <c r="C12" i="10"/>
  <c r="E12" i="7"/>
  <c r="CS7" i="8"/>
  <c r="CQ8" i="8"/>
  <c r="CU8" i="8" s="1"/>
  <c r="D10" i="9"/>
  <c r="DB8" i="8"/>
  <c r="CI9" i="8"/>
  <c r="DA9" i="8" s="1"/>
  <c r="CD8" i="8"/>
  <c r="P8" i="8" s="1"/>
  <c r="CG15" i="8"/>
  <c r="BX9" i="8"/>
  <c r="CD9" i="8" s="1"/>
  <c r="N9" i="7"/>
  <c r="AH21" i="9"/>
  <c r="CR8" i="8"/>
  <c r="AQ8" i="5"/>
  <c r="CZ12" i="5"/>
  <c r="BY9" i="8"/>
  <c r="CC9" i="8"/>
  <c r="CV9" i="8" s="1"/>
  <c r="CW9" i="8" s="1"/>
  <c r="BZ9" i="8"/>
  <c r="CA9" i="8"/>
  <c r="CH9" i="8"/>
  <c r="CZ9" i="8" s="1"/>
  <c r="CB9" i="8"/>
  <c r="CT9" i="8" s="1"/>
  <c r="N9" i="11"/>
  <c r="AB8" i="11"/>
  <c r="Q8" i="8" s="1"/>
  <c r="Z8" i="11"/>
  <c r="AC8" i="11"/>
  <c r="U8" i="8" s="1"/>
  <c r="AA8" i="11"/>
  <c r="AK8" i="1" s="1"/>
  <c r="Y8" i="11"/>
  <c r="AH8" i="1" s="1"/>
  <c r="AD8" i="11"/>
  <c r="AI8" i="1" s="1"/>
  <c r="AE9" i="7"/>
  <c r="AF9" i="7" s="1"/>
  <c r="Q9" i="7"/>
  <c r="DI12" i="5"/>
  <c r="AB12" i="1"/>
  <c r="C12" i="5"/>
  <c r="DA11" i="5"/>
  <c r="DG11" i="5" s="1" a="1"/>
  <c r="DG11" i="5" s="1"/>
  <c r="AG21" i="9"/>
  <c r="AK21" i="9"/>
  <c r="AE83" i="9"/>
  <c r="L7" i="11"/>
  <c r="AV7" i="8"/>
  <c r="B5" i="14"/>
  <c r="S14" i="2"/>
  <c r="P15" i="2"/>
  <c r="N15" i="2"/>
  <c r="R15" i="2"/>
  <c r="Q14" i="2"/>
  <c r="F13" i="12"/>
  <c r="E13" i="12" s="1"/>
  <c r="D14" i="12"/>
  <c r="J16" i="10"/>
  <c r="N16" i="5" s="1"/>
  <c r="M15" i="2"/>
  <c r="J16" i="12"/>
  <c r="I17" i="12"/>
  <c r="J17" i="12" s="1"/>
  <c r="AQ37" i="9" l="1"/>
  <c r="CM37" i="8" s="1"/>
  <c r="AO10" i="5"/>
  <c r="AM10" i="5"/>
  <c r="AN10" i="5"/>
  <c r="AR10" i="5" s="1"/>
  <c r="J13" i="2"/>
  <c r="BF14" i="5" a="1"/>
  <c r="BF14" i="5" s="1"/>
  <c r="AE13" i="1" s="1"/>
  <c r="AV11" i="5"/>
  <c r="AW11" i="5"/>
  <c r="E17" i="8"/>
  <c r="AG9" i="7"/>
  <c r="AI9" i="7" s="1"/>
  <c r="CL11" i="8"/>
  <c r="P9" i="8"/>
  <c r="CB10" i="8"/>
  <c r="CT10" i="8" s="1"/>
  <c r="AC10" i="1"/>
  <c r="AI32" i="9"/>
  <c r="AO32" i="8" s="1"/>
  <c r="G16" i="8"/>
  <c r="CF15" i="8"/>
  <c r="O15" i="2"/>
  <c r="AZ15" i="5" a="1"/>
  <c r="AZ15" i="5" s="1"/>
  <c r="BI15" i="5" a="1"/>
  <c r="BI15" i="5" s="1"/>
  <c r="BC15" i="5" a="1"/>
  <c r="BC15" i="5" s="1"/>
  <c r="AM22" i="9"/>
  <c r="BR10" i="8"/>
  <c r="BS10" i="8"/>
  <c r="AD13" i="1"/>
  <c r="BM15" i="5" a="1"/>
  <c r="BM15" i="5" s="1"/>
  <c r="BM16" i="5" s="1" a="1"/>
  <c r="BM16" i="5" s="1"/>
  <c r="BJ15" i="5" a="1"/>
  <c r="BJ15" i="5" s="1"/>
  <c r="BJ16" i="5" s="1" a="1"/>
  <c r="BJ16" i="5" s="1"/>
  <c r="BN15" i="5" a="1"/>
  <c r="BN15" i="5" s="1"/>
  <c r="BO15" i="5" a="1"/>
  <c r="BO15" i="5" s="1"/>
  <c r="BB15" i="5" a="1"/>
  <c r="BB15" i="5" s="1"/>
  <c r="BH15" i="5" a="1"/>
  <c r="BH15" i="5" s="1"/>
  <c r="AY15" i="5" a="1"/>
  <c r="AY15" i="5" s="1"/>
  <c r="BL15" i="5" a="1"/>
  <c r="BL15" i="5" s="1"/>
  <c r="CT15" i="5"/>
  <c r="CU15" i="5"/>
  <c r="CR15" i="5"/>
  <c r="CS15" i="5"/>
  <c r="CQ15" i="5"/>
  <c r="CW15" i="5"/>
  <c r="CV15" i="5"/>
  <c r="BQ15" i="5" a="1"/>
  <c r="BQ15" i="5" s="1"/>
  <c r="BD15" i="5" a="1"/>
  <c r="BD15" i="5" s="1"/>
  <c r="BD16" i="5" s="1" a="1"/>
  <c r="BD16" i="5" s="1"/>
  <c r="BA15" i="5" a="1"/>
  <c r="BA15" i="5" s="1"/>
  <c r="BA16" i="5" s="1" a="1"/>
  <c r="BA16" i="5" s="1"/>
  <c r="BG15" i="5" a="1"/>
  <c r="BG15" i="5" s="1"/>
  <c r="BE15" i="5" a="1"/>
  <c r="BE15" i="5" s="1"/>
  <c r="BK15" i="5" a="1"/>
  <c r="BK15" i="5" s="1"/>
  <c r="V13" i="2"/>
  <c r="DF7" i="8"/>
  <c r="G7" i="1" s="1"/>
  <c r="N7" i="8" s="1"/>
  <c r="F18" i="8"/>
  <c r="BP14" i="5" a="1"/>
  <c r="BP14" i="5" s="1"/>
  <c r="DH11" i="8"/>
  <c r="DI11" i="8" s="1"/>
  <c r="O19" i="1"/>
  <c r="BT10" i="8"/>
  <c r="BO10" i="8"/>
  <c r="BP10" i="8"/>
  <c r="BM10" i="8"/>
  <c r="BN10" i="8"/>
  <c r="BK10" i="8"/>
  <c r="BL10" i="8"/>
  <c r="BJ10" i="8"/>
  <c r="AC10" i="10"/>
  <c r="X10" i="10" s="1"/>
  <c r="AS14" i="5"/>
  <c r="CI10" i="8"/>
  <c r="DA10" i="8" s="1"/>
  <c r="AH14" i="11"/>
  <c r="Y9" i="11"/>
  <c r="AH9" i="1" s="1"/>
  <c r="AK14" i="11"/>
  <c r="AM14" i="1"/>
  <c r="AJ14" i="1"/>
  <c r="DE13" i="5"/>
  <c r="DB13" i="5"/>
  <c r="DF13" i="5"/>
  <c r="BK15" i="14" a="1"/>
  <c r="BK15" i="14" s="1"/>
  <c r="V15" i="14" a="1"/>
  <c r="V15" i="14" s="1"/>
  <c r="BA15" i="14" a="1"/>
  <c r="BA15" i="14" s="1"/>
  <c r="BX15" i="14" a="1"/>
  <c r="BX15" i="14" s="1"/>
  <c r="AN15" i="14" a="1"/>
  <c r="AN15" i="14" s="1"/>
  <c r="BG15" i="14" a="1"/>
  <c r="BG15" i="14" s="1"/>
  <c r="AO15" i="14" a="1"/>
  <c r="AO15" i="14" s="1"/>
  <c r="Y15" i="14" a="1"/>
  <c r="Y15" i="14" s="1"/>
  <c r="AE15" i="14" a="1"/>
  <c r="AE15" i="14" s="1"/>
  <c r="N15" i="14" a="1"/>
  <c r="N15" i="14" s="1"/>
  <c r="AS15" i="14" a="1"/>
  <c r="AS15" i="14" s="1"/>
  <c r="AZ15" i="14" a="1"/>
  <c r="AZ15" i="14" s="1"/>
  <c r="BO15" i="14" a="1"/>
  <c r="BO15" i="14" s="1"/>
  <c r="AP15" i="14" a="1"/>
  <c r="AP15" i="14" s="1"/>
  <c r="AF15" i="14" a="1"/>
  <c r="AF15" i="14" s="1"/>
  <c r="AH15" i="14" a="1"/>
  <c r="AH15" i="14" s="1"/>
  <c r="BS15" i="14" a="1"/>
  <c r="BS15" i="14" s="1"/>
  <c r="O15" i="14" a="1"/>
  <c r="O15" i="14" s="1"/>
  <c r="BB15" i="14" a="1"/>
  <c r="BB15" i="14" s="1"/>
  <c r="AK15" i="14" a="1"/>
  <c r="AK15" i="14" s="1"/>
  <c r="AR15" i="14" a="1"/>
  <c r="AR15" i="14" s="1"/>
  <c r="AB15" i="14" a="1"/>
  <c r="AB15" i="14" s="1"/>
  <c r="BL15" i="14" a="1"/>
  <c r="BL15" i="14" s="1"/>
  <c r="R15" i="14" a="1"/>
  <c r="R15" i="14" s="1"/>
  <c r="AL15" i="1" s="1"/>
  <c r="BU15" i="14" a="1"/>
  <c r="BU15" i="14" s="1"/>
  <c r="BT15" i="14" a="1"/>
  <c r="BT15" i="14" s="1"/>
  <c r="X15" i="14" a="1"/>
  <c r="X15" i="14" s="1"/>
  <c r="AL15" i="14" a="1"/>
  <c r="AL15" i="14" s="1"/>
  <c r="P15" i="14" a="1"/>
  <c r="P15" i="14" s="1"/>
  <c r="AJ15" i="14" a="1"/>
  <c r="AJ15" i="14" s="1"/>
  <c r="AQ15" i="14" a="1"/>
  <c r="AQ15" i="14" s="1"/>
  <c r="S15" i="14" a="1"/>
  <c r="S15" i="14" s="1"/>
  <c r="AW15" i="14" a="1"/>
  <c r="AW15" i="14" s="1"/>
  <c r="Q15" i="14" a="1"/>
  <c r="Q15" i="14" s="1"/>
  <c r="AV15" i="14" a="1"/>
  <c r="AV15" i="14" s="1"/>
  <c r="BR15" i="14" a="1"/>
  <c r="BR15" i="14" s="1"/>
  <c r="BI15" i="14" a="1"/>
  <c r="BI15" i="14" s="1"/>
  <c r="BH15" i="14" a="1"/>
  <c r="BH15" i="14" s="1"/>
  <c r="T15" i="14" a="1"/>
  <c r="T15" i="14" s="1"/>
  <c r="AI15" i="14" a="1"/>
  <c r="AI15" i="14" s="1"/>
  <c r="BV15" i="14" a="1"/>
  <c r="BV15" i="14" s="1"/>
  <c r="M15" i="14" a="1"/>
  <c r="M15" i="14" s="1"/>
  <c r="AU15" i="14" a="1"/>
  <c r="AU15" i="14" s="1"/>
  <c r="AT15" i="14" a="1"/>
  <c r="AT15" i="14" s="1"/>
  <c r="BJ15" i="14" a="1"/>
  <c r="BJ15" i="14" s="1"/>
  <c r="AC15" i="14" a="1"/>
  <c r="AC15" i="14" s="1"/>
  <c r="BW15" i="14" a="1"/>
  <c r="BW15" i="14" s="1"/>
  <c r="AA15" i="14" a="1"/>
  <c r="AA15" i="14" s="1"/>
  <c r="Z15" i="14" a="1"/>
  <c r="Z15" i="14" s="1"/>
  <c r="BM15" i="14" a="1"/>
  <c r="BM15" i="14" s="1"/>
  <c r="BC15" i="14" a="1"/>
  <c r="BC15" i="14" s="1"/>
  <c r="W15" i="14" a="1"/>
  <c r="W15" i="14" s="1"/>
  <c r="BD15" i="14" a="1"/>
  <c r="BD15" i="14" s="1"/>
  <c r="BZ15" i="14" a="1"/>
  <c r="BZ15" i="14" s="1"/>
  <c r="BY15" i="14" a="1"/>
  <c r="BY15" i="14" s="1"/>
  <c r="AY15" i="14" a="1"/>
  <c r="AY15" i="14" s="1"/>
  <c r="BN15" i="14" a="1"/>
  <c r="BN15" i="14" s="1"/>
  <c r="AG15" i="14" a="1"/>
  <c r="AG15" i="14" s="1"/>
  <c r="U15" i="14" a="1"/>
  <c r="U15" i="14" s="1"/>
  <c r="BF15" i="14" a="1"/>
  <c r="BF15" i="14" s="1"/>
  <c r="AX15" i="14" a="1"/>
  <c r="AX15" i="14" s="1"/>
  <c r="BE15" i="14" a="1"/>
  <c r="BE15" i="14" s="1"/>
  <c r="AM15" i="14" a="1"/>
  <c r="AM15" i="14" s="1"/>
  <c r="AD15" i="14" a="1"/>
  <c r="AD15" i="14" s="1"/>
  <c r="BQ15" i="14" a="1"/>
  <c r="BQ15" i="14" s="1"/>
  <c r="BP15" i="14" a="1"/>
  <c r="BP15" i="14" s="1"/>
  <c r="K16" i="11"/>
  <c r="A16" i="14"/>
  <c r="CA16" i="14" s="1"/>
  <c r="A16" i="8"/>
  <c r="A16" i="2"/>
  <c r="A16" i="9"/>
  <c r="A16" i="7"/>
  <c r="R16" i="7" s="1"/>
  <c r="A16" i="5"/>
  <c r="AE15" i="8"/>
  <c r="AU15" i="8"/>
  <c r="W12" i="1"/>
  <c r="AF12" i="1"/>
  <c r="DH13" i="5"/>
  <c r="Y12" i="1"/>
  <c r="DJ13" i="5"/>
  <c r="BZ10" i="8"/>
  <c r="N10" i="7"/>
  <c r="CC10" i="8"/>
  <c r="CV10" i="8" s="1"/>
  <c r="CW10" i="8" s="1"/>
  <c r="N10" i="11"/>
  <c r="AA9" i="11"/>
  <c r="AK9" i="1" s="1"/>
  <c r="Z9" i="11"/>
  <c r="AB9" i="11"/>
  <c r="Q9" i="8" s="1"/>
  <c r="AD9" i="11"/>
  <c r="AI9" i="1" s="1"/>
  <c r="BX10" i="8"/>
  <c r="CE10" i="8" s="1"/>
  <c r="D11" i="9"/>
  <c r="AE10" i="7"/>
  <c r="AF10" i="7" s="1"/>
  <c r="CH10" i="8"/>
  <c r="CZ10" i="8" s="1"/>
  <c r="BY10" i="8"/>
  <c r="CA10" i="8"/>
  <c r="B11" i="9"/>
  <c r="Y11" i="9" s="1"/>
  <c r="AC11" i="8"/>
  <c r="BQ11" i="8" s="1"/>
  <c r="B11" i="7"/>
  <c r="AE11" i="7" s="1"/>
  <c r="AF11" i="7" s="1"/>
  <c r="BI11" i="8"/>
  <c r="X11" i="8"/>
  <c r="DD11" i="8" s="1"/>
  <c r="A11" i="10"/>
  <c r="AA11" i="10" s="1"/>
  <c r="CK11" i="8"/>
  <c r="A11" i="11"/>
  <c r="N11" i="11" s="1"/>
  <c r="BT11" i="5"/>
  <c r="AI11" i="5"/>
  <c r="BH11" i="8"/>
  <c r="BU11" i="8" s="1"/>
  <c r="BW11" i="8"/>
  <c r="AJ11" i="5"/>
  <c r="AP11" i="5" s="1"/>
  <c r="E11" i="1"/>
  <c r="F12" i="5"/>
  <c r="BU13" i="5"/>
  <c r="B13" i="2"/>
  <c r="AH13" i="5"/>
  <c r="B13" i="1"/>
  <c r="BG13" i="1" s="1"/>
  <c r="BY15" i="11"/>
  <c r="K14" i="10"/>
  <c r="AA14" i="7"/>
  <c r="AF14" i="8" s="1"/>
  <c r="AV14" i="8" s="1"/>
  <c r="L14" i="11"/>
  <c r="M14" i="5"/>
  <c r="H13" i="10"/>
  <c r="J13" i="7"/>
  <c r="K14" i="5"/>
  <c r="F13" i="10"/>
  <c r="H13" i="7"/>
  <c r="DD13" i="5"/>
  <c r="D13" i="7"/>
  <c r="B13" i="10"/>
  <c r="G14" i="5"/>
  <c r="L14" i="5"/>
  <c r="G13" i="10"/>
  <c r="I13" i="7"/>
  <c r="H14" i="5"/>
  <c r="C13" i="10"/>
  <c r="E13" i="7"/>
  <c r="I14" i="5"/>
  <c r="D13" i="10"/>
  <c r="F13" i="7"/>
  <c r="B13" i="5"/>
  <c r="J14" i="5"/>
  <c r="DC14" i="5" s="1"/>
  <c r="E13" i="10"/>
  <c r="G13" i="7"/>
  <c r="CS8" i="8"/>
  <c r="CQ9" i="8"/>
  <c r="CU9" i="8" s="1"/>
  <c r="DB9" i="8"/>
  <c r="CX8" i="8"/>
  <c r="CY8" i="8" s="1"/>
  <c r="CG16" i="8"/>
  <c r="CE9" i="8"/>
  <c r="CX9" i="8" s="1"/>
  <c r="CY9" i="8" s="1"/>
  <c r="AH22" i="9"/>
  <c r="AQ9" i="5"/>
  <c r="CZ13" i="5"/>
  <c r="CR9" i="8"/>
  <c r="AB13" i="1"/>
  <c r="DI13" i="5"/>
  <c r="C13" i="5"/>
  <c r="DA12" i="5"/>
  <c r="DG12" i="5" s="1" a="1"/>
  <c r="DG12" i="5" s="1"/>
  <c r="AH7" i="5"/>
  <c r="BU7" i="5"/>
  <c r="AG22" i="9"/>
  <c r="AK22" i="9"/>
  <c r="AE84" i="9"/>
  <c r="B7" i="2"/>
  <c r="B7" i="1"/>
  <c r="BG7" i="1" s="1"/>
  <c r="B6" i="14"/>
  <c r="S15" i="2"/>
  <c r="P16" i="2"/>
  <c r="N16" i="2"/>
  <c r="R16" i="2"/>
  <c r="Q15" i="2"/>
  <c r="M16" i="2"/>
  <c r="J17" i="10"/>
  <c r="N17" i="5" s="1"/>
  <c r="D15" i="12"/>
  <c r="F14" i="12"/>
  <c r="E14" i="12" s="1"/>
  <c r="AQ38" i="9" l="1"/>
  <c r="CM38" i="8" s="1"/>
  <c r="BH16" i="5" a="1"/>
  <c r="BH16" i="5" s="1"/>
  <c r="BK16" i="5" a="1"/>
  <c r="BK16" i="5" s="1"/>
  <c r="BB16" i="5" a="1"/>
  <c r="BB16" i="5" s="1"/>
  <c r="BE16" i="5" a="1"/>
  <c r="BE16" i="5" s="1"/>
  <c r="BO16" i="5" a="1"/>
  <c r="BO16" i="5" s="1"/>
  <c r="BG16" i="5" a="1"/>
  <c r="BG16" i="5" s="1"/>
  <c r="BN16" i="5" a="1"/>
  <c r="BN16" i="5" s="1"/>
  <c r="BQ16" i="5" a="1"/>
  <c r="BQ16" i="5" s="1"/>
  <c r="BC16" i="5" a="1"/>
  <c r="BC16" i="5" s="1"/>
  <c r="BI16" i="5" a="1"/>
  <c r="BI16" i="5" s="1"/>
  <c r="AZ16" i="5" a="1"/>
  <c r="AZ16" i="5" s="1"/>
  <c r="BL16" i="5" a="1"/>
  <c r="BL16" i="5" s="1"/>
  <c r="AY16" i="5" a="1"/>
  <c r="AY16" i="5" s="1"/>
  <c r="AO11" i="5"/>
  <c r="AM11" i="5"/>
  <c r="AN11" i="5"/>
  <c r="AR11" i="5" s="1"/>
  <c r="J14" i="2"/>
  <c r="BF15" i="5" a="1"/>
  <c r="BF15" i="5" s="1"/>
  <c r="BF16" i="5" s="1" a="1"/>
  <c r="BF16" i="5" s="1"/>
  <c r="AE15" i="1" s="1"/>
  <c r="AV12" i="5"/>
  <c r="AW12" i="5"/>
  <c r="E18" i="8"/>
  <c r="AG11" i="7"/>
  <c r="AG10" i="7"/>
  <c r="AI10" i="7" s="1"/>
  <c r="CL12" i="8"/>
  <c r="BY11" i="8"/>
  <c r="CQ11" i="8" s="1"/>
  <c r="CU11" i="8" s="1"/>
  <c r="AC11" i="1"/>
  <c r="AI33" i="9"/>
  <c r="AO33" i="8" s="1"/>
  <c r="G17" i="8"/>
  <c r="CF16" i="8"/>
  <c r="O16" i="2"/>
  <c r="AM23" i="9"/>
  <c r="BR11" i="8"/>
  <c r="BS11" i="8"/>
  <c r="AD14" i="1"/>
  <c r="CV16" i="5"/>
  <c r="CT16" i="5"/>
  <c r="CS16" i="5"/>
  <c r="CR16" i="5"/>
  <c r="CU16" i="5"/>
  <c r="CW16" i="5"/>
  <c r="V14" i="2"/>
  <c r="CI11" i="8"/>
  <c r="DA11" i="8" s="1"/>
  <c r="F19" i="8"/>
  <c r="CQ10" i="8"/>
  <c r="CU10" i="8" s="1"/>
  <c r="BP15" i="5" a="1"/>
  <c r="BP15" i="5" s="1"/>
  <c r="BP16" i="5" s="1" a="1"/>
  <c r="BP16" i="5" s="1"/>
  <c r="DH12" i="8"/>
  <c r="DI12" i="8" s="1"/>
  <c r="O20" i="1"/>
  <c r="BT11" i="8"/>
  <c r="BO11" i="8"/>
  <c r="BP11" i="8"/>
  <c r="BM11" i="8"/>
  <c r="BN11" i="8"/>
  <c r="BK11" i="8"/>
  <c r="BL11" i="8"/>
  <c r="BJ11" i="8"/>
  <c r="AC11" i="10"/>
  <c r="X11" i="10" s="1"/>
  <c r="AS15" i="5"/>
  <c r="DB10" i="8"/>
  <c r="AH15" i="11"/>
  <c r="DF14" i="5"/>
  <c r="DB14" i="5"/>
  <c r="AM15" i="1"/>
  <c r="AK15" i="11"/>
  <c r="AF13" i="1"/>
  <c r="Y13" i="1"/>
  <c r="DJ14" i="5"/>
  <c r="AU16" i="8"/>
  <c r="AE16" i="8"/>
  <c r="AJ15" i="1"/>
  <c r="AM16" i="14" a="1"/>
  <c r="AM16" i="14" s="1"/>
  <c r="W16" i="14" a="1"/>
  <c r="W16" i="14" s="1"/>
  <c r="BD16" i="14" a="1"/>
  <c r="BD16" i="14" s="1"/>
  <c r="AJ16" i="14" a="1"/>
  <c r="AJ16" i="14" s="1"/>
  <c r="BP16" i="14" a="1"/>
  <c r="BP16" i="14" s="1"/>
  <c r="BW16" i="14" a="1"/>
  <c r="BW16" i="14" s="1"/>
  <c r="S16" i="14" a="1"/>
  <c r="S16" i="14" s="1"/>
  <c r="Z16" i="14" a="1"/>
  <c r="Z16" i="14" s="1"/>
  <c r="BC16" i="14" a="1"/>
  <c r="BC16" i="14" s="1"/>
  <c r="X16" i="14" a="1"/>
  <c r="X16" i="14" s="1"/>
  <c r="BI16" i="14" a="1"/>
  <c r="BI16" i="14" s="1"/>
  <c r="AB16" i="14" a="1"/>
  <c r="AB16" i="14" s="1"/>
  <c r="BA16" i="14" a="1"/>
  <c r="BA16" i="14" s="1"/>
  <c r="AQ16" i="14" a="1"/>
  <c r="AQ16" i="14" s="1"/>
  <c r="AP16" i="14" a="1"/>
  <c r="AP16" i="14" s="1"/>
  <c r="AG16" i="14" a="1"/>
  <c r="AG16" i="14" s="1"/>
  <c r="AU16" i="14" a="1"/>
  <c r="AU16" i="14" s="1"/>
  <c r="BR16" i="14" a="1"/>
  <c r="BR16" i="14" s="1"/>
  <c r="N16" i="14" a="1"/>
  <c r="N16" i="14" s="1"/>
  <c r="BY16" i="14" a="1"/>
  <c r="BY16" i="14" s="1"/>
  <c r="AN16" i="14" a="1"/>
  <c r="AN16" i="14" s="1"/>
  <c r="AF16" i="14" a="1"/>
  <c r="AF16" i="14" s="1"/>
  <c r="R16" i="14" a="1"/>
  <c r="R16" i="14" s="1"/>
  <c r="AL16" i="1" s="1"/>
  <c r="BU16" i="14" a="1"/>
  <c r="BU16" i="14" s="1"/>
  <c r="BK16" i="14" a="1"/>
  <c r="BK16" i="14" s="1"/>
  <c r="AD16" i="14" a="1"/>
  <c r="AD16" i="14" s="1"/>
  <c r="AS16" i="14" a="1"/>
  <c r="AS16" i="14" s="1"/>
  <c r="BH16" i="14" a="1"/>
  <c r="BH16" i="14" s="1"/>
  <c r="T16" i="14" a="1"/>
  <c r="T16" i="14" s="1"/>
  <c r="AI16" i="14" a="1"/>
  <c r="AI16" i="14" s="1"/>
  <c r="BF16" i="14" a="1"/>
  <c r="BF16" i="14" s="1"/>
  <c r="AW16" i="14" a="1"/>
  <c r="AW16" i="14" s="1"/>
  <c r="O16" i="14" a="1"/>
  <c r="O16" i="14" s="1"/>
  <c r="BB16" i="14" a="1"/>
  <c r="BB16" i="14" s="1"/>
  <c r="AC16" i="14" a="1"/>
  <c r="AC16" i="14" s="1"/>
  <c r="BZ16" i="14" a="1"/>
  <c r="BZ16" i="14" s="1"/>
  <c r="BO16" i="14" a="1"/>
  <c r="BO16" i="14" s="1"/>
  <c r="BV16" i="14" a="1"/>
  <c r="BV16" i="14" s="1"/>
  <c r="AX16" i="14" a="1"/>
  <c r="AX16" i="14" s="1"/>
  <c r="Q16" i="14" a="1"/>
  <c r="Q16" i="14" s="1"/>
  <c r="AV16" i="14" a="1"/>
  <c r="AV16" i="14" s="1"/>
  <c r="AT16" i="14" a="1"/>
  <c r="AT16" i="14" s="1"/>
  <c r="BQ16" i="14" a="1"/>
  <c r="BQ16" i="14" s="1"/>
  <c r="U16" i="14" a="1"/>
  <c r="U16" i="14" s="1"/>
  <c r="AZ16" i="14" a="1"/>
  <c r="AZ16" i="14" s="1"/>
  <c r="BG16" i="14" a="1"/>
  <c r="BG16" i="14" s="1"/>
  <c r="BN16" i="14" a="1"/>
  <c r="BN16" i="14" s="1"/>
  <c r="AH16" i="14" a="1"/>
  <c r="AH16" i="14" s="1"/>
  <c r="Y16" i="14" a="1"/>
  <c r="Y16" i="14" s="1"/>
  <c r="BS16" i="14" a="1"/>
  <c r="BS16" i="14" s="1"/>
  <c r="AE16" i="14" a="1"/>
  <c r="AE16" i="14" s="1"/>
  <c r="AL16" i="14" a="1"/>
  <c r="AL16" i="14" s="1"/>
  <c r="BX16" i="14" a="1"/>
  <c r="BX16" i="14" s="1"/>
  <c r="AK16" i="14" a="1"/>
  <c r="AK16" i="14" s="1"/>
  <c r="AA16" i="14" a="1"/>
  <c r="AA16" i="14" s="1"/>
  <c r="AO16" i="14" a="1"/>
  <c r="AO16" i="14" s="1"/>
  <c r="BM16" i="14" a="1"/>
  <c r="BM16" i="14" s="1"/>
  <c r="M16" i="14" a="1"/>
  <c r="M16" i="14" s="1"/>
  <c r="BT16" i="14" a="1"/>
  <c r="BT16" i="14" s="1"/>
  <c r="BJ16" i="14" a="1"/>
  <c r="BJ16" i="14" s="1"/>
  <c r="V16" i="14" a="1"/>
  <c r="V16" i="14" s="1"/>
  <c r="AR16" i="14" a="1"/>
  <c r="AR16" i="14" s="1"/>
  <c r="P16" i="14" a="1"/>
  <c r="P16" i="14" s="1"/>
  <c r="AY16" i="14" a="1"/>
  <c r="AY16" i="14" s="1"/>
  <c r="BL16" i="14" a="1"/>
  <c r="BL16" i="14" s="1"/>
  <c r="BE16" i="14" a="1"/>
  <c r="BE16" i="14" s="1"/>
  <c r="DH14" i="5"/>
  <c r="W13" i="1"/>
  <c r="K17" i="11"/>
  <c r="A17" i="14"/>
  <c r="CA17" i="14" s="1"/>
  <c r="A17" i="8"/>
  <c r="A17" i="2"/>
  <c r="A17" i="9"/>
  <c r="A17" i="7"/>
  <c r="R17" i="7" s="1"/>
  <c r="A17" i="5"/>
  <c r="CR10" i="8"/>
  <c r="CD10" i="8"/>
  <c r="P10" i="8" s="1"/>
  <c r="AQ10" i="5"/>
  <c r="AC10" i="11"/>
  <c r="U10" i="8" s="1"/>
  <c r="N11" i="7"/>
  <c r="Q11" i="7"/>
  <c r="AA10" i="11"/>
  <c r="AK10" i="1" s="1"/>
  <c r="BZ11" i="8"/>
  <c r="AD10" i="11"/>
  <c r="AI10" i="1" s="1"/>
  <c r="AB10" i="11"/>
  <c r="Q10" i="8" s="1"/>
  <c r="CA11" i="8"/>
  <c r="Y10" i="11"/>
  <c r="AH10" i="1" s="1"/>
  <c r="CH11" i="8"/>
  <c r="CZ11" i="8" s="1"/>
  <c r="CC11" i="8"/>
  <c r="CV11" i="8" s="1"/>
  <c r="CW11" i="8" s="1"/>
  <c r="Z10" i="11"/>
  <c r="CB11" i="8"/>
  <c r="CT11" i="8" s="1"/>
  <c r="BX11" i="8"/>
  <c r="CE11" i="8" s="1"/>
  <c r="D12" i="9"/>
  <c r="AC12" i="8"/>
  <c r="BQ12" i="8" s="1"/>
  <c r="E12" i="1"/>
  <c r="B12" i="7"/>
  <c r="Q12" i="7" s="1"/>
  <c r="A12" i="10"/>
  <c r="AA12" i="10" s="1"/>
  <c r="AI12" i="5"/>
  <c r="A12" i="11"/>
  <c r="N12" i="11" s="1"/>
  <c r="X12" i="8"/>
  <c r="DD12" i="8" s="1"/>
  <c r="CK12" i="8"/>
  <c r="BT12" i="5"/>
  <c r="AJ12" i="5"/>
  <c r="AP12" i="5" s="1"/>
  <c r="B12" i="9"/>
  <c r="Y12" i="9" s="1"/>
  <c r="BI12" i="8"/>
  <c r="BW12" i="8"/>
  <c r="BH12" i="8"/>
  <c r="BU12" i="8" s="1"/>
  <c r="B14" i="1"/>
  <c r="BG14" i="1" s="1"/>
  <c r="BU14" i="5"/>
  <c r="B14" i="2"/>
  <c r="AH14" i="5"/>
  <c r="BY16" i="11"/>
  <c r="AA15" i="7"/>
  <c r="AF15" i="8" s="1"/>
  <c r="AV15" i="8" s="1"/>
  <c r="K15" i="10"/>
  <c r="L15" i="11"/>
  <c r="L15" i="5"/>
  <c r="G14" i="10"/>
  <c r="I14" i="7"/>
  <c r="H15" i="5"/>
  <c r="C14" i="10"/>
  <c r="E14" i="7"/>
  <c r="K15" i="5"/>
  <c r="F14" i="10"/>
  <c r="H14" i="7"/>
  <c r="DD14" i="5"/>
  <c r="DE14" i="5"/>
  <c r="B14" i="5"/>
  <c r="J15" i="5"/>
  <c r="DC15" i="5" s="1"/>
  <c r="E14" i="10"/>
  <c r="G14" i="7"/>
  <c r="F13" i="5"/>
  <c r="D14" i="7"/>
  <c r="B14" i="10"/>
  <c r="G15" i="5"/>
  <c r="I15" i="5"/>
  <c r="D14" i="10"/>
  <c r="F14" i="7"/>
  <c r="M15" i="5"/>
  <c r="H14" i="10"/>
  <c r="J14" i="7"/>
  <c r="DF8" i="8"/>
  <c r="G8" i="1" s="1"/>
  <c r="N8" i="8" s="1"/>
  <c r="CS9" i="8"/>
  <c r="DF9" i="8" s="1"/>
  <c r="G9" i="1" s="1"/>
  <c r="N9" i="8" s="1"/>
  <c r="CG17" i="8"/>
  <c r="AH23" i="9"/>
  <c r="CZ14" i="5"/>
  <c r="DA13" i="5"/>
  <c r="DG13" i="5" s="1" a="1"/>
  <c r="DG13" i="5" s="1"/>
  <c r="AB14" i="1"/>
  <c r="DI14" i="5"/>
  <c r="AG23" i="9"/>
  <c r="AK23" i="9"/>
  <c r="AE85" i="9"/>
  <c r="B7" i="14"/>
  <c r="S16" i="2"/>
  <c r="P17" i="2"/>
  <c r="N17" i="2"/>
  <c r="R17" i="2"/>
  <c r="Q16" i="2"/>
  <c r="M17" i="2"/>
  <c r="F15" i="12"/>
  <c r="E15" i="12" s="1"/>
  <c r="D16" i="12"/>
  <c r="J18" i="10"/>
  <c r="N18" i="5" s="1"/>
  <c r="AS16" i="5" l="1"/>
  <c r="AQ39" i="9"/>
  <c r="CM39" i="8" s="1"/>
  <c r="AO12" i="5"/>
  <c r="AM12" i="5"/>
  <c r="AN12" i="5"/>
  <c r="AR12" i="5" s="1"/>
  <c r="AE14" i="1"/>
  <c r="W14" i="1" s="1"/>
  <c r="AV13" i="5"/>
  <c r="AW13" i="5"/>
  <c r="AI11" i="7"/>
  <c r="E19" i="8"/>
  <c r="J15" i="2"/>
  <c r="CL13" i="8"/>
  <c r="CH12" i="8"/>
  <c r="CZ12" i="8" s="1"/>
  <c r="AC12" i="1"/>
  <c r="AI34" i="9"/>
  <c r="AO34" i="8" s="1"/>
  <c r="G18" i="8"/>
  <c r="CF17" i="8"/>
  <c r="O17" i="2"/>
  <c r="AM24" i="9"/>
  <c r="BR12" i="8"/>
  <c r="BS12" i="8"/>
  <c r="AD15" i="1"/>
  <c r="CT17" i="5"/>
  <c r="CR17" i="5"/>
  <c r="CU17" i="5"/>
  <c r="CV17" i="5"/>
  <c r="CW17" i="5"/>
  <c r="CQ17" i="5"/>
  <c r="CS17" i="5"/>
  <c r="AY17" i="5" a="1"/>
  <c r="AY17" i="5" s="1"/>
  <c r="BL17" i="5" a="1"/>
  <c r="BL17" i="5" s="1"/>
  <c r="AZ17" i="5" a="1"/>
  <c r="AZ17" i="5" s="1"/>
  <c r="BM17" i="5" a="1"/>
  <c r="BM17" i="5" s="1"/>
  <c r="BQ17" i="5" a="1"/>
  <c r="BQ17" i="5" s="1"/>
  <c r="BO17" i="5" a="1"/>
  <c r="BO17" i="5" s="1"/>
  <c r="BC17" i="5" a="1"/>
  <c r="BC17" i="5" s="1"/>
  <c r="BG17" i="5" a="1"/>
  <c r="BG17" i="5" s="1"/>
  <c r="BD17" i="5" a="1"/>
  <c r="BD17" i="5" s="1"/>
  <c r="BB17" i="5" a="1"/>
  <c r="BB17" i="5" s="1"/>
  <c r="BJ17" i="5" a="1"/>
  <c r="BJ17" i="5" s="1"/>
  <c r="BF17" i="5" a="1"/>
  <c r="BF17" i="5" s="1"/>
  <c r="AE16" i="1" s="1"/>
  <c r="BH17" i="5" a="1"/>
  <c r="BH17" i="5" s="1"/>
  <c r="BN17" i="5" a="1"/>
  <c r="BN17" i="5" s="1"/>
  <c r="BE17" i="5" a="1"/>
  <c r="BE17" i="5" s="1"/>
  <c r="BA17" i="5" a="1"/>
  <c r="BA17" i="5" s="1"/>
  <c r="BK17" i="5" a="1"/>
  <c r="BK17" i="5" s="1"/>
  <c r="BI17" i="5" a="1"/>
  <c r="BI17" i="5" s="1"/>
  <c r="DB11" i="8"/>
  <c r="V15" i="2"/>
  <c r="CI12" i="8"/>
  <c r="DA12" i="8" s="1"/>
  <c r="CS10" i="8"/>
  <c r="CX10" i="8"/>
  <c r="CY10" i="8" s="1"/>
  <c r="F20" i="8"/>
  <c r="J16" i="2"/>
  <c r="B13" i="9"/>
  <c r="Y13" i="9" s="1"/>
  <c r="O21" i="1"/>
  <c r="BX12" i="8"/>
  <c r="CD12" i="8" s="1"/>
  <c r="BT12" i="8"/>
  <c r="BO12" i="8"/>
  <c r="BP12" i="8"/>
  <c r="BM12" i="8"/>
  <c r="BN12" i="8"/>
  <c r="BK12" i="8"/>
  <c r="BL12" i="8"/>
  <c r="BJ12" i="8"/>
  <c r="AC12" i="10"/>
  <c r="X12" i="10" s="1"/>
  <c r="AT16" i="5"/>
  <c r="AH16" i="11"/>
  <c r="DF15" i="5"/>
  <c r="DE15" i="5"/>
  <c r="AK16" i="11"/>
  <c r="K18" i="11"/>
  <c r="A18" i="14"/>
  <c r="CA18" i="14" s="1"/>
  <c r="A18" i="8"/>
  <c r="A18" i="7"/>
  <c r="R18" i="7" s="1"/>
  <c r="A18" i="9"/>
  <c r="A18" i="2"/>
  <c r="A18" i="5"/>
  <c r="AJ16" i="1"/>
  <c r="Y14" i="1"/>
  <c r="DJ15" i="5"/>
  <c r="AU17" i="8"/>
  <c r="AE17" i="8"/>
  <c r="AE17" i="14" a="1"/>
  <c r="AE17" i="14" s="1"/>
  <c r="BB17" i="14" a="1"/>
  <c r="BB17" i="14" s="1"/>
  <c r="BD17" i="14" a="1"/>
  <c r="BD17" i="14" s="1"/>
  <c r="AJ17" i="14" a="1"/>
  <c r="AJ17" i="14" s="1"/>
  <c r="BP17" i="14" a="1"/>
  <c r="BP17" i="14" s="1"/>
  <c r="AF17" i="14" a="1"/>
  <c r="AF17" i="14" s="1"/>
  <c r="BF17" i="14" a="1"/>
  <c r="BF17" i="14" s="1"/>
  <c r="AH17" i="14" a="1"/>
  <c r="AH17" i="14" s="1"/>
  <c r="BK17" i="14" a="1"/>
  <c r="BK17" i="14" s="1"/>
  <c r="AL17" i="14" a="1"/>
  <c r="AL17" i="14" s="1"/>
  <c r="AK17" i="14" a="1"/>
  <c r="AK17" i="14" s="1"/>
  <c r="AB17" i="14" a="1"/>
  <c r="AB17" i="14" s="1"/>
  <c r="BG17" i="14" a="1"/>
  <c r="BG17" i="14" s="1"/>
  <c r="AY17" i="14" a="1"/>
  <c r="AY17" i="14" s="1"/>
  <c r="AW17" i="14" a="1"/>
  <c r="AW17" i="14" s="1"/>
  <c r="BT17" i="14" a="1"/>
  <c r="BT17" i="14" s="1"/>
  <c r="X17" i="14" a="1"/>
  <c r="X17" i="14" s="1"/>
  <c r="AT17" i="14" a="1"/>
  <c r="AT17" i="14" s="1"/>
  <c r="U17" i="14" a="1"/>
  <c r="U17" i="14" s="1"/>
  <c r="AR17" i="14" a="1"/>
  <c r="AR17" i="14" s="1"/>
  <c r="BV17" i="14" a="1"/>
  <c r="BV17" i="14" s="1"/>
  <c r="AA17" i="14" a="1"/>
  <c r="AA17" i="14" s="1"/>
  <c r="BE17" i="14" a="1"/>
  <c r="BE17" i="14" s="1"/>
  <c r="Q17" i="14" a="1"/>
  <c r="Q17" i="14" s="1"/>
  <c r="W17" i="14" a="1"/>
  <c r="W17" i="14" s="1"/>
  <c r="BI17" i="14" a="1"/>
  <c r="BI17" i="14" s="1"/>
  <c r="AZ17" i="14" a="1"/>
  <c r="AZ17" i="14" s="1"/>
  <c r="S17" i="14" a="1"/>
  <c r="S17" i="14" s="1"/>
  <c r="BU17" i="14" a="1"/>
  <c r="BU17" i="14" s="1"/>
  <c r="BR17" i="14" a="1"/>
  <c r="BR17" i="14" s="1"/>
  <c r="AC17" i="14" a="1"/>
  <c r="AC17" i="14" s="1"/>
  <c r="BW17" i="14" a="1"/>
  <c r="BW17" i="14" s="1"/>
  <c r="AP17" i="14" a="1"/>
  <c r="AP17" i="14" s="1"/>
  <c r="BM17" i="14" a="1"/>
  <c r="BM17" i="14" s="1"/>
  <c r="AV17" i="14" a="1"/>
  <c r="AV17" i="14" s="1"/>
  <c r="BJ17" i="14" a="1"/>
  <c r="BJ17" i="14" s="1"/>
  <c r="AS17" i="14" a="1"/>
  <c r="AS17" i="14" s="1"/>
  <c r="AN17" i="14" a="1"/>
  <c r="AN17" i="14" s="1"/>
  <c r="BL17" i="14" a="1"/>
  <c r="BL17" i="14" s="1"/>
  <c r="AG17" i="14" a="1"/>
  <c r="AG17" i="14" s="1"/>
  <c r="BS17" i="14" a="1"/>
  <c r="BS17" i="14" s="1"/>
  <c r="AD17" i="14" a="1"/>
  <c r="AD17" i="14" s="1"/>
  <c r="BH17" i="14" a="1"/>
  <c r="BH17" i="14" s="1"/>
  <c r="T17" i="14" a="1"/>
  <c r="T17" i="14" s="1"/>
  <c r="R17" i="14" a="1"/>
  <c r="R17" i="14" s="1"/>
  <c r="AL17" i="1" s="1"/>
  <c r="Y17" i="14" a="1"/>
  <c r="Y17" i="14" s="1"/>
  <c r="BH17" i="1" s="1"/>
  <c r="BC17" i="14" a="1"/>
  <c r="BC17" i="14" s="1"/>
  <c r="N17" i="14" a="1"/>
  <c r="N17" i="14" s="1"/>
  <c r="BX17" i="14" a="1"/>
  <c r="BX17" i="14" s="1"/>
  <c r="BN17" i="14" a="1"/>
  <c r="BN17" i="14" s="1"/>
  <c r="AX17" i="14" a="1"/>
  <c r="AX17" i="14" s="1"/>
  <c r="AM17" i="14" a="1"/>
  <c r="AM17" i="14" s="1"/>
  <c r="BQ17" i="14" a="1"/>
  <c r="BQ17" i="14" s="1"/>
  <c r="P17" i="14" a="1"/>
  <c r="P17" i="14" s="1"/>
  <c r="BO17" i="14" a="1"/>
  <c r="BO17" i="14" s="1"/>
  <c r="AO17" i="14" a="1"/>
  <c r="AO17" i="14" s="1"/>
  <c r="AU17" i="14" a="1"/>
  <c r="AU17" i="14" s="1"/>
  <c r="V17" i="14" a="1"/>
  <c r="V17" i="14" s="1"/>
  <c r="BZ17" i="14" a="1"/>
  <c r="BZ17" i="14" s="1"/>
  <c r="AQ17" i="14" a="1"/>
  <c r="AQ17" i="14" s="1"/>
  <c r="M17" i="14" a="1"/>
  <c r="M17" i="14" s="1"/>
  <c r="O17" i="14" a="1"/>
  <c r="O17" i="14" s="1"/>
  <c r="BA17" i="14" a="1"/>
  <c r="BA17" i="14" s="1"/>
  <c r="BY17" i="14" a="1"/>
  <c r="BY17" i="14" s="1"/>
  <c r="AI17" i="14" a="1"/>
  <c r="AI17" i="14" s="1"/>
  <c r="Z17" i="14" a="1"/>
  <c r="Z17" i="14" s="1"/>
  <c r="AM16" i="1"/>
  <c r="AF14" i="1"/>
  <c r="DH15" i="5"/>
  <c r="D13" i="9"/>
  <c r="CR11" i="8"/>
  <c r="CS11" i="8" s="1"/>
  <c r="CD11" i="8"/>
  <c r="P11" i="8" s="1"/>
  <c r="AQ11" i="5"/>
  <c r="AE12" i="7"/>
  <c r="AF12" i="7" s="1"/>
  <c r="BY12" i="8"/>
  <c r="AB11" i="11"/>
  <c r="Q11" i="8" s="1"/>
  <c r="AC11" i="11"/>
  <c r="U11" i="8" s="1"/>
  <c r="Z11" i="11"/>
  <c r="Y11" i="11"/>
  <c r="AH11" i="1" s="1"/>
  <c r="N12" i="7"/>
  <c r="AD11" i="11"/>
  <c r="AI11" i="1" s="1"/>
  <c r="CB12" i="8"/>
  <c r="CT12" i="8" s="1"/>
  <c r="AA11" i="11"/>
  <c r="AK11" i="1" s="1"/>
  <c r="BZ12" i="8"/>
  <c r="CA12" i="8"/>
  <c r="CC12" i="8"/>
  <c r="CV12" i="8" s="1"/>
  <c r="CW12" i="8" s="1"/>
  <c r="A13" i="11"/>
  <c r="AA12" i="11" s="1"/>
  <c r="AK12" i="1" s="1"/>
  <c r="X13" i="8"/>
  <c r="DD13" i="8" s="1"/>
  <c r="A13" i="10"/>
  <c r="AA13" i="10" s="1"/>
  <c r="AC13" i="8"/>
  <c r="BQ13" i="8" s="1"/>
  <c r="AJ13" i="5"/>
  <c r="AP13" i="5" s="1"/>
  <c r="BH13" i="8"/>
  <c r="BU13" i="8" s="1"/>
  <c r="B13" i="7"/>
  <c r="Q13" i="7" s="1"/>
  <c r="E13" i="1"/>
  <c r="BI13" i="8"/>
  <c r="BW13" i="8"/>
  <c r="BT13" i="5"/>
  <c r="AI13" i="5"/>
  <c r="B15" i="5"/>
  <c r="DH13" i="8"/>
  <c r="DI13" i="8" s="1"/>
  <c r="CK13" i="8"/>
  <c r="BU15" i="5"/>
  <c r="AH15" i="5"/>
  <c r="B15" i="2"/>
  <c r="B15" i="1"/>
  <c r="BG15" i="1" s="1"/>
  <c r="BY17" i="11"/>
  <c r="AA16" i="7"/>
  <c r="AF16" i="8" s="1"/>
  <c r="AV16" i="8" s="1"/>
  <c r="K16" i="10"/>
  <c r="L16" i="11"/>
  <c r="DB15" i="5"/>
  <c r="K16" i="5"/>
  <c r="F15" i="10"/>
  <c r="H15" i="7"/>
  <c r="DD15" i="5"/>
  <c r="H16" i="5"/>
  <c r="C15" i="10"/>
  <c r="E15" i="7"/>
  <c r="I16" i="5"/>
  <c r="D15" i="10"/>
  <c r="F15" i="7"/>
  <c r="B15" i="10"/>
  <c r="D15" i="7"/>
  <c r="G16" i="5"/>
  <c r="J16" i="5"/>
  <c r="DC16" i="5" s="1"/>
  <c r="E15" i="10"/>
  <c r="G15" i="7"/>
  <c r="M16" i="5"/>
  <c r="H15" i="10"/>
  <c r="J15" i="7"/>
  <c r="L16" i="5"/>
  <c r="G15" i="10"/>
  <c r="I15" i="7"/>
  <c r="CG18" i="8"/>
  <c r="AH24" i="9"/>
  <c r="C14" i="5"/>
  <c r="F14" i="5" s="1"/>
  <c r="CZ15" i="5"/>
  <c r="AB15" i="1"/>
  <c r="DI15" i="5"/>
  <c r="C15" i="5"/>
  <c r="DA14" i="5"/>
  <c r="DG14" i="5" s="1" a="1"/>
  <c r="DG14" i="5" s="1"/>
  <c r="AG24" i="9"/>
  <c r="AK24" i="9"/>
  <c r="AE86" i="9"/>
  <c r="B8" i="14"/>
  <c r="S17" i="2"/>
  <c r="P18" i="2"/>
  <c r="N18" i="2"/>
  <c r="R18" i="2"/>
  <c r="Q17" i="2"/>
  <c r="M18" i="2"/>
  <c r="F16" i="12"/>
  <c r="E16" i="12" s="1"/>
  <c r="D17" i="12"/>
  <c r="F17" i="12" s="1"/>
  <c r="E17" i="12" s="1"/>
  <c r="J19" i="10"/>
  <c r="N19" i="5" s="1"/>
  <c r="AQ40" i="9" l="1"/>
  <c r="CM40" i="8" s="1"/>
  <c r="AO13" i="5"/>
  <c r="AM13" i="5"/>
  <c r="AN13" i="5"/>
  <c r="AR13" i="5" s="1"/>
  <c r="AV14" i="5"/>
  <c r="AW14" i="5"/>
  <c r="E20" i="8"/>
  <c r="AG12" i="7"/>
  <c r="AI12" i="7" s="1"/>
  <c r="CL14" i="8"/>
  <c r="DB12" i="8"/>
  <c r="P12" i="8"/>
  <c r="CB13" i="8"/>
  <c r="CT13" i="8" s="1"/>
  <c r="AC13" i="1"/>
  <c r="AI35" i="9"/>
  <c r="AO35" i="8" s="1"/>
  <c r="G19" i="8"/>
  <c r="CF18" i="8"/>
  <c r="O18" i="2"/>
  <c r="BK18" i="5" a="1"/>
  <c r="BK18" i="5" s="1"/>
  <c r="BH18" i="5" a="1"/>
  <c r="BH18" i="5" s="1"/>
  <c r="BD18" i="5" a="1"/>
  <c r="BD18" i="5" s="1"/>
  <c r="BQ18" i="5" a="1"/>
  <c r="BQ18" i="5" s="1"/>
  <c r="BA18" i="5" a="1"/>
  <c r="BA18" i="5" s="1"/>
  <c r="BG18" i="5" a="1"/>
  <c r="BG18" i="5" s="1"/>
  <c r="BC18" i="5" a="1"/>
  <c r="BC18" i="5" s="1"/>
  <c r="BI18" i="5" a="1"/>
  <c r="BI18" i="5" s="1"/>
  <c r="BO18" i="5" a="1"/>
  <c r="BO18" i="5" s="1"/>
  <c r="AM25" i="9"/>
  <c r="BR13" i="8"/>
  <c r="BS13" i="8"/>
  <c r="AD16" i="1"/>
  <c r="BM18" i="5" a="1"/>
  <c r="BM18" i="5" s="1"/>
  <c r="AZ18" i="5" a="1"/>
  <c r="AZ18" i="5" s="1"/>
  <c r="BE18" i="5" a="1"/>
  <c r="BE18" i="5" s="1"/>
  <c r="BN18" i="5" a="1"/>
  <c r="BN18" i="5" s="1"/>
  <c r="CW18" i="5"/>
  <c r="CV18" i="5"/>
  <c r="CT18" i="5"/>
  <c r="CR18" i="5"/>
  <c r="CQ18" i="5"/>
  <c r="CS18" i="5"/>
  <c r="CU18" i="5"/>
  <c r="AY18" i="5" a="1"/>
  <c r="AY18" i="5" s="1"/>
  <c r="BL18" i="5" a="1"/>
  <c r="BL18" i="5" s="1"/>
  <c r="BF18" i="5" a="1"/>
  <c r="BF18" i="5" s="1"/>
  <c r="AE17" i="1" s="1"/>
  <c r="BJ18" i="5" a="1"/>
  <c r="BJ18" i="5" s="1"/>
  <c r="BB18" i="5" a="1"/>
  <c r="BB18" i="5" s="1"/>
  <c r="V16" i="2"/>
  <c r="DF10" i="8"/>
  <c r="G10" i="1" s="1"/>
  <c r="N10" i="8" s="1"/>
  <c r="CQ12" i="8"/>
  <c r="CU12" i="8" s="1"/>
  <c r="F21" i="8"/>
  <c r="BP17" i="5" a="1"/>
  <c r="BP17" i="5" s="1"/>
  <c r="J17" i="2" s="1"/>
  <c r="O22" i="1"/>
  <c r="CE12" i="8"/>
  <c r="CX12" i="8" s="1"/>
  <c r="CY12" i="8" s="1"/>
  <c r="BT13" i="8"/>
  <c r="BO13" i="8"/>
  <c r="BP13" i="8"/>
  <c r="BM13" i="8"/>
  <c r="BN13" i="8"/>
  <c r="BK13" i="8"/>
  <c r="BL13" i="8"/>
  <c r="BJ13" i="8"/>
  <c r="AC13" i="10"/>
  <c r="X13" i="10" s="1"/>
  <c r="AS17" i="5"/>
  <c r="AH17" i="11"/>
  <c r="DF16" i="5"/>
  <c r="DE16" i="5"/>
  <c r="AJ17" i="1"/>
  <c r="AK17" i="11"/>
  <c r="AF15" i="1"/>
  <c r="DH16" i="5"/>
  <c r="AU18" i="8"/>
  <c r="AE18" i="8"/>
  <c r="Y15" i="1"/>
  <c r="DJ16" i="5"/>
  <c r="BK18" i="14" a="1"/>
  <c r="BK18" i="14" s="1"/>
  <c r="AE18" i="14" a="1"/>
  <c r="AE18" i="14" s="1"/>
  <c r="N18" i="14" a="1"/>
  <c r="N18" i="14" s="1"/>
  <c r="BZ18" i="14" a="1"/>
  <c r="BZ18" i="14" s="1"/>
  <c r="BP18" i="14" a="1"/>
  <c r="BP18" i="14" s="1"/>
  <c r="BF18" i="14" a="1"/>
  <c r="BF18" i="14" s="1"/>
  <c r="BV18" i="14" a="1"/>
  <c r="BV18" i="14" s="1"/>
  <c r="M18" i="14" a="1"/>
  <c r="M18" i="14" s="1"/>
  <c r="AU18" i="14" a="1"/>
  <c r="AU18" i="14" s="1"/>
  <c r="BR18" i="14" a="1"/>
  <c r="BR18" i="14" s="1"/>
  <c r="BA18" i="14" a="1"/>
  <c r="BA18" i="14" s="1"/>
  <c r="BX18" i="14" a="1"/>
  <c r="BX18" i="14" s="1"/>
  <c r="BY18" i="14" a="1"/>
  <c r="BY18" i="14" s="1"/>
  <c r="AQ18" i="14" a="1"/>
  <c r="AQ18" i="14" s="1"/>
  <c r="BN18" i="14" a="1"/>
  <c r="BN18" i="14" s="1"/>
  <c r="R18" i="14" a="1"/>
  <c r="R18" i="14" s="1"/>
  <c r="AL18" i="1" s="1"/>
  <c r="AM18" i="14" a="1"/>
  <c r="AM18" i="14" s="1"/>
  <c r="AD18" i="14" a="1"/>
  <c r="AD18" i="14" s="1"/>
  <c r="BD18" i="14" a="1"/>
  <c r="BD18" i="14" s="1"/>
  <c r="BH18" i="14" a="1"/>
  <c r="BH18" i="14" s="1"/>
  <c r="AR18" i="14" a="1"/>
  <c r="AR18" i="14" s="1"/>
  <c r="BG18" i="14" a="1"/>
  <c r="BG18" i="14" s="1"/>
  <c r="AH18" i="14" a="1"/>
  <c r="AH18" i="14" s="1"/>
  <c r="AO18" i="14" a="1"/>
  <c r="AO18" i="14" s="1"/>
  <c r="BC18" i="14" a="1"/>
  <c r="BC18" i="14" s="1"/>
  <c r="BJ18" i="14" a="1"/>
  <c r="BJ18" i="14" s="1"/>
  <c r="BI18" i="14" a="1"/>
  <c r="BI18" i="14" s="1"/>
  <c r="AJ18" i="14" a="1"/>
  <c r="AJ18" i="14" s="1"/>
  <c r="AB18" i="14" a="1"/>
  <c r="AB18" i="14" s="1"/>
  <c r="AA18" i="14" a="1"/>
  <c r="AA18" i="14" s="1"/>
  <c r="AI18" i="14" a="1"/>
  <c r="AI18" i="14" s="1"/>
  <c r="Y18" i="14" a="1"/>
  <c r="Y18" i="14" s="1"/>
  <c r="BH18" i="1" s="1"/>
  <c r="X18" i="14" a="1"/>
  <c r="X18" i="14" s="1"/>
  <c r="V18" i="14" a="1"/>
  <c r="V18" i="14" s="1"/>
  <c r="AK18" i="14" a="1"/>
  <c r="AK18" i="14" s="1"/>
  <c r="P18" i="14" a="1"/>
  <c r="P18" i="14" s="1"/>
  <c r="T18" i="14" a="1"/>
  <c r="T18" i="14" s="1"/>
  <c r="AW18" i="14" a="1"/>
  <c r="AW18" i="14" s="1"/>
  <c r="BL18" i="14" a="1"/>
  <c r="BL18" i="14" s="1"/>
  <c r="Z18" i="14" a="1"/>
  <c r="Z18" i="14" s="1"/>
  <c r="AV18" i="14" a="1"/>
  <c r="AV18" i="14" s="1"/>
  <c r="W18" i="14" a="1"/>
  <c r="W18" i="14" s="1"/>
  <c r="AT18" i="14" a="1"/>
  <c r="AT18" i="14" s="1"/>
  <c r="AC18" i="14" a="1"/>
  <c r="AC18" i="14" s="1"/>
  <c r="AZ18" i="14" a="1"/>
  <c r="AZ18" i="14" s="1"/>
  <c r="AN18" i="14" a="1"/>
  <c r="AN18" i="14" s="1"/>
  <c r="AG18" i="14" a="1"/>
  <c r="AG18" i="14" s="1"/>
  <c r="AF18" i="14" a="1"/>
  <c r="AF18" i="14" s="1"/>
  <c r="BM18" i="14" a="1"/>
  <c r="BM18" i="14" s="1"/>
  <c r="BT18" i="14" a="1"/>
  <c r="BT18" i="14" s="1"/>
  <c r="O18" i="14" a="1"/>
  <c r="O18" i="14" s="1"/>
  <c r="AL18" i="14" a="1"/>
  <c r="AL18" i="14" s="1"/>
  <c r="AS18" i="14" a="1"/>
  <c r="AS18" i="14" s="1"/>
  <c r="BO18" i="14" a="1"/>
  <c r="BO18" i="14" s="1"/>
  <c r="AY18" i="14" a="1"/>
  <c r="AY18" i="14" s="1"/>
  <c r="AX18" i="14" a="1"/>
  <c r="AX18" i="14" s="1"/>
  <c r="BU18" i="14" a="1"/>
  <c r="BU18" i="14" s="1"/>
  <c r="Q18" i="14" a="1"/>
  <c r="Q18" i="14" s="1"/>
  <c r="BB18" i="14" a="1"/>
  <c r="BB18" i="14" s="1"/>
  <c r="BQ18" i="14" a="1"/>
  <c r="BQ18" i="14" s="1"/>
  <c r="U18" i="14" a="1"/>
  <c r="U18" i="14" s="1"/>
  <c r="BW18" i="14" a="1"/>
  <c r="BW18" i="14" s="1"/>
  <c r="S18" i="14" a="1"/>
  <c r="S18" i="14" s="1"/>
  <c r="AP18" i="14" a="1"/>
  <c r="AP18" i="14" s="1"/>
  <c r="BE18" i="14" a="1"/>
  <c r="BE18" i="14" s="1"/>
  <c r="BS18" i="14" a="1"/>
  <c r="BS18" i="14" s="1"/>
  <c r="AM17" i="1"/>
  <c r="K19" i="11"/>
  <c r="A19" i="14"/>
  <c r="CA19" i="14" s="1"/>
  <c r="A19" i="7"/>
  <c r="R19" i="7" s="1"/>
  <c r="A19" i="9"/>
  <c r="A19" i="2"/>
  <c r="A19" i="8"/>
  <c r="A19" i="5"/>
  <c r="W15" i="1"/>
  <c r="CX11" i="8"/>
  <c r="CY11" i="8" s="1"/>
  <c r="DF11" i="8" s="1"/>
  <c r="G11" i="1" s="1"/>
  <c r="N11" i="8" s="1"/>
  <c r="AB12" i="11"/>
  <c r="Q12" i="8" s="1"/>
  <c r="AQ12" i="5"/>
  <c r="Y12" i="11"/>
  <c r="AH12" i="1" s="1"/>
  <c r="AD12" i="11"/>
  <c r="AI12" i="1" s="1"/>
  <c r="AC12" i="11"/>
  <c r="U12" i="8" s="1"/>
  <c r="CR12" i="8"/>
  <c r="BY13" i="8"/>
  <c r="N13" i="7"/>
  <c r="Z12" i="11"/>
  <c r="N13" i="11"/>
  <c r="D14" i="9"/>
  <c r="CC13" i="8"/>
  <c r="CV13" i="8" s="1"/>
  <c r="CW13" i="8" s="1"/>
  <c r="BX13" i="8"/>
  <c r="CE13" i="8" s="1"/>
  <c r="CH13" i="8"/>
  <c r="CZ13" i="8" s="1"/>
  <c r="CA13" i="8"/>
  <c r="BZ13" i="8"/>
  <c r="AE13" i="7"/>
  <c r="AF13" i="7" s="1"/>
  <c r="CI13" i="8"/>
  <c r="DA13" i="8" s="1"/>
  <c r="F15" i="5"/>
  <c r="B16" i="5"/>
  <c r="B16" i="2"/>
  <c r="AH16" i="5"/>
  <c r="BU16" i="5"/>
  <c r="B16" i="1"/>
  <c r="BG16" i="1" s="1"/>
  <c r="DB16" i="5"/>
  <c r="BY18" i="11"/>
  <c r="AA17" i="7"/>
  <c r="AF17" i="8" s="1"/>
  <c r="AV17" i="8" s="1"/>
  <c r="K17" i="10"/>
  <c r="L17" i="11"/>
  <c r="L17" i="5"/>
  <c r="G16" i="10"/>
  <c r="I16" i="7"/>
  <c r="D16" i="7"/>
  <c r="B16" i="10"/>
  <c r="G17" i="5"/>
  <c r="M17" i="5"/>
  <c r="H16" i="10"/>
  <c r="J16" i="7"/>
  <c r="H17" i="5"/>
  <c r="C16" i="10"/>
  <c r="E16" i="7"/>
  <c r="K17" i="5"/>
  <c r="F16" i="10"/>
  <c r="H16" i="7"/>
  <c r="DD16" i="5"/>
  <c r="J17" i="5"/>
  <c r="DC17" i="5" s="1"/>
  <c r="E16" i="10"/>
  <c r="G16" i="7"/>
  <c r="I17" i="5"/>
  <c r="D16" i="10"/>
  <c r="F16" i="7"/>
  <c r="DH14" i="8"/>
  <c r="DI14" i="8" s="1"/>
  <c r="CK14" i="8"/>
  <c r="CG19" i="8"/>
  <c r="BW14" i="8"/>
  <c r="AC14" i="1" s="1"/>
  <c r="BI14" i="8"/>
  <c r="AJ14" i="5"/>
  <c r="AP14" i="5" s="1"/>
  <c r="BH14" i="8"/>
  <c r="AH25" i="9"/>
  <c r="AI14" i="5"/>
  <c r="B14" i="9"/>
  <c r="Y14" i="9" s="1"/>
  <c r="AC14" i="8"/>
  <c r="BQ14" i="8" s="1"/>
  <c r="E14" i="1"/>
  <c r="A14" i="10"/>
  <c r="AA14" i="10" s="1"/>
  <c r="BT14" i="5"/>
  <c r="A14" i="11"/>
  <c r="B14" i="7"/>
  <c r="X14" i="8"/>
  <c r="DD14" i="8" s="1"/>
  <c r="CZ16" i="5"/>
  <c r="DA15" i="5"/>
  <c r="DG15" i="5" s="1" a="1"/>
  <c r="DG15" i="5" s="1"/>
  <c r="DI16" i="5"/>
  <c r="AB16" i="1"/>
  <c r="AG25" i="9"/>
  <c r="AK25" i="9"/>
  <c r="AE87" i="9"/>
  <c r="B9" i="14"/>
  <c r="S18" i="2"/>
  <c r="P19" i="2"/>
  <c r="N19" i="2"/>
  <c r="R19" i="2"/>
  <c r="Q18" i="2"/>
  <c r="M19" i="2"/>
  <c r="J20" i="10"/>
  <c r="N20" i="5" s="1"/>
  <c r="AQ41" i="9" l="1"/>
  <c r="CM41" i="8" s="1"/>
  <c r="AO14" i="5"/>
  <c r="AM14" i="5"/>
  <c r="AN14" i="5"/>
  <c r="AV15" i="5"/>
  <c r="AW15" i="5"/>
  <c r="AG13" i="7"/>
  <c r="AI13" i="7" s="1"/>
  <c r="CL15" i="8"/>
  <c r="AI36" i="9"/>
  <c r="AO36" i="8" s="1"/>
  <c r="G20" i="8"/>
  <c r="CF19" i="8"/>
  <c r="O19" i="2"/>
  <c r="BO19" i="5" a="1"/>
  <c r="BO19" i="5" s="1"/>
  <c r="AM26" i="9"/>
  <c r="BR14" i="8"/>
  <c r="BS14" i="8"/>
  <c r="BH19" i="5" a="1"/>
  <c r="BH19" i="5" s="1"/>
  <c r="BN19" i="5" a="1"/>
  <c r="BN19" i="5" s="1"/>
  <c r="CS19" i="5"/>
  <c r="CV19" i="5"/>
  <c r="CQ19" i="5"/>
  <c r="CW19" i="5"/>
  <c r="CT19" i="5"/>
  <c r="CR19" i="5"/>
  <c r="CU19" i="5"/>
  <c r="BL19" i="5" a="1"/>
  <c r="BL19" i="5" s="1"/>
  <c r="AY19" i="5" a="1"/>
  <c r="AY19" i="5" s="1"/>
  <c r="BB19" i="5" a="1"/>
  <c r="BB19" i="5" s="1"/>
  <c r="BE19" i="5" a="1"/>
  <c r="BE19" i="5" s="1"/>
  <c r="BJ19" i="5" a="1"/>
  <c r="BJ19" i="5" s="1"/>
  <c r="BA19" i="5" a="1"/>
  <c r="BA19" i="5" s="1"/>
  <c r="AD17" i="1"/>
  <c r="BK19" i="5" a="1"/>
  <c r="BK19" i="5" s="1"/>
  <c r="BF19" i="5" a="1"/>
  <c r="BF19" i="5" s="1"/>
  <c r="AE18" i="1" s="1"/>
  <c r="AZ19" i="5" a="1"/>
  <c r="AZ19" i="5" s="1"/>
  <c r="BI19" i="5" a="1"/>
  <c r="BI19" i="5" s="1"/>
  <c r="BG19" i="5" a="1"/>
  <c r="BG19" i="5" s="1"/>
  <c r="BM19" i="5" a="1"/>
  <c r="BM19" i="5" s="1"/>
  <c r="BQ19" i="5" a="1"/>
  <c r="BQ19" i="5" s="1"/>
  <c r="BD19" i="5" a="1"/>
  <c r="BD19" i="5" s="1"/>
  <c r="BC19" i="5" a="1"/>
  <c r="BC19" i="5" s="1"/>
  <c r="V17" i="2"/>
  <c r="CS12" i="8"/>
  <c r="DF12" i="8" s="1"/>
  <c r="G12" i="1" s="1"/>
  <c r="N12" i="8" s="1"/>
  <c r="CQ13" i="8"/>
  <c r="CU13" i="8" s="1"/>
  <c r="F22" i="8"/>
  <c r="BP18" i="5" a="1"/>
  <c r="BP18" i="5" s="1"/>
  <c r="J18" i="2" s="1"/>
  <c r="BH15" i="8"/>
  <c r="BU15" i="8" s="1"/>
  <c r="O23" i="1"/>
  <c r="BT14" i="8"/>
  <c r="BU14" i="8"/>
  <c r="BO14" i="8"/>
  <c r="BP14" i="8"/>
  <c r="BM14" i="8"/>
  <c r="BN14" i="8"/>
  <c r="BK14" i="8"/>
  <c r="BL14" i="8"/>
  <c r="BJ14" i="8"/>
  <c r="AC14" i="10"/>
  <c r="X14" i="10" s="1"/>
  <c r="AR14" i="5"/>
  <c r="AS18" i="5"/>
  <c r="AH18" i="11"/>
  <c r="DF17" i="5"/>
  <c r="AJ18" i="1"/>
  <c r="DE17" i="5"/>
  <c r="AM18" i="1"/>
  <c r="W16" i="1"/>
  <c r="DH17" i="5"/>
  <c r="BC19" i="14" a="1"/>
  <c r="BC19" i="14" s="1"/>
  <c r="AT19" i="14" a="1"/>
  <c r="AT19" i="14" s="1"/>
  <c r="BI19" i="14" a="1"/>
  <c r="BI19" i="14" s="1"/>
  <c r="P19" i="14" a="1"/>
  <c r="P19" i="14" s="1"/>
  <c r="BY19" i="14" a="1"/>
  <c r="BY19" i="14" s="1"/>
  <c r="AQ19" i="14" a="1"/>
  <c r="AQ19" i="14" s="1"/>
  <c r="AA19" i="14" a="1"/>
  <c r="AA19" i="14" s="1"/>
  <c r="BU19" i="14" a="1"/>
  <c r="BU19" i="14" s="1"/>
  <c r="AM19" i="14" a="1"/>
  <c r="AM19" i="14" s="1"/>
  <c r="BJ19" i="14" a="1"/>
  <c r="BJ19" i="14" s="1"/>
  <c r="BQ19" i="14" a="1"/>
  <c r="BQ19" i="14" s="1"/>
  <c r="AJ19" i="14" a="1"/>
  <c r="AJ19" i="14" s="1"/>
  <c r="BZ19" i="14" a="1"/>
  <c r="BZ19" i="14" s="1"/>
  <c r="AI19" i="14" a="1"/>
  <c r="AI19" i="14" s="1"/>
  <c r="AH19" i="14" a="1"/>
  <c r="AH19" i="14" s="1"/>
  <c r="BE19" i="14" a="1"/>
  <c r="BE19" i="14" s="1"/>
  <c r="AU19" i="14" a="1"/>
  <c r="AU19" i="14" s="1"/>
  <c r="N19" i="14" a="1"/>
  <c r="N19" i="14" s="1"/>
  <c r="AS19" i="14" a="1"/>
  <c r="AS19" i="14" s="1"/>
  <c r="AB19" i="14" a="1"/>
  <c r="AB19" i="14" s="1"/>
  <c r="BG19" i="14" a="1"/>
  <c r="BG19" i="14" s="1"/>
  <c r="BW19" i="14" a="1"/>
  <c r="BW19" i="14" s="1"/>
  <c r="AP19" i="14" a="1"/>
  <c r="AP19" i="14" s="1"/>
  <c r="AW19" i="14" a="1"/>
  <c r="AW19" i="14" s="1"/>
  <c r="W19" i="14" a="1"/>
  <c r="W19" i="14" s="1"/>
  <c r="AL19" i="14" a="1"/>
  <c r="AL19" i="14" s="1"/>
  <c r="BA19" i="14" a="1"/>
  <c r="BA19" i="14" s="1"/>
  <c r="BX19" i="14" a="1"/>
  <c r="BX19" i="14" s="1"/>
  <c r="BH19" i="14" a="1"/>
  <c r="BH19" i="14" s="1"/>
  <c r="BF19" i="14" a="1"/>
  <c r="BF19" i="14" s="1"/>
  <c r="BL19" i="14" a="1"/>
  <c r="BL19" i="14" s="1"/>
  <c r="Y19" i="14" a="1"/>
  <c r="Y19" i="14" s="1"/>
  <c r="BH19" i="1" s="1"/>
  <c r="AV19" i="14" a="1"/>
  <c r="AV19" i="14" s="1"/>
  <c r="X19" i="14" a="1"/>
  <c r="X19" i="14" s="1"/>
  <c r="V19" i="14" a="1"/>
  <c r="V19" i="14" s="1"/>
  <c r="AC19" i="14" a="1"/>
  <c r="AC19" i="14" s="1"/>
  <c r="AZ19" i="14" a="1"/>
  <c r="AZ19" i="14" s="1"/>
  <c r="BO19" i="14" a="1"/>
  <c r="BO19" i="14" s="1"/>
  <c r="BV19" i="14" a="1"/>
  <c r="BV19" i="14" s="1"/>
  <c r="BN19" i="14" a="1"/>
  <c r="BN19" i="14" s="1"/>
  <c r="AO19" i="14" a="1"/>
  <c r="AO19" i="14" s="1"/>
  <c r="BT19" i="14" a="1"/>
  <c r="BT19" i="14" s="1"/>
  <c r="BB19" i="14" a="1"/>
  <c r="BB19" i="14" s="1"/>
  <c r="O19" i="14" a="1"/>
  <c r="O19" i="14" s="1"/>
  <c r="AK19" i="14" a="1"/>
  <c r="AK19" i="14" s="1"/>
  <c r="T19" i="14" a="1"/>
  <c r="T19" i="14" s="1"/>
  <c r="S19" i="14" a="1"/>
  <c r="S19" i="14" s="1"/>
  <c r="R19" i="14" a="1"/>
  <c r="R19" i="14" s="1"/>
  <c r="AL19" i="1" s="1"/>
  <c r="BM19" i="14" a="1"/>
  <c r="BM19" i="14" s="1"/>
  <c r="Q19" i="14" a="1"/>
  <c r="Q19" i="14" s="1"/>
  <c r="BS19" i="14" a="1"/>
  <c r="BS19" i="14" s="1"/>
  <c r="BR19" i="14" a="1"/>
  <c r="BR19" i="14" s="1"/>
  <c r="BD19" i="14" a="1"/>
  <c r="BD19" i="14" s="1"/>
  <c r="BP19" i="14" a="1"/>
  <c r="BP19" i="14" s="1"/>
  <c r="U19" i="14" a="1"/>
  <c r="U19" i="14" s="1"/>
  <c r="AF19" i="14" a="1"/>
  <c r="AF19" i="14" s="1"/>
  <c r="AX19" i="14" a="1"/>
  <c r="AX19" i="14" s="1"/>
  <c r="M19" i="14" a="1"/>
  <c r="M19" i="14" s="1"/>
  <c r="AY19" i="14" a="1"/>
  <c r="AY19" i="14" s="1"/>
  <c r="Z19" i="14" a="1"/>
  <c r="Z19" i="14" s="1"/>
  <c r="AG19" i="14" a="1"/>
  <c r="AG19" i="14" s="1"/>
  <c r="AE19" i="14" a="1"/>
  <c r="AE19" i="14" s="1"/>
  <c r="AD19" i="14" a="1"/>
  <c r="AD19" i="14" s="1"/>
  <c r="AR19" i="14" a="1"/>
  <c r="AR19" i="14" s="1"/>
  <c r="BK19" i="14" a="1"/>
  <c r="BK19" i="14" s="1"/>
  <c r="AN19" i="14" a="1"/>
  <c r="AN19" i="14" s="1"/>
  <c r="AU19" i="8"/>
  <c r="AE19" i="8"/>
  <c r="Y16" i="1"/>
  <c r="DJ17" i="5"/>
  <c r="K20" i="11"/>
  <c r="A20" i="14"/>
  <c r="CA20" i="14" s="1"/>
  <c r="A20" i="7"/>
  <c r="R20" i="7" s="1"/>
  <c r="A20" i="5"/>
  <c r="A20" i="8"/>
  <c r="A20" i="9"/>
  <c r="A20" i="2"/>
  <c r="AK18" i="11"/>
  <c r="AF16" i="1"/>
  <c r="B13" i="14"/>
  <c r="AQ13" i="5"/>
  <c r="B15" i="9"/>
  <c r="Y15" i="9" s="1"/>
  <c r="DB13" i="8"/>
  <c r="DH15" i="8"/>
  <c r="DI15" i="8" s="1"/>
  <c r="CD13" i="8"/>
  <c r="P13" i="8" s="1"/>
  <c r="CR13" i="8"/>
  <c r="D15" i="9"/>
  <c r="X15" i="8"/>
  <c r="DD15" i="8" s="1"/>
  <c r="AC15" i="8"/>
  <c r="BQ15" i="8" s="1"/>
  <c r="AJ15" i="5"/>
  <c r="AP15" i="5" s="1"/>
  <c r="B15" i="7"/>
  <c r="Q15" i="7" s="1"/>
  <c r="A15" i="10"/>
  <c r="AA15" i="10" s="1"/>
  <c r="CK15" i="8"/>
  <c r="BT15" i="5"/>
  <c r="AI15" i="5"/>
  <c r="BI15" i="8"/>
  <c r="BW15" i="8"/>
  <c r="A15" i="11"/>
  <c r="N15" i="11" s="1"/>
  <c r="E15" i="1"/>
  <c r="BY19" i="11"/>
  <c r="AA18" i="7"/>
  <c r="AF18" i="8" s="1"/>
  <c r="AV18" i="8" s="1"/>
  <c r="K18" i="10"/>
  <c r="L18" i="11"/>
  <c r="B17" i="1"/>
  <c r="BG17" i="1" s="1"/>
  <c r="AH17" i="5"/>
  <c r="BU17" i="5"/>
  <c r="B17" i="2"/>
  <c r="I18" i="5"/>
  <c r="D17" i="10"/>
  <c r="F17" i="7"/>
  <c r="G18" i="5"/>
  <c r="B17" i="10"/>
  <c r="D17" i="7"/>
  <c r="DB17" i="5"/>
  <c r="K18" i="5"/>
  <c r="F17" i="10"/>
  <c r="H17" i="7"/>
  <c r="DD17" i="5"/>
  <c r="B17" i="5"/>
  <c r="H18" i="5"/>
  <c r="C17" i="10"/>
  <c r="E17" i="7"/>
  <c r="J18" i="5"/>
  <c r="DC18" i="5" s="1"/>
  <c r="E17" i="10"/>
  <c r="G17" i="7"/>
  <c r="L18" i="5"/>
  <c r="G17" i="10"/>
  <c r="I17" i="7"/>
  <c r="M18" i="5"/>
  <c r="H17" i="10"/>
  <c r="J17" i="7"/>
  <c r="BX14" i="8"/>
  <c r="CD14" i="8" s="1"/>
  <c r="CI14" i="8"/>
  <c r="DA14" i="8" s="1"/>
  <c r="CG20" i="8"/>
  <c r="N14" i="7"/>
  <c r="AH26" i="9"/>
  <c r="CB14" i="8"/>
  <c r="CT14" i="8" s="1"/>
  <c r="BY14" i="8"/>
  <c r="CA14" i="8"/>
  <c r="BZ14" i="8"/>
  <c r="CH14" i="8"/>
  <c r="CZ14" i="8" s="1"/>
  <c r="CC14" i="8"/>
  <c r="CV14" i="8" s="1"/>
  <c r="CW14" i="8" s="1"/>
  <c r="AE14" i="7"/>
  <c r="AF14" i="7" s="1"/>
  <c r="Q14" i="7"/>
  <c r="AA13" i="11"/>
  <c r="AK13" i="1" s="1"/>
  <c r="N14" i="11"/>
  <c r="AD13" i="11"/>
  <c r="AI13" i="1" s="1"/>
  <c r="Z13" i="11"/>
  <c r="AB13" i="11"/>
  <c r="Q13" i="8" s="1"/>
  <c r="AC13" i="11"/>
  <c r="U13" i="8" s="1"/>
  <c r="Y13" i="11"/>
  <c r="AH13" i="1" s="1"/>
  <c r="CZ17" i="5"/>
  <c r="C16" i="5"/>
  <c r="F16" i="5" s="1"/>
  <c r="DI17" i="5"/>
  <c r="AB17" i="1"/>
  <c r="DA16" i="5"/>
  <c r="DG16" i="5" s="1" a="1"/>
  <c r="DG16" i="5" s="1"/>
  <c r="AG26" i="9"/>
  <c r="AK26" i="9"/>
  <c r="AE88" i="9"/>
  <c r="B10" i="14"/>
  <c r="S19" i="2"/>
  <c r="P20" i="2"/>
  <c r="N20" i="2"/>
  <c r="R20" i="2"/>
  <c r="Q19" i="2"/>
  <c r="M20" i="2"/>
  <c r="J21" i="10"/>
  <c r="N21" i="5" s="1"/>
  <c r="AQ42" i="9" l="1"/>
  <c r="CM42" i="8" s="1"/>
  <c r="AO15" i="5"/>
  <c r="AM15" i="5"/>
  <c r="AN15" i="5"/>
  <c r="AR15" i="5" s="1"/>
  <c r="AV16" i="5"/>
  <c r="AW16" i="5"/>
  <c r="AG14" i="7"/>
  <c r="AI14" i="7" s="1"/>
  <c r="CL16" i="8"/>
  <c r="P14" i="8"/>
  <c r="CH15" i="8"/>
  <c r="CZ15" i="8" s="1"/>
  <c r="AC15" i="1"/>
  <c r="AI37" i="9"/>
  <c r="AO37" i="8" s="1"/>
  <c r="G21" i="8"/>
  <c r="CF20" i="8"/>
  <c r="O20" i="2"/>
  <c r="BB20" i="5" a="1"/>
  <c r="BB20" i="5" s="1"/>
  <c r="BJ20" i="5" a="1"/>
  <c r="BJ20" i="5" s="1"/>
  <c r="AM27" i="9"/>
  <c r="BR15" i="8"/>
  <c r="BS15" i="8"/>
  <c r="AD18" i="1"/>
  <c r="BE20" i="5" a="1"/>
  <c r="BE20" i="5" s="1"/>
  <c r="BC20" i="5" a="1"/>
  <c r="BC20" i="5" s="1"/>
  <c r="BD20" i="5" a="1"/>
  <c r="BD20" i="5" s="1"/>
  <c r="BQ20" i="5" a="1"/>
  <c r="BQ20" i="5" s="1"/>
  <c r="BM20" i="5" a="1"/>
  <c r="BM20" i="5" s="1"/>
  <c r="CR20" i="5"/>
  <c r="CW20" i="5"/>
  <c r="CV20" i="5"/>
  <c r="CQ20" i="5"/>
  <c r="CU20" i="5"/>
  <c r="CS20" i="5"/>
  <c r="CT20" i="5"/>
  <c r="BL20" i="5" a="1"/>
  <c r="BL20" i="5" s="1"/>
  <c r="AY20" i="5" a="1"/>
  <c r="AY20" i="5" s="1"/>
  <c r="BG20" i="5" a="1"/>
  <c r="BG20" i="5" s="1"/>
  <c r="BI20" i="5" a="1"/>
  <c r="BI20" i="5" s="1"/>
  <c r="AZ20" i="5" a="1"/>
  <c r="AZ20" i="5" s="1"/>
  <c r="BF20" i="5" a="1"/>
  <c r="BF20" i="5" s="1"/>
  <c r="AE19" i="1" s="1"/>
  <c r="BK20" i="5" a="1"/>
  <c r="BK20" i="5" s="1"/>
  <c r="BN20" i="5" a="1"/>
  <c r="BN20" i="5" s="1"/>
  <c r="BH20" i="5" a="1"/>
  <c r="BH20" i="5" s="1"/>
  <c r="BA20" i="5" a="1"/>
  <c r="BA20" i="5" s="1"/>
  <c r="BO20" i="5" a="1"/>
  <c r="BO20" i="5" s="1"/>
  <c r="V18" i="2"/>
  <c r="D16" i="9"/>
  <c r="CS13" i="8"/>
  <c r="BT15" i="8"/>
  <c r="F23" i="8"/>
  <c r="BX15" i="8"/>
  <c r="CD15" i="8" s="1"/>
  <c r="BP19" i="5" a="1"/>
  <c r="BP19" i="5" s="1"/>
  <c r="J19" i="2" s="1"/>
  <c r="O24" i="1"/>
  <c r="BO15" i="8"/>
  <c r="BP15" i="8"/>
  <c r="BM15" i="8"/>
  <c r="BN15" i="8"/>
  <c r="BK15" i="8"/>
  <c r="BL15" i="8"/>
  <c r="BJ15" i="8"/>
  <c r="AC15" i="10"/>
  <c r="X15" i="10" s="1"/>
  <c r="AS19" i="5"/>
  <c r="AH19" i="11"/>
  <c r="DB18" i="5"/>
  <c r="AM19" i="1"/>
  <c r="DF18" i="5"/>
  <c r="AK19" i="11"/>
  <c r="AJ19" i="1"/>
  <c r="DE18" i="5"/>
  <c r="AM20" i="14" a="1"/>
  <c r="AM20" i="14" s="1"/>
  <c r="AT20" i="14" a="1"/>
  <c r="AT20" i="14" s="1"/>
  <c r="BI20" i="14" a="1"/>
  <c r="BI20" i="14" s="1"/>
  <c r="AC20" i="14" a="1"/>
  <c r="AC20" i="14" s="1"/>
  <c r="BH20" i="14" a="1"/>
  <c r="BH20" i="14" s="1"/>
  <c r="AY20" i="14" a="1"/>
  <c r="AY20" i="14" s="1"/>
  <c r="AP20" i="14" a="1"/>
  <c r="AP20" i="14" s="1"/>
  <c r="BM20" i="14" a="1"/>
  <c r="BM20" i="14" s="1"/>
  <c r="AE20" i="14" a="1"/>
  <c r="AE20" i="14" s="1"/>
  <c r="BB20" i="14" a="1"/>
  <c r="BB20" i="14" s="1"/>
  <c r="BA20" i="14" a="1"/>
  <c r="BA20" i="14" s="1"/>
  <c r="BP20" i="14" a="1"/>
  <c r="BP20" i="14" s="1"/>
  <c r="T20" i="14" a="1"/>
  <c r="T20" i="14" s="1"/>
  <c r="AH20" i="14" a="1"/>
  <c r="AH20" i="14" s="1"/>
  <c r="R20" i="14" a="1"/>
  <c r="R20" i="14" s="1"/>
  <c r="AL20" i="1" s="1"/>
  <c r="Q20" i="14" a="1"/>
  <c r="Q20" i="14" s="1"/>
  <c r="BS20" i="14" a="1"/>
  <c r="BS20" i="14" s="1"/>
  <c r="BR20" i="14" a="1"/>
  <c r="BR20" i="14" s="1"/>
  <c r="AL20" i="14" a="1"/>
  <c r="AL20" i="14" s="1"/>
  <c r="AK20" i="14" a="1"/>
  <c r="AK20" i="14" s="1"/>
  <c r="AN20" i="14" a="1"/>
  <c r="AN20" i="14" s="1"/>
  <c r="BG20" i="14" a="1"/>
  <c r="BG20" i="14" s="1"/>
  <c r="BU20" i="14" a="1"/>
  <c r="BU20" i="14" s="1"/>
  <c r="AF20" i="14" a="1"/>
  <c r="AF20" i="14" s="1"/>
  <c r="M20" i="14" a="1"/>
  <c r="M20" i="14" s="1"/>
  <c r="AV20" i="14" a="1"/>
  <c r="AV20" i="14" s="1"/>
  <c r="X20" i="14" a="1"/>
  <c r="X20" i="14" s="1"/>
  <c r="N20" i="14" a="1"/>
  <c r="N20" i="14" s="1"/>
  <c r="U20" i="14" a="1"/>
  <c r="U20" i="14" s="1"/>
  <c r="BW20" i="14" a="1"/>
  <c r="BW20" i="14" s="1"/>
  <c r="BZ20" i="14" a="1"/>
  <c r="BZ20" i="14" s="1"/>
  <c r="AG20" i="14" a="1"/>
  <c r="AG20" i="14" s="1"/>
  <c r="Y20" i="14" a="1"/>
  <c r="Y20" i="14" s="1"/>
  <c r="BH20" i="1" s="1"/>
  <c r="BE20" i="14" a="1"/>
  <c r="BE20" i="14" s="1"/>
  <c r="BT20" i="14" a="1"/>
  <c r="BT20" i="14" s="1"/>
  <c r="AD20" i="14" a="1"/>
  <c r="AD20" i="14" s="1"/>
  <c r="V20" i="14" a="1"/>
  <c r="V20" i="14" s="1"/>
  <c r="AZ20" i="14" a="1"/>
  <c r="AZ20" i="14" s="1"/>
  <c r="AB20" i="14" a="1"/>
  <c r="AB20" i="14" s="1"/>
  <c r="AI20" i="14" a="1"/>
  <c r="AI20" i="14" s="1"/>
  <c r="AA20" i="14" a="1"/>
  <c r="AA20" i="14" s="1"/>
  <c r="BL20" i="14" a="1"/>
  <c r="BL20" i="14" s="1"/>
  <c r="BK20" i="14" a="1"/>
  <c r="BK20" i="14" s="1"/>
  <c r="BJ20" i="14" a="1"/>
  <c r="BJ20" i="14" s="1"/>
  <c r="BD20" i="14" a="1"/>
  <c r="BD20" i="14" s="1"/>
  <c r="BC20" i="14" a="1"/>
  <c r="BC20" i="14" s="1"/>
  <c r="O20" i="14" a="1"/>
  <c r="O20" i="14" s="1"/>
  <c r="AS20" i="14" a="1"/>
  <c r="AS20" i="14" s="1"/>
  <c r="BX20" i="14" a="1"/>
  <c r="BX20" i="14" s="1"/>
  <c r="BO20" i="14" a="1"/>
  <c r="BO20" i="14" s="1"/>
  <c r="AQ20" i="14" a="1"/>
  <c r="AQ20" i="14" s="1"/>
  <c r="BV20" i="14" a="1"/>
  <c r="BV20" i="14" s="1"/>
  <c r="AO20" i="14" a="1"/>
  <c r="AO20" i="14" s="1"/>
  <c r="AU20" i="14" a="1"/>
  <c r="AU20" i="14" s="1"/>
  <c r="BF20" i="14" a="1"/>
  <c r="BF20" i="14" s="1"/>
  <c r="W20" i="14" a="1"/>
  <c r="W20" i="14" s="1"/>
  <c r="Z20" i="14" a="1"/>
  <c r="Z20" i="14" s="1"/>
  <c r="BQ20" i="14" a="1"/>
  <c r="BQ20" i="14" s="1"/>
  <c r="BN20" i="14" a="1"/>
  <c r="BN20" i="14" s="1"/>
  <c r="P20" i="14" a="1"/>
  <c r="P20" i="14" s="1"/>
  <c r="AX20" i="14" a="1"/>
  <c r="AX20" i="14" s="1"/>
  <c r="AR20" i="14" a="1"/>
  <c r="AR20" i="14" s="1"/>
  <c r="AW20" i="14" a="1"/>
  <c r="AW20" i="14" s="1"/>
  <c r="AJ20" i="14" a="1"/>
  <c r="AJ20" i="14" s="1"/>
  <c r="BY20" i="14" a="1"/>
  <c r="BY20" i="14" s="1"/>
  <c r="S20" i="14" a="1"/>
  <c r="S20" i="14" s="1"/>
  <c r="DH18" i="5"/>
  <c r="AF17" i="1"/>
  <c r="AU20" i="8"/>
  <c r="AE20" i="8"/>
  <c r="Y17" i="1"/>
  <c r="DJ18" i="5"/>
  <c r="W17" i="1"/>
  <c r="K21" i="11"/>
  <c r="A21" i="14"/>
  <c r="CA21" i="14" s="1"/>
  <c r="A21" i="9"/>
  <c r="A21" i="8"/>
  <c r="A21" i="5"/>
  <c r="A21" i="2"/>
  <c r="A21" i="7"/>
  <c r="R21" i="7" s="1"/>
  <c r="AC14" i="11"/>
  <c r="U14" i="8" s="1"/>
  <c r="Y14" i="11"/>
  <c r="AH14" i="1" s="1"/>
  <c r="BY15" i="8"/>
  <c r="Z14" i="11"/>
  <c r="AB14" i="11"/>
  <c r="Q14" i="8" s="1"/>
  <c r="AD14" i="11"/>
  <c r="AI14" i="1" s="1"/>
  <c r="CI15" i="8"/>
  <c r="DA15" i="8" s="1"/>
  <c r="CC15" i="8"/>
  <c r="CV15" i="8" s="1"/>
  <c r="CW15" i="8" s="1"/>
  <c r="CA15" i="8"/>
  <c r="BZ15" i="8"/>
  <c r="N15" i="7"/>
  <c r="CX13" i="8"/>
  <c r="CY13" i="8" s="1"/>
  <c r="CB15" i="8"/>
  <c r="CT15" i="8" s="1"/>
  <c r="AA14" i="11"/>
  <c r="AK14" i="1" s="1"/>
  <c r="AE15" i="7"/>
  <c r="AF15" i="7" s="1"/>
  <c r="BU18" i="5"/>
  <c r="B18" i="2"/>
  <c r="B18" i="1"/>
  <c r="BG18" i="1" s="1"/>
  <c r="AH18" i="5"/>
  <c r="BY20" i="11"/>
  <c r="AA19" i="7"/>
  <c r="AF19" i="8" s="1"/>
  <c r="AV19" i="8" s="1"/>
  <c r="K19" i="10"/>
  <c r="L19" i="11"/>
  <c r="M19" i="5"/>
  <c r="H18" i="10"/>
  <c r="J18" i="7"/>
  <c r="H19" i="5"/>
  <c r="C18" i="10"/>
  <c r="E18" i="7"/>
  <c r="G19" i="5"/>
  <c r="B18" i="10"/>
  <c r="D18" i="7"/>
  <c r="L19" i="5"/>
  <c r="G18" i="10"/>
  <c r="I18" i="7"/>
  <c r="J19" i="5"/>
  <c r="DC19" i="5" s="1"/>
  <c r="E18" i="10"/>
  <c r="G18" i="7"/>
  <c r="K19" i="5"/>
  <c r="F18" i="10"/>
  <c r="H18" i="7"/>
  <c r="DD18" i="5"/>
  <c r="B18" i="5"/>
  <c r="I19" i="5"/>
  <c r="D18" i="10"/>
  <c r="F18" i="7"/>
  <c r="CQ14" i="8"/>
  <c r="CU14" i="8" s="1"/>
  <c r="CE14" i="8"/>
  <c r="CX14" i="8" s="1"/>
  <c r="CY14" i="8" s="1"/>
  <c r="DB14" i="8"/>
  <c r="DH16" i="8"/>
  <c r="DI16" i="8" s="1"/>
  <c r="CK16" i="8"/>
  <c r="BW16" i="8"/>
  <c r="AC16" i="1" s="1"/>
  <c r="BH16" i="8"/>
  <c r="BU16" i="8" s="1"/>
  <c r="BI16" i="8"/>
  <c r="AH27" i="9"/>
  <c r="AQ14" i="5"/>
  <c r="CR14" i="8"/>
  <c r="B14" i="14"/>
  <c r="AI16" i="5"/>
  <c r="X16" i="8"/>
  <c r="DD16" i="8" s="1"/>
  <c r="B16" i="9"/>
  <c r="Y16" i="9" s="1"/>
  <c r="A16" i="11"/>
  <c r="AJ16" i="5"/>
  <c r="AP16" i="5" s="1"/>
  <c r="AC16" i="8"/>
  <c r="BQ16" i="8" s="1"/>
  <c r="BT16" i="5"/>
  <c r="A16" i="10"/>
  <c r="AA16" i="10" s="1"/>
  <c r="B16" i="7"/>
  <c r="E16" i="1"/>
  <c r="C17" i="5"/>
  <c r="F17" i="5" s="1"/>
  <c r="CZ18" i="5"/>
  <c r="C18" i="5"/>
  <c r="DA17" i="5"/>
  <c r="DG17" i="5" s="1" a="1"/>
  <c r="DG17" i="5" s="1"/>
  <c r="AB18" i="1"/>
  <c r="DI18" i="5"/>
  <c r="AG27" i="9"/>
  <c r="AK27" i="9"/>
  <c r="AE89" i="9"/>
  <c r="B11" i="14"/>
  <c r="S20" i="2"/>
  <c r="P21" i="2"/>
  <c r="N21" i="2"/>
  <c r="R21" i="2"/>
  <c r="Q20" i="2"/>
  <c r="J22" i="10"/>
  <c r="N22" i="5" s="1"/>
  <c r="AQ43" i="9" l="1"/>
  <c r="CM43" i="8" s="1"/>
  <c r="AO16" i="5"/>
  <c r="AM16" i="5"/>
  <c r="AN16" i="5"/>
  <c r="AV17" i="5"/>
  <c r="AW17" i="5"/>
  <c r="AG15" i="7"/>
  <c r="AI15" i="7" s="1"/>
  <c r="CL17" i="8"/>
  <c r="DB15" i="8"/>
  <c r="P15" i="8"/>
  <c r="AI38" i="9"/>
  <c r="AO38" i="8" s="1"/>
  <c r="G22" i="8"/>
  <c r="CF21" i="8"/>
  <c r="O21" i="2"/>
  <c r="AM28" i="9"/>
  <c r="BR16" i="8"/>
  <c r="BS16" i="8"/>
  <c r="AD19" i="1"/>
  <c r="CS21" i="5"/>
  <c r="CV21" i="5"/>
  <c r="CR21" i="5"/>
  <c r="CQ21" i="5"/>
  <c r="CW21" i="5"/>
  <c r="CU21" i="5"/>
  <c r="CT21" i="5"/>
  <c r="AY21" i="5" a="1"/>
  <c r="AY21" i="5" s="1"/>
  <c r="BL21" i="5" a="1"/>
  <c r="BL21" i="5" s="1"/>
  <c r="BO21" i="5" a="1"/>
  <c r="BO21" i="5" s="1"/>
  <c r="BA21" i="5" a="1"/>
  <c r="BA21" i="5" s="1"/>
  <c r="DF13" i="8"/>
  <c r="G13" i="1" s="1"/>
  <c r="N13" i="8" s="1"/>
  <c r="BB21" i="5" a="1"/>
  <c r="BB21" i="5" s="1"/>
  <c r="BH21" i="5" a="1"/>
  <c r="BH21" i="5" s="1"/>
  <c r="BM21" i="5" a="1"/>
  <c r="BM21" i="5" s="1"/>
  <c r="BN21" i="5" a="1"/>
  <c r="BN21" i="5" s="1"/>
  <c r="BQ21" i="5" a="1"/>
  <c r="BQ21" i="5" s="1"/>
  <c r="BK21" i="5" a="1"/>
  <c r="BK21" i="5" s="1"/>
  <c r="BD21" i="5" a="1"/>
  <c r="BD21" i="5" s="1"/>
  <c r="BF21" i="5" a="1"/>
  <c r="BF21" i="5" s="1"/>
  <c r="AE20" i="1" s="1"/>
  <c r="BJ21" i="5" a="1"/>
  <c r="BJ21" i="5" s="1"/>
  <c r="AZ21" i="5" a="1"/>
  <c r="AZ21" i="5" s="1"/>
  <c r="BC21" i="5" a="1"/>
  <c r="BC21" i="5" s="1"/>
  <c r="BI21" i="5" a="1"/>
  <c r="BI21" i="5" s="1"/>
  <c r="BE21" i="5" a="1"/>
  <c r="BE21" i="5" s="1"/>
  <c r="BG21" i="5" a="1"/>
  <c r="BG21" i="5" s="1"/>
  <c r="V19" i="2"/>
  <c r="CE15" i="8"/>
  <c r="CX15" i="8" s="1"/>
  <c r="CY15" i="8" s="1"/>
  <c r="CQ15" i="8"/>
  <c r="CU15" i="8" s="1"/>
  <c r="F24" i="8"/>
  <c r="BP20" i="5" a="1"/>
  <c r="BP20" i="5" s="1"/>
  <c r="J20" i="2" s="1"/>
  <c r="O25" i="1"/>
  <c r="BT16" i="8"/>
  <c r="BO16" i="8"/>
  <c r="BP16" i="8"/>
  <c r="BM16" i="8"/>
  <c r="BN16" i="8"/>
  <c r="BK16" i="8"/>
  <c r="BL16" i="8"/>
  <c r="BJ16" i="8"/>
  <c r="AC16" i="10"/>
  <c r="X16" i="10" s="1"/>
  <c r="AR16" i="5"/>
  <c r="AS20" i="5"/>
  <c r="AH20" i="11"/>
  <c r="DE19" i="5"/>
  <c r="AJ20" i="1"/>
  <c r="AK20" i="11"/>
  <c r="DB19" i="5"/>
  <c r="DF19" i="5"/>
  <c r="DD19" i="5"/>
  <c r="AE21" i="8"/>
  <c r="AU21" i="8"/>
  <c r="DH19" i="5"/>
  <c r="K22" i="11"/>
  <c r="A22" i="14"/>
  <c r="CA22" i="14" s="1"/>
  <c r="A22" i="5"/>
  <c r="A22" i="9"/>
  <c r="A22" i="8"/>
  <c r="A22" i="7"/>
  <c r="R22" i="7" s="1"/>
  <c r="A22" i="2"/>
  <c r="Y18" i="1"/>
  <c r="DJ19" i="5"/>
  <c r="AM21" i="14" a="1"/>
  <c r="AM21" i="14" s="1"/>
  <c r="X21" i="14" a="1"/>
  <c r="X21" i="14" s="1"/>
  <c r="AC21" i="14" a="1"/>
  <c r="AC21" i="14" s="1"/>
  <c r="BP21" i="14" a="1"/>
  <c r="BP21" i="14" s="1"/>
  <c r="AR21" i="14" a="1"/>
  <c r="AR21" i="14" s="1"/>
  <c r="AY21" i="14" a="1"/>
  <c r="AY21" i="14" s="1"/>
  <c r="Z21" i="14" a="1"/>
  <c r="Z21" i="14" s="1"/>
  <c r="BL21" i="14" a="1"/>
  <c r="BL21" i="14" s="1"/>
  <c r="BS21" i="14" a="1"/>
  <c r="BS21" i="14" s="1"/>
  <c r="AE21" i="14" a="1"/>
  <c r="AE21" i="14" s="1"/>
  <c r="BR21" i="14" a="1"/>
  <c r="BR21" i="14" s="1"/>
  <c r="AK21" i="14" a="1"/>
  <c r="AK21" i="14" s="1"/>
  <c r="AN21" i="14" a="1"/>
  <c r="AN21" i="14" s="1"/>
  <c r="BG21" i="14" a="1"/>
  <c r="BG21" i="14" s="1"/>
  <c r="AF21" i="14" a="1"/>
  <c r="AF21" i="14" s="1"/>
  <c r="AG21" i="14" a="1"/>
  <c r="AG21" i="14" s="1"/>
  <c r="BM21" i="14" a="1"/>
  <c r="BM21" i="14" s="1"/>
  <c r="BT21" i="14" a="1"/>
  <c r="BT21" i="14" s="1"/>
  <c r="BJ21" i="14" a="1"/>
  <c r="BJ21" i="14" s="1"/>
  <c r="BI21" i="14" a="1"/>
  <c r="BI21" i="14" s="1"/>
  <c r="BY21" i="14" a="1"/>
  <c r="BY21" i="14" s="1"/>
  <c r="BO21" i="14" a="1"/>
  <c r="BO21" i="14" s="1"/>
  <c r="AQ21" i="14" a="1"/>
  <c r="AQ21" i="14" s="1"/>
  <c r="BF21" i="14" a="1"/>
  <c r="BF21" i="14" s="1"/>
  <c r="M21" i="14" a="1"/>
  <c r="M21" i="14" s="1"/>
  <c r="W21" i="14" a="1"/>
  <c r="W21" i="14" s="1"/>
  <c r="BB21" i="14" a="1"/>
  <c r="BB21" i="14" s="1"/>
  <c r="BA21" i="14" a="1"/>
  <c r="BA21" i="14" s="1"/>
  <c r="U21" i="14" a="1"/>
  <c r="U21" i="14" s="1"/>
  <c r="T21" i="14" a="1"/>
  <c r="T21" i="14" s="1"/>
  <c r="S21" i="14" a="1"/>
  <c r="S21" i="14" s="1"/>
  <c r="AA21" i="14" a="1"/>
  <c r="AA21" i="14" s="1"/>
  <c r="AO21" i="14" a="1"/>
  <c r="AO21" i="14" s="1"/>
  <c r="AU21" i="14" a="1"/>
  <c r="AU21" i="14" s="1"/>
  <c r="BD21" i="14" a="1"/>
  <c r="BD21" i="14" s="1"/>
  <c r="BH21" i="14" a="1"/>
  <c r="BH21" i="14" s="1"/>
  <c r="AP21" i="14" a="1"/>
  <c r="AP21" i="14" s="1"/>
  <c r="BC21" i="14" a="1"/>
  <c r="BC21" i="14" s="1"/>
  <c r="BQ21" i="14" a="1"/>
  <c r="BQ21" i="14" s="1"/>
  <c r="BX21" i="14" a="1"/>
  <c r="BX21" i="14" s="1"/>
  <c r="AH21" i="14" a="1"/>
  <c r="AH21" i="14" s="1"/>
  <c r="AL21" i="14" a="1"/>
  <c r="AL21" i="14" s="1"/>
  <c r="AS21" i="14" a="1"/>
  <c r="AS21" i="14" s="1"/>
  <c r="AI21" i="14" a="1"/>
  <c r="AI21" i="14" s="1"/>
  <c r="AW21" i="14" a="1"/>
  <c r="AW21" i="14" s="1"/>
  <c r="O21" i="14" a="1"/>
  <c r="O21" i="14" s="1"/>
  <c r="BZ21" i="14" a="1"/>
  <c r="BZ21" i="14" s="1"/>
  <c r="BV21" i="14" a="1"/>
  <c r="BV21" i="14" s="1"/>
  <c r="Q21" i="14" a="1"/>
  <c r="Q21" i="14" s="1"/>
  <c r="AT21" i="14" a="1"/>
  <c r="AT21" i="14" s="1"/>
  <c r="AZ21" i="14" a="1"/>
  <c r="AZ21" i="14" s="1"/>
  <c r="BN21" i="14" a="1"/>
  <c r="BN21" i="14" s="1"/>
  <c r="R21" i="14" a="1"/>
  <c r="R21" i="14" s="1"/>
  <c r="AL21" i="1" s="1"/>
  <c r="AD21" i="14" a="1"/>
  <c r="AD21" i="14" s="1"/>
  <c r="AB21" i="14" a="1"/>
  <c r="AB21" i="14" s="1"/>
  <c r="BW21" i="14" a="1"/>
  <c r="BW21" i="14" s="1"/>
  <c r="Y21" i="14" a="1"/>
  <c r="Y21" i="14" s="1"/>
  <c r="BH21" i="1" s="1"/>
  <c r="BK21" i="14" a="1"/>
  <c r="BK21" i="14" s="1"/>
  <c r="V21" i="14" a="1"/>
  <c r="V21" i="14" s="1"/>
  <c r="P21" i="14" a="1"/>
  <c r="P21" i="14" s="1"/>
  <c r="AX21" i="14" a="1"/>
  <c r="AX21" i="14" s="1"/>
  <c r="BU21" i="14" a="1"/>
  <c r="BU21" i="14" s="1"/>
  <c r="AV21" i="14" a="1"/>
  <c r="AV21" i="14" s="1"/>
  <c r="N21" i="14" a="1"/>
  <c r="N21" i="14" s="1"/>
  <c r="AJ21" i="14" a="1"/>
  <c r="AJ21" i="14" s="1"/>
  <c r="BE21" i="14" a="1"/>
  <c r="BE21" i="14" s="1"/>
  <c r="AF18" i="1"/>
  <c r="AM20" i="1"/>
  <c r="W18" i="1"/>
  <c r="AQ15" i="5"/>
  <c r="CR15" i="8"/>
  <c r="AH19" i="5"/>
  <c r="BU19" i="5"/>
  <c r="B19" i="2"/>
  <c r="B19" i="1"/>
  <c r="BG19" i="1" s="1"/>
  <c r="BY21" i="11"/>
  <c r="K20" i="10"/>
  <c r="AA20" i="7"/>
  <c r="AF20" i="8" s="1"/>
  <c r="AV20" i="8" s="1"/>
  <c r="L20" i="11"/>
  <c r="I20" i="5"/>
  <c r="D19" i="10"/>
  <c r="F19" i="7"/>
  <c r="J20" i="5"/>
  <c r="DC20" i="5" s="1"/>
  <c r="E19" i="10"/>
  <c r="G19" i="7"/>
  <c r="L20" i="5"/>
  <c r="G19" i="10"/>
  <c r="I19" i="7"/>
  <c r="K20" i="5"/>
  <c r="F19" i="10"/>
  <c r="H19" i="7"/>
  <c r="H20" i="5"/>
  <c r="C19" i="10"/>
  <c r="E19" i="7"/>
  <c r="B19" i="5"/>
  <c r="F18" i="5"/>
  <c r="G20" i="5"/>
  <c r="B19" i="10"/>
  <c r="D19" i="7"/>
  <c r="M20" i="5"/>
  <c r="H19" i="10"/>
  <c r="J19" i="7"/>
  <c r="CS14" i="8"/>
  <c r="DF14" i="8" s="1"/>
  <c r="G14" i="1" s="1"/>
  <c r="N14" i="8" s="1"/>
  <c r="D17" i="9"/>
  <c r="DH17" i="8"/>
  <c r="DI17" i="8" s="1"/>
  <c r="CI16" i="8"/>
  <c r="DA16" i="8" s="1"/>
  <c r="CK17" i="8"/>
  <c r="BW17" i="8"/>
  <c r="AC17" i="1" s="1"/>
  <c r="BX16" i="8"/>
  <c r="CE16" i="8" s="1"/>
  <c r="N16" i="7"/>
  <c r="BH17" i="8"/>
  <c r="BU17" i="8" s="1"/>
  <c r="BI17" i="8"/>
  <c r="AH28" i="9"/>
  <c r="CC16" i="8"/>
  <c r="CV16" i="8" s="1"/>
  <c r="CW16" i="8" s="1"/>
  <c r="CH16" i="8"/>
  <c r="CZ16" i="8" s="1"/>
  <c r="CA16" i="8"/>
  <c r="BZ16" i="8"/>
  <c r="CB16" i="8"/>
  <c r="CT16" i="8" s="1"/>
  <c r="BY16" i="8"/>
  <c r="AC15" i="11"/>
  <c r="U15" i="8" s="1"/>
  <c r="AA15" i="11"/>
  <c r="AK15" i="1" s="1"/>
  <c r="Y15" i="11"/>
  <c r="AH15" i="1" s="1"/>
  <c r="AD15" i="11"/>
  <c r="AI15" i="1" s="1"/>
  <c r="Z15" i="11"/>
  <c r="AB15" i="11"/>
  <c r="Q15" i="8" s="1"/>
  <c r="N16" i="11"/>
  <c r="B17" i="9"/>
  <c r="Y17" i="9" s="1"/>
  <c r="AI17" i="5"/>
  <c r="A17" i="11"/>
  <c r="AC17" i="8"/>
  <c r="BQ17" i="8" s="1"/>
  <c r="BT17" i="5"/>
  <c r="AJ17" i="5"/>
  <c r="AP17" i="5" s="1"/>
  <c r="X17" i="8"/>
  <c r="DD17" i="8" s="1"/>
  <c r="A17" i="10"/>
  <c r="AA17" i="10" s="1"/>
  <c r="B17" i="7"/>
  <c r="E17" i="1"/>
  <c r="CZ19" i="5"/>
  <c r="AE16" i="7"/>
  <c r="AF16" i="7" s="1"/>
  <c r="Q16" i="7"/>
  <c r="DA18" i="5"/>
  <c r="DG18" i="5" s="1" a="1"/>
  <c r="DG18" i="5" s="1"/>
  <c r="DI19" i="5"/>
  <c r="AB19" i="1"/>
  <c r="AG28" i="9"/>
  <c r="AK28" i="9"/>
  <c r="AE90" i="9"/>
  <c r="B12" i="14"/>
  <c r="S21" i="2"/>
  <c r="P22" i="2"/>
  <c r="N22" i="2"/>
  <c r="R22" i="2"/>
  <c r="Q21" i="2"/>
  <c r="P23" i="2"/>
  <c r="J23" i="10"/>
  <c r="N23" i="5" s="1"/>
  <c r="AQ44" i="9" l="1"/>
  <c r="CM44" i="8" s="1"/>
  <c r="AO17" i="5"/>
  <c r="AM17" i="5"/>
  <c r="AN17" i="5"/>
  <c r="AR17" i="5" s="1"/>
  <c r="AV18" i="5"/>
  <c r="AW18" i="5"/>
  <c r="AG16" i="7"/>
  <c r="AI16" i="7" s="1"/>
  <c r="CL18" i="8"/>
  <c r="AI39" i="9"/>
  <c r="AO39" i="8" s="1"/>
  <c r="G23" i="8"/>
  <c r="CF22" i="8"/>
  <c r="O22" i="2"/>
  <c r="BN22" i="5" a="1"/>
  <c r="BN22" i="5" s="1"/>
  <c r="BM22" i="5" a="1"/>
  <c r="BM22" i="5" s="1"/>
  <c r="BG22" i="5" a="1"/>
  <c r="BG22" i="5" s="1"/>
  <c r="BH22" i="5" a="1"/>
  <c r="BH22" i="5" s="1"/>
  <c r="BE22" i="5" a="1"/>
  <c r="BE22" i="5" s="1"/>
  <c r="BB22" i="5" a="1"/>
  <c r="BB22" i="5" s="1"/>
  <c r="AM29" i="9"/>
  <c r="BR17" i="8"/>
  <c r="BS17" i="8"/>
  <c r="AD20" i="1"/>
  <c r="BA22" i="5" a="1"/>
  <c r="BA22" i="5" s="1"/>
  <c r="BO22" i="5" a="1"/>
  <c r="BO22" i="5" s="1"/>
  <c r="BI22" i="5" a="1"/>
  <c r="BI22" i="5" s="1"/>
  <c r="BC22" i="5" a="1"/>
  <c r="BC22" i="5" s="1"/>
  <c r="AZ22" i="5" a="1"/>
  <c r="AZ22" i="5" s="1"/>
  <c r="BJ22" i="5" a="1"/>
  <c r="BJ22" i="5" s="1"/>
  <c r="BF22" i="5" a="1"/>
  <c r="BF22" i="5" s="1"/>
  <c r="AE21" i="1" s="1"/>
  <c r="BD22" i="5" a="1"/>
  <c r="BD22" i="5" s="1"/>
  <c r="CT22" i="5"/>
  <c r="CR22" i="5"/>
  <c r="CQ22" i="5"/>
  <c r="CS22" i="5"/>
  <c r="CU22" i="5"/>
  <c r="CV22" i="5"/>
  <c r="CW22" i="5"/>
  <c r="AY22" i="5" a="1"/>
  <c r="AY22" i="5" s="1"/>
  <c r="BL22" i="5" a="1"/>
  <c r="BL22" i="5" s="1"/>
  <c r="BK22" i="5" a="1"/>
  <c r="BK22" i="5" s="1"/>
  <c r="BQ22" i="5" a="1"/>
  <c r="BQ22" i="5" s="1"/>
  <c r="V20" i="2"/>
  <c r="CS15" i="8"/>
  <c r="DF15" i="8" s="1"/>
  <c r="G15" i="1" s="1"/>
  <c r="N15" i="8" s="1"/>
  <c r="F25" i="8"/>
  <c r="BP21" i="5" a="1"/>
  <c r="BP21" i="5" s="1"/>
  <c r="J21" i="2" s="1"/>
  <c r="AI18" i="5"/>
  <c r="O26" i="1"/>
  <c r="BT17" i="8"/>
  <c r="BO17" i="8"/>
  <c r="BP17" i="8"/>
  <c r="BM17" i="8"/>
  <c r="BN17" i="8"/>
  <c r="BK17" i="8"/>
  <c r="BL17" i="8"/>
  <c r="BJ17" i="8"/>
  <c r="AC17" i="10"/>
  <c r="X17" i="10" s="1"/>
  <c r="AS21" i="5"/>
  <c r="AH21" i="11"/>
  <c r="DF20" i="5"/>
  <c r="DE20" i="5"/>
  <c r="AK21" i="11"/>
  <c r="AJ21" i="1"/>
  <c r="DB20" i="5"/>
  <c r="AF19" i="1"/>
  <c r="Y19" i="1"/>
  <c r="DJ20" i="5"/>
  <c r="W19" i="1"/>
  <c r="DH20" i="5"/>
  <c r="K23" i="11"/>
  <c r="A23" i="14"/>
  <c r="CA23" i="14" s="1"/>
  <c r="A23" i="5"/>
  <c r="A23" i="7"/>
  <c r="R23" i="7" s="1"/>
  <c r="A23" i="8"/>
  <c r="A23" i="9"/>
  <c r="A23" i="2"/>
  <c r="AE22" i="8"/>
  <c r="AU22" i="8"/>
  <c r="AM21" i="1"/>
  <c r="BR22" i="14" a="1"/>
  <c r="BR22" i="14" s="1"/>
  <c r="V22" i="14" a="1"/>
  <c r="V22" i="14" s="1"/>
  <c r="AC22" i="14" a="1"/>
  <c r="AC22" i="14" s="1"/>
  <c r="BY22" i="14" a="1"/>
  <c r="BY22" i="14" s="1"/>
  <c r="BW22" i="14" a="1"/>
  <c r="BW22" i="14" s="1"/>
  <c r="BV22" i="14" a="1"/>
  <c r="BV22" i="14" s="1"/>
  <c r="AX22" i="14" a="1"/>
  <c r="AX22" i="14" s="1"/>
  <c r="AG22" i="14" a="1"/>
  <c r="AG22" i="14" s="1"/>
  <c r="AV22" i="14" a="1"/>
  <c r="AV22" i="14" s="1"/>
  <c r="AE22" i="14" a="1"/>
  <c r="AE22" i="14" s="1"/>
  <c r="AD22" i="14" a="1"/>
  <c r="AD22" i="14" s="1"/>
  <c r="BA22" i="14" a="1"/>
  <c r="BA22" i="14" s="1"/>
  <c r="BZ22" i="14" a="1"/>
  <c r="BZ22" i="14" s="1"/>
  <c r="T22" i="14" a="1"/>
  <c r="T22" i="14" s="1"/>
  <c r="AF22" i="14" a="1"/>
  <c r="AF22" i="14" s="1"/>
  <c r="BL22" i="14" a="1"/>
  <c r="BL22" i="14" s="1"/>
  <c r="Z22" i="14" a="1"/>
  <c r="Z22" i="14" s="1"/>
  <c r="BS22" i="14" a="1"/>
  <c r="BS22" i="14" s="1"/>
  <c r="AM22" i="14" a="1"/>
  <c r="AM22" i="14" s="1"/>
  <c r="BB22" i="14" a="1"/>
  <c r="BB22" i="14" s="1"/>
  <c r="U22" i="14" a="1"/>
  <c r="U22" i="14" s="1"/>
  <c r="BX22" i="14" a="1"/>
  <c r="BX22" i="14" s="1"/>
  <c r="BN22" i="14" a="1"/>
  <c r="BN22" i="14" s="1"/>
  <c r="BF22" i="14" a="1"/>
  <c r="BF22" i="14" s="1"/>
  <c r="AH22" i="14" a="1"/>
  <c r="AH22" i="14" s="1"/>
  <c r="AO22" i="14" a="1"/>
  <c r="AO22" i="14" s="1"/>
  <c r="BT22" i="14" a="1"/>
  <c r="BT22" i="14" s="1"/>
  <c r="O22" i="14" a="1"/>
  <c r="O22" i="14" s="1"/>
  <c r="BD22" i="14" a="1"/>
  <c r="BD22" i="14" s="1"/>
  <c r="AZ22" i="14" a="1"/>
  <c r="AZ22" i="14" s="1"/>
  <c r="BH22" i="14" a="1"/>
  <c r="BH22" i="14" s="1"/>
  <c r="BG22" i="14" a="1"/>
  <c r="BG22" i="14" s="1"/>
  <c r="BM22" i="14" a="1"/>
  <c r="BM22" i="14" s="1"/>
  <c r="M22" i="14" a="1"/>
  <c r="M22" i="14" s="1"/>
  <c r="BK22" i="14" a="1"/>
  <c r="BK22" i="14" s="1"/>
  <c r="X22" i="14" a="1"/>
  <c r="X22" i="14" s="1"/>
  <c r="BQ22" i="14" a="1"/>
  <c r="BQ22" i="14" s="1"/>
  <c r="AS22" i="14" a="1"/>
  <c r="AS22" i="14" s="1"/>
  <c r="AB22" i="14" a="1"/>
  <c r="AB22" i="14" s="1"/>
  <c r="AQ22" i="14" a="1"/>
  <c r="AQ22" i="14" s="1"/>
  <c r="R22" i="14" a="1"/>
  <c r="R22" i="14" s="1"/>
  <c r="AL22" i="1" s="1"/>
  <c r="BE22" i="14" a="1"/>
  <c r="BE22" i="14" s="1"/>
  <c r="AU22" i="14" a="1"/>
  <c r="AU22" i="14" s="1"/>
  <c r="BJ22" i="14" a="1"/>
  <c r="BJ22" i="14" s="1"/>
  <c r="BI22" i="14" a="1"/>
  <c r="BI22" i="14" s="1"/>
  <c r="BP22" i="14" a="1"/>
  <c r="BP22" i="14" s="1"/>
  <c r="BO22" i="14" a="1"/>
  <c r="BO22" i="14" s="1"/>
  <c r="AY22" i="14" a="1"/>
  <c r="AY22" i="14" s="1"/>
  <c r="AP22" i="14" a="1"/>
  <c r="AP22" i="14" s="1"/>
  <c r="Y22" i="14" a="1"/>
  <c r="Y22" i="14" s="1"/>
  <c r="BC22" i="14" a="1"/>
  <c r="BC22" i="14" s="1"/>
  <c r="N22" i="14" a="1"/>
  <c r="N22" i="14" s="1"/>
  <c r="AL22" i="14" a="1"/>
  <c r="AL22" i="14" s="1"/>
  <c r="AR22" i="14" a="1"/>
  <c r="AR22" i="14" s="1"/>
  <c r="P22" i="14" a="1"/>
  <c r="P22" i="14" s="1"/>
  <c r="AA22" i="14" a="1"/>
  <c r="AA22" i="14" s="1"/>
  <c r="BU22" i="14" a="1"/>
  <c r="BU22" i="14" s="1"/>
  <c r="Q22" i="14" a="1"/>
  <c r="Q22" i="14" s="1"/>
  <c r="W22" i="14" a="1"/>
  <c r="W22" i="14" s="1"/>
  <c r="AT22" i="14" a="1"/>
  <c r="AT22" i="14" s="1"/>
  <c r="AK22" i="14" a="1"/>
  <c r="AK22" i="14" s="1"/>
  <c r="AJ22" i="14" a="1"/>
  <c r="AJ22" i="14" s="1"/>
  <c r="AN22" i="14" a="1"/>
  <c r="AN22" i="14" s="1"/>
  <c r="S22" i="14" a="1"/>
  <c r="S22" i="14" s="1"/>
  <c r="AI22" i="14" a="1"/>
  <c r="AI22" i="14" s="1"/>
  <c r="AW22" i="14" a="1"/>
  <c r="AW22" i="14" s="1"/>
  <c r="B18" i="7"/>
  <c r="Q18" i="7" s="1"/>
  <c r="BH18" i="8"/>
  <c r="BU18" i="8" s="1"/>
  <c r="BW18" i="8"/>
  <c r="X18" i="8"/>
  <c r="DD18" i="8" s="1"/>
  <c r="AJ18" i="5"/>
  <c r="AP18" i="5" s="1"/>
  <c r="B18" i="9"/>
  <c r="Y18" i="9" s="1"/>
  <c r="A18" i="10"/>
  <c r="AA18" i="10" s="1"/>
  <c r="BU20" i="5"/>
  <c r="B20" i="1"/>
  <c r="BG20" i="1" s="1"/>
  <c r="AH20" i="5"/>
  <c r="B20" i="2"/>
  <c r="E18" i="1"/>
  <c r="BT18" i="5"/>
  <c r="AC18" i="8"/>
  <c r="BQ18" i="8" s="1"/>
  <c r="CK18" i="8"/>
  <c r="DH18" i="8"/>
  <c r="DI18" i="8" s="1"/>
  <c r="BY22" i="11"/>
  <c r="AA21" i="7"/>
  <c r="AF21" i="8" s="1"/>
  <c r="AV21" i="8" s="1"/>
  <c r="K21" i="10"/>
  <c r="L21" i="11"/>
  <c r="A18" i="11"/>
  <c r="N18" i="11" s="1"/>
  <c r="BI18" i="8"/>
  <c r="H21" i="5"/>
  <c r="C20" i="10"/>
  <c r="E20" i="7"/>
  <c r="B20" i="5"/>
  <c r="M21" i="5"/>
  <c r="H20" i="10"/>
  <c r="J20" i="7"/>
  <c r="L21" i="5"/>
  <c r="G20" i="10"/>
  <c r="I20" i="7"/>
  <c r="G21" i="5"/>
  <c r="D20" i="7"/>
  <c r="B20" i="10"/>
  <c r="J21" i="5"/>
  <c r="DC21" i="5" s="1"/>
  <c r="E20" i="10"/>
  <c r="G20" i="7"/>
  <c r="K21" i="5"/>
  <c r="F20" i="10"/>
  <c r="H20" i="7"/>
  <c r="DD20" i="5"/>
  <c r="I21" i="5"/>
  <c r="D20" i="10"/>
  <c r="F20" i="7"/>
  <c r="CQ16" i="8"/>
  <c r="CU16" i="8" s="1"/>
  <c r="D18" i="9"/>
  <c r="CI17" i="8"/>
  <c r="DA17" i="8" s="1"/>
  <c r="DB16" i="8"/>
  <c r="CD16" i="8"/>
  <c r="P16" i="8" s="1"/>
  <c r="BX17" i="8"/>
  <c r="CD17" i="8" s="1"/>
  <c r="N17" i="7"/>
  <c r="AH29" i="9"/>
  <c r="AQ16" i="5"/>
  <c r="Q17" i="7"/>
  <c r="AE17" i="7"/>
  <c r="AF17" i="7" s="1"/>
  <c r="CR16" i="8"/>
  <c r="AC16" i="11"/>
  <c r="U16" i="8" s="1"/>
  <c r="Z16" i="11"/>
  <c r="AA16" i="11"/>
  <c r="AK16" i="1" s="1"/>
  <c r="Y16" i="11"/>
  <c r="AH16" i="1" s="1"/>
  <c r="AB16" i="11"/>
  <c r="Q16" i="8" s="1"/>
  <c r="AD16" i="11"/>
  <c r="AI16" i="1" s="1"/>
  <c r="N17" i="11"/>
  <c r="CZ20" i="5"/>
  <c r="CC17" i="8"/>
  <c r="CV17" i="8" s="1"/>
  <c r="CW17" i="8" s="1"/>
  <c r="CH17" i="8"/>
  <c r="CZ17" i="8" s="1"/>
  <c r="CA17" i="8"/>
  <c r="CB17" i="8"/>
  <c r="CT17" i="8" s="1"/>
  <c r="BZ17" i="8"/>
  <c r="BY17" i="8"/>
  <c r="C19" i="5"/>
  <c r="F19" i="5" s="1"/>
  <c r="AB20" i="1"/>
  <c r="DI20" i="5"/>
  <c r="DA19" i="5"/>
  <c r="DG19" i="5" s="1" a="1"/>
  <c r="DG19" i="5" s="1"/>
  <c r="AG29" i="9"/>
  <c r="AK29" i="9"/>
  <c r="AE91" i="9"/>
  <c r="B16" i="14"/>
  <c r="N5" i="1"/>
  <c r="S22" i="2"/>
  <c r="N23" i="2"/>
  <c r="R23" i="2"/>
  <c r="Q22" i="2"/>
  <c r="P24" i="2"/>
  <c r="J24" i="10"/>
  <c r="N24" i="5" s="1"/>
  <c r="AQ45" i="9" l="1"/>
  <c r="CM45" i="8" s="1"/>
  <c r="AO18" i="5"/>
  <c r="AM18" i="5"/>
  <c r="AN18" i="5"/>
  <c r="AR18" i="5" s="1"/>
  <c r="AV19" i="5"/>
  <c r="AW19" i="5"/>
  <c r="AG17" i="7"/>
  <c r="AI17" i="7" s="1"/>
  <c r="CL19" i="8"/>
  <c r="P17" i="8"/>
  <c r="CC18" i="8"/>
  <c r="CV18" i="8" s="1"/>
  <c r="CW18" i="8" s="1"/>
  <c r="AC18" i="1"/>
  <c r="AI40" i="9"/>
  <c r="AO40" i="8" s="1"/>
  <c r="G24" i="8"/>
  <c r="CF23" i="8"/>
  <c r="O23" i="2"/>
  <c r="AD21" i="1"/>
  <c r="BH23" i="5" a="1"/>
  <c r="BH23" i="5" s="1"/>
  <c r="BD23" i="5" a="1"/>
  <c r="BD23" i="5" s="1"/>
  <c r="AZ23" i="5" a="1"/>
  <c r="AZ23" i="5" s="1"/>
  <c r="BO23" i="5" a="1"/>
  <c r="BO23" i="5" s="1"/>
  <c r="BQ23" i="5" a="1"/>
  <c r="BQ23" i="5" s="1"/>
  <c r="BB23" i="5" a="1"/>
  <c r="BB23" i="5" s="1"/>
  <c r="BN23" i="5" a="1"/>
  <c r="BN23" i="5" s="1"/>
  <c r="BA23" i="5" a="1"/>
  <c r="BA23" i="5" s="1"/>
  <c r="BK23" i="5" a="1"/>
  <c r="BK23" i="5" s="1"/>
  <c r="BF23" i="5" a="1"/>
  <c r="BF23" i="5" s="1"/>
  <c r="AE22" i="1" s="1"/>
  <c r="BC23" i="5" a="1"/>
  <c r="BC23" i="5" s="1"/>
  <c r="BJ23" i="5" a="1"/>
  <c r="BJ23" i="5" s="1"/>
  <c r="BI23" i="5" a="1"/>
  <c r="BI23" i="5" s="1"/>
  <c r="AM30" i="9"/>
  <c r="BR18" i="8"/>
  <c r="BS18" i="8"/>
  <c r="BE23" i="5" a="1"/>
  <c r="BE23" i="5" s="1"/>
  <c r="BG23" i="5" a="1"/>
  <c r="BG23" i="5" s="1"/>
  <c r="CR23" i="5"/>
  <c r="CS23" i="5"/>
  <c r="CQ23" i="5"/>
  <c r="CU23" i="5"/>
  <c r="CT23" i="5"/>
  <c r="CV23" i="5"/>
  <c r="CW23" i="5"/>
  <c r="AY23" i="5" a="1"/>
  <c r="AY23" i="5" s="1"/>
  <c r="BL23" i="5" a="1"/>
  <c r="BL23" i="5" s="1"/>
  <c r="BM23" i="5" a="1"/>
  <c r="BM23" i="5" s="1"/>
  <c r="V21" i="2"/>
  <c r="CX16" i="8"/>
  <c r="CY16" i="8" s="1"/>
  <c r="F26" i="8"/>
  <c r="BP22" i="5" a="1"/>
  <c r="BP22" i="5" s="1"/>
  <c r="J22" i="2" s="1"/>
  <c r="O27" i="1"/>
  <c r="BT18" i="8"/>
  <c r="BO18" i="8"/>
  <c r="BP18" i="8"/>
  <c r="BM18" i="8"/>
  <c r="BN18" i="8"/>
  <c r="BK18" i="8"/>
  <c r="BL18" i="8"/>
  <c r="BJ18" i="8"/>
  <c r="AC18" i="10"/>
  <c r="X18" i="10" s="1"/>
  <c r="AT22" i="5"/>
  <c r="AS22" i="5"/>
  <c r="AH22" i="11"/>
  <c r="DE21" i="5"/>
  <c r="DB21" i="5"/>
  <c r="DF21" i="5"/>
  <c r="K24" i="11"/>
  <c r="A24" i="14"/>
  <c r="CA24" i="14" s="1"/>
  <c r="A24" i="8"/>
  <c r="A24" i="2"/>
  <c r="A24" i="9"/>
  <c r="A24" i="5"/>
  <c r="A24" i="7"/>
  <c r="R24" i="7" s="1"/>
  <c r="AM22" i="1"/>
  <c r="BK23" i="14" a="1"/>
  <c r="BK23" i="14" s="1"/>
  <c r="BR23" i="14" a="1"/>
  <c r="BR23" i="14" s="1"/>
  <c r="BB23" i="14" a="1"/>
  <c r="BB23" i="14" s="1"/>
  <c r="BI23" i="14" a="1"/>
  <c r="BI23" i="14" s="1"/>
  <c r="BZ23" i="14" a="1"/>
  <c r="BZ23" i="14" s="1"/>
  <c r="BO23" i="14" a="1"/>
  <c r="BO23" i="14" s="1"/>
  <c r="BL23" i="14" a="1"/>
  <c r="BL23" i="14" s="1"/>
  <c r="R23" i="14" a="1"/>
  <c r="R23" i="14" s="1"/>
  <c r="AL23" i="1" s="1"/>
  <c r="M23" i="14" a="1"/>
  <c r="M23" i="14" s="1"/>
  <c r="BS23" i="14" a="1"/>
  <c r="BS23" i="14" s="1"/>
  <c r="BJ23" i="14" a="1"/>
  <c r="BJ23" i="14" s="1"/>
  <c r="V23" i="14" a="1"/>
  <c r="V23" i="14" s="1"/>
  <c r="BA23" i="14" a="1"/>
  <c r="BA23" i="14" s="1"/>
  <c r="AB23" i="14" a="1"/>
  <c r="AB23" i="14" s="1"/>
  <c r="AQ23" i="14" a="1"/>
  <c r="AQ23" i="14" s="1"/>
  <c r="AO23" i="14" a="1"/>
  <c r="AO23" i="14" s="1"/>
  <c r="BF23" i="14" a="1"/>
  <c r="BF23" i="14" s="1"/>
  <c r="Q23" i="14" a="1"/>
  <c r="Q23" i="14" s="1"/>
  <c r="AV23" i="14" a="1"/>
  <c r="AV23" i="14" s="1"/>
  <c r="O23" i="14" a="1"/>
  <c r="O23" i="14" s="1"/>
  <c r="N23" i="14" a="1"/>
  <c r="N23" i="14" s="1"/>
  <c r="AC23" i="14" a="1"/>
  <c r="AC23" i="14" s="1"/>
  <c r="AZ23" i="14" a="1"/>
  <c r="AZ23" i="14" s="1"/>
  <c r="AA23" i="14" a="1"/>
  <c r="AA23" i="14" s="1"/>
  <c r="AH23" i="14" a="1"/>
  <c r="AH23" i="14" s="1"/>
  <c r="AX23" i="14" a="1"/>
  <c r="AX23" i="14" s="1"/>
  <c r="BT23" i="14" a="1"/>
  <c r="BT23" i="14" s="1"/>
  <c r="X23" i="14" a="1"/>
  <c r="X23" i="14" s="1"/>
  <c r="BD23" i="14" a="1"/>
  <c r="BD23" i="14" s="1"/>
  <c r="BY23" i="14" a="1"/>
  <c r="BY23" i="14" s="1"/>
  <c r="BW23" i="14" a="1"/>
  <c r="BW23" i="14" s="1"/>
  <c r="BG23" i="14" a="1"/>
  <c r="BG23" i="14" s="1"/>
  <c r="S23" i="14" a="1"/>
  <c r="S23" i="14" s="1"/>
  <c r="BU23" i="14" a="1"/>
  <c r="BU23" i="14" s="1"/>
  <c r="AM23" i="14" a="1"/>
  <c r="AM23" i="14" s="1"/>
  <c r="AE23" i="14" a="1"/>
  <c r="AE23" i="14" s="1"/>
  <c r="BQ23" i="14" a="1"/>
  <c r="BQ23" i="14" s="1"/>
  <c r="BP23" i="14" a="1"/>
  <c r="BP23" i="14" s="1"/>
  <c r="BX23" i="14" a="1"/>
  <c r="BX23" i="14" s="1"/>
  <c r="AY23" i="14" a="1"/>
  <c r="AY23" i="14" s="1"/>
  <c r="AF23" i="14" a="1"/>
  <c r="AF23" i="14" s="1"/>
  <c r="BM23" i="14" a="1"/>
  <c r="BM23" i="14" s="1"/>
  <c r="BC23" i="14" a="1"/>
  <c r="BC23" i="14" s="1"/>
  <c r="AT23" i="14" a="1"/>
  <c r="AT23" i="14" s="1"/>
  <c r="AS23" i="14" a="1"/>
  <c r="AS23" i="14" s="1"/>
  <c r="BH23" i="14" a="1"/>
  <c r="BH23" i="14" s="1"/>
  <c r="AN23" i="14" a="1"/>
  <c r="AN23" i="14" s="1"/>
  <c r="BN23" i="14" a="1"/>
  <c r="BN23" i="14" s="1"/>
  <c r="AP23" i="14" a="1"/>
  <c r="AP23" i="14" s="1"/>
  <c r="BE23" i="14" a="1"/>
  <c r="BE23" i="14" s="1"/>
  <c r="AU23" i="14" a="1"/>
  <c r="AU23" i="14" s="1"/>
  <c r="AL23" i="14" a="1"/>
  <c r="AL23" i="14" s="1"/>
  <c r="AK23" i="14" a="1"/>
  <c r="AK23" i="14" s="1"/>
  <c r="P23" i="14" a="1"/>
  <c r="P23" i="14" s="1"/>
  <c r="AJ23" i="14" a="1"/>
  <c r="AJ23" i="14" s="1"/>
  <c r="AI23" i="14" a="1"/>
  <c r="AI23" i="14" s="1"/>
  <c r="AW23" i="14" a="1"/>
  <c r="AW23" i="14" s="1"/>
  <c r="Y23" i="14" a="1"/>
  <c r="Y23" i="14" s="1"/>
  <c r="BH23" i="1" s="1"/>
  <c r="T23" i="14" a="1"/>
  <c r="T23" i="14" s="1"/>
  <c r="Z23" i="14" a="1"/>
  <c r="Z23" i="14" s="1"/>
  <c r="BV23" i="14" a="1"/>
  <c r="BV23" i="14" s="1"/>
  <c r="AG23" i="14" a="1"/>
  <c r="AG23" i="14" s="1"/>
  <c r="W23" i="14" a="1"/>
  <c r="W23" i="14" s="1"/>
  <c r="AD23" i="14" a="1"/>
  <c r="AD23" i="14" s="1"/>
  <c r="U23" i="14" a="1"/>
  <c r="U23" i="14" s="1"/>
  <c r="AR23" i="14" a="1"/>
  <c r="AR23" i="14" s="1"/>
  <c r="AK22" i="11"/>
  <c r="Y20" i="1"/>
  <c r="DJ21" i="5"/>
  <c r="W20" i="1"/>
  <c r="DH21" i="5"/>
  <c r="AF20" i="1"/>
  <c r="AJ22" i="1"/>
  <c r="AE23" i="8"/>
  <c r="AU23" i="8"/>
  <c r="BX18" i="8"/>
  <c r="CD18" i="8" s="1"/>
  <c r="CA18" i="8"/>
  <c r="BZ18" i="8"/>
  <c r="CB18" i="8"/>
  <c r="CT18" i="8" s="1"/>
  <c r="AE18" i="7"/>
  <c r="AF18" i="7" s="1"/>
  <c r="D19" i="9"/>
  <c r="BY18" i="8"/>
  <c r="CH18" i="8"/>
  <c r="CZ18" i="8" s="1"/>
  <c r="N18" i="7"/>
  <c r="CI18" i="8"/>
  <c r="DA18" i="8" s="1"/>
  <c r="AB17" i="11"/>
  <c r="Q17" i="8" s="1"/>
  <c r="AD17" i="11"/>
  <c r="AI17" i="1" s="1"/>
  <c r="Z17" i="11"/>
  <c r="AA17" i="11"/>
  <c r="AK17" i="1" s="1"/>
  <c r="AC17" i="11"/>
  <c r="U17" i="8" s="1"/>
  <c r="Y17" i="11"/>
  <c r="AH17" i="1" s="1"/>
  <c r="B21" i="2"/>
  <c r="B21" i="1"/>
  <c r="BG21" i="1" s="1"/>
  <c r="AH21" i="5"/>
  <c r="BU21" i="5"/>
  <c r="BY23" i="11"/>
  <c r="AA22" i="7"/>
  <c r="AF22" i="8" s="1"/>
  <c r="AV22" i="8" s="1"/>
  <c r="K22" i="10"/>
  <c r="L22" i="11"/>
  <c r="L22" i="5"/>
  <c r="G21" i="10"/>
  <c r="I21" i="7"/>
  <c r="I22" i="5"/>
  <c r="D21" i="10"/>
  <c r="F21" i="7"/>
  <c r="J22" i="5"/>
  <c r="DC22" i="5" s="1"/>
  <c r="E21" i="10"/>
  <c r="G21" i="7"/>
  <c r="G22" i="5"/>
  <c r="D21" i="7"/>
  <c r="B21" i="10"/>
  <c r="K22" i="5"/>
  <c r="F21" i="10"/>
  <c r="H21" i="7"/>
  <c r="DD21" i="5"/>
  <c r="M22" i="5"/>
  <c r="H21" i="10"/>
  <c r="J21" i="7"/>
  <c r="B21" i="5"/>
  <c r="H22" i="5"/>
  <c r="C21" i="10"/>
  <c r="E21" i="7"/>
  <c r="CS16" i="8"/>
  <c r="CQ17" i="8"/>
  <c r="CU17" i="8" s="1"/>
  <c r="DB17" i="8"/>
  <c r="CE17" i="8"/>
  <c r="CX17" i="8" s="1"/>
  <c r="CY17" i="8" s="1"/>
  <c r="DH19" i="8"/>
  <c r="DI19" i="8" s="1"/>
  <c r="CK19" i="8"/>
  <c r="BW19" i="8"/>
  <c r="AC19" i="1" s="1"/>
  <c r="BH19" i="8"/>
  <c r="BI19" i="8"/>
  <c r="AH30" i="9"/>
  <c r="E19" i="1"/>
  <c r="AI19" i="5"/>
  <c r="X19" i="8"/>
  <c r="DD19" i="8" s="1"/>
  <c r="B19" i="9"/>
  <c r="Y19" i="9" s="1"/>
  <c r="A19" i="11"/>
  <c r="AC19" i="8"/>
  <c r="BQ19" i="8" s="1"/>
  <c r="BT19" i="5"/>
  <c r="AJ19" i="5"/>
  <c r="AP19" i="5" s="1"/>
  <c r="A19" i="10"/>
  <c r="AA19" i="10" s="1"/>
  <c r="B19" i="7"/>
  <c r="C20" i="5"/>
  <c r="F20" i="5" s="1"/>
  <c r="AQ17" i="5"/>
  <c r="CZ21" i="5"/>
  <c r="CR17" i="8"/>
  <c r="C21" i="5"/>
  <c r="DA20" i="5"/>
  <c r="DG20" i="5" s="1" a="1"/>
  <c r="DG20" i="5" s="1"/>
  <c r="AB21" i="1"/>
  <c r="DI21" i="5"/>
  <c r="AG30" i="9"/>
  <c r="AK30" i="9"/>
  <c r="AE92" i="9"/>
  <c r="N6" i="1"/>
  <c r="S23" i="2"/>
  <c r="N24" i="2"/>
  <c r="R24" i="2"/>
  <c r="Q23" i="2"/>
  <c r="J25" i="10"/>
  <c r="N25" i="5" s="1"/>
  <c r="P25" i="2"/>
  <c r="AQ46" i="9" l="1"/>
  <c r="CM46" i="8" s="1"/>
  <c r="AO19" i="5"/>
  <c r="AM19" i="5"/>
  <c r="AN19" i="5"/>
  <c r="AV20" i="5"/>
  <c r="AW20" i="5"/>
  <c r="AG18" i="7"/>
  <c r="AI18" i="7" s="1"/>
  <c r="CL20" i="8"/>
  <c r="P18" i="8"/>
  <c r="AI41" i="9"/>
  <c r="AO41" i="8" s="1"/>
  <c r="G25" i="8"/>
  <c r="CF24" i="8"/>
  <c r="O24" i="2"/>
  <c r="AD22" i="1"/>
  <c r="BG24" i="5" a="1"/>
  <c r="BG24" i="5" s="1"/>
  <c r="AM31" i="9"/>
  <c r="BR19" i="8"/>
  <c r="BS19" i="8"/>
  <c r="CQ24" i="5"/>
  <c r="CV24" i="5"/>
  <c r="CU24" i="5"/>
  <c r="CT24" i="5"/>
  <c r="CS24" i="5"/>
  <c r="CR24" i="5"/>
  <c r="CW24" i="5"/>
  <c r="BL24" i="5" a="1"/>
  <c r="BL24" i="5" s="1"/>
  <c r="AY24" i="5" a="1"/>
  <c r="AY24" i="5" s="1"/>
  <c r="BA24" i="5" a="1"/>
  <c r="BA24" i="5" s="1"/>
  <c r="BO24" i="5" a="1"/>
  <c r="BO24" i="5" s="1"/>
  <c r="BI24" i="5" a="1"/>
  <c r="BI24" i="5" s="1"/>
  <c r="BM24" i="5" a="1"/>
  <c r="BM24" i="5" s="1"/>
  <c r="BJ24" i="5" a="1"/>
  <c r="BJ24" i="5" s="1"/>
  <c r="BC24" i="5" a="1"/>
  <c r="BC24" i="5" s="1"/>
  <c r="BK24" i="5" a="1"/>
  <c r="BK24" i="5" s="1"/>
  <c r="BE24" i="5" a="1"/>
  <c r="BE24" i="5" s="1"/>
  <c r="BN24" i="5" a="1"/>
  <c r="BN24" i="5" s="1"/>
  <c r="BQ24" i="5" a="1"/>
  <c r="BQ24" i="5" s="1"/>
  <c r="AZ24" i="5" a="1"/>
  <c r="AZ24" i="5" s="1"/>
  <c r="BF24" i="5" a="1"/>
  <c r="BF24" i="5" s="1"/>
  <c r="AE23" i="1" s="1"/>
  <c r="BB24" i="5" a="1"/>
  <c r="BB24" i="5" s="1"/>
  <c r="BD24" i="5" a="1"/>
  <c r="BD24" i="5" s="1"/>
  <c r="BH24" i="5" a="1"/>
  <c r="BH24" i="5" s="1"/>
  <c r="V22" i="2"/>
  <c r="DF16" i="8"/>
  <c r="G16" i="1" s="1"/>
  <c r="N16" i="8" s="1"/>
  <c r="CQ18" i="8"/>
  <c r="CU18" i="8" s="1"/>
  <c r="F27" i="8"/>
  <c r="AQ18" i="5"/>
  <c r="BP23" i="5" a="1"/>
  <c r="BP23" i="5" s="1"/>
  <c r="J23" i="2" s="1"/>
  <c r="O28" i="1"/>
  <c r="BT19" i="8"/>
  <c r="BU19" i="8"/>
  <c r="BO19" i="8"/>
  <c r="BP19" i="8"/>
  <c r="BM19" i="8"/>
  <c r="BN19" i="8"/>
  <c r="BK19" i="8"/>
  <c r="BL19" i="8"/>
  <c r="BJ19" i="8"/>
  <c r="AR19" i="5"/>
  <c r="AC19" i="10"/>
  <c r="X19" i="10" s="1"/>
  <c r="AH23" i="11"/>
  <c r="AS23" i="5"/>
  <c r="CE18" i="8"/>
  <c r="CX18" i="8" s="1"/>
  <c r="CY18" i="8" s="1"/>
  <c r="AK23" i="11"/>
  <c r="DB22" i="5"/>
  <c r="AM23" i="1"/>
  <c r="DE22" i="5"/>
  <c r="K25" i="11"/>
  <c r="A25" i="14"/>
  <c r="CA25" i="14" s="1"/>
  <c r="A25" i="8"/>
  <c r="A25" i="2"/>
  <c r="A25" i="7"/>
  <c r="R25" i="7" s="1"/>
  <c r="A25" i="5"/>
  <c r="A25" i="9"/>
  <c r="DH22" i="5"/>
  <c r="W21" i="1"/>
  <c r="Y21" i="1"/>
  <c r="DJ22" i="5"/>
  <c r="AJ23" i="1"/>
  <c r="AU24" i="8"/>
  <c r="AE24" i="8"/>
  <c r="AM24" i="14" a="1"/>
  <c r="AM24" i="14" s="1"/>
  <c r="BR24" i="14" a="1"/>
  <c r="BR24" i="14" s="1"/>
  <c r="AS24" i="14" a="1"/>
  <c r="AS24" i="14" s="1"/>
  <c r="BZ24" i="14" a="1"/>
  <c r="BZ24" i="14" s="1"/>
  <c r="BP24" i="14" a="1"/>
  <c r="BP24" i="14" s="1"/>
  <c r="AF24" i="14" a="1"/>
  <c r="AF24" i="14" s="1"/>
  <c r="R24" i="14" a="1"/>
  <c r="R24" i="14" s="1"/>
  <c r="AL24" i="1" s="1"/>
  <c r="Q24" i="14" a="1"/>
  <c r="Q24" i="14" s="1"/>
  <c r="BC24" i="14" a="1"/>
  <c r="BC24" i="14" s="1"/>
  <c r="W24" i="14" a="1"/>
  <c r="W24" i="14" s="1"/>
  <c r="BQ24" i="14" a="1"/>
  <c r="BQ24" i="14" s="1"/>
  <c r="BX24" i="14" a="1"/>
  <c r="BX24" i="14" s="1"/>
  <c r="AJ24" i="14" a="1"/>
  <c r="AJ24" i="14" s="1"/>
  <c r="BG24" i="14" a="1"/>
  <c r="BG24" i="14" s="1"/>
  <c r="BV24" i="14" a="1"/>
  <c r="BV24" i="14" s="1"/>
  <c r="M24" i="14" a="1"/>
  <c r="M24" i="14" s="1"/>
  <c r="AE24" i="14" a="1"/>
  <c r="AE24" i="14" s="1"/>
  <c r="AL24" i="14" a="1"/>
  <c r="AL24" i="14" s="1"/>
  <c r="AK24" i="14" a="1"/>
  <c r="AK24" i="14" s="1"/>
  <c r="T24" i="14" a="1"/>
  <c r="T24" i="14" s="1"/>
  <c r="AN24" i="14" a="1"/>
  <c r="AN24" i="14" s="1"/>
  <c r="BN24" i="14" a="1"/>
  <c r="BN24" i="14" s="1"/>
  <c r="BU24" i="14" a="1"/>
  <c r="BU24" i="14" s="1"/>
  <c r="AO24" i="14" a="1"/>
  <c r="AO24" i="14" s="1"/>
  <c r="AV24" i="14" a="1"/>
  <c r="AV24" i="14" s="1"/>
  <c r="X24" i="14" a="1"/>
  <c r="X24" i="14" s="1"/>
  <c r="V24" i="14" a="1"/>
  <c r="V24" i="14" s="1"/>
  <c r="U24" i="14" a="1"/>
  <c r="U24" i="14" s="1"/>
  <c r="BO24" i="14" a="1"/>
  <c r="BO24" i="14" s="1"/>
  <c r="AZ24" i="14" a="1"/>
  <c r="AZ24" i="14" s="1"/>
  <c r="AH24" i="14" a="1"/>
  <c r="AH24" i="14" s="1"/>
  <c r="BM24" i="14" a="1"/>
  <c r="BM24" i="14" s="1"/>
  <c r="Y24" i="14" a="1"/>
  <c r="Y24" i="14" s="1"/>
  <c r="BH24" i="1" s="1"/>
  <c r="BS24" i="14" a="1"/>
  <c r="BS24" i="14" s="1"/>
  <c r="O24" i="14" a="1"/>
  <c r="O24" i="14" s="1"/>
  <c r="BA24" i="14" a="1"/>
  <c r="BA24" i="14" s="1"/>
  <c r="BI24" i="14" a="1"/>
  <c r="BI24" i="14" s="1"/>
  <c r="AR24" i="14" a="1"/>
  <c r="AR24" i="14" s="1"/>
  <c r="AQ24" i="14" a="1"/>
  <c r="AQ24" i="14" s="1"/>
  <c r="Z24" i="14" a="1"/>
  <c r="Z24" i="14" s="1"/>
  <c r="S24" i="14" a="1"/>
  <c r="S24" i="14" s="1"/>
  <c r="AG24" i="14" a="1"/>
  <c r="AG24" i="14" s="1"/>
  <c r="BT24" i="14" a="1"/>
  <c r="BT24" i="14" s="1"/>
  <c r="BB24" i="14" a="1"/>
  <c r="BB24" i="14" s="1"/>
  <c r="N24" i="14" a="1"/>
  <c r="N24" i="14" s="1"/>
  <c r="AC24" i="14" a="1"/>
  <c r="AC24" i="14" s="1"/>
  <c r="BW24" i="14" a="1"/>
  <c r="BW24" i="14" s="1"/>
  <c r="AI24" i="14" a="1"/>
  <c r="AI24" i="14" s="1"/>
  <c r="BE24" i="14" a="1"/>
  <c r="BE24" i="14" s="1"/>
  <c r="AP24" i="14" a="1"/>
  <c r="AP24" i="14" s="1"/>
  <c r="BK24" i="14" a="1"/>
  <c r="BK24" i="14" s="1"/>
  <c r="AT24" i="14" a="1"/>
  <c r="AT24" i="14" s="1"/>
  <c r="BD24" i="14" a="1"/>
  <c r="BD24" i="14" s="1"/>
  <c r="BY24" i="14" a="1"/>
  <c r="BY24" i="14" s="1"/>
  <c r="AB24" i="14" a="1"/>
  <c r="AB24" i="14" s="1"/>
  <c r="AA24" i="14" a="1"/>
  <c r="AA24" i="14" s="1"/>
  <c r="BF24" i="14" a="1"/>
  <c r="BF24" i="14" s="1"/>
  <c r="AW24" i="14" a="1"/>
  <c r="AW24" i="14" s="1"/>
  <c r="BH24" i="14" a="1"/>
  <c r="BH24" i="14" s="1"/>
  <c r="P24" i="14" a="1"/>
  <c r="P24" i="14" s="1"/>
  <c r="AY24" i="14" a="1"/>
  <c r="AY24" i="14" s="1"/>
  <c r="AX24" i="14" a="1"/>
  <c r="AX24" i="14" s="1"/>
  <c r="BL24" i="14" a="1"/>
  <c r="BL24" i="14" s="1"/>
  <c r="AU24" i="14" a="1"/>
  <c r="AU24" i="14" s="1"/>
  <c r="BJ24" i="14" a="1"/>
  <c r="BJ24" i="14" s="1"/>
  <c r="AD24" i="14" a="1"/>
  <c r="AD24" i="14" s="1"/>
  <c r="AF21" i="1"/>
  <c r="CR18" i="8"/>
  <c r="D20" i="9"/>
  <c r="DB18" i="8"/>
  <c r="B22" i="1"/>
  <c r="BG22" i="1" s="1"/>
  <c r="B22" i="2"/>
  <c r="AH22" i="5"/>
  <c r="BU22" i="5"/>
  <c r="BY24" i="11"/>
  <c r="K23" i="10"/>
  <c r="AA23" i="7"/>
  <c r="AF23" i="8" s="1"/>
  <c r="AV23" i="8" s="1"/>
  <c r="L23" i="11"/>
  <c r="B22" i="5"/>
  <c r="J23" i="5"/>
  <c r="DC23" i="5" s="1"/>
  <c r="E22" i="10"/>
  <c r="G22" i="7"/>
  <c r="H23" i="5"/>
  <c r="C22" i="10"/>
  <c r="E22" i="7"/>
  <c r="K23" i="5"/>
  <c r="F22" i="10"/>
  <c r="H22" i="7"/>
  <c r="DD22" i="5"/>
  <c r="I23" i="5"/>
  <c r="D22" i="10"/>
  <c r="F22" i="7"/>
  <c r="G23" i="5"/>
  <c r="D22" i="7"/>
  <c r="B22" i="10"/>
  <c r="F21" i="5"/>
  <c r="M23" i="5"/>
  <c r="H22" i="10"/>
  <c r="J22" i="7"/>
  <c r="DF22" i="5"/>
  <c r="L23" i="5"/>
  <c r="G22" i="10"/>
  <c r="I22" i="7"/>
  <c r="CS17" i="8"/>
  <c r="DF17" i="8" s="1"/>
  <c r="G17" i="1" s="1"/>
  <c r="N17" i="8" s="1"/>
  <c r="CI19" i="8"/>
  <c r="DA19" i="8" s="1"/>
  <c r="DH20" i="8"/>
  <c r="DI20" i="8" s="1"/>
  <c r="CK20" i="8"/>
  <c r="BW20" i="8"/>
  <c r="AC20" i="1" s="1"/>
  <c r="BX19" i="8"/>
  <c r="CE19" i="8" s="1"/>
  <c r="N19" i="7"/>
  <c r="BH20" i="8"/>
  <c r="BU20" i="8" s="1"/>
  <c r="BI20" i="8"/>
  <c r="AH31" i="9"/>
  <c r="AJ20" i="5"/>
  <c r="AP20" i="5" s="1"/>
  <c r="X20" i="8"/>
  <c r="DD20" i="8" s="1"/>
  <c r="B20" i="9"/>
  <c r="Y20" i="9" s="1"/>
  <c r="AI20" i="5"/>
  <c r="A20" i="11"/>
  <c r="BT20" i="5"/>
  <c r="AC20" i="8"/>
  <c r="BQ20" i="8" s="1"/>
  <c r="A20" i="10"/>
  <c r="AA20" i="10" s="1"/>
  <c r="B20" i="7"/>
  <c r="E20" i="1"/>
  <c r="CZ22" i="5"/>
  <c r="AE19" i="7"/>
  <c r="AF19" i="7" s="1"/>
  <c r="Q19" i="7"/>
  <c r="Y18" i="11"/>
  <c r="AH18" i="1" s="1"/>
  <c r="N19" i="11"/>
  <c r="AD18" i="11"/>
  <c r="AI18" i="1" s="1"/>
  <c r="AA18" i="11"/>
  <c r="AK18" i="1" s="1"/>
  <c r="AB18" i="11"/>
  <c r="Q18" i="8" s="1"/>
  <c r="Z18" i="11"/>
  <c r="AC18" i="11"/>
  <c r="U18" i="8" s="1"/>
  <c r="CC19" i="8"/>
  <c r="CV19" i="8" s="1"/>
  <c r="CW19" i="8" s="1"/>
  <c r="CH19" i="8"/>
  <c r="CZ19" i="8" s="1"/>
  <c r="CA19" i="8"/>
  <c r="CB19" i="8"/>
  <c r="CT19" i="8" s="1"/>
  <c r="BY19" i="8"/>
  <c r="BZ19" i="8"/>
  <c r="DI22" i="5"/>
  <c r="AB22" i="1"/>
  <c r="DA21" i="5"/>
  <c r="DG21" i="5" s="1" a="1"/>
  <c r="DG21" i="5" s="1"/>
  <c r="AG31" i="9"/>
  <c r="AK31" i="9"/>
  <c r="AE93" i="9"/>
  <c r="B17" i="14"/>
  <c r="N7" i="1"/>
  <c r="S24" i="2"/>
  <c r="N25" i="2"/>
  <c r="R25" i="2"/>
  <c r="Q24" i="2"/>
  <c r="P26" i="2"/>
  <c r="J26" i="10"/>
  <c r="N26" i="5" s="1"/>
  <c r="AQ47" i="9" l="1"/>
  <c r="CM47" i="8" s="1"/>
  <c r="AO20" i="5"/>
  <c r="AM20" i="5"/>
  <c r="AN20" i="5"/>
  <c r="AR20" i="5" s="1"/>
  <c r="AV21" i="5"/>
  <c r="AW21" i="5"/>
  <c r="AG19" i="7"/>
  <c r="AI19" i="7" s="1"/>
  <c r="CL21" i="8"/>
  <c r="AI42" i="9"/>
  <c r="AO42" i="8" s="1"/>
  <c r="G26" i="8"/>
  <c r="CF25" i="8"/>
  <c r="O25" i="2"/>
  <c r="BK25" i="5" a="1"/>
  <c r="BK25" i="5" s="1"/>
  <c r="BI25" i="5" a="1"/>
  <c r="BI25" i="5" s="1"/>
  <c r="BC25" i="5" a="1"/>
  <c r="BC25" i="5" s="1"/>
  <c r="BJ25" i="5" a="1"/>
  <c r="BJ25" i="5" s="1"/>
  <c r="BM25" i="5" a="1"/>
  <c r="BM25" i="5" s="1"/>
  <c r="AM32" i="9"/>
  <c r="BR20" i="8"/>
  <c r="BS20" i="8"/>
  <c r="AD23" i="1"/>
  <c r="BO25" i="5" a="1"/>
  <c r="BO25" i="5" s="1"/>
  <c r="BH25" i="5" a="1"/>
  <c r="BH25" i="5" s="1"/>
  <c r="BA25" i="5" a="1"/>
  <c r="BA25" i="5" s="1"/>
  <c r="BD25" i="5" a="1"/>
  <c r="BD25" i="5" s="1"/>
  <c r="BB25" i="5" a="1"/>
  <c r="BB25" i="5" s="1"/>
  <c r="BF25" i="5" a="1"/>
  <c r="BF25" i="5" s="1"/>
  <c r="AE24" i="1" s="1"/>
  <c r="AZ25" i="5" a="1"/>
  <c r="AZ25" i="5" s="1"/>
  <c r="BQ25" i="5" a="1"/>
  <c r="BQ25" i="5" s="1"/>
  <c r="CR25" i="5"/>
  <c r="CV25" i="5"/>
  <c r="CT25" i="5"/>
  <c r="CU25" i="5"/>
  <c r="CS25" i="5"/>
  <c r="CQ25" i="5"/>
  <c r="CW25" i="5"/>
  <c r="AY25" i="5" a="1"/>
  <c r="AY25" i="5" s="1"/>
  <c r="BL25" i="5" a="1"/>
  <c r="BL25" i="5" s="1"/>
  <c r="BG25" i="5" a="1"/>
  <c r="BG25" i="5" s="1"/>
  <c r="BN25" i="5" a="1"/>
  <c r="BN25" i="5" s="1"/>
  <c r="BE25" i="5" a="1"/>
  <c r="BE25" i="5" s="1"/>
  <c r="V23" i="2"/>
  <c r="CS18" i="8"/>
  <c r="DF18" i="8" s="1"/>
  <c r="G18" i="1" s="1"/>
  <c r="N18" i="8" s="1"/>
  <c r="F28" i="8"/>
  <c r="BP24" i="5" a="1"/>
  <c r="BP24" i="5" s="1"/>
  <c r="J24" i="2" s="1"/>
  <c r="DH21" i="8"/>
  <c r="DI21" i="8" s="1"/>
  <c r="O29" i="1"/>
  <c r="BT20" i="8"/>
  <c r="BO20" i="8"/>
  <c r="BP20" i="8"/>
  <c r="BM20" i="8"/>
  <c r="BN20" i="8"/>
  <c r="BK20" i="8"/>
  <c r="BL20" i="8"/>
  <c r="BJ20" i="8"/>
  <c r="AC20" i="10"/>
  <c r="X20" i="10" s="1"/>
  <c r="AH24" i="11"/>
  <c r="AS24" i="5"/>
  <c r="AM24" i="1"/>
  <c r="AK24" i="11"/>
  <c r="DF23" i="5"/>
  <c r="DB23" i="5"/>
  <c r="DE23" i="5"/>
  <c r="K26" i="11"/>
  <c r="A26" i="14"/>
  <c r="CA26" i="14" s="1"/>
  <c r="A26" i="9"/>
  <c r="A26" i="2"/>
  <c r="A26" i="7"/>
  <c r="R26" i="7" s="1"/>
  <c r="A26" i="8"/>
  <c r="A26" i="5"/>
  <c r="DH23" i="5"/>
  <c r="Y22" i="1"/>
  <c r="DJ23" i="5"/>
  <c r="AF22" i="1"/>
  <c r="W22" i="1"/>
  <c r="AU25" i="8"/>
  <c r="AE25" i="8"/>
  <c r="AJ24" i="1"/>
  <c r="BK25" i="14" a="1"/>
  <c r="BK25" i="14" s="1"/>
  <c r="O25" i="14" a="1"/>
  <c r="O25" i="14" s="1"/>
  <c r="N25" i="14" a="1"/>
  <c r="N25" i="14" s="1"/>
  <c r="AZ25" i="14" a="1"/>
  <c r="AZ25" i="14" s="1"/>
  <c r="BZ25" i="14" a="1"/>
  <c r="BZ25" i="14" s="1"/>
  <c r="AI25" i="14" a="1"/>
  <c r="AI25" i="14" s="1"/>
  <c r="AH25" i="14" a="1"/>
  <c r="AH25" i="14" s="1"/>
  <c r="M25" i="14" a="1"/>
  <c r="M25" i="14" s="1"/>
  <c r="W25" i="14" a="1"/>
  <c r="W25" i="14" s="1"/>
  <c r="BR25" i="14" a="1"/>
  <c r="BR25" i="14" s="1"/>
  <c r="BI25" i="14" a="1"/>
  <c r="BI25" i="14" s="1"/>
  <c r="AJ25" i="14" a="1"/>
  <c r="AJ25" i="14" s="1"/>
  <c r="BW25" i="14" a="1"/>
  <c r="BW25" i="14" s="1"/>
  <c r="AF25" i="14" a="1"/>
  <c r="AF25" i="14" s="1"/>
  <c r="AX25" i="14" a="1"/>
  <c r="AX25" i="14" s="1"/>
  <c r="BU25" i="14" a="1"/>
  <c r="BU25" i="14" s="1"/>
  <c r="BC25" i="14" a="1"/>
  <c r="BC25" i="14" s="1"/>
  <c r="BB25" i="14" a="1"/>
  <c r="BB25" i="14" s="1"/>
  <c r="BD25" i="14" a="1"/>
  <c r="BD25" i="14" s="1"/>
  <c r="AR25" i="14" a="1"/>
  <c r="AR25" i="14" s="1"/>
  <c r="BP25" i="14" a="1"/>
  <c r="BP25" i="14" s="1"/>
  <c r="BV25" i="14" a="1"/>
  <c r="BV25" i="14" s="1"/>
  <c r="Z25" i="14" a="1"/>
  <c r="Z25" i="14" s="1"/>
  <c r="BM25" i="14" a="1"/>
  <c r="BM25" i="14" s="1"/>
  <c r="AU25" i="14" a="1"/>
  <c r="AU25" i="14" s="1"/>
  <c r="AD25" i="14" a="1"/>
  <c r="AD25" i="14" s="1"/>
  <c r="AS25" i="14" a="1"/>
  <c r="AS25" i="14" s="1"/>
  <c r="AB25" i="14" a="1"/>
  <c r="AB25" i="14" s="1"/>
  <c r="P25" i="14" a="1"/>
  <c r="P25" i="14" s="1"/>
  <c r="BN25" i="14" a="1"/>
  <c r="BN25" i="14" s="1"/>
  <c r="R25" i="14" a="1"/>
  <c r="R25" i="14" s="1"/>
  <c r="AL25" i="1" s="1"/>
  <c r="AW25" i="14" a="1"/>
  <c r="AW25" i="14" s="1"/>
  <c r="AM25" i="14" a="1"/>
  <c r="AM25" i="14" s="1"/>
  <c r="BJ25" i="14" a="1"/>
  <c r="BJ25" i="14" s="1"/>
  <c r="BA25" i="14" a="1"/>
  <c r="BA25" i="14" s="1"/>
  <c r="U25" i="14" a="1"/>
  <c r="U25" i="14" s="1"/>
  <c r="BO25" i="14" a="1"/>
  <c r="BO25" i="14" s="1"/>
  <c r="AA25" i="14" a="1"/>
  <c r="AA25" i="14" s="1"/>
  <c r="BE25" i="14" a="1"/>
  <c r="BE25" i="14" s="1"/>
  <c r="AO25" i="14" a="1"/>
  <c r="AO25" i="14" s="1"/>
  <c r="BT25" i="14" a="1"/>
  <c r="BT25" i="14" s="1"/>
  <c r="X25" i="14" a="1"/>
  <c r="X25" i="14" s="1"/>
  <c r="AT25" i="14" a="1"/>
  <c r="AT25" i="14" s="1"/>
  <c r="AC25" i="14" a="1"/>
  <c r="AC25" i="14" s="1"/>
  <c r="BY25" i="14" a="1"/>
  <c r="BY25" i="14" s="1"/>
  <c r="AN25" i="14" a="1"/>
  <c r="AN25" i="14" s="1"/>
  <c r="BG25" i="14" a="1"/>
  <c r="BG25" i="14" s="1"/>
  <c r="S25" i="14" a="1"/>
  <c r="S25" i="14" s="1"/>
  <c r="Y25" i="14" a="1"/>
  <c r="Y25" i="14" s="1"/>
  <c r="BH25" i="1" s="1"/>
  <c r="BS25" i="14" a="1"/>
  <c r="BS25" i="14" s="1"/>
  <c r="AE25" i="14" a="1"/>
  <c r="AE25" i="14" s="1"/>
  <c r="V25" i="14" a="1"/>
  <c r="V25" i="14" s="1"/>
  <c r="AK25" i="14" a="1"/>
  <c r="AK25" i="14" s="1"/>
  <c r="BH25" i="14" a="1"/>
  <c r="BH25" i="14" s="1"/>
  <c r="AY25" i="14" a="1"/>
  <c r="AY25" i="14" s="1"/>
  <c r="BL25" i="14" a="1"/>
  <c r="BL25" i="14" s="1"/>
  <c r="BF25" i="14" a="1"/>
  <c r="BF25" i="14" s="1"/>
  <c r="Q25" i="14" a="1"/>
  <c r="Q25" i="14" s="1"/>
  <c r="AV25" i="14" a="1"/>
  <c r="AV25" i="14" s="1"/>
  <c r="AL25" i="14" a="1"/>
  <c r="AL25" i="14" s="1"/>
  <c r="BQ25" i="14" a="1"/>
  <c r="BQ25" i="14" s="1"/>
  <c r="BX25" i="14" a="1"/>
  <c r="BX25" i="14" s="1"/>
  <c r="T25" i="14" a="1"/>
  <c r="T25" i="14" s="1"/>
  <c r="AQ25" i="14" a="1"/>
  <c r="AQ25" i="14" s="1"/>
  <c r="AP25" i="14" a="1"/>
  <c r="AP25" i="14" s="1"/>
  <c r="AG25" i="14" a="1"/>
  <c r="AG25" i="14" s="1"/>
  <c r="BT21" i="5"/>
  <c r="AI21" i="5"/>
  <c r="E21" i="1"/>
  <c r="CK21" i="8"/>
  <c r="BW21" i="8"/>
  <c r="B23" i="5"/>
  <c r="X21" i="8"/>
  <c r="DD21" i="8" s="1"/>
  <c r="BI21" i="8"/>
  <c r="B21" i="7"/>
  <c r="AE21" i="7" s="1"/>
  <c r="AF21" i="7" s="1"/>
  <c r="BH21" i="8"/>
  <c r="BU21" i="8" s="1"/>
  <c r="A21" i="10"/>
  <c r="AA21" i="10" s="1"/>
  <c r="B21" i="9"/>
  <c r="Y21" i="9" s="1"/>
  <c r="AC21" i="8"/>
  <c r="BQ21" i="8" s="1"/>
  <c r="AJ21" i="5"/>
  <c r="AP21" i="5" s="1"/>
  <c r="A21" i="11"/>
  <c r="N21" i="11" s="1"/>
  <c r="AH23" i="5"/>
  <c r="BU23" i="5"/>
  <c r="B23" i="1"/>
  <c r="BG23" i="1" s="1"/>
  <c r="B23" i="2"/>
  <c r="BY25" i="11"/>
  <c r="K24" i="10"/>
  <c r="AA24" i="7"/>
  <c r="AF24" i="8" s="1"/>
  <c r="L24" i="5"/>
  <c r="G23" i="10"/>
  <c r="I23" i="7"/>
  <c r="G24" i="5"/>
  <c r="D23" i="7"/>
  <c r="B23" i="10"/>
  <c r="K24" i="5"/>
  <c r="F23" i="10"/>
  <c r="H23" i="7"/>
  <c r="DD23" i="5"/>
  <c r="M24" i="5"/>
  <c r="H23" i="10"/>
  <c r="J23" i="7"/>
  <c r="H24" i="5"/>
  <c r="C23" i="10"/>
  <c r="E23" i="7"/>
  <c r="I24" i="5"/>
  <c r="D23" i="10"/>
  <c r="F23" i="7"/>
  <c r="J24" i="5"/>
  <c r="E23" i="10"/>
  <c r="G23" i="7"/>
  <c r="CQ19" i="8"/>
  <c r="CU19" i="8" s="1"/>
  <c r="D21" i="9"/>
  <c r="DB19" i="8"/>
  <c r="CI20" i="8"/>
  <c r="DA20" i="8" s="1"/>
  <c r="CD19" i="8"/>
  <c r="P19" i="8" s="1"/>
  <c r="BX20" i="8"/>
  <c r="CD20" i="8" s="1"/>
  <c r="N20" i="7"/>
  <c r="AH32" i="9"/>
  <c r="C22" i="5"/>
  <c r="F22" i="5" s="1"/>
  <c r="CZ23" i="5"/>
  <c r="CR19" i="8"/>
  <c r="Z19" i="11"/>
  <c r="N20" i="11"/>
  <c r="AC19" i="11"/>
  <c r="U19" i="8" s="1"/>
  <c r="AB19" i="11"/>
  <c r="Q19" i="8" s="1"/>
  <c r="AA19" i="11"/>
  <c r="AK19" i="1" s="1"/>
  <c r="AD19" i="11"/>
  <c r="AI19" i="1" s="1"/>
  <c r="Y19" i="11"/>
  <c r="AH19" i="1" s="1"/>
  <c r="Q20" i="7"/>
  <c r="AE20" i="7"/>
  <c r="AF20" i="7" s="1"/>
  <c r="AQ19" i="5"/>
  <c r="BY20" i="8"/>
  <c r="BZ20" i="8"/>
  <c r="CC20" i="8"/>
  <c r="CV20" i="8" s="1"/>
  <c r="CW20" i="8" s="1"/>
  <c r="CH20" i="8"/>
  <c r="CZ20" i="8" s="1"/>
  <c r="CA20" i="8"/>
  <c r="CB20" i="8"/>
  <c r="CT20" i="8" s="1"/>
  <c r="C23" i="5"/>
  <c r="DA22" i="5"/>
  <c r="DG22" i="5" s="1" a="1"/>
  <c r="DG22" i="5" s="1"/>
  <c r="DI23" i="5"/>
  <c r="AB23" i="1"/>
  <c r="AG32" i="9"/>
  <c r="AK32" i="9"/>
  <c r="AE94" i="9"/>
  <c r="B18" i="14"/>
  <c r="N8" i="1"/>
  <c r="S25" i="2"/>
  <c r="N26" i="2"/>
  <c r="R26" i="2"/>
  <c r="Q25" i="2"/>
  <c r="J27" i="10"/>
  <c r="N27" i="5" s="1"/>
  <c r="P27" i="2"/>
  <c r="AQ48" i="9" l="1"/>
  <c r="CM48" i="8" s="1"/>
  <c r="AO21" i="5"/>
  <c r="AM21" i="5"/>
  <c r="AN21" i="5"/>
  <c r="AV22" i="5"/>
  <c r="AW22" i="5"/>
  <c r="AG21" i="7"/>
  <c r="AG20" i="7"/>
  <c r="AI20" i="7" s="1"/>
  <c r="CL22" i="8"/>
  <c r="P20" i="8"/>
  <c r="AI43" i="9"/>
  <c r="AO43" i="8" s="1"/>
  <c r="CA21" i="8"/>
  <c r="AC21" i="1"/>
  <c r="G27" i="8"/>
  <c r="CF26" i="8"/>
  <c r="O26" i="2"/>
  <c r="BK26" i="5" a="1"/>
  <c r="BK26" i="5" s="1"/>
  <c r="AM33" i="9"/>
  <c r="BR21" i="8"/>
  <c r="BS21" i="8"/>
  <c r="AD24" i="1"/>
  <c r="BQ26" i="5" a="1"/>
  <c r="BQ26" i="5" s="1"/>
  <c r="AZ26" i="5" a="1"/>
  <c r="AZ26" i="5" s="1"/>
  <c r="BE26" i="5" a="1"/>
  <c r="BE26" i="5" s="1"/>
  <c r="BF26" i="5" a="1"/>
  <c r="BF26" i="5" s="1"/>
  <c r="AE25" i="1" s="1"/>
  <c r="CR26" i="5"/>
  <c r="CQ26" i="5"/>
  <c r="CV26" i="5"/>
  <c r="CU26" i="5"/>
  <c r="CT26" i="5"/>
  <c r="CW26" i="5"/>
  <c r="CS26" i="5"/>
  <c r="AY26" i="5" a="1"/>
  <c r="AY26" i="5" s="1"/>
  <c r="BL26" i="5" a="1"/>
  <c r="BL26" i="5" s="1"/>
  <c r="BN26" i="5" a="1"/>
  <c r="BN26" i="5" s="1"/>
  <c r="BB26" i="5" a="1"/>
  <c r="BB26" i="5" s="1"/>
  <c r="BG26" i="5" a="1"/>
  <c r="BG26" i="5" s="1"/>
  <c r="BD26" i="5" a="1"/>
  <c r="BD26" i="5" s="1"/>
  <c r="BA26" i="5" a="1"/>
  <c r="BA26" i="5" s="1"/>
  <c r="BM26" i="5" a="1"/>
  <c r="BM26" i="5" s="1"/>
  <c r="BH26" i="5" a="1"/>
  <c r="BH26" i="5" s="1"/>
  <c r="BO26" i="5" a="1"/>
  <c r="BO26" i="5" s="1"/>
  <c r="BI26" i="5" a="1"/>
  <c r="BI26" i="5" s="1"/>
  <c r="BJ26" i="5" a="1"/>
  <c r="BJ26" i="5" s="1"/>
  <c r="BC26" i="5" a="1"/>
  <c r="BC26" i="5" s="1"/>
  <c r="V24" i="2"/>
  <c r="CI21" i="8"/>
  <c r="DA21" i="8" s="1"/>
  <c r="CX19" i="8"/>
  <c r="CY19" i="8" s="1"/>
  <c r="F29" i="8"/>
  <c r="BP25" i="5" a="1"/>
  <c r="BP25" i="5" s="1"/>
  <c r="J25" i="2" s="1"/>
  <c r="O30" i="1"/>
  <c r="BT21" i="8"/>
  <c r="BO21" i="8"/>
  <c r="BP21" i="8"/>
  <c r="BM21" i="8"/>
  <c r="BN21" i="8"/>
  <c r="BK21" i="8"/>
  <c r="BL21" i="8"/>
  <c r="BJ21" i="8"/>
  <c r="AC21" i="10"/>
  <c r="X21" i="10" s="1"/>
  <c r="AR21" i="5"/>
  <c r="AH25" i="11"/>
  <c r="AS25" i="5"/>
  <c r="DB24" i="5"/>
  <c r="D22" i="9"/>
  <c r="DF24" i="5"/>
  <c r="AM25" i="1"/>
  <c r="AJ25" i="1"/>
  <c r="DD24" i="5"/>
  <c r="DE24" i="5"/>
  <c r="W23" i="1"/>
  <c r="AU26" i="8"/>
  <c r="AE26" i="8"/>
  <c r="K27" i="11"/>
  <c r="A27" i="14"/>
  <c r="CA27" i="14" s="1"/>
  <c r="A27" i="7"/>
  <c r="R27" i="7" s="1"/>
  <c r="A27" i="9"/>
  <c r="A27" i="2"/>
  <c r="A27" i="8"/>
  <c r="A27" i="5"/>
  <c r="Y23" i="1"/>
  <c r="DJ24" i="5"/>
  <c r="AK25" i="11"/>
  <c r="AU26" i="14" a="1"/>
  <c r="AU26" i="14" s="1"/>
  <c r="N26" i="14" a="1"/>
  <c r="N26" i="14" s="1"/>
  <c r="BI26" i="14" a="1"/>
  <c r="BI26" i="14" s="1"/>
  <c r="P26" i="14" a="1"/>
  <c r="P26" i="14" s="1"/>
  <c r="AN26" i="14" a="1"/>
  <c r="AN26" i="14" s="1"/>
  <c r="AY26" i="14" a="1"/>
  <c r="AY26" i="14" s="1"/>
  <c r="AH26" i="14" a="1"/>
  <c r="AH26" i="14" s="1"/>
  <c r="AW26" i="14" a="1"/>
  <c r="AW26" i="14" s="1"/>
  <c r="AM26" i="14" a="1"/>
  <c r="AM26" i="14" s="1"/>
  <c r="BJ26" i="14" a="1"/>
  <c r="BJ26" i="14" s="1"/>
  <c r="U26" i="14" a="1"/>
  <c r="U26" i="14" s="1"/>
  <c r="AR26" i="14" a="1"/>
  <c r="AR26" i="14" s="1"/>
  <c r="BW26" i="14" a="1"/>
  <c r="BW26" i="14" s="1"/>
  <c r="AQ26" i="14" a="1"/>
  <c r="AQ26" i="14" s="1"/>
  <c r="R26" i="14" a="1"/>
  <c r="R26" i="14" s="1"/>
  <c r="AL26" i="1" s="1"/>
  <c r="M26" i="14" a="1"/>
  <c r="M26" i="14" s="1"/>
  <c r="W26" i="14" a="1"/>
  <c r="W26" i="14" s="1"/>
  <c r="BB26" i="14" a="1"/>
  <c r="BB26" i="14" s="1"/>
  <c r="AK26" i="14" a="1"/>
  <c r="AK26" i="14" s="1"/>
  <c r="AB26" i="14" a="1"/>
  <c r="AB26" i="14" s="1"/>
  <c r="T26" i="14" a="1"/>
  <c r="T26" i="14" s="1"/>
  <c r="AF26" i="14" a="1"/>
  <c r="AF26" i="14" s="1"/>
  <c r="BN26" i="14" a="1"/>
  <c r="BN26" i="14" s="1"/>
  <c r="Q26" i="14" a="1"/>
  <c r="Q26" i="14" s="1"/>
  <c r="BT26" i="14" a="1"/>
  <c r="BT26" i="14" s="1"/>
  <c r="O26" i="14" a="1"/>
  <c r="O26" i="14" s="1"/>
  <c r="X26" i="14" a="1"/>
  <c r="X26" i="14" s="1"/>
  <c r="BQ26" i="14" a="1"/>
  <c r="BQ26" i="14" s="1"/>
  <c r="BZ26" i="14" a="1"/>
  <c r="BZ26" i="14" s="1"/>
  <c r="BO26" i="14" a="1"/>
  <c r="BO26" i="14" s="1"/>
  <c r="BV26" i="14" a="1"/>
  <c r="BV26" i="14" s="1"/>
  <c r="AG26" i="14" a="1"/>
  <c r="AG26" i="14" s="1"/>
  <c r="AO26" i="14" a="1"/>
  <c r="AO26" i="14" s="1"/>
  <c r="AV26" i="14" a="1"/>
  <c r="AV26" i="14" s="1"/>
  <c r="AD26" i="14" a="1"/>
  <c r="AD26" i="14" s="1"/>
  <c r="AT26" i="14" a="1"/>
  <c r="AT26" i="14" s="1"/>
  <c r="BA26" i="14" a="1"/>
  <c r="BA26" i="14" s="1"/>
  <c r="AZ26" i="14" a="1"/>
  <c r="AZ26" i="14" s="1"/>
  <c r="BG26" i="14" a="1"/>
  <c r="BG26" i="14" s="1"/>
  <c r="BL26" i="14" a="1"/>
  <c r="BL26" i="14" s="1"/>
  <c r="BU26" i="14" a="1"/>
  <c r="BU26" i="14" s="1"/>
  <c r="Y26" i="14" a="1"/>
  <c r="Y26" i="14" s="1"/>
  <c r="BH26" i="1" s="1"/>
  <c r="BS26" i="14" a="1"/>
  <c r="BS26" i="14" s="1"/>
  <c r="AE26" i="14" a="1"/>
  <c r="AE26" i="14" s="1"/>
  <c r="AL26" i="14" a="1"/>
  <c r="AL26" i="14" s="1"/>
  <c r="BX26" i="14" a="1"/>
  <c r="BX26" i="14" s="1"/>
  <c r="AC26" i="14" a="1"/>
  <c r="AC26" i="14" s="1"/>
  <c r="AA26" i="14" a="1"/>
  <c r="AA26" i="14" s="1"/>
  <c r="AP26" i="14" a="1"/>
  <c r="AP26" i="14" s="1"/>
  <c r="BE26" i="14" a="1"/>
  <c r="BE26" i="14" s="1"/>
  <c r="BK26" i="14" a="1"/>
  <c r="BK26" i="14" s="1"/>
  <c r="BR26" i="14" a="1"/>
  <c r="BR26" i="14" s="1"/>
  <c r="BD26" i="14" a="1"/>
  <c r="BD26" i="14" s="1"/>
  <c r="BH26" i="14" a="1"/>
  <c r="BH26" i="14" s="1"/>
  <c r="BY26" i="14" a="1"/>
  <c r="BY26" i="14" s="1"/>
  <c r="BF26" i="14" a="1"/>
  <c r="BF26" i="14" s="1"/>
  <c r="AI26" i="14" a="1"/>
  <c r="AI26" i="14" s="1"/>
  <c r="BM26" i="14" a="1"/>
  <c r="BM26" i="14" s="1"/>
  <c r="V26" i="14" a="1"/>
  <c r="V26" i="14" s="1"/>
  <c r="AS26" i="14" a="1"/>
  <c r="AS26" i="14" s="1"/>
  <c r="AJ26" i="14" a="1"/>
  <c r="AJ26" i="14" s="1"/>
  <c r="BP26" i="14" a="1"/>
  <c r="BP26" i="14" s="1"/>
  <c r="S26" i="14" a="1"/>
  <c r="S26" i="14" s="1"/>
  <c r="AX26" i="14" a="1"/>
  <c r="AX26" i="14" s="1"/>
  <c r="Z26" i="14" a="1"/>
  <c r="Z26" i="14" s="1"/>
  <c r="BC26" i="14" a="1"/>
  <c r="BC26" i="14" s="1"/>
  <c r="DH24" i="5"/>
  <c r="AF23" i="1"/>
  <c r="BX21" i="8"/>
  <c r="CE21" i="8" s="1"/>
  <c r="AC20" i="11"/>
  <c r="U20" i="8" s="1"/>
  <c r="CB21" i="8"/>
  <c r="CT21" i="8" s="1"/>
  <c r="F23" i="5"/>
  <c r="Z20" i="11"/>
  <c r="AA20" i="11"/>
  <c r="AK20" i="1" s="1"/>
  <c r="Y20" i="11"/>
  <c r="AH20" i="1" s="1"/>
  <c r="AB20" i="11"/>
  <c r="Q20" i="8" s="1"/>
  <c r="BY21" i="8"/>
  <c r="BZ21" i="8"/>
  <c r="CC21" i="8"/>
  <c r="CV21" i="8" s="1"/>
  <c r="CW21" i="8" s="1"/>
  <c r="N21" i="7"/>
  <c r="CH21" i="8"/>
  <c r="CZ21" i="8" s="1"/>
  <c r="Q21" i="7"/>
  <c r="AD20" i="11"/>
  <c r="AI20" i="1" s="1"/>
  <c r="BY26" i="11"/>
  <c r="K25" i="10"/>
  <c r="AA25" i="7"/>
  <c r="AF25" i="8" s="1"/>
  <c r="J25" i="5"/>
  <c r="DC25" i="5" s="1"/>
  <c r="E24" i="10"/>
  <c r="G24" i="7"/>
  <c r="G25" i="5"/>
  <c r="D24" i="7"/>
  <c r="B24" i="10"/>
  <c r="K25" i="5"/>
  <c r="F24" i="10"/>
  <c r="H24" i="7"/>
  <c r="DC24" i="5"/>
  <c r="H25" i="5"/>
  <c r="C24" i="10"/>
  <c r="E24" i="7"/>
  <c r="M25" i="5"/>
  <c r="H24" i="10"/>
  <c r="J24" i="7"/>
  <c r="I25" i="5"/>
  <c r="D24" i="10"/>
  <c r="F24" i="7"/>
  <c r="B24" i="5"/>
  <c r="L25" i="5"/>
  <c r="G24" i="10"/>
  <c r="I24" i="7"/>
  <c r="CS19" i="8"/>
  <c r="CQ20" i="8"/>
  <c r="CU20" i="8" s="1"/>
  <c r="DB20" i="8"/>
  <c r="DH22" i="8"/>
  <c r="DI22" i="8" s="1"/>
  <c r="CE20" i="8"/>
  <c r="CX20" i="8" s="1"/>
  <c r="CY20" i="8" s="1"/>
  <c r="CK22" i="8"/>
  <c r="BW22" i="8"/>
  <c r="AC22" i="1" s="1"/>
  <c r="BH22" i="8"/>
  <c r="BU22" i="8" s="1"/>
  <c r="BI22" i="8"/>
  <c r="AH33" i="9"/>
  <c r="AQ20" i="5"/>
  <c r="CR20" i="8"/>
  <c r="AJ22" i="5"/>
  <c r="AP22" i="5" s="1"/>
  <c r="X22" i="8"/>
  <c r="DD22" i="8" s="1"/>
  <c r="E22" i="1"/>
  <c r="B22" i="9"/>
  <c r="Y22" i="9" s="1"/>
  <c r="AI22" i="5"/>
  <c r="A22" i="11"/>
  <c r="AC22" i="8"/>
  <c r="BQ22" i="8" s="1"/>
  <c r="BT22" i="5"/>
  <c r="A22" i="10"/>
  <c r="AA22" i="10" s="1"/>
  <c r="B22" i="7"/>
  <c r="CZ24" i="5"/>
  <c r="AB24" i="1"/>
  <c r="DI24" i="5"/>
  <c r="DA23" i="5"/>
  <c r="DG23" i="5" s="1" a="1"/>
  <c r="DG23" i="5" s="1"/>
  <c r="AG33" i="9"/>
  <c r="AK33" i="9"/>
  <c r="AE95" i="9"/>
  <c r="B19" i="14"/>
  <c r="N9" i="1"/>
  <c r="S26" i="2"/>
  <c r="N27" i="2"/>
  <c r="R27" i="2"/>
  <c r="Q26" i="2"/>
  <c r="J28" i="10"/>
  <c r="N28" i="5" s="1"/>
  <c r="P28" i="2"/>
  <c r="AQ49" i="9" l="1"/>
  <c r="CM49" i="8" s="1"/>
  <c r="AO22" i="5"/>
  <c r="AM22" i="5"/>
  <c r="AN22" i="5"/>
  <c r="AV23" i="5"/>
  <c r="AW23" i="5"/>
  <c r="AI21" i="7"/>
  <c r="CL23" i="8"/>
  <c r="CR21" i="8"/>
  <c r="AI44" i="9"/>
  <c r="AO44" i="8" s="1"/>
  <c r="G28" i="8"/>
  <c r="CF27" i="8"/>
  <c r="O27" i="2"/>
  <c r="BB27" i="5" a="1"/>
  <c r="BB27" i="5" s="1"/>
  <c r="BN27" i="5" a="1"/>
  <c r="BN27" i="5" s="1"/>
  <c r="AM34" i="9"/>
  <c r="BR22" i="8"/>
  <c r="BS22" i="8"/>
  <c r="AD25" i="1"/>
  <c r="BC27" i="5" a="1"/>
  <c r="BC27" i="5" s="1"/>
  <c r="CT27" i="5"/>
  <c r="CV27" i="5"/>
  <c r="CW27" i="5"/>
  <c r="CQ27" i="5"/>
  <c r="CR27" i="5"/>
  <c r="CU27" i="5"/>
  <c r="CS27" i="5"/>
  <c r="AY27" i="5" a="1"/>
  <c r="AY27" i="5" s="1"/>
  <c r="BL27" i="5" a="1"/>
  <c r="BL27" i="5" s="1"/>
  <c r="BJ27" i="5" a="1"/>
  <c r="BJ27" i="5" s="1"/>
  <c r="BI27" i="5" a="1"/>
  <c r="BI27" i="5" s="1"/>
  <c r="BO27" i="5" a="1"/>
  <c r="BO27" i="5" s="1"/>
  <c r="BH27" i="5" a="1"/>
  <c r="BH27" i="5" s="1"/>
  <c r="BF27" i="5" a="1"/>
  <c r="BF27" i="5" s="1"/>
  <c r="AE26" i="1" s="1"/>
  <c r="BM27" i="5" a="1"/>
  <c r="BM27" i="5" s="1"/>
  <c r="BE27" i="5" a="1"/>
  <c r="BE27" i="5" s="1"/>
  <c r="BA27" i="5" a="1"/>
  <c r="BA27" i="5" s="1"/>
  <c r="AZ27" i="5" a="1"/>
  <c r="AZ27" i="5" s="1"/>
  <c r="BD27" i="5" a="1"/>
  <c r="BD27" i="5" s="1"/>
  <c r="BQ27" i="5" a="1"/>
  <c r="BQ27" i="5" s="1"/>
  <c r="BG27" i="5" a="1"/>
  <c r="BG27" i="5" s="1"/>
  <c r="BK27" i="5" a="1"/>
  <c r="BK27" i="5" s="1"/>
  <c r="V25" i="2"/>
  <c r="DB21" i="8"/>
  <c r="DF19" i="8"/>
  <c r="G19" i="1" s="1"/>
  <c r="N19" i="8" s="1"/>
  <c r="CQ21" i="8"/>
  <c r="CU21" i="8" s="1"/>
  <c r="F30" i="8"/>
  <c r="BP26" i="5" a="1"/>
  <c r="BP26" i="5" s="1"/>
  <c r="J26" i="2" s="1"/>
  <c r="DH23" i="8"/>
  <c r="DI23" i="8" s="1"/>
  <c r="O31" i="1"/>
  <c r="BT22" i="8"/>
  <c r="BO22" i="8"/>
  <c r="BP22" i="8"/>
  <c r="BM22" i="8"/>
  <c r="BN22" i="8"/>
  <c r="BK22" i="8"/>
  <c r="BL22" i="8"/>
  <c r="BJ22" i="8"/>
  <c r="AC22" i="10"/>
  <c r="X22" i="10" s="1"/>
  <c r="AR22" i="5"/>
  <c r="AH26" i="11"/>
  <c r="AS26" i="5"/>
  <c r="DF25" i="5"/>
  <c r="CD21" i="8"/>
  <c r="DB25" i="5"/>
  <c r="Y24" i="1"/>
  <c r="DJ25" i="5"/>
  <c r="AF24" i="1"/>
  <c r="AU27" i="8"/>
  <c r="AE27" i="8"/>
  <c r="AJ26" i="1"/>
  <c r="K28" i="11"/>
  <c r="A28" i="14"/>
  <c r="CA28" i="14" s="1"/>
  <c r="A28" i="7"/>
  <c r="R28" i="7" s="1"/>
  <c r="A28" i="9"/>
  <c r="A28" i="2"/>
  <c r="A28" i="8"/>
  <c r="A28" i="5"/>
  <c r="AM26" i="1"/>
  <c r="W24" i="1"/>
  <c r="AK26" i="11"/>
  <c r="DH25" i="5"/>
  <c r="BK27" i="14" a="1"/>
  <c r="BK27" i="14" s="1"/>
  <c r="BB27" i="14" a="1"/>
  <c r="BB27" i="14" s="1"/>
  <c r="AK27" i="14" a="1"/>
  <c r="AK27" i="14" s="1"/>
  <c r="BX27" i="14" a="1"/>
  <c r="BX27" i="14" s="1"/>
  <c r="AN27" i="14" a="1"/>
  <c r="AN27" i="14" s="1"/>
  <c r="AQ27" i="14" a="1"/>
  <c r="AQ27" i="14" s="1"/>
  <c r="BM27" i="14" a="1"/>
  <c r="BM27" i="14" s="1"/>
  <c r="BU27" i="14" a="1"/>
  <c r="BU27" i="14" s="1"/>
  <c r="O27" i="14" a="1"/>
  <c r="O27" i="14" s="1"/>
  <c r="AL27" i="14" a="1"/>
  <c r="AL27" i="14" s="1"/>
  <c r="AC27" i="14" a="1"/>
  <c r="AC27" i="14" s="1"/>
  <c r="BH27" i="14" a="1"/>
  <c r="BH27" i="14" s="1"/>
  <c r="BW27" i="14" a="1"/>
  <c r="BW27" i="14" s="1"/>
  <c r="BN27" i="14" a="1"/>
  <c r="BN27" i="14" s="1"/>
  <c r="BF27" i="14" a="1"/>
  <c r="BF27" i="14" s="1"/>
  <c r="AG27" i="14" a="1"/>
  <c r="AG27" i="14" s="1"/>
  <c r="AV27" i="14" a="1"/>
  <c r="AV27" i="14" s="1"/>
  <c r="X27" i="14" a="1"/>
  <c r="X27" i="14" s="1"/>
  <c r="AD27" i="14" a="1"/>
  <c r="AD27" i="14" s="1"/>
  <c r="BD27" i="14" a="1"/>
  <c r="BD27" i="14" s="1"/>
  <c r="AJ27" i="14" a="1"/>
  <c r="AJ27" i="14" s="1"/>
  <c r="AY27" i="14" a="1"/>
  <c r="AY27" i="14" s="1"/>
  <c r="Z27" i="14" a="1"/>
  <c r="Z27" i="14" s="1"/>
  <c r="AP27" i="14" a="1"/>
  <c r="AP27" i="14" s="1"/>
  <c r="Y27" i="14" a="1"/>
  <c r="Y27" i="14" s="1"/>
  <c r="BH27" i="1" s="1"/>
  <c r="BS27" i="14" a="1"/>
  <c r="BS27" i="14" s="1"/>
  <c r="AM27" i="14" a="1"/>
  <c r="AM27" i="14" s="1"/>
  <c r="N27" i="14" a="1"/>
  <c r="N27" i="14" s="1"/>
  <c r="BA27" i="14" a="1"/>
  <c r="BA27" i="14" s="1"/>
  <c r="P27" i="14" a="1"/>
  <c r="P27" i="14" s="1"/>
  <c r="BO27" i="14" a="1"/>
  <c r="BO27" i="14" s="1"/>
  <c r="BL27" i="14" a="1"/>
  <c r="BL27" i="14" s="1"/>
  <c r="BE27" i="14" a="1"/>
  <c r="BE27" i="14" s="1"/>
  <c r="M27" i="14" a="1"/>
  <c r="M27" i="14" s="1"/>
  <c r="BT27" i="14" a="1"/>
  <c r="BT27" i="14" s="1"/>
  <c r="W27" i="14" a="1"/>
  <c r="W27" i="14" s="1"/>
  <c r="V27" i="14" a="1"/>
  <c r="V27" i="14" s="1"/>
  <c r="BY27" i="14" a="1"/>
  <c r="BY27" i="14" s="1"/>
  <c r="AR27" i="14" a="1"/>
  <c r="AR27" i="14" s="1"/>
  <c r="AA27" i="14" a="1"/>
  <c r="AA27" i="14" s="1"/>
  <c r="AX27" i="14" a="1"/>
  <c r="AX27" i="14" s="1"/>
  <c r="Q27" i="14" a="1"/>
  <c r="Q27" i="14" s="1"/>
  <c r="AU27" i="14" a="1"/>
  <c r="AU27" i="14" s="1"/>
  <c r="BR27" i="14" a="1"/>
  <c r="BR27" i="14" s="1"/>
  <c r="BQ27" i="14" a="1"/>
  <c r="BQ27" i="14" s="1"/>
  <c r="BP27" i="14" a="1"/>
  <c r="BP27" i="14" s="1"/>
  <c r="AZ27" i="14" a="1"/>
  <c r="AZ27" i="14" s="1"/>
  <c r="AI27" i="14" a="1"/>
  <c r="AI27" i="14" s="1"/>
  <c r="AH27" i="14" a="1"/>
  <c r="AH27" i="14" s="1"/>
  <c r="AO27" i="14" a="1"/>
  <c r="AO27" i="14" s="1"/>
  <c r="BC27" i="14" a="1"/>
  <c r="BC27" i="14" s="1"/>
  <c r="BJ27" i="14" a="1"/>
  <c r="BJ27" i="14" s="1"/>
  <c r="BI27" i="14" a="1"/>
  <c r="BI27" i="14" s="1"/>
  <c r="BZ27" i="14" a="1"/>
  <c r="BZ27" i="14" s="1"/>
  <c r="U27" i="14" a="1"/>
  <c r="U27" i="14" s="1"/>
  <c r="AF27" i="14" a="1"/>
  <c r="AF27" i="14" s="1"/>
  <c r="S27" i="14" a="1"/>
  <c r="S27" i="14" s="1"/>
  <c r="AW27" i="14" a="1"/>
  <c r="AW27" i="14" s="1"/>
  <c r="BG27" i="14" a="1"/>
  <c r="BG27" i="14" s="1"/>
  <c r="BV27" i="14" a="1"/>
  <c r="BV27" i="14" s="1"/>
  <c r="R27" i="14" a="1"/>
  <c r="R27" i="14" s="1"/>
  <c r="AL27" i="1" s="1"/>
  <c r="AT27" i="14" a="1"/>
  <c r="AT27" i="14" s="1"/>
  <c r="AS27" i="14" a="1"/>
  <c r="AS27" i="14" s="1"/>
  <c r="AB27" i="14" a="1"/>
  <c r="AB27" i="14" s="1"/>
  <c r="AE27" i="14" a="1"/>
  <c r="AE27" i="14" s="1"/>
  <c r="T27" i="14" a="1"/>
  <c r="T27" i="14" s="1"/>
  <c r="X23" i="8"/>
  <c r="DD23" i="8" s="1"/>
  <c r="BI23" i="8"/>
  <c r="AJ23" i="5"/>
  <c r="AP23" i="5" s="1"/>
  <c r="BW23" i="8"/>
  <c r="AI23" i="5"/>
  <c r="AC23" i="8"/>
  <c r="BQ23" i="8" s="1"/>
  <c r="A23" i="11"/>
  <c r="N23" i="11" s="1"/>
  <c r="E23" i="1"/>
  <c r="B23" i="9"/>
  <c r="Y23" i="9" s="1"/>
  <c r="B23" i="7"/>
  <c r="AE23" i="7" s="1"/>
  <c r="AF23" i="7" s="1"/>
  <c r="BH23" i="8"/>
  <c r="BU23" i="8" s="1"/>
  <c r="A23" i="10"/>
  <c r="AA23" i="10" s="1"/>
  <c r="CK23" i="8"/>
  <c r="BT23" i="5"/>
  <c r="AQ21" i="5"/>
  <c r="BY27" i="11"/>
  <c r="AA26" i="7"/>
  <c r="AF26" i="8" s="1"/>
  <c r="K26" i="10"/>
  <c r="K26" i="5"/>
  <c r="F25" i="10"/>
  <c r="H25" i="7"/>
  <c r="DD25" i="5"/>
  <c r="G26" i="5"/>
  <c r="B25" i="10"/>
  <c r="D25" i="7"/>
  <c r="B25" i="5"/>
  <c r="M26" i="5"/>
  <c r="H25" i="10"/>
  <c r="J25" i="7"/>
  <c r="L26" i="5"/>
  <c r="G25" i="10"/>
  <c r="I25" i="7"/>
  <c r="DE25" i="5"/>
  <c r="H26" i="5"/>
  <c r="C25" i="10"/>
  <c r="E25" i="7"/>
  <c r="I26" i="5"/>
  <c r="D25" i="10"/>
  <c r="F25" i="7"/>
  <c r="J26" i="5"/>
  <c r="DC26" i="5" s="1"/>
  <c r="E25" i="10"/>
  <c r="G25" i="7"/>
  <c r="CS20" i="8"/>
  <c r="DF20" i="8" s="1"/>
  <c r="G20" i="1" s="1"/>
  <c r="N20" i="8" s="1"/>
  <c r="D23" i="9"/>
  <c r="CI22" i="8"/>
  <c r="DA22" i="8" s="1"/>
  <c r="BX22" i="8"/>
  <c r="CD22" i="8" s="1"/>
  <c r="N22" i="7"/>
  <c r="AH34" i="9"/>
  <c r="CZ25" i="5"/>
  <c r="CH22" i="8"/>
  <c r="CZ22" i="8" s="1"/>
  <c r="CA22" i="8"/>
  <c r="CB22" i="8"/>
  <c r="CT22" i="8" s="1"/>
  <c r="BY22" i="8"/>
  <c r="BZ22" i="8"/>
  <c r="CC22" i="8"/>
  <c r="CV22" i="8" s="1"/>
  <c r="CW22" i="8" s="1"/>
  <c r="C24" i="5"/>
  <c r="F24" i="5" s="1"/>
  <c r="AA21" i="11"/>
  <c r="AK21" i="1" s="1"/>
  <c r="N22" i="11"/>
  <c r="AB21" i="11"/>
  <c r="Q21" i="8" s="1"/>
  <c r="AC21" i="11"/>
  <c r="U21" i="8" s="1"/>
  <c r="AD21" i="11"/>
  <c r="AI21" i="1" s="1"/>
  <c r="Y21" i="11"/>
  <c r="AH21" i="1" s="1"/>
  <c r="Z21" i="11"/>
  <c r="AE22" i="7"/>
  <c r="AF22" i="7" s="1"/>
  <c r="Q22" i="7"/>
  <c r="C25" i="5"/>
  <c r="DA24" i="5"/>
  <c r="DG24" i="5" s="1" a="1"/>
  <c r="DG24" i="5" s="1"/>
  <c r="AB25" i="1"/>
  <c r="DI25" i="5"/>
  <c r="AG34" i="9"/>
  <c r="AK34" i="9"/>
  <c r="AE96" i="9"/>
  <c r="B20" i="14"/>
  <c r="N10" i="1"/>
  <c r="S27" i="2"/>
  <c r="N28" i="2"/>
  <c r="R28" i="2"/>
  <c r="Q27" i="2"/>
  <c r="P29" i="2"/>
  <c r="J29" i="10"/>
  <c r="N29" i="5" s="1"/>
  <c r="AQ50" i="9" l="1"/>
  <c r="CM50" i="8" s="1"/>
  <c r="AO23" i="5"/>
  <c r="AM23" i="5"/>
  <c r="AN23" i="5"/>
  <c r="AR23" i="5" s="1"/>
  <c r="AV24" i="5"/>
  <c r="AW24" i="5"/>
  <c r="AG22" i="7"/>
  <c r="AI22" i="7" s="1"/>
  <c r="AG23" i="7"/>
  <c r="CL24" i="8"/>
  <c r="AI45" i="9"/>
  <c r="AO45" i="8" s="1"/>
  <c r="CC23" i="8"/>
  <c r="CV23" i="8" s="1"/>
  <c r="CW23" i="8" s="1"/>
  <c r="AC23" i="1"/>
  <c r="G29" i="8"/>
  <c r="CF28" i="8"/>
  <c r="O28" i="2"/>
  <c r="AD26" i="1"/>
  <c r="BN28" i="5" a="1"/>
  <c r="BN28" i="5" s="1"/>
  <c r="AT27" i="5"/>
  <c r="BO28" i="5" a="1"/>
  <c r="BO28" i="5" s="1"/>
  <c r="BJ28" i="5" a="1"/>
  <c r="BJ28" i="5" s="1"/>
  <c r="AM35" i="9"/>
  <c r="BR23" i="8"/>
  <c r="BS23" i="8"/>
  <c r="BI28" i="5" a="1"/>
  <c r="BI28" i="5" s="1"/>
  <c r="BK28" i="5" a="1"/>
  <c r="BK28" i="5" s="1"/>
  <c r="BG28" i="5" a="1"/>
  <c r="BG28" i="5" s="1"/>
  <c r="BQ28" i="5" a="1"/>
  <c r="BQ28" i="5" s="1"/>
  <c r="BD28" i="5" a="1"/>
  <c r="BD28" i="5" s="1"/>
  <c r="AZ28" i="5" a="1"/>
  <c r="AZ28" i="5" s="1"/>
  <c r="CQ28" i="5"/>
  <c r="CV28" i="5"/>
  <c r="CR28" i="5"/>
  <c r="CT28" i="5"/>
  <c r="CS28" i="5"/>
  <c r="CU28" i="5"/>
  <c r="CW28" i="5"/>
  <c r="AY28" i="5" a="1"/>
  <c r="AY28" i="5" s="1"/>
  <c r="BL28" i="5" a="1"/>
  <c r="BL28" i="5" s="1"/>
  <c r="BA28" i="5" a="1"/>
  <c r="BA28" i="5" s="1"/>
  <c r="BE28" i="5" a="1"/>
  <c r="BE28" i="5" s="1"/>
  <c r="BM28" i="5" a="1"/>
  <c r="BM28" i="5" s="1"/>
  <c r="BB28" i="5" a="1"/>
  <c r="BB28" i="5" s="1"/>
  <c r="BF28" i="5" a="1"/>
  <c r="BF28" i="5" s="1"/>
  <c r="AE27" i="1" s="1"/>
  <c r="BC28" i="5" a="1"/>
  <c r="BC28" i="5" s="1"/>
  <c r="BH28" i="5" a="1"/>
  <c r="BH28" i="5" s="1"/>
  <c r="V26" i="2"/>
  <c r="CS21" i="8"/>
  <c r="CI23" i="8"/>
  <c r="DA23" i="8" s="1"/>
  <c r="F31" i="8"/>
  <c r="BP27" i="5" a="1"/>
  <c r="BP27" i="5" s="1"/>
  <c r="J27" i="2" s="1"/>
  <c r="O32" i="1"/>
  <c r="BT23" i="8"/>
  <c r="BO23" i="8"/>
  <c r="BP23" i="8"/>
  <c r="BM23" i="8"/>
  <c r="BN23" i="8"/>
  <c r="BK23" i="8"/>
  <c r="BL23" i="8"/>
  <c r="BJ23" i="8"/>
  <c r="AC23" i="10"/>
  <c r="X23" i="10" s="1"/>
  <c r="AH27" i="11"/>
  <c r="AS27" i="5"/>
  <c r="CX21" i="8"/>
  <c r="CY21" i="8" s="1"/>
  <c r="DF26" i="5"/>
  <c r="AM27" i="1"/>
  <c r="DB26" i="5"/>
  <c r="DE26" i="5"/>
  <c r="AK27" i="11"/>
  <c r="AF25" i="1"/>
  <c r="K29" i="11"/>
  <c r="A29" i="14"/>
  <c r="CA29" i="14" s="1"/>
  <c r="A29" i="9"/>
  <c r="A29" i="7"/>
  <c r="R29" i="7" s="1"/>
  <c r="A29" i="2"/>
  <c r="A29" i="5"/>
  <c r="A29" i="8"/>
  <c r="AJ27" i="1"/>
  <c r="AU28" i="8"/>
  <c r="AE28" i="8"/>
  <c r="Y25" i="1"/>
  <c r="DJ26" i="5"/>
  <c r="DH26" i="5"/>
  <c r="W25" i="1"/>
  <c r="AV28" i="14" a="1"/>
  <c r="AV28" i="14" s="1"/>
  <c r="BJ28" i="14" a="1"/>
  <c r="BJ28" i="14" s="1"/>
  <c r="BB28" i="14" a="1"/>
  <c r="BB28" i="14" s="1"/>
  <c r="AS28" i="14" a="1"/>
  <c r="AS28" i="14" s="1"/>
  <c r="AK28" i="14" a="1"/>
  <c r="AK28" i="14" s="1"/>
  <c r="BW28" i="14" a="1"/>
  <c r="BW28" i="14" s="1"/>
  <c r="AQ28" i="14" a="1"/>
  <c r="AQ28" i="14" s="1"/>
  <c r="AH28" i="14" a="1"/>
  <c r="AH28" i="14" s="1"/>
  <c r="BL28" i="14" a="1"/>
  <c r="BL28" i="14" s="1"/>
  <c r="BT28" i="14" a="1"/>
  <c r="BT28" i="14" s="1"/>
  <c r="X28" i="14" a="1"/>
  <c r="X28" i="14" s="1"/>
  <c r="V28" i="14" a="1"/>
  <c r="V28" i="14" s="1"/>
  <c r="AC28" i="14" a="1"/>
  <c r="AC28" i="14" s="1"/>
  <c r="BO28" i="14" a="1"/>
  <c r="BO28" i="14" s="1"/>
  <c r="AY28" i="14" a="1"/>
  <c r="AY28" i="14" s="1"/>
  <c r="AO28" i="14" a="1"/>
  <c r="AO28" i="14" s="1"/>
  <c r="BM28" i="14" a="1"/>
  <c r="BM28" i="14" s="1"/>
  <c r="Q28" i="14" a="1"/>
  <c r="Q28" i="14" s="1"/>
  <c r="BS28" i="14" a="1"/>
  <c r="BS28" i="14" s="1"/>
  <c r="AE28" i="14" a="1"/>
  <c r="AE28" i="14" s="1"/>
  <c r="BQ28" i="14" a="1"/>
  <c r="BQ28" i="14" s="1"/>
  <c r="BY28" i="14" a="1"/>
  <c r="BY28" i="14" s="1"/>
  <c r="BX28" i="14" a="1"/>
  <c r="BX28" i="14" s="1"/>
  <c r="AI28" i="14" a="1"/>
  <c r="AI28" i="14" s="1"/>
  <c r="AF28" i="14" a="1"/>
  <c r="AF28" i="14" s="1"/>
  <c r="AW28" i="14" a="1"/>
  <c r="AW28" i="14" s="1"/>
  <c r="BC28" i="14" a="1"/>
  <c r="BC28" i="14" s="1"/>
  <c r="W28" i="14" a="1"/>
  <c r="W28" i="14" s="1"/>
  <c r="N28" i="14" a="1"/>
  <c r="N28" i="14" s="1"/>
  <c r="BH28" i="14" a="1"/>
  <c r="BH28" i="14" s="1"/>
  <c r="AR28" i="14" a="1"/>
  <c r="AR28" i="14" s="1"/>
  <c r="BV28" i="14" a="1"/>
  <c r="BV28" i="14" s="1"/>
  <c r="BF28" i="14" a="1"/>
  <c r="BF28" i="14" s="1"/>
  <c r="M28" i="14" a="1"/>
  <c r="M28" i="14" s="1"/>
  <c r="AM28" i="14" a="1"/>
  <c r="AM28" i="14" s="1"/>
  <c r="BR28" i="14" a="1"/>
  <c r="BR28" i="14" s="1"/>
  <c r="BD28" i="14" a="1"/>
  <c r="BD28" i="14" s="1"/>
  <c r="AJ28" i="14" a="1"/>
  <c r="AJ28" i="14" s="1"/>
  <c r="AN28" i="14" a="1"/>
  <c r="AN28" i="14" s="1"/>
  <c r="BN28" i="14" a="1"/>
  <c r="BN28" i="14" s="1"/>
  <c r="R28" i="14" a="1"/>
  <c r="R28" i="14" s="1"/>
  <c r="AL28" i="1" s="1"/>
  <c r="AP28" i="14" a="1"/>
  <c r="AP28" i="14" s="1"/>
  <c r="BK28" i="14" a="1"/>
  <c r="BK28" i="14" s="1"/>
  <c r="AT28" i="14" a="1"/>
  <c r="AT28" i="14" s="1"/>
  <c r="BA28" i="14" a="1"/>
  <c r="BA28" i="14" s="1"/>
  <c r="BZ28" i="14" a="1"/>
  <c r="BZ28" i="14" s="1"/>
  <c r="T28" i="14" a="1"/>
  <c r="T28" i="14" s="1"/>
  <c r="S28" i="14" a="1"/>
  <c r="S28" i="14" s="1"/>
  <c r="BU28" i="14" a="1"/>
  <c r="BU28" i="14" s="1"/>
  <c r="AG28" i="14" a="1"/>
  <c r="AG28" i="14" s="1"/>
  <c r="AU28" i="14" a="1"/>
  <c r="AU28" i="14" s="1"/>
  <c r="AL28" i="14" a="1"/>
  <c r="AL28" i="14" s="1"/>
  <c r="BI28" i="14" a="1"/>
  <c r="BI28" i="14" s="1"/>
  <c r="P28" i="14" a="1"/>
  <c r="P28" i="14" s="1"/>
  <c r="AZ28" i="14" a="1"/>
  <c r="AZ28" i="14" s="1"/>
  <c r="BG28" i="14" a="1"/>
  <c r="BG28" i="14" s="1"/>
  <c r="Z28" i="14" a="1"/>
  <c r="Z28" i="14" s="1"/>
  <c r="BE28" i="14" a="1"/>
  <c r="BE28" i="14" s="1"/>
  <c r="O28" i="14" a="1"/>
  <c r="O28" i="14" s="1"/>
  <c r="AD28" i="14" a="1"/>
  <c r="AD28" i="14" s="1"/>
  <c r="U28" i="14" a="1"/>
  <c r="U28" i="14" s="1"/>
  <c r="BP28" i="14" a="1"/>
  <c r="BP28" i="14" s="1"/>
  <c r="AB28" i="14" a="1"/>
  <c r="AB28" i="14" s="1"/>
  <c r="AA28" i="14" a="1"/>
  <c r="AA28" i="14" s="1"/>
  <c r="AX28" i="14" a="1"/>
  <c r="AX28" i="14" s="1"/>
  <c r="Y28" i="14" a="1"/>
  <c r="Y28" i="14" s="1"/>
  <c r="Q23" i="7"/>
  <c r="CB23" i="8"/>
  <c r="CT23" i="8" s="1"/>
  <c r="CH23" i="8"/>
  <c r="CZ23" i="8" s="1"/>
  <c r="CA23" i="8"/>
  <c r="BZ23" i="8"/>
  <c r="BY23" i="8"/>
  <c r="Y22" i="11"/>
  <c r="AH22" i="1" s="1"/>
  <c r="N23" i="7"/>
  <c r="AA22" i="11"/>
  <c r="AK22" i="1" s="1"/>
  <c r="AB22" i="11"/>
  <c r="Q22" i="8" s="1"/>
  <c r="BX23" i="8"/>
  <c r="CE23" i="8" s="1"/>
  <c r="D24" i="9"/>
  <c r="AC22" i="11"/>
  <c r="U22" i="8" s="1"/>
  <c r="AD22" i="11"/>
  <c r="AI22" i="1" s="1"/>
  <c r="F25" i="5"/>
  <c r="Z22" i="11"/>
  <c r="BY28" i="11"/>
  <c r="AA27" i="7"/>
  <c r="AF27" i="8" s="1"/>
  <c r="K27" i="10"/>
  <c r="D26" i="7"/>
  <c r="G27" i="5"/>
  <c r="B26" i="10"/>
  <c r="M27" i="5"/>
  <c r="H26" i="10"/>
  <c r="J26" i="7"/>
  <c r="I27" i="5"/>
  <c r="D26" i="10"/>
  <c r="F26" i="7"/>
  <c r="H27" i="5"/>
  <c r="C26" i="10"/>
  <c r="E26" i="7"/>
  <c r="K27" i="5"/>
  <c r="F26" i="10"/>
  <c r="H26" i="7"/>
  <c r="DD26" i="5"/>
  <c r="L27" i="5"/>
  <c r="G26" i="10"/>
  <c r="I26" i="7"/>
  <c r="B26" i="5"/>
  <c r="J27" i="5"/>
  <c r="DC27" i="5" s="1"/>
  <c r="E26" i="10"/>
  <c r="G26" i="7"/>
  <c r="CQ22" i="8"/>
  <c r="CU22" i="8" s="1"/>
  <c r="DB22" i="8"/>
  <c r="DH24" i="8"/>
  <c r="DI24" i="8" s="1"/>
  <c r="CE22" i="8"/>
  <c r="CX22" i="8" s="1"/>
  <c r="CY22" i="8" s="1"/>
  <c r="CK24" i="8"/>
  <c r="BW24" i="8"/>
  <c r="AC24" i="1" s="1"/>
  <c r="BH24" i="8"/>
  <c r="BI24" i="8"/>
  <c r="AH35" i="9"/>
  <c r="AI24" i="5"/>
  <c r="A24" i="11"/>
  <c r="E24" i="1"/>
  <c r="AC24" i="8"/>
  <c r="BQ24" i="8" s="1"/>
  <c r="BT24" i="5"/>
  <c r="A24" i="10"/>
  <c r="AA24" i="10" s="1"/>
  <c r="B24" i="7"/>
  <c r="B24" i="9"/>
  <c r="Y24" i="9" s="1"/>
  <c r="AJ24" i="5"/>
  <c r="AP24" i="5" s="1"/>
  <c r="X24" i="8"/>
  <c r="DD24" i="8" s="1"/>
  <c r="CZ26" i="5"/>
  <c r="AQ22" i="5"/>
  <c r="CR22" i="8"/>
  <c r="AB26" i="1"/>
  <c r="DI26" i="5"/>
  <c r="DA25" i="5"/>
  <c r="DG25" i="5" s="1" a="1"/>
  <c r="DG25" i="5" s="1"/>
  <c r="AG35" i="9"/>
  <c r="AK35" i="9"/>
  <c r="AE97" i="9"/>
  <c r="B21" i="14"/>
  <c r="N11" i="1"/>
  <c r="S28" i="2"/>
  <c r="N29" i="2"/>
  <c r="R29" i="2"/>
  <c r="Q28" i="2"/>
  <c r="J30" i="10"/>
  <c r="N30" i="5" s="1"/>
  <c r="P30" i="2"/>
  <c r="AQ51" i="9" l="1"/>
  <c r="CM51" i="8" s="1"/>
  <c r="AO24" i="5"/>
  <c r="AM24" i="5"/>
  <c r="AN24" i="5"/>
  <c r="AR24" i="5" s="1"/>
  <c r="AI23" i="7"/>
  <c r="AV25" i="5"/>
  <c r="AW25" i="5"/>
  <c r="CL25" i="8"/>
  <c r="AI46" i="9"/>
  <c r="AO46" i="8" s="1"/>
  <c r="G30" i="8"/>
  <c r="CF29" i="8"/>
  <c r="O29" i="2"/>
  <c r="BN29" i="5" a="1"/>
  <c r="BN29" i="5" s="1"/>
  <c r="AD27" i="1"/>
  <c r="BH29" i="5" a="1"/>
  <c r="BH29" i="5" s="1"/>
  <c r="AM36" i="9"/>
  <c r="BR24" i="8"/>
  <c r="BS24" i="8"/>
  <c r="BO29" i="5" a="1"/>
  <c r="BO29" i="5" s="1"/>
  <c r="BC29" i="5" a="1"/>
  <c r="BC29" i="5" s="1"/>
  <c r="BF29" i="5" a="1"/>
  <c r="BF29" i="5" s="1"/>
  <c r="AE28" i="1" s="1"/>
  <c r="AZ29" i="5" a="1"/>
  <c r="AZ29" i="5" s="1"/>
  <c r="BJ29" i="5" a="1"/>
  <c r="BJ29" i="5" s="1"/>
  <c r="BD29" i="5" a="1"/>
  <c r="BD29" i="5" s="1"/>
  <c r="BB29" i="5" a="1"/>
  <c r="BB29" i="5" s="1"/>
  <c r="BM29" i="5" a="1"/>
  <c r="BM29" i="5" s="1"/>
  <c r="BQ29" i="5" a="1"/>
  <c r="BQ29" i="5" s="1"/>
  <c r="CS29" i="5"/>
  <c r="CU29" i="5"/>
  <c r="CR29" i="5"/>
  <c r="CT29" i="5"/>
  <c r="CW29" i="5"/>
  <c r="CV29" i="5"/>
  <c r="CQ29" i="5"/>
  <c r="AY29" i="5" a="1"/>
  <c r="AY29" i="5" s="1"/>
  <c r="BL29" i="5" a="1"/>
  <c r="BL29" i="5" s="1"/>
  <c r="BE29" i="5" a="1"/>
  <c r="BE29" i="5" s="1"/>
  <c r="BG29" i="5" a="1"/>
  <c r="BG29" i="5" s="1"/>
  <c r="BK29" i="5" a="1"/>
  <c r="BK29" i="5" s="1"/>
  <c r="BA29" i="5" a="1"/>
  <c r="BA29" i="5" s="1"/>
  <c r="BI29" i="5" a="1"/>
  <c r="BI29" i="5" s="1"/>
  <c r="V27" i="2"/>
  <c r="DB23" i="8"/>
  <c r="CQ23" i="8"/>
  <c r="CU23" i="8" s="1"/>
  <c r="F32" i="8"/>
  <c r="BP28" i="5" a="1"/>
  <c r="BP28" i="5" s="1"/>
  <c r="J28" i="2" s="1"/>
  <c r="BI25" i="8"/>
  <c r="AT28" i="5"/>
  <c r="O33" i="1"/>
  <c r="BT24" i="8"/>
  <c r="BU24" i="8"/>
  <c r="BO24" i="8"/>
  <c r="BP24" i="8"/>
  <c r="BM24" i="8"/>
  <c r="BN24" i="8"/>
  <c r="BK24" i="8"/>
  <c r="BL24" i="8"/>
  <c r="BJ24" i="8"/>
  <c r="AC24" i="10"/>
  <c r="X24" i="10" s="1"/>
  <c r="AH28" i="11"/>
  <c r="AS28" i="5"/>
  <c r="DE27" i="5"/>
  <c r="DB27" i="5"/>
  <c r="DF27" i="5"/>
  <c r="AJ28" i="1"/>
  <c r="AE29" i="8"/>
  <c r="AU29" i="8"/>
  <c r="AF26" i="1"/>
  <c r="W26" i="1"/>
  <c r="AK28" i="11"/>
  <c r="AM28" i="1"/>
  <c r="K30" i="11"/>
  <c r="A30" i="14"/>
  <c r="CA30" i="14" s="1"/>
  <c r="A30" i="5"/>
  <c r="A30" i="9"/>
  <c r="A30" i="7"/>
  <c r="R30" i="7" s="1"/>
  <c r="A30" i="2"/>
  <c r="A30" i="8"/>
  <c r="DH27" i="5"/>
  <c r="Y26" i="1"/>
  <c r="DJ27" i="5"/>
  <c r="BT29" i="14" a="1"/>
  <c r="BT29" i="14" s="1"/>
  <c r="O29" i="14" a="1"/>
  <c r="O29" i="14" s="1"/>
  <c r="V29" i="14" a="1"/>
  <c r="V29" i="14" s="1"/>
  <c r="P29" i="14" a="1"/>
  <c r="P29" i="14" s="1"/>
  <c r="AB29" i="14" a="1"/>
  <c r="AB29" i="14" s="1"/>
  <c r="BO29" i="14" a="1"/>
  <c r="BO29" i="14" s="1"/>
  <c r="R29" i="14" a="1"/>
  <c r="R29" i="14" s="1"/>
  <c r="AL29" i="1" s="1"/>
  <c r="AO29" i="14" a="1"/>
  <c r="AO29" i="14" s="1"/>
  <c r="BE29" i="14" a="1"/>
  <c r="BE29" i="14" s="1"/>
  <c r="BS29" i="14" a="1"/>
  <c r="BS29" i="14" s="1"/>
  <c r="X29" i="14" a="1"/>
  <c r="X29" i="14" s="1"/>
  <c r="AD29" i="14" a="1"/>
  <c r="AD29" i="14" s="1"/>
  <c r="AR29" i="14" a="1"/>
  <c r="AR29" i="14" s="1"/>
  <c r="AN29" i="14" a="1"/>
  <c r="AN29" i="14" s="1"/>
  <c r="BG29" i="14" a="1"/>
  <c r="BG29" i="14" s="1"/>
  <c r="AA29" i="14" a="1"/>
  <c r="AA29" i="14" s="1"/>
  <c r="Y29" i="14" a="1"/>
  <c r="Y29" i="14" s="1"/>
  <c r="BK29" i="14" a="1"/>
  <c r="BK29" i="14" s="1"/>
  <c r="BR29" i="14" a="1"/>
  <c r="BR29" i="14" s="1"/>
  <c r="BI29" i="14" a="1"/>
  <c r="BI29" i="14" s="1"/>
  <c r="BA29" i="14" a="1"/>
  <c r="BA29" i="14" s="1"/>
  <c r="BW29" i="14" a="1"/>
  <c r="BW29" i="14" s="1"/>
  <c r="AI29" i="14" a="1"/>
  <c r="AI29" i="14" s="1"/>
  <c r="BF29" i="14" a="1"/>
  <c r="BF29" i="14" s="1"/>
  <c r="BC29" i="14" a="1"/>
  <c r="BC29" i="14" s="1"/>
  <c r="AL29" i="14" a="1"/>
  <c r="AL29" i="14" s="1"/>
  <c r="BQ29" i="14" a="1"/>
  <c r="BQ29" i="14" s="1"/>
  <c r="AZ29" i="14" a="1"/>
  <c r="AZ29" i="14" s="1"/>
  <c r="BH29" i="14" a="1"/>
  <c r="BH29" i="14" s="1"/>
  <c r="AQ29" i="14" a="1"/>
  <c r="AQ29" i="14" s="1"/>
  <c r="Z29" i="14" a="1"/>
  <c r="Z29" i="14" s="1"/>
  <c r="AM29" i="14" a="1"/>
  <c r="AM29" i="14" s="1"/>
  <c r="BB29" i="14" a="1"/>
  <c r="BB29" i="14" s="1"/>
  <c r="AK29" i="14" a="1"/>
  <c r="AK29" i="14" s="1"/>
  <c r="BY29" i="14" a="1"/>
  <c r="BY29" i="14" s="1"/>
  <c r="T29" i="14" a="1"/>
  <c r="T29" i="14" s="1"/>
  <c r="AW29" i="14" a="1"/>
  <c r="AW29" i="14" s="1"/>
  <c r="BL29" i="14" a="1"/>
  <c r="BL29" i="14" s="1"/>
  <c r="AG29" i="14" a="1"/>
  <c r="AG29" i="14" s="1"/>
  <c r="AU29" i="14" a="1"/>
  <c r="AU29" i="14" s="1"/>
  <c r="AT29" i="14" a="1"/>
  <c r="AT29" i="14" s="1"/>
  <c r="AC29" i="14" a="1"/>
  <c r="AC29" i="14" s="1"/>
  <c r="BP29" i="14" a="1"/>
  <c r="BP29" i="14" s="1"/>
  <c r="BX29" i="14" a="1"/>
  <c r="BX29" i="14" s="1"/>
  <c r="AF29" i="14" a="1"/>
  <c r="AF29" i="14" s="1"/>
  <c r="AH29" i="14" a="1"/>
  <c r="AH29" i="14" s="1"/>
  <c r="BU29" i="14" a="1"/>
  <c r="BU29" i="14" s="1"/>
  <c r="AS29" i="14" a="1"/>
  <c r="AS29" i="14" s="1"/>
  <c r="S29" i="14" a="1"/>
  <c r="S29" i="14" s="1"/>
  <c r="BD29" i="14" a="1"/>
  <c r="BD29" i="14" s="1"/>
  <c r="BV29" i="14" a="1"/>
  <c r="BV29" i="14" s="1"/>
  <c r="BZ29" i="14" a="1"/>
  <c r="BZ29" i="14" s="1"/>
  <c r="Q29" i="14" a="1"/>
  <c r="Q29" i="14" s="1"/>
  <c r="AV29" i="14" a="1"/>
  <c r="AV29" i="14" s="1"/>
  <c r="U29" i="14" a="1"/>
  <c r="U29" i="14" s="1"/>
  <c r="AP29" i="14" a="1"/>
  <c r="AP29" i="14" s="1"/>
  <c r="AE29" i="14" a="1"/>
  <c r="AE29" i="14" s="1"/>
  <c r="AJ29" i="14" a="1"/>
  <c r="AJ29" i="14" s="1"/>
  <c r="BM29" i="14" a="1"/>
  <c r="BM29" i="14" s="1"/>
  <c r="W29" i="14" a="1"/>
  <c r="W29" i="14" s="1"/>
  <c r="AY29" i="14" a="1"/>
  <c r="AY29" i="14" s="1"/>
  <c r="M29" i="14" a="1"/>
  <c r="M29" i="14" s="1"/>
  <c r="N29" i="14" a="1"/>
  <c r="N29" i="14" s="1"/>
  <c r="BN29" i="14" a="1"/>
  <c r="BN29" i="14" s="1"/>
  <c r="BJ29" i="14" a="1"/>
  <c r="BJ29" i="14" s="1"/>
  <c r="AX29" i="14" a="1"/>
  <c r="AX29" i="14" s="1"/>
  <c r="AQ23" i="5"/>
  <c r="A25" i="11"/>
  <c r="N25" i="11" s="1"/>
  <c r="A25" i="10"/>
  <c r="AA25" i="10" s="1"/>
  <c r="CK25" i="8"/>
  <c r="CR23" i="8"/>
  <c r="B25" i="9"/>
  <c r="Y25" i="9" s="1"/>
  <c r="CD23" i="8"/>
  <c r="AI25" i="5"/>
  <c r="DH25" i="8"/>
  <c r="DI25" i="8" s="1"/>
  <c r="E25" i="1"/>
  <c r="AJ25" i="5"/>
  <c r="AP25" i="5" s="1"/>
  <c r="BH25" i="8"/>
  <c r="BU25" i="8" s="1"/>
  <c r="BW25" i="8"/>
  <c r="D25" i="9"/>
  <c r="BT25" i="5"/>
  <c r="AC25" i="8"/>
  <c r="BQ25" i="8" s="1"/>
  <c r="B25" i="7"/>
  <c r="Q25" i="7" s="1"/>
  <c r="X25" i="8"/>
  <c r="DD25" i="8" s="1"/>
  <c r="BY29" i="11"/>
  <c r="AA28" i="7"/>
  <c r="AF28" i="8" s="1"/>
  <c r="K28" i="10"/>
  <c r="J28" i="5"/>
  <c r="DC28" i="5" s="1"/>
  <c r="E27" i="10"/>
  <c r="G27" i="7"/>
  <c r="M28" i="5"/>
  <c r="H27" i="10"/>
  <c r="J27" i="7"/>
  <c r="B27" i="5"/>
  <c r="K28" i="5"/>
  <c r="F27" i="10"/>
  <c r="H27" i="7"/>
  <c r="DD27" i="5"/>
  <c r="H28" i="5"/>
  <c r="C27" i="10"/>
  <c r="E27" i="7"/>
  <c r="L28" i="5"/>
  <c r="G27" i="10"/>
  <c r="I27" i="7"/>
  <c r="G28" i="5"/>
  <c r="D27" i="7"/>
  <c r="B27" i="10"/>
  <c r="I28" i="5"/>
  <c r="D27" i="10"/>
  <c r="F27" i="7"/>
  <c r="CS22" i="8"/>
  <c r="CI24" i="8"/>
  <c r="DA24" i="8" s="1"/>
  <c r="BX24" i="8"/>
  <c r="CD24" i="8" s="1"/>
  <c r="N24" i="7"/>
  <c r="AH36" i="9"/>
  <c r="AE24" i="7"/>
  <c r="AF24" i="7" s="1"/>
  <c r="Q24" i="7"/>
  <c r="C26" i="5"/>
  <c r="F26" i="5" s="1"/>
  <c r="Z23" i="11"/>
  <c r="AA23" i="11"/>
  <c r="AK23" i="1" s="1"/>
  <c r="AD23" i="11"/>
  <c r="AI23" i="1" s="1"/>
  <c r="Y23" i="11"/>
  <c r="AH23" i="1" s="1"/>
  <c r="N24" i="11"/>
  <c r="AC23" i="11"/>
  <c r="U23" i="8" s="1"/>
  <c r="AB23" i="11"/>
  <c r="Q23" i="8" s="1"/>
  <c r="BY24" i="8"/>
  <c r="BZ24" i="8"/>
  <c r="CC24" i="8"/>
  <c r="CV24" i="8" s="1"/>
  <c r="CW24" i="8" s="1"/>
  <c r="CH24" i="8"/>
  <c r="CZ24" i="8" s="1"/>
  <c r="CA24" i="8"/>
  <c r="CB24" i="8"/>
  <c r="CT24" i="8" s="1"/>
  <c r="CZ27" i="5"/>
  <c r="DA26" i="5"/>
  <c r="DG26" i="5" s="1" a="1"/>
  <c r="DG26" i="5" s="1"/>
  <c r="AB27" i="1"/>
  <c r="DI27" i="5"/>
  <c r="AG36" i="9"/>
  <c r="AK36" i="9"/>
  <c r="AE98" i="9"/>
  <c r="B22" i="14"/>
  <c r="N12" i="1"/>
  <c r="S29" i="2"/>
  <c r="N30" i="2"/>
  <c r="R30" i="2"/>
  <c r="Q29" i="2"/>
  <c r="J31" i="10"/>
  <c r="N31" i="5" s="1"/>
  <c r="P31" i="2"/>
  <c r="AQ52" i="9" l="1"/>
  <c r="CM52" i="8" s="1"/>
  <c r="AO25" i="5"/>
  <c r="AM25" i="5"/>
  <c r="AN25" i="5"/>
  <c r="AV26" i="5"/>
  <c r="AW26" i="5"/>
  <c r="AG24" i="7"/>
  <c r="AI24" i="7" s="1"/>
  <c r="AT29" i="5"/>
  <c r="CL26" i="8"/>
  <c r="AI47" i="9"/>
  <c r="AO47" i="8" s="1"/>
  <c r="CB25" i="8"/>
  <c r="CT25" i="8" s="1"/>
  <c r="AC25" i="1"/>
  <c r="G31" i="8"/>
  <c r="CF30" i="8"/>
  <c r="O30" i="2"/>
  <c r="AD28" i="1"/>
  <c r="AM37" i="9"/>
  <c r="BR25" i="8"/>
  <c r="BS25" i="8"/>
  <c r="BQ30" i="5" a="1"/>
  <c r="BQ30" i="5" s="1"/>
  <c r="BM30" i="5" a="1"/>
  <c r="BM30" i="5" s="1"/>
  <c r="BI30" i="5" a="1"/>
  <c r="BI30" i="5" s="1"/>
  <c r="BB30" i="5" a="1"/>
  <c r="BB30" i="5" s="1"/>
  <c r="BA30" i="5" a="1"/>
  <c r="BA30" i="5" s="1"/>
  <c r="BD30" i="5" a="1"/>
  <c r="BD30" i="5" s="1"/>
  <c r="BK30" i="5" a="1"/>
  <c r="BK30" i="5" s="1"/>
  <c r="BJ30" i="5" a="1"/>
  <c r="BJ30" i="5" s="1"/>
  <c r="BG30" i="5" a="1"/>
  <c r="BG30" i="5" s="1"/>
  <c r="AZ30" i="5" a="1"/>
  <c r="AZ30" i="5" s="1"/>
  <c r="BE30" i="5" a="1"/>
  <c r="BE30" i="5" s="1"/>
  <c r="BF30" i="5" a="1"/>
  <c r="BF30" i="5" s="1"/>
  <c r="AE29" i="1" s="1"/>
  <c r="BC30" i="5" a="1"/>
  <c r="BC30" i="5" s="1"/>
  <c r="CT30" i="5"/>
  <c r="CV30" i="5"/>
  <c r="CQ30" i="5"/>
  <c r="CS30" i="5"/>
  <c r="CR30" i="5"/>
  <c r="CW30" i="5"/>
  <c r="CU30" i="5"/>
  <c r="AY30" i="5" a="1"/>
  <c r="AY30" i="5" s="1"/>
  <c r="BL30" i="5" a="1"/>
  <c r="BL30" i="5" s="1"/>
  <c r="BO30" i="5" a="1"/>
  <c r="BO30" i="5" s="1"/>
  <c r="BH30" i="5" a="1"/>
  <c r="BH30" i="5" s="1"/>
  <c r="BN30" i="5" a="1"/>
  <c r="BN30" i="5" s="1"/>
  <c r="V28" i="2"/>
  <c r="CS23" i="8"/>
  <c r="F33" i="8"/>
  <c r="BP29" i="5" a="1"/>
  <c r="BP29" i="5" s="1"/>
  <c r="J29" i="2" s="1"/>
  <c r="O34" i="1"/>
  <c r="BT25" i="8"/>
  <c r="BO25" i="8"/>
  <c r="BP25" i="8"/>
  <c r="BM25" i="8"/>
  <c r="BN25" i="8"/>
  <c r="BK25" i="8"/>
  <c r="BL25" i="8"/>
  <c r="BJ25" i="8"/>
  <c r="AC25" i="10"/>
  <c r="X25" i="10" s="1"/>
  <c r="AR25" i="5"/>
  <c r="AH29" i="11"/>
  <c r="AS29" i="5"/>
  <c r="Z24" i="11"/>
  <c r="DB28" i="5"/>
  <c r="AM29" i="1"/>
  <c r="DF28" i="5"/>
  <c r="DE28" i="5"/>
  <c r="DH28" i="5"/>
  <c r="AV30" i="14" a="1"/>
  <c r="AV30" i="14" s="1"/>
  <c r="O30" i="14" a="1"/>
  <c r="O30" i="14" s="1"/>
  <c r="N30" i="14" a="1"/>
  <c r="N30" i="14" s="1"/>
  <c r="AK30" i="14" a="1"/>
  <c r="AK30" i="14" s="1"/>
  <c r="AN30" i="14" a="1"/>
  <c r="AN30" i="14" s="1"/>
  <c r="BG30" i="14" a="1"/>
  <c r="BG30" i="14" s="1"/>
  <c r="BN30" i="14" a="1"/>
  <c r="BN30" i="14" s="1"/>
  <c r="AW30" i="14" a="1"/>
  <c r="AW30" i="14" s="1"/>
  <c r="M30" i="14" a="1"/>
  <c r="M30" i="14" s="1"/>
  <c r="BT30" i="14" a="1"/>
  <c r="BT30" i="14" s="1"/>
  <c r="AT30" i="14" a="1"/>
  <c r="AT30" i="14" s="1"/>
  <c r="BD30" i="14" a="1"/>
  <c r="BD30" i="14" s="1"/>
  <c r="BX30" i="14" a="1"/>
  <c r="BX30" i="14" s="1"/>
  <c r="BO30" i="14" a="1"/>
  <c r="BO30" i="14" s="1"/>
  <c r="AI30" i="14" a="1"/>
  <c r="AI30" i="14" s="1"/>
  <c r="AX30" i="14" a="1"/>
  <c r="AX30" i="14" s="1"/>
  <c r="AO30" i="14" a="1"/>
  <c r="AO30" i="14" s="1"/>
  <c r="AU30" i="14" a="1"/>
  <c r="AU30" i="14" s="1"/>
  <c r="AE30" i="14" a="1"/>
  <c r="AE30" i="14" s="1"/>
  <c r="V30" i="14" a="1"/>
  <c r="V30" i="14" s="1"/>
  <c r="BH30" i="14" a="1"/>
  <c r="BH30" i="14" s="1"/>
  <c r="BZ30" i="14" a="1"/>
  <c r="BZ30" i="14" s="1"/>
  <c r="AF30" i="14" a="1"/>
  <c r="AF30" i="14" s="1"/>
  <c r="R30" i="14" a="1"/>
  <c r="R30" i="14" s="1"/>
  <c r="AL30" i="1" s="1"/>
  <c r="Y30" i="14" a="1"/>
  <c r="Y30" i="14" s="1"/>
  <c r="BK30" i="14" a="1"/>
  <c r="BK30" i="14" s="1"/>
  <c r="W30" i="14" a="1"/>
  <c r="W30" i="14" s="1"/>
  <c r="BQ30" i="14" a="1"/>
  <c r="BQ30" i="14" s="1"/>
  <c r="AJ30" i="14" a="1"/>
  <c r="AJ30" i="14" s="1"/>
  <c r="AB30" i="14" a="1"/>
  <c r="AB30" i="14" s="1"/>
  <c r="BV30" i="14" a="1"/>
  <c r="BV30" i="14" s="1"/>
  <c r="BF30" i="14" a="1"/>
  <c r="BF30" i="14" s="1"/>
  <c r="Q30" i="14" a="1"/>
  <c r="Q30" i="14" s="1"/>
  <c r="BC30" i="14" a="1"/>
  <c r="BC30" i="14" s="1"/>
  <c r="AD30" i="14" a="1"/>
  <c r="AD30" i="14" s="1"/>
  <c r="BI30" i="14" a="1"/>
  <c r="BI30" i="14" s="1"/>
  <c r="P30" i="14" a="1"/>
  <c r="P30" i="14" s="1"/>
  <c r="T30" i="14" a="1"/>
  <c r="T30" i="14" s="1"/>
  <c r="AQ30" i="14" a="1"/>
  <c r="AQ30" i="14" s="1"/>
  <c r="Z30" i="14" a="1"/>
  <c r="Z30" i="14" s="1"/>
  <c r="BU30" i="14" a="1"/>
  <c r="BU30" i="14" s="1"/>
  <c r="AM30" i="14" a="1"/>
  <c r="AM30" i="14" s="1"/>
  <c r="BB30" i="14" a="1"/>
  <c r="BB30" i="14" s="1"/>
  <c r="BA30" i="14" a="1"/>
  <c r="BA30" i="14" s="1"/>
  <c r="BY30" i="14" a="1"/>
  <c r="BY30" i="14" s="1"/>
  <c r="AC30" i="14" a="1"/>
  <c r="AC30" i="14" s="1"/>
  <c r="S30" i="14" a="1"/>
  <c r="S30" i="14" s="1"/>
  <c r="AP30" i="14" a="1"/>
  <c r="AP30" i="14" s="1"/>
  <c r="AG30" i="14" a="1"/>
  <c r="AG30" i="14" s="1"/>
  <c r="X30" i="14" a="1"/>
  <c r="X30" i="14" s="1"/>
  <c r="AL30" i="14" a="1"/>
  <c r="AL30" i="14" s="1"/>
  <c r="U30" i="14" a="1"/>
  <c r="U30" i="14" s="1"/>
  <c r="AZ30" i="14" a="1"/>
  <c r="AZ30" i="14" s="1"/>
  <c r="BP30" i="14" a="1"/>
  <c r="BP30" i="14" s="1"/>
  <c r="BW30" i="14" a="1"/>
  <c r="BW30" i="14" s="1"/>
  <c r="BE30" i="14" a="1"/>
  <c r="BE30" i="14" s="1"/>
  <c r="BL30" i="14" a="1"/>
  <c r="BL30" i="14" s="1"/>
  <c r="BS30" i="14" a="1"/>
  <c r="BS30" i="14" s="1"/>
  <c r="BR30" i="14" a="1"/>
  <c r="BR30" i="14" s="1"/>
  <c r="BJ30" i="14" a="1"/>
  <c r="BJ30" i="14" s="1"/>
  <c r="AS30" i="14" a="1"/>
  <c r="AS30" i="14" s="1"/>
  <c r="AR30" i="14" a="1"/>
  <c r="AR30" i="14" s="1"/>
  <c r="AA30" i="14" a="1"/>
  <c r="AA30" i="14" s="1"/>
  <c r="AY30" i="14" a="1"/>
  <c r="AY30" i="14" s="1"/>
  <c r="AH30" i="14" a="1"/>
  <c r="AH30" i="14" s="1"/>
  <c r="BM30" i="14" a="1"/>
  <c r="BM30" i="14" s="1"/>
  <c r="K31" i="11"/>
  <c r="A31" i="14"/>
  <c r="CA31" i="14" s="1"/>
  <c r="A31" i="5"/>
  <c r="A31" i="8"/>
  <c r="A31" i="9"/>
  <c r="A31" i="2"/>
  <c r="A31" i="7"/>
  <c r="R31" i="7" s="1"/>
  <c r="W27" i="1"/>
  <c r="AE30" i="8"/>
  <c r="AU30" i="8"/>
  <c r="AF27" i="1"/>
  <c r="Y27" i="1"/>
  <c r="DJ28" i="5"/>
  <c r="AJ29" i="1"/>
  <c r="AK29" i="11"/>
  <c r="AA24" i="11"/>
  <c r="AK24" i="1" s="1"/>
  <c r="AD24" i="11"/>
  <c r="AI24" i="1" s="1"/>
  <c r="Y24" i="11"/>
  <c r="AH24" i="1" s="1"/>
  <c r="CX23" i="8"/>
  <c r="CY23" i="8" s="1"/>
  <c r="AC24" i="11"/>
  <c r="U24" i="8" s="1"/>
  <c r="AB24" i="11"/>
  <c r="Q24" i="8" s="1"/>
  <c r="BZ25" i="8"/>
  <c r="CC25" i="8"/>
  <c r="CV25" i="8" s="1"/>
  <c r="CW25" i="8" s="1"/>
  <c r="CI25" i="8"/>
  <c r="DA25" i="8" s="1"/>
  <c r="CA25" i="8"/>
  <c r="CH25" i="8"/>
  <c r="CZ25" i="8" s="1"/>
  <c r="N25" i="7"/>
  <c r="BY25" i="8"/>
  <c r="BX25" i="8"/>
  <c r="CE25" i="8" s="1"/>
  <c r="D26" i="9"/>
  <c r="AE25" i="7"/>
  <c r="AF25" i="7" s="1"/>
  <c r="BY30" i="11"/>
  <c r="AA29" i="7"/>
  <c r="AF29" i="8" s="1"/>
  <c r="AV29" i="8" s="1"/>
  <c r="K29" i="10"/>
  <c r="L29" i="11"/>
  <c r="K29" i="5"/>
  <c r="F28" i="10"/>
  <c r="H28" i="7"/>
  <c r="DD28" i="5"/>
  <c r="I29" i="5"/>
  <c r="D28" i="10"/>
  <c r="F28" i="7"/>
  <c r="L29" i="5"/>
  <c r="G28" i="10"/>
  <c r="I28" i="7"/>
  <c r="H29" i="5"/>
  <c r="C28" i="10"/>
  <c r="E28" i="7"/>
  <c r="M29" i="5"/>
  <c r="H28" i="10"/>
  <c r="J28" i="7"/>
  <c r="B28" i="10"/>
  <c r="G29" i="5"/>
  <c r="D28" i="7"/>
  <c r="B28" i="5"/>
  <c r="J29" i="5"/>
  <c r="DC29" i="5" s="1"/>
  <c r="E28" i="10"/>
  <c r="G28" i="7"/>
  <c r="CQ24" i="8"/>
  <c r="CU24" i="8" s="1"/>
  <c r="DB24" i="8"/>
  <c r="DH26" i="8"/>
  <c r="DI26" i="8" s="1"/>
  <c r="CE24" i="8"/>
  <c r="CX24" i="8" s="1"/>
  <c r="CY24" i="8" s="1"/>
  <c r="CK26" i="8"/>
  <c r="BW26" i="8"/>
  <c r="AC26" i="1" s="1"/>
  <c r="BH26" i="8"/>
  <c r="BI26" i="8"/>
  <c r="AH37" i="9"/>
  <c r="C27" i="5"/>
  <c r="F27" i="5" s="1"/>
  <c r="CZ28" i="5"/>
  <c r="CR24" i="8"/>
  <c r="AQ24" i="5"/>
  <c r="AJ26" i="5"/>
  <c r="AP26" i="5" s="1"/>
  <c r="AC26" i="8"/>
  <c r="BQ26" i="8" s="1"/>
  <c r="BT26" i="5"/>
  <c r="A26" i="10"/>
  <c r="AA26" i="10" s="1"/>
  <c r="B26" i="7"/>
  <c r="X26" i="8"/>
  <c r="DD26" i="8" s="1"/>
  <c r="E26" i="1"/>
  <c r="AI26" i="5"/>
  <c r="A26" i="11"/>
  <c r="B26" i="9"/>
  <c r="Y26" i="9" s="1"/>
  <c r="AB28" i="1"/>
  <c r="DI28" i="5"/>
  <c r="DA27" i="5"/>
  <c r="DG27" i="5" s="1" a="1"/>
  <c r="DG27" i="5" s="1"/>
  <c r="AG37" i="9"/>
  <c r="AK37" i="9"/>
  <c r="AE99" i="9"/>
  <c r="B23" i="14"/>
  <c r="N13" i="1"/>
  <c r="S30" i="2"/>
  <c r="N31" i="2"/>
  <c r="R31" i="2"/>
  <c r="Q30" i="2"/>
  <c r="P32" i="2"/>
  <c r="J32" i="10"/>
  <c r="N32" i="5" s="1"/>
  <c r="AQ53" i="9" l="1"/>
  <c r="CM53" i="8" s="1"/>
  <c r="AO26" i="5"/>
  <c r="AM26" i="5"/>
  <c r="AN26" i="5"/>
  <c r="AV27" i="5"/>
  <c r="AW27" i="5"/>
  <c r="AG25" i="7"/>
  <c r="AI25" i="7" s="1"/>
  <c r="AT30" i="5"/>
  <c r="CL27" i="8"/>
  <c r="AI48" i="9"/>
  <c r="AO48" i="8" s="1"/>
  <c r="G32" i="8"/>
  <c r="CF31" i="8"/>
  <c r="O31" i="2"/>
  <c r="AM38" i="9"/>
  <c r="BR26" i="8"/>
  <c r="BS26" i="8"/>
  <c r="AD29" i="1"/>
  <c r="BC31" i="5" a="1"/>
  <c r="BC31" i="5" s="1"/>
  <c r="BF31" i="5" a="1"/>
  <c r="BF31" i="5" s="1"/>
  <c r="AE30" i="1" s="1"/>
  <c r="BE31" i="5" a="1"/>
  <c r="BE31" i="5" s="1"/>
  <c r="BN31" i="5" a="1"/>
  <c r="BN31" i="5" s="1"/>
  <c r="AZ31" i="5" a="1"/>
  <c r="AZ31" i="5" s="1"/>
  <c r="BH31" i="5" a="1"/>
  <c r="BH31" i="5" s="1"/>
  <c r="BG31" i="5" a="1"/>
  <c r="BG31" i="5" s="1"/>
  <c r="BJ31" i="5" a="1"/>
  <c r="BJ31" i="5" s="1"/>
  <c r="BO31" i="5" a="1"/>
  <c r="BO31" i="5" s="1"/>
  <c r="BK31" i="5" a="1"/>
  <c r="BK31" i="5" s="1"/>
  <c r="CU31" i="5"/>
  <c r="CQ31" i="5"/>
  <c r="CT31" i="5"/>
  <c r="CR31" i="5"/>
  <c r="CS31" i="5"/>
  <c r="CW31" i="5"/>
  <c r="CV31" i="5"/>
  <c r="AY31" i="5" a="1"/>
  <c r="AY31" i="5" s="1"/>
  <c r="BL31" i="5" a="1"/>
  <c r="BL31" i="5" s="1"/>
  <c r="BD31" i="5" a="1"/>
  <c r="BD31" i="5" s="1"/>
  <c r="BA31" i="5" a="1"/>
  <c r="BA31" i="5" s="1"/>
  <c r="BB31" i="5" a="1"/>
  <c r="BB31" i="5" s="1"/>
  <c r="BI31" i="5" a="1"/>
  <c r="BI31" i="5" s="1"/>
  <c r="BM31" i="5" a="1"/>
  <c r="BM31" i="5" s="1"/>
  <c r="BQ31" i="5" a="1"/>
  <c r="BQ31" i="5" s="1"/>
  <c r="V29" i="2"/>
  <c r="CQ25" i="8"/>
  <c r="CU25" i="8" s="1"/>
  <c r="F34" i="8"/>
  <c r="BP30" i="5" a="1"/>
  <c r="BP30" i="5" s="1"/>
  <c r="J30" i="2" s="1"/>
  <c r="O35" i="1"/>
  <c r="BT26" i="8"/>
  <c r="BU26" i="8"/>
  <c r="BO26" i="8"/>
  <c r="BP26" i="8"/>
  <c r="BM26" i="8"/>
  <c r="BN26" i="8"/>
  <c r="BK26" i="8"/>
  <c r="BL26" i="8"/>
  <c r="BJ26" i="8"/>
  <c r="AC26" i="10"/>
  <c r="X26" i="10" s="1"/>
  <c r="AR26" i="5"/>
  <c r="AH30" i="11"/>
  <c r="AS30" i="5"/>
  <c r="CD25" i="8"/>
  <c r="AK30" i="11"/>
  <c r="DF29" i="5"/>
  <c r="DE29" i="5"/>
  <c r="AJ30" i="1"/>
  <c r="DB29" i="5"/>
  <c r="AF28" i="1"/>
  <c r="K32" i="11"/>
  <c r="A32" i="14"/>
  <c r="CA32" i="14" s="1"/>
  <c r="A32" i="8"/>
  <c r="A32" i="2"/>
  <c r="A32" i="5"/>
  <c r="A32" i="7"/>
  <c r="R32" i="7" s="1"/>
  <c r="A32" i="9"/>
  <c r="AE31" i="8"/>
  <c r="AU31" i="8"/>
  <c r="AM30" i="1"/>
  <c r="DH29" i="5"/>
  <c r="Y28" i="1"/>
  <c r="DJ29" i="5"/>
  <c r="W28" i="1"/>
  <c r="BT31" i="14" a="1"/>
  <c r="BT31" i="14" s="1"/>
  <c r="AM31" i="14" a="1"/>
  <c r="AM31" i="14" s="1"/>
  <c r="AL31" i="14" a="1"/>
  <c r="AL31" i="14" s="1"/>
  <c r="U31" i="14" a="1"/>
  <c r="U31" i="14" s="1"/>
  <c r="BD31" i="14" a="1"/>
  <c r="BD31" i="14" s="1"/>
  <c r="BG31" i="14" a="1"/>
  <c r="BG31" i="14" s="1"/>
  <c r="Z31" i="14" a="1"/>
  <c r="Z31" i="14" s="1"/>
  <c r="AO31" i="14" a="1"/>
  <c r="AO31" i="14" s="1"/>
  <c r="AU31" i="14" a="1"/>
  <c r="AU31" i="14" s="1"/>
  <c r="X31" i="14" a="1"/>
  <c r="X31" i="14" s="1"/>
  <c r="BA31" i="14" a="1"/>
  <c r="BA31" i="14" s="1"/>
  <c r="BX31" i="14" a="1"/>
  <c r="BX31" i="14" s="1"/>
  <c r="BO31" i="14" a="1"/>
  <c r="BO31" i="14" s="1"/>
  <c r="BF31" i="14" a="1"/>
  <c r="BF31" i="14" s="1"/>
  <c r="AF31" i="14" a="1"/>
  <c r="AF31" i="14" s="1"/>
  <c r="Y31" i="14" a="1"/>
  <c r="Y31" i="14" s="1"/>
  <c r="BK31" i="14" a="1"/>
  <c r="BK31" i="14" s="1"/>
  <c r="BB31" i="14" a="1"/>
  <c r="BB31" i="14" s="1"/>
  <c r="AS31" i="14" a="1"/>
  <c r="AS31" i="14" s="1"/>
  <c r="P31" i="14" a="1"/>
  <c r="P31" i="14" s="1"/>
  <c r="BI31" i="14" a="1"/>
  <c r="BI31" i="14" s="1"/>
  <c r="BN31" i="14" a="1"/>
  <c r="BN31" i="14" s="1"/>
  <c r="AP31" i="14" a="1"/>
  <c r="AP31" i="14" s="1"/>
  <c r="AX31" i="14" a="1"/>
  <c r="AX31" i="14" s="1"/>
  <c r="BC31" i="14" a="1"/>
  <c r="BC31" i="14" s="1"/>
  <c r="O31" i="14" a="1"/>
  <c r="O31" i="14" s="1"/>
  <c r="AC31" i="14" a="1"/>
  <c r="AC31" i="14" s="1"/>
  <c r="AJ31" i="14" a="1"/>
  <c r="AJ31" i="14" s="1"/>
  <c r="T31" i="14" a="1"/>
  <c r="T31" i="14" s="1"/>
  <c r="AQ31" i="14" a="1"/>
  <c r="AQ31" i="14" s="1"/>
  <c r="BL31" i="14" a="1"/>
  <c r="BL31" i="14" s="1"/>
  <c r="R31" i="14" a="1"/>
  <c r="R31" i="14" s="1"/>
  <c r="AL31" i="1" s="1"/>
  <c r="AE31" i="14" a="1"/>
  <c r="AE31" i="14" s="1"/>
  <c r="V31" i="14" a="1"/>
  <c r="V31" i="14" s="1"/>
  <c r="BQ31" i="14" a="1"/>
  <c r="BQ31" i="14" s="1"/>
  <c r="BH31" i="14" a="1"/>
  <c r="BH31" i="14" s="1"/>
  <c r="BW31" i="14" a="1"/>
  <c r="BW31" i="14" s="1"/>
  <c r="S31" i="14" a="1"/>
  <c r="S31" i="14" s="1"/>
  <c r="BU31" i="14" a="1"/>
  <c r="BU31" i="14" s="1"/>
  <c r="BM31" i="14" a="1"/>
  <c r="BM31" i="14" s="1"/>
  <c r="W31" i="14" a="1"/>
  <c r="W31" i="14" s="1"/>
  <c r="AD31" i="14" a="1"/>
  <c r="AD31" i="14" s="1"/>
  <c r="BZ31" i="14" a="1"/>
  <c r="BZ31" i="14" s="1"/>
  <c r="AR31" i="14" a="1"/>
  <c r="AR31" i="14" s="1"/>
  <c r="AZ31" i="14" a="1"/>
  <c r="AZ31" i="14" s="1"/>
  <c r="AY31" i="14" a="1"/>
  <c r="AY31" i="14" s="1"/>
  <c r="AI31" i="14" a="1"/>
  <c r="AI31" i="14" s="1"/>
  <c r="AG31" i="14" a="1"/>
  <c r="AG31" i="14" s="1"/>
  <c r="AV31" i="14" a="1"/>
  <c r="AV31" i="14" s="1"/>
  <c r="BJ31" i="14" a="1"/>
  <c r="BJ31" i="14" s="1"/>
  <c r="N31" i="14" a="1"/>
  <c r="N31" i="14" s="1"/>
  <c r="BY31" i="14" a="1"/>
  <c r="BY31" i="14" s="1"/>
  <c r="BP31" i="14" a="1"/>
  <c r="BP31" i="14" s="1"/>
  <c r="AB31" i="14" a="1"/>
  <c r="AB31" i="14" s="1"/>
  <c r="BE31" i="14" a="1"/>
  <c r="BE31" i="14" s="1"/>
  <c r="BV31" i="14" a="1"/>
  <c r="BV31" i="14" s="1"/>
  <c r="M31" i="14" a="1"/>
  <c r="M31" i="14" s="1"/>
  <c r="AA31" i="14" a="1"/>
  <c r="AA31" i="14" s="1"/>
  <c r="AH31" i="14" a="1"/>
  <c r="AH31" i="14" s="1"/>
  <c r="AW31" i="14" a="1"/>
  <c r="AW31" i="14" s="1"/>
  <c r="BS31" i="14" a="1"/>
  <c r="BS31" i="14" s="1"/>
  <c r="Q31" i="14" a="1"/>
  <c r="Q31" i="14" s="1"/>
  <c r="BR31" i="14" a="1"/>
  <c r="BR31" i="14" s="1"/>
  <c r="AT31" i="14" a="1"/>
  <c r="AT31" i="14" s="1"/>
  <c r="AK31" i="14" a="1"/>
  <c r="AK31" i="14" s="1"/>
  <c r="AN31" i="14" a="1"/>
  <c r="AN31" i="14" s="1"/>
  <c r="AQ25" i="5"/>
  <c r="CR25" i="8"/>
  <c r="DB25" i="8"/>
  <c r="B25" i="14"/>
  <c r="D27" i="9"/>
  <c r="AH29" i="5"/>
  <c r="BU29" i="5"/>
  <c r="B29" i="2"/>
  <c r="B29" i="1"/>
  <c r="BG29" i="1" s="1"/>
  <c r="BY31" i="11"/>
  <c r="AA30" i="7"/>
  <c r="AF30" i="8" s="1"/>
  <c r="AV30" i="8" s="1"/>
  <c r="K30" i="10"/>
  <c r="L30" i="11"/>
  <c r="L30" i="5"/>
  <c r="G29" i="10"/>
  <c r="I29" i="7"/>
  <c r="J30" i="5"/>
  <c r="DC30" i="5" s="1"/>
  <c r="E29" i="10"/>
  <c r="G29" i="7"/>
  <c r="M30" i="5"/>
  <c r="H29" i="10"/>
  <c r="J29" i="7"/>
  <c r="I30" i="5"/>
  <c r="D29" i="10"/>
  <c r="F29" i="7"/>
  <c r="B29" i="5"/>
  <c r="B29" i="10"/>
  <c r="G30" i="5"/>
  <c r="D29" i="7"/>
  <c r="H30" i="5"/>
  <c r="C29" i="10"/>
  <c r="E29" i="7"/>
  <c r="K30" i="5"/>
  <c r="F29" i="10"/>
  <c r="H29" i="7"/>
  <c r="DD29" i="5"/>
  <c r="CS24" i="8"/>
  <c r="BX26" i="8"/>
  <c r="CD26" i="8" s="1"/>
  <c r="CI26" i="8"/>
  <c r="DA26" i="8" s="1"/>
  <c r="DH27" i="8"/>
  <c r="DI27" i="8" s="1"/>
  <c r="CK27" i="8"/>
  <c r="BW27" i="8"/>
  <c r="AC27" i="1" s="1"/>
  <c r="N26" i="7"/>
  <c r="BH27" i="8"/>
  <c r="BU27" i="8" s="1"/>
  <c r="BI27" i="8"/>
  <c r="AH38" i="9"/>
  <c r="AA25" i="11"/>
  <c r="AK25" i="1" s="1"/>
  <c r="Z25" i="11"/>
  <c r="AC25" i="11"/>
  <c r="U25" i="8" s="1"/>
  <c r="AD25" i="11"/>
  <c r="AI25" i="1" s="1"/>
  <c r="N26" i="11"/>
  <c r="AB25" i="11"/>
  <c r="Q25" i="8" s="1"/>
  <c r="Y25" i="11"/>
  <c r="AH25" i="1" s="1"/>
  <c r="CZ29" i="5"/>
  <c r="C28" i="5"/>
  <c r="F28" i="5" s="1"/>
  <c r="CH26" i="8"/>
  <c r="CZ26" i="8" s="1"/>
  <c r="CA26" i="8"/>
  <c r="BY26" i="8"/>
  <c r="BZ26" i="8"/>
  <c r="CC26" i="8"/>
  <c r="CV26" i="8" s="1"/>
  <c r="CW26" i="8" s="1"/>
  <c r="CB26" i="8"/>
  <c r="CT26" i="8" s="1"/>
  <c r="A27" i="11"/>
  <c r="B27" i="9"/>
  <c r="Y27" i="9" s="1"/>
  <c r="B27" i="7"/>
  <c r="AJ27" i="5"/>
  <c r="AP27" i="5" s="1"/>
  <c r="AC27" i="8"/>
  <c r="BQ27" i="8" s="1"/>
  <c r="BT27" i="5"/>
  <c r="AI27" i="5"/>
  <c r="X27" i="8"/>
  <c r="DD27" i="8" s="1"/>
  <c r="E27" i="1"/>
  <c r="A27" i="10"/>
  <c r="AA27" i="10" s="1"/>
  <c r="Q26" i="7"/>
  <c r="AE26" i="7"/>
  <c r="AF26" i="7" s="1"/>
  <c r="C29" i="5"/>
  <c r="DA28" i="5"/>
  <c r="DG28" i="5" s="1" a="1"/>
  <c r="DG28" i="5" s="1"/>
  <c r="DI29" i="5"/>
  <c r="AB29" i="1"/>
  <c r="AG38" i="9"/>
  <c r="AK38" i="9"/>
  <c r="AE100" i="9"/>
  <c r="B24" i="14"/>
  <c r="N14" i="1"/>
  <c r="S31" i="2"/>
  <c r="N32" i="2"/>
  <c r="R32" i="2"/>
  <c r="Q31" i="2"/>
  <c r="J33" i="10"/>
  <c r="N33" i="5" s="1"/>
  <c r="P33" i="2"/>
  <c r="AQ54" i="9" l="1"/>
  <c r="CM54" i="8" s="1"/>
  <c r="AO27" i="5"/>
  <c r="AM27" i="5"/>
  <c r="AN27" i="5"/>
  <c r="AV28" i="5"/>
  <c r="AW28" i="5"/>
  <c r="AG26" i="7"/>
  <c r="AI26" i="7" s="1"/>
  <c r="AI49" i="9"/>
  <c r="AO49" i="8" s="1"/>
  <c r="CL28" i="8"/>
  <c r="G33" i="8"/>
  <c r="CF32" i="8"/>
  <c r="O32" i="2"/>
  <c r="BM32" i="5" a="1"/>
  <c r="BM32" i="5" s="1"/>
  <c r="BJ32" i="5" a="1"/>
  <c r="BJ32" i="5" s="1"/>
  <c r="BI32" i="5" a="1"/>
  <c r="BI32" i="5" s="1"/>
  <c r="BB32" i="5" a="1"/>
  <c r="BB32" i="5" s="1"/>
  <c r="BK32" i="5" a="1"/>
  <c r="BK32" i="5" s="1"/>
  <c r="BQ32" i="5" a="1"/>
  <c r="BQ32" i="5" s="1"/>
  <c r="BA32" i="5" a="1"/>
  <c r="BA32" i="5" s="1"/>
  <c r="BO32" i="5" a="1"/>
  <c r="BO32" i="5" s="1"/>
  <c r="AM39" i="9"/>
  <c r="BR27" i="8"/>
  <c r="BS27" i="8"/>
  <c r="AD30" i="1"/>
  <c r="BG32" i="5" a="1"/>
  <c r="BG32" i="5" s="1"/>
  <c r="BH32" i="5" a="1"/>
  <c r="BH32" i="5" s="1"/>
  <c r="AZ32" i="5" a="1"/>
  <c r="AZ32" i="5" s="1"/>
  <c r="BD32" i="5" a="1"/>
  <c r="BD32" i="5" s="1"/>
  <c r="BN32" i="5" a="1"/>
  <c r="BN32" i="5" s="1"/>
  <c r="BE32" i="5" a="1"/>
  <c r="BE32" i="5" s="1"/>
  <c r="BF32" i="5" a="1"/>
  <c r="BF32" i="5" s="1"/>
  <c r="AE31" i="1" s="1"/>
  <c r="CV32" i="5"/>
  <c r="CT32" i="5"/>
  <c r="CS32" i="5"/>
  <c r="CR32" i="5"/>
  <c r="CU32" i="5"/>
  <c r="CQ32" i="5"/>
  <c r="CW32" i="5"/>
  <c r="AY32" i="5" a="1"/>
  <c r="AY32" i="5" s="1"/>
  <c r="BL32" i="5" a="1"/>
  <c r="BL32" i="5" s="1"/>
  <c r="BC32" i="5" a="1"/>
  <c r="BC32" i="5" s="1"/>
  <c r="V30" i="2"/>
  <c r="CS25" i="8"/>
  <c r="F35" i="8"/>
  <c r="BP31" i="5" a="1"/>
  <c r="BP31" i="5" s="1"/>
  <c r="J31" i="2" s="1"/>
  <c r="E28" i="1"/>
  <c r="O36" i="1"/>
  <c r="BX27" i="8"/>
  <c r="CD27" i="8" s="1"/>
  <c r="BT27" i="8"/>
  <c r="BO27" i="8"/>
  <c r="BP27" i="8"/>
  <c r="BM27" i="8"/>
  <c r="BN27" i="8"/>
  <c r="BK27" i="8"/>
  <c r="BL27" i="8"/>
  <c r="BJ27" i="8"/>
  <c r="AC27" i="10"/>
  <c r="X27" i="10" s="1"/>
  <c r="AR27" i="5"/>
  <c r="AH31" i="11"/>
  <c r="AS31" i="5"/>
  <c r="CX25" i="8"/>
  <c r="CY25" i="8" s="1"/>
  <c r="DE30" i="5"/>
  <c r="DF30" i="5"/>
  <c r="DB30" i="5"/>
  <c r="AJ31" i="1"/>
  <c r="DH30" i="5"/>
  <c r="AF29" i="1"/>
  <c r="AM31" i="1"/>
  <c r="W29" i="1"/>
  <c r="AU32" i="8"/>
  <c r="AE32" i="8"/>
  <c r="K33" i="11"/>
  <c r="A33" i="14"/>
  <c r="CA33" i="14" s="1"/>
  <c r="A33" i="8"/>
  <c r="A33" i="2"/>
  <c r="A33" i="5"/>
  <c r="A33" i="9"/>
  <c r="A33" i="7"/>
  <c r="R33" i="7" s="1"/>
  <c r="X32" i="14" a="1"/>
  <c r="X32" i="14" s="1"/>
  <c r="O32" i="14" a="1"/>
  <c r="O32" i="14" s="1"/>
  <c r="BQ32" i="14" a="1"/>
  <c r="BQ32" i="14" s="1"/>
  <c r="T32" i="14" a="1"/>
  <c r="T32" i="14" s="1"/>
  <c r="BY32" i="14" a="1"/>
  <c r="BY32" i="14" s="1"/>
  <c r="BG32" i="14" a="1"/>
  <c r="BG32" i="14" s="1"/>
  <c r="AH32" i="14" a="1"/>
  <c r="AH32" i="14" s="1"/>
  <c r="Q32" i="14" a="1"/>
  <c r="Q32" i="14" s="1"/>
  <c r="BT32" i="14" a="1"/>
  <c r="BT32" i="14" s="1"/>
  <c r="BJ32" i="14" a="1"/>
  <c r="BJ32" i="14" s="1"/>
  <c r="V32" i="14" a="1"/>
  <c r="V32" i="14" s="1"/>
  <c r="U32" i="14" a="1"/>
  <c r="U32" i="14" s="1"/>
  <c r="AK32" i="14" a="1"/>
  <c r="AK32" i="14" s="1"/>
  <c r="AQ32" i="14" a="1"/>
  <c r="AQ32" i="14" s="1"/>
  <c r="AI32" i="14" a="1"/>
  <c r="AI32" i="14" s="1"/>
  <c r="AO32" i="14" a="1"/>
  <c r="AO32" i="14" s="1"/>
  <c r="AW32" i="14" a="1"/>
  <c r="AW32" i="14" s="1"/>
  <c r="AV32" i="14" a="1"/>
  <c r="AV32" i="14" s="1"/>
  <c r="AD32" i="14" a="1"/>
  <c r="AD32" i="14" s="1"/>
  <c r="N32" i="14" a="1"/>
  <c r="N32" i="14" s="1"/>
  <c r="AZ32" i="14" a="1"/>
  <c r="AZ32" i="14" s="1"/>
  <c r="AN32" i="14" a="1"/>
  <c r="AN32" i="14" s="1"/>
  <c r="S32" i="14" a="1"/>
  <c r="S32" i="14" s="1"/>
  <c r="BN32" i="14" a="1"/>
  <c r="BN32" i="14" s="1"/>
  <c r="AG32" i="14" a="1"/>
  <c r="AG32" i="14" s="1"/>
  <c r="Y32" i="14" a="1"/>
  <c r="Y32" i="14" s="1"/>
  <c r="BS32" i="14" a="1"/>
  <c r="BS32" i="14" s="1"/>
  <c r="W32" i="14" a="1"/>
  <c r="W32" i="14" s="1"/>
  <c r="BI32" i="14" a="1"/>
  <c r="BI32" i="14" s="1"/>
  <c r="AR32" i="14" a="1"/>
  <c r="AR32" i="14" s="1"/>
  <c r="BW32" i="14" a="1"/>
  <c r="BW32" i="14" s="1"/>
  <c r="AY32" i="14" a="1"/>
  <c r="AY32" i="14" s="1"/>
  <c r="AX32" i="14" a="1"/>
  <c r="AX32" i="14" s="1"/>
  <c r="AF32" i="14" a="1"/>
  <c r="AF32" i="14" s="1"/>
  <c r="AM32" i="14" a="1"/>
  <c r="AM32" i="14" s="1"/>
  <c r="BR32" i="14" a="1"/>
  <c r="BR32" i="14" s="1"/>
  <c r="BD32" i="14" a="1"/>
  <c r="BD32" i="14" s="1"/>
  <c r="P32" i="14" a="1"/>
  <c r="P32" i="14" s="1"/>
  <c r="AC32" i="14" a="1"/>
  <c r="AC32" i="14" s="1"/>
  <c r="AA32" i="14" a="1"/>
  <c r="AA32" i="14" s="1"/>
  <c r="R32" i="14" a="1"/>
  <c r="R32" i="14" s="1"/>
  <c r="AL32" i="1" s="1"/>
  <c r="AP32" i="14" a="1"/>
  <c r="AP32" i="14" s="1"/>
  <c r="BC32" i="14" a="1"/>
  <c r="BC32" i="14" s="1"/>
  <c r="AT32" i="14" a="1"/>
  <c r="AT32" i="14" s="1"/>
  <c r="AS32" i="14" a="1"/>
  <c r="AS32" i="14" s="1"/>
  <c r="BP32" i="14" a="1"/>
  <c r="BP32" i="14" s="1"/>
  <c r="BZ32" i="14" a="1"/>
  <c r="BZ32" i="14" s="1"/>
  <c r="BO32" i="14" a="1"/>
  <c r="BO32" i="14" s="1"/>
  <c r="BM32" i="14" a="1"/>
  <c r="BM32" i="14" s="1"/>
  <c r="M32" i="14" a="1"/>
  <c r="M32" i="14" s="1"/>
  <c r="BK32" i="14" a="1"/>
  <c r="BK32" i="14" s="1"/>
  <c r="BB32" i="14" a="1"/>
  <c r="BB32" i="14" s="1"/>
  <c r="BA32" i="14" a="1"/>
  <c r="BA32" i="14" s="1"/>
  <c r="AB32" i="14" a="1"/>
  <c r="AB32" i="14" s="1"/>
  <c r="BX32" i="14" a="1"/>
  <c r="BX32" i="14" s="1"/>
  <c r="BV32" i="14" a="1"/>
  <c r="BV32" i="14" s="1"/>
  <c r="BU32" i="14" a="1"/>
  <c r="BU32" i="14" s="1"/>
  <c r="BL32" i="14" a="1"/>
  <c r="BL32" i="14" s="1"/>
  <c r="AJ32" i="14" a="1"/>
  <c r="AJ32" i="14" s="1"/>
  <c r="BH32" i="14" a="1"/>
  <c r="BH32" i="14" s="1"/>
  <c r="BF32" i="14" a="1"/>
  <c r="BF32" i="14" s="1"/>
  <c r="Z32" i="14" a="1"/>
  <c r="Z32" i="14" s="1"/>
  <c r="BE32" i="14" a="1"/>
  <c r="BE32" i="14" s="1"/>
  <c r="AU32" i="14" a="1"/>
  <c r="AU32" i="14" s="1"/>
  <c r="AE32" i="14" a="1"/>
  <c r="AE32" i="14" s="1"/>
  <c r="AL32" i="14" a="1"/>
  <c r="AL32" i="14" s="1"/>
  <c r="AK31" i="11"/>
  <c r="Y29" i="1"/>
  <c r="DJ30" i="5"/>
  <c r="F29" i="5"/>
  <c r="B30" i="5"/>
  <c r="B30" i="2"/>
  <c r="BU30" i="5"/>
  <c r="B30" i="1"/>
  <c r="BG30" i="1" s="1"/>
  <c r="AH30" i="5"/>
  <c r="BY32" i="11"/>
  <c r="AA31" i="7"/>
  <c r="AF31" i="8" s="1"/>
  <c r="AV31" i="8" s="1"/>
  <c r="K31" i="10"/>
  <c r="L31" i="11"/>
  <c r="M31" i="5"/>
  <c r="H30" i="10"/>
  <c r="J30" i="7"/>
  <c r="K31" i="5"/>
  <c r="F30" i="10"/>
  <c r="H30" i="7"/>
  <c r="DD30" i="5"/>
  <c r="J31" i="5"/>
  <c r="DC31" i="5" s="1"/>
  <c r="E30" i="10"/>
  <c r="G30" i="7"/>
  <c r="H31" i="5"/>
  <c r="C30" i="10"/>
  <c r="E30" i="7"/>
  <c r="I31" i="5"/>
  <c r="D30" i="10"/>
  <c r="F30" i="7"/>
  <c r="G31" i="5"/>
  <c r="B30" i="10"/>
  <c r="D30" i="7"/>
  <c r="L31" i="5"/>
  <c r="G30" i="10"/>
  <c r="I30" i="7"/>
  <c r="CQ26" i="8"/>
  <c r="CU26" i="8" s="1"/>
  <c r="D28" i="9"/>
  <c r="CE26" i="8"/>
  <c r="CX26" i="8" s="1"/>
  <c r="CY26" i="8" s="1"/>
  <c r="DB26" i="8"/>
  <c r="CI27" i="8"/>
  <c r="DA27" i="8" s="1"/>
  <c r="DH28" i="8"/>
  <c r="DI28" i="8" s="1"/>
  <c r="CK28" i="8"/>
  <c r="BW28" i="8"/>
  <c r="AC28" i="1" s="1"/>
  <c r="N27" i="7"/>
  <c r="BH28" i="8"/>
  <c r="BU28" i="8" s="1"/>
  <c r="BI28" i="8"/>
  <c r="AH39" i="9"/>
  <c r="AQ26" i="5"/>
  <c r="CR26" i="8"/>
  <c r="CZ30" i="5"/>
  <c r="BZ27" i="8"/>
  <c r="CC27" i="8"/>
  <c r="CV27" i="8" s="1"/>
  <c r="CW27" i="8" s="1"/>
  <c r="CH27" i="8"/>
  <c r="CZ27" i="8" s="1"/>
  <c r="CB27" i="8"/>
  <c r="CT27" i="8" s="1"/>
  <c r="BY27" i="8"/>
  <c r="CA27" i="8"/>
  <c r="AC26" i="11"/>
  <c r="U26" i="8" s="1"/>
  <c r="AA26" i="11"/>
  <c r="AK26" i="1" s="1"/>
  <c r="Y26" i="11"/>
  <c r="AH26" i="1" s="1"/>
  <c r="N27" i="11"/>
  <c r="Z26" i="11"/>
  <c r="AB26" i="11"/>
  <c r="Q26" i="8" s="1"/>
  <c r="AD26" i="11"/>
  <c r="AI26" i="1" s="1"/>
  <c r="AC28" i="8"/>
  <c r="BQ28" i="8" s="1"/>
  <c r="BT28" i="5"/>
  <c r="AJ28" i="5"/>
  <c r="AP28" i="5" s="1"/>
  <c r="A28" i="10"/>
  <c r="AA28" i="10" s="1"/>
  <c r="B28" i="7"/>
  <c r="X28" i="8"/>
  <c r="DD28" i="8" s="1"/>
  <c r="AI28" i="5"/>
  <c r="B28" i="9"/>
  <c r="Y28" i="9" s="1"/>
  <c r="A28" i="11"/>
  <c r="AE27" i="7"/>
  <c r="AF27" i="7" s="1"/>
  <c r="Q27" i="7"/>
  <c r="C30" i="5"/>
  <c r="DA29" i="5"/>
  <c r="DG29" i="5" s="1" a="1"/>
  <c r="DG29" i="5" s="1"/>
  <c r="AB30" i="1"/>
  <c r="DI30" i="5"/>
  <c r="AG39" i="9"/>
  <c r="AK39" i="9"/>
  <c r="AE101" i="9"/>
  <c r="N15" i="1"/>
  <c r="S32" i="2"/>
  <c r="N33" i="2"/>
  <c r="R33" i="2"/>
  <c r="Q32" i="2"/>
  <c r="J34" i="10"/>
  <c r="N34" i="5" s="1"/>
  <c r="P34" i="2"/>
  <c r="AQ55" i="9" l="1"/>
  <c r="CM55" i="8" s="1"/>
  <c r="AO28" i="5"/>
  <c r="AM28" i="5"/>
  <c r="AN28" i="5"/>
  <c r="AR28" i="5" s="1"/>
  <c r="AV29" i="5"/>
  <c r="AW29" i="5"/>
  <c r="AG27" i="7"/>
  <c r="AI27" i="7" s="1"/>
  <c r="AI50" i="9"/>
  <c r="AO50" i="8" s="1"/>
  <c r="CL29" i="8"/>
  <c r="G34" i="8"/>
  <c r="CF33" i="8"/>
  <c r="O33" i="2"/>
  <c r="BB33" i="5" a="1"/>
  <c r="BB33" i="5" s="1"/>
  <c r="BF33" i="5" a="1"/>
  <c r="BF33" i="5" s="1"/>
  <c r="AE32" i="1" s="1"/>
  <c r="BE33" i="5" a="1"/>
  <c r="BE33" i="5" s="1"/>
  <c r="BN33" i="5" a="1"/>
  <c r="BN33" i="5" s="1"/>
  <c r="BQ33" i="5" a="1"/>
  <c r="BQ33" i="5" s="1"/>
  <c r="AM40" i="9"/>
  <c r="BR28" i="8"/>
  <c r="BS28" i="8"/>
  <c r="AD31" i="1"/>
  <c r="BD33" i="5" a="1"/>
  <c r="BD33" i="5" s="1"/>
  <c r="AZ33" i="5" a="1"/>
  <c r="AZ33" i="5" s="1"/>
  <c r="BC33" i="5" a="1"/>
  <c r="BC33" i="5" s="1"/>
  <c r="BA33" i="5" a="1"/>
  <c r="BA33" i="5" s="1"/>
  <c r="BH33" i="5" a="1"/>
  <c r="BH33" i="5" s="1"/>
  <c r="BG33" i="5" a="1"/>
  <c r="BG33" i="5" s="1"/>
  <c r="CR33" i="5"/>
  <c r="CW33" i="5"/>
  <c r="CT33" i="5"/>
  <c r="CU33" i="5"/>
  <c r="CV33" i="5"/>
  <c r="CS33" i="5"/>
  <c r="CQ33" i="5"/>
  <c r="AY33" i="5" a="1"/>
  <c r="AY33" i="5" s="1"/>
  <c r="BL33" i="5" a="1"/>
  <c r="BL33" i="5" s="1"/>
  <c r="BI33" i="5" a="1"/>
  <c r="BI33" i="5" s="1"/>
  <c r="BJ33" i="5" a="1"/>
  <c r="BJ33" i="5" s="1"/>
  <c r="BM33" i="5" a="1"/>
  <c r="BM33" i="5" s="1"/>
  <c r="BO33" i="5" a="1"/>
  <c r="BO33" i="5" s="1"/>
  <c r="BK33" i="5" a="1"/>
  <c r="BK33" i="5" s="1"/>
  <c r="V31" i="2"/>
  <c r="F36" i="8"/>
  <c r="BP32" i="5" a="1"/>
  <c r="BP32" i="5" s="1"/>
  <c r="J32" i="2" s="1"/>
  <c r="DH29" i="8"/>
  <c r="DI29" i="8" s="1"/>
  <c r="O37" i="1"/>
  <c r="CE27" i="8"/>
  <c r="CX27" i="8" s="1"/>
  <c r="CY27" i="8" s="1"/>
  <c r="BX28" i="8"/>
  <c r="CD28" i="8" s="1"/>
  <c r="BT28" i="8"/>
  <c r="BO28" i="8"/>
  <c r="BP28" i="8"/>
  <c r="BM28" i="8"/>
  <c r="BN28" i="8"/>
  <c r="BK28" i="8"/>
  <c r="BL28" i="8"/>
  <c r="BJ28" i="8"/>
  <c r="AC28" i="10"/>
  <c r="X28" i="10" s="1"/>
  <c r="AH32" i="11"/>
  <c r="AS32" i="5"/>
  <c r="E29" i="1"/>
  <c r="DB31" i="5"/>
  <c r="DF31" i="5"/>
  <c r="AK32" i="11"/>
  <c r="AJ32" i="1"/>
  <c r="AU33" i="8"/>
  <c r="AE33" i="8"/>
  <c r="AF30" i="1"/>
  <c r="AU33" i="14" a="1"/>
  <c r="AU33" i="14" s="1"/>
  <c r="BB33" i="14" a="1"/>
  <c r="BB33" i="14" s="1"/>
  <c r="BA33" i="14" a="1"/>
  <c r="BA33" i="14" s="1"/>
  <c r="BP33" i="14" a="1"/>
  <c r="BP33" i="14" s="1"/>
  <c r="U33" i="14" a="1"/>
  <c r="U33" i="14" s="1"/>
  <c r="AA33" i="14" a="1"/>
  <c r="AA33" i="14" s="1"/>
  <c r="AP33" i="14" a="1"/>
  <c r="AP33" i="14" s="1"/>
  <c r="AH33" i="14" a="1"/>
  <c r="AH33" i="14" s="1"/>
  <c r="AM33" i="14" a="1"/>
  <c r="AM33" i="14" s="1"/>
  <c r="BR33" i="14" a="1"/>
  <c r="BR33" i="14" s="1"/>
  <c r="AC33" i="14" a="1"/>
  <c r="AC33" i="14" s="1"/>
  <c r="BY33" i="14" a="1"/>
  <c r="BY33" i="14" s="1"/>
  <c r="AJ33" i="14" a="1"/>
  <c r="AJ33" i="14" s="1"/>
  <c r="AQ33" i="14" a="1"/>
  <c r="AQ33" i="14" s="1"/>
  <c r="Z33" i="14" a="1"/>
  <c r="Z33" i="14" s="1"/>
  <c r="BL33" i="14" a="1"/>
  <c r="BL33" i="14" s="1"/>
  <c r="O33" i="14" a="1"/>
  <c r="O33" i="14" s="1"/>
  <c r="AD33" i="14" a="1"/>
  <c r="AD33" i="14" s="1"/>
  <c r="AK33" i="14" a="1"/>
  <c r="AK33" i="14" s="1"/>
  <c r="AN33" i="14" a="1"/>
  <c r="AN33" i="14" s="1"/>
  <c r="BO33" i="14" a="1"/>
  <c r="BO33" i="14" s="1"/>
  <c r="BG33" i="14" a="1"/>
  <c r="BG33" i="14" s="1"/>
  <c r="AO33" i="14" a="1"/>
  <c r="AO33" i="14" s="1"/>
  <c r="AG33" i="14" a="1"/>
  <c r="AG33" i="14" s="1"/>
  <c r="BT33" i="14" a="1"/>
  <c r="BT33" i="14" s="1"/>
  <c r="W33" i="14" a="1"/>
  <c r="W33" i="14" s="1"/>
  <c r="AT33" i="14" a="1"/>
  <c r="AT33" i="14" s="1"/>
  <c r="AS33" i="14" a="1"/>
  <c r="AS33" i="14" s="1"/>
  <c r="BH33" i="14" a="1"/>
  <c r="BH33" i="14" s="1"/>
  <c r="AI33" i="14" a="1"/>
  <c r="AI33" i="14" s="1"/>
  <c r="R33" i="14" a="1"/>
  <c r="R33" i="14" s="1"/>
  <c r="AL33" i="1" s="1"/>
  <c r="BU33" i="14" a="1"/>
  <c r="BU33" i="14" s="1"/>
  <c r="AW33" i="14" a="1"/>
  <c r="AW33" i="14" s="1"/>
  <c r="AV33" i="14" a="1"/>
  <c r="AV33" i="14" s="1"/>
  <c r="AE33" i="14" a="1"/>
  <c r="AE33" i="14" s="1"/>
  <c r="V33" i="14" a="1"/>
  <c r="V33" i="14" s="1"/>
  <c r="BZ33" i="14" a="1"/>
  <c r="BZ33" i="14" s="1"/>
  <c r="BQ33" i="14" a="1"/>
  <c r="BQ33" i="14" s="1"/>
  <c r="AF33" i="14" a="1"/>
  <c r="AF33" i="14" s="1"/>
  <c r="S33" i="14" a="1"/>
  <c r="S33" i="14" s="1"/>
  <c r="BE33" i="14" a="1"/>
  <c r="BE33" i="14" s="1"/>
  <c r="M33" i="14" a="1"/>
  <c r="M33" i="14" s="1"/>
  <c r="BS33" i="14" a="1"/>
  <c r="BS33" i="14" s="1"/>
  <c r="X33" i="14" a="1"/>
  <c r="X33" i="14" s="1"/>
  <c r="BD33" i="14" a="1"/>
  <c r="BD33" i="14" s="1"/>
  <c r="BX33" i="14" a="1"/>
  <c r="BX33" i="14" s="1"/>
  <c r="T33" i="14" a="1"/>
  <c r="T33" i="14" s="1"/>
  <c r="BV33" i="14" a="1"/>
  <c r="BV33" i="14" s="1"/>
  <c r="BF33" i="14" a="1"/>
  <c r="BF33" i="14" s="1"/>
  <c r="BM33" i="14" a="1"/>
  <c r="BM33" i="14" s="1"/>
  <c r="BK33" i="14" a="1"/>
  <c r="BK33" i="14" s="1"/>
  <c r="BJ33" i="14" a="1"/>
  <c r="BJ33" i="14" s="1"/>
  <c r="N33" i="14" a="1"/>
  <c r="N33" i="14" s="1"/>
  <c r="AR33" i="14" a="1"/>
  <c r="AR33" i="14" s="1"/>
  <c r="AB33" i="14" a="1"/>
  <c r="AB33" i="14" s="1"/>
  <c r="BW33" i="14" a="1"/>
  <c r="BW33" i="14" s="1"/>
  <c r="BN33" i="14" a="1"/>
  <c r="BN33" i="14" s="1"/>
  <c r="Y33" i="14" a="1"/>
  <c r="Y33" i="14" s="1"/>
  <c r="BC33" i="14" a="1"/>
  <c r="BC33" i="14" s="1"/>
  <c r="AL33" i="14" a="1"/>
  <c r="AL33" i="14" s="1"/>
  <c r="BI33" i="14" a="1"/>
  <c r="BI33" i="14" s="1"/>
  <c r="AZ33" i="14" a="1"/>
  <c r="AZ33" i="14" s="1"/>
  <c r="P33" i="14" a="1"/>
  <c r="P33" i="14" s="1"/>
  <c r="AY33" i="14" a="1"/>
  <c r="AY33" i="14" s="1"/>
  <c r="AX33" i="14" a="1"/>
  <c r="AX33" i="14" s="1"/>
  <c r="Q33" i="14" a="1"/>
  <c r="Q33" i="14" s="1"/>
  <c r="K34" i="11"/>
  <c r="A34" i="14"/>
  <c r="CA34" i="14" s="1"/>
  <c r="A34" i="8"/>
  <c r="A34" i="2"/>
  <c r="A34" i="5"/>
  <c r="A34" i="7"/>
  <c r="R34" i="7" s="1"/>
  <c r="A34" i="9"/>
  <c r="AM32" i="1"/>
  <c r="DH31" i="5"/>
  <c r="W30" i="1"/>
  <c r="Y30" i="1"/>
  <c r="DJ31" i="5"/>
  <c r="B29" i="9"/>
  <c r="Y29" i="9" s="1"/>
  <c r="A29" i="10"/>
  <c r="AA29" i="10" s="1"/>
  <c r="BW29" i="8"/>
  <c r="BT29" i="5"/>
  <c r="AC29" i="8"/>
  <c r="BQ29" i="8" s="1"/>
  <c r="CK29" i="8"/>
  <c r="A29" i="11"/>
  <c r="N29" i="11" s="1"/>
  <c r="AJ29" i="5"/>
  <c r="AP29" i="5" s="1"/>
  <c r="BI29" i="8"/>
  <c r="AI29" i="5"/>
  <c r="BH29" i="8"/>
  <c r="BU29" i="8" s="1"/>
  <c r="X29" i="8"/>
  <c r="DD29" i="8" s="1"/>
  <c r="B29" i="7"/>
  <c r="AE29" i="7" s="1"/>
  <c r="AF29" i="7" s="1"/>
  <c r="F30" i="5"/>
  <c r="BU31" i="5"/>
  <c r="B31" i="2"/>
  <c r="AH31" i="5"/>
  <c r="B31" i="1"/>
  <c r="BG31" i="1" s="1"/>
  <c r="B31" i="5"/>
  <c r="BY33" i="11"/>
  <c r="K32" i="10"/>
  <c r="AA32" i="7"/>
  <c r="AF32" i="8" s="1"/>
  <c r="AV32" i="8" s="1"/>
  <c r="L32" i="11"/>
  <c r="J32" i="5"/>
  <c r="DC32" i="5" s="1"/>
  <c r="E31" i="10"/>
  <c r="G31" i="7"/>
  <c r="L32" i="5"/>
  <c r="G31" i="10"/>
  <c r="I31" i="7"/>
  <c r="I32" i="5"/>
  <c r="D31" i="10"/>
  <c r="F31" i="7"/>
  <c r="DE31" i="5"/>
  <c r="K32" i="5"/>
  <c r="F31" i="10"/>
  <c r="H31" i="7"/>
  <c r="DD31" i="5"/>
  <c r="D31" i="7"/>
  <c r="B31" i="10"/>
  <c r="G32" i="5"/>
  <c r="H32" i="5"/>
  <c r="C31" i="10"/>
  <c r="E31" i="7"/>
  <c r="M32" i="5"/>
  <c r="H31" i="10"/>
  <c r="J31" i="7"/>
  <c r="CS26" i="8"/>
  <c r="CQ27" i="8"/>
  <c r="CU27" i="8" s="1"/>
  <c r="D29" i="9"/>
  <c r="DB27" i="8"/>
  <c r="CI28" i="8"/>
  <c r="DA28" i="8" s="1"/>
  <c r="N28" i="7"/>
  <c r="AH40" i="9"/>
  <c r="B27" i="14"/>
  <c r="CR27" i="8"/>
  <c r="AQ27" i="5"/>
  <c r="BZ28" i="8"/>
  <c r="CC28" i="8"/>
  <c r="CV28" i="8" s="1"/>
  <c r="CW28" i="8" s="1"/>
  <c r="BY28" i="8"/>
  <c r="CH28" i="8"/>
  <c r="CZ28" i="8" s="1"/>
  <c r="CB28" i="8"/>
  <c r="CT28" i="8" s="1"/>
  <c r="CA28" i="8"/>
  <c r="N28" i="11"/>
  <c r="AA27" i="11"/>
  <c r="AK27" i="1" s="1"/>
  <c r="AC27" i="11"/>
  <c r="U27" i="8" s="1"/>
  <c r="Y27" i="11"/>
  <c r="AH27" i="1" s="1"/>
  <c r="AB27" i="11"/>
  <c r="Q27" i="8" s="1"/>
  <c r="AD27" i="11"/>
  <c r="AI27" i="1" s="1"/>
  <c r="Z27" i="11"/>
  <c r="CZ31" i="5"/>
  <c r="AE28" i="7"/>
  <c r="AF28" i="7" s="1"/>
  <c r="Q28" i="7"/>
  <c r="AB31" i="1"/>
  <c r="DI31" i="5"/>
  <c r="C31" i="5"/>
  <c r="DA30" i="5"/>
  <c r="DG30" i="5" s="1" a="1"/>
  <c r="DG30" i="5" s="1"/>
  <c r="AG40" i="9"/>
  <c r="AK40" i="9"/>
  <c r="AE102" i="9"/>
  <c r="N16" i="1"/>
  <c r="S33" i="2"/>
  <c r="N34" i="2"/>
  <c r="R34" i="2"/>
  <c r="Q33" i="2"/>
  <c r="J35" i="10"/>
  <c r="N35" i="5" s="1"/>
  <c r="P35" i="2"/>
  <c r="AQ56" i="9" l="1"/>
  <c r="CM56" i="8" s="1"/>
  <c r="AO29" i="5"/>
  <c r="AM29" i="5"/>
  <c r="AN29" i="5"/>
  <c r="AV30" i="5"/>
  <c r="AW30" i="5"/>
  <c r="AG28" i="7"/>
  <c r="AI28" i="7" s="1"/>
  <c r="AG29" i="7"/>
  <c r="AI51" i="9"/>
  <c r="AO51" i="8" s="1"/>
  <c r="CL30" i="8"/>
  <c r="CH29" i="8"/>
  <c r="CZ29" i="8" s="1"/>
  <c r="AC29" i="1"/>
  <c r="G35" i="8"/>
  <c r="CF34" i="8"/>
  <c r="O34" i="2"/>
  <c r="AD32" i="1"/>
  <c r="BQ34" i="5" a="1"/>
  <c r="BQ34" i="5" s="1"/>
  <c r="AM41" i="9"/>
  <c r="BR29" i="8"/>
  <c r="BS29" i="8"/>
  <c r="BK34" i="5" a="1"/>
  <c r="BK34" i="5" s="1"/>
  <c r="BG34" i="5" a="1"/>
  <c r="BG34" i="5" s="1"/>
  <c r="BO34" i="5" a="1"/>
  <c r="BO34" i="5" s="1"/>
  <c r="BM34" i="5" a="1"/>
  <c r="BM34" i="5" s="1"/>
  <c r="BH34" i="5" a="1"/>
  <c r="BH34" i="5" s="1"/>
  <c r="CT34" i="5"/>
  <c r="CU34" i="5"/>
  <c r="CS34" i="5"/>
  <c r="CW34" i="5"/>
  <c r="CV34" i="5"/>
  <c r="CQ34" i="5"/>
  <c r="CR34" i="5"/>
  <c r="AY34" i="5" a="1"/>
  <c r="AY34" i="5" s="1"/>
  <c r="BL34" i="5" a="1"/>
  <c r="BL34" i="5" s="1"/>
  <c r="BF34" i="5" a="1"/>
  <c r="BF34" i="5" s="1"/>
  <c r="AE33" i="1" s="1"/>
  <c r="BA34" i="5" a="1"/>
  <c r="BA34" i="5" s="1"/>
  <c r="BJ34" i="5" a="1"/>
  <c r="BJ34" i="5" s="1"/>
  <c r="BC34" i="5" a="1"/>
  <c r="BC34" i="5" s="1"/>
  <c r="BN34" i="5" a="1"/>
  <c r="BN34" i="5" s="1"/>
  <c r="AZ34" i="5" a="1"/>
  <c r="AZ34" i="5" s="1"/>
  <c r="BI34" i="5" a="1"/>
  <c r="BI34" i="5" s="1"/>
  <c r="BD34" i="5" a="1"/>
  <c r="BD34" i="5" s="1"/>
  <c r="BE34" i="5" a="1"/>
  <c r="BE34" i="5" s="1"/>
  <c r="BB34" i="5" a="1"/>
  <c r="BB34" i="5" s="1"/>
  <c r="V32" i="2"/>
  <c r="CI29" i="8"/>
  <c r="DA29" i="8" s="1"/>
  <c r="F37" i="8"/>
  <c r="BP33" i="5" a="1"/>
  <c r="BP33" i="5" s="1"/>
  <c r="J33" i="2" s="1"/>
  <c r="DH30" i="8"/>
  <c r="DI30" i="8" s="1"/>
  <c r="O38" i="1"/>
  <c r="CE28" i="8"/>
  <c r="CX28" i="8" s="1"/>
  <c r="CY28" i="8" s="1"/>
  <c r="BT29" i="8"/>
  <c r="BO29" i="8"/>
  <c r="BP29" i="8"/>
  <c r="BM29" i="8"/>
  <c r="BN29" i="8"/>
  <c r="BK29" i="8"/>
  <c r="BL29" i="8"/>
  <c r="BJ29" i="8"/>
  <c r="AC29" i="10"/>
  <c r="X29" i="10" s="1"/>
  <c r="AR29" i="5"/>
  <c r="AH33" i="11"/>
  <c r="AS33" i="5"/>
  <c r="AK33" i="11"/>
  <c r="AM33" i="1"/>
  <c r="DF32" i="5"/>
  <c r="DE32" i="5"/>
  <c r="AF31" i="1"/>
  <c r="AU34" i="8"/>
  <c r="AE34" i="8"/>
  <c r="Y31" i="1"/>
  <c r="DJ32" i="5"/>
  <c r="K35" i="11"/>
  <c r="A35" i="14"/>
  <c r="CA35" i="14" s="1"/>
  <c r="A35" i="7"/>
  <c r="R35" i="7" s="1"/>
  <c r="A35" i="5"/>
  <c r="A35" i="9"/>
  <c r="A35" i="8"/>
  <c r="A35" i="2"/>
  <c r="DH32" i="5"/>
  <c r="AJ33" i="1"/>
  <c r="DB32" i="5"/>
  <c r="W31" i="1"/>
  <c r="O34" i="14" a="1"/>
  <c r="O34" i="14" s="1"/>
  <c r="V34" i="14" a="1"/>
  <c r="V34" i="14" s="1"/>
  <c r="AC34" i="14" a="1"/>
  <c r="AC34" i="14" s="1"/>
  <c r="BZ34" i="14" a="1"/>
  <c r="BZ34" i="14" s="1"/>
  <c r="T34" i="14" a="1"/>
  <c r="T34" i="14" s="1"/>
  <c r="BV34" i="14" a="1"/>
  <c r="BV34" i="14" s="1"/>
  <c r="R34" i="14" a="1"/>
  <c r="R34" i="14" s="1"/>
  <c r="AL34" i="1" s="1"/>
  <c r="AG34" i="14" a="1"/>
  <c r="AG34" i="14" s="1"/>
  <c r="BT34" i="14" a="1"/>
  <c r="BT34" i="14" s="1"/>
  <c r="AE34" i="14" a="1"/>
  <c r="AE34" i="14" s="1"/>
  <c r="AD34" i="14" a="1"/>
  <c r="AD34" i="14" s="1"/>
  <c r="AB34" i="14" a="1"/>
  <c r="AB34" i="14" s="1"/>
  <c r="BP34" i="14" a="1"/>
  <c r="BP34" i="14" s="1"/>
  <c r="AN34" i="14" a="1"/>
  <c r="AN34" i="14" s="1"/>
  <c r="BN34" i="14" a="1"/>
  <c r="BN34" i="14" s="1"/>
  <c r="BU34" i="14" a="1"/>
  <c r="BU34" i="14" s="1"/>
  <c r="Q34" i="14" a="1"/>
  <c r="Q34" i="14" s="1"/>
  <c r="AV34" i="14" a="1"/>
  <c r="AV34" i="14" s="1"/>
  <c r="W34" i="14" a="1"/>
  <c r="W34" i="14" s="1"/>
  <c r="BI34" i="14" a="1"/>
  <c r="BI34" i="14" s="1"/>
  <c r="AK34" i="14" a="1"/>
  <c r="AK34" i="14" s="1"/>
  <c r="BH34" i="14" a="1"/>
  <c r="BH34" i="14" s="1"/>
  <c r="AY34" i="14" a="1"/>
  <c r="AY34" i="14" s="1"/>
  <c r="AI34" i="14" a="1"/>
  <c r="AI34" i="14" s="1"/>
  <c r="AW34" i="14" a="1"/>
  <c r="AW34" i="14" s="1"/>
  <c r="M34" i="14" a="1"/>
  <c r="M34" i="14" s="1"/>
  <c r="BS34" i="14" a="1"/>
  <c r="BS34" i="14" s="1"/>
  <c r="BB34" i="14" a="1"/>
  <c r="BB34" i="14" s="1"/>
  <c r="BD34" i="14" a="1"/>
  <c r="BD34" i="14" s="1"/>
  <c r="P34" i="14" a="1"/>
  <c r="P34" i="14" s="1"/>
  <c r="BY34" i="14" a="1"/>
  <c r="BY34" i="14" s="1"/>
  <c r="BF34" i="14" a="1"/>
  <c r="BF34" i="14" s="1"/>
  <c r="Z34" i="14" a="1"/>
  <c r="Z34" i="14" s="1"/>
  <c r="AO34" i="14" a="1"/>
  <c r="AO34" i="14" s="1"/>
  <c r="BK34" i="14" a="1"/>
  <c r="BK34" i="14" s="1"/>
  <c r="AL34" i="14" a="1"/>
  <c r="AL34" i="14" s="1"/>
  <c r="X34" i="14" a="1"/>
  <c r="X34" i="14" s="1"/>
  <c r="BX34" i="14" a="1"/>
  <c r="BX34" i="14" s="1"/>
  <c r="AJ34" i="14" a="1"/>
  <c r="AJ34" i="14" s="1"/>
  <c r="BG34" i="14" a="1"/>
  <c r="BG34" i="14" s="1"/>
  <c r="BM34" i="14" a="1"/>
  <c r="BM34" i="14" s="1"/>
  <c r="Y34" i="14" a="1"/>
  <c r="Y34" i="14" s="1"/>
  <c r="BC34" i="14" a="1"/>
  <c r="BC34" i="14" s="1"/>
  <c r="BJ34" i="14" a="1"/>
  <c r="BJ34" i="14" s="1"/>
  <c r="AT34" i="14" a="1"/>
  <c r="AT34" i="14" s="1"/>
  <c r="AZ34" i="14" a="1"/>
  <c r="AZ34" i="14" s="1"/>
  <c r="BW34" i="14" a="1"/>
  <c r="BW34" i="14" s="1"/>
  <c r="AF34" i="14" a="1"/>
  <c r="AF34" i="14" s="1"/>
  <c r="S34" i="14" a="1"/>
  <c r="S34" i="14" s="1"/>
  <c r="BL34" i="14" a="1"/>
  <c r="BL34" i="14" s="1"/>
  <c r="AU34" i="14" a="1"/>
  <c r="AU34" i="14" s="1"/>
  <c r="N34" i="14" a="1"/>
  <c r="N34" i="14" s="1"/>
  <c r="AS34" i="14" a="1"/>
  <c r="AS34" i="14" s="1"/>
  <c r="BA34" i="14" a="1"/>
  <c r="BA34" i="14" s="1"/>
  <c r="BO34" i="14" a="1"/>
  <c r="BO34" i="14" s="1"/>
  <c r="AQ34" i="14" a="1"/>
  <c r="AQ34" i="14" s="1"/>
  <c r="AH34" i="14" a="1"/>
  <c r="AH34" i="14" s="1"/>
  <c r="BE34" i="14" a="1"/>
  <c r="BE34" i="14" s="1"/>
  <c r="BR34" i="14" a="1"/>
  <c r="BR34" i="14" s="1"/>
  <c r="BQ34" i="14" a="1"/>
  <c r="BQ34" i="14" s="1"/>
  <c r="U34" i="14" a="1"/>
  <c r="U34" i="14" s="1"/>
  <c r="AR34" i="14" a="1"/>
  <c r="AR34" i="14" s="1"/>
  <c r="AA34" i="14" a="1"/>
  <c r="AA34" i="14" s="1"/>
  <c r="AP34" i="14" a="1"/>
  <c r="AP34" i="14" s="1"/>
  <c r="AX34" i="14" a="1"/>
  <c r="AX34" i="14" s="1"/>
  <c r="AM34" i="14" a="1"/>
  <c r="AM34" i="14" s="1"/>
  <c r="CB29" i="8"/>
  <c r="CT29" i="8" s="1"/>
  <c r="CA29" i="8"/>
  <c r="BZ29" i="8"/>
  <c r="CC29" i="8"/>
  <c r="CV29" i="8" s="1"/>
  <c r="CW29" i="8" s="1"/>
  <c r="BY29" i="8"/>
  <c r="AA28" i="11"/>
  <c r="AK28" i="1" s="1"/>
  <c r="N29" i="7"/>
  <c r="Y28" i="11"/>
  <c r="AH28" i="1" s="1"/>
  <c r="Z28" i="11"/>
  <c r="AD28" i="11"/>
  <c r="AI28" i="1" s="1"/>
  <c r="AC28" i="11"/>
  <c r="U28" i="8" s="1"/>
  <c r="AB28" i="11"/>
  <c r="Q28" i="8" s="1"/>
  <c r="Q29" i="7"/>
  <c r="BX29" i="8"/>
  <c r="CD29" i="8" s="1"/>
  <c r="D30" i="9"/>
  <c r="X30" i="8"/>
  <c r="DD30" i="8" s="1"/>
  <c r="A30" i="10"/>
  <c r="AA30" i="10" s="1"/>
  <c r="BH30" i="8"/>
  <c r="BU30" i="8" s="1"/>
  <c r="AJ30" i="5"/>
  <c r="AP30" i="5" s="1"/>
  <c r="B30" i="7"/>
  <c r="Q30" i="7" s="1"/>
  <c r="A30" i="11"/>
  <c r="AA29" i="11" s="1"/>
  <c r="AK29" i="1" s="1"/>
  <c r="BT30" i="5"/>
  <c r="CK30" i="8"/>
  <c r="B30" i="9"/>
  <c r="Y30" i="9" s="1"/>
  <c r="AC30" i="8"/>
  <c r="BQ30" i="8" s="1"/>
  <c r="AI30" i="5"/>
  <c r="BI30" i="8"/>
  <c r="E30" i="1"/>
  <c r="B32" i="5"/>
  <c r="BW30" i="8"/>
  <c r="F31" i="5"/>
  <c r="BY34" i="11"/>
  <c r="AA33" i="7"/>
  <c r="AF33" i="8" s="1"/>
  <c r="AV33" i="8" s="1"/>
  <c r="K33" i="10"/>
  <c r="L33" i="11"/>
  <c r="B32" i="2"/>
  <c r="AH32" i="5"/>
  <c r="BU32" i="5"/>
  <c r="B32" i="1"/>
  <c r="BG32" i="1" s="1"/>
  <c r="M33" i="5"/>
  <c r="H32" i="10"/>
  <c r="J32" i="7"/>
  <c r="I33" i="5"/>
  <c r="D32" i="10"/>
  <c r="F32" i="7"/>
  <c r="L33" i="5"/>
  <c r="G32" i="10"/>
  <c r="I32" i="7"/>
  <c r="H33" i="5"/>
  <c r="C32" i="10"/>
  <c r="E32" i="7"/>
  <c r="K33" i="5"/>
  <c r="F32" i="10"/>
  <c r="H32" i="7"/>
  <c r="DD32" i="5"/>
  <c r="G33" i="5"/>
  <c r="B32" i="10"/>
  <c r="D32" i="7"/>
  <c r="J33" i="5"/>
  <c r="DC33" i="5" s="1"/>
  <c r="E32" i="10"/>
  <c r="G32" i="7"/>
  <c r="CS27" i="8"/>
  <c r="CQ28" i="8"/>
  <c r="CU28" i="8" s="1"/>
  <c r="DB28" i="8"/>
  <c r="AH41" i="9"/>
  <c r="B28" i="14"/>
  <c r="CR28" i="8"/>
  <c r="AQ28" i="5"/>
  <c r="CZ32" i="5"/>
  <c r="C32" i="5"/>
  <c r="DA31" i="5"/>
  <c r="DG31" i="5" s="1" a="1"/>
  <c r="DG31" i="5" s="1"/>
  <c r="AB32" i="1"/>
  <c r="DI32" i="5"/>
  <c r="AG41" i="9"/>
  <c r="AK41" i="9"/>
  <c r="AE103" i="9"/>
  <c r="B29" i="14"/>
  <c r="N17" i="1"/>
  <c r="S34" i="2"/>
  <c r="N35" i="2"/>
  <c r="R35" i="2"/>
  <c r="Q34" i="2"/>
  <c r="P36" i="2"/>
  <c r="J36" i="10"/>
  <c r="N36" i="5" s="1"/>
  <c r="AQ57" i="9" l="1"/>
  <c r="CM57" i="8" s="1"/>
  <c r="AO30" i="5"/>
  <c r="AM30" i="5"/>
  <c r="AN30" i="5"/>
  <c r="AR30" i="5" s="1"/>
  <c r="AV31" i="5"/>
  <c r="AW31" i="5"/>
  <c r="AI29" i="7"/>
  <c r="AI52" i="9"/>
  <c r="AO52" i="8" s="1"/>
  <c r="CL31" i="8"/>
  <c r="DB29" i="8"/>
  <c r="CH30" i="8"/>
  <c r="CZ30" i="8" s="1"/>
  <c r="AC30" i="1"/>
  <c r="G36" i="8"/>
  <c r="CF35" i="8"/>
  <c r="O35" i="2"/>
  <c r="AM42" i="9"/>
  <c r="BR30" i="8"/>
  <c r="BS30" i="8"/>
  <c r="AD33" i="1"/>
  <c r="BB35" i="5" a="1"/>
  <c r="BB35" i="5" s="1"/>
  <c r="BE35" i="5" a="1"/>
  <c r="BE35" i="5" s="1"/>
  <c r="BD35" i="5" a="1"/>
  <c r="BD35" i="5" s="1"/>
  <c r="BI35" i="5" a="1"/>
  <c r="BI35" i="5" s="1"/>
  <c r="BH35" i="5" a="1"/>
  <c r="BH35" i="5" s="1"/>
  <c r="AZ35" i="5" a="1"/>
  <c r="AZ35" i="5" s="1"/>
  <c r="BM35" i="5" a="1"/>
  <c r="BM35" i="5" s="1"/>
  <c r="BN35" i="5" a="1"/>
  <c r="BN35" i="5" s="1"/>
  <c r="BO35" i="5" a="1"/>
  <c r="BO35" i="5" s="1"/>
  <c r="CT35" i="5"/>
  <c r="CS35" i="5"/>
  <c r="CV35" i="5"/>
  <c r="CW35" i="5"/>
  <c r="CR35" i="5"/>
  <c r="CU35" i="5"/>
  <c r="CQ35" i="5"/>
  <c r="AY35" i="5" a="1"/>
  <c r="AY35" i="5" s="1"/>
  <c r="BL35" i="5" a="1"/>
  <c r="BL35" i="5" s="1"/>
  <c r="BC35" i="5" a="1"/>
  <c r="BC35" i="5" s="1"/>
  <c r="BG35" i="5" a="1"/>
  <c r="BG35" i="5" s="1"/>
  <c r="BJ35" i="5" a="1"/>
  <c r="BJ35" i="5" s="1"/>
  <c r="BK35" i="5" a="1"/>
  <c r="BK35" i="5" s="1"/>
  <c r="BA35" i="5" a="1"/>
  <c r="BA35" i="5" s="1"/>
  <c r="BF35" i="5" a="1"/>
  <c r="BF35" i="5" s="1"/>
  <c r="AE34" i="1" s="1"/>
  <c r="BQ35" i="5" a="1"/>
  <c r="BQ35" i="5" s="1"/>
  <c r="V33" i="2"/>
  <c r="CI30" i="8"/>
  <c r="DA30" i="8" s="1"/>
  <c r="CQ29" i="8"/>
  <c r="CU29" i="8" s="1"/>
  <c r="F38" i="8"/>
  <c r="BP34" i="5" a="1"/>
  <c r="BP34" i="5" s="1"/>
  <c r="J34" i="2" s="1"/>
  <c r="A31" i="10"/>
  <c r="AA31" i="10" s="1"/>
  <c r="O39" i="1"/>
  <c r="BT30" i="8"/>
  <c r="BO30" i="8"/>
  <c r="BP30" i="8"/>
  <c r="BM30" i="8"/>
  <c r="BN30" i="8"/>
  <c r="BK30" i="8"/>
  <c r="BL30" i="8"/>
  <c r="BJ30" i="8"/>
  <c r="AC30" i="10"/>
  <c r="X30" i="10" s="1"/>
  <c r="AS34" i="5"/>
  <c r="AK34" i="11"/>
  <c r="AQ29" i="5"/>
  <c r="DE33" i="5"/>
  <c r="AJ34" i="1"/>
  <c r="DB33" i="5"/>
  <c r="AU35" i="8"/>
  <c r="AE35" i="8"/>
  <c r="Y32" i="1"/>
  <c r="DJ33" i="5"/>
  <c r="AM34" i="1"/>
  <c r="DF33" i="5"/>
  <c r="W32" i="1"/>
  <c r="BS35" i="14" a="1"/>
  <c r="BS35" i="14" s="1"/>
  <c r="AE35" i="14" a="1"/>
  <c r="AE35" i="14" s="1"/>
  <c r="BB35" i="14" a="1"/>
  <c r="BB35" i="14" s="1"/>
  <c r="AC35" i="14" a="1"/>
  <c r="AC35" i="14" s="1"/>
  <c r="AB35" i="14" a="1"/>
  <c r="AB35" i="14" s="1"/>
  <c r="T35" i="14" a="1"/>
  <c r="T35" i="14" s="1"/>
  <c r="BV35" i="14" a="1"/>
  <c r="BV35" i="14" s="1"/>
  <c r="AF35" i="14" a="1"/>
  <c r="AF35" i="14" s="1"/>
  <c r="Y35" i="14" a="1"/>
  <c r="Y35" i="14" s="1"/>
  <c r="BT35" i="14" a="1"/>
  <c r="BT35" i="14" s="1"/>
  <c r="O35" i="14" a="1"/>
  <c r="O35" i="14" s="1"/>
  <c r="AD35" i="14" a="1"/>
  <c r="AD35" i="14" s="1"/>
  <c r="BY35" i="14" a="1"/>
  <c r="BY35" i="14" s="1"/>
  <c r="AN35" i="14" a="1"/>
  <c r="AN35" i="14" s="1"/>
  <c r="BG35" i="14" a="1"/>
  <c r="BG35" i="14" s="1"/>
  <c r="R35" i="14" a="1"/>
  <c r="R35" i="14" s="1"/>
  <c r="AL35" i="1" s="1"/>
  <c r="AG35" i="14" a="1"/>
  <c r="AG35" i="14" s="1"/>
  <c r="Q35" i="14" a="1"/>
  <c r="Q35" i="14" s="1"/>
  <c r="BK35" i="14" a="1"/>
  <c r="BK35" i="14" s="1"/>
  <c r="X35" i="14" a="1"/>
  <c r="X35" i="14" s="1"/>
  <c r="N35" i="14" a="1"/>
  <c r="N35" i="14" s="1"/>
  <c r="AZ35" i="14" a="1"/>
  <c r="AZ35" i="14" s="1"/>
  <c r="BD35" i="14" a="1"/>
  <c r="BD35" i="14" s="1"/>
  <c r="BN35" i="14" a="1"/>
  <c r="BN35" i="14" s="1"/>
  <c r="AX35" i="14" a="1"/>
  <c r="AX35" i="14" s="1"/>
  <c r="BM35" i="14" a="1"/>
  <c r="BM35" i="14" s="1"/>
  <c r="AV35" i="14" a="1"/>
  <c r="AV35" i="14" s="1"/>
  <c r="AT35" i="14" a="1"/>
  <c r="AT35" i="14" s="1"/>
  <c r="BQ35" i="14" a="1"/>
  <c r="BQ35" i="14" s="1"/>
  <c r="AJ35" i="14" a="1"/>
  <c r="AJ35" i="14" s="1"/>
  <c r="BW35" i="14" a="1"/>
  <c r="BW35" i="14" s="1"/>
  <c r="AY35" i="14" a="1"/>
  <c r="AY35" i="14" s="1"/>
  <c r="Z35" i="14" a="1"/>
  <c r="Z35" i="14" s="1"/>
  <c r="BL35" i="14" a="1"/>
  <c r="BL35" i="14" s="1"/>
  <c r="W35" i="14" a="1"/>
  <c r="W35" i="14" s="1"/>
  <c r="BJ35" i="14" a="1"/>
  <c r="BJ35" i="14" s="1"/>
  <c r="BI35" i="14" a="1"/>
  <c r="BI35" i="14" s="1"/>
  <c r="U35" i="14" a="1"/>
  <c r="U35" i="14" s="1"/>
  <c r="BO35" i="14" a="1"/>
  <c r="BO35" i="14" s="1"/>
  <c r="AQ35" i="14" a="1"/>
  <c r="AQ35" i="14" s="1"/>
  <c r="AP35" i="14" a="1"/>
  <c r="AP35" i="14" s="1"/>
  <c r="AH35" i="14" a="1"/>
  <c r="AH35" i="14" s="1"/>
  <c r="BC35" i="14" a="1"/>
  <c r="BC35" i="14" s="1"/>
  <c r="V35" i="14" a="1"/>
  <c r="V35" i="14" s="1"/>
  <c r="BA35" i="14" a="1"/>
  <c r="BA35" i="14" s="1"/>
  <c r="P35" i="14" a="1"/>
  <c r="P35" i="14" s="1"/>
  <c r="BP35" i="14" a="1"/>
  <c r="BP35" i="14" s="1"/>
  <c r="AI35" i="14" a="1"/>
  <c r="AI35" i="14" s="1"/>
  <c r="BE35" i="14" a="1"/>
  <c r="BE35" i="14" s="1"/>
  <c r="BU35" i="14" a="1"/>
  <c r="BU35" i="14" s="1"/>
  <c r="AM35" i="14" a="1"/>
  <c r="AM35" i="14" s="1"/>
  <c r="BR35" i="14" a="1"/>
  <c r="BR35" i="14" s="1"/>
  <c r="AS35" i="14" a="1"/>
  <c r="AS35" i="14" s="1"/>
  <c r="BX35" i="14" a="1"/>
  <c r="BX35" i="14" s="1"/>
  <c r="BH35" i="14" a="1"/>
  <c r="BH35" i="14" s="1"/>
  <c r="S35" i="14" a="1"/>
  <c r="S35" i="14" s="1"/>
  <c r="AO35" i="14" a="1"/>
  <c r="AO35" i="14" s="1"/>
  <c r="AW35" i="14" a="1"/>
  <c r="AW35" i="14" s="1"/>
  <c r="AA35" i="14" a="1"/>
  <c r="AA35" i="14" s="1"/>
  <c r="BF35" i="14" a="1"/>
  <c r="BF35" i="14" s="1"/>
  <c r="M35" i="14" a="1"/>
  <c r="M35" i="14" s="1"/>
  <c r="AL35" i="14" a="1"/>
  <c r="AL35" i="14" s="1"/>
  <c r="AK35" i="14" a="1"/>
  <c r="AK35" i="14" s="1"/>
  <c r="BZ35" i="14" a="1"/>
  <c r="BZ35" i="14" s="1"/>
  <c r="AU35" i="14" a="1"/>
  <c r="AU35" i="14" s="1"/>
  <c r="AR35" i="14" a="1"/>
  <c r="AR35" i="14" s="1"/>
  <c r="AF32" i="1"/>
  <c r="AH34" i="11"/>
  <c r="DH33" i="5"/>
  <c r="K36" i="11"/>
  <c r="A36" i="14"/>
  <c r="CA36" i="14" s="1"/>
  <c r="A36" i="7"/>
  <c r="R36" i="7" s="1"/>
  <c r="A36" i="9"/>
  <c r="A36" i="2"/>
  <c r="A36" i="8"/>
  <c r="A36" i="5"/>
  <c r="CR29" i="8"/>
  <c r="CE29" i="8"/>
  <c r="CX29" i="8" s="1"/>
  <c r="CY29" i="8" s="1"/>
  <c r="N30" i="7"/>
  <c r="DH31" i="8"/>
  <c r="DI31" i="8" s="1"/>
  <c r="D31" i="9"/>
  <c r="BX30" i="8"/>
  <c r="CD30" i="8" s="1"/>
  <c r="AC29" i="11"/>
  <c r="U29" i="8" s="1"/>
  <c r="Y29" i="11"/>
  <c r="AH29" i="1" s="1"/>
  <c r="Z29" i="11"/>
  <c r="CC30" i="8"/>
  <c r="CV30" i="8" s="1"/>
  <c r="CW30" i="8" s="1"/>
  <c r="CA30" i="8"/>
  <c r="AB29" i="11"/>
  <c r="Q29" i="8" s="1"/>
  <c r="N30" i="11"/>
  <c r="BZ30" i="8"/>
  <c r="BY30" i="8"/>
  <c r="AD29" i="11"/>
  <c r="AI29" i="1" s="1"/>
  <c r="AE30" i="7"/>
  <c r="AF30" i="7" s="1"/>
  <c r="F32" i="5"/>
  <c r="B31" i="9"/>
  <c r="Y31" i="9" s="1"/>
  <c r="A31" i="11"/>
  <c r="AC30" i="11" s="1"/>
  <c r="U30" i="8" s="1"/>
  <c r="CB30" i="8"/>
  <c r="CT30" i="8" s="1"/>
  <c r="AI31" i="5"/>
  <c r="AJ31" i="5"/>
  <c r="AP31" i="5" s="1"/>
  <c r="BT31" i="5"/>
  <c r="AC31" i="8"/>
  <c r="BQ31" i="8" s="1"/>
  <c r="X31" i="8"/>
  <c r="DD31" i="8" s="1"/>
  <c r="CK31" i="8"/>
  <c r="E31" i="1"/>
  <c r="BI31" i="8"/>
  <c r="BH31" i="8"/>
  <c r="BU31" i="8" s="1"/>
  <c r="BW31" i="8"/>
  <c r="B31" i="7"/>
  <c r="AE31" i="7" s="1"/>
  <c r="AF31" i="7" s="1"/>
  <c r="B33" i="5"/>
  <c r="B33" i="1"/>
  <c r="BG33" i="1" s="1"/>
  <c r="AH33" i="5"/>
  <c r="BU33" i="5"/>
  <c r="B33" i="2"/>
  <c r="BY35" i="11"/>
  <c r="K34" i="10"/>
  <c r="AA34" i="7"/>
  <c r="AF34" i="8" s="1"/>
  <c r="AV34" i="8" s="1"/>
  <c r="L34" i="11"/>
  <c r="L34" i="5"/>
  <c r="G33" i="10"/>
  <c r="I33" i="7"/>
  <c r="J34" i="5"/>
  <c r="DC34" i="5" s="1"/>
  <c r="E33" i="10"/>
  <c r="G33" i="7"/>
  <c r="K34" i="5"/>
  <c r="F33" i="10"/>
  <c r="H33" i="7"/>
  <c r="DD33" i="5"/>
  <c r="I34" i="5"/>
  <c r="D33" i="10"/>
  <c r="F33" i="7"/>
  <c r="D33" i="7"/>
  <c r="B33" i="10"/>
  <c r="G34" i="5"/>
  <c r="H34" i="5"/>
  <c r="C33" i="10"/>
  <c r="E33" i="7"/>
  <c r="M34" i="5"/>
  <c r="H33" i="10"/>
  <c r="J33" i="7"/>
  <c r="CS28" i="8"/>
  <c r="AH42" i="9"/>
  <c r="CZ33" i="5"/>
  <c r="AB33" i="1"/>
  <c r="DI33" i="5"/>
  <c r="DA32" i="5"/>
  <c r="DG32" i="5" s="1" a="1"/>
  <c r="DG32" i="5" s="1"/>
  <c r="AG42" i="9"/>
  <c r="AK42" i="9"/>
  <c r="AE104" i="9"/>
  <c r="N18" i="1"/>
  <c r="S35" i="2"/>
  <c r="N36" i="2"/>
  <c r="R36" i="2"/>
  <c r="Q35" i="2"/>
  <c r="J37" i="10"/>
  <c r="N37" i="5" s="1"/>
  <c r="P37" i="2"/>
  <c r="AQ58" i="9" l="1"/>
  <c r="CM58" i="8" s="1"/>
  <c r="AO31" i="5"/>
  <c r="AM31" i="5"/>
  <c r="AN31" i="5"/>
  <c r="AR31" i="5" s="1"/>
  <c r="AV32" i="5"/>
  <c r="AW32" i="5"/>
  <c r="AI53" i="9"/>
  <c r="AO53" i="8" s="1"/>
  <c r="AG31" i="7"/>
  <c r="AG30" i="7"/>
  <c r="AI30" i="7" s="1"/>
  <c r="CL32" i="8"/>
  <c r="DB30" i="8"/>
  <c r="CC31" i="8"/>
  <c r="CV31" i="8" s="1"/>
  <c r="CW31" i="8" s="1"/>
  <c r="AC31" i="1"/>
  <c r="G37" i="8"/>
  <c r="CF36" i="8"/>
  <c r="O36" i="2"/>
  <c r="AM43" i="9"/>
  <c r="BR31" i="8"/>
  <c r="BS31" i="8"/>
  <c r="AD34" i="1"/>
  <c r="CT36" i="5"/>
  <c r="CR36" i="5"/>
  <c r="CW36" i="5"/>
  <c r="CV36" i="5"/>
  <c r="CS36" i="5"/>
  <c r="CU36" i="5"/>
  <c r="CQ36" i="5"/>
  <c r="BL36" i="5" a="1"/>
  <c r="BL36" i="5" s="1"/>
  <c r="AY36" i="5" a="1"/>
  <c r="AY36" i="5" s="1"/>
  <c r="BQ36" i="5" a="1"/>
  <c r="BQ36" i="5" s="1"/>
  <c r="BO36" i="5" a="1"/>
  <c r="BO36" i="5" s="1"/>
  <c r="BF36" i="5" a="1"/>
  <c r="BF36" i="5" s="1"/>
  <c r="AE35" i="1" s="1"/>
  <c r="BN36" i="5" a="1"/>
  <c r="BN36" i="5" s="1"/>
  <c r="BA36" i="5" a="1"/>
  <c r="BA36" i="5" s="1"/>
  <c r="BM36" i="5" a="1"/>
  <c r="BM36" i="5" s="1"/>
  <c r="BK36" i="5" a="1"/>
  <c r="BK36" i="5" s="1"/>
  <c r="AZ36" i="5" a="1"/>
  <c r="AZ36" i="5" s="1"/>
  <c r="BJ36" i="5" a="1"/>
  <c r="BJ36" i="5" s="1"/>
  <c r="BH36" i="5" a="1"/>
  <c r="BH36" i="5" s="1"/>
  <c r="BG36" i="5" a="1"/>
  <c r="BG36" i="5" s="1"/>
  <c r="BI36" i="5" a="1"/>
  <c r="BI36" i="5" s="1"/>
  <c r="BC36" i="5" a="1"/>
  <c r="BC36" i="5" s="1"/>
  <c r="BD36" i="5" a="1"/>
  <c r="BD36" i="5" s="1"/>
  <c r="BE36" i="5" a="1"/>
  <c r="BE36" i="5" s="1"/>
  <c r="BB36" i="5" a="1"/>
  <c r="BB36" i="5" s="1"/>
  <c r="V34" i="2"/>
  <c r="CS29" i="8"/>
  <c r="CQ30" i="8"/>
  <c r="CU30" i="8" s="1"/>
  <c r="F39" i="8"/>
  <c r="BP35" i="5" a="1"/>
  <c r="BP35" i="5" s="1"/>
  <c r="J35" i="2" s="1"/>
  <c r="BH32" i="8"/>
  <c r="BU32" i="8" s="1"/>
  <c r="O40" i="1"/>
  <c r="BX31" i="8"/>
  <c r="CD31" i="8" s="1"/>
  <c r="BT31" i="8"/>
  <c r="BO31" i="8"/>
  <c r="BP31" i="8"/>
  <c r="BM31" i="8"/>
  <c r="BN31" i="8"/>
  <c r="BK31" i="8"/>
  <c r="BL31" i="8"/>
  <c r="BJ31" i="8"/>
  <c r="AC31" i="10"/>
  <c r="X31" i="10" s="1"/>
  <c r="AS35" i="5"/>
  <c r="AH35" i="11"/>
  <c r="AK35" i="11"/>
  <c r="DB34" i="5"/>
  <c r="DF34" i="5"/>
  <c r="AU36" i="8"/>
  <c r="AE36" i="8"/>
  <c r="AM35" i="1"/>
  <c r="W33" i="1"/>
  <c r="DE34" i="5"/>
  <c r="DH34" i="5"/>
  <c r="Y33" i="1"/>
  <c r="DJ34" i="5"/>
  <c r="AV36" i="14" a="1"/>
  <c r="AV36" i="14" s="1"/>
  <c r="AE36" i="14" a="1"/>
  <c r="AE36" i="14" s="1"/>
  <c r="AD36" i="14" a="1"/>
  <c r="AD36" i="14" s="1"/>
  <c r="BX36" i="14" a="1"/>
  <c r="BX36" i="14" s="1"/>
  <c r="BP36" i="14" a="1"/>
  <c r="BP36" i="14" s="1"/>
  <c r="AY36" i="14" a="1"/>
  <c r="AY36" i="14" s="1"/>
  <c r="BL36" i="14" a="1"/>
  <c r="BL36" i="14" s="1"/>
  <c r="AG36" i="14" a="1"/>
  <c r="AG36" i="14" s="1"/>
  <c r="AU36" i="14" a="1"/>
  <c r="AU36" i="14" s="1"/>
  <c r="BB36" i="14" a="1"/>
  <c r="BB36" i="14" s="1"/>
  <c r="BQ36" i="14" a="1"/>
  <c r="BQ36" i="14" s="1"/>
  <c r="BH36" i="14" a="1"/>
  <c r="BH36" i="14" s="1"/>
  <c r="T36" i="14" a="1"/>
  <c r="T36" i="14" s="1"/>
  <c r="AF36" i="14" a="1"/>
  <c r="AF36" i="14" s="1"/>
  <c r="BF36" i="14" a="1"/>
  <c r="BF36" i="14" s="1"/>
  <c r="Q36" i="14" a="1"/>
  <c r="Q36" i="14" s="1"/>
  <c r="BC36" i="14" a="1"/>
  <c r="BC36" i="14" s="1"/>
  <c r="AL36" i="14" a="1"/>
  <c r="AL36" i="14" s="1"/>
  <c r="BI36" i="14" a="1"/>
  <c r="BI36" i="14" s="1"/>
  <c r="BZ36" i="14" a="1"/>
  <c r="BZ36" i="14" s="1"/>
  <c r="AB36" i="14" a="1"/>
  <c r="AB36" i="14" s="1"/>
  <c r="AI36" i="14" a="1"/>
  <c r="AI36" i="14" s="1"/>
  <c r="AX36" i="14" a="1"/>
  <c r="AX36" i="14" s="1"/>
  <c r="BM36" i="14" a="1"/>
  <c r="BM36" i="14" s="1"/>
  <c r="BK36" i="14" a="1"/>
  <c r="BK36" i="14" s="1"/>
  <c r="O36" i="14" a="1"/>
  <c r="O36" i="14" s="1"/>
  <c r="BD36" i="14" a="1"/>
  <c r="BD36" i="14" s="1"/>
  <c r="AZ36" i="14" a="1"/>
  <c r="AZ36" i="14" s="1"/>
  <c r="BW36" i="14" a="1"/>
  <c r="BW36" i="14" s="1"/>
  <c r="BV36" i="14" a="1"/>
  <c r="BV36" i="14" s="1"/>
  <c r="S36" i="14" a="1"/>
  <c r="S36" i="14" s="1"/>
  <c r="AH36" i="14" a="1"/>
  <c r="AH36" i="14" s="1"/>
  <c r="AM36" i="14" a="1"/>
  <c r="AM36" i="14" s="1"/>
  <c r="BJ36" i="14" a="1"/>
  <c r="BJ36" i="14" s="1"/>
  <c r="AK36" i="14" a="1"/>
  <c r="AK36" i="14" s="1"/>
  <c r="AR36" i="14" a="1"/>
  <c r="AR36" i="14" s="1"/>
  <c r="AC36" i="14" a="1"/>
  <c r="AC36" i="14" s="1"/>
  <c r="BO36" i="14" a="1"/>
  <c r="BO36" i="14" s="1"/>
  <c r="AP36" i="14" a="1"/>
  <c r="AP36" i="14" s="1"/>
  <c r="AW36" i="14" a="1"/>
  <c r="AW36" i="14" s="1"/>
  <c r="X36" i="14" a="1"/>
  <c r="X36" i="14" s="1"/>
  <c r="AT36" i="14" a="1"/>
  <c r="AT36" i="14" s="1"/>
  <c r="BA36" i="14" a="1"/>
  <c r="BA36" i="14" s="1"/>
  <c r="AJ36" i="14" a="1"/>
  <c r="AJ36" i="14" s="1"/>
  <c r="AN36" i="14" a="1"/>
  <c r="AN36" i="14" s="1"/>
  <c r="AQ36" i="14" a="1"/>
  <c r="AQ36" i="14" s="1"/>
  <c r="BN36" i="14" a="1"/>
  <c r="BN36" i="14" s="1"/>
  <c r="Y36" i="14" a="1"/>
  <c r="Y36" i="14" s="1"/>
  <c r="BS36" i="14" a="1"/>
  <c r="BS36" i="14" s="1"/>
  <c r="W36" i="14" a="1"/>
  <c r="W36" i="14" s="1"/>
  <c r="V36" i="14" a="1"/>
  <c r="V36" i="14" s="1"/>
  <c r="AS36" i="14" a="1"/>
  <c r="AS36" i="14" s="1"/>
  <c r="P36" i="14" a="1"/>
  <c r="P36" i="14" s="1"/>
  <c r="AA36" i="14" a="1"/>
  <c r="AA36" i="14" s="1"/>
  <c r="BU36" i="14" a="1"/>
  <c r="BU36" i="14" s="1"/>
  <c r="Z36" i="14" a="1"/>
  <c r="Z36" i="14" s="1"/>
  <c r="M36" i="14" a="1"/>
  <c r="M36" i="14" s="1"/>
  <c r="BT36" i="14" a="1"/>
  <c r="BT36" i="14" s="1"/>
  <c r="BR36" i="14" a="1"/>
  <c r="BR36" i="14" s="1"/>
  <c r="N36" i="14" a="1"/>
  <c r="N36" i="14" s="1"/>
  <c r="U36" i="14" a="1"/>
  <c r="U36" i="14" s="1"/>
  <c r="BY36" i="14" a="1"/>
  <c r="BY36" i="14" s="1"/>
  <c r="BG36" i="14" a="1"/>
  <c r="BG36" i="14" s="1"/>
  <c r="R36" i="14" a="1"/>
  <c r="R36" i="14" s="1"/>
  <c r="AL36" i="1" s="1"/>
  <c r="BE36" i="14" a="1"/>
  <c r="BE36" i="14" s="1"/>
  <c r="AO36" i="14" a="1"/>
  <c r="AO36" i="14" s="1"/>
  <c r="K37" i="11"/>
  <c r="A37" i="14"/>
  <c r="CA37" i="14" s="1"/>
  <c r="A37" i="9"/>
  <c r="A37" i="7"/>
  <c r="R37" i="7" s="1"/>
  <c r="A37" i="2"/>
  <c r="A37" i="5"/>
  <c r="A37" i="8"/>
  <c r="AJ35" i="1"/>
  <c r="AF33" i="1"/>
  <c r="B30" i="14"/>
  <c r="Z30" i="11"/>
  <c r="CE30" i="8"/>
  <c r="CX30" i="8" s="1"/>
  <c r="CY30" i="8" s="1"/>
  <c r="DH32" i="8"/>
  <c r="DI32" i="8" s="1"/>
  <c r="CI31" i="8"/>
  <c r="DA31" i="8" s="1"/>
  <c r="AQ30" i="5"/>
  <c r="CR30" i="8"/>
  <c r="X32" i="8"/>
  <c r="DD32" i="8" s="1"/>
  <c r="N31" i="11"/>
  <c r="AC32" i="8"/>
  <c r="BQ32" i="8" s="1"/>
  <c r="AD30" i="11"/>
  <c r="AI30" i="1" s="1"/>
  <c r="E32" i="1"/>
  <c r="A32" i="11"/>
  <c r="AD31" i="11" s="1"/>
  <c r="AI31" i="1" s="1"/>
  <c r="A32" i="10"/>
  <c r="AA32" i="10" s="1"/>
  <c r="BI32" i="8"/>
  <c r="BW32" i="8"/>
  <c r="AA30" i="11"/>
  <c r="AK30" i="1" s="1"/>
  <c r="AB30" i="11"/>
  <c r="Q30" i="8" s="1"/>
  <c r="B32" i="9"/>
  <c r="Y32" i="9" s="1"/>
  <c r="AI32" i="5"/>
  <c r="Y30" i="11"/>
  <c r="AH30" i="1" s="1"/>
  <c r="AJ32" i="5"/>
  <c r="AP32" i="5" s="1"/>
  <c r="B32" i="7"/>
  <c r="AE32" i="7" s="1"/>
  <c r="AF32" i="7" s="1"/>
  <c r="CK32" i="8"/>
  <c r="BT32" i="5"/>
  <c r="N31" i="7"/>
  <c r="CH31" i="8"/>
  <c r="CZ31" i="8" s="1"/>
  <c r="Q31" i="7"/>
  <c r="BZ31" i="8"/>
  <c r="CB31" i="8"/>
  <c r="CT31" i="8" s="1"/>
  <c r="D32" i="9"/>
  <c r="CA31" i="8"/>
  <c r="BY31" i="8"/>
  <c r="B34" i="5"/>
  <c r="AH34" i="5"/>
  <c r="BU34" i="5"/>
  <c r="B34" i="1"/>
  <c r="BG34" i="1" s="1"/>
  <c r="B34" i="2"/>
  <c r="BY36" i="11"/>
  <c r="AA35" i="7"/>
  <c r="AF35" i="8" s="1"/>
  <c r="K35" i="10"/>
  <c r="K35" i="5"/>
  <c r="F34" i="10"/>
  <c r="H34" i="7"/>
  <c r="DD34" i="5"/>
  <c r="M35" i="5"/>
  <c r="H34" i="10"/>
  <c r="J34" i="7"/>
  <c r="J35" i="5"/>
  <c r="DC35" i="5" s="1"/>
  <c r="E34" i="10"/>
  <c r="G34" i="7"/>
  <c r="H35" i="5"/>
  <c r="C34" i="10"/>
  <c r="E34" i="7"/>
  <c r="I35" i="5"/>
  <c r="D34" i="10"/>
  <c r="F34" i="7"/>
  <c r="G35" i="5"/>
  <c r="D34" i="7"/>
  <c r="B34" i="10"/>
  <c r="L35" i="5"/>
  <c r="G34" i="10"/>
  <c r="I34" i="7"/>
  <c r="AH43" i="9"/>
  <c r="C33" i="5"/>
  <c r="F33" i="5" s="1"/>
  <c r="CZ34" i="5"/>
  <c r="DA33" i="5"/>
  <c r="DG33" i="5" s="1" a="1"/>
  <c r="DG33" i="5" s="1"/>
  <c r="AB34" i="1"/>
  <c r="DI34" i="5"/>
  <c r="AG43" i="9"/>
  <c r="AK43" i="9"/>
  <c r="AE105" i="9"/>
  <c r="B31" i="14"/>
  <c r="N19" i="1"/>
  <c r="S36" i="2"/>
  <c r="N37" i="2"/>
  <c r="R37" i="2"/>
  <c r="Q36" i="2"/>
  <c r="J38" i="10"/>
  <c r="N38" i="5" s="1"/>
  <c r="P38" i="2"/>
  <c r="AQ59" i="9" l="1"/>
  <c r="CM59" i="8" s="1"/>
  <c r="AO32" i="5"/>
  <c r="AM32" i="5"/>
  <c r="AN32" i="5"/>
  <c r="AR32" i="5" s="1"/>
  <c r="AV33" i="5"/>
  <c r="AW33" i="5"/>
  <c r="AI54" i="9"/>
  <c r="AO54" i="8" s="1"/>
  <c r="AI31" i="7"/>
  <c r="AG32" i="7"/>
  <c r="CL33" i="8"/>
  <c r="CC32" i="8"/>
  <c r="CV32" i="8" s="1"/>
  <c r="CW32" i="8" s="1"/>
  <c r="AC32" i="1"/>
  <c r="G38" i="8"/>
  <c r="CF37" i="8"/>
  <c r="O37" i="2"/>
  <c r="BK37" i="5" a="1"/>
  <c r="BK37" i="5" s="1"/>
  <c r="BM37" i="5" a="1"/>
  <c r="BM37" i="5" s="1"/>
  <c r="BN37" i="5" a="1"/>
  <c r="BN37" i="5" s="1"/>
  <c r="AM44" i="9"/>
  <c r="BR32" i="8"/>
  <c r="BS32" i="8"/>
  <c r="BA37" i="5" a="1"/>
  <c r="BA37" i="5" s="1"/>
  <c r="BF37" i="5" a="1"/>
  <c r="BF37" i="5" s="1"/>
  <c r="AE36" i="1" s="1"/>
  <c r="CS37" i="5"/>
  <c r="CV37" i="5"/>
  <c r="CR37" i="5"/>
  <c r="CT37" i="5"/>
  <c r="CQ37" i="5"/>
  <c r="CW37" i="5"/>
  <c r="CU37" i="5"/>
  <c r="AY37" i="5" a="1"/>
  <c r="AY37" i="5" s="1"/>
  <c r="BL37" i="5" a="1"/>
  <c r="BL37" i="5" s="1"/>
  <c r="BO37" i="5" a="1"/>
  <c r="BO37" i="5" s="1"/>
  <c r="AD35" i="1"/>
  <c r="BQ37" i="5" a="1"/>
  <c r="BQ37" i="5" s="1"/>
  <c r="BB37" i="5" a="1"/>
  <c r="BB37" i="5" s="1"/>
  <c r="BE37" i="5" a="1"/>
  <c r="BE37" i="5" s="1"/>
  <c r="BD37" i="5" a="1"/>
  <c r="BD37" i="5" s="1"/>
  <c r="BC37" i="5" a="1"/>
  <c r="BC37" i="5" s="1"/>
  <c r="BI37" i="5" a="1"/>
  <c r="BI37" i="5" s="1"/>
  <c r="BG37" i="5" a="1"/>
  <c r="BG37" i="5" s="1"/>
  <c r="BH37" i="5" a="1"/>
  <c r="BH37" i="5" s="1"/>
  <c r="BJ37" i="5" a="1"/>
  <c r="BJ37" i="5" s="1"/>
  <c r="AZ37" i="5" a="1"/>
  <c r="AZ37" i="5" s="1"/>
  <c r="V35" i="2"/>
  <c r="CS30" i="8"/>
  <c r="CQ31" i="8"/>
  <c r="CU31" i="8" s="1"/>
  <c r="F40" i="8"/>
  <c r="B40" i="4" s="1"/>
  <c r="BP36" i="5" a="1"/>
  <c r="BP36" i="5" s="1"/>
  <c r="J36" i="2" s="1"/>
  <c r="BT32" i="8"/>
  <c r="BX32" i="8"/>
  <c r="CD32" i="8" s="1"/>
  <c r="D33" i="9"/>
  <c r="O41" i="1"/>
  <c r="CE31" i="8"/>
  <c r="CX31" i="8" s="1"/>
  <c r="CY31" i="8" s="1"/>
  <c r="BO32" i="8"/>
  <c r="BP32" i="8"/>
  <c r="BM32" i="8"/>
  <c r="BN32" i="8"/>
  <c r="BK32" i="8"/>
  <c r="BL32" i="8"/>
  <c r="BJ32" i="8"/>
  <c r="AC32" i="10"/>
  <c r="X32" i="10" s="1"/>
  <c r="AS36" i="5"/>
  <c r="AK36" i="11"/>
  <c r="DF35" i="5"/>
  <c r="DE35" i="5"/>
  <c r="AQ31" i="5"/>
  <c r="AH36" i="11"/>
  <c r="DB35" i="5"/>
  <c r="DH35" i="5"/>
  <c r="AJ36" i="1"/>
  <c r="AF34" i="1"/>
  <c r="BS37" i="14" a="1"/>
  <c r="BS37" i="14" s="1"/>
  <c r="X37" i="14" a="1"/>
  <c r="X37" i="14" s="1"/>
  <c r="BD37" i="14" a="1"/>
  <c r="BD37" i="14" s="1"/>
  <c r="BA37" i="14" a="1"/>
  <c r="BA37" i="14" s="1"/>
  <c r="BO37" i="14" a="1"/>
  <c r="BO37" i="14" s="1"/>
  <c r="AF37" i="14" a="1"/>
  <c r="AF37" i="14" s="1"/>
  <c r="AP37" i="14" a="1"/>
  <c r="AP37" i="14" s="1"/>
  <c r="AW37" i="14" a="1"/>
  <c r="AW37" i="14" s="1"/>
  <c r="Q37" i="14" a="1"/>
  <c r="Q37" i="14" s="1"/>
  <c r="BT37" i="14" a="1"/>
  <c r="BT37" i="14" s="1"/>
  <c r="O37" i="14" a="1"/>
  <c r="O37" i="14" s="1"/>
  <c r="BQ37" i="14" a="1"/>
  <c r="BQ37" i="14" s="1"/>
  <c r="AC37" i="14" a="1"/>
  <c r="AC37" i="14" s="1"/>
  <c r="AN37" i="14" a="1"/>
  <c r="AN37" i="14" s="1"/>
  <c r="BF37" i="14" a="1"/>
  <c r="BF37" i="14" s="1"/>
  <c r="AH37" i="14" a="1"/>
  <c r="AH37" i="14" s="1"/>
  <c r="BU37" i="14" a="1"/>
  <c r="BU37" i="14" s="1"/>
  <c r="BK37" i="14" a="1"/>
  <c r="BK37" i="14" s="1"/>
  <c r="BB37" i="14" a="1"/>
  <c r="BB37" i="14" s="1"/>
  <c r="AS37" i="14" a="1"/>
  <c r="AS37" i="14" s="1"/>
  <c r="AJ37" i="14" a="1"/>
  <c r="AJ37" i="14" s="1"/>
  <c r="AB37" i="14" a="1"/>
  <c r="AB37" i="14" s="1"/>
  <c r="AI37" i="14" a="1"/>
  <c r="AI37" i="14" s="1"/>
  <c r="BN37" i="14" a="1"/>
  <c r="BN37" i="14" s="1"/>
  <c r="AO37" i="14" a="1"/>
  <c r="AO37" i="14" s="1"/>
  <c r="AU37" i="14" a="1"/>
  <c r="AU37" i="14" s="1"/>
  <c r="BR37" i="14" a="1"/>
  <c r="BR37" i="14" s="1"/>
  <c r="BI37" i="14" a="1"/>
  <c r="BI37" i="14" s="1"/>
  <c r="BH37" i="14" a="1"/>
  <c r="BH37" i="14" s="1"/>
  <c r="BZ37" i="14" a="1"/>
  <c r="BZ37" i="14" s="1"/>
  <c r="BG37" i="14" a="1"/>
  <c r="BG37" i="14" s="1"/>
  <c r="AX37" i="14" a="1"/>
  <c r="AX37" i="14" s="1"/>
  <c r="BM37" i="14" a="1"/>
  <c r="BM37" i="14" s="1"/>
  <c r="BC37" i="14" a="1"/>
  <c r="BC37" i="14" s="1"/>
  <c r="AT37" i="14" a="1"/>
  <c r="AT37" i="14" s="1"/>
  <c r="BJ37" i="14" a="1"/>
  <c r="BJ37" i="14" s="1"/>
  <c r="AR37" i="14" a="1"/>
  <c r="AR37" i="14" s="1"/>
  <c r="T37" i="14" a="1"/>
  <c r="T37" i="14" s="1"/>
  <c r="AQ37" i="14" a="1"/>
  <c r="AQ37" i="14" s="1"/>
  <c r="R37" i="14" a="1"/>
  <c r="R37" i="14" s="1"/>
  <c r="AL37" i="1" s="1"/>
  <c r="BE37" i="14" a="1"/>
  <c r="BE37" i="14" s="1"/>
  <c r="W37" i="14" a="1"/>
  <c r="W37" i="14" s="1"/>
  <c r="AD37" i="14" a="1"/>
  <c r="AD37" i="14" s="1"/>
  <c r="U37" i="14" a="1"/>
  <c r="U37" i="14" s="1"/>
  <c r="BP37" i="14" a="1"/>
  <c r="BP37" i="14" s="1"/>
  <c r="BX37" i="14" a="1"/>
  <c r="BX37" i="14" s="1"/>
  <c r="AY37" i="14" a="1"/>
  <c r="AY37" i="14" s="1"/>
  <c r="Z37" i="14" a="1"/>
  <c r="Z37" i="14" s="1"/>
  <c r="M37" i="14" a="1"/>
  <c r="M37" i="14" s="1"/>
  <c r="AV37" i="14" a="1"/>
  <c r="AV37" i="14" s="1"/>
  <c r="AE37" i="14" a="1"/>
  <c r="AE37" i="14" s="1"/>
  <c r="V37" i="14" a="1"/>
  <c r="V37" i="14" s="1"/>
  <c r="AK37" i="14" a="1"/>
  <c r="AK37" i="14" s="1"/>
  <c r="AZ37" i="14" a="1"/>
  <c r="AZ37" i="14" s="1"/>
  <c r="BW37" i="14" a="1"/>
  <c r="BW37" i="14" s="1"/>
  <c r="BV37" i="14" a="1"/>
  <c r="BV37" i="14" s="1"/>
  <c r="BL37" i="14" a="1"/>
  <c r="BL37" i="14" s="1"/>
  <c r="Y37" i="14" a="1"/>
  <c r="Y37" i="14" s="1"/>
  <c r="AL37" i="14" a="1"/>
  <c r="AL37" i="14" s="1"/>
  <c r="N37" i="14" a="1"/>
  <c r="N37" i="14" s="1"/>
  <c r="BY37" i="14" a="1"/>
  <c r="BY37" i="14" s="1"/>
  <c r="P37" i="14" a="1"/>
  <c r="P37" i="14" s="1"/>
  <c r="S37" i="14" a="1"/>
  <c r="S37" i="14" s="1"/>
  <c r="AA37" i="14" a="1"/>
  <c r="AA37" i="14" s="1"/>
  <c r="AG37" i="14" a="1"/>
  <c r="AG37" i="14" s="1"/>
  <c r="AM37" i="14" a="1"/>
  <c r="AM37" i="14" s="1"/>
  <c r="W34" i="1"/>
  <c r="K38" i="11"/>
  <c r="A38" i="14"/>
  <c r="CA38" i="14" s="1"/>
  <c r="A38" i="5"/>
  <c r="A38" i="9"/>
  <c r="A38" i="7"/>
  <c r="R38" i="7" s="1"/>
  <c r="A38" i="8"/>
  <c r="A38" i="2"/>
  <c r="AM36" i="1"/>
  <c r="Y34" i="1"/>
  <c r="DJ35" i="5"/>
  <c r="AE37" i="8"/>
  <c r="AU37" i="8"/>
  <c r="BY32" i="8"/>
  <c r="Z31" i="11"/>
  <c r="N32" i="11"/>
  <c r="CA32" i="8"/>
  <c r="BZ32" i="8"/>
  <c r="DB31" i="8"/>
  <c r="N32" i="7"/>
  <c r="CI32" i="8"/>
  <c r="DA32" i="8" s="1"/>
  <c r="CB32" i="8"/>
  <c r="CT32" i="8" s="1"/>
  <c r="CH32" i="8"/>
  <c r="CZ32" i="8" s="1"/>
  <c r="AB31" i="11"/>
  <c r="Q31" i="8" s="1"/>
  <c r="AA31" i="11"/>
  <c r="AK31" i="1" s="1"/>
  <c r="Y31" i="11"/>
  <c r="AH31" i="1" s="1"/>
  <c r="AC31" i="11"/>
  <c r="U31" i="8" s="1"/>
  <c r="Q32" i="7"/>
  <c r="CR31" i="8"/>
  <c r="B35" i="5"/>
  <c r="BY37" i="11"/>
  <c r="AA36" i="7"/>
  <c r="AF36" i="8" s="1"/>
  <c r="K36" i="10"/>
  <c r="I36" i="5"/>
  <c r="D35" i="10"/>
  <c r="F35" i="7"/>
  <c r="L36" i="5"/>
  <c r="G35" i="10"/>
  <c r="I35" i="7"/>
  <c r="M36" i="5"/>
  <c r="H35" i="10"/>
  <c r="J35" i="7"/>
  <c r="H36" i="5"/>
  <c r="C35" i="10"/>
  <c r="E35" i="7"/>
  <c r="G36" i="5"/>
  <c r="D35" i="7"/>
  <c r="B35" i="10"/>
  <c r="J36" i="5"/>
  <c r="DC36" i="5" s="1"/>
  <c r="E35" i="10"/>
  <c r="G35" i="7"/>
  <c r="K36" i="5"/>
  <c r="F35" i="10"/>
  <c r="H35" i="7"/>
  <c r="DD35" i="5"/>
  <c r="DH33" i="8"/>
  <c r="DI33" i="8" s="1"/>
  <c r="CK33" i="8"/>
  <c r="BW33" i="8"/>
  <c r="AC33" i="1" s="1"/>
  <c r="BI33" i="8"/>
  <c r="AJ33" i="5"/>
  <c r="AP33" i="5" s="1"/>
  <c r="BH33" i="8"/>
  <c r="BU33" i="8" s="1"/>
  <c r="AH44" i="9"/>
  <c r="B33" i="9"/>
  <c r="Y33" i="9" s="1"/>
  <c r="B33" i="7"/>
  <c r="A33" i="10"/>
  <c r="AA33" i="10" s="1"/>
  <c r="AC33" i="8"/>
  <c r="BQ33" i="8" s="1"/>
  <c r="E33" i="1"/>
  <c r="BT33" i="5"/>
  <c r="A33" i="11"/>
  <c r="X33" i="8"/>
  <c r="DD33" i="8" s="1"/>
  <c r="AI33" i="5"/>
  <c r="CZ35" i="5"/>
  <c r="C34" i="5"/>
  <c r="F34" i="5" s="1"/>
  <c r="DI35" i="5"/>
  <c r="AB35" i="1"/>
  <c r="C35" i="5"/>
  <c r="DA34" i="5"/>
  <c r="DG34" i="5" s="1" a="1"/>
  <c r="DG34" i="5" s="1"/>
  <c r="AG44" i="9"/>
  <c r="AK44" i="9"/>
  <c r="AE106" i="9"/>
  <c r="B32" i="14"/>
  <c r="N20" i="1"/>
  <c r="S37" i="2"/>
  <c r="N38" i="2"/>
  <c r="R38" i="2"/>
  <c r="Q37" i="2"/>
  <c r="P39" i="2"/>
  <c r="J39" i="10"/>
  <c r="N39" i="5" s="1"/>
  <c r="AQ60" i="9" l="1"/>
  <c r="CM60" i="8" s="1"/>
  <c r="AO33" i="5"/>
  <c r="AM33" i="5"/>
  <c r="AN33" i="5"/>
  <c r="AR33" i="5" s="1"/>
  <c r="AI55" i="9"/>
  <c r="AO55" i="8" s="1"/>
  <c r="AV34" i="5"/>
  <c r="AW34" i="5"/>
  <c r="AI32" i="7"/>
  <c r="CL34" i="8"/>
  <c r="G39" i="8"/>
  <c r="CF38" i="8"/>
  <c r="O38" i="2"/>
  <c r="BN38" i="5" a="1"/>
  <c r="BN38" i="5" s="1"/>
  <c r="AD36" i="1"/>
  <c r="BQ38" i="5" a="1"/>
  <c r="BQ38" i="5" s="1"/>
  <c r="BO38" i="5" a="1"/>
  <c r="BO38" i="5" s="1"/>
  <c r="AM45" i="9"/>
  <c r="BR33" i="8"/>
  <c r="BS33" i="8"/>
  <c r="AZ38" i="5" a="1"/>
  <c r="AZ38" i="5" s="1"/>
  <c r="BJ38" i="5" a="1"/>
  <c r="BJ38" i="5" s="1"/>
  <c r="BH38" i="5" a="1"/>
  <c r="BH38" i="5" s="1"/>
  <c r="BG38" i="5" a="1"/>
  <c r="BG38" i="5" s="1"/>
  <c r="CT38" i="5"/>
  <c r="CR38" i="5"/>
  <c r="CU38" i="5"/>
  <c r="CV38" i="5"/>
  <c r="CQ38" i="5"/>
  <c r="CS38" i="5"/>
  <c r="CW38" i="5"/>
  <c r="AY38" i="5" a="1"/>
  <c r="AY38" i="5" s="1"/>
  <c r="BL38" i="5" a="1"/>
  <c r="BL38" i="5" s="1"/>
  <c r="BI38" i="5" a="1"/>
  <c r="BI38" i="5" s="1"/>
  <c r="BC38" i="5" a="1"/>
  <c r="BC38" i="5" s="1"/>
  <c r="BK38" i="5" a="1"/>
  <c r="BK38" i="5" s="1"/>
  <c r="BD38" i="5" a="1"/>
  <c r="BD38" i="5" s="1"/>
  <c r="BE38" i="5" a="1"/>
  <c r="BE38" i="5" s="1"/>
  <c r="BF38" i="5" a="1"/>
  <c r="BF38" i="5" s="1"/>
  <c r="AE37" i="1" s="1"/>
  <c r="BB38" i="5" a="1"/>
  <c r="BB38" i="5" s="1"/>
  <c r="BA38" i="5" a="1"/>
  <c r="BA38" i="5" s="1"/>
  <c r="BM38" i="5" a="1"/>
  <c r="BM38" i="5" s="1"/>
  <c r="V36" i="2"/>
  <c r="CS31" i="8"/>
  <c r="CE32" i="8"/>
  <c r="CX32" i="8" s="1"/>
  <c r="CY32" i="8" s="1"/>
  <c r="CQ32" i="8"/>
  <c r="CU32" i="8" s="1"/>
  <c r="F41" i="8"/>
  <c r="BP37" i="5" a="1"/>
  <c r="BP37" i="5" s="1"/>
  <c r="J37" i="2" s="1"/>
  <c r="O42" i="1"/>
  <c r="BT33" i="8"/>
  <c r="BO33" i="8"/>
  <c r="BP33" i="8"/>
  <c r="BM33" i="8"/>
  <c r="BN33" i="8"/>
  <c r="BK33" i="8"/>
  <c r="BL33" i="8"/>
  <c r="BJ33" i="8"/>
  <c r="AC33" i="10"/>
  <c r="X33" i="10" s="1"/>
  <c r="AS37" i="5"/>
  <c r="AK37" i="11"/>
  <c r="DF36" i="5"/>
  <c r="DE36" i="5"/>
  <c r="DB36" i="5"/>
  <c r="AM37" i="1"/>
  <c r="AM38" i="14" a="1"/>
  <c r="AM38" i="14" s="1"/>
  <c r="BT38" i="14" a="1"/>
  <c r="BT38" i="14" s="1"/>
  <c r="O38" i="14" a="1"/>
  <c r="O38" i="14" s="1"/>
  <c r="BA38" i="14" a="1"/>
  <c r="BA38" i="14" s="1"/>
  <c r="AJ38" i="14" a="1"/>
  <c r="AJ38" i="14" s="1"/>
  <c r="BP38" i="14" a="1"/>
  <c r="BP38" i="14" s="1"/>
  <c r="AI38" i="14" a="1"/>
  <c r="AI38" i="14" s="1"/>
  <c r="AP38" i="14" a="1"/>
  <c r="AP38" i="14" s="1"/>
  <c r="AO38" i="14" a="1"/>
  <c r="AO38" i="14" s="1"/>
  <c r="BC38" i="14" a="1"/>
  <c r="BC38" i="14" s="1"/>
  <c r="BR38" i="14" a="1"/>
  <c r="BR38" i="14" s="1"/>
  <c r="BD38" i="14" a="1"/>
  <c r="BD38" i="14" s="1"/>
  <c r="AS38" i="14" a="1"/>
  <c r="AS38" i="14" s="1"/>
  <c r="AB38" i="14" a="1"/>
  <c r="AB38" i="14" s="1"/>
  <c r="BO38" i="14" a="1"/>
  <c r="BO38" i="14" s="1"/>
  <c r="AF38" i="14" a="1"/>
  <c r="AF38" i="14" s="1"/>
  <c r="Y38" i="14" a="1"/>
  <c r="Y38" i="14" s="1"/>
  <c r="BK38" i="14" a="1"/>
  <c r="BK38" i="14" s="1"/>
  <c r="AT38" i="14" a="1"/>
  <c r="AT38" i="14" s="1"/>
  <c r="BI38" i="14" a="1"/>
  <c r="BI38" i="14" s="1"/>
  <c r="BZ38" i="14" a="1"/>
  <c r="BZ38" i="14" s="1"/>
  <c r="AN38" i="14" a="1"/>
  <c r="AN38" i="14" s="1"/>
  <c r="S38" i="14" a="1"/>
  <c r="S38" i="14" s="1"/>
  <c r="AA38" i="14" a="1"/>
  <c r="AA38" i="14" s="1"/>
  <c r="R38" i="14" a="1"/>
  <c r="R38" i="14" s="1"/>
  <c r="AL38" i="1" s="1"/>
  <c r="AU38" i="14" a="1"/>
  <c r="AU38" i="14" s="1"/>
  <c r="BJ38" i="14" a="1"/>
  <c r="BJ38" i="14" s="1"/>
  <c r="N38" i="14" a="1"/>
  <c r="N38" i="14" s="1"/>
  <c r="P38" i="14" a="1"/>
  <c r="P38" i="14" s="1"/>
  <c r="T38" i="14" a="1"/>
  <c r="T38" i="14" s="1"/>
  <c r="BN38" i="14" a="1"/>
  <c r="BN38" i="14" s="1"/>
  <c r="BF38" i="14" a="1"/>
  <c r="BF38" i="14" s="1"/>
  <c r="Q38" i="14" a="1"/>
  <c r="Q38" i="14" s="1"/>
  <c r="AE38" i="14" a="1"/>
  <c r="AE38" i="14" s="1"/>
  <c r="AL38" i="14" a="1"/>
  <c r="AL38" i="14" s="1"/>
  <c r="U38" i="14" a="1"/>
  <c r="U38" i="14" s="1"/>
  <c r="BH38" i="14" a="1"/>
  <c r="BH38" i="14" s="1"/>
  <c r="BW38" i="14" a="1"/>
  <c r="BW38" i="14" s="1"/>
  <c r="BL38" i="14" a="1"/>
  <c r="BL38" i="14" s="1"/>
  <c r="AX38" i="14" a="1"/>
  <c r="AX38" i="14" s="1"/>
  <c r="M38" i="14" a="1"/>
  <c r="M38" i="14" s="1"/>
  <c r="W38" i="14" a="1"/>
  <c r="W38" i="14" s="1"/>
  <c r="AD38" i="14" a="1"/>
  <c r="AD38" i="14" s="1"/>
  <c r="AK38" i="14" a="1"/>
  <c r="AK38" i="14" s="1"/>
  <c r="AR38" i="14" a="1"/>
  <c r="AR38" i="14" s="1"/>
  <c r="AQ38" i="14" a="1"/>
  <c r="AQ38" i="14" s="1"/>
  <c r="BV38" i="14" a="1"/>
  <c r="BV38" i="14" s="1"/>
  <c r="BM38" i="14" a="1"/>
  <c r="BM38" i="14" s="1"/>
  <c r="BU38" i="14" a="1"/>
  <c r="BU38" i="14" s="1"/>
  <c r="AV38" i="14" a="1"/>
  <c r="AV38" i="14" s="1"/>
  <c r="X38" i="14" a="1"/>
  <c r="X38" i="14" s="1"/>
  <c r="V38" i="14" a="1"/>
  <c r="V38" i="14" s="1"/>
  <c r="AC38" i="14" a="1"/>
  <c r="AC38" i="14" s="1"/>
  <c r="BY38" i="14" a="1"/>
  <c r="BY38" i="14" s="1"/>
  <c r="AY38" i="14" a="1"/>
  <c r="AY38" i="14" s="1"/>
  <c r="Z38" i="14" a="1"/>
  <c r="Z38" i="14" s="1"/>
  <c r="AW38" i="14" a="1"/>
  <c r="AW38" i="14" s="1"/>
  <c r="AG38" i="14" a="1"/>
  <c r="AG38" i="14" s="1"/>
  <c r="BS38" i="14" a="1"/>
  <c r="BS38" i="14" s="1"/>
  <c r="BB38" i="14" a="1"/>
  <c r="BB38" i="14" s="1"/>
  <c r="BQ38" i="14" a="1"/>
  <c r="BQ38" i="14" s="1"/>
  <c r="BX38" i="14" a="1"/>
  <c r="BX38" i="14" s="1"/>
  <c r="AZ38" i="14" a="1"/>
  <c r="AZ38" i="14" s="1"/>
  <c r="BG38" i="14" a="1"/>
  <c r="BG38" i="14" s="1"/>
  <c r="AH38" i="14" a="1"/>
  <c r="AH38" i="14" s="1"/>
  <c r="BE38" i="14" a="1"/>
  <c r="BE38" i="14" s="1"/>
  <c r="DH36" i="5"/>
  <c r="K39" i="11"/>
  <c r="A39" i="14"/>
  <c r="CA39" i="14" s="1"/>
  <c r="A39" i="5"/>
  <c r="A39" i="9"/>
  <c r="A39" i="7"/>
  <c r="R39" i="7" s="1"/>
  <c r="A39" i="2"/>
  <c r="A39" i="8"/>
  <c r="W35" i="1"/>
  <c r="AJ37" i="1"/>
  <c r="AF35" i="1"/>
  <c r="AH37" i="11"/>
  <c r="Y35" i="1"/>
  <c r="DJ36" i="5"/>
  <c r="AE38" i="8"/>
  <c r="AU38" i="8"/>
  <c r="CR32" i="8"/>
  <c r="DB32" i="8"/>
  <c r="AQ32" i="5"/>
  <c r="F35" i="5"/>
  <c r="BY38" i="11"/>
  <c r="AA37" i="7"/>
  <c r="AF37" i="8" s="1"/>
  <c r="K37" i="10"/>
  <c r="M37" i="5"/>
  <c r="H36" i="10"/>
  <c r="J36" i="7"/>
  <c r="B36" i="5"/>
  <c r="G37" i="5"/>
  <c r="B36" i="10"/>
  <c r="D36" i="7"/>
  <c r="K37" i="5"/>
  <c r="F36" i="10"/>
  <c r="H36" i="7"/>
  <c r="DD36" i="5"/>
  <c r="L37" i="5"/>
  <c r="G36" i="10"/>
  <c r="I36" i="7"/>
  <c r="H37" i="5"/>
  <c r="C36" i="10"/>
  <c r="E36" i="7"/>
  <c r="J37" i="5"/>
  <c r="DC37" i="5" s="1"/>
  <c r="E36" i="10"/>
  <c r="G36" i="7"/>
  <c r="I37" i="5"/>
  <c r="D36" i="10"/>
  <c r="F36" i="7"/>
  <c r="CI33" i="8"/>
  <c r="DA33" i="8" s="1"/>
  <c r="D34" i="9"/>
  <c r="DH34" i="8"/>
  <c r="DI34" i="8" s="1"/>
  <c r="CK34" i="8"/>
  <c r="BW34" i="8"/>
  <c r="AC34" i="1" s="1"/>
  <c r="BX33" i="8"/>
  <c r="CE33" i="8" s="1"/>
  <c r="N33" i="7"/>
  <c r="BH34" i="8"/>
  <c r="BU34" i="8" s="1"/>
  <c r="BI34" i="8"/>
  <c r="AH45" i="9"/>
  <c r="AD32" i="11"/>
  <c r="AI32" i="1" s="1"/>
  <c r="Y32" i="11"/>
  <c r="AH32" i="1" s="1"/>
  <c r="Z32" i="11"/>
  <c r="AA32" i="11"/>
  <c r="AK32" i="1" s="1"/>
  <c r="AB32" i="11"/>
  <c r="Q32" i="8" s="1"/>
  <c r="AC32" i="11"/>
  <c r="U32" i="8" s="1"/>
  <c r="N33" i="11"/>
  <c r="Q33" i="7"/>
  <c r="AE33" i="7"/>
  <c r="AF33" i="7" s="1"/>
  <c r="CC33" i="8"/>
  <c r="CV33" i="8" s="1"/>
  <c r="CW33" i="8" s="1"/>
  <c r="BY33" i="8"/>
  <c r="BZ33" i="8"/>
  <c r="CH33" i="8"/>
  <c r="CZ33" i="8" s="1"/>
  <c r="CA33" i="8"/>
  <c r="CB33" i="8"/>
  <c r="CT33" i="8" s="1"/>
  <c r="CZ36" i="5"/>
  <c r="A34" i="10"/>
  <c r="AA34" i="10" s="1"/>
  <c r="B34" i="7"/>
  <c r="E34" i="1"/>
  <c r="X34" i="8"/>
  <c r="DD34" i="8" s="1"/>
  <c r="B34" i="9"/>
  <c r="Y34" i="9" s="1"/>
  <c r="AJ34" i="5"/>
  <c r="AP34" i="5" s="1"/>
  <c r="AI34" i="5"/>
  <c r="A34" i="11"/>
  <c r="AC34" i="8"/>
  <c r="BQ34" i="8" s="1"/>
  <c r="BT34" i="5"/>
  <c r="DA35" i="5"/>
  <c r="DG35" i="5" s="1" a="1"/>
  <c r="DG35" i="5" s="1"/>
  <c r="AB36" i="1"/>
  <c r="DI36" i="5"/>
  <c r="AG45" i="9"/>
  <c r="AK45" i="9"/>
  <c r="AE107" i="9"/>
  <c r="N21" i="1"/>
  <c r="S38" i="2"/>
  <c r="N39" i="2"/>
  <c r="R39" i="2"/>
  <c r="Q38" i="2"/>
  <c r="J40" i="10"/>
  <c r="N40" i="5" s="1"/>
  <c r="P40" i="2"/>
  <c r="AQ61" i="9" l="1"/>
  <c r="CM61" i="8" s="1"/>
  <c r="AO34" i="5"/>
  <c r="AM34" i="5"/>
  <c r="AN34" i="5"/>
  <c r="AR34" i="5" s="1"/>
  <c r="AI56" i="9"/>
  <c r="AO56" i="8" s="1"/>
  <c r="AV35" i="5"/>
  <c r="AW35" i="5"/>
  <c r="AG33" i="7"/>
  <c r="AI33" i="7" s="1"/>
  <c r="CL35" i="8"/>
  <c r="G40" i="8"/>
  <c r="B41" i="4" s="1"/>
  <c r="CF39" i="8"/>
  <c r="O39" i="2"/>
  <c r="AD37" i="1"/>
  <c r="AM46" i="9"/>
  <c r="BR34" i="8"/>
  <c r="BS34" i="8"/>
  <c r="BM39" i="5" a="1"/>
  <c r="BM39" i="5" s="1"/>
  <c r="BA39" i="5" a="1"/>
  <c r="BA39" i="5" s="1"/>
  <c r="BB39" i="5" a="1"/>
  <c r="BB39" i="5" s="1"/>
  <c r="CQ39" i="5"/>
  <c r="CR39" i="5"/>
  <c r="CS39" i="5"/>
  <c r="CT39" i="5"/>
  <c r="CV39" i="5"/>
  <c r="CW39" i="5"/>
  <c r="CU39" i="5"/>
  <c r="AY39" i="5" a="1"/>
  <c r="AY39" i="5" s="1"/>
  <c r="BL39" i="5" a="1"/>
  <c r="BL39" i="5" s="1"/>
  <c r="BF39" i="5" a="1"/>
  <c r="BF39" i="5" s="1"/>
  <c r="AE38" i="1" s="1"/>
  <c r="BG39" i="5" a="1"/>
  <c r="BG39" i="5" s="1"/>
  <c r="BE39" i="5" a="1"/>
  <c r="BE39" i="5" s="1"/>
  <c r="BQ39" i="5" a="1"/>
  <c r="BQ39" i="5" s="1"/>
  <c r="BD39" i="5" a="1"/>
  <c r="BD39" i="5" s="1"/>
  <c r="BH39" i="5" a="1"/>
  <c r="BH39" i="5" s="1"/>
  <c r="BO39" i="5" a="1"/>
  <c r="BO39" i="5" s="1"/>
  <c r="BJ39" i="5" a="1"/>
  <c r="BJ39" i="5" s="1"/>
  <c r="BK39" i="5" a="1"/>
  <c r="BK39" i="5" s="1"/>
  <c r="AZ39" i="5" a="1"/>
  <c r="AZ39" i="5" s="1"/>
  <c r="BC39" i="5" a="1"/>
  <c r="BC39" i="5" s="1"/>
  <c r="BI39" i="5" a="1"/>
  <c r="BI39" i="5" s="1"/>
  <c r="BN39" i="5" a="1"/>
  <c r="BN39" i="5" s="1"/>
  <c r="V37" i="2"/>
  <c r="CS32" i="8"/>
  <c r="F42" i="8"/>
  <c r="BP38" i="5" a="1"/>
  <c r="BP38" i="5" s="1"/>
  <c r="J38" i="2" s="1"/>
  <c r="DH35" i="8"/>
  <c r="DI35" i="8" s="1"/>
  <c r="O43" i="1"/>
  <c r="BX34" i="8"/>
  <c r="CD34" i="8" s="1"/>
  <c r="BT34" i="8"/>
  <c r="BO34" i="8"/>
  <c r="BP34" i="8"/>
  <c r="BM34" i="8"/>
  <c r="BN34" i="8"/>
  <c r="BK34" i="8"/>
  <c r="BL34" i="8"/>
  <c r="BJ34" i="8"/>
  <c r="AC34" i="10"/>
  <c r="X34" i="10" s="1"/>
  <c r="AS38" i="5"/>
  <c r="AK38" i="11"/>
  <c r="DF37" i="5"/>
  <c r="AH38" i="11"/>
  <c r="DB37" i="5"/>
  <c r="DE37" i="5"/>
  <c r="K40" i="11"/>
  <c r="A40" i="14"/>
  <c r="CA40" i="14" s="1"/>
  <c r="A40" i="8"/>
  <c r="A40" i="2"/>
  <c r="A40" i="7"/>
  <c r="R40" i="7" s="1"/>
  <c r="A40" i="5"/>
  <c r="A40" i="9"/>
  <c r="W36" i="1"/>
  <c r="AE39" i="8"/>
  <c r="AU39" i="8"/>
  <c r="DH37" i="5"/>
  <c r="AM38" i="1"/>
  <c r="AF36" i="1"/>
  <c r="AM39" i="14" a="1"/>
  <c r="AM39" i="14" s="1"/>
  <c r="AT39" i="14" a="1"/>
  <c r="AT39" i="14" s="1"/>
  <c r="BD39" i="14" a="1"/>
  <c r="BD39" i="14" s="1"/>
  <c r="AS39" i="14" a="1"/>
  <c r="AS39" i="14" s="1"/>
  <c r="BH39" i="14" a="1"/>
  <c r="BH39" i="14" s="1"/>
  <c r="AA39" i="14" a="1"/>
  <c r="AA39" i="14" s="1"/>
  <c r="BL39" i="14" a="1"/>
  <c r="BL39" i="14" s="1"/>
  <c r="AG39" i="14" a="1"/>
  <c r="AG39" i="14" s="1"/>
  <c r="BC39" i="14" a="1"/>
  <c r="BC39" i="14" s="1"/>
  <c r="AD39" i="14" a="1"/>
  <c r="AD39" i="14" s="1"/>
  <c r="BA39" i="14" a="1"/>
  <c r="BA39" i="14" s="1"/>
  <c r="BX39" i="14" a="1"/>
  <c r="BX39" i="14" s="1"/>
  <c r="AR39" i="14" a="1"/>
  <c r="AR39" i="14" s="1"/>
  <c r="AF39" i="14" a="1"/>
  <c r="AF39" i="14" s="1"/>
  <c r="BV39" i="14" a="1"/>
  <c r="BV39" i="14" s="1"/>
  <c r="BE39" i="14" a="1"/>
  <c r="BE39" i="14" s="1"/>
  <c r="BK39" i="14" a="1"/>
  <c r="BK39" i="14" s="1"/>
  <c r="BJ39" i="14" a="1"/>
  <c r="BJ39" i="14" s="1"/>
  <c r="AK39" i="14" a="1"/>
  <c r="AK39" i="14" s="1"/>
  <c r="BQ39" i="14" a="1"/>
  <c r="BQ39" i="14" s="1"/>
  <c r="P39" i="14" a="1"/>
  <c r="P39" i="14" s="1"/>
  <c r="BG39" i="14" a="1"/>
  <c r="BG39" i="14" s="1"/>
  <c r="BU39" i="14" a="1"/>
  <c r="BU39" i="14" s="1"/>
  <c r="AW39" i="14" a="1"/>
  <c r="AW39" i="14" s="1"/>
  <c r="W39" i="14" a="1"/>
  <c r="W39" i="14" s="1"/>
  <c r="N39" i="14" a="1"/>
  <c r="N39" i="14" s="1"/>
  <c r="AC39" i="14" a="1"/>
  <c r="AC39" i="14" s="1"/>
  <c r="BZ39" i="14" a="1"/>
  <c r="BZ39" i="14" s="1"/>
  <c r="BO39" i="14" a="1"/>
  <c r="BO39" i="14" s="1"/>
  <c r="AP39" i="14" a="1"/>
  <c r="AP39" i="14" s="1"/>
  <c r="Z39" i="14" a="1"/>
  <c r="Z39" i="14" s="1"/>
  <c r="AO39" i="14" a="1"/>
  <c r="AO39" i="14" s="1"/>
  <c r="BS39" i="14" a="1"/>
  <c r="BS39" i="14" s="1"/>
  <c r="X39" i="14" a="1"/>
  <c r="X39" i="14" s="1"/>
  <c r="BR39" i="14" a="1"/>
  <c r="BR39" i="14" s="1"/>
  <c r="BP39" i="14" a="1"/>
  <c r="BP39" i="14" s="1"/>
  <c r="AJ39" i="14" a="1"/>
  <c r="AJ39" i="14" s="1"/>
  <c r="S39" i="14" a="1"/>
  <c r="S39" i="14" s="1"/>
  <c r="AH39" i="14" a="1"/>
  <c r="AH39" i="14" s="1"/>
  <c r="R39" i="14" a="1"/>
  <c r="R39" i="14" s="1"/>
  <c r="AL39" i="1" s="1"/>
  <c r="M39" i="14" a="1"/>
  <c r="M39" i="14" s="1"/>
  <c r="AV39" i="14" a="1"/>
  <c r="AV39" i="14" s="1"/>
  <c r="AE39" i="14" a="1"/>
  <c r="AE39" i="14" s="1"/>
  <c r="V39" i="14" a="1"/>
  <c r="V39" i="14" s="1"/>
  <c r="BY39" i="14" a="1"/>
  <c r="BY39" i="14" s="1"/>
  <c r="AZ39" i="14" a="1"/>
  <c r="AZ39" i="14" s="1"/>
  <c r="AQ39" i="14" a="1"/>
  <c r="AQ39" i="14" s="1"/>
  <c r="BM39" i="14" a="1"/>
  <c r="BM39" i="14" s="1"/>
  <c r="AX39" i="14" a="1"/>
  <c r="AX39" i="14" s="1"/>
  <c r="Y39" i="14" a="1"/>
  <c r="Y39" i="14" s="1"/>
  <c r="BT39" i="14" a="1"/>
  <c r="BT39" i="14" s="1"/>
  <c r="O39" i="14" a="1"/>
  <c r="O39" i="14" s="1"/>
  <c r="AL39" i="14" a="1"/>
  <c r="AL39" i="14" s="1"/>
  <c r="U39" i="14" a="1"/>
  <c r="U39" i="14" s="1"/>
  <c r="T39" i="14" a="1"/>
  <c r="T39" i="14" s="1"/>
  <c r="AN39" i="14" a="1"/>
  <c r="AN39" i="14" s="1"/>
  <c r="AI39" i="14" a="1"/>
  <c r="AI39" i="14" s="1"/>
  <c r="BN39" i="14" a="1"/>
  <c r="BN39" i="14" s="1"/>
  <c r="AY39" i="14" a="1"/>
  <c r="AY39" i="14" s="1"/>
  <c r="BF39" i="14" a="1"/>
  <c r="BF39" i="14" s="1"/>
  <c r="Q39" i="14" a="1"/>
  <c r="Q39" i="14" s="1"/>
  <c r="AU39" i="14" a="1"/>
  <c r="AU39" i="14" s="1"/>
  <c r="BB39" i="14" a="1"/>
  <c r="BB39" i="14" s="1"/>
  <c r="BI39" i="14" a="1"/>
  <c r="BI39" i="14" s="1"/>
  <c r="AB39" i="14" a="1"/>
  <c r="AB39" i="14" s="1"/>
  <c r="BW39" i="14" a="1"/>
  <c r="BW39" i="14" s="1"/>
  <c r="Y36" i="1"/>
  <c r="DJ37" i="5"/>
  <c r="AJ38" i="1"/>
  <c r="AJ35" i="5"/>
  <c r="AP35" i="5" s="1"/>
  <c r="A35" i="11"/>
  <c r="N35" i="11" s="1"/>
  <c r="AI35" i="5"/>
  <c r="B35" i="9"/>
  <c r="Y35" i="9" s="1"/>
  <c r="E35" i="1"/>
  <c r="X35" i="8"/>
  <c r="DD35" i="8" s="1"/>
  <c r="A35" i="10"/>
  <c r="AA35" i="10" s="1"/>
  <c r="AC35" i="8"/>
  <c r="BQ35" i="8" s="1"/>
  <c r="BH35" i="8"/>
  <c r="BU35" i="8" s="1"/>
  <c r="CK35" i="8"/>
  <c r="BI35" i="8"/>
  <c r="BW35" i="8"/>
  <c r="B35" i="7"/>
  <c r="AE35" i="7" s="1"/>
  <c r="AF35" i="7" s="1"/>
  <c r="BT35" i="5"/>
  <c r="B37" i="5"/>
  <c r="BY39" i="11"/>
  <c r="K38" i="10"/>
  <c r="AA38" i="7"/>
  <c r="AF38" i="8" s="1"/>
  <c r="H38" i="5"/>
  <c r="C37" i="10"/>
  <c r="E37" i="7"/>
  <c r="I38" i="5"/>
  <c r="D37" i="10"/>
  <c r="F37" i="7"/>
  <c r="G38" i="5"/>
  <c r="D37" i="7"/>
  <c r="B37" i="10"/>
  <c r="L38" i="5"/>
  <c r="G37" i="10"/>
  <c r="I37" i="7"/>
  <c r="J38" i="5"/>
  <c r="DC38" i="5" s="1"/>
  <c r="E37" i="10"/>
  <c r="G37" i="7"/>
  <c r="K38" i="5"/>
  <c r="F37" i="10"/>
  <c r="H37" i="7"/>
  <c r="DD37" i="5"/>
  <c r="M38" i="5"/>
  <c r="H37" i="10"/>
  <c r="J37" i="7"/>
  <c r="CQ33" i="8"/>
  <c r="CU33" i="8" s="1"/>
  <c r="DB33" i="8"/>
  <c r="D35" i="9"/>
  <c r="CI34" i="8"/>
  <c r="DA34" i="8" s="1"/>
  <c r="AQ33" i="5"/>
  <c r="CD33" i="8"/>
  <c r="N34" i="7"/>
  <c r="AH46" i="9"/>
  <c r="CR33" i="8"/>
  <c r="B33" i="14"/>
  <c r="C36" i="5"/>
  <c r="F36" i="5" s="1"/>
  <c r="CB34" i="8"/>
  <c r="CT34" i="8" s="1"/>
  <c r="BY34" i="8"/>
  <c r="CH34" i="8"/>
  <c r="CZ34" i="8" s="1"/>
  <c r="BZ34" i="8"/>
  <c r="CC34" i="8"/>
  <c r="CV34" i="8" s="1"/>
  <c r="CW34" i="8" s="1"/>
  <c r="CA34" i="8"/>
  <c r="CZ37" i="5"/>
  <c r="AB33" i="11"/>
  <c r="Q33" i="8" s="1"/>
  <c r="AC33" i="11"/>
  <c r="U33" i="8" s="1"/>
  <c r="AD33" i="11"/>
  <c r="AI33" i="1" s="1"/>
  <c r="N34" i="11"/>
  <c r="Z33" i="11"/>
  <c r="AA33" i="11"/>
  <c r="AK33" i="1" s="1"/>
  <c r="Y33" i="11"/>
  <c r="AH33" i="1" s="1"/>
  <c r="AE34" i="7"/>
  <c r="AF34" i="7" s="1"/>
  <c r="Q34" i="7"/>
  <c r="AB37" i="1"/>
  <c r="DI37" i="5"/>
  <c r="C37" i="5"/>
  <c r="DA36" i="5"/>
  <c r="DG36" i="5" s="1" a="1"/>
  <c r="DG36" i="5" s="1"/>
  <c r="AG46" i="9"/>
  <c r="AK46" i="9"/>
  <c r="AE108" i="9"/>
  <c r="N22" i="1"/>
  <c r="S39" i="2"/>
  <c r="N40" i="2"/>
  <c r="R40" i="2"/>
  <c r="Q39" i="2"/>
  <c r="P41" i="2"/>
  <c r="J41" i="10"/>
  <c r="N41" i="5" s="1"/>
  <c r="AQ62" i="9" l="1"/>
  <c r="CM62" i="8" s="1"/>
  <c r="AO35" i="5"/>
  <c r="AM35" i="5"/>
  <c r="AN35" i="5"/>
  <c r="AR35" i="5" s="1"/>
  <c r="AI57" i="9"/>
  <c r="AO57" i="8" s="1"/>
  <c r="AV36" i="5"/>
  <c r="AW36" i="5"/>
  <c r="AG35" i="7"/>
  <c r="AG34" i="7"/>
  <c r="AI34" i="7" s="1"/>
  <c r="CL36" i="8"/>
  <c r="CB35" i="8"/>
  <c r="CT35" i="8" s="1"/>
  <c r="AC35" i="1"/>
  <c r="AI58" i="9"/>
  <c r="AO58" i="8" s="1"/>
  <c r="G41" i="8"/>
  <c r="CF40" i="8"/>
  <c r="O40" i="2"/>
  <c r="BF40" i="5" a="1"/>
  <c r="BF40" i="5" s="1"/>
  <c r="BQ40" i="5" a="1"/>
  <c r="BQ40" i="5" s="1"/>
  <c r="E69" i="4" s="1"/>
  <c r="AM47" i="9"/>
  <c r="BR35" i="8"/>
  <c r="BS35" i="8"/>
  <c r="AD38" i="1"/>
  <c r="CS40" i="5"/>
  <c r="CV40" i="5"/>
  <c r="CU40" i="5"/>
  <c r="CT40" i="5"/>
  <c r="CR40" i="5"/>
  <c r="CQ40" i="5"/>
  <c r="CW40" i="5"/>
  <c r="AY40" i="5" a="1"/>
  <c r="AY40" i="5" s="1"/>
  <c r="E51" i="4" s="1"/>
  <c r="BL40" i="5" a="1"/>
  <c r="BL40" i="5" s="1"/>
  <c r="E64" i="4" s="1"/>
  <c r="BE40" i="5" a="1"/>
  <c r="BE40" i="5" s="1"/>
  <c r="E57" i="4" s="1"/>
  <c r="BG40" i="5" a="1"/>
  <c r="BG40" i="5" s="1"/>
  <c r="E59" i="4" s="1"/>
  <c r="BN40" i="5" a="1"/>
  <c r="BN40" i="5" s="1"/>
  <c r="E66" i="4" s="1"/>
  <c r="BI40" i="5" a="1"/>
  <c r="BI40" i="5" s="1"/>
  <c r="E62" i="4" s="1"/>
  <c r="BC40" i="5" a="1"/>
  <c r="BC40" i="5" s="1"/>
  <c r="E55" i="4" s="1"/>
  <c r="AZ40" i="5" a="1"/>
  <c r="AZ40" i="5" s="1"/>
  <c r="E52" i="4" s="1"/>
  <c r="BK40" i="5" a="1"/>
  <c r="BK40" i="5" s="1"/>
  <c r="E63" i="4" s="1"/>
  <c r="BJ40" i="5" a="1"/>
  <c r="BJ40" i="5" s="1"/>
  <c r="E60" i="4" s="1"/>
  <c r="BO40" i="5" a="1"/>
  <c r="BO40" i="5" s="1"/>
  <c r="E67" i="4" s="1"/>
  <c r="BB40" i="5" a="1"/>
  <c r="BB40" i="5" s="1"/>
  <c r="E54" i="4" s="1"/>
  <c r="BH40" i="5" a="1"/>
  <c r="BH40" i="5" s="1"/>
  <c r="E61" i="4" s="1"/>
  <c r="BA40" i="5" a="1"/>
  <c r="BA40" i="5" s="1"/>
  <c r="E53" i="4" s="1"/>
  <c r="BD40" i="5" a="1"/>
  <c r="BD40" i="5" s="1"/>
  <c r="E56" i="4" s="1"/>
  <c r="BM40" i="5" a="1"/>
  <c r="BM40" i="5" s="1"/>
  <c r="E65" i="4" s="1"/>
  <c r="V38" i="2"/>
  <c r="AT39" i="5"/>
  <c r="CI35" i="8"/>
  <c r="DA35" i="8" s="1"/>
  <c r="CX33" i="8"/>
  <c r="CY33" i="8" s="1"/>
  <c r="F43" i="8"/>
  <c r="BP39" i="5" a="1"/>
  <c r="BP39" i="5" s="1"/>
  <c r="J39" i="2" s="1"/>
  <c r="O44" i="1"/>
  <c r="CE34" i="8"/>
  <c r="CX34" i="8" s="1"/>
  <c r="CY34" i="8" s="1"/>
  <c r="BT35" i="8"/>
  <c r="BO35" i="8"/>
  <c r="BP35" i="8"/>
  <c r="BM35" i="8"/>
  <c r="BN35" i="8"/>
  <c r="BK35" i="8"/>
  <c r="BL35" i="8"/>
  <c r="BJ35" i="8"/>
  <c r="AC35" i="10"/>
  <c r="X35" i="10" s="1"/>
  <c r="AK39" i="11"/>
  <c r="AS39" i="5"/>
  <c r="BX35" i="8"/>
  <c r="CE35" i="8" s="1"/>
  <c r="DB38" i="5"/>
  <c r="AM39" i="1"/>
  <c r="DE38" i="5"/>
  <c r="DF38" i="5"/>
  <c r="DH38" i="5"/>
  <c r="AH39" i="11"/>
  <c r="AU40" i="8"/>
  <c r="AE40" i="8"/>
  <c r="Y37" i="1"/>
  <c r="DJ38" i="5"/>
  <c r="BS40" i="14" a="1"/>
  <c r="BS40" i="14" s="1"/>
  <c r="BJ40" i="14" a="1"/>
  <c r="BJ40" i="14" s="1"/>
  <c r="AD40" i="14" a="1"/>
  <c r="AD40" i="14" s="1"/>
  <c r="AK40" i="14" a="1"/>
  <c r="AK40" i="14" s="1"/>
  <c r="AJ40" i="14" a="1"/>
  <c r="AJ40" i="14" s="1"/>
  <c r="BG40" i="14" a="1"/>
  <c r="BG40" i="14" s="1"/>
  <c r="AO40" i="14" a="1"/>
  <c r="AO40" i="14" s="1"/>
  <c r="Z40" i="14" a="1"/>
  <c r="Z40" i="14" s="1"/>
  <c r="M40" i="14" a="1"/>
  <c r="M40" i="14" s="1"/>
  <c r="AV40" i="14" a="1"/>
  <c r="AV40" i="14" s="1"/>
  <c r="W40" i="14" a="1"/>
  <c r="W40" i="14" s="1"/>
  <c r="N40" i="14" a="1"/>
  <c r="N40" i="14" s="1"/>
  <c r="AC40" i="14" a="1"/>
  <c r="AC40" i="14" s="1"/>
  <c r="AB40" i="14" a="1"/>
  <c r="AB40" i="14" s="1"/>
  <c r="AQ40" i="14" a="1"/>
  <c r="AQ40" i="14" s="1"/>
  <c r="AP40" i="14" a="1"/>
  <c r="AP40" i="14" s="1"/>
  <c r="AI40" i="14" a="1"/>
  <c r="AI40" i="14" s="1"/>
  <c r="AU40" i="14" a="1"/>
  <c r="AU40" i="14" s="1"/>
  <c r="AT40" i="14" a="1"/>
  <c r="AT40" i="14" s="1"/>
  <c r="BQ40" i="14" a="1"/>
  <c r="BQ40" i="14" s="1"/>
  <c r="P40" i="14" a="1"/>
  <c r="P40" i="14" s="1"/>
  <c r="T40" i="14" a="1"/>
  <c r="T40" i="14" s="1"/>
  <c r="BV40" i="14" a="1"/>
  <c r="BV40" i="14" s="1"/>
  <c r="AH40" i="14" a="1"/>
  <c r="AH40" i="14" s="1"/>
  <c r="BL40" i="14" a="1"/>
  <c r="BL40" i="14" s="1"/>
  <c r="BK40" i="14" a="1"/>
  <c r="BK40" i="14" s="1"/>
  <c r="X40" i="14" a="1"/>
  <c r="X40" i="14" s="1"/>
  <c r="BD40" i="14" a="1"/>
  <c r="BD40" i="14" s="1"/>
  <c r="BH40" i="14" a="1"/>
  <c r="BH40" i="14" s="1"/>
  <c r="BW40" i="14" a="1"/>
  <c r="BW40" i="14" s="1"/>
  <c r="AY40" i="14" a="1"/>
  <c r="AY40" i="14" s="1"/>
  <c r="BF40" i="14" a="1"/>
  <c r="BF40" i="14" s="1"/>
  <c r="BU40" i="14" a="1"/>
  <c r="BU40" i="14" s="1"/>
  <c r="BC40" i="14" a="1"/>
  <c r="BC40" i="14" s="1"/>
  <c r="AM40" i="14" a="1"/>
  <c r="AM40" i="14" s="1"/>
  <c r="U40" i="14" a="1"/>
  <c r="U40" i="14" s="1"/>
  <c r="AZ40" i="14" a="1"/>
  <c r="AZ40" i="14" s="1"/>
  <c r="BX40" i="14" a="1"/>
  <c r="BX40" i="14" s="1"/>
  <c r="BN40" i="14" a="1"/>
  <c r="BN40" i="14" s="1"/>
  <c r="R40" i="14" a="1"/>
  <c r="R40" i="14" s="1"/>
  <c r="AL40" i="1" s="1"/>
  <c r="Y40" i="14" a="1"/>
  <c r="Y40" i="14" s="1"/>
  <c r="AE40" i="14" a="1"/>
  <c r="AE40" i="14" s="1"/>
  <c r="BB40" i="14" a="1"/>
  <c r="BB40" i="14" s="1"/>
  <c r="BI40" i="14" a="1"/>
  <c r="BI40" i="14" s="1"/>
  <c r="AR40" i="14" a="1"/>
  <c r="AR40" i="14" s="1"/>
  <c r="BO40" i="14" a="1"/>
  <c r="BO40" i="14" s="1"/>
  <c r="AF40" i="14" a="1"/>
  <c r="AF40" i="14" s="1"/>
  <c r="BM40" i="14" a="1"/>
  <c r="BM40" i="14" s="1"/>
  <c r="AG40" i="14" a="1"/>
  <c r="AG40" i="14" s="1"/>
  <c r="O40" i="14" a="1"/>
  <c r="O40" i="14" s="1"/>
  <c r="AL40" i="14" a="1"/>
  <c r="AL40" i="14" s="1"/>
  <c r="AS40" i="14" a="1"/>
  <c r="AS40" i="14" s="1"/>
  <c r="BP40" i="14" a="1"/>
  <c r="BP40" i="14" s="1"/>
  <c r="BZ40" i="14" a="1"/>
  <c r="BZ40" i="14" s="1"/>
  <c r="S40" i="14" a="1"/>
  <c r="S40" i="14" s="1"/>
  <c r="AA40" i="14" a="1"/>
  <c r="AA40" i="14" s="1"/>
  <c r="BE40" i="14" a="1"/>
  <c r="BE40" i="14" s="1"/>
  <c r="BY40" i="14" a="1"/>
  <c r="BY40" i="14" s="1"/>
  <c r="AN40" i="14" a="1"/>
  <c r="AN40" i="14" s="1"/>
  <c r="AW40" i="14" a="1"/>
  <c r="AW40" i="14" s="1"/>
  <c r="AX40" i="14" a="1"/>
  <c r="AX40" i="14" s="1"/>
  <c r="BT40" i="14" a="1"/>
  <c r="BT40" i="14" s="1"/>
  <c r="Q40" i="14" a="1"/>
  <c r="Q40" i="14" s="1"/>
  <c r="BR40" i="14" a="1"/>
  <c r="BR40" i="14" s="1"/>
  <c r="V40" i="14" a="1"/>
  <c r="V40" i="14" s="1"/>
  <c r="BA40" i="14" a="1"/>
  <c r="BA40" i="14" s="1"/>
  <c r="AJ39" i="1"/>
  <c r="AF37" i="1"/>
  <c r="W37" i="1"/>
  <c r="K41" i="11"/>
  <c r="A41" i="14"/>
  <c r="CA41" i="14" s="1"/>
  <c r="A41" i="8"/>
  <c r="A41" i="2"/>
  <c r="A41" i="9"/>
  <c r="A41" i="5"/>
  <c r="A41" i="7"/>
  <c r="R41" i="7" s="1"/>
  <c r="AA34" i="11"/>
  <c r="AK34" i="1" s="1"/>
  <c r="AD34" i="11"/>
  <c r="AI34" i="1" s="1"/>
  <c r="CC35" i="8"/>
  <c r="CV35" i="8" s="1"/>
  <c r="CW35" i="8" s="1"/>
  <c r="BY35" i="8"/>
  <c r="BZ35" i="8"/>
  <c r="CH35" i="8"/>
  <c r="CZ35" i="8" s="1"/>
  <c r="AB34" i="11"/>
  <c r="Q34" i="8" s="1"/>
  <c r="D36" i="9"/>
  <c r="AC34" i="11"/>
  <c r="U34" i="8" s="1"/>
  <c r="Y34" i="11"/>
  <c r="AH34" i="1" s="1"/>
  <c r="Z34" i="11"/>
  <c r="N35" i="7"/>
  <c r="Q35" i="7"/>
  <c r="CA35" i="8"/>
  <c r="F37" i="5"/>
  <c r="BY40" i="11"/>
  <c r="K39" i="10"/>
  <c r="AA39" i="7"/>
  <c r="AF39" i="8" s="1"/>
  <c r="J39" i="5"/>
  <c r="DC39" i="5" s="1"/>
  <c r="E38" i="10"/>
  <c r="G38" i="7"/>
  <c r="M39" i="5"/>
  <c r="H38" i="10"/>
  <c r="J38" i="7"/>
  <c r="L39" i="5"/>
  <c r="G38" i="10"/>
  <c r="I38" i="7"/>
  <c r="I39" i="5"/>
  <c r="D38" i="10"/>
  <c r="F38" i="7"/>
  <c r="B38" i="5"/>
  <c r="K39" i="5"/>
  <c r="F38" i="10"/>
  <c r="H38" i="7"/>
  <c r="DD38" i="5"/>
  <c r="G39" i="5"/>
  <c r="D38" i="7"/>
  <c r="B38" i="10"/>
  <c r="H39" i="5"/>
  <c r="C38" i="10"/>
  <c r="E38" i="7"/>
  <c r="CS33" i="8"/>
  <c r="CQ34" i="8"/>
  <c r="CU34" i="8" s="1"/>
  <c r="DB34" i="8"/>
  <c r="DH36" i="8"/>
  <c r="DI36" i="8" s="1"/>
  <c r="CK36" i="8"/>
  <c r="BW36" i="8"/>
  <c r="AC36" i="1" s="1"/>
  <c r="BH36" i="8"/>
  <c r="BU36" i="8" s="1"/>
  <c r="BI36" i="8"/>
  <c r="AH47" i="9"/>
  <c r="B34" i="14"/>
  <c r="CR34" i="8"/>
  <c r="AQ34" i="5"/>
  <c r="CZ38" i="5"/>
  <c r="AI36" i="5"/>
  <c r="BT36" i="5"/>
  <c r="AC36" i="8"/>
  <c r="BQ36" i="8" s="1"/>
  <c r="A36" i="11"/>
  <c r="A36" i="10"/>
  <c r="AA36" i="10" s="1"/>
  <c r="B36" i="7"/>
  <c r="X36" i="8"/>
  <c r="DD36" i="8" s="1"/>
  <c r="E36" i="1"/>
  <c r="B36" i="9"/>
  <c r="Y36" i="9" s="1"/>
  <c r="AJ36" i="5"/>
  <c r="AP36" i="5" s="1"/>
  <c r="DA37" i="5"/>
  <c r="DG37" i="5" s="1" a="1"/>
  <c r="DG37" i="5" s="1"/>
  <c r="AB38" i="1"/>
  <c r="DI38" i="5"/>
  <c r="AG47" i="9"/>
  <c r="AK47" i="9"/>
  <c r="AE109" i="9"/>
  <c r="B35" i="14"/>
  <c r="N23" i="1"/>
  <c r="S40" i="2"/>
  <c r="N41" i="2"/>
  <c r="R41" i="2"/>
  <c r="Q40" i="2"/>
  <c r="J42" i="10"/>
  <c r="N42" i="5" s="1"/>
  <c r="P42" i="2"/>
  <c r="AQ63" i="9" l="1"/>
  <c r="CM63" i="8" s="1"/>
  <c r="AE39" i="1"/>
  <c r="E58" i="4"/>
  <c r="AO36" i="5"/>
  <c r="AM36" i="5"/>
  <c r="AN36" i="5"/>
  <c r="AR36" i="5" s="1"/>
  <c r="AV37" i="5"/>
  <c r="AW37" i="5"/>
  <c r="AI35" i="7"/>
  <c r="CL37" i="8"/>
  <c r="AI59" i="9"/>
  <c r="AO59" i="8" s="1"/>
  <c r="G42" i="8"/>
  <c r="CF41" i="8"/>
  <c r="O41" i="2"/>
  <c r="AT40" i="5"/>
  <c r="BF41" i="5" a="1"/>
  <c r="BF41" i="5" s="1"/>
  <c r="AE40" i="1" s="1"/>
  <c r="AZ41" i="5" a="1"/>
  <c r="AZ41" i="5" s="1"/>
  <c r="AM48" i="9"/>
  <c r="BR36" i="8"/>
  <c r="BS36" i="8"/>
  <c r="AD39" i="1"/>
  <c r="BC41" i="5" a="1"/>
  <c r="BC41" i="5" s="1"/>
  <c r="BI41" i="5" a="1"/>
  <c r="BI41" i="5" s="1"/>
  <c r="BN41" i="5" a="1"/>
  <c r="BN41" i="5" s="1"/>
  <c r="BG41" i="5" a="1"/>
  <c r="BG41" i="5" s="1"/>
  <c r="BM41" i="5" a="1"/>
  <c r="BM41" i="5" s="1"/>
  <c r="BE41" i="5" a="1"/>
  <c r="BE41" i="5" s="1"/>
  <c r="BD41" i="5" a="1"/>
  <c r="BD41" i="5" s="1"/>
  <c r="BA41" i="5" a="1"/>
  <c r="BA41" i="5" s="1"/>
  <c r="BH41" i="5" a="1"/>
  <c r="BH41" i="5" s="1"/>
  <c r="BB41" i="5" a="1"/>
  <c r="BB41" i="5" s="1"/>
  <c r="CQ41" i="5"/>
  <c r="CW41" i="5"/>
  <c r="CR41" i="5"/>
  <c r="CV41" i="5"/>
  <c r="CT41" i="5"/>
  <c r="CU41" i="5"/>
  <c r="CS41" i="5"/>
  <c r="AY41" i="5" a="1"/>
  <c r="AY41" i="5" s="1"/>
  <c r="BL41" i="5" a="1"/>
  <c r="BL41" i="5" s="1"/>
  <c r="BO41" i="5" a="1"/>
  <c r="BO41" i="5" s="1"/>
  <c r="BJ41" i="5" a="1"/>
  <c r="BJ41" i="5" s="1"/>
  <c r="BK41" i="5" a="1"/>
  <c r="BK41" i="5" s="1"/>
  <c r="BQ41" i="5" a="1"/>
  <c r="BQ41" i="5" s="1"/>
  <c r="V39" i="2"/>
  <c r="DB35" i="8"/>
  <c r="CQ35" i="8"/>
  <c r="CU35" i="8" s="1"/>
  <c r="F44" i="8"/>
  <c r="BP40" i="5" a="1"/>
  <c r="BP40" i="5" s="1"/>
  <c r="A37" i="11"/>
  <c r="AD36" i="11" s="1"/>
  <c r="AI36" i="1" s="1"/>
  <c r="O45" i="1"/>
  <c r="BX36" i="8"/>
  <c r="CD36" i="8" s="1"/>
  <c r="BT36" i="8"/>
  <c r="BO36" i="8"/>
  <c r="BP36" i="8"/>
  <c r="BM36" i="8"/>
  <c r="BN36" i="8"/>
  <c r="BK36" i="8"/>
  <c r="BL36" i="8"/>
  <c r="BJ36" i="8"/>
  <c r="AC36" i="10"/>
  <c r="X36" i="10" s="1"/>
  <c r="AK40" i="11"/>
  <c r="AJ40" i="1"/>
  <c r="AS40" i="5"/>
  <c r="CD35" i="8"/>
  <c r="DF39" i="5"/>
  <c r="DE39" i="5"/>
  <c r="DB39" i="5"/>
  <c r="AF38" i="1"/>
  <c r="K42" i="11"/>
  <c r="A42" i="14"/>
  <c r="CA42" i="14" s="1"/>
  <c r="A42" i="5"/>
  <c r="A42" i="8"/>
  <c r="A42" i="9"/>
  <c r="A42" i="2"/>
  <c r="A42" i="7"/>
  <c r="R42" i="7" s="1"/>
  <c r="AU41" i="8"/>
  <c r="AE41" i="8"/>
  <c r="Y38" i="1"/>
  <c r="DJ39" i="5"/>
  <c r="AE41" i="14" a="1"/>
  <c r="AE41" i="14" s="1"/>
  <c r="BB41" i="14" a="1"/>
  <c r="BB41" i="14" s="1"/>
  <c r="BI41" i="14" a="1"/>
  <c r="BI41" i="14" s="1"/>
  <c r="AJ41" i="14" a="1"/>
  <c r="AJ41" i="14" s="1"/>
  <c r="AB41" i="14" a="1"/>
  <c r="AB41" i="14" s="1"/>
  <c r="BN41" i="14" a="1"/>
  <c r="BN41" i="14" s="1"/>
  <c r="AX41" i="14" a="1"/>
  <c r="AX41" i="14" s="1"/>
  <c r="Q41" i="14" a="1"/>
  <c r="Q41" i="14" s="1"/>
  <c r="BS41" i="14" a="1"/>
  <c r="BS41" i="14" s="1"/>
  <c r="BR41" i="14" a="1"/>
  <c r="BR41" i="14" s="1"/>
  <c r="AT41" i="14" a="1"/>
  <c r="AT41" i="14" s="1"/>
  <c r="AK41" i="14" a="1"/>
  <c r="AK41" i="14" s="1"/>
  <c r="BX41" i="14" a="1"/>
  <c r="BX41" i="14" s="1"/>
  <c r="AF41" i="14" a="1"/>
  <c r="AF41" i="14" s="1"/>
  <c r="AQ41" i="14" a="1"/>
  <c r="AQ41" i="14" s="1"/>
  <c r="BF41" i="14" a="1"/>
  <c r="BF41" i="14" s="1"/>
  <c r="BM41" i="14" a="1"/>
  <c r="BM41" i="14" s="1"/>
  <c r="AV41" i="14" a="1"/>
  <c r="AV41" i="14" s="1"/>
  <c r="BJ41" i="14" a="1"/>
  <c r="BJ41" i="14" s="1"/>
  <c r="AD41" i="14" a="1"/>
  <c r="AD41" i="14" s="1"/>
  <c r="N41" i="14" a="1"/>
  <c r="N41" i="14" s="1"/>
  <c r="BH41" i="14" a="1"/>
  <c r="BH41" i="14" s="1"/>
  <c r="BW41" i="14" a="1"/>
  <c r="BW41" i="14" s="1"/>
  <c r="AY41" i="14" a="1"/>
  <c r="AY41" i="14" s="1"/>
  <c r="AW41" i="14" a="1"/>
  <c r="AW41" i="14" s="1"/>
  <c r="BE41" i="14" a="1"/>
  <c r="BE41" i="14" s="1"/>
  <c r="BT41" i="14" a="1"/>
  <c r="BT41" i="14" s="1"/>
  <c r="AL41" i="14" a="1"/>
  <c r="AL41" i="14" s="1"/>
  <c r="BQ41" i="14" a="1"/>
  <c r="BQ41" i="14" s="1"/>
  <c r="P41" i="14" a="1"/>
  <c r="P41" i="14" s="1"/>
  <c r="BO41" i="14" a="1"/>
  <c r="BO41" i="14" s="1"/>
  <c r="AI41" i="14" a="1"/>
  <c r="AI41" i="14" s="1"/>
  <c r="Z41" i="14" a="1"/>
  <c r="Z41" i="14" s="1"/>
  <c r="BU41" i="14" a="1"/>
  <c r="BU41" i="14" s="1"/>
  <c r="BC41" i="14" a="1"/>
  <c r="BC41" i="14" s="1"/>
  <c r="AM41" i="14" a="1"/>
  <c r="AM41" i="14" s="1"/>
  <c r="BA41" i="14" a="1"/>
  <c r="BA41" i="14" s="1"/>
  <c r="BY41" i="14" a="1"/>
  <c r="BY41" i="14" s="1"/>
  <c r="T41" i="14" a="1"/>
  <c r="T41" i="14" s="1"/>
  <c r="AA41" i="14" a="1"/>
  <c r="AA41" i="14" s="1"/>
  <c r="AP41" i="14" a="1"/>
  <c r="AP41" i="14" s="1"/>
  <c r="AO41" i="14" a="1"/>
  <c r="AO41" i="14" s="1"/>
  <c r="BK41" i="14" a="1"/>
  <c r="BK41" i="14" s="1"/>
  <c r="X41" i="14" a="1"/>
  <c r="X41" i="14" s="1"/>
  <c r="AS41" i="14" a="1"/>
  <c r="AS41" i="14" s="1"/>
  <c r="BP41" i="14" a="1"/>
  <c r="BP41" i="14" s="1"/>
  <c r="AN41" i="14" a="1"/>
  <c r="AN41" i="14" s="1"/>
  <c r="S41" i="14" a="1"/>
  <c r="S41" i="14" s="1"/>
  <c r="AH41" i="14" a="1"/>
  <c r="AH41" i="14" s="1"/>
  <c r="Y41" i="14" a="1"/>
  <c r="Y41" i="14" s="1"/>
  <c r="AU41" i="14" a="1"/>
  <c r="AU41" i="14" s="1"/>
  <c r="V41" i="14" a="1"/>
  <c r="V41" i="14" s="1"/>
  <c r="BD41" i="14" a="1"/>
  <c r="BD41" i="14" s="1"/>
  <c r="AC41" i="14" a="1"/>
  <c r="AC41" i="14" s="1"/>
  <c r="BZ41" i="14" a="1"/>
  <c r="BZ41" i="14" s="1"/>
  <c r="BG41" i="14" a="1"/>
  <c r="BG41" i="14" s="1"/>
  <c r="BL41" i="14" a="1"/>
  <c r="BL41" i="14" s="1"/>
  <c r="AG41" i="14" a="1"/>
  <c r="AG41" i="14" s="1"/>
  <c r="O41" i="14" a="1"/>
  <c r="O41" i="14" s="1"/>
  <c r="W41" i="14" a="1"/>
  <c r="W41" i="14" s="1"/>
  <c r="U41" i="14" a="1"/>
  <c r="U41" i="14" s="1"/>
  <c r="AZ41" i="14" a="1"/>
  <c r="AZ41" i="14" s="1"/>
  <c r="AR41" i="14" a="1"/>
  <c r="AR41" i="14" s="1"/>
  <c r="BV41" i="14" a="1"/>
  <c r="BV41" i="14" s="1"/>
  <c r="R41" i="14" a="1"/>
  <c r="R41" i="14" s="1"/>
  <c r="AL41" i="1" s="1"/>
  <c r="M41" i="14" a="1"/>
  <c r="M41" i="14" s="1"/>
  <c r="AM40" i="1"/>
  <c r="DH39" i="5"/>
  <c r="W38" i="1"/>
  <c r="AH40" i="11"/>
  <c r="AQ35" i="5"/>
  <c r="CR35" i="8"/>
  <c r="AI37" i="5"/>
  <c r="B37" i="7"/>
  <c r="AE37" i="7" s="1"/>
  <c r="AF37" i="7" s="1"/>
  <c r="AC37" i="8"/>
  <c r="BQ37" i="8" s="1"/>
  <c r="X37" i="8"/>
  <c r="DD37" i="8" s="1"/>
  <c r="E37" i="1"/>
  <c r="BI37" i="8"/>
  <c r="BW37" i="8"/>
  <c r="BT37" i="5"/>
  <c r="AJ37" i="5"/>
  <c r="AP37" i="5" s="1"/>
  <c r="BH37" i="8"/>
  <c r="BU37" i="8" s="1"/>
  <c r="A37" i="10"/>
  <c r="AA37" i="10" s="1"/>
  <c r="B37" i="9"/>
  <c r="Y37" i="9" s="1"/>
  <c r="CK37" i="8"/>
  <c r="DH37" i="8"/>
  <c r="DI37" i="8" s="1"/>
  <c r="B39" i="5"/>
  <c r="BY41" i="11"/>
  <c r="K40" i="10"/>
  <c r="AA40" i="7"/>
  <c r="AF40" i="8" s="1"/>
  <c r="H40" i="5"/>
  <c r="C39" i="10"/>
  <c r="E39" i="7"/>
  <c r="L40" i="5"/>
  <c r="G39" i="10"/>
  <c r="I39" i="7"/>
  <c r="K40" i="5"/>
  <c r="F39" i="10"/>
  <c r="H39" i="7"/>
  <c r="DD39" i="5"/>
  <c r="B39" i="10"/>
  <c r="G40" i="5"/>
  <c r="D39" i="7"/>
  <c r="M40" i="5"/>
  <c r="H39" i="10"/>
  <c r="J39" i="7"/>
  <c r="I40" i="5"/>
  <c r="D39" i="10"/>
  <c r="F39" i="7"/>
  <c r="J40" i="5"/>
  <c r="E39" i="10"/>
  <c r="G39" i="7"/>
  <c r="CS34" i="8"/>
  <c r="D37" i="9"/>
  <c r="CI36" i="8"/>
  <c r="DA36" i="8" s="1"/>
  <c r="N36" i="7"/>
  <c r="AH48" i="9"/>
  <c r="AC35" i="11"/>
  <c r="U35" i="8" s="1"/>
  <c r="Y35" i="11"/>
  <c r="AH35" i="1" s="1"/>
  <c r="AD35" i="11"/>
  <c r="AI35" i="1" s="1"/>
  <c r="Z35" i="11"/>
  <c r="AA35" i="11"/>
  <c r="AK35" i="1" s="1"/>
  <c r="N36" i="11"/>
  <c r="AB35" i="11"/>
  <c r="Q35" i="8" s="1"/>
  <c r="C38" i="5"/>
  <c r="F38" i="5" s="1"/>
  <c r="CZ39" i="5"/>
  <c r="CC36" i="8"/>
  <c r="CV36" i="8" s="1"/>
  <c r="CW36" i="8" s="1"/>
  <c r="CH36" i="8"/>
  <c r="CZ36" i="8" s="1"/>
  <c r="CA36" i="8"/>
  <c r="CB36" i="8"/>
  <c r="CT36" i="8" s="1"/>
  <c r="BY36" i="8"/>
  <c r="BZ36" i="8"/>
  <c r="AE36" i="7"/>
  <c r="AF36" i="7" s="1"/>
  <c r="Q36" i="7"/>
  <c r="AB39" i="1"/>
  <c r="DI39" i="5"/>
  <c r="C39" i="5"/>
  <c r="DA38" i="5"/>
  <c r="DG38" i="5" s="1" a="1"/>
  <c r="DG38" i="5" s="1"/>
  <c r="AG48" i="9"/>
  <c r="AK48" i="9"/>
  <c r="AE110" i="9"/>
  <c r="N24" i="1"/>
  <c r="S41" i="2"/>
  <c r="N42" i="2"/>
  <c r="R42" i="2"/>
  <c r="Q41" i="2"/>
  <c r="J43" i="10"/>
  <c r="N43" i="5" s="1"/>
  <c r="P43" i="2"/>
  <c r="AQ64" i="9" l="1"/>
  <c r="CM64" i="8" s="1"/>
  <c r="J40" i="2"/>
  <c r="E68" i="4"/>
  <c r="AO37" i="5"/>
  <c r="AM37" i="5"/>
  <c r="AN37" i="5"/>
  <c r="AR37" i="5" s="1"/>
  <c r="AV38" i="5"/>
  <c r="AW38" i="5"/>
  <c r="AG37" i="7"/>
  <c r="AG36" i="7"/>
  <c r="AI36" i="7" s="1"/>
  <c r="CL38" i="8"/>
  <c r="CH37" i="8"/>
  <c r="CZ37" i="8" s="1"/>
  <c r="AC37" i="1"/>
  <c r="AI60" i="9"/>
  <c r="AO60" i="8" s="1"/>
  <c r="G43" i="8"/>
  <c r="CF42" i="8"/>
  <c r="O42" i="2"/>
  <c r="AZ42" i="5" a="1"/>
  <c r="AZ42" i="5" s="1"/>
  <c r="AM49" i="9"/>
  <c r="BR37" i="8"/>
  <c r="BS37" i="8"/>
  <c r="AD40" i="1"/>
  <c r="BB42" i="5" a="1"/>
  <c r="BB42" i="5" s="1"/>
  <c r="BQ42" i="5" a="1"/>
  <c r="BQ42" i="5" s="1"/>
  <c r="BH42" i="5" a="1"/>
  <c r="BH42" i="5" s="1"/>
  <c r="BK42" i="5" a="1"/>
  <c r="BK42" i="5" s="1"/>
  <c r="BA42" i="5" a="1"/>
  <c r="BA42" i="5" s="1"/>
  <c r="BD42" i="5" a="1"/>
  <c r="BD42" i="5" s="1"/>
  <c r="BJ42" i="5" a="1"/>
  <c r="BJ42" i="5" s="1"/>
  <c r="BE42" i="5" a="1"/>
  <c r="BE42" i="5" s="1"/>
  <c r="BO42" i="5" a="1"/>
  <c r="BO42" i="5" s="1"/>
  <c r="BM42" i="5" a="1"/>
  <c r="BM42" i="5" s="1"/>
  <c r="BG42" i="5" a="1"/>
  <c r="BG42" i="5" s="1"/>
  <c r="BN42" i="5" a="1"/>
  <c r="BN42" i="5" s="1"/>
  <c r="CR42" i="5"/>
  <c r="CQ42" i="5"/>
  <c r="CV42" i="5"/>
  <c r="CU42" i="5"/>
  <c r="CT42" i="5"/>
  <c r="CW42" i="5"/>
  <c r="CS42" i="5"/>
  <c r="AY42" i="5" a="1"/>
  <c r="AY42" i="5" s="1"/>
  <c r="BL42" i="5" a="1"/>
  <c r="BL42" i="5" s="1"/>
  <c r="BI42" i="5" a="1"/>
  <c r="BI42" i="5" s="1"/>
  <c r="BC42" i="5" a="1"/>
  <c r="BC42" i="5" s="1"/>
  <c r="BF42" i="5" a="1"/>
  <c r="BF42" i="5" s="1"/>
  <c r="AE41" i="1" s="1"/>
  <c r="V40" i="2"/>
  <c r="Y36" i="11"/>
  <c r="AH36" i="1" s="1"/>
  <c r="CS35" i="8"/>
  <c r="AB36" i="11"/>
  <c r="Q36" i="8" s="1"/>
  <c r="AC36" i="11"/>
  <c r="U36" i="8" s="1"/>
  <c r="AA36" i="11"/>
  <c r="AK36" i="1" s="1"/>
  <c r="Z36" i="11"/>
  <c r="N37" i="11"/>
  <c r="F45" i="8"/>
  <c r="BP41" i="5" a="1"/>
  <c r="BP41" i="5" s="1"/>
  <c r="J41" i="2" s="1"/>
  <c r="O46" i="1"/>
  <c r="CE36" i="8"/>
  <c r="CX36" i="8" s="1"/>
  <c r="CY36" i="8" s="1"/>
  <c r="BT37" i="8"/>
  <c r="BO37" i="8"/>
  <c r="BP37" i="8"/>
  <c r="BM37" i="8"/>
  <c r="BN37" i="8"/>
  <c r="BK37" i="8"/>
  <c r="BL37" i="8"/>
  <c r="BJ37" i="8"/>
  <c r="AC37" i="10"/>
  <c r="X37" i="10" s="1"/>
  <c r="AH41" i="11"/>
  <c r="AK41" i="11"/>
  <c r="AS41" i="5"/>
  <c r="CX35" i="8"/>
  <c r="CY35" i="8" s="1"/>
  <c r="DE40" i="5"/>
  <c r="DB40" i="5"/>
  <c r="AJ41" i="1"/>
  <c r="DF40" i="5"/>
  <c r="K43" i="11"/>
  <c r="A43" i="14"/>
  <c r="CA43" i="14" s="1"/>
  <c r="A43" i="7"/>
  <c r="R43" i="7" s="1"/>
  <c r="A43" i="8"/>
  <c r="A43" i="2"/>
  <c r="A43" i="5"/>
  <c r="A43" i="9"/>
  <c r="AF39" i="1"/>
  <c r="Y39" i="1"/>
  <c r="DJ40" i="5"/>
  <c r="AU42" i="8"/>
  <c r="AE42" i="8"/>
  <c r="W39" i="1"/>
  <c r="BT42" i="14" a="1"/>
  <c r="BT42" i="14" s="1"/>
  <c r="AD42" i="14" a="1"/>
  <c r="AD42" i="14" s="1"/>
  <c r="BD42" i="14" a="1"/>
  <c r="BD42" i="14" s="1"/>
  <c r="BP42" i="14" a="1"/>
  <c r="BP42" i="14" s="1"/>
  <c r="AU42" i="14" a="1"/>
  <c r="AU42" i="14" s="1"/>
  <c r="X42" i="14" a="1"/>
  <c r="X42" i="14" s="1"/>
  <c r="BA42" i="14" a="1"/>
  <c r="BA42" i="14" s="1"/>
  <c r="BX42" i="14" a="1"/>
  <c r="BX42" i="14" s="1"/>
  <c r="W42" i="14" a="1"/>
  <c r="W42" i="14" s="1"/>
  <c r="AV42" i="14" a="1"/>
  <c r="AV42" i="14" s="1"/>
  <c r="AM42" i="14" a="1"/>
  <c r="AM42" i="14" s="1"/>
  <c r="BB42" i="14" a="1"/>
  <c r="BB42" i="14" s="1"/>
  <c r="AC42" i="14" a="1"/>
  <c r="AC42" i="14" s="1"/>
  <c r="BH42" i="14" a="1"/>
  <c r="BH42" i="14" s="1"/>
  <c r="BC42" i="14" a="1"/>
  <c r="BC42" i="14" s="1"/>
  <c r="V42" i="14" a="1"/>
  <c r="V42" i="14" s="1"/>
  <c r="BO42" i="14" a="1"/>
  <c r="BO42" i="14" s="1"/>
  <c r="AI42" i="14" a="1"/>
  <c r="AI42" i="14" s="1"/>
  <c r="BF42" i="14" a="1"/>
  <c r="BF42" i="14" s="1"/>
  <c r="BM42" i="14" a="1"/>
  <c r="BM42" i="14" s="1"/>
  <c r="AG42" i="14" a="1"/>
  <c r="AG42" i="14" s="1"/>
  <c r="O42" i="14" a="1"/>
  <c r="O42" i="14" s="1"/>
  <c r="BQ42" i="14" a="1"/>
  <c r="BQ42" i="14" s="1"/>
  <c r="P42" i="14" a="1"/>
  <c r="P42" i="14" s="1"/>
  <c r="S42" i="14" a="1"/>
  <c r="S42" i="14" s="1"/>
  <c r="AX42" i="14" a="1"/>
  <c r="AX42" i="14" s="1"/>
  <c r="AP42" i="14" a="1"/>
  <c r="AP42" i="14" s="1"/>
  <c r="BJ42" i="14" a="1"/>
  <c r="BJ42" i="14" s="1"/>
  <c r="AK42" i="14" a="1"/>
  <c r="AK42" i="14" s="1"/>
  <c r="BW42" i="14" a="1"/>
  <c r="BW42" i="14" s="1"/>
  <c r="AF42" i="14" a="1"/>
  <c r="AF42" i="14" s="1"/>
  <c r="BU42" i="14" a="1"/>
  <c r="BU42" i="14" s="1"/>
  <c r="BL42" i="14" a="1"/>
  <c r="BL42" i="14" s="1"/>
  <c r="BR42" i="14" a="1"/>
  <c r="BR42" i="14" s="1"/>
  <c r="BZ42" i="14" a="1"/>
  <c r="BZ42" i="14" s="1"/>
  <c r="AZ42" i="14" a="1"/>
  <c r="AZ42" i="14" s="1"/>
  <c r="BV42" i="14" a="1"/>
  <c r="BV42" i="14" s="1"/>
  <c r="Z42" i="14" a="1"/>
  <c r="Z42" i="14" s="1"/>
  <c r="AO42" i="14" a="1"/>
  <c r="AO42" i="14" s="1"/>
  <c r="AT42" i="14" a="1"/>
  <c r="AT42" i="14" s="1"/>
  <c r="AR42" i="14" a="1"/>
  <c r="AR42" i="14" s="1"/>
  <c r="AJ42" i="14" a="1"/>
  <c r="AJ42" i="14" s="1"/>
  <c r="AQ42" i="14" a="1"/>
  <c r="AQ42" i="14" s="1"/>
  <c r="BE42" i="14" a="1"/>
  <c r="BE42" i="14" s="1"/>
  <c r="Y42" i="14" a="1"/>
  <c r="Y42" i="14" s="1"/>
  <c r="BS42" i="14" a="1"/>
  <c r="BS42" i="14" s="1"/>
  <c r="AL42" i="14" a="1"/>
  <c r="AL42" i="14" s="1"/>
  <c r="BI42" i="14" a="1"/>
  <c r="BI42" i="14" s="1"/>
  <c r="BY42" i="14" a="1"/>
  <c r="BY42" i="14" s="1"/>
  <c r="BG42" i="14" a="1"/>
  <c r="BG42" i="14" s="1"/>
  <c r="AW42" i="14" a="1"/>
  <c r="AW42" i="14" s="1"/>
  <c r="R42" i="14" a="1"/>
  <c r="R42" i="14" s="1"/>
  <c r="AL42" i="1" s="1"/>
  <c r="BK42" i="14" a="1"/>
  <c r="BK42" i="14" s="1"/>
  <c r="N42" i="14" a="1"/>
  <c r="N42" i="14" s="1"/>
  <c r="AB42" i="14" a="1"/>
  <c r="AB42" i="14" s="1"/>
  <c r="T42" i="14" a="1"/>
  <c r="T42" i="14" s="1"/>
  <c r="AY42" i="14" a="1"/>
  <c r="AY42" i="14" s="1"/>
  <c r="BN42" i="14" a="1"/>
  <c r="BN42" i="14" s="1"/>
  <c r="M42" i="14" a="1"/>
  <c r="M42" i="14" s="1"/>
  <c r="AE42" i="14" a="1"/>
  <c r="AE42" i="14" s="1"/>
  <c r="AS42" i="14" a="1"/>
  <c r="AS42" i="14" s="1"/>
  <c r="U42" i="14" a="1"/>
  <c r="U42" i="14" s="1"/>
  <c r="AN42" i="14" a="1"/>
  <c r="AN42" i="14" s="1"/>
  <c r="AA42" i="14" a="1"/>
  <c r="AA42" i="14" s="1"/>
  <c r="AH42" i="14" a="1"/>
  <c r="AH42" i="14" s="1"/>
  <c r="Q42" i="14" a="1"/>
  <c r="Q42" i="14" s="1"/>
  <c r="DH40" i="5"/>
  <c r="AM41" i="1"/>
  <c r="CB37" i="8"/>
  <c r="CT37" i="8" s="1"/>
  <c r="BZ37" i="8"/>
  <c r="CC37" i="8"/>
  <c r="CV37" i="8" s="1"/>
  <c r="CW37" i="8" s="1"/>
  <c r="CA37" i="8"/>
  <c r="B37" i="14"/>
  <c r="BY37" i="8"/>
  <c r="Q37" i="7"/>
  <c r="N37" i="7"/>
  <c r="BX37" i="8"/>
  <c r="CD37" i="8" s="1"/>
  <c r="D38" i="9"/>
  <c r="CI37" i="8"/>
  <c r="DA37" i="8" s="1"/>
  <c r="F39" i="5"/>
  <c r="B40" i="5"/>
  <c r="BY42" i="11"/>
  <c r="K41" i="10"/>
  <c r="AA41" i="7"/>
  <c r="AF41" i="8" s="1"/>
  <c r="M41" i="5"/>
  <c r="H40" i="10"/>
  <c r="J40" i="7"/>
  <c r="K41" i="5"/>
  <c r="F40" i="10"/>
  <c r="H40" i="7"/>
  <c r="DD40" i="5"/>
  <c r="J41" i="5"/>
  <c r="E40" i="10"/>
  <c r="G40" i="7"/>
  <c r="B40" i="10"/>
  <c r="D40" i="7"/>
  <c r="G41" i="5"/>
  <c r="L41" i="5"/>
  <c r="G40" i="10"/>
  <c r="I40" i="7"/>
  <c r="DC40" i="5"/>
  <c r="I41" i="5"/>
  <c r="D40" i="10"/>
  <c r="F40" i="7"/>
  <c r="H41" i="5"/>
  <c r="C40" i="10"/>
  <c r="E40" i="7"/>
  <c r="DB36" i="8"/>
  <c r="CQ36" i="8"/>
  <c r="CU36" i="8" s="1"/>
  <c r="DH38" i="8"/>
  <c r="DI38" i="8" s="1"/>
  <c r="CK38" i="8"/>
  <c r="BW38" i="8"/>
  <c r="AC38" i="1" s="1"/>
  <c r="BH38" i="8"/>
  <c r="BI38" i="8"/>
  <c r="AH49" i="9"/>
  <c r="CR36" i="8"/>
  <c r="AQ36" i="5"/>
  <c r="CZ40" i="5"/>
  <c r="X38" i="8"/>
  <c r="DD38" i="8" s="1"/>
  <c r="E38" i="1"/>
  <c r="AI38" i="5"/>
  <c r="B38" i="9"/>
  <c r="Y38" i="9" s="1"/>
  <c r="A38" i="11"/>
  <c r="AC38" i="8"/>
  <c r="BQ38" i="8" s="1"/>
  <c r="BT38" i="5"/>
  <c r="AJ38" i="5"/>
  <c r="AP38" i="5" s="1"/>
  <c r="A38" i="10"/>
  <c r="AA38" i="10" s="1"/>
  <c r="B38" i="7"/>
  <c r="C40" i="5"/>
  <c r="DA39" i="5"/>
  <c r="DG39" i="5" s="1" a="1"/>
  <c r="DG39" i="5" s="1"/>
  <c r="AB40" i="1"/>
  <c r="DI40" i="5"/>
  <c r="AG49" i="9"/>
  <c r="AK49" i="9"/>
  <c r="AE111" i="9"/>
  <c r="N25" i="1"/>
  <c r="S42" i="2"/>
  <c r="N43" i="2"/>
  <c r="R43" i="2"/>
  <c r="Q42" i="2"/>
  <c r="P44" i="2"/>
  <c r="J44" i="10"/>
  <c r="N44" i="5" s="1"/>
  <c r="AQ65" i="9" l="1"/>
  <c r="CM65" i="8" s="1"/>
  <c r="AO38" i="5"/>
  <c r="AM38" i="5"/>
  <c r="AN38" i="5"/>
  <c r="AI37" i="7"/>
  <c r="AV39" i="5"/>
  <c r="AW39" i="5"/>
  <c r="CL39" i="8"/>
  <c r="DB37" i="8"/>
  <c r="AI61" i="9"/>
  <c r="AO61" i="8" s="1"/>
  <c r="G44" i="8"/>
  <c r="CF43" i="8"/>
  <c r="O43" i="2"/>
  <c r="AM50" i="9"/>
  <c r="BR38" i="8"/>
  <c r="BS38" i="8"/>
  <c r="AD41" i="1"/>
  <c r="BN43" i="5" a="1"/>
  <c r="BN43" i="5" s="1"/>
  <c r="BG43" i="5" a="1"/>
  <c r="BG43" i="5" s="1"/>
  <c r="BM43" i="5" a="1"/>
  <c r="BM43" i="5" s="1"/>
  <c r="BO43" i="5" a="1"/>
  <c r="BO43" i="5" s="1"/>
  <c r="BF43" i="5" a="1"/>
  <c r="BF43" i="5" s="1"/>
  <c r="AE42" i="1" s="1"/>
  <c r="BE43" i="5" a="1"/>
  <c r="BE43" i="5" s="1"/>
  <c r="BC43" i="5" a="1"/>
  <c r="BC43" i="5" s="1"/>
  <c r="BJ43" i="5" a="1"/>
  <c r="BJ43" i="5" s="1"/>
  <c r="CR43" i="5"/>
  <c r="CQ43" i="5"/>
  <c r="CT43" i="5"/>
  <c r="CV43" i="5"/>
  <c r="CW43" i="5"/>
  <c r="CU43" i="5"/>
  <c r="CS43" i="5"/>
  <c r="AY43" i="5" a="1"/>
  <c r="AY43" i="5" s="1"/>
  <c r="BL43" i="5" a="1"/>
  <c r="BL43" i="5" s="1"/>
  <c r="BI43" i="5" a="1"/>
  <c r="BI43" i="5" s="1"/>
  <c r="BD43" i="5" a="1"/>
  <c r="BD43" i="5" s="1"/>
  <c r="BA43" i="5" a="1"/>
  <c r="BA43" i="5" s="1"/>
  <c r="BK43" i="5" a="1"/>
  <c r="BK43" i="5" s="1"/>
  <c r="BH43" i="5" a="1"/>
  <c r="BH43" i="5" s="1"/>
  <c r="BQ43" i="5" a="1"/>
  <c r="BQ43" i="5" s="1"/>
  <c r="BB43" i="5" a="1"/>
  <c r="BB43" i="5" s="1"/>
  <c r="AZ43" i="5" a="1"/>
  <c r="AZ43" i="5" s="1"/>
  <c r="V41" i="2"/>
  <c r="CQ37" i="8"/>
  <c r="CU37" i="8" s="1"/>
  <c r="F46" i="8"/>
  <c r="BP42" i="5" a="1"/>
  <c r="BP42" i="5" s="1"/>
  <c r="J42" i="2" s="1"/>
  <c r="BH39" i="8"/>
  <c r="BU39" i="8" s="1"/>
  <c r="O47" i="1"/>
  <c r="BT38" i="8"/>
  <c r="BU38" i="8"/>
  <c r="BO38" i="8"/>
  <c r="BP38" i="8"/>
  <c r="BM38" i="8"/>
  <c r="BN38" i="8"/>
  <c r="BK38" i="8"/>
  <c r="BL38" i="8"/>
  <c r="BJ38" i="8"/>
  <c r="AC38" i="10"/>
  <c r="X38" i="10" s="1"/>
  <c r="AR38" i="5"/>
  <c r="AH42" i="11"/>
  <c r="AS42" i="5"/>
  <c r="DB41" i="5"/>
  <c r="DE41" i="5"/>
  <c r="AM42" i="1"/>
  <c r="AU43" i="8"/>
  <c r="AE43" i="8"/>
  <c r="Y40" i="1"/>
  <c r="DJ41" i="5"/>
  <c r="AF40" i="1"/>
  <c r="BS43" i="14" a="1"/>
  <c r="BS43" i="14" s="1"/>
  <c r="AE43" i="14" a="1"/>
  <c r="AE43" i="14" s="1"/>
  <c r="V43" i="14" a="1"/>
  <c r="V43" i="14" s="1"/>
  <c r="AS43" i="14" a="1"/>
  <c r="AS43" i="14" s="1"/>
  <c r="AB43" i="14" a="1"/>
  <c r="AB43" i="14" s="1"/>
  <c r="BP43" i="14" a="1"/>
  <c r="BP43" i="14" s="1"/>
  <c r="R43" i="14" a="1"/>
  <c r="R43" i="14" s="1"/>
  <c r="AL43" i="1" s="1"/>
  <c r="BF43" i="14" a="1"/>
  <c r="BF43" i="14" s="1"/>
  <c r="AV43" i="14" a="1"/>
  <c r="AV43" i="14" s="1"/>
  <c r="X43" i="14" a="1"/>
  <c r="X43" i="14" s="1"/>
  <c r="AL43" i="14" a="1"/>
  <c r="AL43" i="14" s="1"/>
  <c r="AZ43" i="14" a="1"/>
  <c r="AZ43" i="14" s="1"/>
  <c r="P43" i="14" a="1"/>
  <c r="P43" i="14" s="1"/>
  <c r="AQ43" i="14" a="1"/>
  <c r="AQ43" i="14" s="1"/>
  <c r="AH43" i="14" a="1"/>
  <c r="AH43" i="14" s="1"/>
  <c r="BE43" i="14" a="1"/>
  <c r="BE43" i="14" s="1"/>
  <c r="BC43" i="14" a="1"/>
  <c r="BC43" i="14" s="1"/>
  <c r="BJ43" i="14" a="1"/>
  <c r="BJ43" i="14" s="1"/>
  <c r="BD43" i="14" a="1"/>
  <c r="BD43" i="14" s="1"/>
  <c r="BZ43" i="14" a="1"/>
  <c r="BZ43" i="14" s="1"/>
  <c r="BH43" i="14" a="1"/>
  <c r="BH43" i="14" s="1"/>
  <c r="AY43" i="14" a="1"/>
  <c r="AY43" i="14" s="1"/>
  <c r="BU43" i="14" a="1"/>
  <c r="BU43" i="14" s="1"/>
  <c r="AM43" i="14" a="1"/>
  <c r="AM43" i="14" s="1"/>
  <c r="N43" i="14" a="1"/>
  <c r="N43" i="14" s="1"/>
  <c r="BQ43" i="14" a="1"/>
  <c r="BQ43" i="14" s="1"/>
  <c r="AR43" i="14" a="1"/>
  <c r="AR43" i="14" s="1"/>
  <c r="AJ43" i="14" a="1"/>
  <c r="AJ43" i="14" s="1"/>
  <c r="S43" i="14" a="1"/>
  <c r="S43" i="14" s="1"/>
  <c r="BV43" i="14" a="1"/>
  <c r="BV43" i="14" s="1"/>
  <c r="O43" i="14" a="1"/>
  <c r="O43" i="14" s="1"/>
  <c r="U43" i="14" a="1"/>
  <c r="U43" i="14" s="1"/>
  <c r="AI43" i="14" a="1"/>
  <c r="AI43" i="14" s="1"/>
  <c r="BM43" i="14" a="1"/>
  <c r="BM43" i="14" s="1"/>
  <c r="AT43" i="14" a="1"/>
  <c r="AT43" i="14" s="1"/>
  <c r="AC43" i="14" a="1"/>
  <c r="AC43" i="14" s="1"/>
  <c r="BN43" i="14" a="1"/>
  <c r="BN43" i="14" s="1"/>
  <c r="AO43" i="14" a="1"/>
  <c r="AO43" i="14" s="1"/>
  <c r="BB43" i="14" a="1"/>
  <c r="BB43" i="14" s="1"/>
  <c r="BX43" i="14" a="1"/>
  <c r="BX43" i="14" s="1"/>
  <c r="BG43" i="14" a="1"/>
  <c r="BG43" i="14" s="1"/>
  <c r="AG43" i="14" a="1"/>
  <c r="AG43" i="14" s="1"/>
  <c r="AD43" i="14" a="1"/>
  <c r="AD43" i="14" s="1"/>
  <c r="AN43" i="14" a="1"/>
  <c r="AN43" i="14" s="1"/>
  <c r="AF43" i="14" a="1"/>
  <c r="AF43" i="14" s="1"/>
  <c r="Z43" i="14" a="1"/>
  <c r="Z43" i="14" s="1"/>
  <c r="BT43" i="14" a="1"/>
  <c r="BT43" i="14" s="1"/>
  <c r="BR43" i="14" a="1"/>
  <c r="BR43" i="14" s="1"/>
  <c r="BO43" i="14" a="1"/>
  <c r="BO43" i="14" s="1"/>
  <c r="AP43" i="14" a="1"/>
  <c r="AP43" i="14" s="1"/>
  <c r="AW43" i="14" a="1"/>
  <c r="AW43" i="14" s="1"/>
  <c r="BK43" i="14" a="1"/>
  <c r="BK43" i="14" s="1"/>
  <c r="BA43" i="14" a="1"/>
  <c r="BA43" i="14" s="1"/>
  <c r="BW43" i="14" a="1"/>
  <c r="BW43" i="14" s="1"/>
  <c r="AA43" i="14" a="1"/>
  <c r="AA43" i="14" s="1"/>
  <c r="M43" i="14" a="1"/>
  <c r="M43" i="14" s="1"/>
  <c r="AU43" i="14" a="1"/>
  <c r="AU43" i="14" s="1"/>
  <c r="BI43" i="14" a="1"/>
  <c r="BI43" i="14" s="1"/>
  <c r="BY43" i="14" a="1"/>
  <c r="BY43" i="14" s="1"/>
  <c r="BL43" i="14" a="1"/>
  <c r="BL43" i="14" s="1"/>
  <c r="Y43" i="14" a="1"/>
  <c r="Y43" i="14" s="1"/>
  <c r="T43" i="14" a="1"/>
  <c r="T43" i="14" s="1"/>
  <c r="AX43" i="14" a="1"/>
  <c r="AX43" i="14" s="1"/>
  <c r="Q43" i="14" a="1"/>
  <c r="Q43" i="14" s="1"/>
  <c r="W43" i="14" a="1"/>
  <c r="W43" i="14" s="1"/>
  <c r="AK43" i="14" a="1"/>
  <c r="AK43" i="14" s="1"/>
  <c r="W40" i="1"/>
  <c r="AJ42" i="1"/>
  <c r="DH41" i="5"/>
  <c r="K44" i="11"/>
  <c r="A44" i="14"/>
  <c r="CA44" i="14" s="1"/>
  <c r="A44" i="7"/>
  <c r="R44" i="7" s="1"/>
  <c r="A44" i="8"/>
  <c r="A44" i="5"/>
  <c r="A44" i="9"/>
  <c r="A44" i="2"/>
  <c r="AK42" i="11"/>
  <c r="AQ37" i="5"/>
  <c r="CR37" i="8"/>
  <c r="B39" i="7"/>
  <c r="Q39" i="7" s="1"/>
  <c r="CE37" i="8"/>
  <c r="CX37" i="8" s="1"/>
  <c r="CY37" i="8" s="1"/>
  <c r="AI39" i="5"/>
  <c r="E39" i="1"/>
  <c r="BT39" i="5"/>
  <c r="A39" i="10"/>
  <c r="AA39" i="10" s="1"/>
  <c r="D39" i="9"/>
  <c r="B39" i="9"/>
  <c r="Y39" i="9" s="1"/>
  <c r="AC39" i="8"/>
  <c r="BQ39" i="8" s="1"/>
  <c r="CK39" i="8"/>
  <c r="DH39" i="8"/>
  <c r="DI39" i="8" s="1"/>
  <c r="AJ39" i="5"/>
  <c r="AP39" i="5" s="1"/>
  <c r="A39" i="11"/>
  <c r="N39" i="11" s="1"/>
  <c r="X39" i="8"/>
  <c r="DD39" i="8" s="1"/>
  <c r="BI39" i="8"/>
  <c r="BW39" i="8"/>
  <c r="F40" i="5"/>
  <c r="BY43" i="11"/>
  <c r="K42" i="10"/>
  <c r="AA42" i="7"/>
  <c r="AF42" i="8" s="1"/>
  <c r="AV42" i="8" s="1"/>
  <c r="L42" i="11"/>
  <c r="M42" i="5"/>
  <c r="H41" i="10"/>
  <c r="J41" i="7"/>
  <c r="J42" i="5"/>
  <c r="DC42" i="5" s="1"/>
  <c r="E41" i="10"/>
  <c r="G41" i="7"/>
  <c r="L42" i="5"/>
  <c r="G41" i="10"/>
  <c r="I41" i="7"/>
  <c r="H42" i="5"/>
  <c r="C41" i="10"/>
  <c r="E41" i="7"/>
  <c r="G42" i="5"/>
  <c r="B41" i="10"/>
  <c r="D41" i="7"/>
  <c r="B41" i="5"/>
  <c r="DC41" i="5"/>
  <c r="DF41" i="5"/>
  <c r="K42" i="5"/>
  <c r="F41" i="10"/>
  <c r="H41" i="7"/>
  <c r="DD41" i="5"/>
  <c r="I42" i="5"/>
  <c r="D41" i="10"/>
  <c r="F41" i="7"/>
  <c r="CS36" i="8"/>
  <c r="CI38" i="8"/>
  <c r="DA38" i="8" s="1"/>
  <c r="BX38" i="8"/>
  <c r="CD38" i="8" s="1"/>
  <c r="N38" i="7"/>
  <c r="AH50" i="9"/>
  <c r="AC37" i="11"/>
  <c r="U37" i="8" s="1"/>
  <c r="AD37" i="11"/>
  <c r="AI37" i="1" s="1"/>
  <c r="AA37" i="11"/>
  <c r="AK37" i="1" s="1"/>
  <c r="Y37" i="11"/>
  <c r="AH37" i="1" s="1"/>
  <c r="N38" i="11"/>
  <c r="AB37" i="11"/>
  <c r="Q37" i="8" s="1"/>
  <c r="Z37" i="11"/>
  <c r="CB38" i="8"/>
  <c r="CT38" i="8" s="1"/>
  <c r="BY38" i="8"/>
  <c r="BZ38" i="8"/>
  <c r="CC38" i="8"/>
  <c r="CV38" i="8" s="1"/>
  <c r="CW38" i="8" s="1"/>
  <c r="CH38" i="8"/>
  <c r="CZ38" i="8" s="1"/>
  <c r="CA38" i="8"/>
  <c r="AE38" i="7"/>
  <c r="AF38" i="7" s="1"/>
  <c r="Q38" i="7"/>
  <c r="CZ41" i="5"/>
  <c r="AB41" i="1"/>
  <c r="DI41" i="5"/>
  <c r="DA40" i="5"/>
  <c r="DG40" i="5" s="1" a="1"/>
  <c r="DG40" i="5" s="1"/>
  <c r="E70" i="4" s="1"/>
  <c r="AG50" i="9"/>
  <c r="AK50" i="9"/>
  <c r="AE112" i="9"/>
  <c r="N26" i="1"/>
  <c r="S43" i="2"/>
  <c r="N44" i="2"/>
  <c r="R44" i="2"/>
  <c r="Q43" i="2"/>
  <c r="J45" i="10"/>
  <c r="N45" i="5" s="1"/>
  <c r="P45" i="2"/>
  <c r="AQ66" i="9" l="1"/>
  <c r="CM66" i="8" s="1"/>
  <c r="AO39" i="5"/>
  <c r="AM39" i="5"/>
  <c r="AN39" i="5"/>
  <c r="AV40" i="5"/>
  <c r="AW40" i="5"/>
  <c r="AG38" i="7"/>
  <c r="AI38" i="7" s="1"/>
  <c r="CL40" i="8"/>
  <c r="CH39" i="8"/>
  <c r="CZ39" i="8" s="1"/>
  <c r="AC39" i="1"/>
  <c r="AI62" i="9"/>
  <c r="AO62" i="8" s="1"/>
  <c r="AT43" i="5"/>
  <c r="G45" i="8"/>
  <c r="CF44" i="8"/>
  <c r="O44" i="2"/>
  <c r="AM51" i="9"/>
  <c r="BR39" i="8"/>
  <c r="BS39" i="8"/>
  <c r="AD42" i="1"/>
  <c r="AZ44" i="5" a="1"/>
  <c r="AZ44" i="5" s="1"/>
  <c r="BB44" i="5" a="1"/>
  <c r="BB44" i="5" s="1"/>
  <c r="CQ44" i="5"/>
  <c r="CR44" i="5"/>
  <c r="CV44" i="5"/>
  <c r="CW44" i="5"/>
  <c r="CS44" i="5"/>
  <c r="CT44" i="5"/>
  <c r="CU44" i="5"/>
  <c r="AY44" i="5" a="1"/>
  <c r="AY44" i="5" s="1"/>
  <c r="BL44" i="5" a="1"/>
  <c r="BL44" i="5" s="1"/>
  <c r="BQ44" i="5" a="1"/>
  <c r="BQ44" i="5" s="1"/>
  <c r="BJ44" i="5" a="1"/>
  <c r="BJ44" i="5" s="1"/>
  <c r="BC44" i="5" a="1"/>
  <c r="BC44" i="5" s="1"/>
  <c r="BH44" i="5" a="1"/>
  <c r="BH44" i="5" s="1"/>
  <c r="BE44" i="5" a="1"/>
  <c r="BE44" i="5" s="1"/>
  <c r="BK44" i="5" a="1"/>
  <c r="BK44" i="5" s="1"/>
  <c r="BF44" i="5" a="1"/>
  <c r="BF44" i="5" s="1"/>
  <c r="AE43" i="1" s="1"/>
  <c r="BA44" i="5" a="1"/>
  <c r="BA44" i="5" s="1"/>
  <c r="BO44" i="5" a="1"/>
  <c r="BO44" i="5" s="1"/>
  <c r="BD44" i="5" a="1"/>
  <c r="BD44" i="5" s="1"/>
  <c r="BM44" i="5" a="1"/>
  <c r="BM44" i="5" s="1"/>
  <c r="BI44" i="5" a="1"/>
  <c r="BI44" i="5" s="1"/>
  <c r="BG44" i="5" a="1"/>
  <c r="BG44" i="5" s="1"/>
  <c r="BN44" i="5" a="1"/>
  <c r="BN44" i="5" s="1"/>
  <c r="V42" i="2"/>
  <c r="CS37" i="8"/>
  <c r="F47" i="8"/>
  <c r="BP43" i="5" a="1"/>
  <c r="BP43" i="5" s="1"/>
  <c r="J43" i="2" s="1"/>
  <c r="D40" i="9"/>
  <c r="BT39" i="8"/>
  <c r="BX39" i="8"/>
  <c r="CD39" i="8" s="1"/>
  <c r="BI40" i="8"/>
  <c r="O48" i="1"/>
  <c r="AR39" i="5"/>
  <c r="BO39" i="8"/>
  <c r="BP39" i="8"/>
  <c r="BM39" i="8"/>
  <c r="BN39" i="8"/>
  <c r="BK39" i="8"/>
  <c r="BL39" i="8"/>
  <c r="BJ39" i="8"/>
  <c r="AC39" i="10"/>
  <c r="X39" i="10" s="1"/>
  <c r="AH43" i="11"/>
  <c r="AS43" i="5"/>
  <c r="AK43" i="11"/>
  <c r="DF42" i="5"/>
  <c r="DB42" i="5"/>
  <c r="AJ43" i="1"/>
  <c r="DE42" i="5"/>
  <c r="AU44" i="8"/>
  <c r="AE44" i="8"/>
  <c r="DH42" i="5"/>
  <c r="AM43" i="1"/>
  <c r="K45" i="11"/>
  <c r="A45" i="14"/>
  <c r="CA45" i="14" s="1"/>
  <c r="A45" i="9"/>
  <c r="A45" i="5"/>
  <c r="A45" i="2"/>
  <c r="A45" i="8"/>
  <c r="A45" i="7"/>
  <c r="R45" i="7" s="1"/>
  <c r="BS44" i="14" a="1"/>
  <c r="BS44" i="14" s="1"/>
  <c r="BR44" i="14" a="1"/>
  <c r="BR44" i="14" s="1"/>
  <c r="V44" i="14" a="1"/>
  <c r="V44" i="14" s="1"/>
  <c r="AR44" i="14" a="1"/>
  <c r="AR44" i="14" s="1"/>
  <c r="BH44" i="14" a="1"/>
  <c r="BH44" i="14" s="1"/>
  <c r="BG44" i="14" a="1"/>
  <c r="BG44" i="14" s="1"/>
  <c r="AX44" i="14" a="1"/>
  <c r="AX44" i="14" s="1"/>
  <c r="AO44" i="14" a="1"/>
  <c r="AO44" i="14" s="1"/>
  <c r="AM44" i="14" a="1"/>
  <c r="AM44" i="14" s="1"/>
  <c r="X44" i="14" a="1"/>
  <c r="X44" i="14" s="1"/>
  <c r="BI44" i="14" a="1"/>
  <c r="BI44" i="14" s="1"/>
  <c r="BY44" i="14" a="1"/>
  <c r="BY44" i="14" s="1"/>
  <c r="AN44" i="14" a="1"/>
  <c r="AN44" i="14" s="1"/>
  <c r="AF44" i="14" a="1"/>
  <c r="AF44" i="14" s="1"/>
  <c r="AI44" i="14" a="1"/>
  <c r="AI44" i="14" s="1"/>
  <c r="AG44" i="14" a="1"/>
  <c r="AG44" i="14" s="1"/>
  <c r="BC44" i="14" a="1"/>
  <c r="BC44" i="14" s="1"/>
  <c r="AD44" i="14" a="1"/>
  <c r="AD44" i="14" s="1"/>
  <c r="AZ44" i="14" a="1"/>
  <c r="AZ44" i="14" s="1"/>
  <c r="BW44" i="14" a="1"/>
  <c r="BW44" i="14" s="1"/>
  <c r="AA44" i="14" a="1"/>
  <c r="AA44" i="14" s="1"/>
  <c r="BU44" i="14" a="1"/>
  <c r="BU44" i="14" s="1"/>
  <c r="AE44" i="14" a="1"/>
  <c r="AE44" i="14" s="1"/>
  <c r="N44" i="14" a="1"/>
  <c r="N44" i="14" s="1"/>
  <c r="AB44" i="14" a="1"/>
  <c r="AB44" i="14" s="1"/>
  <c r="AJ44" i="14" a="1"/>
  <c r="AJ44" i="14" s="1"/>
  <c r="AP44" i="14" a="1"/>
  <c r="AP44" i="14" s="1"/>
  <c r="BL44" i="14" a="1"/>
  <c r="BL44" i="14" s="1"/>
  <c r="W44" i="14" a="1"/>
  <c r="W44" i="14" s="1"/>
  <c r="BQ44" i="14" a="1"/>
  <c r="BQ44" i="14" s="1"/>
  <c r="BP44" i="14" a="1"/>
  <c r="BP44" i="14" s="1"/>
  <c r="BO44" i="14" a="1"/>
  <c r="BO44" i="14" s="1"/>
  <c r="BV44" i="14" a="1"/>
  <c r="BV44" i="14" s="1"/>
  <c r="M44" i="14" a="1"/>
  <c r="M44" i="14" s="1"/>
  <c r="O44" i="14" a="1"/>
  <c r="O44" i="14" s="1"/>
  <c r="BA44" i="14" a="1"/>
  <c r="BA44" i="14" s="1"/>
  <c r="AK44" i="14" a="1"/>
  <c r="AK44" i="14" s="1"/>
  <c r="S44" i="14" a="1"/>
  <c r="S44" i="14" s="1"/>
  <c r="AH44" i="14" a="1"/>
  <c r="AH44" i="14" s="1"/>
  <c r="AW44" i="14" a="1"/>
  <c r="AW44" i="14" s="1"/>
  <c r="AV44" i="14" a="1"/>
  <c r="AV44" i="14" s="1"/>
  <c r="BJ44" i="14" a="1"/>
  <c r="BJ44" i="14" s="1"/>
  <c r="BD44" i="14" a="1"/>
  <c r="BD44" i="14" s="1"/>
  <c r="AS44" i="14" a="1"/>
  <c r="AS44" i="14" s="1"/>
  <c r="AQ44" i="14" a="1"/>
  <c r="AQ44" i="14" s="1"/>
  <c r="Z44" i="14" a="1"/>
  <c r="Z44" i="14" s="1"/>
  <c r="Y44" i="14" a="1"/>
  <c r="Y44" i="14" s="1"/>
  <c r="BT44" i="14" a="1"/>
  <c r="BT44" i="14" s="1"/>
  <c r="AT44" i="14" a="1"/>
  <c r="AT44" i="14" s="1"/>
  <c r="AC44" i="14" a="1"/>
  <c r="AC44" i="14" s="1"/>
  <c r="T44" i="14" a="1"/>
  <c r="T44" i="14" s="1"/>
  <c r="AY44" i="14" a="1"/>
  <c r="AY44" i="14" s="1"/>
  <c r="BF44" i="14" a="1"/>
  <c r="BF44" i="14" s="1"/>
  <c r="Q44" i="14" a="1"/>
  <c r="Q44" i="14" s="1"/>
  <c r="BK44" i="14" a="1"/>
  <c r="BK44" i="14" s="1"/>
  <c r="BB44" i="14" a="1"/>
  <c r="BB44" i="14" s="1"/>
  <c r="BZ44" i="14" a="1"/>
  <c r="BZ44" i="14" s="1"/>
  <c r="U44" i="14" a="1"/>
  <c r="U44" i="14" s="1"/>
  <c r="BN44" i="14" a="1"/>
  <c r="BN44" i="14" s="1"/>
  <c r="BM44" i="14" a="1"/>
  <c r="BM44" i="14" s="1"/>
  <c r="AU44" i="14" a="1"/>
  <c r="AU44" i="14" s="1"/>
  <c r="AL44" i="14" a="1"/>
  <c r="AL44" i="14" s="1"/>
  <c r="P44" i="14" a="1"/>
  <c r="P44" i="14" s="1"/>
  <c r="BX44" i="14" a="1"/>
  <c r="BX44" i="14" s="1"/>
  <c r="BE44" i="14" a="1"/>
  <c r="BE44" i="14" s="1"/>
  <c r="R44" i="14" a="1"/>
  <c r="R44" i="14" s="1"/>
  <c r="AL44" i="1" s="1"/>
  <c r="AF41" i="1"/>
  <c r="Y41" i="1"/>
  <c r="DJ42" i="5"/>
  <c r="W41" i="1"/>
  <c r="AD38" i="11"/>
  <c r="AI38" i="1" s="1"/>
  <c r="AC38" i="11"/>
  <c r="U38" i="8" s="1"/>
  <c r="AJ40" i="5"/>
  <c r="AP40" i="5" s="1"/>
  <c r="AA38" i="11"/>
  <c r="AK38" i="1" s="1"/>
  <c r="AB38" i="11"/>
  <c r="Q38" i="8" s="1"/>
  <c r="Y38" i="11"/>
  <c r="AH38" i="1" s="1"/>
  <c r="Z38" i="11"/>
  <c r="AE39" i="7"/>
  <c r="AF39" i="7" s="1"/>
  <c r="X40" i="8"/>
  <c r="DD40" i="8" s="1"/>
  <c r="CI39" i="8"/>
  <c r="DA39" i="8" s="1"/>
  <c r="AC40" i="8"/>
  <c r="BQ40" i="8" s="1"/>
  <c r="BY39" i="8"/>
  <c r="CC39" i="8"/>
  <c r="CV39" i="8" s="1"/>
  <c r="CW39" i="8" s="1"/>
  <c r="BZ39" i="8"/>
  <c r="CA39" i="8"/>
  <c r="CB39" i="8"/>
  <c r="CT39" i="8" s="1"/>
  <c r="N39" i="7"/>
  <c r="E40" i="1"/>
  <c r="BH40" i="8"/>
  <c r="BU40" i="8" s="1"/>
  <c r="BT40" i="5"/>
  <c r="E50" i="4" s="1"/>
  <c r="DB38" i="8"/>
  <c r="B40" i="9"/>
  <c r="Y40" i="9" s="1"/>
  <c r="A40" i="11"/>
  <c r="AD39" i="11" s="1"/>
  <c r="AI39" i="1" s="1"/>
  <c r="DH40" i="8"/>
  <c r="DI40" i="8" s="1"/>
  <c r="CK40" i="8"/>
  <c r="AI40" i="5"/>
  <c r="B40" i="7"/>
  <c r="Q40" i="7" s="1"/>
  <c r="A40" i="10"/>
  <c r="AA40" i="10" s="1"/>
  <c r="B42" i="5"/>
  <c r="BW40" i="8"/>
  <c r="B42" i="2"/>
  <c r="AH42" i="5"/>
  <c r="BU42" i="5"/>
  <c r="B42" i="1"/>
  <c r="BG42" i="1" s="1"/>
  <c r="BY44" i="11"/>
  <c r="K43" i="10"/>
  <c r="AA43" i="7"/>
  <c r="AF43" i="8" s="1"/>
  <c r="I43" i="5"/>
  <c r="D42" i="10"/>
  <c r="F42" i="7"/>
  <c r="L43" i="5"/>
  <c r="G42" i="10"/>
  <c r="I42" i="7"/>
  <c r="G43" i="5"/>
  <c r="D42" i="7"/>
  <c r="B42" i="10"/>
  <c r="K43" i="5"/>
  <c r="F42" i="10"/>
  <c r="H42" i="7"/>
  <c r="DD42" i="5"/>
  <c r="J43" i="5"/>
  <c r="E42" i="10"/>
  <c r="G42" i="7"/>
  <c r="H43" i="5"/>
  <c r="C42" i="10"/>
  <c r="E42" i="7"/>
  <c r="M43" i="5"/>
  <c r="H42" i="10"/>
  <c r="J42" i="7"/>
  <c r="CQ38" i="8"/>
  <c r="CU38" i="8" s="1"/>
  <c r="CE38" i="8"/>
  <c r="CX38" i="8" s="1"/>
  <c r="CY38" i="8" s="1"/>
  <c r="AH51" i="9"/>
  <c r="CR38" i="8"/>
  <c r="AQ38" i="5"/>
  <c r="CZ42" i="5"/>
  <c r="C41" i="5"/>
  <c r="F41" i="5" s="1"/>
  <c r="B38" i="14"/>
  <c r="DA41" i="5"/>
  <c r="DG41" i="5" s="1" a="1"/>
  <c r="DG41" i="5" s="1"/>
  <c r="AB42" i="1"/>
  <c r="DI42" i="5"/>
  <c r="AG51" i="9"/>
  <c r="AK51" i="9"/>
  <c r="AE113" i="9"/>
  <c r="N27" i="1"/>
  <c r="S44" i="2"/>
  <c r="N45" i="2"/>
  <c r="R45" i="2"/>
  <c r="Q44" i="2"/>
  <c r="P46" i="2"/>
  <c r="J46" i="10"/>
  <c r="N46" i="5" s="1"/>
  <c r="AQ67" i="9" l="1"/>
  <c r="CM67" i="8" s="1"/>
  <c r="AO40" i="5"/>
  <c r="AM40" i="5"/>
  <c r="AN40" i="5"/>
  <c r="AR40" i="5" s="1"/>
  <c r="AV41" i="5"/>
  <c r="AW41" i="5"/>
  <c r="DB39" i="8"/>
  <c r="AG39" i="7"/>
  <c r="AI39" i="7" s="1"/>
  <c r="CL41" i="8"/>
  <c r="CC40" i="8"/>
  <c r="CV40" i="8" s="1"/>
  <c r="CW40" i="8" s="1"/>
  <c r="AC40" i="1"/>
  <c r="AI63" i="9"/>
  <c r="AO63" i="8" s="1"/>
  <c r="G46" i="8"/>
  <c r="CF45" i="8"/>
  <c r="O45" i="2"/>
  <c r="BQ45" i="5" a="1"/>
  <c r="BQ45" i="5" s="1"/>
  <c r="BH45" i="5" a="1"/>
  <c r="BH45" i="5" s="1"/>
  <c r="BC45" i="5" a="1"/>
  <c r="BC45" i="5" s="1"/>
  <c r="BN45" i="5" a="1"/>
  <c r="BN45" i="5" s="1"/>
  <c r="BJ45" i="5" a="1"/>
  <c r="BJ45" i="5" s="1"/>
  <c r="AM52" i="9"/>
  <c r="BR40" i="8"/>
  <c r="BS40" i="8"/>
  <c r="AD43" i="1"/>
  <c r="BG45" i="5" a="1"/>
  <c r="BG45" i="5" s="1"/>
  <c r="BI45" i="5" a="1"/>
  <c r="BI45" i="5" s="1"/>
  <c r="BM45" i="5" a="1"/>
  <c r="BM45" i="5" s="1"/>
  <c r="BD45" i="5" a="1"/>
  <c r="BD45" i="5" s="1"/>
  <c r="BO45" i="5" a="1"/>
  <c r="BO45" i="5" s="1"/>
  <c r="CV45" i="5"/>
  <c r="CU45" i="5"/>
  <c r="CR45" i="5"/>
  <c r="CT45" i="5"/>
  <c r="CW45" i="5"/>
  <c r="CS45" i="5"/>
  <c r="CQ45" i="5"/>
  <c r="AY45" i="5" a="1"/>
  <c r="AY45" i="5" s="1"/>
  <c r="BL45" i="5" a="1"/>
  <c r="BL45" i="5" s="1"/>
  <c r="BA45" i="5" a="1"/>
  <c r="BA45" i="5" s="1"/>
  <c r="BF45" i="5" a="1"/>
  <c r="BF45" i="5" s="1"/>
  <c r="AE44" i="1" s="1"/>
  <c r="BK45" i="5" a="1"/>
  <c r="BK45" i="5" s="1"/>
  <c r="BB45" i="5" a="1"/>
  <c r="BB45" i="5" s="1"/>
  <c r="BE45" i="5" a="1"/>
  <c r="BE45" i="5" s="1"/>
  <c r="AZ45" i="5" a="1"/>
  <c r="AZ45" i="5" s="1"/>
  <c r="V43" i="2"/>
  <c r="F48" i="8"/>
  <c r="CQ39" i="8"/>
  <c r="CU39" i="8" s="1"/>
  <c r="BP44" i="5" a="1"/>
  <c r="BP44" i="5" s="1"/>
  <c r="J44" i="2" s="1"/>
  <c r="CE39" i="8"/>
  <c r="CX39" i="8" s="1"/>
  <c r="CY39" i="8" s="1"/>
  <c r="O49" i="1"/>
  <c r="BT40" i="8"/>
  <c r="BO40" i="8"/>
  <c r="BP40" i="8"/>
  <c r="BM40" i="8"/>
  <c r="BN40" i="8"/>
  <c r="BK40" i="8"/>
  <c r="BL40" i="8"/>
  <c r="BJ40" i="8"/>
  <c r="AC40" i="10"/>
  <c r="X40" i="10" s="1"/>
  <c r="AS44" i="5"/>
  <c r="AK44" i="11"/>
  <c r="DE43" i="5"/>
  <c r="AH44" i="11"/>
  <c r="AM44" i="1"/>
  <c r="DB43" i="5"/>
  <c r="DF43" i="5"/>
  <c r="AE45" i="8"/>
  <c r="AU45" i="8"/>
  <c r="DH43" i="5"/>
  <c r="W42" i="1"/>
  <c r="AJ44" i="1"/>
  <c r="K46" i="11"/>
  <c r="A46" i="14"/>
  <c r="CA46" i="14" s="1"/>
  <c r="A46" i="5"/>
  <c r="A46" i="9"/>
  <c r="A46" i="2"/>
  <c r="A46" i="8"/>
  <c r="A46" i="7"/>
  <c r="R46" i="7" s="1"/>
  <c r="BC45" i="14" a="1"/>
  <c r="BC45" i="14" s="1"/>
  <c r="N45" i="14" a="1"/>
  <c r="N45" i="14" s="1"/>
  <c r="BD45" i="14" a="1"/>
  <c r="BD45" i="14" s="1"/>
  <c r="BZ45" i="14" a="1"/>
  <c r="BZ45" i="14" s="1"/>
  <c r="AZ45" i="14" a="1"/>
  <c r="AZ45" i="14" s="1"/>
  <c r="AF45" i="14" a="1"/>
  <c r="AF45" i="14" s="1"/>
  <c r="BL45" i="14" a="1"/>
  <c r="BL45" i="14" s="1"/>
  <c r="BU45" i="14" a="1"/>
  <c r="BU45" i="14" s="1"/>
  <c r="AM45" i="14" a="1"/>
  <c r="AM45" i="14" s="1"/>
  <c r="BB45" i="14" a="1"/>
  <c r="BB45" i="14" s="1"/>
  <c r="BQ45" i="14" a="1"/>
  <c r="BQ45" i="14" s="1"/>
  <c r="BX45" i="14" a="1"/>
  <c r="BX45" i="14" s="1"/>
  <c r="AB45" i="14" a="1"/>
  <c r="AB45" i="14" s="1"/>
  <c r="BV45" i="14" a="1"/>
  <c r="BV45" i="14" s="1"/>
  <c r="AW45" i="14" a="1"/>
  <c r="AW45" i="14" s="1"/>
  <c r="BE45" i="14" a="1"/>
  <c r="BE45" i="14" s="1"/>
  <c r="BK45" i="14" a="1"/>
  <c r="BK45" i="14" s="1"/>
  <c r="AT45" i="14" a="1"/>
  <c r="AT45" i="14" s="1"/>
  <c r="BA45" i="14" a="1"/>
  <c r="BA45" i="14" s="1"/>
  <c r="AJ45" i="14" a="1"/>
  <c r="AJ45" i="14" s="1"/>
  <c r="BH45" i="14" a="1"/>
  <c r="BH45" i="14" s="1"/>
  <c r="AN45" i="14" a="1"/>
  <c r="AN45" i="14" s="1"/>
  <c r="AP45" i="14" a="1"/>
  <c r="AP45" i="14" s="1"/>
  <c r="Q45" i="14" a="1"/>
  <c r="Q45" i="14" s="1"/>
  <c r="AU45" i="14" a="1"/>
  <c r="AU45" i="14" s="1"/>
  <c r="W45" i="14" a="1"/>
  <c r="W45" i="14" s="1"/>
  <c r="AS45" i="14" a="1"/>
  <c r="AS45" i="14" s="1"/>
  <c r="T45" i="14" a="1"/>
  <c r="T45" i="14" s="1"/>
  <c r="AR45" i="14" a="1"/>
  <c r="AR45" i="14" s="1"/>
  <c r="AA45" i="14" a="1"/>
  <c r="AA45" i="14" s="1"/>
  <c r="AH45" i="14" a="1"/>
  <c r="AH45" i="14" s="1"/>
  <c r="AO45" i="14" a="1"/>
  <c r="AO45" i="14" s="1"/>
  <c r="AE45" i="14" a="1"/>
  <c r="AE45" i="14" s="1"/>
  <c r="BJ45" i="14" a="1"/>
  <c r="BJ45" i="14" s="1"/>
  <c r="BI45" i="14" a="1"/>
  <c r="BI45" i="14" s="1"/>
  <c r="BO45" i="14" a="1"/>
  <c r="BO45" i="14" s="1"/>
  <c r="AY45" i="14" a="1"/>
  <c r="AY45" i="14" s="1"/>
  <c r="AQ45" i="14" a="1"/>
  <c r="AQ45" i="14" s="1"/>
  <c r="Z45" i="14" a="1"/>
  <c r="Z45" i="14" s="1"/>
  <c r="AX45" i="14" a="1"/>
  <c r="AX45" i="14" s="1"/>
  <c r="BT45" i="14" a="1"/>
  <c r="BT45" i="14" s="1"/>
  <c r="BR45" i="14" a="1"/>
  <c r="BR45" i="14" s="1"/>
  <c r="AL45" i="14" a="1"/>
  <c r="AL45" i="14" s="1"/>
  <c r="AK45" i="14" a="1"/>
  <c r="AK45" i="14" s="1"/>
  <c r="U45" i="14" a="1"/>
  <c r="U45" i="14" s="1"/>
  <c r="BG45" i="14" a="1"/>
  <c r="BG45" i="14" s="1"/>
  <c r="BF45" i="14" a="1"/>
  <c r="BF45" i="14" s="1"/>
  <c r="R45" i="14" a="1"/>
  <c r="R45" i="14" s="1"/>
  <c r="AL45" i="1" s="1"/>
  <c r="M45" i="14" a="1"/>
  <c r="M45" i="14" s="1"/>
  <c r="AC45" i="14" a="1"/>
  <c r="AC45" i="14" s="1"/>
  <c r="BM45" i="14" a="1"/>
  <c r="BM45" i="14" s="1"/>
  <c r="P45" i="14" a="1"/>
  <c r="P45" i="14" s="1"/>
  <c r="AG45" i="14" a="1"/>
  <c r="AG45" i="14" s="1"/>
  <c r="AV45" i="14" a="1"/>
  <c r="AV45" i="14" s="1"/>
  <c r="BY45" i="14" a="1"/>
  <c r="BY45" i="14" s="1"/>
  <c r="Y45" i="14" a="1"/>
  <c r="Y45" i="14" s="1"/>
  <c r="BS45" i="14" a="1"/>
  <c r="BS45" i="14" s="1"/>
  <c r="BP45" i="14" a="1"/>
  <c r="BP45" i="14" s="1"/>
  <c r="O45" i="14" a="1"/>
  <c r="O45" i="14" s="1"/>
  <c r="BW45" i="14" a="1"/>
  <c r="BW45" i="14" s="1"/>
  <c r="X45" i="14" a="1"/>
  <c r="X45" i="14" s="1"/>
  <c r="S45" i="14" a="1"/>
  <c r="S45" i="14" s="1"/>
  <c r="V45" i="14" a="1"/>
  <c r="V45" i="14" s="1"/>
  <c r="BN45" i="14" a="1"/>
  <c r="BN45" i="14" s="1"/>
  <c r="AD45" i="14" a="1"/>
  <c r="AD45" i="14" s="1"/>
  <c r="AI45" i="14" a="1"/>
  <c r="AI45" i="14" s="1"/>
  <c r="Y42" i="1"/>
  <c r="DJ43" i="5"/>
  <c r="AF42" i="1"/>
  <c r="AB39" i="11"/>
  <c r="Q39" i="8" s="1"/>
  <c r="AC39" i="11"/>
  <c r="U39" i="8" s="1"/>
  <c r="AQ39" i="5"/>
  <c r="B39" i="14"/>
  <c r="CR39" i="8"/>
  <c r="CA40" i="8"/>
  <c r="CB40" i="8"/>
  <c r="CT40" i="8" s="1"/>
  <c r="AE40" i="7"/>
  <c r="AF40" i="7" s="1"/>
  <c r="D41" i="9"/>
  <c r="Y39" i="11"/>
  <c r="AH39" i="1" s="1"/>
  <c r="N40" i="7"/>
  <c r="BX40" i="8"/>
  <c r="CD40" i="8" s="1"/>
  <c r="Z39" i="11"/>
  <c r="BZ40" i="8"/>
  <c r="N40" i="11"/>
  <c r="AA39" i="11"/>
  <c r="AK39" i="1" s="1"/>
  <c r="BY40" i="8"/>
  <c r="CI40" i="8"/>
  <c r="DA40" i="8" s="1"/>
  <c r="CH40" i="8"/>
  <c r="CZ40" i="8" s="1"/>
  <c r="BY45" i="11"/>
  <c r="K44" i="10"/>
  <c r="AA44" i="7"/>
  <c r="AF44" i="8" s="1"/>
  <c r="AV44" i="8" s="1"/>
  <c r="L44" i="11"/>
  <c r="J44" i="5"/>
  <c r="DC44" i="5" s="1"/>
  <c r="E43" i="10"/>
  <c r="G43" i="7"/>
  <c r="M44" i="5"/>
  <c r="H43" i="10"/>
  <c r="J43" i="7"/>
  <c r="D43" i="7"/>
  <c r="G44" i="5"/>
  <c r="B43" i="10"/>
  <c r="B43" i="5"/>
  <c r="H44" i="5"/>
  <c r="C43" i="10"/>
  <c r="E43" i="7"/>
  <c r="K44" i="5"/>
  <c r="F43" i="10"/>
  <c r="H43" i="7"/>
  <c r="DD43" i="5"/>
  <c r="L44" i="5"/>
  <c r="G43" i="10"/>
  <c r="I43" i="7"/>
  <c r="DC43" i="5"/>
  <c r="I44" i="5"/>
  <c r="D43" i="10"/>
  <c r="F43" i="7"/>
  <c r="CS38" i="8"/>
  <c r="DH41" i="8"/>
  <c r="DI41" i="8" s="1"/>
  <c r="CK41" i="8"/>
  <c r="BW41" i="8"/>
  <c r="AC41" i="1" s="1"/>
  <c r="BH41" i="8"/>
  <c r="BU41" i="8" s="1"/>
  <c r="BI41" i="8"/>
  <c r="AH52" i="9"/>
  <c r="C42" i="5"/>
  <c r="F42" i="5" s="1"/>
  <c r="CZ43" i="5"/>
  <c r="A41" i="11"/>
  <c r="BT41" i="5"/>
  <c r="AC41" i="8"/>
  <c r="BQ41" i="8" s="1"/>
  <c r="A41" i="10"/>
  <c r="AA41" i="10" s="1"/>
  <c r="B41" i="7"/>
  <c r="AJ41" i="5"/>
  <c r="AP41" i="5" s="1"/>
  <c r="X41" i="8"/>
  <c r="DD41" i="8" s="1"/>
  <c r="E41" i="1"/>
  <c r="AI41" i="5"/>
  <c r="B41" i="9"/>
  <c r="Y41" i="9" s="1"/>
  <c r="AB43" i="1"/>
  <c r="DI43" i="5"/>
  <c r="DA42" i="5"/>
  <c r="DG42" i="5" s="1" a="1"/>
  <c r="DG42" i="5" s="1"/>
  <c r="AG52" i="9"/>
  <c r="AK52" i="9"/>
  <c r="AE114" i="9"/>
  <c r="N28" i="1"/>
  <c r="S45" i="2"/>
  <c r="N46" i="2"/>
  <c r="R46" i="2"/>
  <c r="Q45" i="2"/>
  <c r="J47" i="10"/>
  <c r="N47" i="5" s="1"/>
  <c r="P47" i="2"/>
  <c r="AQ68" i="9" l="1"/>
  <c r="CM68" i="8" s="1"/>
  <c r="AO41" i="5"/>
  <c r="AM41" i="5"/>
  <c r="AN41" i="5"/>
  <c r="AR41" i="5" s="1"/>
  <c r="AV42" i="5"/>
  <c r="AW42" i="5"/>
  <c r="AG40" i="7"/>
  <c r="AI40" i="7" s="1"/>
  <c r="CL42" i="8"/>
  <c r="AI64" i="9"/>
  <c r="AO64" i="8" s="1"/>
  <c r="G47" i="8"/>
  <c r="CF46" i="8"/>
  <c r="O46" i="2"/>
  <c r="BQ46" i="5" a="1"/>
  <c r="BQ46" i="5" s="1"/>
  <c r="AD44" i="1"/>
  <c r="AM53" i="9"/>
  <c r="BR41" i="8"/>
  <c r="BS41" i="8"/>
  <c r="AZ46" i="5" a="1"/>
  <c r="AZ46" i="5" s="1"/>
  <c r="BE46" i="5" a="1"/>
  <c r="BE46" i="5" s="1"/>
  <c r="BO46" i="5" a="1"/>
  <c r="BO46" i="5" s="1"/>
  <c r="BB46" i="5" a="1"/>
  <c r="BB46" i="5" s="1"/>
  <c r="BD46" i="5" a="1"/>
  <c r="BD46" i="5" s="1"/>
  <c r="BK46" i="5" a="1"/>
  <c r="BK46" i="5" s="1"/>
  <c r="BM46" i="5" a="1"/>
  <c r="BM46" i="5" s="1"/>
  <c r="BF46" i="5" a="1"/>
  <c r="BF46" i="5" s="1"/>
  <c r="AE45" i="1" s="1"/>
  <c r="BI46" i="5" a="1"/>
  <c r="BI46" i="5" s="1"/>
  <c r="BC46" i="5" a="1"/>
  <c r="BC46" i="5" s="1"/>
  <c r="BH46" i="5" a="1"/>
  <c r="BH46" i="5" s="1"/>
  <c r="BA46" i="5" a="1"/>
  <c r="BA46" i="5" s="1"/>
  <c r="BG46" i="5" a="1"/>
  <c r="BG46" i="5" s="1"/>
  <c r="BN46" i="5" a="1"/>
  <c r="BN46" i="5" s="1"/>
  <c r="CV46" i="5"/>
  <c r="CT46" i="5"/>
  <c r="CQ46" i="5"/>
  <c r="CS46" i="5"/>
  <c r="CR46" i="5"/>
  <c r="CW46" i="5"/>
  <c r="CU46" i="5"/>
  <c r="AY46" i="5" a="1"/>
  <c r="AY46" i="5" s="1"/>
  <c r="BL46" i="5" a="1"/>
  <c r="BL46" i="5" s="1"/>
  <c r="BJ46" i="5" a="1"/>
  <c r="BJ46" i="5" s="1"/>
  <c r="CS39" i="8"/>
  <c r="V44" i="2"/>
  <c r="CQ40" i="8"/>
  <c r="CU40" i="8" s="1"/>
  <c r="F49" i="8"/>
  <c r="BP45" i="5" a="1"/>
  <c r="BP45" i="5" s="1"/>
  <c r="J45" i="2" s="1"/>
  <c r="O50" i="1"/>
  <c r="BT41" i="8"/>
  <c r="BO41" i="8"/>
  <c r="BP41" i="8"/>
  <c r="BM41" i="8"/>
  <c r="BN41" i="8"/>
  <c r="BK41" i="8"/>
  <c r="BL41" i="8"/>
  <c r="BJ41" i="8"/>
  <c r="AC41" i="10"/>
  <c r="X41" i="10" s="1"/>
  <c r="AS45" i="5"/>
  <c r="AK45" i="11"/>
  <c r="AM45" i="1"/>
  <c r="DB44" i="5"/>
  <c r="DE44" i="5"/>
  <c r="AQ40" i="5"/>
  <c r="AH45" i="11"/>
  <c r="DF44" i="5"/>
  <c r="BC46" i="14" a="1"/>
  <c r="BC46" i="14" s="1"/>
  <c r="BJ46" i="14" a="1"/>
  <c r="BJ46" i="14" s="1"/>
  <c r="BQ46" i="14" a="1"/>
  <c r="BQ46" i="14" s="1"/>
  <c r="BZ46" i="14" a="1"/>
  <c r="BZ46" i="14" s="1"/>
  <c r="AJ46" i="14" a="1"/>
  <c r="AJ46" i="14" s="1"/>
  <c r="AY46" i="14" a="1"/>
  <c r="AY46" i="14" s="1"/>
  <c r="S46" i="14" a="1"/>
  <c r="S46" i="14" s="1"/>
  <c r="AW46" i="14" a="1"/>
  <c r="AW46" i="14" s="1"/>
  <c r="BS46" i="14" a="1"/>
  <c r="BS46" i="14" s="1"/>
  <c r="O46" i="14" a="1"/>
  <c r="O46" i="14" s="1"/>
  <c r="BD46" i="14" a="1"/>
  <c r="BD46" i="14" s="1"/>
  <c r="BX46" i="14" a="1"/>
  <c r="BX46" i="14" s="1"/>
  <c r="AN46" i="14" a="1"/>
  <c r="AN46" i="14" s="1"/>
  <c r="BG46" i="14" a="1"/>
  <c r="BG46" i="14" s="1"/>
  <c r="BL46" i="14" a="1"/>
  <c r="BL46" i="14" s="1"/>
  <c r="Y46" i="14" a="1"/>
  <c r="Y46" i="14" s="1"/>
  <c r="BK46" i="14" a="1"/>
  <c r="BK46" i="14" s="1"/>
  <c r="V46" i="14" a="1"/>
  <c r="V46" i="14" s="1"/>
  <c r="BA46" i="14" a="1"/>
  <c r="BA46" i="14" s="1"/>
  <c r="AB46" i="14" a="1"/>
  <c r="AB46" i="14" s="1"/>
  <c r="BV46" i="14" a="1"/>
  <c r="BV46" i="14" s="1"/>
  <c r="AG46" i="14" a="1"/>
  <c r="AG46" i="14" s="1"/>
  <c r="AE46" i="14" a="1"/>
  <c r="AE46" i="14" s="1"/>
  <c r="AD46" i="14" a="1"/>
  <c r="AD46" i="14" s="1"/>
  <c r="BY46" i="14" a="1"/>
  <c r="BY46" i="14" s="1"/>
  <c r="T46" i="14" a="1"/>
  <c r="T46" i="14" s="1"/>
  <c r="BU46" i="14" a="1"/>
  <c r="BU46" i="14" s="1"/>
  <c r="M46" i="14" a="1"/>
  <c r="M46" i="14" s="1"/>
  <c r="W46" i="14" a="1"/>
  <c r="W46" i="14" s="1"/>
  <c r="N46" i="14" a="1"/>
  <c r="N46" i="14" s="1"/>
  <c r="BP46" i="14" a="1"/>
  <c r="BP46" i="14" s="1"/>
  <c r="BO46" i="14" a="1"/>
  <c r="BO46" i="14" s="1"/>
  <c r="BF46" i="14" a="1"/>
  <c r="BF46" i="14" s="1"/>
  <c r="AP46" i="14" a="1"/>
  <c r="AP46" i="14" s="1"/>
  <c r="BB46" i="14" a="1"/>
  <c r="BB46" i="14" s="1"/>
  <c r="BI46" i="14" a="1"/>
  <c r="BI46" i="14" s="1"/>
  <c r="BW46" i="14" a="1"/>
  <c r="BW46" i="14" s="1"/>
  <c r="AI46" i="14" a="1"/>
  <c r="AI46" i="14" s="1"/>
  <c r="Z46" i="14" a="1"/>
  <c r="Z46" i="14" s="1"/>
  <c r="AO46" i="14" a="1"/>
  <c r="AO46" i="14" s="1"/>
  <c r="AV46" i="14" a="1"/>
  <c r="AV46" i="14" s="1"/>
  <c r="X46" i="14" a="1"/>
  <c r="X46" i="14" s="1"/>
  <c r="AK46" i="14" a="1"/>
  <c r="AK46" i="14" s="1"/>
  <c r="U46" i="14" a="1"/>
  <c r="U46" i="14" s="1"/>
  <c r="BN46" i="14" a="1"/>
  <c r="BN46" i="14" s="1"/>
  <c r="AH46" i="14" a="1"/>
  <c r="AH46" i="14" s="1"/>
  <c r="BE46" i="14" a="1"/>
  <c r="BE46" i="14" s="1"/>
  <c r="BT46" i="14" a="1"/>
  <c r="BT46" i="14" s="1"/>
  <c r="BR46" i="14" a="1"/>
  <c r="BR46" i="14" s="1"/>
  <c r="AC46" i="14" a="1"/>
  <c r="AC46" i="14" s="1"/>
  <c r="P46" i="14" a="1"/>
  <c r="P46" i="14" s="1"/>
  <c r="AQ46" i="14" a="1"/>
  <c r="AQ46" i="14" s="1"/>
  <c r="AX46" i="14" a="1"/>
  <c r="AX46" i="14" s="1"/>
  <c r="BM46" i="14" a="1"/>
  <c r="BM46" i="14" s="1"/>
  <c r="AU46" i="14" a="1"/>
  <c r="AU46" i="14" s="1"/>
  <c r="AL46" i="14" a="1"/>
  <c r="AL46" i="14" s="1"/>
  <c r="AS46" i="14" a="1"/>
  <c r="AS46" i="14" s="1"/>
  <c r="AR46" i="14" a="1"/>
  <c r="AR46" i="14" s="1"/>
  <c r="AF46" i="14" a="1"/>
  <c r="AF46" i="14" s="1"/>
  <c r="R46" i="14" a="1"/>
  <c r="R46" i="14" s="1"/>
  <c r="AL46" i="1" s="1"/>
  <c r="AM46" i="14" a="1"/>
  <c r="AM46" i="14" s="1"/>
  <c r="AT46" i="14" a="1"/>
  <c r="AT46" i="14" s="1"/>
  <c r="BH46" i="14" a="1"/>
  <c r="BH46" i="14" s="1"/>
  <c r="AZ46" i="14" a="1"/>
  <c r="AZ46" i="14" s="1"/>
  <c r="AA46" i="14" a="1"/>
  <c r="AA46" i="14" s="1"/>
  <c r="Q46" i="14" a="1"/>
  <c r="Q46" i="14" s="1"/>
  <c r="Y43" i="1"/>
  <c r="DJ44" i="5"/>
  <c r="AJ45" i="1"/>
  <c r="K47" i="11"/>
  <c r="A47" i="14"/>
  <c r="CA47" i="14" s="1"/>
  <c r="A47" i="5"/>
  <c r="A47" i="7"/>
  <c r="R47" i="7" s="1"/>
  <c r="A47" i="2"/>
  <c r="A47" i="8"/>
  <c r="A47" i="9"/>
  <c r="AE46" i="8"/>
  <c r="AU46" i="8"/>
  <c r="W43" i="1"/>
  <c r="AF43" i="1"/>
  <c r="DH44" i="5"/>
  <c r="B40" i="14"/>
  <c r="CE40" i="8"/>
  <c r="CX40" i="8" s="1"/>
  <c r="CY40" i="8" s="1"/>
  <c r="CR40" i="8"/>
  <c r="DB40" i="8"/>
  <c r="B44" i="5"/>
  <c r="AH44" i="5"/>
  <c r="B44" i="1"/>
  <c r="BG44" i="1" s="1"/>
  <c r="B44" i="2"/>
  <c r="BU44" i="5"/>
  <c r="BY46" i="11"/>
  <c r="AA45" i="7"/>
  <c r="AF45" i="8" s="1"/>
  <c r="AV45" i="8" s="1"/>
  <c r="K45" i="10"/>
  <c r="L45" i="11"/>
  <c r="I45" i="5"/>
  <c r="D44" i="10"/>
  <c r="F44" i="7"/>
  <c r="K45" i="5"/>
  <c r="F44" i="10"/>
  <c r="H44" i="7"/>
  <c r="DD44" i="5"/>
  <c r="H45" i="5"/>
  <c r="C44" i="10"/>
  <c r="E44" i="7"/>
  <c r="M45" i="5"/>
  <c r="H44" i="10"/>
  <c r="J44" i="7"/>
  <c r="L45" i="5"/>
  <c r="G44" i="10"/>
  <c r="I44" i="7"/>
  <c r="D44" i="7"/>
  <c r="B44" i="10"/>
  <c r="G45" i="5"/>
  <c r="J45" i="5"/>
  <c r="E44" i="10"/>
  <c r="G44" i="7"/>
  <c r="D42" i="9"/>
  <c r="CI41" i="8"/>
  <c r="DA41" i="8" s="1"/>
  <c r="DH42" i="8"/>
  <c r="DI42" i="8" s="1"/>
  <c r="CK42" i="8"/>
  <c r="BW42" i="8"/>
  <c r="AC42" i="1" s="1"/>
  <c r="BX41" i="8"/>
  <c r="CD41" i="8" s="1"/>
  <c r="N41" i="7"/>
  <c r="BH42" i="8"/>
  <c r="BU42" i="8" s="1"/>
  <c r="BI42" i="8"/>
  <c r="AH53" i="9"/>
  <c r="AE41" i="7"/>
  <c r="AF41" i="7" s="1"/>
  <c r="Q41" i="7"/>
  <c r="CA41" i="8"/>
  <c r="CB41" i="8"/>
  <c r="CT41" i="8" s="1"/>
  <c r="BY41" i="8"/>
  <c r="BZ41" i="8"/>
  <c r="CC41" i="8"/>
  <c r="CV41" i="8" s="1"/>
  <c r="CW41" i="8" s="1"/>
  <c r="CH41" i="8"/>
  <c r="CZ41" i="8" s="1"/>
  <c r="C43" i="5"/>
  <c r="F43" i="5" s="1"/>
  <c r="A42" i="11"/>
  <c r="AC42" i="8"/>
  <c r="BQ42" i="8" s="1"/>
  <c r="BT42" i="5"/>
  <c r="A42" i="10"/>
  <c r="AA42" i="10" s="1"/>
  <c r="B42" i="7"/>
  <c r="AJ42" i="5"/>
  <c r="AP42" i="5" s="1"/>
  <c r="X42" i="8"/>
  <c r="DD42" i="8" s="1"/>
  <c r="E42" i="1"/>
  <c r="AI42" i="5"/>
  <c r="B42" i="9"/>
  <c r="Y42" i="9" s="1"/>
  <c r="CZ44" i="5"/>
  <c r="AD40" i="11"/>
  <c r="AI40" i="1" s="1"/>
  <c r="Z40" i="11"/>
  <c r="AC40" i="11"/>
  <c r="U40" i="8" s="1"/>
  <c r="G39" i="4" s="1"/>
  <c r="N41" i="11"/>
  <c r="AB40" i="11"/>
  <c r="Q40" i="8" s="1"/>
  <c r="D39" i="4" s="1"/>
  <c r="AA40" i="11"/>
  <c r="AK40" i="1" s="1"/>
  <c r="Y40" i="11"/>
  <c r="AH40" i="1" s="1"/>
  <c r="C44" i="5"/>
  <c r="DA43" i="5"/>
  <c r="DG43" i="5" s="1" a="1"/>
  <c r="DG43" i="5" s="1"/>
  <c r="AB44" i="1"/>
  <c r="DI44" i="5"/>
  <c r="AG53" i="9"/>
  <c r="AK53" i="9"/>
  <c r="AE115" i="9"/>
  <c r="N29" i="1"/>
  <c r="S46" i="2"/>
  <c r="N47" i="2"/>
  <c r="R47" i="2"/>
  <c r="Q46" i="2"/>
  <c r="J48" i="10"/>
  <c r="N48" i="5" s="1"/>
  <c r="P48" i="2"/>
  <c r="AQ69" i="9" l="1"/>
  <c r="CM69" i="8" s="1"/>
  <c r="AO42" i="5"/>
  <c r="AM42" i="5"/>
  <c r="AN42" i="5"/>
  <c r="AR42" i="5" s="1"/>
  <c r="AV43" i="5"/>
  <c r="AW43" i="5"/>
  <c r="AG41" i="7"/>
  <c r="AI41" i="7" s="1"/>
  <c r="CL43" i="8"/>
  <c r="AI65" i="9"/>
  <c r="AO65" i="8" s="1"/>
  <c r="G48" i="8"/>
  <c r="CF47" i="8"/>
  <c r="O47" i="2"/>
  <c r="BG47" i="5" a="1"/>
  <c r="BG47" i="5" s="1"/>
  <c r="BH47" i="5" a="1"/>
  <c r="BH47" i="5" s="1"/>
  <c r="BN47" i="5" a="1"/>
  <c r="BN47" i="5" s="1"/>
  <c r="BC47" i="5" a="1"/>
  <c r="BC47" i="5" s="1"/>
  <c r="AM54" i="9"/>
  <c r="BR42" i="8"/>
  <c r="BS42" i="8"/>
  <c r="AD45" i="1"/>
  <c r="BA47" i="5" a="1"/>
  <c r="BA47" i="5" s="1"/>
  <c r="BI47" i="5" a="1"/>
  <c r="BI47" i="5" s="1"/>
  <c r="BJ47" i="5" a="1"/>
  <c r="BJ47" i="5" s="1"/>
  <c r="BF47" i="5" a="1"/>
  <c r="BF47" i="5" s="1"/>
  <c r="AE46" i="1" s="1"/>
  <c r="BM47" i="5" a="1"/>
  <c r="BM47" i="5" s="1"/>
  <c r="BK47" i="5" a="1"/>
  <c r="BK47" i="5" s="1"/>
  <c r="BD47" i="5" a="1"/>
  <c r="BD47" i="5" s="1"/>
  <c r="BB47" i="5" a="1"/>
  <c r="BB47" i="5" s="1"/>
  <c r="BO47" i="5" a="1"/>
  <c r="BO47" i="5" s="1"/>
  <c r="CQ47" i="5"/>
  <c r="CU47" i="5"/>
  <c r="CT47" i="5"/>
  <c r="CR47" i="5"/>
  <c r="CS47" i="5"/>
  <c r="CV47" i="5"/>
  <c r="CW47" i="5"/>
  <c r="AY47" i="5" a="1"/>
  <c r="AY47" i="5" s="1"/>
  <c r="BL47" i="5" a="1"/>
  <c r="BL47" i="5" s="1"/>
  <c r="BE47" i="5" a="1"/>
  <c r="BE47" i="5" s="1"/>
  <c r="AZ47" i="5" a="1"/>
  <c r="AZ47" i="5" s="1"/>
  <c r="BQ47" i="5" a="1"/>
  <c r="BQ47" i="5" s="1"/>
  <c r="V45" i="2"/>
  <c r="CS40" i="8"/>
  <c r="F50" i="8"/>
  <c r="BP46" i="5" a="1"/>
  <c r="BP46" i="5" s="1"/>
  <c r="J46" i="2" s="1"/>
  <c r="O51" i="1"/>
  <c r="BT42" i="8"/>
  <c r="BO42" i="8"/>
  <c r="BP42" i="8"/>
  <c r="BM42" i="8"/>
  <c r="BN42" i="8"/>
  <c r="BK42" i="8"/>
  <c r="BL42" i="8"/>
  <c r="BJ42" i="8"/>
  <c r="AC42" i="10"/>
  <c r="X42" i="10" s="1"/>
  <c r="AS46" i="5"/>
  <c r="AK46" i="11"/>
  <c r="DB45" i="5"/>
  <c r="AH46" i="11"/>
  <c r="AM46" i="1"/>
  <c r="DF45" i="5"/>
  <c r="K48" i="11"/>
  <c r="A48" i="14"/>
  <c r="CA48" i="14" s="1"/>
  <c r="A48" i="8"/>
  <c r="A48" i="2"/>
  <c r="A48" i="9"/>
  <c r="A48" i="7"/>
  <c r="R48" i="7" s="1"/>
  <c r="A48" i="5"/>
  <c r="DH45" i="5"/>
  <c r="W44" i="1"/>
  <c r="AE47" i="8"/>
  <c r="AU47" i="8"/>
  <c r="AJ46" i="1"/>
  <c r="AF44" i="1"/>
  <c r="W47" i="14" a="1"/>
  <c r="W47" i="14" s="1"/>
  <c r="BJ47" i="14" a="1"/>
  <c r="BJ47" i="14" s="1"/>
  <c r="BD47" i="14" a="1"/>
  <c r="BD47" i="14" s="1"/>
  <c r="BH47" i="14" a="1"/>
  <c r="BH47" i="14" s="1"/>
  <c r="BW47" i="14" a="1"/>
  <c r="BW47" i="14" s="1"/>
  <c r="AY47" i="14" a="1"/>
  <c r="AY47" i="14" s="1"/>
  <c r="R47" i="14" a="1"/>
  <c r="R47" i="14" s="1"/>
  <c r="AL47" i="1" s="1"/>
  <c r="Y47" i="14" a="1"/>
  <c r="Y47" i="14" s="1"/>
  <c r="O47" i="14" a="1"/>
  <c r="O47" i="14" s="1"/>
  <c r="BB47" i="14" a="1"/>
  <c r="BB47" i="14" s="1"/>
  <c r="AK47" i="14" a="1"/>
  <c r="AK47" i="14" s="1"/>
  <c r="AR47" i="14" a="1"/>
  <c r="AR47" i="14" s="1"/>
  <c r="BY47" i="14" a="1"/>
  <c r="BY47" i="14" s="1"/>
  <c r="BV47" i="14" a="1"/>
  <c r="BV47" i="14" s="1"/>
  <c r="BL47" i="14" a="1"/>
  <c r="BL47" i="14" s="1"/>
  <c r="AO47" i="14" a="1"/>
  <c r="AO47" i="14" s="1"/>
  <c r="AV47" i="14" a="1"/>
  <c r="AV47" i="14" s="1"/>
  <c r="AM47" i="14" a="1"/>
  <c r="AM47" i="14" s="1"/>
  <c r="AL47" i="14" a="1"/>
  <c r="AL47" i="14" s="1"/>
  <c r="U47" i="14" a="1"/>
  <c r="U47" i="14" s="1"/>
  <c r="AZ47" i="14" a="1"/>
  <c r="AZ47" i="14" s="1"/>
  <c r="AQ47" i="14" a="1"/>
  <c r="AQ47" i="14" s="1"/>
  <c r="AW47" i="14" a="1"/>
  <c r="AW47" i="14" s="1"/>
  <c r="Z47" i="14" a="1"/>
  <c r="Z47" i="14" s="1"/>
  <c r="AH47" i="14" a="1"/>
  <c r="AH47" i="14" s="1"/>
  <c r="BT47" i="14" a="1"/>
  <c r="BT47" i="14" s="1"/>
  <c r="AE47" i="14" a="1"/>
  <c r="AE47" i="14" s="1"/>
  <c r="AD47" i="14" a="1"/>
  <c r="AD47" i="14" s="1"/>
  <c r="BA47" i="14" a="1"/>
  <c r="BA47" i="14" s="1"/>
  <c r="AJ47" i="14" a="1"/>
  <c r="AJ47" i="14" s="1"/>
  <c r="AI47" i="14" a="1"/>
  <c r="AI47" i="14" s="1"/>
  <c r="BN47" i="14" a="1"/>
  <c r="BN47" i="14" s="1"/>
  <c r="BM47" i="14" a="1"/>
  <c r="BM47" i="14" s="1"/>
  <c r="AG47" i="14" a="1"/>
  <c r="AG47" i="14" s="1"/>
  <c r="BS47" i="14" a="1"/>
  <c r="BS47" i="14" s="1"/>
  <c r="BR47" i="14" a="1"/>
  <c r="BR47" i="14" s="1"/>
  <c r="N47" i="14" a="1"/>
  <c r="N47" i="14" s="1"/>
  <c r="AC47" i="14" a="1"/>
  <c r="AC47" i="14" s="1"/>
  <c r="AB47" i="14" a="1"/>
  <c r="AB47" i="14" s="1"/>
  <c r="AF47" i="14" a="1"/>
  <c r="AF47" i="14" s="1"/>
  <c r="AX47" i="14" a="1"/>
  <c r="AX47" i="14" s="1"/>
  <c r="Q47" i="14" a="1"/>
  <c r="Q47" i="14" s="1"/>
  <c r="BK47" i="14" a="1"/>
  <c r="BK47" i="14" s="1"/>
  <c r="X47" i="14" a="1"/>
  <c r="X47" i="14" s="1"/>
  <c r="AS47" i="14" a="1"/>
  <c r="AS47" i="14" s="1"/>
  <c r="P47" i="14" a="1"/>
  <c r="P47" i="14" s="1"/>
  <c r="T47" i="14" a="1"/>
  <c r="T47" i="14" s="1"/>
  <c r="BO47" i="14" a="1"/>
  <c r="BO47" i="14" s="1"/>
  <c r="AP47" i="14" a="1"/>
  <c r="AP47" i="14" s="1"/>
  <c r="M47" i="14" a="1"/>
  <c r="M47" i="14" s="1"/>
  <c r="AU47" i="14" a="1"/>
  <c r="AU47" i="14" s="1"/>
  <c r="AT47" i="14" a="1"/>
  <c r="AT47" i="14" s="1"/>
  <c r="BQ47" i="14" a="1"/>
  <c r="BQ47" i="14" s="1"/>
  <c r="BZ47" i="14" a="1"/>
  <c r="BZ47" i="14" s="1"/>
  <c r="BP47" i="14" a="1"/>
  <c r="BP47" i="14" s="1"/>
  <c r="AA47" i="14" a="1"/>
  <c r="AA47" i="14" s="1"/>
  <c r="S47" i="14" a="1"/>
  <c r="S47" i="14" s="1"/>
  <c r="BU47" i="14" a="1"/>
  <c r="BU47" i="14" s="1"/>
  <c r="BG47" i="14" a="1"/>
  <c r="BG47" i="14" s="1"/>
  <c r="BF47" i="14" a="1"/>
  <c r="BF47" i="14" s="1"/>
  <c r="BE47" i="14" a="1"/>
  <c r="BE47" i="14" s="1"/>
  <c r="BC47" i="14" a="1"/>
  <c r="BC47" i="14" s="1"/>
  <c r="V47" i="14" a="1"/>
  <c r="V47" i="14" s="1"/>
  <c r="BI47" i="14" a="1"/>
  <c r="BI47" i="14" s="1"/>
  <c r="BX47" i="14" a="1"/>
  <c r="BX47" i="14" s="1"/>
  <c r="AN47" i="14" a="1"/>
  <c r="AN47" i="14" s="1"/>
  <c r="Y44" i="1"/>
  <c r="DJ45" i="5"/>
  <c r="F44" i="5"/>
  <c r="BY47" i="11"/>
  <c r="K46" i="10"/>
  <c r="AA46" i="7"/>
  <c r="AF46" i="8" s="1"/>
  <c r="AV46" i="8" s="1"/>
  <c r="L46" i="11"/>
  <c r="B45" i="2"/>
  <c r="B45" i="1"/>
  <c r="BG45" i="1" s="1"/>
  <c r="AH45" i="5"/>
  <c r="BU45" i="5"/>
  <c r="J46" i="5"/>
  <c r="DC46" i="5" s="1"/>
  <c r="E45" i="10"/>
  <c r="G45" i="7"/>
  <c r="L46" i="5"/>
  <c r="G45" i="10"/>
  <c r="I45" i="7"/>
  <c r="H46" i="5"/>
  <c r="C45" i="10"/>
  <c r="E45" i="7"/>
  <c r="B45" i="5"/>
  <c r="G46" i="5"/>
  <c r="B45" i="10"/>
  <c r="D45" i="7"/>
  <c r="K46" i="5"/>
  <c r="F45" i="10"/>
  <c r="H45" i="7"/>
  <c r="DD45" i="5"/>
  <c r="DE45" i="5"/>
  <c r="M46" i="5"/>
  <c r="H45" i="10"/>
  <c r="J45" i="7"/>
  <c r="DC45" i="5"/>
  <c r="I46" i="5"/>
  <c r="D45" i="10"/>
  <c r="F45" i="7"/>
  <c r="CQ41" i="8"/>
  <c r="CU41" i="8" s="1"/>
  <c r="CI42" i="8"/>
  <c r="DA42" i="8" s="1"/>
  <c r="D43" i="9"/>
  <c r="DB41" i="8"/>
  <c r="DH43" i="8"/>
  <c r="DI43" i="8" s="1"/>
  <c r="CE41" i="8"/>
  <c r="CX41" i="8" s="1"/>
  <c r="CY41" i="8" s="1"/>
  <c r="CK43" i="8"/>
  <c r="BW43" i="8"/>
  <c r="AC43" i="1" s="1"/>
  <c r="BX42" i="8"/>
  <c r="CD42" i="8" s="1"/>
  <c r="N42" i="7"/>
  <c r="BH43" i="8"/>
  <c r="BU43" i="8" s="1"/>
  <c r="BI43" i="8"/>
  <c r="AH54" i="9"/>
  <c r="AE42" i="7"/>
  <c r="AF42" i="7" s="1"/>
  <c r="Q42" i="7"/>
  <c r="AC43" i="8"/>
  <c r="BQ43" i="8" s="1"/>
  <c r="BT43" i="5"/>
  <c r="A43" i="10"/>
  <c r="AA43" i="10" s="1"/>
  <c r="B43" i="7"/>
  <c r="AJ43" i="5"/>
  <c r="AP43" i="5" s="1"/>
  <c r="X43" i="8"/>
  <c r="DD43" i="8" s="1"/>
  <c r="E43" i="1"/>
  <c r="AI43" i="5"/>
  <c r="B43" i="9"/>
  <c r="Y43" i="9" s="1"/>
  <c r="A43" i="11"/>
  <c r="CZ45" i="5"/>
  <c r="B41" i="14"/>
  <c r="AQ41" i="5"/>
  <c r="Y41" i="11"/>
  <c r="AH41" i="1" s="1"/>
  <c r="AD41" i="11"/>
  <c r="AI41" i="1" s="1"/>
  <c r="Z41" i="11"/>
  <c r="AA41" i="11"/>
  <c r="AK41" i="1" s="1"/>
  <c r="N42" i="11"/>
  <c r="AB41" i="11"/>
  <c r="Q41" i="8" s="1"/>
  <c r="AC41" i="11"/>
  <c r="U41" i="8" s="1"/>
  <c r="BY42" i="8"/>
  <c r="BZ42" i="8"/>
  <c r="CA42" i="8"/>
  <c r="CB42" i="8"/>
  <c r="CT42" i="8" s="1"/>
  <c r="CH42" i="8"/>
  <c r="CZ42" i="8" s="1"/>
  <c r="CC42" i="8"/>
  <c r="CV42" i="8" s="1"/>
  <c r="CW42" i="8" s="1"/>
  <c r="CR41" i="8"/>
  <c r="DA44" i="5"/>
  <c r="DG44" i="5" s="1" a="1"/>
  <c r="DG44" i="5" s="1"/>
  <c r="AB45" i="1"/>
  <c r="DI45" i="5"/>
  <c r="AG54" i="9"/>
  <c r="AK54" i="9"/>
  <c r="AE116" i="9"/>
  <c r="N30" i="1"/>
  <c r="S47" i="2"/>
  <c r="N48" i="2"/>
  <c r="R48" i="2"/>
  <c r="Q47" i="2"/>
  <c r="P49" i="2"/>
  <c r="J49" i="10"/>
  <c r="N49" i="5" s="1"/>
  <c r="AQ70" i="9" l="1"/>
  <c r="CM70" i="8" s="1"/>
  <c r="AO43" i="5"/>
  <c r="AM43" i="5"/>
  <c r="AN43" i="5"/>
  <c r="AR43" i="5" s="1"/>
  <c r="AV44" i="5"/>
  <c r="AW44" i="5"/>
  <c r="AG42" i="7"/>
  <c r="AI42" i="7" s="1"/>
  <c r="CL44" i="8"/>
  <c r="AI66" i="9"/>
  <c r="AO66" i="8" s="1"/>
  <c r="G49" i="8"/>
  <c r="CF48" i="8"/>
  <c r="O48" i="2"/>
  <c r="AD46" i="1"/>
  <c r="AM55" i="9"/>
  <c r="BR43" i="8"/>
  <c r="BS43" i="8"/>
  <c r="CV48" i="5"/>
  <c r="CT48" i="5"/>
  <c r="CS48" i="5"/>
  <c r="CR48" i="5"/>
  <c r="CU48" i="5"/>
  <c r="CQ48" i="5"/>
  <c r="CW48" i="5"/>
  <c r="AY48" i="5" a="1"/>
  <c r="AY48" i="5" s="1"/>
  <c r="BL48" i="5" a="1"/>
  <c r="BL48" i="5" s="1"/>
  <c r="BO48" i="5" a="1"/>
  <c r="BO48" i="5" s="1"/>
  <c r="BQ48" i="5" a="1"/>
  <c r="BQ48" i="5" s="1"/>
  <c r="BB48" i="5" a="1"/>
  <c r="BB48" i="5" s="1"/>
  <c r="AZ48" i="5" a="1"/>
  <c r="AZ48" i="5" s="1"/>
  <c r="BD48" i="5" a="1"/>
  <c r="BD48" i="5" s="1"/>
  <c r="BK48" i="5" a="1"/>
  <c r="BK48" i="5" s="1"/>
  <c r="BC48" i="5" a="1"/>
  <c r="BC48" i="5" s="1"/>
  <c r="BM48" i="5" a="1"/>
  <c r="BM48" i="5" s="1"/>
  <c r="BN48" i="5" a="1"/>
  <c r="BN48" i="5" s="1"/>
  <c r="BF48" i="5" a="1"/>
  <c r="BF48" i="5" s="1"/>
  <c r="AE47" i="1" s="1"/>
  <c r="BE48" i="5" a="1"/>
  <c r="BE48" i="5" s="1"/>
  <c r="BJ48" i="5" a="1"/>
  <c r="BJ48" i="5" s="1"/>
  <c r="BI48" i="5" a="1"/>
  <c r="BI48" i="5" s="1"/>
  <c r="BH48" i="5" a="1"/>
  <c r="BH48" i="5" s="1"/>
  <c r="BA48" i="5" a="1"/>
  <c r="BA48" i="5" s="1"/>
  <c r="BG48" i="5" a="1"/>
  <c r="BG48" i="5" s="1"/>
  <c r="V46" i="2"/>
  <c r="F51" i="8"/>
  <c r="BP47" i="5" a="1"/>
  <c r="BP47" i="5" s="1"/>
  <c r="J47" i="2" s="1"/>
  <c r="X44" i="8"/>
  <c r="DD44" i="8" s="1"/>
  <c r="O52" i="1"/>
  <c r="BT43" i="8"/>
  <c r="BO43" i="8"/>
  <c r="BP43" i="8"/>
  <c r="BM43" i="8"/>
  <c r="BN43" i="8"/>
  <c r="BK43" i="8"/>
  <c r="BL43" i="8"/>
  <c r="BJ43" i="8"/>
  <c r="AC43" i="10"/>
  <c r="X43" i="10" s="1"/>
  <c r="AS47" i="5"/>
  <c r="DH44" i="8"/>
  <c r="DI44" i="8" s="1"/>
  <c r="DE46" i="5"/>
  <c r="DF46" i="5"/>
  <c r="AH47" i="11"/>
  <c r="AJ47" i="1"/>
  <c r="AK47" i="11"/>
  <c r="AM47" i="1"/>
  <c r="Y45" i="1"/>
  <c r="DJ46" i="5"/>
  <c r="AU48" i="8"/>
  <c r="AE48" i="8"/>
  <c r="AF45" i="1"/>
  <c r="BK48" i="14" a="1"/>
  <c r="BK48" i="14" s="1"/>
  <c r="BB48" i="14" a="1"/>
  <c r="BB48" i="14" s="1"/>
  <c r="BD48" i="14" a="1"/>
  <c r="BD48" i="14" s="1"/>
  <c r="BZ48" i="14" a="1"/>
  <c r="BZ48" i="14" s="1"/>
  <c r="BH48" i="14" a="1"/>
  <c r="BH48" i="14" s="1"/>
  <c r="S48" i="14" a="1"/>
  <c r="S48" i="14" s="1"/>
  <c r="BN48" i="14" a="1"/>
  <c r="BN48" i="14" s="1"/>
  <c r="BU48" i="14" a="1"/>
  <c r="BU48" i="14" s="1"/>
  <c r="AU48" i="14" a="1"/>
  <c r="AU48" i="14" s="1"/>
  <c r="AT48" i="14" a="1"/>
  <c r="AT48" i="14" s="1"/>
  <c r="BI48" i="14" a="1"/>
  <c r="BI48" i="14" s="1"/>
  <c r="AZ48" i="14" a="1"/>
  <c r="AZ48" i="14" s="1"/>
  <c r="AB48" i="14" a="1"/>
  <c r="AB48" i="14" s="1"/>
  <c r="BG48" i="14" a="1"/>
  <c r="BG48" i="14" s="1"/>
  <c r="AX48" i="14" a="1"/>
  <c r="AX48" i="14" s="1"/>
  <c r="AO48" i="14" a="1"/>
  <c r="AO48" i="14" s="1"/>
  <c r="BC48" i="14" a="1"/>
  <c r="BC48" i="14" s="1"/>
  <c r="X48" i="14" a="1"/>
  <c r="X48" i="14" s="1"/>
  <c r="BQ48" i="14" a="1"/>
  <c r="BQ48" i="14" s="1"/>
  <c r="BP48" i="14" a="1"/>
  <c r="BP48" i="14" s="1"/>
  <c r="T48" i="14" a="1"/>
  <c r="T48" i="14" s="1"/>
  <c r="AY48" i="14" a="1"/>
  <c r="AY48" i="14" s="1"/>
  <c r="Z48" i="14" a="1"/>
  <c r="Z48" i="14" s="1"/>
  <c r="BM48" i="14" a="1"/>
  <c r="BM48" i="14" s="1"/>
  <c r="AM48" i="14" a="1"/>
  <c r="AM48" i="14" s="1"/>
  <c r="AD48" i="14" a="1"/>
  <c r="AD48" i="14" s="1"/>
  <c r="BA48" i="14" a="1"/>
  <c r="BA48" i="14" s="1"/>
  <c r="P48" i="14" a="1"/>
  <c r="P48" i="14" s="1"/>
  <c r="AJ48" i="14" a="1"/>
  <c r="AJ48" i="14" s="1"/>
  <c r="AF48" i="14" a="1"/>
  <c r="AF48" i="14" s="1"/>
  <c r="AW48" i="14" a="1"/>
  <c r="AW48" i="14" s="1"/>
  <c r="AG48" i="14" a="1"/>
  <c r="AG48" i="14" s="1"/>
  <c r="AE48" i="14" a="1"/>
  <c r="AE48" i="14" s="1"/>
  <c r="BJ48" i="14" a="1"/>
  <c r="BJ48" i="14" s="1"/>
  <c r="AS48" i="14" a="1"/>
  <c r="AS48" i="14" s="1"/>
  <c r="BY48" i="14" a="1"/>
  <c r="BY48" i="14" s="1"/>
  <c r="BW48" i="14" a="1"/>
  <c r="BW48" i="14" s="1"/>
  <c r="AH48" i="14" a="1"/>
  <c r="AH48" i="14" s="1"/>
  <c r="AI48" i="14" a="1"/>
  <c r="AI48" i="14" s="1"/>
  <c r="Q48" i="14" a="1"/>
  <c r="Q48" i="14" s="1"/>
  <c r="BS48" i="14" a="1"/>
  <c r="BS48" i="14" s="1"/>
  <c r="BR48" i="14" a="1"/>
  <c r="BR48" i="14" s="1"/>
  <c r="N48" i="14" a="1"/>
  <c r="N48" i="14" s="1"/>
  <c r="AC48" i="14" a="1"/>
  <c r="AC48" i="14" s="1"/>
  <c r="BX48" i="14" a="1"/>
  <c r="BX48" i="14" s="1"/>
  <c r="BV48" i="14" a="1"/>
  <c r="BV48" i="14" s="1"/>
  <c r="AA48" i="14" a="1"/>
  <c r="AA48" i="14" s="1"/>
  <c r="AP48" i="14" a="1"/>
  <c r="AP48" i="14" s="1"/>
  <c r="M48" i="14" a="1"/>
  <c r="M48" i="14" s="1"/>
  <c r="AV48" i="14" a="1"/>
  <c r="AV48" i="14" s="1"/>
  <c r="O48" i="14" a="1"/>
  <c r="O48" i="14" s="1"/>
  <c r="AL48" i="14" a="1"/>
  <c r="AL48" i="14" s="1"/>
  <c r="AK48" i="14" a="1"/>
  <c r="AK48" i="14" s="1"/>
  <c r="AN48" i="14" a="1"/>
  <c r="AN48" i="14" s="1"/>
  <c r="AQ48" i="14" a="1"/>
  <c r="AQ48" i="14" s="1"/>
  <c r="BF48" i="14" a="1"/>
  <c r="BF48" i="14" s="1"/>
  <c r="BE48" i="14" a="1"/>
  <c r="BE48" i="14" s="1"/>
  <c r="BL48" i="14" a="1"/>
  <c r="BL48" i="14" s="1"/>
  <c r="AR48" i="14" a="1"/>
  <c r="AR48" i="14" s="1"/>
  <c r="BO48" i="14" a="1"/>
  <c r="BO48" i="14" s="1"/>
  <c r="R48" i="14" a="1"/>
  <c r="R48" i="14" s="1"/>
  <c r="AL48" i="1" s="1"/>
  <c r="Y48" i="14" a="1"/>
  <c r="Y48" i="14" s="1"/>
  <c r="BT48" i="14" a="1"/>
  <c r="BT48" i="14" s="1"/>
  <c r="W48" i="14" a="1"/>
  <c r="W48" i="14" s="1"/>
  <c r="V48" i="14" a="1"/>
  <c r="V48" i="14" s="1"/>
  <c r="U48" i="14" a="1"/>
  <c r="U48" i="14" s="1"/>
  <c r="DH46" i="5"/>
  <c r="K49" i="11"/>
  <c r="A49" i="14"/>
  <c r="CA49" i="14" s="1"/>
  <c r="A49" i="8"/>
  <c r="A49" i="2"/>
  <c r="A49" i="5"/>
  <c r="A49" i="9"/>
  <c r="A49" i="7"/>
  <c r="R49" i="7" s="1"/>
  <c r="W45" i="1"/>
  <c r="AC44" i="8"/>
  <c r="BQ44" i="8" s="1"/>
  <c r="BI44" i="8"/>
  <c r="A44" i="11"/>
  <c r="Y43" i="11" s="1"/>
  <c r="AH43" i="1" s="1"/>
  <c r="BW44" i="8"/>
  <c r="B44" i="7"/>
  <c r="Q44" i="7" s="1"/>
  <c r="A44" i="10"/>
  <c r="AA44" i="10" s="1"/>
  <c r="CK44" i="8"/>
  <c r="AJ44" i="5"/>
  <c r="AP44" i="5" s="1"/>
  <c r="BH44" i="8"/>
  <c r="BU44" i="8" s="1"/>
  <c r="B44" i="9"/>
  <c r="Y44" i="9" s="1"/>
  <c r="BT44" i="5"/>
  <c r="AI44" i="5"/>
  <c r="E44" i="1"/>
  <c r="B46" i="5"/>
  <c r="DB46" i="5"/>
  <c r="B46" i="1"/>
  <c r="BG46" i="1" s="1"/>
  <c r="AH46" i="5"/>
  <c r="B46" i="2"/>
  <c r="BU46" i="5"/>
  <c r="BY48" i="11"/>
  <c r="K47" i="10"/>
  <c r="AA47" i="7"/>
  <c r="AF47" i="8" s="1"/>
  <c r="AV47" i="8" s="1"/>
  <c r="L47" i="11"/>
  <c r="I47" i="5"/>
  <c r="D46" i="10"/>
  <c r="F46" i="7"/>
  <c r="K47" i="5"/>
  <c r="F46" i="10"/>
  <c r="H46" i="7"/>
  <c r="DD46" i="5"/>
  <c r="H47" i="5"/>
  <c r="C46" i="10"/>
  <c r="E46" i="7"/>
  <c r="M47" i="5"/>
  <c r="H46" i="10"/>
  <c r="J46" i="7"/>
  <c r="D46" i="7"/>
  <c r="B46" i="10"/>
  <c r="G47" i="5"/>
  <c r="L47" i="5"/>
  <c r="G46" i="10"/>
  <c r="I46" i="7"/>
  <c r="J47" i="5"/>
  <c r="DC47" i="5" s="1"/>
  <c r="E46" i="10"/>
  <c r="G46" i="7"/>
  <c r="CS41" i="8"/>
  <c r="CQ42" i="8"/>
  <c r="CU42" i="8" s="1"/>
  <c r="CE42" i="8"/>
  <c r="CX42" i="8" s="1"/>
  <c r="CY42" i="8" s="1"/>
  <c r="DB42" i="8"/>
  <c r="CI43" i="8"/>
  <c r="DA43" i="8" s="1"/>
  <c r="D44" i="9"/>
  <c r="BX43" i="8"/>
  <c r="CE43" i="8" s="1"/>
  <c r="N43" i="7"/>
  <c r="AH55" i="9"/>
  <c r="CR42" i="8"/>
  <c r="CC43" i="8"/>
  <c r="CV43" i="8" s="1"/>
  <c r="CW43" i="8" s="1"/>
  <c r="BY43" i="8"/>
  <c r="CH43" i="8"/>
  <c r="CZ43" i="8" s="1"/>
  <c r="CA43" i="8"/>
  <c r="CB43" i="8"/>
  <c r="CT43" i="8" s="1"/>
  <c r="BZ43" i="8"/>
  <c r="AE43" i="7"/>
  <c r="AF43" i="7" s="1"/>
  <c r="Q43" i="7"/>
  <c r="AQ42" i="5"/>
  <c r="C45" i="5"/>
  <c r="F45" i="5" s="1"/>
  <c r="B42" i="14"/>
  <c r="CZ46" i="5"/>
  <c r="Y42" i="11"/>
  <c r="AH42" i="1" s="1"/>
  <c r="AA42" i="11"/>
  <c r="AK42" i="1" s="1"/>
  <c r="AC42" i="11"/>
  <c r="U42" i="8" s="1"/>
  <c r="AD42" i="11"/>
  <c r="AI42" i="1" s="1"/>
  <c r="N43" i="11"/>
  <c r="Z42" i="11"/>
  <c r="AB42" i="11"/>
  <c r="Q42" i="8" s="1"/>
  <c r="AB46" i="1"/>
  <c r="DI46" i="5"/>
  <c r="DA45" i="5"/>
  <c r="DG45" i="5" s="1" a="1"/>
  <c r="DG45" i="5" s="1"/>
  <c r="AG55" i="9"/>
  <c r="AK55" i="9"/>
  <c r="AE117" i="9"/>
  <c r="N31" i="1"/>
  <c r="S48" i="2"/>
  <c r="N49" i="2"/>
  <c r="R49" i="2"/>
  <c r="Q48" i="2"/>
  <c r="J50" i="10"/>
  <c r="N50" i="5" s="1"/>
  <c r="P50" i="2"/>
  <c r="AQ71" i="9" l="1"/>
  <c r="CM71" i="8" s="1"/>
  <c r="AO44" i="5"/>
  <c r="AM44" i="5"/>
  <c r="AN44" i="5"/>
  <c r="AV45" i="5"/>
  <c r="AW45" i="5"/>
  <c r="AG43" i="7"/>
  <c r="AI43" i="7" s="1"/>
  <c r="CL45" i="8"/>
  <c r="BZ44" i="8"/>
  <c r="AC44" i="1"/>
  <c r="AI67" i="9"/>
  <c r="AO67" i="8" s="1"/>
  <c r="G50" i="8"/>
  <c r="CF49" i="8"/>
  <c r="O49" i="2"/>
  <c r="AZ49" i="5" a="1"/>
  <c r="AZ49" i="5" s="1"/>
  <c r="BK49" i="5" a="1"/>
  <c r="BK49" i="5" s="1"/>
  <c r="AM56" i="9"/>
  <c r="BR44" i="8"/>
  <c r="BS44" i="8"/>
  <c r="AD47" i="1"/>
  <c r="BD49" i="5" a="1"/>
  <c r="BD49" i="5" s="1"/>
  <c r="BB49" i="5" a="1"/>
  <c r="BB49" i="5" s="1"/>
  <c r="BQ49" i="5" a="1"/>
  <c r="BQ49" i="5" s="1"/>
  <c r="BG49" i="5" a="1"/>
  <c r="BG49" i="5" s="1"/>
  <c r="BO49" i="5" a="1"/>
  <c r="BO49" i="5" s="1"/>
  <c r="BA49" i="5" a="1"/>
  <c r="BA49" i="5" s="1"/>
  <c r="BH49" i="5" a="1"/>
  <c r="BH49" i="5" s="1"/>
  <c r="CW49" i="5"/>
  <c r="CR49" i="5"/>
  <c r="CT49" i="5"/>
  <c r="CU49" i="5"/>
  <c r="CV49" i="5"/>
  <c r="CQ49" i="5"/>
  <c r="CS49" i="5"/>
  <c r="AY49" i="5" a="1"/>
  <c r="AY49" i="5" s="1"/>
  <c r="BL49" i="5" a="1"/>
  <c r="BL49" i="5" s="1"/>
  <c r="BI49" i="5" a="1"/>
  <c r="BI49" i="5" s="1"/>
  <c r="BJ49" i="5" a="1"/>
  <c r="BJ49" i="5" s="1"/>
  <c r="BE49" i="5" a="1"/>
  <c r="BE49" i="5" s="1"/>
  <c r="BF49" i="5" a="1"/>
  <c r="BF49" i="5" s="1"/>
  <c r="AE48" i="1" s="1"/>
  <c r="BN49" i="5" a="1"/>
  <c r="BN49" i="5" s="1"/>
  <c r="BM49" i="5" a="1"/>
  <c r="BM49" i="5" s="1"/>
  <c r="BC49" i="5" a="1"/>
  <c r="BC49" i="5" s="1"/>
  <c r="V47" i="2"/>
  <c r="F52" i="8"/>
  <c r="BP48" i="5" a="1"/>
  <c r="BP48" i="5" s="1"/>
  <c r="J48" i="2" s="1"/>
  <c r="O53" i="1"/>
  <c r="BT44" i="8"/>
  <c r="BO44" i="8"/>
  <c r="BP44" i="8"/>
  <c r="BM44" i="8"/>
  <c r="BN44" i="8"/>
  <c r="BK44" i="8"/>
  <c r="BL44" i="8"/>
  <c r="BJ44" i="8"/>
  <c r="AC44" i="10"/>
  <c r="X44" i="10" s="1"/>
  <c r="AR44" i="5"/>
  <c r="AS48" i="5"/>
  <c r="CI44" i="8"/>
  <c r="DA44" i="8" s="1"/>
  <c r="AH48" i="11"/>
  <c r="DE47" i="5"/>
  <c r="AJ48" i="1"/>
  <c r="DB47" i="5"/>
  <c r="AM48" i="1"/>
  <c r="Y46" i="1"/>
  <c r="DJ47" i="5"/>
  <c r="W46" i="1"/>
  <c r="AU49" i="8"/>
  <c r="AE49" i="8"/>
  <c r="AF46" i="1"/>
  <c r="AK48" i="11"/>
  <c r="BT49" i="14" a="1"/>
  <c r="BT49" i="14" s="1"/>
  <c r="BR49" i="14" a="1"/>
  <c r="BR49" i="14" s="1"/>
  <c r="W49" i="14" a="1"/>
  <c r="W49" i="14" s="1"/>
  <c r="AC49" i="14" a="1"/>
  <c r="AC49" i="14" s="1"/>
  <c r="BY49" i="14" a="1"/>
  <c r="BY49" i="14" s="1"/>
  <c r="BG49" i="14" a="1"/>
  <c r="BG49" i="14" s="1"/>
  <c r="AA49" i="14" a="1"/>
  <c r="AA49" i="14" s="1"/>
  <c r="BE49" i="14" a="1"/>
  <c r="BE49" i="14" s="1"/>
  <c r="Y49" i="14" a="1"/>
  <c r="Y49" i="14" s="1"/>
  <c r="BS49" i="14" a="1"/>
  <c r="BS49" i="14" s="1"/>
  <c r="X49" i="14" a="1"/>
  <c r="X49" i="14" s="1"/>
  <c r="BQ49" i="14" a="1"/>
  <c r="BQ49" i="14" s="1"/>
  <c r="BX49" i="14" a="1"/>
  <c r="BX49" i="14" s="1"/>
  <c r="BW49" i="14" a="1"/>
  <c r="BW49" i="14" s="1"/>
  <c r="BF49" i="14" a="1"/>
  <c r="BF49" i="14" s="1"/>
  <c r="AF49" i="14" a="1"/>
  <c r="AF49" i="14" s="1"/>
  <c r="AW49" i="14" a="1"/>
  <c r="AW49" i="14" s="1"/>
  <c r="AM49" i="14" a="1"/>
  <c r="AM49" i="14" s="1"/>
  <c r="BJ49" i="14" a="1"/>
  <c r="BJ49" i="14" s="1"/>
  <c r="AL49" i="14" a="1"/>
  <c r="AL49" i="14" s="1"/>
  <c r="U49" i="14" a="1"/>
  <c r="U49" i="14" s="1"/>
  <c r="AN49" i="14" a="1"/>
  <c r="AN49" i="14" s="1"/>
  <c r="AI49" i="14" a="1"/>
  <c r="AI49" i="14" s="1"/>
  <c r="AP49" i="14" a="1"/>
  <c r="AP49" i="14" s="1"/>
  <c r="M49" i="14" a="1"/>
  <c r="M49" i="14" s="1"/>
  <c r="BC49" i="14" a="1"/>
  <c r="BC49" i="14" s="1"/>
  <c r="BB49" i="14" a="1"/>
  <c r="BB49" i="14" s="1"/>
  <c r="BD49" i="14" a="1"/>
  <c r="BD49" i="14" s="1"/>
  <c r="BZ49" i="14" a="1"/>
  <c r="BZ49" i="14" s="1"/>
  <c r="P49" i="14" a="1"/>
  <c r="P49" i="14" s="1"/>
  <c r="S49" i="14" a="1"/>
  <c r="S49" i="14" s="1"/>
  <c r="R49" i="14" a="1"/>
  <c r="R49" i="14" s="1"/>
  <c r="AL49" i="1" s="1"/>
  <c r="Z49" i="14" a="1"/>
  <c r="Z49" i="14" s="1"/>
  <c r="BK49" i="14" a="1"/>
  <c r="BK49" i="14" s="1"/>
  <c r="AT49" i="14" a="1"/>
  <c r="AT49" i="14" s="1"/>
  <c r="BA49" i="14" a="1"/>
  <c r="BA49" i="14" s="1"/>
  <c r="AJ49" i="14" a="1"/>
  <c r="AJ49" i="14" s="1"/>
  <c r="BP49" i="14" a="1"/>
  <c r="BP49" i="14" s="1"/>
  <c r="BV49" i="14" a="1"/>
  <c r="BV49" i="14" s="1"/>
  <c r="BM49" i="14" a="1"/>
  <c r="BM49" i="14" s="1"/>
  <c r="BU49" i="14" a="1"/>
  <c r="BU49" i="14" s="1"/>
  <c r="AU49" i="14" a="1"/>
  <c r="AU49" i="14" s="1"/>
  <c r="N49" i="14" a="1"/>
  <c r="N49" i="14" s="1"/>
  <c r="AS49" i="14" a="1"/>
  <c r="AS49" i="14" s="1"/>
  <c r="AR49" i="14" a="1"/>
  <c r="AR49" i="14" s="1"/>
  <c r="AB49" i="14" a="1"/>
  <c r="AB49" i="14" s="1"/>
  <c r="AQ49" i="14" a="1"/>
  <c r="AQ49" i="14" s="1"/>
  <c r="BL49" i="14" a="1"/>
  <c r="BL49" i="14" s="1"/>
  <c r="AO49" i="14" a="1"/>
  <c r="AO49" i="14" s="1"/>
  <c r="O49" i="14" a="1"/>
  <c r="O49" i="14" s="1"/>
  <c r="V49" i="14" a="1"/>
  <c r="V49" i="14" s="1"/>
  <c r="BI49" i="14" a="1"/>
  <c r="BI49" i="14" s="1"/>
  <c r="BH49" i="14" a="1"/>
  <c r="BH49" i="14" s="1"/>
  <c r="T49" i="14" a="1"/>
  <c r="T49" i="14" s="1"/>
  <c r="BN49" i="14" a="1"/>
  <c r="BN49" i="14" s="1"/>
  <c r="AH49" i="14" a="1"/>
  <c r="AH49" i="14" s="1"/>
  <c r="Q49" i="14" a="1"/>
  <c r="Q49" i="14" s="1"/>
  <c r="AE49" i="14" a="1"/>
  <c r="AE49" i="14" s="1"/>
  <c r="AD49" i="14" a="1"/>
  <c r="AD49" i="14" s="1"/>
  <c r="AK49" i="14" a="1"/>
  <c r="AK49" i="14" s="1"/>
  <c r="AZ49" i="14" a="1"/>
  <c r="AZ49" i="14" s="1"/>
  <c r="BO49" i="14" a="1"/>
  <c r="BO49" i="14" s="1"/>
  <c r="AY49" i="14" a="1"/>
  <c r="AY49" i="14" s="1"/>
  <c r="AX49" i="14" a="1"/>
  <c r="AX49" i="14" s="1"/>
  <c r="AV49" i="14" a="1"/>
  <c r="AV49" i="14" s="1"/>
  <c r="AG49" i="14" a="1"/>
  <c r="AG49" i="14" s="1"/>
  <c r="K50" i="11"/>
  <c r="A50" i="14"/>
  <c r="CA50" i="14" s="1"/>
  <c r="A50" i="9"/>
  <c r="A50" i="2"/>
  <c r="A50" i="7"/>
  <c r="R50" i="7" s="1"/>
  <c r="A50" i="5"/>
  <c r="A50" i="8"/>
  <c r="DH47" i="5"/>
  <c r="CC44" i="8"/>
  <c r="CV44" i="8" s="1"/>
  <c r="CW44" i="8" s="1"/>
  <c r="AA43" i="11"/>
  <c r="AK43" i="1" s="1"/>
  <c r="AD43" i="11"/>
  <c r="AI43" i="1" s="1"/>
  <c r="AB43" i="11"/>
  <c r="Q43" i="8" s="1"/>
  <c r="N44" i="7"/>
  <c r="AE44" i="7"/>
  <c r="AF44" i="7" s="1"/>
  <c r="AC43" i="11"/>
  <c r="U43" i="8" s="1"/>
  <c r="Z43" i="11"/>
  <c r="CA44" i="8"/>
  <c r="CB44" i="8"/>
  <c r="CT44" i="8" s="1"/>
  <c r="BX44" i="8"/>
  <c r="CE44" i="8" s="1"/>
  <c r="N44" i="11"/>
  <c r="D45" i="9"/>
  <c r="CH44" i="8"/>
  <c r="CZ44" i="8" s="1"/>
  <c r="BY44" i="8"/>
  <c r="B47" i="5"/>
  <c r="DF47" i="5"/>
  <c r="BU47" i="5"/>
  <c r="AH47" i="5"/>
  <c r="B47" i="2"/>
  <c r="B47" i="1"/>
  <c r="BG47" i="1" s="1"/>
  <c r="BY49" i="11"/>
  <c r="K48" i="10"/>
  <c r="AA48" i="7"/>
  <c r="AF48" i="8" s="1"/>
  <c r="AV48" i="8" s="1"/>
  <c r="L48" i="11"/>
  <c r="J48" i="5"/>
  <c r="DC48" i="5" s="1"/>
  <c r="E47" i="10"/>
  <c r="G47" i="7"/>
  <c r="K48" i="5"/>
  <c r="F47" i="10"/>
  <c r="H47" i="7"/>
  <c r="DD47" i="5"/>
  <c r="M48" i="5"/>
  <c r="H47" i="10"/>
  <c r="J47" i="7"/>
  <c r="L48" i="5"/>
  <c r="G47" i="10"/>
  <c r="I47" i="7"/>
  <c r="G48" i="5"/>
  <c r="D47" i="7"/>
  <c r="B47" i="10"/>
  <c r="H48" i="5"/>
  <c r="C47" i="10"/>
  <c r="E47" i="7"/>
  <c r="I48" i="5"/>
  <c r="D47" i="10"/>
  <c r="F47" i="7"/>
  <c r="CS42" i="8"/>
  <c r="CD43" i="8"/>
  <c r="CQ43" i="8"/>
  <c r="CU43" i="8" s="1"/>
  <c r="DB43" i="8"/>
  <c r="DH45" i="8"/>
  <c r="DI45" i="8" s="1"/>
  <c r="CK45" i="8"/>
  <c r="BW45" i="8"/>
  <c r="AC45" i="1" s="1"/>
  <c r="BH45" i="8"/>
  <c r="BI45" i="8"/>
  <c r="AH56" i="9"/>
  <c r="CR43" i="8"/>
  <c r="C46" i="5"/>
  <c r="F46" i="5" s="1"/>
  <c r="CZ47" i="5"/>
  <c r="B43" i="14"/>
  <c r="AQ43" i="5"/>
  <c r="A45" i="10"/>
  <c r="AA45" i="10" s="1"/>
  <c r="AJ45" i="5"/>
  <c r="AP45" i="5" s="1"/>
  <c r="B45" i="9"/>
  <c r="Y45" i="9" s="1"/>
  <c r="AI45" i="5"/>
  <c r="A45" i="11"/>
  <c r="AC45" i="8"/>
  <c r="BQ45" i="8" s="1"/>
  <c r="BT45" i="5"/>
  <c r="B45" i="7"/>
  <c r="X45" i="8"/>
  <c r="DD45" i="8" s="1"/>
  <c r="E45" i="1"/>
  <c r="DA46" i="5"/>
  <c r="DG46" i="5" s="1" a="1"/>
  <c r="DG46" i="5" s="1"/>
  <c r="AB47" i="1"/>
  <c r="DI47" i="5"/>
  <c r="AG56" i="9"/>
  <c r="AK56" i="9"/>
  <c r="AE118" i="9"/>
  <c r="N32" i="1"/>
  <c r="S49" i="2"/>
  <c r="N50" i="2"/>
  <c r="R50" i="2"/>
  <c r="Q49" i="2"/>
  <c r="J51" i="10"/>
  <c r="N51" i="5" s="1"/>
  <c r="P51" i="2"/>
  <c r="AQ72" i="9" l="1"/>
  <c r="CM72" i="8" s="1"/>
  <c r="AO45" i="5"/>
  <c r="AM45" i="5"/>
  <c r="AN45" i="5"/>
  <c r="AV46" i="5"/>
  <c r="AW46" i="5"/>
  <c r="AG44" i="7"/>
  <c r="CL46" i="8"/>
  <c r="CR44" i="8"/>
  <c r="AI68" i="9"/>
  <c r="AO68" i="8" s="1"/>
  <c r="G51" i="8"/>
  <c r="CF50" i="8"/>
  <c r="O50" i="2"/>
  <c r="BK50" i="5" a="1"/>
  <c r="BK50" i="5" s="1"/>
  <c r="AM57" i="9"/>
  <c r="BR45" i="8"/>
  <c r="BS45" i="8"/>
  <c r="AD48" i="1"/>
  <c r="BC50" i="5" a="1"/>
  <c r="BC50" i="5" s="1"/>
  <c r="BH50" i="5" a="1"/>
  <c r="BH50" i="5" s="1"/>
  <c r="BM50" i="5" a="1"/>
  <c r="BM50" i="5" s="1"/>
  <c r="BN50" i="5" a="1"/>
  <c r="BN50" i="5" s="1"/>
  <c r="BF50" i="5" a="1"/>
  <c r="BF50" i="5" s="1"/>
  <c r="AE49" i="1" s="1"/>
  <c r="BA50" i="5" a="1"/>
  <c r="BA50" i="5" s="1"/>
  <c r="CS50" i="5"/>
  <c r="CU50" i="5"/>
  <c r="CT50" i="5"/>
  <c r="CW50" i="5"/>
  <c r="CV50" i="5"/>
  <c r="CQ50" i="5"/>
  <c r="CR50" i="5"/>
  <c r="AY50" i="5" a="1"/>
  <c r="AY50" i="5" s="1"/>
  <c r="BL50" i="5" a="1"/>
  <c r="BL50" i="5" s="1"/>
  <c r="BE50" i="5" a="1"/>
  <c r="BE50" i="5" s="1"/>
  <c r="AZ50" i="5" a="1"/>
  <c r="AZ50" i="5" s="1"/>
  <c r="BJ50" i="5" a="1"/>
  <c r="BJ50" i="5" s="1"/>
  <c r="BO50" i="5" a="1"/>
  <c r="BO50" i="5" s="1"/>
  <c r="BI50" i="5" a="1"/>
  <c r="BI50" i="5" s="1"/>
  <c r="BG50" i="5" a="1"/>
  <c r="BG50" i="5" s="1"/>
  <c r="BQ50" i="5" a="1"/>
  <c r="BQ50" i="5" s="1"/>
  <c r="BB50" i="5" a="1"/>
  <c r="BB50" i="5" s="1"/>
  <c r="BD50" i="5" a="1"/>
  <c r="BD50" i="5" s="1"/>
  <c r="V48" i="2"/>
  <c r="CX43" i="8"/>
  <c r="CY43" i="8" s="1"/>
  <c r="CQ44" i="8"/>
  <c r="CU44" i="8" s="1"/>
  <c r="F53" i="8"/>
  <c r="BP49" i="5" a="1"/>
  <c r="BP49" i="5" s="1"/>
  <c r="J49" i="2" s="1"/>
  <c r="O54" i="1"/>
  <c r="BT45" i="8"/>
  <c r="BU45" i="8"/>
  <c r="BO45" i="8"/>
  <c r="BP45" i="8"/>
  <c r="BM45" i="8"/>
  <c r="BN45" i="8"/>
  <c r="BK45" i="8"/>
  <c r="BL45" i="8"/>
  <c r="BJ45" i="8"/>
  <c r="AR45" i="5"/>
  <c r="AC45" i="10"/>
  <c r="X45" i="10" s="1"/>
  <c r="AT49" i="5"/>
  <c r="AS49" i="5"/>
  <c r="DB44" i="8"/>
  <c r="AH49" i="11"/>
  <c r="DE48" i="5"/>
  <c r="DF48" i="5"/>
  <c r="AM49" i="1"/>
  <c r="BC50" i="14" a="1"/>
  <c r="BC50" i="14" s="1"/>
  <c r="BR50" i="14" a="1"/>
  <c r="BR50" i="14" s="1"/>
  <c r="BD50" i="14" a="1"/>
  <c r="BD50" i="14" s="1"/>
  <c r="BX50" i="14" a="1"/>
  <c r="BX50" i="14" s="1"/>
  <c r="BW50" i="14" a="1"/>
  <c r="BW50" i="14" s="1"/>
  <c r="AQ50" i="14" a="1"/>
  <c r="AQ50" i="14" s="1"/>
  <c r="BU50" i="14" a="1"/>
  <c r="BU50" i="14" s="1"/>
  <c r="BM50" i="14" a="1"/>
  <c r="BM50" i="14" s="1"/>
  <c r="W50" i="14" a="1"/>
  <c r="W50" i="14" s="1"/>
  <c r="BB50" i="14" a="1"/>
  <c r="BB50" i="14" s="1"/>
  <c r="BQ50" i="14" a="1"/>
  <c r="BQ50" i="14" s="1"/>
  <c r="U50" i="14" a="1"/>
  <c r="U50" i="14" s="1"/>
  <c r="AK50" i="14" a="1"/>
  <c r="AK50" i="14" s="1"/>
  <c r="BO50" i="14" a="1"/>
  <c r="BO50" i="14" s="1"/>
  <c r="BN50" i="14" a="1"/>
  <c r="BN50" i="14" s="1"/>
  <c r="AW50" i="14" a="1"/>
  <c r="AW50" i="14" s="1"/>
  <c r="AM50" i="14" a="1"/>
  <c r="AM50" i="14" s="1"/>
  <c r="AL50" i="14" a="1"/>
  <c r="AL50" i="14" s="1"/>
  <c r="AS50" i="14" a="1"/>
  <c r="AS50" i="14" s="1"/>
  <c r="AJ50" i="14" a="1"/>
  <c r="AJ50" i="14" s="1"/>
  <c r="AB50" i="14" a="1"/>
  <c r="AB50" i="14" s="1"/>
  <c r="AI50" i="14" a="1"/>
  <c r="AI50" i="14" s="1"/>
  <c r="BF50" i="14" a="1"/>
  <c r="BF50" i="14" s="1"/>
  <c r="AG50" i="14" a="1"/>
  <c r="AG50" i="14" s="1"/>
  <c r="BS50" i="14" a="1"/>
  <c r="BS50" i="14" s="1"/>
  <c r="O50" i="14" a="1"/>
  <c r="O50" i="14" s="1"/>
  <c r="AT50" i="14" a="1"/>
  <c r="AT50" i="14" s="1"/>
  <c r="BY50" i="14" a="1"/>
  <c r="BY50" i="14" s="1"/>
  <c r="P50" i="14" a="1"/>
  <c r="P50" i="14" s="1"/>
  <c r="S50" i="14" a="1"/>
  <c r="S50" i="14" s="1"/>
  <c r="Z50" i="14" a="1"/>
  <c r="Z50" i="14" s="1"/>
  <c r="BL50" i="14" a="1"/>
  <c r="BL50" i="14" s="1"/>
  <c r="Q50" i="14" a="1"/>
  <c r="Q50" i="14" s="1"/>
  <c r="AV50" i="14" a="1"/>
  <c r="AV50" i="14" s="1"/>
  <c r="X50" i="14" a="1"/>
  <c r="X50" i="14" s="1"/>
  <c r="V50" i="14" a="1"/>
  <c r="V50" i="14" s="1"/>
  <c r="BP50" i="14" a="1"/>
  <c r="BP50" i="14" s="1"/>
  <c r="BZ50" i="14" a="1"/>
  <c r="BZ50" i="14" s="1"/>
  <c r="AY50" i="14" a="1"/>
  <c r="AY50" i="14" s="1"/>
  <c r="AO50" i="14" a="1"/>
  <c r="AO50" i="14" s="1"/>
  <c r="BT50" i="14" a="1"/>
  <c r="BT50" i="14" s="1"/>
  <c r="BJ50" i="14" a="1"/>
  <c r="BJ50" i="14" s="1"/>
  <c r="BI50" i="14" a="1"/>
  <c r="BI50" i="14" s="1"/>
  <c r="BH50" i="14" a="1"/>
  <c r="BH50" i="14" s="1"/>
  <c r="T50" i="14" a="1"/>
  <c r="T50" i="14" s="1"/>
  <c r="BG50" i="14" a="1"/>
  <c r="BG50" i="14" s="1"/>
  <c r="AH50" i="14" a="1"/>
  <c r="AH50" i="14" s="1"/>
  <c r="BV50" i="14" a="1"/>
  <c r="BV50" i="14" s="1"/>
  <c r="BA50" i="14" a="1"/>
  <c r="BA50" i="14" s="1"/>
  <c r="R50" i="14" a="1"/>
  <c r="R50" i="14" s="1"/>
  <c r="AL50" i="1" s="1"/>
  <c r="AR50" i="14" a="1"/>
  <c r="AR50" i="14" s="1"/>
  <c r="BE50" i="14" a="1"/>
  <c r="BE50" i="14" s="1"/>
  <c r="AC50" i="14" a="1"/>
  <c r="AC50" i="14" s="1"/>
  <c r="M50" i="14" a="1"/>
  <c r="M50" i="14" s="1"/>
  <c r="AU50" i="14" a="1"/>
  <c r="AU50" i="14" s="1"/>
  <c r="AN50" i="14" a="1"/>
  <c r="AN50" i="14" s="1"/>
  <c r="Y50" i="14" a="1"/>
  <c r="Y50" i="14" s="1"/>
  <c r="BK50" i="14" a="1"/>
  <c r="BK50" i="14" s="1"/>
  <c r="AZ50" i="14" a="1"/>
  <c r="AZ50" i="14" s="1"/>
  <c r="AX50" i="14" a="1"/>
  <c r="AX50" i="14" s="1"/>
  <c r="AE50" i="14" a="1"/>
  <c r="AE50" i="14" s="1"/>
  <c r="AA50" i="14" a="1"/>
  <c r="AA50" i="14" s="1"/>
  <c r="AD50" i="14" a="1"/>
  <c r="AD50" i="14" s="1"/>
  <c r="AF50" i="14" a="1"/>
  <c r="AF50" i="14" s="1"/>
  <c r="N50" i="14" a="1"/>
  <c r="N50" i="14" s="1"/>
  <c r="AP50" i="14" a="1"/>
  <c r="AP50" i="14" s="1"/>
  <c r="W47" i="1"/>
  <c r="AK49" i="11"/>
  <c r="DH48" i="5"/>
  <c r="K51" i="11"/>
  <c r="A51" i="14"/>
  <c r="CA51" i="14" s="1"/>
  <c r="A51" i="7"/>
  <c r="R51" i="7" s="1"/>
  <c r="A51" i="9"/>
  <c r="A51" i="2"/>
  <c r="A51" i="8"/>
  <c r="A51" i="5"/>
  <c r="AU50" i="8"/>
  <c r="AE50" i="8"/>
  <c r="AF47" i="1"/>
  <c r="Y47" i="1"/>
  <c r="DJ48" i="5"/>
  <c r="AJ49" i="1"/>
  <c r="AQ44" i="5"/>
  <c r="D46" i="9"/>
  <c r="B44" i="14"/>
  <c r="CD44" i="8"/>
  <c r="AH48" i="5"/>
  <c r="BU48" i="5"/>
  <c r="B48" i="2"/>
  <c r="B48" i="1"/>
  <c r="BG48" i="1" s="1"/>
  <c r="B48" i="5"/>
  <c r="BY50" i="11"/>
  <c r="K49" i="10"/>
  <c r="AA49" i="7"/>
  <c r="AF49" i="8" s="1"/>
  <c r="B48" i="10"/>
  <c r="G49" i="5"/>
  <c r="D48" i="7"/>
  <c r="I49" i="5"/>
  <c r="D48" i="10"/>
  <c r="F48" i="7"/>
  <c r="DB48" i="5"/>
  <c r="L49" i="5"/>
  <c r="G48" i="10"/>
  <c r="I48" i="7"/>
  <c r="K49" i="5"/>
  <c r="F48" i="10"/>
  <c r="H48" i="7"/>
  <c r="DD48" i="5"/>
  <c r="H49" i="5"/>
  <c r="C48" i="10"/>
  <c r="E48" i="7"/>
  <c r="M49" i="5"/>
  <c r="H48" i="10"/>
  <c r="J48" i="7"/>
  <c r="J49" i="5"/>
  <c r="DC49" i="5" s="1"/>
  <c r="E48" i="10"/>
  <c r="G48" i="7"/>
  <c r="CS43" i="8"/>
  <c r="CI45" i="8"/>
  <c r="DA45" i="8" s="1"/>
  <c r="DH46" i="8"/>
  <c r="DI46" i="8" s="1"/>
  <c r="CK46" i="8"/>
  <c r="BW46" i="8"/>
  <c r="AC46" i="1" s="1"/>
  <c r="BI46" i="8"/>
  <c r="BX45" i="8"/>
  <c r="CD45" i="8" s="1"/>
  <c r="N45" i="7"/>
  <c r="BT46" i="5"/>
  <c r="BH46" i="8"/>
  <c r="BU46" i="8" s="1"/>
  <c r="AH57" i="9"/>
  <c r="AC46" i="8"/>
  <c r="BQ46" i="8" s="1"/>
  <c r="AI46" i="5"/>
  <c r="AJ46" i="5"/>
  <c r="AP46" i="5" s="1"/>
  <c r="E46" i="1"/>
  <c r="X46" i="8"/>
  <c r="DD46" i="8" s="1"/>
  <c r="A46" i="11"/>
  <c r="Y45" i="11" s="1"/>
  <c r="AH45" i="1" s="1"/>
  <c r="B46" i="9"/>
  <c r="Y46" i="9" s="1"/>
  <c r="B46" i="7"/>
  <c r="A46" i="10"/>
  <c r="AA46" i="10" s="1"/>
  <c r="C47" i="5"/>
  <c r="F47" i="5" s="1"/>
  <c r="Y44" i="11"/>
  <c r="AH44" i="1" s="1"/>
  <c r="N45" i="11"/>
  <c r="AB44" i="11"/>
  <c r="Q44" i="8" s="1"/>
  <c r="Z44" i="11"/>
  <c r="AA44" i="11"/>
  <c r="AK44" i="1" s="1"/>
  <c r="AC44" i="11"/>
  <c r="U44" i="8" s="1"/>
  <c r="AD44" i="11"/>
  <c r="AI44" i="1" s="1"/>
  <c r="BY45" i="8"/>
  <c r="BZ45" i="8"/>
  <c r="CB45" i="8"/>
  <c r="CT45" i="8" s="1"/>
  <c r="CC45" i="8"/>
  <c r="CV45" i="8" s="1"/>
  <c r="CW45" i="8" s="1"/>
  <c r="CH45" i="8"/>
  <c r="CZ45" i="8" s="1"/>
  <c r="CA45" i="8"/>
  <c r="CZ48" i="5"/>
  <c r="AE45" i="7"/>
  <c r="AF45" i="7" s="1"/>
  <c r="Q45" i="7"/>
  <c r="AB48" i="1"/>
  <c r="DI48" i="5"/>
  <c r="DA47" i="5"/>
  <c r="DG47" i="5" s="1" a="1"/>
  <c r="DG47" i="5" s="1"/>
  <c r="AG57" i="9"/>
  <c r="AK57" i="9"/>
  <c r="AE119" i="9"/>
  <c r="N33" i="1"/>
  <c r="S50" i="2"/>
  <c r="N51" i="2"/>
  <c r="R51" i="2"/>
  <c r="Q50" i="2"/>
  <c r="P52" i="2"/>
  <c r="J52" i="10"/>
  <c r="N52" i="5" s="1"/>
  <c r="AQ73" i="9" l="1"/>
  <c r="CM73" i="8" s="1"/>
  <c r="AO46" i="5"/>
  <c r="AM46" i="5"/>
  <c r="AN46" i="5"/>
  <c r="AV47" i="5"/>
  <c r="AW47" i="5"/>
  <c r="AG45" i="7"/>
  <c r="CL47" i="8"/>
  <c r="AI69" i="9"/>
  <c r="AO69" i="8" s="1"/>
  <c r="G52" i="8"/>
  <c r="CF51" i="8"/>
  <c r="O51" i="2"/>
  <c r="AM58" i="9"/>
  <c r="BR46" i="8"/>
  <c r="BS46" i="8"/>
  <c r="BD51" i="5" a="1"/>
  <c r="BD51" i="5" s="1"/>
  <c r="BB51" i="5" a="1"/>
  <c r="BB51" i="5" s="1"/>
  <c r="BQ51" i="5" a="1"/>
  <c r="BQ51" i="5" s="1"/>
  <c r="BA51" i="5" a="1"/>
  <c r="BA51" i="5" s="1"/>
  <c r="CT51" i="5"/>
  <c r="CS51" i="5"/>
  <c r="CV51" i="5"/>
  <c r="CW51" i="5"/>
  <c r="CR51" i="5"/>
  <c r="CU51" i="5"/>
  <c r="CQ51" i="5"/>
  <c r="AY51" i="5" a="1"/>
  <c r="AY51" i="5" s="1"/>
  <c r="BL51" i="5" a="1"/>
  <c r="BL51" i="5" s="1"/>
  <c r="BG51" i="5" a="1"/>
  <c r="BG51" i="5" s="1"/>
  <c r="BF51" i="5" a="1"/>
  <c r="BF51" i="5" s="1"/>
  <c r="AE50" i="1" s="1"/>
  <c r="BI51" i="5" a="1"/>
  <c r="BI51" i="5" s="1"/>
  <c r="BN51" i="5" a="1"/>
  <c r="BN51" i="5" s="1"/>
  <c r="BO51" i="5" a="1"/>
  <c r="BO51" i="5" s="1"/>
  <c r="AD49" i="1"/>
  <c r="BJ51" i="5" a="1"/>
  <c r="BJ51" i="5" s="1"/>
  <c r="BM51" i="5" a="1"/>
  <c r="BM51" i="5" s="1"/>
  <c r="AZ51" i="5" a="1"/>
  <c r="AZ51" i="5" s="1"/>
  <c r="BH51" i="5" a="1"/>
  <c r="BH51" i="5" s="1"/>
  <c r="BE51" i="5" a="1"/>
  <c r="BE51" i="5" s="1"/>
  <c r="BC51" i="5" a="1"/>
  <c r="BC51" i="5" s="1"/>
  <c r="BK51" i="5" a="1"/>
  <c r="BK51" i="5" s="1"/>
  <c r="V49" i="2"/>
  <c r="CS44" i="8"/>
  <c r="F54" i="8"/>
  <c r="BP50" i="5" a="1"/>
  <c r="BP50" i="5" s="1"/>
  <c r="J50" i="2" s="1"/>
  <c r="O55" i="1"/>
  <c r="BT46" i="8"/>
  <c r="BO46" i="8"/>
  <c r="BP46" i="8"/>
  <c r="BM46" i="8"/>
  <c r="BN46" i="8"/>
  <c r="BK46" i="8"/>
  <c r="BL46" i="8"/>
  <c r="BJ46" i="8"/>
  <c r="AR46" i="5"/>
  <c r="AC46" i="10"/>
  <c r="X46" i="10" s="1"/>
  <c r="AS50" i="5"/>
  <c r="AH50" i="11"/>
  <c r="AK50" i="11"/>
  <c r="DB49" i="5"/>
  <c r="Y48" i="1"/>
  <c r="DJ49" i="5"/>
  <c r="W48" i="1"/>
  <c r="AU51" i="8"/>
  <c r="AE51" i="8"/>
  <c r="AF48" i="1"/>
  <c r="DH49" i="5"/>
  <c r="AJ50" i="1"/>
  <c r="AV51" i="14" a="1"/>
  <c r="AV51" i="14" s="1"/>
  <c r="W51" i="14" a="1"/>
  <c r="W51" i="14" s="1"/>
  <c r="AL51" i="14" a="1"/>
  <c r="AL51" i="14" s="1"/>
  <c r="BX51" i="14" a="1"/>
  <c r="BX51" i="14" s="1"/>
  <c r="AB51" i="14" a="1"/>
  <c r="AB51" i="14" s="1"/>
  <c r="AQ51" i="14" a="1"/>
  <c r="AQ51" i="14" s="1"/>
  <c r="BL51" i="14" a="1"/>
  <c r="BL51" i="14" s="1"/>
  <c r="BE51" i="14" a="1"/>
  <c r="BE51" i="14" s="1"/>
  <c r="BK51" i="14" a="1"/>
  <c r="BK51" i="14" s="1"/>
  <c r="BB51" i="14" a="1"/>
  <c r="BB51" i="14" s="1"/>
  <c r="BA51" i="14" a="1"/>
  <c r="BA51" i="14" s="1"/>
  <c r="BY51" i="14" a="1"/>
  <c r="BY51" i="14" s="1"/>
  <c r="BZ51" i="14" a="1"/>
  <c r="BZ51" i="14" s="1"/>
  <c r="AY51" i="14" a="1"/>
  <c r="AY51" i="14" s="1"/>
  <c r="R51" i="14" a="1"/>
  <c r="R51" i="14" s="1"/>
  <c r="AL51" i="1" s="1"/>
  <c r="M51" i="14" a="1"/>
  <c r="M51" i="14" s="1"/>
  <c r="BC51" i="14" a="1"/>
  <c r="BC51" i="14" s="1"/>
  <c r="BR51" i="14" a="1"/>
  <c r="BR51" i="14" s="1"/>
  <c r="BD51" i="14" a="1"/>
  <c r="BD51" i="14" s="1"/>
  <c r="U51" i="14" a="1"/>
  <c r="U51" i="14" s="1"/>
  <c r="AN51" i="14" a="1"/>
  <c r="AN51" i="14" s="1"/>
  <c r="AF51" i="14" a="1"/>
  <c r="AF51" i="14" s="1"/>
  <c r="AP51" i="14" a="1"/>
  <c r="AP51" i="14" s="1"/>
  <c r="AW51" i="14" a="1"/>
  <c r="AW51" i="14" s="1"/>
  <c r="BS51" i="14" a="1"/>
  <c r="BS51" i="14" s="1"/>
  <c r="O51" i="14" a="1"/>
  <c r="O51" i="14" s="1"/>
  <c r="N51" i="14" a="1"/>
  <c r="N51" i="14" s="1"/>
  <c r="AJ51" i="14" a="1"/>
  <c r="AJ51" i="14" s="1"/>
  <c r="AZ51" i="14" a="1"/>
  <c r="AZ51" i="14" s="1"/>
  <c r="AA51" i="14" a="1"/>
  <c r="AA51" i="14" s="1"/>
  <c r="BO51" i="14" a="1"/>
  <c r="BO51" i="14" s="1"/>
  <c r="S51" i="14" a="1"/>
  <c r="S51" i="14" s="1"/>
  <c r="AO51" i="14" a="1"/>
  <c r="AO51" i="14" s="1"/>
  <c r="AD51" i="14" a="1"/>
  <c r="AD51" i="14" s="1"/>
  <c r="AR51" i="14" a="1"/>
  <c r="AR51" i="14" s="1"/>
  <c r="AI51" i="14" a="1"/>
  <c r="AI51" i="14" s="1"/>
  <c r="Q51" i="14" a="1"/>
  <c r="Q51" i="14" s="1"/>
  <c r="AT51" i="14" a="1"/>
  <c r="AT51" i="14" s="1"/>
  <c r="BP51" i="14" a="1"/>
  <c r="BP51" i="14" s="1"/>
  <c r="BG51" i="14" a="1"/>
  <c r="BG51" i="14" s="1"/>
  <c r="BM51" i="14" a="1"/>
  <c r="BM51" i="14" s="1"/>
  <c r="BJ51" i="14" a="1"/>
  <c r="BJ51" i="14" s="1"/>
  <c r="BH51" i="14" a="1"/>
  <c r="BH51" i="14" s="1"/>
  <c r="BV51" i="14" a="1"/>
  <c r="BV51" i="14" s="1"/>
  <c r="Y51" i="14" a="1"/>
  <c r="Y51" i="14" s="1"/>
  <c r="BT51" i="14" a="1"/>
  <c r="BT51" i="14" s="1"/>
  <c r="V51" i="14" a="1"/>
  <c r="V51" i="14" s="1"/>
  <c r="AK51" i="14" a="1"/>
  <c r="AK51" i="14" s="1"/>
  <c r="AX51" i="14" a="1"/>
  <c r="AX51" i="14" s="1"/>
  <c r="AG51" i="14" a="1"/>
  <c r="AG51" i="14" s="1"/>
  <c r="AU51" i="14" a="1"/>
  <c r="AU51" i="14" s="1"/>
  <c r="BQ51" i="14" a="1"/>
  <c r="BQ51" i="14" s="1"/>
  <c r="AS51" i="14" a="1"/>
  <c r="AS51" i="14" s="1"/>
  <c r="Z51" i="14" a="1"/>
  <c r="Z51" i="14" s="1"/>
  <c r="AM51" i="14" a="1"/>
  <c r="AM51" i="14" s="1"/>
  <c r="BI51" i="14" a="1"/>
  <c r="BI51" i="14" s="1"/>
  <c r="T51" i="14" a="1"/>
  <c r="T51" i="14" s="1"/>
  <c r="AH51" i="14" a="1"/>
  <c r="AH51" i="14" s="1"/>
  <c r="AE51" i="14" a="1"/>
  <c r="AE51" i="14" s="1"/>
  <c r="AC51" i="14" a="1"/>
  <c r="AC51" i="14" s="1"/>
  <c r="BW51" i="14" a="1"/>
  <c r="BW51" i="14" s="1"/>
  <c r="BU51" i="14" a="1"/>
  <c r="BU51" i="14" s="1"/>
  <c r="X51" i="14" a="1"/>
  <c r="X51" i="14" s="1"/>
  <c r="P51" i="14" a="1"/>
  <c r="P51" i="14" s="1"/>
  <c r="BN51" i="14" a="1"/>
  <c r="BN51" i="14" s="1"/>
  <c r="BF51" i="14" a="1"/>
  <c r="BF51" i="14" s="1"/>
  <c r="K52" i="11"/>
  <c r="A52" i="14"/>
  <c r="CA52" i="14" s="1"/>
  <c r="A52" i="7"/>
  <c r="R52" i="7" s="1"/>
  <c r="A52" i="5"/>
  <c r="A52" i="8"/>
  <c r="A52" i="9"/>
  <c r="A52" i="2"/>
  <c r="AM50" i="1"/>
  <c r="CX44" i="8"/>
  <c r="CY44" i="8" s="1"/>
  <c r="B49" i="5"/>
  <c r="BY51" i="11"/>
  <c r="K50" i="10"/>
  <c r="AA50" i="7"/>
  <c r="AF50" i="8" s="1"/>
  <c r="AV50" i="8" s="1"/>
  <c r="L50" i="11"/>
  <c r="L50" i="5"/>
  <c r="G49" i="10"/>
  <c r="I49" i="7"/>
  <c r="H50" i="5"/>
  <c r="C49" i="10"/>
  <c r="E49" i="7"/>
  <c r="DE49" i="5"/>
  <c r="J50" i="5"/>
  <c r="DC50" i="5" s="1"/>
  <c r="E49" i="10"/>
  <c r="G49" i="7"/>
  <c r="I50" i="5"/>
  <c r="D49" i="10"/>
  <c r="F49" i="7"/>
  <c r="M50" i="5"/>
  <c r="H49" i="10"/>
  <c r="J49" i="7"/>
  <c r="K50" i="5"/>
  <c r="F49" i="10"/>
  <c r="H49" i="7"/>
  <c r="DD49" i="5"/>
  <c r="DF49" i="5"/>
  <c r="D49" i="7"/>
  <c r="G50" i="5"/>
  <c r="B49" i="10"/>
  <c r="CI46" i="8"/>
  <c r="DA46" i="8" s="1"/>
  <c r="CQ45" i="8"/>
  <c r="CU45" i="8" s="1"/>
  <c r="D47" i="9"/>
  <c r="DB45" i="8"/>
  <c r="DH47" i="8"/>
  <c r="DI47" i="8" s="1"/>
  <c r="CE45" i="8"/>
  <c r="CX45" i="8" s="1"/>
  <c r="CY45" i="8" s="1"/>
  <c r="CK47" i="8"/>
  <c r="BW47" i="8"/>
  <c r="BI47" i="8"/>
  <c r="BX46" i="8"/>
  <c r="CD46" i="8" s="1"/>
  <c r="N46" i="7"/>
  <c r="BH47" i="8"/>
  <c r="BU47" i="8" s="1"/>
  <c r="AH58" i="9"/>
  <c r="B47" i="7"/>
  <c r="Q47" i="7" s="1"/>
  <c r="AI47" i="5"/>
  <c r="A47" i="11"/>
  <c r="B47" i="9"/>
  <c r="Y47" i="9" s="1"/>
  <c r="X47" i="8"/>
  <c r="DD47" i="8" s="1"/>
  <c r="A47" i="10"/>
  <c r="AA47" i="10" s="1"/>
  <c r="AQ45" i="5"/>
  <c r="BT47" i="5"/>
  <c r="E47" i="1"/>
  <c r="AE46" i="7"/>
  <c r="AF46" i="7" s="1"/>
  <c r="Q46" i="7"/>
  <c r="AC45" i="11"/>
  <c r="U45" i="8" s="1"/>
  <c r="AB45" i="11"/>
  <c r="Q45" i="8" s="1"/>
  <c r="AD45" i="11"/>
  <c r="AI45" i="1" s="1"/>
  <c r="N46" i="11"/>
  <c r="Z45" i="11"/>
  <c r="AA45" i="11"/>
  <c r="AK45" i="1" s="1"/>
  <c r="AJ47" i="5"/>
  <c r="AP47" i="5" s="1"/>
  <c r="AC47" i="8"/>
  <c r="BQ47" i="8" s="1"/>
  <c r="BY46" i="8"/>
  <c r="CC46" i="8"/>
  <c r="CV46" i="8" s="1"/>
  <c r="CW46" i="8" s="1"/>
  <c r="CH46" i="8"/>
  <c r="CZ46" i="8" s="1"/>
  <c r="CA46" i="8"/>
  <c r="CB46" i="8"/>
  <c r="CT46" i="8" s="1"/>
  <c r="BZ46" i="8"/>
  <c r="C48" i="5"/>
  <c r="F48" i="5" s="1"/>
  <c r="CR45" i="8"/>
  <c r="CZ49" i="5"/>
  <c r="DA48" i="5"/>
  <c r="DG48" i="5" s="1" a="1"/>
  <c r="DG48" i="5" s="1"/>
  <c r="AB49" i="1"/>
  <c r="DI49" i="5"/>
  <c r="AG58" i="9"/>
  <c r="AK58" i="9"/>
  <c r="AE120" i="9"/>
  <c r="N34" i="1"/>
  <c r="S51" i="2"/>
  <c r="N52" i="2"/>
  <c r="R52" i="2"/>
  <c r="Q51" i="2"/>
  <c r="J53" i="10"/>
  <c r="N53" i="5" s="1"/>
  <c r="P53" i="2"/>
  <c r="AQ74" i="9" l="1"/>
  <c r="CM74" i="8" s="1"/>
  <c r="AO47" i="5"/>
  <c r="AM47" i="5"/>
  <c r="AN47" i="5"/>
  <c r="AV48" i="5"/>
  <c r="AW48" i="5"/>
  <c r="AG46" i="7"/>
  <c r="CL48" i="8"/>
  <c r="CH47" i="8"/>
  <c r="CZ47" i="8" s="1"/>
  <c r="AC47" i="1"/>
  <c r="AI70" i="9"/>
  <c r="AO70" i="8" s="1"/>
  <c r="G53" i="8"/>
  <c r="CF52" i="8"/>
  <c r="O52" i="2"/>
  <c r="AT51" i="5"/>
  <c r="BI52" i="5" a="1"/>
  <c r="BI52" i="5" s="1"/>
  <c r="BF52" i="5" a="1"/>
  <c r="BF52" i="5" s="1"/>
  <c r="AM59" i="9"/>
  <c r="BR47" i="8"/>
  <c r="BS47" i="8"/>
  <c r="AD50" i="1"/>
  <c r="BG52" i="5" a="1"/>
  <c r="BG52" i="5" s="1"/>
  <c r="BK52" i="5" a="1"/>
  <c r="BK52" i="5" s="1"/>
  <c r="BC52" i="5" a="1"/>
  <c r="BC52" i="5" s="1"/>
  <c r="BE52" i="5" a="1"/>
  <c r="BE52" i="5" s="1"/>
  <c r="BH52" i="5" a="1"/>
  <c r="BH52" i="5" s="1"/>
  <c r="CS52" i="5"/>
  <c r="CT52" i="5"/>
  <c r="CR52" i="5"/>
  <c r="CW52" i="5"/>
  <c r="CV52" i="5"/>
  <c r="CQ52" i="5"/>
  <c r="CU52" i="5"/>
  <c r="AY52" i="5" a="1"/>
  <c r="AY52" i="5" s="1"/>
  <c r="BL52" i="5" a="1"/>
  <c r="BL52" i="5" s="1"/>
  <c r="AZ52" i="5" a="1"/>
  <c r="AZ52" i="5" s="1"/>
  <c r="BM52" i="5" a="1"/>
  <c r="BM52" i="5" s="1"/>
  <c r="BJ52" i="5" a="1"/>
  <c r="BJ52" i="5" s="1"/>
  <c r="BA52" i="5" a="1"/>
  <c r="BA52" i="5" s="1"/>
  <c r="BQ52" i="5" a="1"/>
  <c r="BQ52" i="5" s="1"/>
  <c r="BO52" i="5" a="1"/>
  <c r="BO52" i="5" s="1"/>
  <c r="BB52" i="5" a="1"/>
  <c r="BB52" i="5" s="1"/>
  <c r="BN52" i="5" a="1"/>
  <c r="BN52" i="5" s="1"/>
  <c r="BD52" i="5" a="1"/>
  <c r="BD52" i="5" s="1"/>
  <c r="V50" i="2"/>
  <c r="F55" i="8"/>
  <c r="BP51" i="5" a="1"/>
  <c r="BP51" i="5" s="1"/>
  <c r="J51" i="2" s="1"/>
  <c r="O56" i="1"/>
  <c r="BX47" i="8"/>
  <c r="CD47" i="8" s="1"/>
  <c r="BT47" i="8"/>
  <c r="BO47" i="8"/>
  <c r="BP47" i="8"/>
  <c r="BM47" i="8"/>
  <c r="BN47" i="8"/>
  <c r="BK47" i="8"/>
  <c r="BL47" i="8"/>
  <c r="BJ47" i="8"/>
  <c r="AR47" i="5"/>
  <c r="AC47" i="10"/>
  <c r="X47" i="10" s="1"/>
  <c r="AS51" i="5"/>
  <c r="AH51" i="11"/>
  <c r="DE50" i="5"/>
  <c r="DB50" i="5"/>
  <c r="AJ51" i="1"/>
  <c r="DF50" i="5"/>
  <c r="BK52" i="14" a="1"/>
  <c r="BK52" i="14" s="1"/>
  <c r="AL52" i="14" a="1"/>
  <c r="AL52" i="14" s="1"/>
  <c r="BQ52" i="14" a="1"/>
  <c r="BQ52" i="14" s="1"/>
  <c r="AZ52" i="14" a="1"/>
  <c r="AZ52" i="14" s="1"/>
  <c r="BZ52" i="14" a="1"/>
  <c r="BZ52" i="14" s="1"/>
  <c r="AQ52" i="14" a="1"/>
  <c r="AQ52" i="14" s="1"/>
  <c r="R52" i="14" a="1"/>
  <c r="R52" i="14" s="1"/>
  <c r="AL52" i="1" s="1"/>
  <c r="AO52" i="14" a="1"/>
  <c r="AO52" i="14" s="1"/>
  <c r="BC52" i="14" a="1"/>
  <c r="BC52" i="14" s="1"/>
  <c r="V52" i="14" a="1"/>
  <c r="V52" i="14" s="1"/>
  <c r="BA52" i="14" a="1"/>
  <c r="BA52" i="14" s="1"/>
  <c r="AR52" i="14" a="1"/>
  <c r="AR52" i="14" s="1"/>
  <c r="AN52" i="14" a="1"/>
  <c r="AN52" i="14" s="1"/>
  <c r="AU52" i="14" a="1"/>
  <c r="AU52" i="14" s="1"/>
  <c r="AE52" i="14" a="1"/>
  <c r="AE52" i="14" s="1"/>
  <c r="AS52" i="14" a="1"/>
  <c r="AS52" i="14" s="1"/>
  <c r="P52" i="14" a="1"/>
  <c r="P52" i="14" s="1"/>
  <c r="BO52" i="14" a="1"/>
  <c r="BO52" i="14" s="1"/>
  <c r="AY52" i="14" a="1"/>
  <c r="AY52" i="14" s="1"/>
  <c r="BF52" i="14" a="1"/>
  <c r="BF52" i="14" s="1"/>
  <c r="Y52" i="14" a="1"/>
  <c r="Y52" i="14" s="1"/>
  <c r="AT52" i="14" a="1"/>
  <c r="AT52" i="14" s="1"/>
  <c r="BJ52" i="14" a="1"/>
  <c r="BJ52" i="14" s="1"/>
  <c r="BD52" i="14" a="1"/>
  <c r="BD52" i="14" s="1"/>
  <c r="AJ52" i="14" a="1"/>
  <c r="AJ52" i="14" s="1"/>
  <c r="BP52" i="14" a="1"/>
  <c r="BP52" i="14" s="1"/>
  <c r="S52" i="14" a="1"/>
  <c r="S52" i="14" s="1"/>
  <c r="BS52" i="14" a="1"/>
  <c r="BS52" i="14" s="1"/>
  <c r="BR52" i="14" a="1"/>
  <c r="BR52" i="14" s="1"/>
  <c r="AK52" i="14" a="1"/>
  <c r="AK52" i="14" s="1"/>
  <c r="AB52" i="14" a="1"/>
  <c r="AB52" i="14" s="1"/>
  <c r="AF52" i="14" a="1"/>
  <c r="AF52" i="14" s="1"/>
  <c r="AW52" i="14" a="1"/>
  <c r="AW52" i="14" s="1"/>
  <c r="AM52" i="14" a="1"/>
  <c r="AM52" i="14" s="1"/>
  <c r="U52" i="14" a="1"/>
  <c r="U52" i="14" s="1"/>
  <c r="BH52" i="14" a="1"/>
  <c r="BH52" i="14" s="1"/>
  <c r="BL52" i="14" a="1"/>
  <c r="BL52" i="14" s="1"/>
  <c r="M52" i="14" a="1"/>
  <c r="M52" i="14" s="1"/>
  <c r="W52" i="14" a="1"/>
  <c r="W52" i="14" s="1"/>
  <c r="BI52" i="14" a="1"/>
  <c r="BI52" i="14" s="1"/>
  <c r="BV52" i="14" a="1"/>
  <c r="BV52" i="14" s="1"/>
  <c r="AH52" i="14" a="1"/>
  <c r="AH52" i="14" s="1"/>
  <c r="BE52" i="14" a="1"/>
  <c r="BE52" i="14" s="1"/>
  <c r="X52" i="14" a="1"/>
  <c r="X52" i="14" s="1"/>
  <c r="AC52" i="14" a="1"/>
  <c r="AC52" i="14" s="1"/>
  <c r="AI52" i="14" a="1"/>
  <c r="AI52" i="14" s="1"/>
  <c r="BM52" i="14" a="1"/>
  <c r="BM52" i="14" s="1"/>
  <c r="Q52" i="14" a="1"/>
  <c r="Q52" i="14" s="1"/>
  <c r="O52" i="14" a="1"/>
  <c r="O52" i="14" s="1"/>
  <c r="BY52" i="14" a="1"/>
  <c r="BY52" i="14" s="1"/>
  <c r="AA52" i="14" a="1"/>
  <c r="AA52" i="14" s="1"/>
  <c r="Z52" i="14" a="1"/>
  <c r="Z52" i="14" s="1"/>
  <c r="N52" i="14" a="1"/>
  <c r="N52" i="14" s="1"/>
  <c r="T52" i="14" a="1"/>
  <c r="T52" i="14" s="1"/>
  <c r="BG52" i="14" a="1"/>
  <c r="BG52" i="14" s="1"/>
  <c r="BN52" i="14" a="1"/>
  <c r="BN52" i="14" s="1"/>
  <c r="AV52" i="14" a="1"/>
  <c r="AV52" i="14" s="1"/>
  <c r="BB52" i="14" a="1"/>
  <c r="BB52" i="14" s="1"/>
  <c r="BX52" i="14" a="1"/>
  <c r="BX52" i="14" s="1"/>
  <c r="AX52" i="14" a="1"/>
  <c r="AX52" i="14" s="1"/>
  <c r="BU52" i="14" a="1"/>
  <c r="BU52" i="14" s="1"/>
  <c r="BT52" i="14" a="1"/>
  <c r="BT52" i="14" s="1"/>
  <c r="AD52" i="14" a="1"/>
  <c r="AD52" i="14" s="1"/>
  <c r="BW52" i="14" a="1"/>
  <c r="BW52" i="14" s="1"/>
  <c r="AP52" i="14" a="1"/>
  <c r="AP52" i="14" s="1"/>
  <c r="AG52" i="14" a="1"/>
  <c r="AG52" i="14" s="1"/>
  <c r="AK51" i="11"/>
  <c r="AM51" i="1"/>
  <c r="AF49" i="1"/>
  <c r="W49" i="1"/>
  <c r="K53" i="11"/>
  <c r="A53" i="14"/>
  <c r="CA53" i="14" s="1"/>
  <c r="A53" i="9"/>
  <c r="A53" i="8"/>
  <c r="A53" i="5"/>
  <c r="A53" i="7"/>
  <c r="R53" i="7" s="1"/>
  <c r="A53" i="2"/>
  <c r="Y49" i="1"/>
  <c r="DJ50" i="5"/>
  <c r="AU52" i="8"/>
  <c r="AE52" i="8"/>
  <c r="DH50" i="5"/>
  <c r="B50" i="5"/>
  <c r="CS45" i="8"/>
  <c r="B50" i="2"/>
  <c r="B50" i="1"/>
  <c r="BG50" i="1" s="1"/>
  <c r="AH50" i="5"/>
  <c r="BU50" i="5"/>
  <c r="BY52" i="11"/>
  <c r="K51" i="10"/>
  <c r="AA51" i="7"/>
  <c r="AF51" i="8" s="1"/>
  <c r="J51" i="5"/>
  <c r="DC51" i="5" s="1"/>
  <c r="E50" i="10"/>
  <c r="G50" i="7"/>
  <c r="M51" i="5"/>
  <c r="H50" i="10"/>
  <c r="J50" i="7"/>
  <c r="I51" i="5"/>
  <c r="D50" i="10"/>
  <c r="F50" i="7"/>
  <c r="H51" i="5"/>
  <c r="C50" i="10"/>
  <c r="E50" i="7"/>
  <c r="K51" i="5"/>
  <c r="F50" i="10"/>
  <c r="H50" i="7"/>
  <c r="DD50" i="5"/>
  <c r="G51" i="5"/>
  <c r="D50" i="7"/>
  <c r="B50" i="10"/>
  <c r="L51" i="5"/>
  <c r="G50" i="10"/>
  <c r="I50" i="7"/>
  <c r="DB46" i="8"/>
  <c r="CQ46" i="8"/>
  <c r="CU46" i="8" s="1"/>
  <c r="D48" i="9"/>
  <c r="CI47" i="8"/>
  <c r="DA47" i="8" s="1"/>
  <c r="DH48" i="8"/>
  <c r="DI48" i="8" s="1"/>
  <c r="CE46" i="8"/>
  <c r="CX46" i="8" s="1"/>
  <c r="CY46" i="8" s="1"/>
  <c r="CK48" i="8"/>
  <c r="BW48" i="8"/>
  <c r="AC48" i="1" s="1"/>
  <c r="N47" i="7"/>
  <c r="BH48" i="8"/>
  <c r="BU48" i="8" s="1"/>
  <c r="BI48" i="8"/>
  <c r="AH59" i="9"/>
  <c r="B46" i="14"/>
  <c r="AQ46" i="5"/>
  <c r="CA47" i="8"/>
  <c r="AE47" i="7"/>
  <c r="AF47" i="7" s="1"/>
  <c r="CC47" i="8"/>
  <c r="CV47" i="8" s="1"/>
  <c r="CW47" i="8" s="1"/>
  <c r="AB46" i="11"/>
  <c r="Q46" i="8" s="1"/>
  <c r="Z46" i="11"/>
  <c r="Y46" i="11"/>
  <c r="AH46" i="1" s="1"/>
  <c r="AC46" i="11"/>
  <c r="U46" i="8" s="1"/>
  <c r="N47" i="11"/>
  <c r="AA46" i="11"/>
  <c r="AK46" i="1" s="1"/>
  <c r="AD46" i="11"/>
  <c r="AI46" i="1" s="1"/>
  <c r="BZ47" i="8"/>
  <c r="CB47" i="8"/>
  <c r="CT47" i="8" s="1"/>
  <c r="BY47" i="8"/>
  <c r="C49" i="5"/>
  <c r="F49" i="5" s="1"/>
  <c r="CR46" i="8"/>
  <c r="A48" i="10"/>
  <c r="AA48" i="10" s="1"/>
  <c r="B48" i="7"/>
  <c r="A48" i="11"/>
  <c r="X48" i="8"/>
  <c r="DD48" i="8" s="1"/>
  <c r="E48" i="1"/>
  <c r="AJ48" i="5"/>
  <c r="AP48" i="5" s="1"/>
  <c r="B48" i="9"/>
  <c r="Y48" i="9" s="1"/>
  <c r="AI48" i="5"/>
  <c r="AC48" i="8"/>
  <c r="BQ48" i="8" s="1"/>
  <c r="BT48" i="5"/>
  <c r="CZ50" i="5"/>
  <c r="AB50" i="1"/>
  <c r="DI50" i="5"/>
  <c r="C50" i="5"/>
  <c r="DA49" i="5"/>
  <c r="DG49" i="5" s="1" a="1"/>
  <c r="DG49" i="5" s="1"/>
  <c r="AG59" i="9"/>
  <c r="AK59" i="9"/>
  <c r="AE121" i="9"/>
  <c r="N35" i="1"/>
  <c r="S52" i="2"/>
  <c r="N53" i="2"/>
  <c r="R53" i="2"/>
  <c r="Q52" i="2"/>
  <c r="P54" i="2"/>
  <c r="J54" i="10"/>
  <c r="N54" i="5" s="1"/>
  <c r="AQ75" i="9" l="1"/>
  <c r="CM75" i="8" s="1"/>
  <c r="AO48" i="5"/>
  <c r="AM48" i="5"/>
  <c r="AN48" i="5"/>
  <c r="AV49" i="5"/>
  <c r="AW49" i="5"/>
  <c r="AG47" i="7"/>
  <c r="AE51" i="1"/>
  <c r="CL49" i="8"/>
  <c r="DB47" i="8"/>
  <c r="AI71" i="9"/>
  <c r="AO71" i="8" s="1"/>
  <c r="G54" i="8"/>
  <c r="CF53" i="8"/>
  <c r="O53" i="2"/>
  <c r="AM60" i="9"/>
  <c r="BR48" i="8"/>
  <c r="BS48" i="8"/>
  <c r="AD51" i="1"/>
  <c r="BD53" i="5" a="1"/>
  <c r="BD53" i="5" s="1"/>
  <c r="BN53" i="5" a="1"/>
  <c r="BN53" i="5" s="1"/>
  <c r="BB53" i="5" a="1"/>
  <c r="BB53" i="5" s="1"/>
  <c r="BO53" i="5" a="1"/>
  <c r="BO53" i="5" s="1"/>
  <c r="BH53" i="5" a="1"/>
  <c r="BH53" i="5" s="1"/>
  <c r="BQ53" i="5" a="1"/>
  <c r="BQ53" i="5" s="1"/>
  <c r="BE53" i="5" a="1"/>
  <c r="BE53" i="5" s="1"/>
  <c r="BC53" i="5" a="1"/>
  <c r="BC53" i="5" s="1"/>
  <c r="BA53" i="5" a="1"/>
  <c r="BA53" i="5" s="1"/>
  <c r="BK53" i="5" a="1"/>
  <c r="BK53" i="5" s="1"/>
  <c r="CT53" i="5"/>
  <c r="CS53" i="5"/>
  <c r="CV53" i="5"/>
  <c r="CR53" i="5"/>
  <c r="CU53" i="5"/>
  <c r="CQ53" i="5"/>
  <c r="CW53" i="5"/>
  <c r="AY53" i="5" a="1"/>
  <c r="AY53" i="5" s="1"/>
  <c r="BL53" i="5" a="1"/>
  <c r="BL53" i="5" s="1"/>
  <c r="BJ53" i="5" a="1"/>
  <c r="BJ53" i="5" s="1"/>
  <c r="BI53" i="5" a="1"/>
  <c r="BI53" i="5" s="1"/>
  <c r="BM53" i="5" a="1"/>
  <c r="BM53" i="5" s="1"/>
  <c r="BG53" i="5" a="1"/>
  <c r="BG53" i="5" s="1"/>
  <c r="AZ53" i="5" a="1"/>
  <c r="AZ53" i="5" s="1"/>
  <c r="BF53" i="5" a="1"/>
  <c r="BF53" i="5" s="1"/>
  <c r="AE52" i="1" s="1"/>
  <c r="V51" i="2"/>
  <c r="F56" i="8"/>
  <c r="BP52" i="5" a="1"/>
  <c r="BP52" i="5" s="1"/>
  <c r="O57" i="1"/>
  <c r="CE47" i="8"/>
  <c r="CX47" i="8" s="1"/>
  <c r="CY47" i="8" s="1"/>
  <c r="BT48" i="8"/>
  <c r="BO48" i="8"/>
  <c r="BP48" i="8"/>
  <c r="BM48" i="8"/>
  <c r="BN48" i="8"/>
  <c r="BK48" i="8"/>
  <c r="BL48" i="8"/>
  <c r="BJ48" i="8"/>
  <c r="AC48" i="10"/>
  <c r="X48" i="10" s="1"/>
  <c r="AR48" i="5"/>
  <c r="AT52" i="5"/>
  <c r="AS52" i="5"/>
  <c r="AH52" i="11"/>
  <c r="AJ52" i="1"/>
  <c r="DF51" i="5"/>
  <c r="AM52" i="1"/>
  <c r="AK52" i="11"/>
  <c r="DE51" i="5"/>
  <c r="DB51" i="5"/>
  <c r="DH51" i="5"/>
  <c r="Y50" i="1"/>
  <c r="DJ51" i="5"/>
  <c r="W50" i="1"/>
  <c r="K54" i="11"/>
  <c r="A54" i="14"/>
  <c r="CA54" i="14" s="1"/>
  <c r="A54" i="5"/>
  <c r="A54" i="9"/>
  <c r="A54" i="7"/>
  <c r="R54" i="7" s="1"/>
  <c r="A54" i="8"/>
  <c r="A54" i="2"/>
  <c r="AF50" i="1"/>
  <c r="AE53" i="8"/>
  <c r="AU53" i="8"/>
  <c r="BK53" i="14" a="1"/>
  <c r="BK53" i="14" s="1"/>
  <c r="O53" i="14" a="1"/>
  <c r="O53" i="14" s="1"/>
  <c r="BQ53" i="14" a="1"/>
  <c r="BQ53" i="14" s="1"/>
  <c r="AJ53" i="14" a="1"/>
  <c r="AJ53" i="14" s="1"/>
  <c r="BX53" i="14" a="1"/>
  <c r="BX53" i="14" s="1"/>
  <c r="BV53" i="14" a="1"/>
  <c r="BV53" i="14" s="1"/>
  <c r="BN53" i="14" a="1"/>
  <c r="BN53" i="14" s="1"/>
  <c r="Z53" i="14" a="1"/>
  <c r="Z53" i="14" s="1"/>
  <c r="AM53" i="14" a="1"/>
  <c r="AM53" i="14" s="1"/>
  <c r="BR53" i="14" a="1"/>
  <c r="BR53" i="14" s="1"/>
  <c r="BA53" i="14" a="1"/>
  <c r="BA53" i="14" s="1"/>
  <c r="BP53" i="14" a="1"/>
  <c r="BP53" i="14" s="1"/>
  <c r="BW53" i="14" a="1"/>
  <c r="BW53" i="14" s="1"/>
  <c r="BG53" i="14" a="1"/>
  <c r="BG53" i="14" s="1"/>
  <c r="BF53" i="14" a="1"/>
  <c r="BF53" i="14" s="1"/>
  <c r="Y53" i="14" a="1"/>
  <c r="Y53" i="14" s="1"/>
  <c r="AE53" i="14" a="1"/>
  <c r="AE53" i="14" s="1"/>
  <c r="BB53" i="14" a="1"/>
  <c r="BB53" i="14" s="1"/>
  <c r="AS53" i="14" a="1"/>
  <c r="AS53" i="14" s="1"/>
  <c r="P53" i="14" a="1"/>
  <c r="P53" i="14" s="1"/>
  <c r="BO53" i="14" a="1"/>
  <c r="BO53" i="14" s="1"/>
  <c r="AI53" i="14" a="1"/>
  <c r="AI53" i="14" s="1"/>
  <c r="AX53" i="14" a="1"/>
  <c r="AX53" i="14" s="1"/>
  <c r="AH53" i="14" a="1"/>
  <c r="AH53" i="14" s="1"/>
  <c r="BC53" i="14" a="1"/>
  <c r="BC53" i="14" s="1"/>
  <c r="V53" i="14" a="1"/>
  <c r="V53" i="14" s="1"/>
  <c r="BD53" i="14" a="1"/>
  <c r="BD53" i="14" s="1"/>
  <c r="BZ53" i="14" a="1"/>
  <c r="BZ53" i="14" s="1"/>
  <c r="T53" i="14" a="1"/>
  <c r="T53" i="14" s="1"/>
  <c r="S53" i="14" a="1"/>
  <c r="S53" i="14" s="1"/>
  <c r="BL53" i="14" a="1"/>
  <c r="BL53" i="14" s="1"/>
  <c r="BE53" i="14" a="1"/>
  <c r="BE53" i="14" s="1"/>
  <c r="AU53" i="14" a="1"/>
  <c r="AU53" i="14" s="1"/>
  <c r="BJ53" i="14" a="1"/>
  <c r="BJ53" i="14" s="1"/>
  <c r="BI53" i="14" a="1"/>
  <c r="BI53" i="14" s="1"/>
  <c r="BH53" i="14" a="1"/>
  <c r="BH53" i="14" s="1"/>
  <c r="BY53" i="14" a="1"/>
  <c r="BY53" i="14" s="1"/>
  <c r="R53" i="14" a="1"/>
  <c r="R53" i="14" s="1"/>
  <c r="AL53" i="1" s="1"/>
  <c r="AO53" i="14" a="1"/>
  <c r="AO53" i="14" s="1"/>
  <c r="BU53" i="14" a="1"/>
  <c r="BU53" i="14" s="1"/>
  <c r="BS53" i="14" a="1"/>
  <c r="BS53" i="14" s="1"/>
  <c r="X53" i="14" a="1"/>
  <c r="X53" i="14" s="1"/>
  <c r="N53" i="14" a="1"/>
  <c r="N53" i="14" s="1"/>
  <c r="AK53" i="14" a="1"/>
  <c r="AK53" i="14" s="1"/>
  <c r="AZ53" i="14" a="1"/>
  <c r="AZ53" i="14" s="1"/>
  <c r="AY53" i="14" a="1"/>
  <c r="AY53" i="14" s="1"/>
  <c r="AA53" i="14" a="1"/>
  <c r="AA53" i="14" s="1"/>
  <c r="AG53" i="14" a="1"/>
  <c r="AG53" i="14" s="1"/>
  <c r="Q53" i="14" a="1"/>
  <c r="Q53" i="14" s="1"/>
  <c r="BT53" i="14" a="1"/>
  <c r="BT53" i="14" s="1"/>
  <c r="AT53" i="14" a="1"/>
  <c r="AT53" i="14" s="1"/>
  <c r="AD53" i="14" a="1"/>
  <c r="AD53" i="14" s="1"/>
  <c r="U53" i="14" a="1"/>
  <c r="U53" i="14" s="1"/>
  <c r="AB53" i="14" a="1"/>
  <c r="AB53" i="14" s="1"/>
  <c r="AQ53" i="14" a="1"/>
  <c r="AQ53" i="14" s="1"/>
  <c r="AP53" i="14" a="1"/>
  <c r="AP53" i="14" s="1"/>
  <c r="BM53" i="14" a="1"/>
  <c r="BM53" i="14" s="1"/>
  <c r="AL53" i="14" a="1"/>
  <c r="AL53" i="14" s="1"/>
  <c r="AC53" i="14" a="1"/>
  <c r="AC53" i="14" s="1"/>
  <c r="AR53" i="14" a="1"/>
  <c r="AR53" i="14" s="1"/>
  <c r="AN53" i="14" a="1"/>
  <c r="AN53" i="14" s="1"/>
  <c r="AF53" i="14" a="1"/>
  <c r="AF53" i="14" s="1"/>
  <c r="M53" i="14" a="1"/>
  <c r="M53" i="14" s="1"/>
  <c r="AV53" i="14" a="1"/>
  <c r="AV53" i="14" s="1"/>
  <c r="AW53" i="14" a="1"/>
  <c r="AW53" i="14" s="1"/>
  <c r="W53" i="14" a="1"/>
  <c r="W53" i="14" s="1"/>
  <c r="F50" i="5"/>
  <c r="CS46" i="8"/>
  <c r="B51" i="5"/>
  <c r="BY53" i="11"/>
  <c r="AA52" i="7"/>
  <c r="AF52" i="8" s="1"/>
  <c r="K52" i="10"/>
  <c r="I52" i="5"/>
  <c r="D51" i="10"/>
  <c r="F51" i="7"/>
  <c r="L52" i="5"/>
  <c r="G51" i="10"/>
  <c r="I51" i="7"/>
  <c r="K52" i="5"/>
  <c r="F51" i="10"/>
  <c r="H51" i="7"/>
  <c r="DD51" i="5"/>
  <c r="M52" i="5"/>
  <c r="H51" i="10"/>
  <c r="J51" i="7"/>
  <c r="B51" i="10"/>
  <c r="G52" i="5"/>
  <c r="D51" i="7"/>
  <c r="H52" i="5"/>
  <c r="C51" i="10"/>
  <c r="E51" i="7"/>
  <c r="J52" i="5"/>
  <c r="DC52" i="5" s="1"/>
  <c r="E51" i="10"/>
  <c r="G51" i="7"/>
  <c r="CQ47" i="8"/>
  <c r="CU47" i="8" s="1"/>
  <c r="D49" i="9"/>
  <c r="CI48" i="8"/>
  <c r="DA48" i="8" s="1"/>
  <c r="DH49" i="8"/>
  <c r="DI49" i="8" s="1"/>
  <c r="CK49" i="8"/>
  <c r="BW49" i="8"/>
  <c r="AC49" i="1" s="1"/>
  <c r="BI49" i="8"/>
  <c r="BX48" i="8"/>
  <c r="CE48" i="8" s="1"/>
  <c r="N48" i="7"/>
  <c r="B49" i="9"/>
  <c r="Y49" i="9" s="1"/>
  <c r="BH49" i="8"/>
  <c r="BU49" i="8" s="1"/>
  <c r="AH60" i="9"/>
  <c r="B47" i="14"/>
  <c r="CR47" i="8"/>
  <c r="AQ47" i="5"/>
  <c r="X49" i="8"/>
  <c r="DD49" i="8" s="1"/>
  <c r="B49" i="7"/>
  <c r="Q49" i="7" s="1"/>
  <c r="AJ49" i="5"/>
  <c r="AP49" i="5" s="1"/>
  <c r="AC49" i="8"/>
  <c r="BQ49" i="8" s="1"/>
  <c r="A49" i="11"/>
  <c r="AA48" i="11" s="1"/>
  <c r="AK48" i="1" s="1"/>
  <c r="AI49" i="5"/>
  <c r="BT49" i="5"/>
  <c r="E49" i="1"/>
  <c r="A49" i="10"/>
  <c r="AA49" i="10" s="1"/>
  <c r="Q48" i="7"/>
  <c r="AE48" i="7"/>
  <c r="AF48" i="7" s="1"/>
  <c r="CZ51" i="5"/>
  <c r="N48" i="11"/>
  <c r="AB47" i="11"/>
  <c r="Q47" i="8" s="1"/>
  <c r="AD47" i="11"/>
  <c r="AI47" i="1" s="1"/>
  <c r="Y47" i="11"/>
  <c r="AH47" i="1" s="1"/>
  <c r="Z47" i="11"/>
  <c r="AA47" i="11"/>
  <c r="AK47" i="1" s="1"/>
  <c r="AC47" i="11"/>
  <c r="U47" i="8" s="1"/>
  <c r="CH48" i="8"/>
  <c r="CZ48" i="8" s="1"/>
  <c r="CB48" i="8"/>
  <c r="CT48" i="8" s="1"/>
  <c r="BZ48" i="8"/>
  <c r="BY48" i="8"/>
  <c r="CC48" i="8"/>
  <c r="CV48" i="8" s="1"/>
  <c r="CW48" i="8" s="1"/>
  <c r="CA48" i="8"/>
  <c r="DA50" i="5"/>
  <c r="DG50" i="5" s="1" a="1"/>
  <c r="DG50" i="5" s="1"/>
  <c r="AB51" i="1"/>
  <c r="DI51" i="5"/>
  <c r="AG60" i="9"/>
  <c r="AK60" i="9"/>
  <c r="AE122" i="9"/>
  <c r="N36" i="1"/>
  <c r="S53" i="2"/>
  <c r="N54" i="2"/>
  <c r="R54" i="2"/>
  <c r="Q53" i="2"/>
  <c r="P55" i="2"/>
  <c r="J55" i="10"/>
  <c r="N55" i="5" s="1"/>
  <c r="AQ76" i="9" l="1"/>
  <c r="CM76" i="8" s="1"/>
  <c r="AO49" i="5"/>
  <c r="AM49" i="5"/>
  <c r="AN49" i="5"/>
  <c r="AR49" i="5" s="1"/>
  <c r="AV50" i="5"/>
  <c r="AW50" i="5"/>
  <c r="AG48" i="7"/>
  <c r="J52" i="2"/>
  <c r="CL50" i="8"/>
  <c r="AI72" i="9"/>
  <c r="AO72" i="8" s="1"/>
  <c r="G55" i="8"/>
  <c r="CF54" i="8"/>
  <c r="O54" i="2"/>
  <c r="BK54" i="5" a="1"/>
  <c r="BK54" i="5" s="1"/>
  <c r="BF54" i="5" a="1"/>
  <c r="BF54" i="5" s="1"/>
  <c r="AE53" i="1" s="1"/>
  <c r="AM61" i="9"/>
  <c r="BR49" i="8"/>
  <c r="BS49" i="8"/>
  <c r="AD52" i="1"/>
  <c r="BA54" i="5" a="1"/>
  <c r="BA54" i="5" s="1"/>
  <c r="AZ54" i="5" a="1"/>
  <c r="AZ54" i="5" s="1"/>
  <c r="BC54" i="5" a="1"/>
  <c r="BC54" i="5" s="1"/>
  <c r="BG54" i="5" a="1"/>
  <c r="BG54" i="5" s="1"/>
  <c r="BE54" i="5" a="1"/>
  <c r="BE54" i="5" s="1"/>
  <c r="BM54" i="5" a="1"/>
  <c r="BM54" i="5" s="1"/>
  <c r="BQ54" i="5" a="1"/>
  <c r="BQ54" i="5" s="1"/>
  <c r="BI54" i="5" a="1"/>
  <c r="BI54" i="5" s="1"/>
  <c r="BJ54" i="5" a="1"/>
  <c r="BJ54" i="5" s="1"/>
  <c r="BH54" i="5" a="1"/>
  <c r="BH54" i="5" s="1"/>
  <c r="BO54" i="5" a="1"/>
  <c r="BO54" i="5" s="1"/>
  <c r="BB54" i="5" a="1"/>
  <c r="BB54" i="5" s="1"/>
  <c r="CT54" i="5"/>
  <c r="CR54" i="5"/>
  <c r="CQ54" i="5"/>
  <c r="CS54" i="5"/>
  <c r="CU54" i="5"/>
  <c r="CW54" i="5"/>
  <c r="CV54" i="5"/>
  <c r="AY54" i="5" a="1"/>
  <c r="AY54" i="5" s="1"/>
  <c r="BL54" i="5" a="1"/>
  <c r="BL54" i="5" s="1"/>
  <c r="BN54" i="5" a="1"/>
  <c r="BN54" i="5" s="1"/>
  <c r="BD54" i="5" a="1"/>
  <c r="BD54" i="5" s="1"/>
  <c r="V52" i="2"/>
  <c r="F57" i="8"/>
  <c r="BP53" i="5" a="1"/>
  <c r="BP53" i="5" s="1"/>
  <c r="J53" i="2" s="1"/>
  <c r="A50" i="11"/>
  <c r="AD49" i="11" s="1"/>
  <c r="AI49" i="1" s="1"/>
  <c r="O58" i="1"/>
  <c r="BT49" i="8"/>
  <c r="BO49" i="8"/>
  <c r="BP49" i="8"/>
  <c r="BM49" i="8"/>
  <c r="BN49" i="8"/>
  <c r="BK49" i="8"/>
  <c r="BL49" i="8"/>
  <c r="BJ49" i="8"/>
  <c r="AC49" i="10"/>
  <c r="X49" i="10" s="1"/>
  <c r="AS53" i="5"/>
  <c r="DB52" i="5"/>
  <c r="AH53" i="11"/>
  <c r="AJ53" i="1"/>
  <c r="Y51" i="1"/>
  <c r="DJ52" i="5"/>
  <c r="AK53" i="11"/>
  <c r="AE54" i="8"/>
  <c r="AU54" i="8"/>
  <c r="DF52" i="5"/>
  <c r="AM53" i="1"/>
  <c r="AF51" i="1"/>
  <c r="W51" i="1"/>
  <c r="DH52" i="5"/>
  <c r="W54" i="14" a="1"/>
  <c r="W54" i="14" s="1"/>
  <c r="AT54" i="14" a="1"/>
  <c r="AT54" i="14" s="1"/>
  <c r="N54" i="14" a="1"/>
  <c r="N54" i="14" s="1"/>
  <c r="T54" i="14" a="1"/>
  <c r="T54" i="14" s="1"/>
  <c r="S54" i="14" a="1"/>
  <c r="S54" i="14" s="1"/>
  <c r="AX54" i="14" a="1"/>
  <c r="AX54" i="14" s="1"/>
  <c r="AH54" i="14" a="1"/>
  <c r="AH54" i="14" s="1"/>
  <c r="BL54" i="14" a="1"/>
  <c r="BL54" i="14" s="1"/>
  <c r="BK54" i="14" a="1"/>
  <c r="BK54" i="14" s="1"/>
  <c r="BB54" i="14" a="1"/>
  <c r="BB54" i="14" s="1"/>
  <c r="BA54" i="14" a="1"/>
  <c r="BA54" i="14" s="1"/>
  <c r="AJ54" i="14" a="1"/>
  <c r="AJ54" i="14" s="1"/>
  <c r="BZ54" i="14" a="1"/>
  <c r="BZ54" i="14" s="1"/>
  <c r="AN54" i="14" a="1"/>
  <c r="AN54" i="14" s="1"/>
  <c r="AQ54" i="14" a="1"/>
  <c r="AQ54" i="14" s="1"/>
  <c r="BU54" i="14" a="1"/>
  <c r="BU54" i="14" s="1"/>
  <c r="X54" i="14" a="1"/>
  <c r="X54" i="14" s="1"/>
  <c r="BD54" i="14" a="1"/>
  <c r="BD54" i="14" s="1"/>
  <c r="AR54" i="14" a="1"/>
  <c r="AR54" i="14" s="1"/>
  <c r="BG54" i="14" a="1"/>
  <c r="BG54" i="14" s="1"/>
  <c r="AO54" i="14" a="1"/>
  <c r="AO54" i="14" s="1"/>
  <c r="AW54" i="14" a="1"/>
  <c r="AW54" i="14" s="1"/>
  <c r="AL54" i="14" a="1"/>
  <c r="AL54" i="14" s="1"/>
  <c r="BQ54" i="14" a="1"/>
  <c r="BQ54" i="14" s="1"/>
  <c r="AB54" i="14" a="1"/>
  <c r="AB54" i="14" s="1"/>
  <c r="AY54" i="14" a="1"/>
  <c r="AY54" i="14" s="1"/>
  <c r="AF54" i="14" a="1"/>
  <c r="AF54" i="14" s="1"/>
  <c r="Z54" i="14" a="1"/>
  <c r="Z54" i="14" s="1"/>
  <c r="BT54" i="14" a="1"/>
  <c r="BT54" i="14" s="1"/>
  <c r="BR54" i="14" a="1"/>
  <c r="BR54" i="14" s="1"/>
  <c r="AS54" i="14" a="1"/>
  <c r="AS54" i="14" s="1"/>
  <c r="U54" i="14" a="1"/>
  <c r="U54" i="14" s="1"/>
  <c r="AI54" i="14" a="1"/>
  <c r="AI54" i="14" s="1"/>
  <c r="BF54" i="14" a="1"/>
  <c r="BF54" i="14" s="1"/>
  <c r="AG54" i="14" a="1"/>
  <c r="AG54" i="14" s="1"/>
  <c r="AV54" i="14" a="1"/>
  <c r="AV54" i="14" s="1"/>
  <c r="AD54" i="14" a="1"/>
  <c r="AD54" i="14" s="1"/>
  <c r="AK54" i="14" a="1"/>
  <c r="AK54" i="14" s="1"/>
  <c r="P54" i="14" a="1"/>
  <c r="P54" i="14" s="1"/>
  <c r="BO54" i="14" a="1"/>
  <c r="BO54" i="14" s="1"/>
  <c r="R54" i="14" a="1"/>
  <c r="R54" i="14" s="1"/>
  <c r="AL54" i="1" s="1"/>
  <c r="Y54" i="14" a="1"/>
  <c r="Y54" i="14" s="1"/>
  <c r="BS54" i="14" a="1"/>
  <c r="BS54" i="14" s="1"/>
  <c r="AE54" i="14" a="1"/>
  <c r="AE54" i="14" s="1"/>
  <c r="BP54" i="14" a="1"/>
  <c r="BP54" i="14" s="1"/>
  <c r="BX54" i="14" a="1"/>
  <c r="BX54" i="14" s="1"/>
  <c r="AA54" i="14" a="1"/>
  <c r="AA54" i="14" s="1"/>
  <c r="BV54" i="14" a="1"/>
  <c r="BV54" i="14" s="1"/>
  <c r="AU54" i="14" a="1"/>
  <c r="AU54" i="14" s="1"/>
  <c r="BJ54" i="14" a="1"/>
  <c r="BJ54" i="14" s="1"/>
  <c r="BY54" i="14" a="1"/>
  <c r="BY54" i="14" s="1"/>
  <c r="AZ54" i="14" a="1"/>
  <c r="AZ54" i="14" s="1"/>
  <c r="BN54" i="14" a="1"/>
  <c r="BN54" i="14" s="1"/>
  <c r="BM54" i="14" a="1"/>
  <c r="BM54" i="14" s="1"/>
  <c r="BC54" i="14" a="1"/>
  <c r="BC54" i="14" s="1"/>
  <c r="O54" i="14" a="1"/>
  <c r="O54" i="14" s="1"/>
  <c r="BH54" i="14" a="1"/>
  <c r="BH54" i="14" s="1"/>
  <c r="BW54" i="14" a="1"/>
  <c r="BW54" i="14" s="1"/>
  <c r="AP54" i="14" a="1"/>
  <c r="AP54" i="14" s="1"/>
  <c r="M54" i="14" a="1"/>
  <c r="M54" i="14" s="1"/>
  <c r="AM54" i="14" a="1"/>
  <c r="AM54" i="14" s="1"/>
  <c r="V54" i="14" a="1"/>
  <c r="V54" i="14" s="1"/>
  <c r="AC54" i="14" a="1"/>
  <c r="AC54" i="14" s="1"/>
  <c r="BI54" i="14" a="1"/>
  <c r="BI54" i="14" s="1"/>
  <c r="BE54" i="14" a="1"/>
  <c r="BE54" i="14" s="1"/>
  <c r="Q54" i="14" a="1"/>
  <c r="Q54" i="14" s="1"/>
  <c r="K55" i="11"/>
  <c r="A55" i="14"/>
  <c r="CA55" i="14" s="1"/>
  <c r="A55" i="5"/>
  <c r="A55" i="8"/>
  <c r="A55" i="7"/>
  <c r="R55" i="7" s="1"/>
  <c r="A55" i="9"/>
  <c r="A55" i="2"/>
  <c r="DB48" i="8"/>
  <c r="A50" i="10"/>
  <c r="AA50" i="10" s="1"/>
  <c r="B50" i="7"/>
  <c r="AE50" i="7" s="1"/>
  <c r="AF50" i="7" s="1"/>
  <c r="E50" i="1"/>
  <c r="BI50" i="8"/>
  <c r="AI50" i="5"/>
  <c r="B50" i="9"/>
  <c r="Y50" i="9" s="1"/>
  <c r="X50" i="8"/>
  <c r="DD50" i="8" s="1"/>
  <c r="AJ50" i="5"/>
  <c r="AP50" i="5" s="1"/>
  <c r="BH50" i="8"/>
  <c r="BU50" i="8" s="1"/>
  <c r="BW50" i="8"/>
  <c r="BT50" i="5"/>
  <c r="DH50" i="8"/>
  <c r="DI50" i="8" s="1"/>
  <c r="AC50" i="8"/>
  <c r="BQ50" i="8" s="1"/>
  <c r="CK50" i="8"/>
  <c r="CS47" i="8"/>
  <c r="B52" i="5"/>
  <c r="DE52" i="5"/>
  <c r="BY54" i="11"/>
  <c r="K53" i="10"/>
  <c r="AA53" i="7"/>
  <c r="AF53" i="8" s="1"/>
  <c r="AV53" i="8" s="1"/>
  <c r="L53" i="11"/>
  <c r="K53" i="5"/>
  <c r="F52" i="10"/>
  <c r="H52" i="7"/>
  <c r="DD52" i="5"/>
  <c r="J53" i="5"/>
  <c r="DC53" i="5" s="1"/>
  <c r="E52" i="10"/>
  <c r="G52" i="7"/>
  <c r="H53" i="5"/>
  <c r="C52" i="10"/>
  <c r="E52" i="7"/>
  <c r="M53" i="5"/>
  <c r="H52" i="10"/>
  <c r="J52" i="7"/>
  <c r="L53" i="5"/>
  <c r="G52" i="10"/>
  <c r="I52" i="7"/>
  <c r="D52" i="7"/>
  <c r="B52" i="10"/>
  <c r="G53" i="5"/>
  <c r="I53" i="5"/>
  <c r="D52" i="10"/>
  <c r="F52" i="7"/>
  <c r="CQ48" i="8"/>
  <c r="CU48" i="8" s="1"/>
  <c r="D50" i="9"/>
  <c r="CI49" i="8"/>
  <c r="DA49" i="8" s="1"/>
  <c r="CD48" i="8"/>
  <c r="BX49" i="8"/>
  <c r="CE49" i="8" s="1"/>
  <c r="N49" i="7"/>
  <c r="AH61" i="9"/>
  <c r="B48" i="14"/>
  <c r="AE49" i="7"/>
  <c r="AF49" i="7" s="1"/>
  <c r="AB48" i="11"/>
  <c r="Q48" i="8" s="1"/>
  <c r="AD48" i="11"/>
  <c r="AI48" i="1" s="1"/>
  <c r="Z48" i="11"/>
  <c r="AC48" i="11"/>
  <c r="U48" i="8" s="1"/>
  <c r="N49" i="11"/>
  <c r="Y48" i="11"/>
  <c r="AH48" i="1" s="1"/>
  <c r="CA49" i="8"/>
  <c r="CB49" i="8"/>
  <c r="CT49" i="8" s="1"/>
  <c r="CC49" i="8"/>
  <c r="CV49" i="8" s="1"/>
  <c r="CW49" i="8" s="1"/>
  <c r="CH49" i="8"/>
  <c r="CZ49" i="8" s="1"/>
  <c r="BY49" i="8"/>
  <c r="BZ49" i="8"/>
  <c r="AQ48" i="5"/>
  <c r="CZ52" i="5"/>
  <c r="C51" i="5"/>
  <c r="F51" i="5" s="1"/>
  <c r="CR48" i="8"/>
  <c r="DI52" i="5"/>
  <c r="AB52" i="1"/>
  <c r="DA51" i="5"/>
  <c r="DG51" i="5" s="1" a="1"/>
  <c r="DG51" i="5" s="1"/>
  <c r="AQ5" i="5"/>
  <c r="I64" i="4" s="1"/>
  <c r="AG61" i="9"/>
  <c r="AK61" i="9"/>
  <c r="AE123" i="9"/>
  <c r="N37" i="1"/>
  <c r="S54" i="2"/>
  <c r="N55" i="2"/>
  <c r="R55" i="2"/>
  <c r="Q54" i="2"/>
  <c r="J56" i="10"/>
  <c r="N56" i="5" s="1"/>
  <c r="P56" i="2"/>
  <c r="AQ77" i="9" l="1"/>
  <c r="CM77" i="8" s="1"/>
  <c r="AO50" i="5"/>
  <c r="AM50" i="5"/>
  <c r="AN50" i="5"/>
  <c r="AR50" i="5" s="1"/>
  <c r="AV51" i="5"/>
  <c r="AW51" i="5"/>
  <c r="AG50" i="7"/>
  <c r="AG49" i="7"/>
  <c r="CL51" i="8"/>
  <c r="CH50" i="8"/>
  <c r="CZ50" i="8" s="1"/>
  <c r="AC50" i="1"/>
  <c r="AI73" i="9"/>
  <c r="AO73" i="8" s="1"/>
  <c r="G56" i="8"/>
  <c r="CF55" i="8"/>
  <c r="O55" i="2"/>
  <c r="BB55" i="5" a="1"/>
  <c r="BB55" i="5" s="1"/>
  <c r="AM62" i="9"/>
  <c r="BR50" i="8"/>
  <c r="BS50" i="8"/>
  <c r="AD53" i="1"/>
  <c r="BO55" i="5" a="1"/>
  <c r="BO55" i="5" s="1"/>
  <c r="BH55" i="5" a="1"/>
  <c r="BH55" i="5" s="1"/>
  <c r="BJ55" i="5" a="1"/>
  <c r="BJ55" i="5" s="1"/>
  <c r="BI55" i="5" a="1"/>
  <c r="BI55" i="5" s="1"/>
  <c r="BD55" i="5" a="1"/>
  <c r="BD55" i="5" s="1"/>
  <c r="BQ55" i="5" a="1"/>
  <c r="BQ55" i="5" s="1"/>
  <c r="BN55" i="5" a="1"/>
  <c r="BN55" i="5" s="1"/>
  <c r="BM55" i="5" a="1"/>
  <c r="BM55" i="5" s="1"/>
  <c r="BE55" i="5" a="1"/>
  <c r="BE55" i="5" s="1"/>
  <c r="BG55" i="5" a="1"/>
  <c r="BG55" i="5" s="1"/>
  <c r="BC55" i="5" a="1"/>
  <c r="BC55" i="5" s="1"/>
  <c r="AZ55" i="5" a="1"/>
  <c r="AZ55" i="5" s="1"/>
  <c r="CW55" i="5"/>
  <c r="CQ55" i="5"/>
  <c r="CU55" i="5"/>
  <c r="CR55" i="5"/>
  <c r="CS55" i="5"/>
  <c r="CT55" i="5"/>
  <c r="CV55" i="5"/>
  <c r="AY55" i="5" a="1"/>
  <c r="AY55" i="5" s="1"/>
  <c r="BL55" i="5" a="1"/>
  <c r="BL55" i="5" s="1"/>
  <c r="BA55" i="5" a="1"/>
  <c r="BA55" i="5" s="1"/>
  <c r="BF55" i="5" a="1"/>
  <c r="BF55" i="5" s="1"/>
  <c r="AE54" i="1" s="1"/>
  <c r="BK55" i="5" a="1"/>
  <c r="BK55" i="5" s="1"/>
  <c r="N50" i="11"/>
  <c r="AB49" i="11"/>
  <c r="Q49" i="8" s="1"/>
  <c r="Z49" i="11"/>
  <c r="AA49" i="11"/>
  <c r="AK49" i="1" s="1"/>
  <c r="AC49" i="11"/>
  <c r="U49" i="8" s="1"/>
  <c r="Y49" i="11"/>
  <c r="AH49" i="1" s="1"/>
  <c r="V53" i="2"/>
  <c r="CX48" i="8"/>
  <c r="CY48" i="8" s="1"/>
  <c r="F58" i="8"/>
  <c r="BP54" i="5" a="1"/>
  <c r="BP54" i="5" s="1"/>
  <c r="J54" i="2" s="1"/>
  <c r="O59" i="1"/>
  <c r="BT50" i="8"/>
  <c r="BO50" i="8"/>
  <c r="BP50" i="8"/>
  <c r="BM50" i="8"/>
  <c r="BN50" i="8"/>
  <c r="BK50" i="8"/>
  <c r="BL50" i="8"/>
  <c r="BJ50" i="8"/>
  <c r="AC50" i="10"/>
  <c r="X50" i="10" s="1"/>
  <c r="AS54" i="5"/>
  <c r="AH54" i="11"/>
  <c r="AJ54" i="1"/>
  <c r="DF53" i="5"/>
  <c r="DB53" i="5"/>
  <c r="AM54" i="1"/>
  <c r="DE53" i="5"/>
  <c r="K56" i="11"/>
  <c r="A56" i="14"/>
  <c r="CA56" i="14" s="1"/>
  <c r="A56" i="8"/>
  <c r="A56" i="2"/>
  <c r="A56" i="5"/>
  <c r="A56" i="7"/>
  <c r="R56" i="7" s="1"/>
  <c r="A56" i="9"/>
  <c r="AK54" i="11"/>
  <c r="AF52" i="1"/>
  <c r="AE55" i="8"/>
  <c r="AU55" i="8"/>
  <c r="BS55" i="14" a="1"/>
  <c r="BS55" i="14" s="1"/>
  <c r="AM55" i="14" a="1"/>
  <c r="AM55" i="14" s="1"/>
  <c r="V55" i="14" a="1"/>
  <c r="V55" i="14" s="1"/>
  <c r="U55" i="14" a="1"/>
  <c r="U55" i="14" s="1"/>
  <c r="BY55" i="14" a="1"/>
  <c r="BY55" i="14" s="1"/>
  <c r="BO55" i="14" a="1"/>
  <c r="BO55" i="14" s="1"/>
  <c r="AX55" i="14" a="1"/>
  <c r="AX55" i="14" s="1"/>
  <c r="R55" i="14" a="1"/>
  <c r="R55" i="14" s="1"/>
  <c r="AL55" i="1" s="1"/>
  <c r="M55" i="14" a="1"/>
  <c r="M55" i="14" s="1"/>
  <c r="BT55" i="14" a="1"/>
  <c r="BT55" i="14" s="1"/>
  <c r="X55" i="14" a="1"/>
  <c r="X55" i="14" s="1"/>
  <c r="AL55" i="14" a="1"/>
  <c r="AL55" i="14" s="1"/>
  <c r="AS55" i="14" a="1"/>
  <c r="AS55" i="14" s="1"/>
  <c r="AK55" i="14" a="1"/>
  <c r="AK55" i="14" s="1"/>
  <c r="BG55" i="14" a="1"/>
  <c r="BG55" i="14" s="1"/>
  <c r="BF55" i="14" a="1"/>
  <c r="BF55" i="14" s="1"/>
  <c r="BL55" i="14" a="1"/>
  <c r="BL55" i="14" s="1"/>
  <c r="AG55" i="14" a="1"/>
  <c r="AG55" i="14" s="1"/>
  <c r="BK55" i="14" a="1"/>
  <c r="BK55" i="14" s="1"/>
  <c r="BB55" i="14" a="1"/>
  <c r="BB55" i="14" s="1"/>
  <c r="AT55" i="14" a="1"/>
  <c r="AT55" i="14" s="1"/>
  <c r="BZ55" i="14" a="1"/>
  <c r="BZ55" i="14" s="1"/>
  <c r="BX55" i="14" a="1"/>
  <c r="BX55" i="14" s="1"/>
  <c r="BW55" i="14" a="1"/>
  <c r="BW55" i="14" s="1"/>
  <c r="AP55" i="14" a="1"/>
  <c r="AP55" i="14" s="1"/>
  <c r="BM55" i="14" a="1"/>
  <c r="BM55" i="14" s="1"/>
  <c r="AV55" i="14" a="1"/>
  <c r="AV55" i="14" s="1"/>
  <c r="O55" i="14" a="1"/>
  <c r="O55" i="14" s="1"/>
  <c r="BA55" i="14" a="1"/>
  <c r="BA55" i="14" s="1"/>
  <c r="BH55" i="14" a="1"/>
  <c r="BH55" i="14" s="1"/>
  <c r="AN55" i="14" a="1"/>
  <c r="AN55" i="14" s="1"/>
  <c r="BV55" i="14" a="1"/>
  <c r="BV55" i="14" s="1"/>
  <c r="AI55" i="14" a="1"/>
  <c r="AI55" i="14" s="1"/>
  <c r="BU55" i="14" a="1"/>
  <c r="BU55" i="14" s="1"/>
  <c r="BC55" i="14" a="1"/>
  <c r="BC55" i="14" s="1"/>
  <c r="BR55" i="14" a="1"/>
  <c r="BR55" i="14" s="1"/>
  <c r="BI55" i="14" a="1"/>
  <c r="BI55" i="14" s="1"/>
  <c r="AJ55" i="14" a="1"/>
  <c r="AJ55" i="14" s="1"/>
  <c r="T55" i="14" a="1"/>
  <c r="T55" i="14" s="1"/>
  <c r="S55" i="14" a="1"/>
  <c r="S55" i="14" s="1"/>
  <c r="AF55" i="14" a="1"/>
  <c r="AF55" i="14" s="1"/>
  <c r="AW55" i="14" a="1"/>
  <c r="AW55" i="14" s="1"/>
  <c r="AU55" i="14" a="1"/>
  <c r="AU55" i="14" s="1"/>
  <c r="N55" i="14" a="1"/>
  <c r="N55" i="14" s="1"/>
  <c r="BD55" i="14" a="1"/>
  <c r="BD55" i="14" s="1"/>
  <c r="BP55" i="14" a="1"/>
  <c r="BP55" i="14" s="1"/>
  <c r="P55" i="14" a="1"/>
  <c r="P55" i="14" s="1"/>
  <c r="AQ55" i="14" a="1"/>
  <c r="AQ55" i="14" s="1"/>
  <c r="AH55" i="14" a="1"/>
  <c r="AH55" i="14" s="1"/>
  <c r="AO55" i="14" a="1"/>
  <c r="AO55" i="14" s="1"/>
  <c r="AE55" i="14" a="1"/>
  <c r="AE55" i="14" s="1"/>
  <c r="AD55" i="14" a="1"/>
  <c r="AD55" i="14" s="1"/>
  <c r="BQ55" i="14" a="1"/>
  <c r="BQ55" i="14" s="1"/>
  <c r="AZ55" i="14" a="1"/>
  <c r="AZ55" i="14" s="1"/>
  <c r="AB55" i="14" a="1"/>
  <c r="AB55" i="14" s="1"/>
  <c r="BN55" i="14" a="1"/>
  <c r="BN55" i="14" s="1"/>
  <c r="Z55" i="14" a="1"/>
  <c r="Z55" i="14" s="1"/>
  <c r="Y55" i="14" a="1"/>
  <c r="Y55" i="14" s="1"/>
  <c r="AY55" i="14" a="1"/>
  <c r="AY55" i="14" s="1"/>
  <c r="BE55" i="14" a="1"/>
  <c r="BE55" i="14" s="1"/>
  <c r="Q55" i="14" a="1"/>
  <c r="Q55" i="14" s="1"/>
  <c r="W55" i="14" a="1"/>
  <c r="W55" i="14" s="1"/>
  <c r="BJ55" i="14" a="1"/>
  <c r="BJ55" i="14" s="1"/>
  <c r="AC55" i="14" a="1"/>
  <c r="AC55" i="14" s="1"/>
  <c r="AR55" i="14" a="1"/>
  <c r="AR55" i="14" s="1"/>
  <c r="AA55" i="14" a="1"/>
  <c r="AA55" i="14" s="1"/>
  <c r="DH53" i="5"/>
  <c r="Y52" i="1"/>
  <c r="DJ53" i="5"/>
  <c r="W52" i="1"/>
  <c r="CI50" i="8"/>
  <c r="DA50" i="8" s="1"/>
  <c r="N50" i="7"/>
  <c r="CC50" i="8"/>
  <c r="CV50" i="8" s="1"/>
  <c r="CW50" i="8" s="1"/>
  <c r="CB50" i="8"/>
  <c r="CT50" i="8" s="1"/>
  <c r="B50" i="14"/>
  <c r="CA50" i="8"/>
  <c r="Q50" i="7"/>
  <c r="BZ50" i="8"/>
  <c r="BY50" i="8"/>
  <c r="BX50" i="8"/>
  <c r="CE50" i="8" s="1"/>
  <c r="D51" i="9"/>
  <c r="B53" i="5"/>
  <c r="AH53" i="5"/>
  <c r="BU53" i="5"/>
  <c r="B53" i="2"/>
  <c r="B53" i="1"/>
  <c r="BG53" i="1" s="1"/>
  <c r="BY55" i="11"/>
  <c r="K54" i="10"/>
  <c r="AA54" i="7"/>
  <c r="AF54" i="8" s="1"/>
  <c r="L54" i="5"/>
  <c r="G53" i="10"/>
  <c r="I53" i="7"/>
  <c r="I54" i="5"/>
  <c r="D53" i="10"/>
  <c r="F53" i="7"/>
  <c r="G54" i="5"/>
  <c r="D53" i="7"/>
  <c r="B53" i="10"/>
  <c r="J54" i="5"/>
  <c r="DC54" i="5" s="1"/>
  <c r="E53" i="10"/>
  <c r="G53" i="7"/>
  <c r="M54" i="5"/>
  <c r="H53" i="10"/>
  <c r="J53" i="7"/>
  <c r="CS48" i="8"/>
  <c r="H54" i="5"/>
  <c r="C53" i="10"/>
  <c r="E53" i="7"/>
  <c r="K54" i="5"/>
  <c r="F53" i="10"/>
  <c r="H53" i="7"/>
  <c r="DD53" i="5"/>
  <c r="CQ49" i="8"/>
  <c r="CU49" i="8" s="1"/>
  <c r="DB49" i="8"/>
  <c r="DH51" i="8"/>
  <c r="DI51" i="8" s="1"/>
  <c r="CK51" i="8"/>
  <c r="CD49" i="8"/>
  <c r="BW51" i="8"/>
  <c r="AC51" i="1" s="1"/>
  <c r="BH51" i="8"/>
  <c r="BU51" i="8" s="1"/>
  <c r="BI51" i="8"/>
  <c r="AH62" i="9"/>
  <c r="B49" i="14"/>
  <c r="AQ49" i="5"/>
  <c r="CR49" i="8"/>
  <c r="CZ53" i="5"/>
  <c r="A51" i="11"/>
  <c r="B51" i="7"/>
  <c r="X51" i="8"/>
  <c r="DD51" i="8" s="1"/>
  <c r="E51" i="1"/>
  <c r="AJ51" i="5"/>
  <c r="AP51" i="5" s="1"/>
  <c r="AI51" i="5"/>
  <c r="AC51" i="8"/>
  <c r="BQ51" i="8" s="1"/>
  <c r="BT51" i="5"/>
  <c r="A51" i="10"/>
  <c r="AA51" i="10" s="1"/>
  <c r="B51" i="9"/>
  <c r="Y51" i="9" s="1"/>
  <c r="C52" i="5"/>
  <c r="F52" i="5" s="1"/>
  <c r="DA52" i="5"/>
  <c r="DG52" i="5" s="1" a="1"/>
  <c r="DG52" i="5" s="1"/>
  <c r="AB53" i="1"/>
  <c r="DI53" i="5"/>
  <c r="AG62" i="9"/>
  <c r="AK62" i="9"/>
  <c r="AE124" i="9"/>
  <c r="N38" i="1"/>
  <c r="S55" i="2"/>
  <c r="N56" i="2"/>
  <c r="R56" i="2"/>
  <c r="Q55" i="2"/>
  <c r="P57" i="2"/>
  <c r="J57" i="10"/>
  <c r="N57" i="5" s="1"/>
  <c r="AQ78" i="9" l="1"/>
  <c r="CM78" i="8" s="1"/>
  <c r="AO51" i="5"/>
  <c r="AM51" i="5"/>
  <c r="AN51" i="5"/>
  <c r="AR51" i="5" s="1"/>
  <c r="AV52" i="5"/>
  <c r="AW52" i="5"/>
  <c r="CL52" i="8"/>
  <c r="DB50" i="8"/>
  <c r="AI74" i="9"/>
  <c r="AO74" i="8" s="1"/>
  <c r="G57" i="8"/>
  <c r="CF56" i="8"/>
  <c r="O56" i="2"/>
  <c r="BB56" i="5" a="1"/>
  <c r="BB56" i="5" s="1"/>
  <c r="AM63" i="9"/>
  <c r="BR51" i="8"/>
  <c r="BS51" i="8"/>
  <c r="AD54" i="1"/>
  <c r="AZ56" i="5" a="1"/>
  <c r="AZ56" i="5" s="1"/>
  <c r="BC56" i="5" a="1"/>
  <c r="BC56" i="5" s="1"/>
  <c r="BG56" i="5" a="1"/>
  <c r="BG56" i="5" s="1"/>
  <c r="BK56" i="5" a="1"/>
  <c r="BK56" i="5" s="1"/>
  <c r="BE56" i="5" a="1"/>
  <c r="BE56" i="5" s="1"/>
  <c r="BM56" i="5" a="1"/>
  <c r="BM56" i="5" s="1"/>
  <c r="BF56" i="5" a="1"/>
  <c r="BF56" i="5" s="1"/>
  <c r="AE55" i="1" s="1"/>
  <c r="BN56" i="5" a="1"/>
  <c r="BN56" i="5" s="1"/>
  <c r="BA56" i="5" a="1"/>
  <c r="BA56" i="5" s="1"/>
  <c r="BQ56" i="5" a="1"/>
  <c r="BQ56" i="5" s="1"/>
  <c r="BD56" i="5" a="1"/>
  <c r="BD56" i="5" s="1"/>
  <c r="CV56" i="5"/>
  <c r="CS56" i="5"/>
  <c r="CR56" i="5"/>
  <c r="CU56" i="5"/>
  <c r="CT56" i="5"/>
  <c r="CW56" i="5"/>
  <c r="CQ56" i="5"/>
  <c r="AY56" i="5" a="1"/>
  <c r="AY56" i="5" s="1"/>
  <c r="BL56" i="5" a="1"/>
  <c r="BL56" i="5" s="1"/>
  <c r="BI56" i="5" a="1"/>
  <c r="BI56" i="5" s="1"/>
  <c r="BJ56" i="5" a="1"/>
  <c r="BJ56" i="5" s="1"/>
  <c r="BH56" i="5" a="1"/>
  <c r="BH56" i="5" s="1"/>
  <c r="BO56" i="5" a="1"/>
  <c r="BO56" i="5" s="1"/>
  <c r="V54" i="2"/>
  <c r="CX49" i="8"/>
  <c r="CY49" i="8" s="1"/>
  <c r="CQ50" i="8"/>
  <c r="CU50" i="8" s="1"/>
  <c r="F59" i="8"/>
  <c r="BP55" i="5" a="1"/>
  <c r="BP55" i="5" s="1"/>
  <c r="J55" i="2" s="1"/>
  <c r="O60" i="1"/>
  <c r="BT51" i="8"/>
  <c r="BO51" i="8"/>
  <c r="BP51" i="8"/>
  <c r="BM51" i="8"/>
  <c r="BN51" i="8"/>
  <c r="BK51" i="8"/>
  <c r="BL51" i="8"/>
  <c r="BJ51" i="8"/>
  <c r="AC51" i="10"/>
  <c r="X51" i="10" s="1"/>
  <c r="AS55" i="5"/>
  <c r="AH55" i="11"/>
  <c r="AJ55" i="1"/>
  <c r="DE54" i="5"/>
  <c r="DF54" i="5"/>
  <c r="DB54" i="5"/>
  <c r="K57" i="11"/>
  <c r="A57" i="14"/>
  <c r="CA57" i="14" s="1"/>
  <c r="A57" i="8"/>
  <c r="A57" i="2"/>
  <c r="A57" i="7"/>
  <c r="R57" i="7" s="1"/>
  <c r="A57" i="9"/>
  <c r="A57" i="5"/>
  <c r="DH54" i="5"/>
  <c r="AU56" i="8"/>
  <c r="AE56" i="8"/>
  <c r="AM55" i="1"/>
  <c r="AF53" i="1"/>
  <c r="BK56" i="14" a="1"/>
  <c r="BK56" i="14" s="1"/>
  <c r="BJ56" i="14" a="1"/>
  <c r="BJ56" i="14" s="1"/>
  <c r="N56" i="14" a="1"/>
  <c r="N56" i="14" s="1"/>
  <c r="BZ56" i="14" a="1"/>
  <c r="BZ56" i="14" s="1"/>
  <c r="BO56" i="14" a="1"/>
  <c r="BO56" i="14" s="1"/>
  <c r="BG56" i="14" a="1"/>
  <c r="BG56" i="14" s="1"/>
  <c r="Z56" i="14" a="1"/>
  <c r="Z56" i="14" s="1"/>
  <c r="R56" i="14" a="1"/>
  <c r="R56" i="14" s="1"/>
  <c r="AL56" i="1" s="1"/>
  <c r="AU56" i="14" a="1"/>
  <c r="AU56" i="14" s="1"/>
  <c r="BB56" i="14" a="1"/>
  <c r="BB56" i="14" s="1"/>
  <c r="U56" i="14" a="1"/>
  <c r="U56" i="14" s="1"/>
  <c r="AJ56" i="14" a="1"/>
  <c r="AJ56" i="14" s="1"/>
  <c r="BQ56" i="14" a="1"/>
  <c r="BQ56" i="14" s="1"/>
  <c r="BN56" i="14" a="1"/>
  <c r="BN56" i="14" s="1"/>
  <c r="BM56" i="14" a="1"/>
  <c r="BM56" i="14" s="1"/>
  <c r="AG56" i="14" a="1"/>
  <c r="AG56" i="14" s="1"/>
  <c r="O56" i="14" a="1"/>
  <c r="O56" i="14" s="1"/>
  <c r="BR56" i="14" a="1"/>
  <c r="BR56" i="14" s="1"/>
  <c r="AK56" i="14" a="1"/>
  <c r="AK56" i="14" s="1"/>
  <c r="BI56" i="14" a="1"/>
  <c r="BI56" i="14" s="1"/>
  <c r="AR56" i="14" a="1"/>
  <c r="AR56" i="14" s="1"/>
  <c r="AI56" i="14" a="1"/>
  <c r="AI56" i="14" s="1"/>
  <c r="BF56" i="14" a="1"/>
  <c r="BF56" i="14" s="1"/>
  <c r="M56" i="14" a="1"/>
  <c r="M56" i="14" s="1"/>
  <c r="AV56" i="14" a="1"/>
  <c r="AV56" i="14" s="1"/>
  <c r="W56" i="14" a="1"/>
  <c r="W56" i="14" s="1"/>
  <c r="V56" i="14" a="1"/>
  <c r="V56" i="14" s="1"/>
  <c r="BY56" i="14" a="1"/>
  <c r="BY56" i="14" s="1"/>
  <c r="P56" i="14" a="1"/>
  <c r="P56" i="14" s="1"/>
  <c r="AN56" i="14" a="1"/>
  <c r="AN56" i="14" s="1"/>
  <c r="AF56" i="14" a="1"/>
  <c r="AF56" i="14" s="1"/>
  <c r="AH56" i="14" a="1"/>
  <c r="AH56" i="14" s="1"/>
  <c r="AP56" i="14" a="1"/>
  <c r="AP56" i="14" s="1"/>
  <c r="BS56" i="14" a="1"/>
  <c r="BS56" i="14" s="1"/>
  <c r="AL56" i="14" a="1"/>
  <c r="AL56" i="14" s="1"/>
  <c r="AD56" i="14" a="1"/>
  <c r="AD56" i="14" s="1"/>
  <c r="AZ56" i="14" a="1"/>
  <c r="AZ56" i="14" s="1"/>
  <c r="BP56" i="14" a="1"/>
  <c r="BP56" i="14" s="1"/>
  <c r="AQ56" i="14" a="1"/>
  <c r="AQ56" i="14" s="1"/>
  <c r="S56" i="14" a="1"/>
  <c r="S56" i="14" s="1"/>
  <c r="AW56" i="14" a="1"/>
  <c r="AW56" i="14" s="1"/>
  <c r="Y56" i="14" a="1"/>
  <c r="Y56" i="14" s="1"/>
  <c r="BT56" i="14" a="1"/>
  <c r="BT56" i="14" s="1"/>
  <c r="AM56" i="14" a="1"/>
  <c r="AM56" i="14" s="1"/>
  <c r="BD56" i="14" a="1"/>
  <c r="BD56" i="14" s="1"/>
  <c r="BH56" i="14" a="1"/>
  <c r="BH56" i="14" s="1"/>
  <c r="BW56" i="14" a="1"/>
  <c r="BW56" i="14" s="1"/>
  <c r="BV56" i="14" a="1"/>
  <c r="BV56" i="14" s="1"/>
  <c r="BU56" i="14" a="1"/>
  <c r="BU56" i="14" s="1"/>
  <c r="BE56" i="14" a="1"/>
  <c r="BE56" i="14" s="1"/>
  <c r="BC56" i="14" a="1"/>
  <c r="BC56" i="14" s="1"/>
  <c r="X56" i="14" a="1"/>
  <c r="X56" i="14" s="1"/>
  <c r="BA56" i="14" a="1"/>
  <c r="BA56" i="14" s="1"/>
  <c r="AC56" i="14" a="1"/>
  <c r="AC56" i="14" s="1"/>
  <c r="T56" i="14" a="1"/>
  <c r="T56" i="14" s="1"/>
  <c r="AY56" i="14" a="1"/>
  <c r="AY56" i="14" s="1"/>
  <c r="AX56" i="14" a="1"/>
  <c r="AX56" i="14" s="1"/>
  <c r="Q56" i="14" a="1"/>
  <c r="Q56" i="14" s="1"/>
  <c r="AB56" i="14" a="1"/>
  <c r="AB56" i="14" s="1"/>
  <c r="AA56" i="14" a="1"/>
  <c r="AA56" i="14" s="1"/>
  <c r="BL56" i="14" a="1"/>
  <c r="BL56" i="14" s="1"/>
  <c r="AO56" i="14" a="1"/>
  <c r="AO56" i="14" s="1"/>
  <c r="AE56" i="14" a="1"/>
  <c r="AE56" i="14" s="1"/>
  <c r="AT56" i="14" a="1"/>
  <c r="AT56" i="14" s="1"/>
  <c r="AS56" i="14" a="1"/>
  <c r="AS56" i="14" s="1"/>
  <c r="BX56" i="14" a="1"/>
  <c r="BX56" i="14" s="1"/>
  <c r="W53" i="1"/>
  <c r="AK55" i="11"/>
  <c r="Y53" i="1"/>
  <c r="DJ54" i="5"/>
  <c r="CR50" i="8"/>
  <c r="CD50" i="8"/>
  <c r="AQ50" i="5"/>
  <c r="CS49" i="8"/>
  <c r="B54" i="5"/>
  <c r="BY56" i="11"/>
  <c r="K55" i="10"/>
  <c r="AA55" i="7"/>
  <c r="AF55" i="8" s="1"/>
  <c r="M55" i="5"/>
  <c r="H54" i="10"/>
  <c r="J54" i="7"/>
  <c r="I55" i="5"/>
  <c r="D54" i="10"/>
  <c r="F54" i="7"/>
  <c r="J55" i="5"/>
  <c r="DC55" i="5" s="1"/>
  <c r="E54" i="10"/>
  <c r="G54" i="7"/>
  <c r="K55" i="5"/>
  <c r="F54" i="10"/>
  <c r="H54" i="7"/>
  <c r="DD54" i="5"/>
  <c r="H55" i="5"/>
  <c r="C54" i="10"/>
  <c r="E54" i="7"/>
  <c r="D54" i="7"/>
  <c r="G55" i="5"/>
  <c r="B54" i="10"/>
  <c r="L55" i="5"/>
  <c r="G54" i="10"/>
  <c r="I54" i="7"/>
  <c r="D52" i="9"/>
  <c r="CI51" i="8"/>
  <c r="DA51" i="8" s="1"/>
  <c r="DH52" i="8"/>
  <c r="DI52" i="8" s="1"/>
  <c r="CK52" i="8"/>
  <c r="BW52" i="8"/>
  <c r="AC52" i="1" s="1"/>
  <c r="BX51" i="8"/>
  <c r="CD51" i="8" s="1"/>
  <c r="N51" i="7"/>
  <c r="BH52" i="8"/>
  <c r="BU52" i="8" s="1"/>
  <c r="BI52" i="8"/>
  <c r="AH63" i="9"/>
  <c r="AI52" i="5"/>
  <c r="A52" i="11"/>
  <c r="AC52" i="8"/>
  <c r="BQ52" i="8" s="1"/>
  <c r="BT52" i="5"/>
  <c r="A52" i="10"/>
  <c r="AA52" i="10" s="1"/>
  <c r="B52" i="7"/>
  <c r="X52" i="8"/>
  <c r="DD52" i="8" s="1"/>
  <c r="E52" i="1"/>
  <c r="AJ52" i="5"/>
  <c r="AP52" i="5" s="1"/>
  <c r="B52" i="9"/>
  <c r="Y52" i="9" s="1"/>
  <c r="AE51" i="7"/>
  <c r="AF51" i="7" s="1"/>
  <c r="Q51" i="7"/>
  <c r="Z50" i="11"/>
  <c r="AC50" i="11"/>
  <c r="U50" i="8" s="1"/>
  <c r="AB50" i="11"/>
  <c r="Q50" i="8" s="1"/>
  <c r="N51" i="11"/>
  <c r="AD50" i="11"/>
  <c r="AI50" i="1" s="1"/>
  <c r="AA50" i="11"/>
  <c r="AK50" i="1" s="1"/>
  <c r="Y50" i="11"/>
  <c r="AH50" i="1" s="1"/>
  <c r="CZ54" i="5"/>
  <c r="CB51" i="8"/>
  <c r="CT51" i="8" s="1"/>
  <c r="BZ51" i="8"/>
  <c r="BY51" i="8"/>
  <c r="CA51" i="8"/>
  <c r="CC51" i="8"/>
  <c r="CV51" i="8" s="1"/>
  <c r="CW51" i="8" s="1"/>
  <c r="CH51" i="8"/>
  <c r="CZ51" i="8" s="1"/>
  <c r="C53" i="5"/>
  <c r="F53" i="5" s="1"/>
  <c r="AB54" i="1"/>
  <c r="DI54" i="5"/>
  <c r="DA53" i="5"/>
  <c r="DG53" i="5" s="1" a="1"/>
  <c r="DG53" i="5" s="1"/>
  <c r="AG63" i="9"/>
  <c r="AK63" i="9"/>
  <c r="AE125" i="9"/>
  <c r="N39" i="1"/>
  <c r="S56" i="2"/>
  <c r="N57" i="2"/>
  <c r="R57" i="2"/>
  <c r="Q56" i="2"/>
  <c r="P58" i="2"/>
  <c r="J58" i="10"/>
  <c r="N58" i="5" s="1"/>
  <c r="AQ79" i="9" l="1"/>
  <c r="CM79" i="8" s="1"/>
  <c r="AO52" i="5"/>
  <c r="AM52" i="5"/>
  <c r="AN52" i="5"/>
  <c r="AR52" i="5" s="1"/>
  <c r="AV53" i="5"/>
  <c r="AW53" i="5"/>
  <c r="AG51" i="7"/>
  <c r="CL53" i="8"/>
  <c r="AI75" i="9"/>
  <c r="AO75" i="8" s="1"/>
  <c r="G58" i="8"/>
  <c r="CF57" i="8"/>
  <c r="O57" i="2"/>
  <c r="AM64" i="9"/>
  <c r="BR52" i="8"/>
  <c r="BS52" i="8"/>
  <c r="AD55" i="1"/>
  <c r="BD57" i="5" a="1"/>
  <c r="BD57" i="5" s="1"/>
  <c r="BQ57" i="5" a="1"/>
  <c r="BQ57" i="5" s="1"/>
  <c r="BO57" i="5" a="1"/>
  <c r="BO57" i="5" s="1"/>
  <c r="BA57" i="5" a="1"/>
  <c r="BA57" i="5" s="1"/>
  <c r="BH57" i="5" a="1"/>
  <c r="BH57" i="5" s="1"/>
  <c r="BN57" i="5" a="1"/>
  <c r="BN57" i="5" s="1"/>
  <c r="BJ57" i="5" a="1"/>
  <c r="BJ57" i="5" s="1"/>
  <c r="BF57" i="5" a="1"/>
  <c r="BF57" i="5" s="1"/>
  <c r="AE56" i="1" s="1"/>
  <c r="BI57" i="5" a="1"/>
  <c r="BI57" i="5" s="1"/>
  <c r="BM57" i="5" a="1"/>
  <c r="BM57" i="5" s="1"/>
  <c r="BE57" i="5" a="1"/>
  <c r="BE57" i="5" s="1"/>
  <c r="BK57" i="5" a="1"/>
  <c r="BK57" i="5" s="1"/>
  <c r="BG57" i="5" a="1"/>
  <c r="BG57" i="5" s="1"/>
  <c r="BC57" i="5" a="1"/>
  <c r="BC57" i="5" s="1"/>
  <c r="CQ57" i="5"/>
  <c r="CW57" i="5"/>
  <c r="CR57" i="5"/>
  <c r="CV57" i="5"/>
  <c r="CT57" i="5"/>
  <c r="CU57" i="5"/>
  <c r="CS57" i="5"/>
  <c r="AY57" i="5" a="1"/>
  <c r="AY57" i="5" s="1"/>
  <c r="BL57" i="5" a="1"/>
  <c r="BL57" i="5" s="1"/>
  <c r="AZ57" i="5" a="1"/>
  <c r="AZ57" i="5" s="1"/>
  <c r="BB57" i="5" a="1"/>
  <c r="BB57" i="5" s="1"/>
  <c r="V55" i="2"/>
  <c r="CS50" i="8"/>
  <c r="CX50" i="8"/>
  <c r="CY50" i="8" s="1"/>
  <c r="F60" i="8"/>
  <c r="BP56" i="5" a="1"/>
  <c r="BP56" i="5" s="1"/>
  <c r="J56" i="2" s="1"/>
  <c r="O61" i="1"/>
  <c r="BX52" i="8"/>
  <c r="CD52" i="8" s="1"/>
  <c r="BT52" i="8"/>
  <c r="BO52" i="8"/>
  <c r="BP52" i="8"/>
  <c r="BM52" i="8"/>
  <c r="BN52" i="8"/>
  <c r="BK52" i="8"/>
  <c r="BL52" i="8"/>
  <c r="BJ52" i="8"/>
  <c r="AC52" i="10"/>
  <c r="X52" i="10" s="1"/>
  <c r="AS56" i="5"/>
  <c r="AH56" i="11"/>
  <c r="DB55" i="5"/>
  <c r="AK56" i="11"/>
  <c r="DF55" i="5"/>
  <c r="DE55" i="5"/>
  <c r="Y54" i="1"/>
  <c r="DJ55" i="5"/>
  <c r="W54" i="1"/>
  <c r="AJ56" i="1"/>
  <c r="K58" i="11"/>
  <c r="A58" i="14"/>
  <c r="CA58" i="14" s="1"/>
  <c r="A58" i="9"/>
  <c r="A58" i="2"/>
  <c r="A58" i="7"/>
  <c r="R58" i="7" s="1"/>
  <c r="A58" i="8"/>
  <c r="A58" i="5"/>
  <c r="AF54" i="1"/>
  <c r="AU57" i="8"/>
  <c r="AE57" i="8"/>
  <c r="AM56" i="1"/>
  <c r="DH55" i="5"/>
  <c r="AU57" i="14" a="1"/>
  <c r="AU57" i="14" s="1"/>
  <c r="BB57" i="14" a="1"/>
  <c r="BB57" i="14" s="1"/>
  <c r="BI57" i="14" a="1"/>
  <c r="BI57" i="14" s="1"/>
  <c r="AZ57" i="14" a="1"/>
  <c r="AZ57" i="14" s="1"/>
  <c r="AB57" i="14" a="1"/>
  <c r="AB57" i="14" s="1"/>
  <c r="S57" i="14" a="1"/>
  <c r="S57" i="14" s="1"/>
  <c r="BV57" i="14" a="1"/>
  <c r="BV57" i="14" s="1"/>
  <c r="BE57" i="14" a="1"/>
  <c r="BE57" i="14" s="1"/>
  <c r="BC57" i="14" a="1"/>
  <c r="BC57" i="14" s="1"/>
  <c r="AL57" i="14" a="1"/>
  <c r="AL57" i="14" s="1"/>
  <c r="BD57" i="14" a="1"/>
  <c r="BD57" i="14" s="1"/>
  <c r="AR57" i="14" a="1"/>
  <c r="AR57" i="14" s="1"/>
  <c r="BX57" i="14" a="1"/>
  <c r="BX57" i="14" s="1"/>
  <c r="AY57" i="14" a="1"/>
  <c r="AY57" i="14" s="1"/>
  <c r="AX57" i="14" a="1"/>
  <c r="AX57" i="14" s="1"/>
  <c r="M57" i="14" a="1"/>
  <c r="M57" i="14" s="1"/>
  <c r="BK57" i="14" a="1"/>
  <c r="BK57" i="14" s="1"/>
  <c r="AT57" i="14" a="1"/>
  <c r="AT57" i="14" s="1"/>
  <c r="BQ57" i="14" a="1"/>
  <c r="BQ57" i="14" s="1"/>
  <c r="P57" i="14" a="1"/>
  <c r="P57" i="14" s="1"/>
  <c r="AJ57" i="14" a="1"/>
  <c r="AJ57" i="14" s="1"/>
  <c r="AF57" i="14" a="1"/>
  <c r="AF57" i="14" s="1"/>
  <c r="R57" i="14" a="1"/>
  <c r="R57" i="14" s="1"/>
  <c r="AL57" i="1" s="1"/>
  <c r="Y57" i="14" a="1"/>
  <c r="Y57" i="14" s="1"/>
  <c r="AM57" i="14" a="1"/>
  <c r="AM57" i="14" s="1"/>
  <c r="X57" i="14" a="1"/>
  <c r="X57" i="14" s="1"/>
  <c r="AC57" i="14" a="1"/>
  <c r="AC57" i="14" s="1"/>
  <c r="BH57" i="14" a="1"/>
  <c r="BH57" i="14" s="1"/>
  <c r="T57" i="14" a="1"/>
  <c r="T57" i="14" s="1"/>
  <c r="AA57" i="14" a="1"/>
  <c r="AA57" i="14" s="1"/>
  <c r="Z57" i="14" a="1"/>
  <c r="Z57" i="14" s="1"/>
  <c r="Q57" i="14" a="1"/>
  <c r="Q57" i="14" s="1"/>
  <c r="O57" i="14" a="1"/>
  <c r="O57" i="14" s="1"/>
  <c r="W57" i="14" a="1"/>
  <c r="W57" i="14" s="1"/>
  <c r="AK57" i="14" a="1"/>
  <c r="AK57" i="14" s="1"/>
  <c r="U57" i="14" a="1"/>
  <c r="U57" i="14" s="1"/>
  <c r="BO57" i="14" a="1"/>
  <c r="BO57" i="14" s="1"/>
  <c r="BG57" i="14" a="1"/>
  <c r="BG57" i="14" s="1"/>
  <c r="BU57" i="14" a="1"/>
  <c r="BU57" i="14" s="1"/>
  <c r="AO57" i="14" a="1"/>
  <c r="AO57" i="14" s="1"/>
  <c r="BT57" i="14" a="1"/>
  <c r="BT57" i="14" s="1"/>
  <c r="BR57" i="14" a="1"/>
  <c r="BR57" i="14" s="1"/>
  <c r="AD57" i="14" a="1"/>
  <c r="AD57" i="14" s="1"/>
  <c r="BA57" i="14" a="1"/>
  <c r="BA57" i="14" s="1"/>
  <c r="BP57" i="14" a="1"/>
  <c r="BP57" i="14" s="1"/>
  <c r="AN57" i="14" a="1"/>
  <c r="AN57" i="14" s="1"/>
  <c r="BF57" i="14" a="1"/>
  <c r="BF57" i="14" s="1"/>
  <c r="BN57" i="14" a="1"/>
  <c r="BN57" i="14" s="1"/>
  <c r="BL57" i="14" a="1"/>
  <c r="BL57" i="14" s="1"/>
  <c r="BS57" i="14" a="1"/>
  <c r="BS57" i="14" s="1"/>
  <c r="AE57" i="14" a="1"/>
  <c r="AE57" i="14" s="1"/>
  <c r="V57" i="14" a="1"/>
  <c r="V57" i="14" s="1"/>
  <c r="AS57" i="14" a="1"/>
  <c r="AS57" i="14" s="1"/>
  <c r="BW57" i="14" a="1"/>
  <c r="BW57" i="14" s="1"/>
  <c r="AI57" i="14" a="1"/>
  <c r="AI57" i="14" s="1"/>
  <c r="AH57" i="14" a="1"/>
  <c r="AH57" i="14" s="1"/>
  <c r="AP57" i="14" a="1"/>
  <c r="AP57" i="14" s="1"/>
  <c r="AG57" i="14" a="1"/>
  <c r="AG57" i="14" s="1"/>
  <c r="BJ57" i="14" a="1"/>
  <c r="BJ57" i="14" s="1"/>
  <c r="N57" i="14" a="1"/>
  <c r="N57" i="14" s="1"/>
  <c r="BY57" i="14" a="1"/>
  <c r="BY57" i="14" s="1"/>
  <c r="BZ57" i="14" a="1"/>
  <c r="BZ57" i="14" s="1"/>
  <c r="AQ57" i="14" a="1"/>
  <c r="AQ57" i="14" s="1"/>
  <c r="AW57" i="14" a="1"/>
  <c r="AW57" i="14" s="1"/>
  <c r="BM57" i="14" a="1"/>
  <c r="BM57" i="14" s="1"/>
  <c r="AV57" i="14" a="1"/>
  <c r="AV57" i="14" s="1"/>
  <c r="B55" i="5"/>
  <c r="BY57" i="11"/>
  <c r="K56" i="10"/>
  <c r="AA56" i="7"/>
  <c r="AF56" i="8" s="1"/>
  <c r="M56" i="5"/>
  <c r="H55" i="10"/>
  <c r="J55" i="7"/>
  <c r="J56" i="5"/>
  <c r="DC56" i="5" s="1"/>
  <c r="E55" i="10"/>
  <c r="G55" i="7"/>
  <c r="H56" i="5"/>
  <c r="C55" i="10"/>
  <c r="E55" i="7"/>
  <c r="L56" i="5"/>
  <c r="G55" i="10"/>
  <c r="I55" i="7"/>
  <c r="G56" i="5"/>
  <c r="D55" i="7"/>
  <c r="B55" i="10"/>
  <c r="I56" i="5"/>
  <c r="D55" i="10"/>
  <c r="F55" i="7"/>
  <c r="K56" i="5"/>
  <c r="F55" i="10"/>
  <c r="H55" i="7"/>
  <c r="DD55" i="5"/>
  <c r="CI52" i="8"/>
  <c r="DA52" i="8" s="1"/>
  <c r="CQ51" i="8"/>
  <c r="CU51" i="8" s="1"/>
  <c r="D53" i="9"/>
  <c r="DB51" i="8"/>
  <c r="DH53" i="8"/>
  <c r="DI53" i="8" s="1"/>
  <c r="CE51" i="8"/>
  <c r="CX51" i="8" s="1"/>
  <c r="CY51" i="8" s="1"/>
  <c r="CK53" i="8"/>
  <c r="BW53" i="8"/>
  <c r="AC53" i="1" s="1"/>
  <c r="N52" i="7"/>
  <c r="BH53" i="8"/>
  <c r="BU53" i="8" s="1"/>
  <c r="BI53" i="8"/>
  <c r="AH64" i="9"/>
  <c r="B51" i="14"/>
  <c r="CR51" i="8"/>
  <c r="C54" i="5"/>
  <c r="F54" i="5" s="1"/>
  <c r="CZ55" i="5"/>
  <c r="CH52" i="8"/>
  <c r="CZ52" i="8" s="1"/>
  <c r="CC52" i="8"/>
  <c r="CV52" i="8" s="1"/>
  <c r="CW52" i="8" s="1"/>
  <c r="CA52" i="8"/>
  <c r="CB52" i="8"/>
  <c r="CT52" i="8" s="1"/>
  <c r="BY52" i="8"/>
  <c r="BZ52" i="8"/>
  <c r="AJ53" i="5"/>
  <c r="AP53" i="5" s="1"/>
  <c r="X53" i="8"/>
  <c r="DD53" i="8" s="1"/>
  <c r="AI53" i="5"/>
  <c r="A53" i="11"/>
  <c r="B53" i="9"/>
  <c r="Y53" i="9" s="1"/>
  <c r="AC53" i="8"/>
  <c r="BQ53" i="8" s="1"/>
  <c r="BT53" i="5"/>
  <c r="A53" i="10"/>
  <c r="AA53" i="10" s="1"/>
  <c r="B53" i="7"/>
  <c r="E53" i="1"/>
  <c r="AQ51" i="5"/>
  <c r="AD51" i="11"/>
  <c r="AI51" i="1" s="1"/>
  <c r="N52" i="11"/>
  <c r="Z51" i="11"/>
  <c r="AA51" i="11"/>
  <c r="AK51" i="1" s="1"/>
  <c r="AC51" i="11"/>
  <c r="U51" i="8" s="1"/>
  <c r="AB51" i="11"/>
  <c r="Q51" i="8" s="1"/>
  <c r="Y51" i="11"/>
  <c r="AH51" i="1" s="1"/>
  <c r="AE52" i="7"/>
  <c r="AF52" i="7" s="1"/>
  <c r="Q52" i="7"/>
  <c r="C55" i="5"/>
  <c r="DA54" i="5"/>
  <c r="DG54" i="5" s="1" a="1"/>
  <c r="DG54" i="5" s="1"/>
  <c r="AB55" i="1"/>
  <c r="DI55" i="5"/>
  <c r="AG64" i="9"/>
  <c r="AK64" i="9"/>
  <c r="AE126" i="9"/>
  <c r="N40" i="1"/>
  <c r="S57" i="2"/>
  <c r="N58" i="2"/>
  <c r="R58" i="2"/>
  <c r="Q57" i="2"/>
  <c r="J59" i="10"/>
  <c r="N59" i="5" s="1"/>
  <c r="P59" i="2"/>
  <c r="AQ80" i="9" l="1"/>
  <c r="CM80" i="8" s="1"/>
  <c r="B69" i="4"/>
  <c r="AO53" i="5"/>
  <c r="AM53" i="5"/>
  <c r="AN53" i="5"/>
  <c r="AR53" i="5" s="1"/>
  <c r="AV54" i="5"/>
  <c r="AW54" i="5"/>
  <c r="AG52" i="7"/>
  <c r="CL54" i="8"/>
  <c r="AI76" i="9"/>
  <c r="AO76" i="8" s="1"/>
  <c r="G59" i="8"/>
  <c r="CF58" i="8"/>
  <c r="O58" i="2"/>
  <c r="BC58" i="5" a="1"/>
  <c r="BC58" i="5" s="1"/>
  <c r="AM65" i="9"/>
  <c r="BR53" i="8"/>
  <c r="BS53" i="8"/>
  <c r="AD56" i="1"/>
  <c r="BG58" i="5" a="1"/>
  <c r="BG58" i="5" s="1"/>
  <c r="BK58" i="5" a="1"/>
  <c r="BK58" i="5" s="1"/>
  <c r="BE58" i="5" a="1"/>
  <c r="BE58" i="5" s="1"/>
  <c r="BM58" i="5" a="1"/>
  <c r="BM58" i="5" s="1"/>
  <c r="BB58" i="5" a="1"/>
  <c r="BB58" i="5" s="1"/>
  <c r="BI58" i="5" a="1"/>
  <c r="BI58" i="5" s="1"/>
  <c r="AZ58" i="5" a="1"/>
  <c r="AZ58" i="5" s="1"/>
  <c r="BF58" i="5" a="1"/>
  <c r="BF58" i="5" s="1"/>
  <c r="AE57" i="1" s="1"/>
  <c r="BJ58" i="5" a="1"/>
  <c r="BJ58" i="5" s="1"/>
  <c r="CR58" i="5"/>
  <c r="CQ58" i="5"/>
  <c r="CV58" i="5"/>
  <c r="CU58" i="5"/>
  <c r="CT58" i="5"/>
  <c r="CW58" i="5"/>
  <c r="CS58" i="5"/>
  <c r="AY58" i="5" a="1"/>
  <c r="AY58" i="5" s="1"/>
  <c r="BL58" i="5" a="1"/>
  <c r="BL58" i="5" s="1"/>
  <c r="BN58" i="5" a="1"/>
  <c r="BN58" i="5" s="1"/>
  <c r="BH58" i="5" a="1"/>
  <c r="BH58" i="5" s="1"/>
  <c r="BA58" i="5" a="1"/>
  <c r="BA58" i="5" s="1"/>
  <c r="BO58" i="5" a="1"/>
  <c r="BO58" i="5" s="1"/>
  <c r="BQ58" i="5" a="1"/>
  <c r="BQ58" i="5" s="1"/>
  <c r="BD58" i="5" a="1"/>
  <c r="BD58" i="5" s="1"/>
  <c r="V56" i="2"/>
  <c r="F61" i="8"/>
  <c r="BP57" i="5" a="1"/>
  <c r="BP57" i="5" s="1"/>
  <c r="J57" i="2" s="1"/>
  <c r="O62" i="1"/>
  <c r="CE52" i="8"/>
  <c r="CX52" i="8" s="1"/>
  <c r="CY52" i="8" s="1"/>
  <c r="BT53" i="8"/>
  <c r="BO53" i="8"/>
  <c r="BP53" i="8"/>
  <c r="BM53" i="8"/>
  <c r="BN53" i="8"/>
  <c r="BK53" i="8"/>
  <c r="BL53" i="8"/>
  <c r="BJ53" i="8"/>
  <c r="AC53" i="10"/>
  <c r="X53" i="10" s="1"/>
  <c r="AS57" i="5"/>
  <c r="AH57" i="11"/>
  <c r="DF56" i="5"/>
  <c r="DE56" i="5"/>
  <c r="AM57" i="1"/>
  <c r="DB56" i="5"/>
  <c r="AU58" i="8"/>
  <c r="AE58" i="8"/>
  <c r="W55" i="1"/>
  <c r="K59" i="11"/>
  <c r="A59" i="14"/>
  <c r="CA59" i="14" s="1"/>
  <c r="A59" i="7"/>
  <c r="R59" i="7" s="1"/>
  <c r="A59" i="9"/>
  <c r="A59" i="2"/>
  <c r="A59" i="5"/>
  <c r="A59" i="8"/>
  <c r="AJ57" i="1"/>
  <c r="Y55" i="1"/>
  <c r="DJ56" i="5"/>
  <c r="AF55" i="1"/>
  <c r="AM58" i="14" a="1"/>
  <c r="AM58" i="14" s="1"/>
  <c r="AL58" i="14" a="1"/>
  <c r="AL58" i="14" s="1"/>
  <c r="AC58" i="14" a="1"/>
  <c r="AC58" i="14" s="1"/>
  <c r="AZ58" i="14" a="1"/>
  <c r="AZ58" i="14" s="1"/>
  <c r="T58" i="14" a="1"/>
  <c r="T58" i="14" s="1"/>
  <c r="S58" i="14" a="1"/>
  <c r="S58" i="14" s="1"/>
  <c r="AA58" i="14" a="1"/>
  <c r="AA58" i="14" s="1"/>
  <c r="AO58" i="14" a="1"/>
  <c r="AO58" i="14" s="1"/>
  <c r="X58" i="14" a="1"/>
  <c r="X58" i="14" s="1"/>
  <c r="BR58" i="14" a="1"/>
  <c r="BR58" i="14" s="1"/>
  <c r="U58" i="14" a="1"/>
  <c r="U58" i="14" s="1"/>
  <c r="AR58" i="14" a="1"/>
  <c r="AR58" i="14" s="1"/>
  <c r="BW58" i="14" a="1"/>
  <c r="BW58" i="14" s="1"/>
  <c r="AP58" i="14" a="1"/>
  <c r="AP58" i="14" s="1"/>
  <c r="BL58" i="14" a="1"/>
  <c r="BL58" i="14" s="1"/>
  <c r="Z58" i="14" a="1"/>
  <c r="Z58" i="14" s="1"/>
  <c r="BT58" i="14" a="1"/>
  <c r="BT58" i="14" s="1"/>
  <c r="AE58" i="14" a="1"/>
  <c r="AE58" i="14" s="1"/>
  <c r="BB58" i="14" a="1"/>
  <c r="BB58" i="14" s="1"/>
  <c r="AK58" i="14" a="1"/>
  <c r="AK58" i="14" s="1"/>
  <c r="BP58" i="14" a="1"/>
  <c r="BP58" i="14" s="1"/>
  <c r="BO58" i="14" a="1"/>
  <c r="BO58" i="14" s="1"/>
  <c r="AH58" i="14" a="1"/>
  <c r="AH58" i="14" s="1"/>
  <c r="BM58" i="14" a="1"/>
  <c r="BM58" i="14" s="1"/>
  <c r="Q58" i="14" a="1"/>
  <c r="Q58" i="14" s="1"/>
  <c r="BS58" i="14" a="1"/>
  <c r="BS58" i="14" s="1"/>
  <c r="O58" i="14" a="1"/>
  <c r="O58" i="14" s="1"/>
  <c r="N58" i="14" a="1"/>
  <c r="N58" i="14" s="1"/>
  <c r="AS58" i="14" a="1"/>
  <c r="AS58" i="14" s="1"/>
  <c r="AB58" i="14" a="1"/>
  <c r="AB58" i="14" s="1"/>
  <c r="AF58" i="14" a="1"/>
  <c r="AF58" i="14" s="1"/>
  <c r="BF58" i="14" a="1"/>
  <c r="BF58" i="14" s="1"/>
  <c r="BU58" i="14" a="1"/>
  <c r="BU58" i="14" s="1"/>
  <c r="BC58" i="14" a="1"/>
  <c r="BC58" i="14" s="1"/>
  <c r="BJ58" i="14" a="1"/>
  <c r="BJ58" i="14" s="1"/>
  <c r="BI58" i="14" a="1"/>
  <c r="BI58" i="14" s="1"/>
  <c r="AJ58" i="14" a="1"/>
  <c r="AJ58" i="14" s="1"/>
  <c r="BZ58" i="14" a="1"/>
  <c r="BZ58" i="14" s="1"/>
  <c r="BG58" i="14" a="1"/>
  <c r="BG58" i="14" s="1"/>
  <c r="BN58" i="14" a="1"/>
  <c r="BN58" i="14" s="1"/>
  <c r="AW58" i="14" a="1"/>
  <c r="AW58" i="14" s="1"/>
  <c r="BK58" i="14" a="1"/>
  <c r="BK58" i="14" s="1"/>
  <c r="V58" i="14" a="1"/>
  <c r="V58" i="14" s="1"/>
  <c r="BD58" i="14" a="1"/>
  <c r="BD58" i="14" s="1"/>
  <c r="P58" i="14" a="1"/>
  <c r="P58" i="14" s="1"/>
  <c r="AN58" i="14" a="1"/>
  <c r="AN58" i="14" s="1"/>
  <c r="AQ58" i="14" a="1"/>
  <c r="AQ58" i="14" s="1"/>
  <c r="AX58" i="14" a="1"/>
  <c r="AX58" i="14" s="1"/>
  <c r="AG58" i="14" a="1"/>
  <c r="AG58" i="14" s="1"/>
  <c r="BA58" i="14" a="1"/>
  <c r="BA58" i="14" s="1"/>
  <c r="BE58" i="14" a="1"/>
  <c r="BE58" i="14" s="1"/>
  <c r="BY58" i="14" a="1"/>
  <c r="BY58" i="14" s="1"/>
  <c r="Y58" i="14" a="1"/>
  <c r="Y58" i="14" s="1"/>
  <c r="AV58" i="14" a="1"/>
  <c r="AV58" i="14" s="1"/>
  <c r="BX58" i="14" a="1"/>
  <c r="BX58" i="14" s="1"/>
  <c r="M58" i="14" a="1"/>
  <c r="M58" i="14" s="1"/>
  <c r="AU58" i="14" a="1"/>
  <c r="AU58" i="14" s="1"/>
  <c r="BH58" i="14" a="1"/>
  <c r="BH58" i="14" s="1"/>
  <c r="W58" i="14" a="1"/>
  <c r="W58" i="14" s="1"/>
  <c r="AI58" i="14" a="1"/>
  <c r="AI58" i="14" s="1"/>
  <c r="AD58" i="14" a="1"/>
  <c r="AD58" i="14" s="1"/>
  <c r="AY58" i="14" a="1"/>
  <c r="AY58" i="14" s="1"/>
  <c r="AT58" i="14" a="1"/>
  <c r="AT58" i="14" s="1"/>
  <c r="BV58" i="14" a="1"/>
  <c r="BV58" i="14" s="1"/>
  <c r="BQ58" i="14" a="1"/>
  <c r="BQ58" i="14" s="1"/>
  <c r="R58" i="14" a="1"/>
  <c r="R58" i="14" s="1"/>
  <c r="AL58" i="1" s="1"/>
  <c r="DH56" i="5"/>
  <c r="AK57" i="11"/>
  <c r="F55" i="5"/>
  <c r="BY58" i="11"/>
  <c r="K57" i="10"/>
  <c r="AA57" i="7"/>
  <c r="AF57" i="8" s="1"/>
  <c r="AV57" i="8" s="1"/>
  <c r="L57" i="11"/>
  <c r="L57" i="5"/>
  <c r="G56" i="10"/>
  <c r="I56" i="7"/>
  <c r="H57" i="5"/>
  <c r="C56" i="10"/>
  <c r="E56" i="7"/>
  <c r="K57" i="5"/>
  <c r="F56" i="10"/>
  <c r="H56" i="7"/>
  <c r="DD56" i="5"/>
  <c r="J57" i="5"/>
  <c r="DC57" i="5" s="1"/>
  <c r="E56" i="10"/>
  <c r="G56" i="7"/>
  <c r="G57" i="5"/>
  <c r="B56" i="10"/>
  <c r="D56" i="7"/>
  <c r="B56" i="5"/>
  <c r="I57" i="5"/>
  <c r="D56" i="10"/>
  <c r="F56" i="7"/>
  <c r="M57" i="5"/>
  <c r="H56" i="10"/>
  <c r="J56" i="7"/>
  <c r="DB52" i="8"/>
  <c r="CS51" i="8"/>
  <c r="CQ52" i="8"/>
  <c r="CU52" i="8" s="1"/>
  <c r="D54" i="9"/>
  <c r="CI53" i="8"/>
  <c r="DA53" i="8" s="1"/>
  <c r="DH54" i="8"/>
  <c r="DI54" i="8" s="1"/>
  <c r="CK54" i="8"/>
  <c r="BW54" i="8"/>
  <c r="AC54" i="1" s="1"/>
  <c r="BX53" i="8"/>
  <c r="CD53" i="8" s="1"/>
  <c r="N53" i="7"/>
  <c r="BH54" i="8"/>
  <c r="BU54" i="8" s="1"/>
  <c r="BI54" i="8"/>
  <c r="AH65" i="9"/>
  <c r="B52" i="14"/>
  <c r="AQ52" i="5"/>
  <c r="AE53" i="7"/>
  <c r="AF53" i="7" s="1"/>
  <c r="Q53" i="7"/>
  <c r="CR52" i="8"/>
  <c r="CZ56" i="5"/>
  <c r="AC52" i="11"/>
  <c r="U52" i="8" s="1"/>
  <c r="N53" i="11"/>
  <c r="Z52" i="11"/>
  <c r="AA52" i="11"/>
  <c r="AK52" i="1" s="1"/>
  <c r="Y52" i="11"/>
  <c r="AH52" i="1" s="1"/>
  <c r="AB52" i="11"/>
  <c r="Q52" i="8" s="1"/>
  <c r="AD52" i="11"/>
  <c r="AI52" i="1" s="1"/>
  <c r="BZ53" i="8"/>
  <c r="CC53" i="8"/>
  <c r="CV53" i="8" s="1"/>
  <c r="CW53" i="8" s="1"/>
  <c r="CH53" i="8"/>
  <c r="CZ53" i="8" s="1"/>
  <c r="CA53" i="8"/>
  <c r="CB53" i="8"/>
  <c r="CT53" i="8" s="1"/>
  <c r="BY53" i="8"/>
  <c r="B54" i="7"/>
  <c r="AC54" i="8"/>
  <c r="BQ54" i="8" s="1"/>
  <c r="BT54" i="5"/>
  <c r="E54" i="1"/>
  <c r="AJ54" i="5"/>
  <c r="AP54" i="5" s="1"/>
  <c r="X54" i="8"/>
  <c r="DD54" i="8" s="1"/>
  <c r="AI54" i="5"/>
  <c r="B54" i="9"/>
  <c r="Y54" i="9" s="1"/>
  <c r="A54" i="11"/>
  <c r="A54" i="10"/>
  <c r="AA54" i="10" s="1"/>
  <c r="DI56" i="5"/>
  <c r="AB56" i="1"/>
  <c r="DA55" i="5"/>
  <c r="DG55" i="5" s="1" a="1"/>
  <c r="DG55" i="5" s="1"/>
  <c r="AG65" i="9"/>
  <c r="AK65" i="9"/>
  <c r="AE127" i="9"/>
  <c r="N41" i="1"/>
  <c r="S58" i="2"/>
  <c r="N59" i="2"/>
  <c r="R59" i="2"/>
  <c r="Q58" i="2"/>
  <c r="P60" i="2"/>
  <c r="J60" i="10"/>
  <c r="N60" i="5" s="1"/>
  <c r="AQ81" i="9" l="1"/>
  <c r="CM81" i="8" s="1"/>
  <c r="AO54" i="5"/>
  <c r="AM54" i="5"/>
  <c r="AN54" i="5"/>
  <c r="AR54" i="5" s="1"/>
  <c r="AV55" i="5"/>
  <c r="AW55" i="5"/>
  <c r="AG53" i="7"/>
  <c r="CL55" i="8"/>
  <c r="AI77" i="9"/>
  <c r="AO77" i="8" s="1"/>
  <c r="G60" i="8"/>
  <c r="CF59" i="8"/>
  <c r="O59" i="2"/>
  <c r="BQ59" i="5" a="1"/>
  <c r="BQ59" i="5" s="1"/>
  <c r="BN59" i="5" a="1"/>
  <c r="BN59" i="5" s="1"/>
  <c r="AZ59" i="5" a="1"/>
  <c r="AZ59" i="5" s="1"/>
  <c r="BJ59" i="5" a="1"/>
  <c r="BJ59" i="5" s="1"/>
  <c r="BD59" i="5" a="1"/>
  <c r="BD59" i="5" s="1"/>
  <c r="AM66" i="9"/>
  <c r="BR54" i="8"/>
  <c r="BS54" i="8"/>
  <c r="AD57" i="1"/>
  <c r="BF59" i="5" a="1"/>
  <c r="BF59" i="5" s="1"/>
  <c r="AE58" i="1" s="1"/>
  <c r="BO59" i="5" a="1"/>
  <c r="BO59" i="5" s="1"/>
  <c r="BI59" i="5" a="1"/>
  <c r="BI59" i="5" s="1"/>
  <c r="BA59" i="5" a="1"/>
  <c r="BA59" i="5" s="1"/>
  <c r="BB59" i="5" a="1"/>
  <c r="BB59" i="5" s="1"/>
  <c r="BH59" i="5" a="1"/>
  <c r="BH59" i="5" s="1"/>
  <c r="BM59" i="5" a="1"/>
  <c r="BM59" i="5" s="1"/>
  <c r="BE59" i="5" a="1"/>
  <c r="BE59" i="5" s="1"/>
  <c r="BK59" i="5" a="1"/>
  <c r="BK59" i="5" s="1"/>
  <c r="CR59" i="5"/>
  <c r="CQ59" i="5"/>
  <c r="CT59" i="5"/>
  <c r="CV59" i="5"/>
  <c r="CW59" i="5"/>
  <c r="CU59" i="5"/>
  <c r="CS59" i="5"/>
  <c r="AY59" i="5" a="1"/>
  <c r="AY59" i="5" s="1"/>
  <c r="BL59" i="5" a="1"/>
  <c r="BL59" i="5" s="1"/>
  <c r="BG59" i="5" a="1"/>
  <c r="BG59" i="5" s="1"/>
  <c r="BC59" i="5" a="1"/>
  <c r="BC59" i="5" s="1"/>
  <c r="V57" i="2"/>
  <c r="F62" i="8"/>
  <c r="BP58" i="5" a="1"/>
  <c r="BP58" i="5" s="1"/>
  <c r="J58" i="2" s="1"/>
  <c r="A55" i="10"/>
  <c r="AA55" i="10" s="1"/>
  <c r="O63" i="1"/>
  <c r="BX54" i="8"/>
  <c r="CD54" i="8" s="1"/>
  <c r="BT54" i="8"/>
  <c r="BO54" i="8"/>
  <c r="BP54" i="8"/>
  <c r="BM54" i="8"/>
  <c r="BN54" i="8"/>
  <c r="BK54" i="8"/>
  <c r="BL54" i="8"/>
  <c r="BJ54" i="8"/>
  <c r="AC54" i="10"/>
  <c r="X54" i="10" s="1"/>
  <c r="AS58" i="5"/>
  <c r="AH58" i="11"/>
  <c r="AK58" i="11"/>
  <c r="DE57" i="5"/>
  <c r="DB57" i="5"/>
  <c r="DF57" i="5"/>
  <c r="AF56" i="1"/>
  <c r="W56" i="1"/>
  <c r="AM58" i="1"/>
  <c r="Y56" i="1"/>
  <c r="DJ57" i="5"/>
  <c r="AM59" i="14" a="1"/>
  <c r="AM59" i="14" s="1"/>
  <c r="AL59" i="14" a="1"/>
  <c r="AL59" i="14" s="1"/>
  <c r="AS59" i="14" a="1"/>
  <c r="AS59" i="14" s="1"/>
  <c r="BP59" i="14" a="1"/>
  <c r="BP59" i="14" s="1"/>
  <c r="AZ59" i="14" a="1"/>
  <c r="AZ59" i="14" s="1"/>
  <c r="BV59" i="14" a="1"/>
  <c r="BV59" i="14" s="1"/>
  <c r="BL59" i="14" a="1"/>
  <c r="BL59" i="14" s="1"/>
  <c r="AP59" i="14" a="1"/>
  <c r="AP59" i="14" s="1"/>
  <c r="AU59" i="14" a="1"/>
  <c r="AU59" i="14" s="1"/>
  <c r="BB59" i="14" a="1"/>
  <c r="BB59" i="14" s="1"/>
  <c r="BD59" i="14" a="1"/>
  <c r="BD59" i="14" s="1"/>
  <c r="P59" i="14" a="1"/>
  <c r="P59" i="14" s="1"/>
  <c r="AY59" i="14" a="1"/>
  <c r="AY59" i="14" s="1"/>
  <c r="AQ59" i="14" a="1"/>
  <c r="AQ59" i="14" s="1"/>
  <c r="BF59" i="14" a="1"/>
  <c r="BF59" i="14" s="1"/>
  <c r="BU59" i="14" a="1"/>
  <c r="BU59" i="14" s="1"/>
  <c r="W59" i="14" a="1"/>
  <c r="W59" i="14" s="1"/>
  <c r="X59" i="14" a="1"/>
  <c r="X59" i="14" s="1"/>
  <c r="BA59" i="14" a="1"/>
  <c r="BA59" i="14" s="1"/>
  <c r="BX59" i="14" a="1"/>
  <c r="BX59" i="14" s="1"/>
  <c r="BO59" i="14" a="1"/>
  <c r="BO59" i="14" s="1"/>
  <c r="BN59" i="14" a="1"/>
  <c r="BN59" i="14" s="1"/>
  <c r="S59" i="14" a="1"/>
  <c r="S59" i="14" s="1"/>
  <c r="Q59" i="14" a="1"/>
  <c r="Q59" i="14" s="1"/>
  <c r="BT59" i="14" a="1"/>
  <c r="BT59" i="14" s="1"/>
  <c r="BR59" i="14" a="1"/>
  <c r="BR59" i="14" s="1"/>
  <c r="BJ59" i="14" a="1"/>
  <c r="BJ59" i="14" s="1"/>
  <c r="AK59" i="14" a="1"/>
  <c r="AK59" i="14" s="1"/>
  <c r="AB59" i="14" a="1"/>
  <c r="AB59" i="14" s="1"/>
  <c r="BG59" i="14" a="1"/>
  <c r="BG59" i="14" s="1"/>
  <c r="AV59" i="14" a="1"/>
  <c r="AV59" i="14" s="1"/>
  <c r="O59" i="14" a="1"/>
  <c r="O59" i="14" s="1"/>
  <c r="N59" i="14" a="1"/>
  <c r="N59" i="14" s="1"/>
  <c r="BY59" i="14" a="1"/>
  <c r="BY59" i="14" s="1"/>
  <c r="BZ59" i="14" a="1"/>
  <c r="BZ59" i="14" s="1"/>
  <c r="AF59" i="14" a="1"/>
  <c r="AF59" i="14" s="1"/>
  <c r="AH59" i="14" a="1"/>
  <c r="AH59" i="14" s="1"/>
  <c r="BE59" i="14" a="1"/>
  <c r="BE59" i="14" s="1"/>
  <c r="BC59" i="14" a="1"/>
  <c r="BC59" i="14" s="1"/>
  <c r="AC59" i="14" a="1"/>
  <c r="AC59" i="14" s="1"/>
  <c r="AN59" i="14" a="1"/>
  <c r="AN59" i="14" s="1"/>
  <c r="Y59" i="14" a="1"/>
  <c r="Y59" i="14" s="1"/>
  <c r="BK59" i="14" a="1"/>
  <c r="BK59" i="14" s="1"/>
  <c r="BH59" i="14" a="1"/>
  <c r="BH59" i="14" s="1"/>
  <c r="AX59" i="14" a="1"/>
  <c r="AX59" i="14" s="1"/>
  <c r="AW59" i="14" a="1"/>
  <c r="AW59" i="14" s="1"/>
  <c r="AE59" i="14" a="1"/>
  <c r="AE59" i="14" s="1"/>
  <c r="AJ59" i="14" a="1"/>
  <c r="AJ59" i="14" s="1"/>
  <c r="R59" i="14" a="1"/>
  <c r="R59" i="14" s="1"/>
  <c r="AL59" i="1" s="1"/>
  <c r="M59" i="14" a="1"/>
  <c r="M59" i="14" s="1"/>
  <c r="AT59" i="14" a="1"/>
  <c r="AT59" i="14" s="1"/>
  <c r="U59" i="14" a="1"/>
  <c r="U59" i="14" s="1"/>
  <c r="Z59" i="14" a="1"/>
  <c r="Z59" i="14" s="1"/>
  <c r="AD59" i="14" a="1"/>
  <c r="AD59" i="14" s="1"/>
  <c r="AR59" i="14" a="1"/>
  <c r="AR59" i="14" s="1"/>
  <c r="AA59" i="14" a="1"/>
  <c r="AA59" i="14" s="1"/>
  <c r="V59" i="14" a="1"/>
  <c r="V59" i="14" s="1"/>
  <c r="T59" i="14" a="1"/>
  <c r="T59" i="14" s="1"/>
  <c r="AO59" i="14" a="1"/>
  <c r="AO59" i="14" s="1"/>
  <c r="BQ59" i="14" a="1"/>
  <c r="BQ59" i="14" s="1"/>
  <c r="AI59" i="14" a="1"/>
  <c r="AI59" i="14" s="1"/>
  <c r="BM59" i="14" a="1"/>
  <c r="BM59" i="14" s="1"/>
  <c r="BW59" i="14" a="1"/>
  <c r="BW59" i="14" s="1"/>
  <c r="AG59" i="14" a="1"/>
  <c r="AG59" i="14" s="1"/>
  <c r="BS59" i="14" a="1"/>
  <c r="BS59" i="14" s="1"/>
  <c r="BI59" i="14" a="1"/>
  <c r="BI59" i="14" s="1"/>
  <c r="AJ58" i="1"/>
  <c r="K60" i="11"/>
  <c r="A60" i="14"/>
  <c r="CA60" i="14" s="1"/>
  <c r="A60" i="7"/>
  <c r="R60" i="7" s="1"/>
  <c r="A60" i="8"/>
  <c r="A60" i="9"/>
  <c r="A60" i="2"/>
  <c r="A60" i="5"/>
  <c r="DH57" i="5"/>
  <c r="AU59" i="8"/>
  <c r="AE59" i="8"/>
  <c r="B55" i="9"/>
  <c r="Y55" i="9" s="1"/>
  <c r="A55" i="11"/>
  <c r="N55" i="11" s="1"/>
  <c r="E55" i="1"/>
  <c r="BH55" i="8"/>
  <c r="BU55" i="8" s="1"/>
  <c r="CK55" i="8"/>
  <c r="BI55" i="8"/>
  <c r="AI55" i="5"/>
  <c r="X55" i="8"/>
  <c r="DD55" i="8" s="1"/>
  <c r="DH55" i="8"/>
  <c r="DI55" i="8" s="1"/>
  <c r="AJ55" i="5"/>
  <c r="AP55" i="5" s="1"/>
  <c r="AC55" i="8"/>
  <c r="BQ55" i="8" s="1"/>
  <c r="B55" i="7"/>
  <c r="Q55" i="7" s="1"/>
  <c r="BW55" i="8"/>
  <c r="BT55" i="5"/>
  <c r="B57" i="5"/>
  <c r="B57" i="2"/>
  <c r="B57" i="1"/>
  <c r="BG57" i="1" s="1"/>
  <c r="AH57" i="5"/>
  <c r="BU57" i="5"/>
  <c r="BY59" i="11"/>
  <c r="K58" i="10"/>
  <c r="AA58" i="7"/>
  <c r="AF58" i="8" s="1"/>
  <c r="AV58" i="8" s="1"/>
  <c r="L58" i="11"/>
  <c r="B57" i="10"/>
  <c r="D57" i="7"/>
  <c r="G58" i="5"/>
  <c r="K58" i="5"/>
  <c r="F57" i="10"/>
  <c r="H57" i="7"/>
  <c r="DD57" i="5"/>
  <c r="M58" i="5"/>
  <c r="H57" i="10"/>
  <c r="J57" i="7"/>
  <c r="H58" i="5"/>
  <c r="C57" i="10"/>
  <c r="E57" i="7"/>
  <c r="I58" i="5"/>
  <c r="D57" i="10"/>
  <c r="F57" i="7"/>
  <c r="J58" i="5"/>
  <c r="DC58" i="5" s="1"/>
  <c r="E57" i="10"/>
  <c r="G57" i="7"/>
  <c r="CS52" i="8"/>
  <c r="L58" i="5"/>
  <c r="G57" i="10"/>
  <c r="I57" i="7"/>
  <c r="CQ53" i="8"/>
  <c r="CU53" i="8" s="1"/>
  <c r="CI54" i="8"/>
  <c r="DA54" i="8" s="1"/>
  <c r="DB53" i="8"/>
  <c r="D55" i="9"/>
  <c r="CE53" i="8"/>
  <c r="CX53" i="8" s="1"/>
  <c r="CY53" i="8" s="1"/>
  <c r="N54" i="7"/>
  <c r="AH66" i="9"/>
  <c r="CR53" i="8"/>
  <c r="BZ54" i="8"/>
  <c r="CC54" i="8"/>
  <c r="CV54" i="8" s="1"/>
  <c r="CW54" i="8" s="1"/>
  <c r="CH54" i="8"/>
  <c r="CZ54" i="8" s="1"/>
  <c r="CA54" i="8"/>
  <c r="CB54" i="8"/>
  <c r="CT54" i="8" s="1"/>
  <c r="BY54" i="8"/>
  <c r="C56" i="5"/>
  <c r="F56" i="5" s="1"/>
  <c r="AA53" i="11"/>
  <c r="AK53" i="1" s="1"/>
  <c r="Y53" i="11"/>
  <c r="AH53" i="1" s="1"/>
  <c r="N54" i="11"/>
  <c r="Z53" i="11"/>
  <c r="AB53" i="11"/>
  <c r="Q53" i="8" s="1"/>
  <c r="AD53" i="11"/>
  <c r="AI53" i="1" s="1"/>
  <c r="AC53" i="11"/>
  <c r="U53" i="8" s="1"/>
  <c r="AQ53" i="5"/>
  <c r="CZ57" i="5"/>
  <c r="AE54" i="7"/>
  <c r="AF54" i="7" s="1"/>
  <c r="Q54" i="7"/>
  <c r="DA56" i="5"/>
  <c r="DG56" i="5" s="1" a="1"/>
  <c r="DG56" i="5" s="1"/>
  <c r="AB57" i="1"/>
  <c r="DI57" i="5"/>
  <c r="AG66" i="9"/>
  <c r="AK66" i="9"/>
  <c r="AE128" i="9"/>
  <c r="N42" i="1"/>
  <c r="S59" i="2"/>
  <c r="N60" i="2"/>
  <c r="R60" i="2"/>
  <c r="Q59" i="2"/>
  <c r="J61" i="10"/>
  <c r="N61" i="5" s="1"/>
  <c r="P61" i="2"/>
  <c r="AQ82" i="9" l="1"/>
  <c r="CM82" i="8" s="1"/>
  <c r="AO55" i="5"/>
  <c r="AM55" i="5"/>
  <c r="AN55" i="5"/>
  <c r="AV56" i="5"/>
  <c r="AW56" i="5"/>
  <c r="AG54" i="7"/>
  <c r="CL56" i="8"/>
  <c r="BY55" i="8"/>
  <c r="CQ55" i="8" s="1"/>
  <c r="CU55" i="8" s="1"/>
  <c r="AC55" i="1"/>
  <c r="AI78" i="9"/>
  <c r="AO78" i="8" s="1"/>
  <c r="G61" i="8"/>
  <c r="CF60" i="8"/>
  <c r="O60" i="2"/>
  <c r="AD58" i="1"/>
  <c r="BN60" i="5" a="1"/>
  <c r="BN60" i="5" s="1"/>
  <c r="BH60" i="5" a="1"/>
  <c r="BH60" i="5" s="1"/>
  <c r="BC60" i="5" a="1"/>
  <c r="BC60" i="5" s="1"/>
  <c r="BE60" i="5" a="1"/>
  <c r="BE60" i="5" s="1"/>
  <c r="AM67" i="9"/>
  <c r="BR55" i="8"/>
  <c r="BS55" i="8"/>
  <c r="BK60" i="5" a="1"/>
  <c r="BK60" i="5" s="1"/>
  <c r="BM60" i="5" a="1"/>
  <c r="BM60" i="5" s="1"/>
  <c r="BG60" i="5" a="1"/>
  <c r="BG60" i="5" s="1"/>
  <c r="BB60" i="5" a="1"/>
  <c r="BB60" i="5" s="1"/>
  <c r="CU60" i="5"/>
  <c r="CW60" i="5"/>
  <c r="CQ60" i="5"/>
  <c r="CR60" i="5"/>
  <c r="CV60" i="5"/>
  <c r="CS60" i="5"/>
  <c r="CT60" i="5"/>
  <c r="BL60" i="5" a="1"/>
  <c r="BL60" i="5" s="1"/>
  <c r="AY60" i="5" a="1"/>
  <c r="AY60" i="5" s="1"/>
  <c r="BA60" i="5" a="1"/>
  <c r="BA60" i="5" s="1"/>
  <c r="BI60" i="5" a="1"/>
  <c r="BI60" i="5" s="1"/>
  <c r="BO60" i="5" a="1"/>
  <c r="BO60" i="5" s="1"/>
  <c r="AZ60" i="5" a="1"/>
  <c r="AZ60" i="5" s="1"/>
  <c r="BQ60" i="5" a="1"/>
  <c r="BQ60" i="5" s="1"/>
  <c r="BF60" i="5" a="1"/>
  <c r="BF60" i="5" s="1"/>
  <c r="AE59" i="1" s="1"/>
  <c r="BD60" i="5" a="1"/>
  <c r="BD60" i="5" s="1"/>
  <c r="BJ60" i="5" a="1"/>
  <c r="BJ60" i="5" s="1"/>
  <c r="V58" i="2"/>
  <c r="F63" i="8"/>
  <c r="BP59" i="5" a="1"/>
  <c r="BP59" i="5" s="1"/>
  <c r="J59" i="2" s="1"/>
  <c r="O64" i="1"/>
  <c r="CE54" i="8"/>
  <c r="CX54" i="8" s="1"/>
  <c r="CY54" i="8" s="1"/>
  <c r="BT55" i="8"/>
  <c r="BO55" i="8"/>
  <c r="BP55" i="8"/>
  <c r="BM55" i="8"/>
  <c r="BN55" i="8"/>
  <c r="BK55" i="8"/>
  <c r="BL55" i="8"/>
  <c r="BJ55" i="8"/>
  <c r="AC55" i="10"/>
  <c r="X55" i="10" s="1"/>
  <c r="AR55" i="5"/>
  <c r="AS59" i="5"/>
  <c r="AH59" i="11"/>
  <c r="DF58" i="5"/>
  <c r="DB58" i="5"/>
  <c r="K61" i="11"/>
  <c r="A61" i="14"/>
  <c r="CA61" i="14" s="1"/>
  <c r="A61" i="9"/>
  <c r="A61" i="7"/>
  <c r="R61" i="7" s="1"/>
  <c r="A61" i="2"/>
  <c r="A61" i="8"/>
  <c r="A61" i="5"/>
  <c r="AM59" i="1"/>
  <c r="AU60" i="8"/>
  <c r="AE60" i="8"/>
  <c r="AF57" i="1"/>
  <c r="AK59" i="11"/>
  <c r="DH58" i="5"/>
  <c r="AU60" i="14" a="1"/>
  <c r="AU60" i="14" s="1"/>
  <c r="BJ60" i="14" a="1"/>
  <c r="BJ60" i="14" s="1"/>
  <c r="V60" i="14" a="1"/>
  <c r="V60" i="14" s="1"/>
  <c r="U60" i="14" a="1"/>
  <c r="U60" i="14" s="1"/>
  <c r="AR60" i="14" a="1"/>
  <c r="AR60" i="14" s="1"/>
  <c r="AA60" i="14" a="1"/>
  <c r="AA60" i="14" s="1"/>
  <c r="AX60" i="14" a="1"/>
  <c r="AX60" i="14" s="1"/>
  <c r="M60" i="14" a="1"/>
  <c r="M60" i="14" s="1"/>
  <c r="AM60" i="14" a="1"/>
  <c r="AM60" i="14" s="1"/>
  <c r="AD60" i="14" a="1"/>
  <c r="AD60" i="14" s="1"/>
  <c r="N60" i="14" a="1"/>
  <c r="N60" i="14" s="1"/>
  <c r="BX60" i="14" a="1"/>
  <c r="BX60" i="14" s="1"/>
  <c r="T60" i="14" a="1"/>
  <c r="T60" i="14" s="1"/>
  <c r="BO60" i="14" a="1"/>
  <c r="BO60" i="14" s="1"/>
  <c r="Z60" i="14" a="1"/>
  <c r="Z60" i="14" s="1"/>
  <c r="Q60" i="14" a="1"/>
  <c r="Q60" i="14" s="1"/>
  <c r="X60" i="14" a="1"/>
  <c r="X60" i="14" s="1"/>
  <c r="BR60" i="14" a="1"/>
  <c r="BR60" i="14" s="1"/>
  <c r="BI60" i="14" a="1"/>
  <c r="BI60" i="14" s="1"/>
  <c r="BP60" i="14" a="1"/>
  <c r="BP60" i="14" s="1"/>
  <c r="BW60" i="14" a="1"/>
  <c r="BW60" i="14" s="1"/>
  <c r="AY60" i="14" a="1"/>
  <c r="AY60" i="14" s="1"/>
  <c r="AP60" i="14" a="1"/>
  <c r="AP60" i="14" s="1"/>
  <c r="AW60" i="14" a="1"/>
  <c r="AW60" i="14" s="1"/>
  <c r="BS60" i="14" a="1"/>
  <c r="BS60" i="14" s="1"/>
  <c r="O60" i="14" a="1"/>
  <c r="O60" i="14" s="1"/>
  <c r="BB60" i="14" a="1"/>
  <c r="BB60" i="14" s="1"/>
  <c r="AK60" i="14" a="1"/>
  <c r="AK60" i="14" s="1"/>
  <c r="AJ60" i="14" a="1"/>
  <c r="AJ60" i="14" s="1"/>
  <c r="AF60" i="14" a="1"/>
  <c r="AF60" i="14" s="1"/>
  <c r="BN60" i="14" a="1"/>
  <c r="BN60" i="14" s="1"/>
  <c r="BE60" i="14" a="1"/>
  <c r="BE60" i="14" s="1"/>
  <c r="Y60" i="14" a="1"/>
  <c r="Y60" i="14" s="1"/>
  <c r="BT60" i="14" a="1"/>
  <c r="BT60" i="14" s="1"/>
  <c r="W60" i="14" a="1"/>
  <c r="W60" i="14" s="1"/>
  <c r="BD60" i="14" a="1"/>
  <c r="BD60" i="14" s="1"/>
  <c r="AC60" i="14" a="1"/>
  <c r="AC60" i="14" s="1"/>
  <c r="AN60" i="14" a="1"/>
  <c r="AN60" i="14" s="1"/>
  <c r="BV60" i="14" a="1"/>
  <c r="BV60" i="14" s="1"/>
  <c r="R60" i="14" a="1"/>
  <c r="R60" i="14" s="1"/>
  <c r="AL60" i="1" s="1"/>
  <c r="AI60" i="14" a="1"/>
  <c r="AI60" i="14" s="1"/>
  <c r="AG60" i="14" a="1"/>
  <c r="AG60" i="14" s="1"/>
  <c r="BK60" i="14" a="1"/>
  <c r="BK60" i="14" s="1"/>
  <c r="AT60" i="14" a="1"/>
  <c r="AT60" i="14" s="1"/>
  <c r="AS60" i="14" a="1"/>
  <c r="AS60" i="14" s="1"/>
  <c r="BZ60" i="14" a="1"/>
  <c r="BZ60" i="14" s="1"/>
  <c r="BY60" i="14" a="1"/>
  <c r="BY60" i="14" s="1"/>
  <c r="AQ60" i="14" a="1"/>
  <c r="AQ60" i="14" s="1"/>
  <c r="BL60" i="14" a="1"/>
  <c r="BL60" i="14" s="1"/>
  <c r="AH60" i="14" a="1"/>
  <c r="AH60" i="14" s="1"/>
  <c r="AE60" i="14" a="1"/>
  <c r="AE60" i="14" s="1"/>
  <c r="BF60" i="14" a="1"/>
  <c r="BF60" i="14" s="1"/>
  <c r="AL60" i="14" a="1"/>
  <c r="AL60" i="14" s="1"/>
  <c r="BG60" i="14" a="1"/>
  <c r="BG60" i="14" s="1"/>
  <c r="BQ60" i="14" a="1"/>
  <c r="BQ60" i="14" s="1"/>
  <c r="BM60" i="14" a="1"/>
  <c r="BM60" i="14" s="1"/>
  <c r="BA60" i="14" a="1"/>
  <c r="BA60" i="14" s="1"/>
  <c r="S60" i="14" a="1"/>
  <c r="S60" i="14" s="1"/>
  <c r="P60" i="14" a="1"/>
  <c r="P60" i="14" s="1"/>
  <c r="BU60" i="14" a="1"/>
  <c r="BU60" i="14" s="1"/>
  <c r="AZ60" i="14" a="1"/>
  <c r="AZ60" i="14" s="1"/>
  <c r="AO60" i="14" a="1"/>
  <c r="AO60" i="14" s="1"/>
  <c r="AV60" i="14" a="1"/>
  <c r="AV60" i="14" s="1"/>
  <c r="AB60" i="14" a="1"/>
  <c r="AB60" i="14" s="1"/>
  <c r="BC60" i="14" a="1"/>
  <c r="BC60" i="14" s="1"/>
  <c r="BH60" i="14" a="1"/>
  <c r="BH60" i="14" s="1"/>
  <c r="AJ59" i="1"/>
  <c r="DE58" i="5"/>
  <c r="Y57" i="1"/>
  <c r="DJ58" i="5"/>
  <c r="W57" i="1"/>
  <c r="Z54" i="11"/>
  <c r="AD54" i="11"/>
  <c r="AI54" i="1" s="1"/>
  <c r="Y54" i="11"/>
  <c r="AH54" i="1" s="1"/>
  <c r="AC54" i="11"/>
  <c r="U54" i="8" s="1"/>
  <c r="AB54" i="11"/>
  <c r="Q54" i="8" s="1"/>
  <c r="BX55" i="8"/>
  <c r="CE55" i="8" s="1"/>
  <c r="D56" i="9"/>
  <c r="AA54" i="11"/>
  <c r="AK54" i="1" s="1"/>
  <c r="N55" i="7"/>
  <c r="AE55" i="7"/>
  <c r="AF55" i="7" s="1"/>
  <c r="CC55" i="8"/>
  <c r="CV55" i="8" s="1"/>
  <c r="CW55" i="8" s="1"/>
  <c r="BZ55" i="8"/>
  <c r="CA55" i="8"/>
  <c r="CI55" i="8"/>
  <c r="DA55" i="8" s="1"/>
  <c r="CH55" i="8"/>
  <c r="CZ55" i="8" s="1"/>
  <c r="CB55" i="8"/>
  <c r="CT55" i="8" s="1"/>
  <c r="B58" i="5"/>
  <c r="CS53" i="8"/>
  <c r="BY60" i="11"/>
  <c r="K59" i="10"/>
  <c r="AA59" i="7"/>
  <c r="AF59" i="8" s="1"/>
  <c r="AV59" i="8" s="1"/>
  <c r="L59" i="11"/>
  <c r="B58" i="2"/>
  <c r="AH58" i="5"/>
  <c r="BU58" i="5"/>
  <c r="B58" i="1"/>
  <c r="BG58" i="1" s="1"/>
  <c r="I59" i="5"/>
  <c r="D58" i="10"/>
  <c r="F58" i="7"/>
  <c r="L59" i="5"/>
  <c r="G58" i="10"/>
  <c r="I58" i="7"/>
  <c r="H59" i="5"/>
  <c r="C58" i="10"/>
  <c r="E58" i="7"/>
  <c r="K59" i="5"/>
  <c r="F58" i="10"/>
  <c r="H58" i="7"/>
  <c r="DD58" i="5"/>
  <c r="G59" i="5"/>
  <c r="D58" i="7"/>
  <c r="B58" i="10"/>
  <c r="J59" i="5"/>
  <c r="DC59" i="5" s="1"/>
  <c r="E58" i="10"/>
  <c r="G58" i="7"/>
  <c r="M59" i="5"/>
  <c r="H58" i="10"/>
  <c r="J58" i="7"/>
  <c r="CQ54" i="8"/>
  <c r="CU54" i="8" s="1"/>
  <c r="DB54" i="8"/>
  <c r="DH56" i="8"/>
  <c r="DI56" i="8" s="1"/>
  <c r="CK56" i="8"/>
  <c r="BW56" i="8"/>
  <c r="AC56" i="1" s="1"/>
  <c r="BH56" i="8"/>
  <c r="BU56" i="8" s="1"/>
  <c r="BI56" i="8"/>
  <c r="AH67" i="9"/>
  <c r="B54" i="14"/>
  <c r="AQ54" i="5"/>
  <c r="A56" i="11"/>
  <c r="AC56" i="8"/>
  <c r="BQ56" i="8" s="1"/>
  <c r="BT56" i="5"/>
  <c r="X56" i="8"/>
  <c r="DD56" i="8" s="1"/>
  <c r="AJ56" i="5"/>
  <c r="AP56" i="5" s="1"/>
  <c r="A56" i="10"/>
  <c r="AA56" i="10" s="1"/>
  <c r="B56" i="7"/>
  <c r="E56" i="1"/>
  <c r="AI56" i="5"/>
  <c r="B56" i="9"/>
  <c r="Y56" i="9" s="1"/>
  <c r="CZ58" i="5"/>
  <c r="C57" i="5"/>
  <c r="F57" i="5" s="1"/>
  <c r="CR54" i="8"/>
  <c r="AB58" i="1"/>
  <c r="DI58" i="5"/>
  <c r="DA57" i="5"/>
  <c r="DG57" i="5" s="1" a="1"/>
  <c r="DG57" i="5" s="1"/>
  <c r="AG67" i="9"/>
  <c r="AK67" i="9"/>
  <c r="AE129" i="9"/>
  <c r="N43" i="1"/>
  <c r="S60" i="2"/>
  <c r="N61" i="2"/>
  <c r="R61" i="2"/>
  <c r="Q60" i="2"/>
  <c r="J62" i="10"/>
  <c r="N62" i="5" s="1"/>
  <c r="P62" i="2"/>
  <c r="AQ83" i="9" l="1"/>
  <c r="CM83" i="8" s="1"/>
  <c r="AO56" i="5"/>
  <c r="AM56" i="5"/>
  <c r="AN56" i="5"/>
  <c r="AV57" i="5"/>
  <c r="AW57" i="5"/>
  <c r="AG55" i="7"/>
  <c r="CL57" i="8"/>
  <c r="AI79" i="9"/>
  <c r="AO79" i="8" s="1"/>
  <c r="G62" i="8"/>
  <c r="CF61" i="8"/>
  <c r="O61" i="2"/>
  <c r="AS60" i="5"/>
  <c r="AD59" i="1"/>
  <c r="AM68" i="9"/>
  <c r="BR56" i="8"/>
  <c r="BS56" i="8"/>
  <c r="CV61" i="5"/>
  <c r="CU61" i="5"/>
  <c r="CQ61" i="5"/>
  <c r="CS61" i="5"/>
  <c r="CR61" i="5"/>
  <c r="CT61" i="5"/>
  <c r="CW61" i="5"/>
  <c r="AY61" i="5" a="1"/>
  <c r="AY61" i="5" s="1"/>
  <c r="BL61" i="5" a="1"/>
  <c r="BL61" i="5" s="1"/>
  <c r="BJ61" i="5" a="1"/>
  <c r="BJ61" i="5" s="1"/>
  <c r="BD61" i="5" a="1"/>
  <c r="BD61" i="5" s="1"/>
  <c r="BF61" i="5" a="1"/>
  <c r="BF61" i="5" s="1"/>
  <c r="AE60" i="1" s="1"/>
  <c r="BQ61" i="5" a="1"/>
  <c r="BQ61" i="5" s="1"/>
  <c r="BB61" i="5" a="1"/>
  <c r="BB61" i="5" s="1"/>
  <c r="AZ61" i="5" a="1"/>
  <c r="AZ61" i="5" s="1"/>
  <c r="BG61" i="5" a="1"/>
  <c r="BG61" i="5" s="1"/>
  <c r="BO61" i="5" a="1"/>
  <c r="BO61" i="5" s="1"/>
  <c r="BH61" i="5" a="1"/>
  <c r="BH61" i="5" s="1"/>
  <c r="BI61" i="5" a="1"/>
  <c r="BI61" i="5" s="1"/>
  <c r="BM61" i="5" a="1"/>
  <c r="BM61" i="5" s="1"/>
  <c r="BE61" i="5" a="1"/>
  <c r="BE61" i="5" s="1"/>
  <c r="BC61" i="5" a="1"/>
  <c r="BC61" i="5" s="1"/>
  <c r="BK61" i="5" a="1"/>
  <c r="BK61" i="5" s="1"/>
  <c r="BA61" i="5" a="1"/>
  <c r="BA61" i="5" s="1"/>
  <c r="BN61" i="5" a="1"/>
  <c r="BN61" i="5" s="1"/>
  <c r="V59" i="2"/>
  <c r="F64" i="8"/>
  <c r="BP60" i="5" a="1"/>
  <c r="BP60" i="5" s="1"/>
  <c r="J60" i="2" s="1"/>
  <c r="O65" i="1"/>
  <c r="BT56" i="8"/>
  <c r="BO56" i="8"/>
  <c r="BP56" i="8"/>
  <c r="BM56" i="8"/>
  <c r="BN56" i="8"/>
  <c r="BK56" i="8"/>
  <c r="BL56" i="8"/>
  <c r="BJ56" i="8"/>
  <c r="AC56" i="10"/>
  <c r="X56" i="10" s="1"/>
  <c r="AR56" i="5"/>
  <c r="AH60" i="11"/>
  <c r="DF59" i="5"/>
  <c r="AK60" i="11"/>
  <c r="DE59" i="5"/>
  <c r="W58" i="1"/>
  <c r="AE61" i="8"/>
  <c r="AU61" i="8"/>
  <c r="DH59" i="5"/>
  <c r="Y58" i="1"/>
  <c r="DJ59" i="5"/>
  <c r="AU61" i="14" a="1"/>
  <c r="AU61" i="14" s="1"/>
  <c r="BB61" i="14" a="1"/>
  <c r="BB61" i="14" s="1"/>
  <c r="BQ61" i="14" a="1"/>
  <c r="BQ61" i="14" s="1"/>
  <c r="BC61" i="14" a="1"/>
  <c r="BC61" i="14" s="1"/>
  <c r="AT61" i="14" a="1"/>
  <c r="AT61" i="14" s="1"/>
  <c r="BD61" i="14" a="1"/>
  <c r="BD61" i="14" s="1"/>
  <c r="BX61" i="14" a="1"/>
  <c r="BX61" i="14" s="1"/>
  <c r="BA61" i="14" a="1"/>
  <c r="BA61" i="14" s="1"/>
  <c r="AI61" i="14" a="1"/>
  <c r="AI61" i="14" s="1"/>
  <c r="AX61" i="14" a="1"/>
  <c r="AX61" i="14" s="1"/>
  <c r="AH61" i="14" a="1"/>
  <c r="AH61" i="14" s="1"/>
  <c r="AE61" i="14" a="1"/>
  <c r="AE61" i="14" s="1"/>
  <c r="AD61" i="14" a="1"/>
  <c r="AD61" i="14" s="1"/>
  <c r="AC61" i="14" a="1"/>
  <c r="AC61" i="14" s="1"/>
  <c r="AZ61" i="14" a="1"/>
  <c r="AZ61" i="14" s="1"/>
  <c r="AR61" i="14" a="1"/>
  <c r="AR61" i="14" s="1"/>
  <c r="AY61" i="14" a="1"/>
  <c r="AY61" i="14" s="1"/>
  <c r="R61" i="14" a="1"/>
  <c r="R61" i="14" s="1"/>
  <c r="AL61" i="1" s="1"/>
  <c r="AO61" i="14" a="1"/>
  <c r="AO61" i="14" s="1"/>
  <c r="W61" i="14" a="1"/>
  <c r="W61" i="14" s="1"/>
  <c r="N61" i="14" a="1"/>
  <c r="N61" i="14" s="1"/>
  <c r="AK61" i="14" a="1"/>
  <c r="AK61" i="14" s="1"/>
  <c r="P61" i="14" a="1"/>
  <c r="P61" i="14" s="1"/>
  <c r="AB61" i="14" a="1"/>
  <c r="AB61" i="14" s="1"/>
  <c r="AW61" i="14" a="1"/>
  <c r="AW61" i="14" s="1"/>
  <c r="BL61" i="14" a="1"/>
  <c r="BL61" i="14" s="1"/>
  <c r="BM61" i="14" a="1"/>
  <c r="BM61" i="14" s="1"/>
  <c r="AV61" i="14" a="1"/>
  <c r="AV61" i="14" s="1"/>
  <c r="AM61" i="14" a="1"/>
  <c r="AM61" i="14" s="1"/>
  <c r="BR61" i="14" a="1"/>
  <c r="BR61" i="14" s="1"/>
  <c r="U61" i="14" a="1"/>
  <c r="U61" i="14" s="1"/>
  <c r="BW61" i="14" a="1"/>
  <c r="BW61" i="14" s="1"/>
  <c r="AA61" i="14" a="1"/>
  <c r="AA61" i="14" s="1"/>
  <c r="BV61" i="14" a="1"/>
  <c r="BV61" i="14" s="1"/>
  <c r="BU61" i="14" a="1"/>
  <c r="BU61" i="14" s="1"/>
  <c r="M61" i="14" a="1"/>
  <c r="M61" i="14" s="1"/>
  <c r="BS61" i="14" a="1"/>
  <c r="BS61" i="14" s="1"/>
  <c r="X61" i="14" a="1"/>
  <c r="X61" i="14" s="1"/>
  <c r="AL61" i="14" a="1"/>
  <c r="AL61" i="14" s="1"/>
  <c r="AJ61" i="14" a="1"/>
  <c r="AJ61" i="14" s="1"/>
  <c r="AS61" i="14" a="1"/>
  <c r="AS61" i="14" s="1"/>
  <c r="BN61" i="14" a="1"/>
  <c r="BN61" i="14" s="1"/>
  <c r="Z61" i="14" a="1"/>
  <c r="Z61" i="14" s="1"/>
  <c r="BE61" i="14" a="1"/>
  <c r="BE61" i="14" s="1"/>
  <c r="Q61" i="14" a="1"/>
  <c r="Q61" i="14" s="1"/>
  <c r="BT61" i="14" a="1"/>
  <c r="BT61" i="14" s="1"/>
  <c r="O61" i="14" a="1"/>
  <c r="O61" i="14" s="1"/>
  <c r="V61" i="14" a="1"/>
  <c r="V61" i="14" s="1"/>
  <c r="BY61" i="14" a="1"/>
  <c r="BY61" i="14" s="1"/>
  <c r="BP61" i="14" a="1"/>
  <c r="BP61" i="14" s="1"/>
  <c r="AQ61" i="14" a="1"/>
  <c r="AQ61" i="14" s="1"/>
  <c r="S61" i="14" a="1"/>
  <c r="S61" i="14" s="1"/>
  <c r="AF61" i="14" a="1"/>
  <c r="AF61" i="14" s="1"/>
  <c r="BH61" i="14" a="1"/>
  <c r="BH61" i="14" s="1"/>
  <c r="AG61" i="14" a="1"/>
  <c r="AG61" i="14" s="1"/>
  <c r="BZ61" i="14" a="1"/>
  <c r="BZ61" i="14" s="1"/>
  <c r="Y61" i="14" a="1"/>
  <c r="Y61" i="14" s="1"/>
  <c r="T61" i="14" a="1"/>
  <c r="T61" i="14" s="1"/>
  <c r="AN61" i="14" a="1"/>
  <c r="AN61" i="14" s="1"/>
  <c r="BO61" i="14" a="1"/>
  <c r="BO61" i="14" s="1"/>
  <c r="BK61" i="14" a="1"/>
  <c r="BK61" i="14" s="1"/>
  <c r="BG61" i="14" a="1"/>
  <c r="BG61" i="14" s="1"/>
  <c r="BJ61" i="14" a="1"/>
  <c r="BJ61" i="14" s="1"/>
  <c r="AP61" i="14" a="1"/>
  <c r="AP61" i="14" s="1"/>
  <c r="BI61" i="14" a="1"/>
  <c r="BI61" i="14" s="1"/>
  <c r="BF61" i="14" a="1"/>
  <c r="BF61" i="14" s="1"/>
  <c r="K62" i="11"/>
  <c r="A62" i="14"/>
  <c r="CA62" i="14" s="1"/>
  <c r="A62" i="5"/>
  <c r="A62" i="9"/>
  <c r="A62" i="7"/>
  <c r="R62" i="7" s="1"/>
  <c r="A62" i="8"/>
  <c r="A62" i="2"/>
  <c r="AJ60" i="1"/>
  <c r="AF58" i="1"/>
  <c r="AM60" i="1"/>
  <c r="B55" i="14"/>
  <c r="CD55" i="8"/>
  <c r="AQ55" i="5"/>
  <c r="CR55" i="8"/>
  <c r="CS55" i="8" s="1"/>
  <c r="DB55" i="8"/>
  <c r="B59" i="5"/>
  <c r="B59" i="2"/>
  <c r="B59" i="1"/>
  <c r="BG59" i="1" s="1"/>
  <c r="AH59" i="5"/>
  <c r="BU59" i="5"/>
  <c r="BY61" i="11"/>
  <c r="K60" i="10"/>
  <c r="AA60" i="7"/>
  <c r="AF60" i="8" s="1"/>
  <c r="AV60" i="8" s="1"/>
  <c r="L60" i="11"/>
  <c r="I60" i="5"/>
  <c r="D59" i="10"/>
  <c r="F59" i="7"/>
  <c r="G60" i="5"/>
  <c r="D59" i="7"/>
  <c r="B59" i="10"/>
  <c r="H60" i="5"/>
  <c r="C59" i="10"/>
  <c r="E59" i="7"/>
  <c r="DB59" i="5"/>
  <c r="M60" i="5"/>
  <c r="H59" i="10"/>
  <c r="J59" i="7"/>
  <c r="J60" i="5"/>
  <c r="DC60" i="5" s="1"/>
  <c r="E59" i="10"/>
  <c r="G59" i="7"/>
  <c r="L60" i="5"/>
  <c r="G59" i="10"/>
  <c r="I59" i="7"/>
  <c r="K60" i="5"/>
  <c r="F59" i="10"/>
  <c r="H59" i="7"/>
  <c r="DD59" i="5"/>
  <c r="CS54" i="8"/>
  <c r="D57" i="9"/>
  <c r="CI56" i="8"/>
  <c r="DA56" i="8" s="1"/>
  <c r="DH57" i="8"/>
  <c r="DI57" i="8" s="1"/>
  <c r="CK57" i="8"/>
  <c r="BW57" i="8"/>
  <c r="AC57" i="1" s="1"/>
  <c r="BX56" i="8"/>
  <c r="CD56" i="8" s="1"/>
  <c r="N56" i="7"/>
  <c r="BH57" i="8"/>
  <c r="BU57" i="8" s="1"/>
  <c r="BI57" i="8"/>
  <c r="AH68" i="9"/>
  <c r="AI57" i="5"/>
  <c r="A57" i="11"/>
  <c r="AC57" i="8"/>
  <c r="BQ57" i="8" s="1"/>
  <c r="BT57" i="5"/>
  <c r="A57" i="10"/>
  <c r="AA57" i="10" s="1"/>
  <c r="B57" i="7"/>
  <c r="X57" i="8"/>
  <c r="DD57" i="8" s="1"/>
  <c r="E57" i="1"/>
  <c r="AJ57" i="5"/>
  <c r="AP57" i="5" s="1"/>
  <c r="B57" i="9"/>
  <c r="Y57" i="9" s="1"/>
  <c r="CH56" i="8"/>
  <c r="CZ56" i="8" s="1"/>
  <c r="CA56" i="8"/>
  <c r="CB56" i="8"/>
  <c r="CT56" i="8" s="1"/>
  <c r="BY56" i="8"/>
  <c r="BZ56" i="8"/>
  <c r="CC56" i="8"/>
  <c r="CV56" i="8" s="1"/>
  <c r="CW56" i="8" s="1"/>
  <c r="AE56" i="7"/>
  <c r="AF56" i="7" s="1"/>
  <c r="Q56" i="7"/>
  <c r="C58" i="5"/>
  <c r="F58" i="5" s="1"/>
  <c r="CZ59" i="5"/>
  <c r="AA55" i="11"/>
  <c r="AK55" i="1" s="1"/>
  <c r="Y55" i="11"/>
  <c r="AH55" i="1" s="1"/>
  <c r="AC55" i="11"/>
  <c r="U55" i="8" s="1"/>
  <c r="N56" i="11"/>
  <c r="AB55" i="11"/>
  <c r="Q55" i="8" s="1"/>
  <c r="Z55" i="11"/>
  <c r="AD55" i="11"/>
  <c r="AI55" i="1" s="1"/>
  <c r="DA58" i="5"/>
  <c r="DG58" i="5" s="1" a="1"/>
  <c r="DG58" i="5" s="1"/>
  <c r="AB59" i="1"/>
  <c r="DI59" i="5"/>
  <c r="AG68" i="9"/>
  <c r="AK68" i="9"/>
  <c r="AE130" i="9"/>
  <c r="N44" i="1"/>
  <c r="S61" i="2"/>
  <c r="N62" i="2"/>
  <c r="R62" i="2"/>
  <c r="Q61" i="2"/>
  <c r="P63" i="2"/>
  <c r="J63" i="10"/>
  <c r="N63" i="5" s="1"/>
  <c r="AQ84" i="9" l="1"/>
  <c r="CM84" i="8" s="1"/>
  <c r="AO57" i="5"/>
  <c r="AM57" i="5"/>
  <c r="AN57" i="5"/>
  <c r="AR57" i="5" s="1"/>
  <c r="AV58" i="5"/>
  <c r="AW58" i="5"/>
  <c r="AG56" i="7"/>
  <c r="CL58" i="8"/>
  <c r="AI80" i="9"/>
  <c r="AO80" i="8" s="1"/>
  <c r="G63" i="8"/>
  <c r="CF62" i="8"/>
  <c r="O62" i="2"/>
  <c r="AS61" i="5"/>
  <c r="BG62" i="5" a="1"/>
  <c r="BG62" i="5" s="1"/>
  <c r="AM69" i="9"/>
  <c r="BR57" i="8"/>
  <c r="BS57" i="8"/>
  <c r="AD60" i="1"/>
  <c r="BF62" i="5" a="1"/>
  <c r="BF62" i="5" s="1"/>
  <c r="AE61" i="1" s="1"/>
  <c r="BD62" i="5" a="1"/>
  <c r="BD62" i="5" s="1"/>
  <c r="BB62" i="5" a="1"/>
  <c r="BB62" i="5" s="1"/>
  <c r="BN62" i="5" a="1"/>
  <c r="BN62" i="5" s="1"/>
  <c r="BJ62" i="5" a="1"/>
  <c r="BJ62" i="5" s="1"/>
  <c r="BA62" i="5" a="1"/>
  <c r="BA62" i="5" s="1"/>
  <c r="CU62" i="5"/>
  <c r="CV62" i="5"/>
  <c r="CT62" i="5"/>
  <c r="CQ62" i="5"/>
  <c r="CS62" i="5"/>
  <c r="CR62" i="5"/>
  <c r="CW62" i="5"/>
  <c r="AY62" i="5" a="1"/>
  <c r="AY62" i="5" s="1"/>
  <c r="BL62" i="5" a="1"/>
  <c r="BL62" i="5" s="1"/>
  <c r="AZ62" i="5" a="1"/>
  <c r="AZ62" i="5" s="1"/>
  <c r="BK62" i="5" a="1"/>
  <c r="BK62" i="5" s="1"/>
  <c r="BC62" i="5" a="1"/>
  <c r="BC62" i="5" s="1"/>
  <c r="BE62" i="5" a="1"/>
  <c r="BE62" i="5" s="1"/>
  <c r="BM62" i="5" a="1"/>
  <c r="BM62" i="5" s="1"/>
  <c r="BQ62" i="5" a="1"/>
  <c r="BQ62" i="5" s="1"/>
  <c r="BI62" i="5" a="1"/>
  <c r="BI62" i="5" s="1"/>
  <c r="BH62" i="5" a="1"/>
  <c r="BH62" i="5" s="1"/>
  <c r="BO62" i="5" a="1"/>
  <c r="BO62" i="5" s="1"/>
  <c r="V60" i="2"/>
  <c r="F65" i="8"/>
  <c r="BP61" i="5" a="1"/>
  <c r="BP61" i="5" s="1"/>
  <c r="J61" i="2" s="1"/>
  <c r="O66" i="1"/>
  <c r="BX57" i="8"/>
  <c r="CE57" i="8" s="1"/>
  <c r="BT57" i="8"/>
  <c r="BO57" i="8"/>
  <c r="BP57" i="8"/>
  <c r="BM57" i="8"/>
  <c r="BN57" i="8"/>
  <c r="BK57" i="8"/>
  <c r="BL57" i="8"/>
  <c r="BJ57" i="8"/>
  <c r="AC57" i="10"/>
  <c r="X57" i="10" s="1"/>
  <c r="AH61" i="11"/>
  <c r="DF60" i="5"/>
  <c r="DB60" i="5"/>
  <c r="DE60" i="5"/>
  <c r="AM61" i="1"/>
  <c r="DH60" i="5"/>
  <c r="AF59" i="1"/>
  <c r="BT62" i="14" a="1"/>
  <c r="BT62" i="14" s="1"/>
  <c r="AT62" i="14" a="1"/>
  <c r="AT62" i="14" s="1"/>
  <c r="N62" i="14" a="1"/>
  <c r="N62" i="14" s="1"/>
  <c r="AR62" i="14" a="1"/>
  <c r="AR62" i="14" s="1"/>
  <c r="AK62" i="14" a="1"/>
  <c r="AK62" i="14" s="1"/>
  <c r="AF62" i="14" a="1"/>
  <c r="AF62" i="14" s="1"/>
  <c r="Z62" i="14" a="1"/>
  <c r="Z62" i="14" s="1"/>
  <c r="BU62" i="14" a="1"/>
  <c r="BU62" i="14" s="1"/>
  <c r="M62" i="14" a="1"/>
  <c r="M62" i="14" s="1"/>
  <c r="BK62" i="14" a="1"/>
  <c r="BK62" i="14" s="1"/>
  <c r="BJ62" i="14" a="1"/>
  <c r="BJ62" i="14" s="1"/>
  <c r="BA62" i="14" a="1"/>
  <c r="BA62" i="14" s="1"/>
  <c r="AZ62" i="14" a="1"/>
  <c r="AZ62" i="14" s="1"/>
  <c r="BX62" i="14" a="1"/>
  <c r="BX62" i="14" s="1"/>
  <c r="AI62" i="14" a="1"/>
  <c r="AI62" i="14" s="1"/>
  <c r="AO62" i="14" a="1"/>
  <c r="AO62" i="14" s="1"/>
  <c r="Y62" i="14" a="1"/>
  <c r="Y62" i="14" s="1"/>
  <c r="X62" i="14" a="1"/>
  <c r="X62" i="14" s="1"/>
  <c r="AL62" i="14" a="1"/>
  <c r="AL62" i="14" s="1"/>
  <c r="AB62" i="14" a="1"/>
  <c r="AB62" i="14" s="1"/>
  <c r="AQ62" i="14" a="1"/>
  <c r="AQ62" i="14" s="1"/>
  <c r="BE62" i="14" a="1"/>
  <c r="BE62" i="14" s="1"/>
  <c r="AG62" i="14" a="1"/>
  <c r="AG62" i="14" s="1"/>
  <c r="BS62" i="14" a="1"/>
  <c r="BS62" i="14" s="1"/>
  <c r="AE62" i="14" a="1"/>
  <c r="AE62" i="14" s="1"/>
  <c r="BQ62" i="14" a="1"/>
  <c r="BQ62" i="14" s="1"/>
  <c r="AS62" i="14" a="1"/>
  <c r="AS62" i="14" s="1"/>
  <c r="S62" i="14" a="1"/>
  <c r="S62" i="14" s="1"/>
  <c r="AX62" i="14" a="1"/>
  <c r="AX62" i="14" s="1"/>
  <c r="Q62" i="14" a="1"/>
  <c r="Q62" i="14" s="1"/>
  <c r="AV62" i="14" a="1"/>
  <c r="AV62" i="14" s="1"/>
  <c r="BR62" i="14" a="1"/>
  <c r="BR62" i="14" s="1"/>
  <c r="BP62" i="14" a="1"/>
  <c r="BP62" i="14" s="1"/>
  <c r="T62" i="14" a="1"/>
  <c r="T62" i="14" s="1"/>
  <c r="BW62" i="14" a="1"/>
  <c r="BW62" i="14" s="1"/>
  <c r="R62" i="14" a="1"/>
  <c r="R62" i="14" s="1"/>
  <c r="AL62" i="1" s="1"/>
  <c r="AU62" i="14" a="1"/>
  <c r="AU62" i="14" s="1"/>
  <c r="BB62" i="14" a="1"/>
  <c r="BB62" i="14" s="1"/>
  <c r="U62" i="14" a="1"/>
  <c r="U62" i="14" s="1"/>
  <c r="BH62" i="14" a="1"/>
  <c r="BH62" i="14" s="1"/>
  <c r="AY62" i="14" a="1"/>
  <c r="AY62" i="14" s="1"/>
  <c r="AP62" i="14" a="1"/>
  <c r="AP62" i="14" s="1"/>
  <c r="AM62" i="14" a="1"/>
  <c r="AM62" i="14" s="1"/>
  <c r="AD62" i="14" a="1"/>
  <c r="AD62" i="14" s="1"/>
  <c r="AJ62" i="14" a="1"/>
  <c r="AJ62" i="14" s="1"/>
  <c r="BZ62" i="14" a="1"/>
  <c r="BZ62" i="14" s="1"/>
  <c r="AA62" i="14" a="1"/>
  <c r="AA62" i="14" s="1"/>
  <c r="BM62" i="14" a="1"/>
  <c r="BM62" i="14" s="1"/>
  <c r="BC62" i="14" a="1"/>
  <c r="BC62" i="14" s="1"/>
  <c r="V62" i="14" a="1"/>
  <c r="V62" i="14" s="1"/>
  <c r="AC62" i="14" a="1"/>
  <c r="AC62" i="14" s="1"/>
  <c r="AN62" i="14" a="1"/>
  <c r="AN62" i="14" s="1"/>
  <c r="BF62" i="14" a="1"/>
  <c r="BF62" i="14" s="1"/>
  <c r="AH62" i="14" a="1"/>
  <c r="AH62" i="14" s="1"/>
  <c r="W62" i="14" a="1"/>
  <c r="W62" i="14" s="1"/>
  <c r="BD62" i="14" a="1"/>
  <c r="BD62" i="14" s="1"/>
  <c r="BY62" i="14" a="1"/>
  <c r="BY62" i="14" s="1"/>
  <c r="BG62" i="14" a="1"/>
  <c r="BG62" i="14" s="1"/>
  <c r="BV62" i="14" a="1"/>
  <c r="BV62" i="14" s="1"/>
  <c r="AW62" i="14" a="1"/>
  <c r="AW62" i="14" s="1"/>
  <c r="O62" i="14" a="1"/>
  <c r="O62" i="14" s="1"/>
  <c r="BI62" i="14" a="1"/>
  <c r="BI62" i="14" s="1"/>
  <c r="P62" i="14" a="1"/>
  <c r="P62" i="14" s="1"/>
  <c r="BO62" i="14" a="1"/>
  <c r="BO62" i="14" s="1"/>
  <c r="BN62" i="14" a="1"/>
  <c r="BN62" i="14" s="1"/>
  <c r="BL62" i="14" a="1"/>
  <c r="BL62" i="14" s="1"/>
  <c r="AJ61" i="1"/>
  <c r="K63" i="11"/>
  <c r="A63" i="14"/>
  <c r="CA63" i="14" s="1"/>
  <c r="A63" i="5"/>
  <c r="A63" i="8"/>
  <c r="A63" i="9"/>
  <c r="A63" i="2"/>
  <c r="A63" i="7"/>
  <c r="R63" i="7" s="1"/>
  <c r="Y59" i="1"/>
  <c r="DJ60" i="5"/>
  <c r="W59" i="1"/>
  <c r="AE62" i="8"/>
  <c r="AU62" i="8"/>
  <c r="AK61" i="11"/>
  <c r="CX55" i="8"/>
  <c r="CY55" i="8" s="1"/>
  <c r="B60" i="5"/>
  <c r="B60" i="2"/>
  <c r="BU60" i="5"/>
  <c r="B60" i="1"/>
  <c r="BG60" i="1" s="1"/>
  <c r="AH60" i="5"/>
  <c r="BY62" i="11"/>
  <c r="K61" i="10"/>
  <c r="AA61" i="7"/>
  <c r="AF61" i="8" s="1"/>
  <c r="AV61" i="8" s="1"/>
  <c r="L61" i="11"/>
  <c r="H61" i="5"/>
  <c r="C60" i="10"/>
  <c r="E60" i="7"/>
  <c r="J61" i="5"/>
  <c r="DC61" i="5" s="1"/>
  <c r="E60" i="10"/>
  <c r="G60" i="7"/>
  <c r="K61" i="5"/>
  <c r="F60" i="10"/>
  <c r="H60" i="7"/>
  <c r="DD60" i="5"/>
  <c r="G61" i="5"/>
  <c r="B60" i="10"/>
  <c r="D60" i="7"/>
  <c r="M61" i="5"/>
  <c r="H60" i="10"/>
  <c r="J60" i="7"/>
  <c r="L61" i="5"/>
  <c r="G60" i="10"/>
  <c r="I60" i="7"/>
  <c r="I61" i="5"/>
  <c r="D60" i="10"/>
  <c r="F60" i="7"/>
  <c r="CQ56" i="8"/>
  <c r="CU56" i="8" s="1"/>
  <c r="D58" i="9"/>
  <c r="DB56" i="8"/>
  <c r="CI57" i="8"/>
  <c r="DA57" i="8" s="1"/>
  <c r="DH58" i="8"/>
  <c r="DI58" i="8" s="1"/>
  <c r="CE56" i="8"/>
  <c r="CX56" i="8" s="1"/>
  <c r="CY56" i="8" s="1"/>
  <c r="CK58" i="8"/>
  <c r="BW58" i="8"/>
  <c r="AC58" i="1" s="1"/>
  <c r="N57" i="7"/>
  <c r="BH58" i="8"/>
  <c r="BU58" i="8" s="1"/>
  <c r="BI58" i="8"/>
  <c r="AH69" i="9"/>
  <c r="B56" i="14"/>
  <c r="AQ56" i="5"/>
  <c r="CR56" i="8"/>
  <c r="C59" i="5"/>
  <c r="F59" i="5" s="1"/>
  <c r="CZ60" i="5"/>
  <c r="AI58" i="5"/>
  <c r="A58" i="11"/>
  <c r="B58" i="9"/>
  <c r="Y58" i="9" s="1"/>
  <c r="AC58" i="8"/>
  <c r="BQ58" i="8" s="1"/>
  <c r="BT58" i="5"/>
  <c r="AJ58" i="5"/>
  <c r="AP58" i="5" s="1"/>
  <c r="A58" i="10"/>
  <c r="AA58" i="10" s="1"/>
  <c r="B58" i="7"/>
  <c r="E58" i="1"/>
  <c r="X58" i="8"/>
  <c r="DD58" i="8" s="1"/>
  <c r="CH57" i="8"/>
  <c r="CZ57" i="8" s="1"/>
  <c r="CA57" i="8"/>
  <c r="CB57" i="8"/>
  <c r="CT57" i="8" s="1"/>
  <c r="BY57" i="8"/>
  <c r="BZ57" i="8"/>
  <c r="CC57" i="8"/>
  <c r="CV57" i="8" s="1"/>
  <c r="CW57" i="8" s="1"/>
  <c r="AB56" i="11"/>
  <c r="Q56" i="8" s="1"/>
  <c r="AA56" i="11"/>
  <c r="AK56" i="1" s="1"/>
  <c r="AD56" i="11"/>
  <c r="AI56" i="1" s="1"/>
  <c r="AC56" i="11"/>
  <c r="U56" i="8" s="1"/>
  <c r="Y56" i="11"/>
  <c r="AH56" i="1" s="1"/>
  <c r="N57" i="11"/>
  <c r="Z56" i="11"/>
  <c r="Q57" i="7"/>
  <c r="AE57" i="7"/>
  <c r="AF57" i="7" s="1"/>
  <c r="AB60" i="1"/>
  <c r="DI60" i="5"/>
  <c r="DA59" i="5"/>
  <c r="DG59" i="5" s="1" a="1"/>
  <c r="DG59" i="5" s="1"/>
  <c r="AG69" i="9"/>
  <c r="AK69" i="9"/>
  <c r="AE131" i="9"/>
  <c r="N45" i="1"/>
  <c r="S62" i="2"/>
  <c r="N63" i="2"/>
  <c r="R63" i="2"/>
  <c r="Q62" i="2"/>
  <c r="J64" i="10"/>
  <c r="N64" i="5" s="1"/>
  <c r="P64" i="2"/>
  <c r="AQ85" i="9" l="1"/>
  <c r="CM85" i="8" s="1"/>
  <c r="AO58" i="5"/>
  <c r="AM58" i="5"/>
  <c r="AN58" i="5"/>
  <c r="AR58" i="5" s="1"/>
  <c r="AV59" i="5"/>
  <c r="AW59" i="5"/>
  <c r="AG57" i="7"/>
  <c r="CL59" i="8"/>
  <c r="AI81" i="9"/>
  <c r="AO81" i="8" s="1"/>
  <c r="G64" i="8"/>
  <c r="CF63" i="8"/>
  <c r="O63" i="2"/>
  <c r="AS62" i="5"/>
  <c r="AM70" i="9"/>
  <c r="BR58" i="8"/>
  <c r="BS58" i="8"/>
  <c r="AD61" i="1"/>
  <c r="BO63" i="5" a="1"/>
  <c r="BO63" i="5" s="1"/>
  <c r="CV63" i="5"/>
  <c r="CU63" i="5"/>
  <c r="CQ63" i="5"/>
  <c r="CT63" i="5"/>
  <c r="CW63" i="5"/>
  <c r="CR63" i="5"/>
  <c r="CS63" i="5"/>
  <c r="AY63" i="5" a="1"/>
  <c r="AY63" i="5" s="1"/>
  <c r="BL63" i="5" a="1"/>
  <c r="BL63" i="5" s="1"/>
  <c r="BH63" i="5" a="1"/>
  <c r="BH63" i="5" s="1"/>
  <c r="BI63" i="5" a="1"/>
  <c r="BI63" i="5" s="1"/>
  <c r="BA63" i="5" a="1"/>
  <c r="BA63" i="5" s="1"/>
  <c r="BQ63" i="5" a="1"/>
  <c r="BQ63" i="5" s="1"/>
  <c r="BJ63" i="5" a="1"/>
  <c r="BJ63" i="5" s="1"/>
  <c r="BM63" i="5" a="1"/>
  <c r="BM63" i="5" s="1"/>
  <c r="BN63" i="5" a="1"/>
  <c r="BN63" i="5" s="1"/>
  <c r="BE63" i="5" a="1"/>
  <c r="BE63" i="5" s="1"/>
  <c r="BB63" i="5" a="1"/>
  <c r="BB63" i="5" s="1"/>
  <c r="BC63" i="5" a="1"/>
  <c r="BC63" i="5" s="1"/>
  <c r="BG63" i="5" a="1"/>
  <c r="BG63" i="5" s="1"/>
  <c r="BK63" i="5" a="1"/>
  <c r="BK63" i="5" s="1"/>
  <c r="BD63" i="5" a="1"/>
  <c r="BD63" i="5" s="1"/>
  <c r="AZ63" i="5" a="1"/>
  <c r="AZ63" i="5" s="1"/>
  <c r="BF63" i="5" a="1"/>
  <c r="BF63" i="5" s="1"/>
  <c r="AE62" i="1" s="1"/>
  <c r="V61" i="2"/>
  <c r="F66" i="8"/>
  <c r="BP62" i="5" a="1"/>
  <c r="BP62" i="5" s="1"/>
  <c r="J62" i="2" s="1"/>
  <c r="O67" i="1"/>
  <c r="CD57" i="8"/>
  <c r="BX58" i="8"/>
  <c r="CD58" i="8" s="1"/>
  <c r="BT58" i="8"/>
  <c r="BO58" i="8"/>
  <c r="BP58" i="8"/>
  <c r="BM58" i="8"/>
  <c r="BN58" i="8"/>
  <c r="BK58" i="8"/>
  <c r="BL58" i="8"/>
  <c r="BJ58" i="8"/>
  <c r="AC58" i="10"/>
  <c r="X58" i="10" s="1"/>
  <c r="AH62" i="11"/>
  <c r="AK62" i="11"/>
  <c r="DB61" i="5"/>
  <c r="DE61" i="5"/>
  <c r="AJ62" i="1"/>
  <c r="DF61" i="5"/>
  <c r="BS63" i="14" a="1"/>
  <c r="BS63" i="14" s="1"/>
  <c r="BT63" i="14" a="1"/>
  <c r="BT63" i="14" s="1"/>
  <c r="W63" i="14" a="1"/>
  <c r="W63" i="14" s="1"/>
  <c r="BQ63" i="14" a="1"/>
  <c r="BQ63" i="14" s="1"/>
  <c r="AC63" i="14" a="1"/>
  <c r="AC63" i="14" s="1"/>
  <c r="AZ63" i="14" a="1"/>
  <c r="AZ63" i="14" s="1"/>
  <c r="BV63" i="14" a="1"/>
  <c r="BV63" i="14" s="1"/>
  <c r="BL63" i="14" a="1"/>
  <c r="BL63" i="14" s="1"/>
  <c r="BM63" i="14" a="1"/>
  <c r="BM63" i="14" s="1"/>
  <c r="AM63" i="14" a="1"/>
  <c r="AM63" i="14" s="1"/>
  <c r="BB63" i="14" a="1"/>
  <c r="BB63" i="14" s="1"/>
  <c r="BD63" i="14" a="1"/>
  <c r="BD63" i="14" s="1"/>
  <c r="BX63" i="14" a="1"/>
  <c r="BX63" i="14" s="1"/>
  <c r="AJ63" i="14" a="1"/>
  <c r="AJ63" i="14" s="1"/>
  <c r="BG63" i="14" a="1"/>
  <c r="BG63" i="14" s="1"/>
  <c r="AO63" i="14" a="1"/>
  <c r="AO63" i="14" s="1"/>
  <c r="AW63" i="14" a="1"/>
  <c r="AW63" i="14" s="1"/>
  <c r="AU63" i="14" a="1"/>
  <c r="AU63" i="14" s="1"/>
  <c r="N63" i="14" a="1"/>
  <c r="N63" i="14" s="1"/>
  <c r="BI63" i="14" a="1"/>
  <c r="BI63" i="14" s="1"/>
  <c r="BH63" i="14" a="1"/>
  <c r="BH63" i="14" s="1"/>
  <c r="BZ63" i="14" a="1"/>
  <c r="BZ63" i="14" s="1"/>
  <c r="AF63" i="14" a="1"/>
  <c r="AF63" i="14" s="1"/>
  <c r="AP63" i="14" a="1"/>
  <c r="AP63" i="14" s="1"/>
  <c r="BU63" i="14" a="1"/>
  <c r="BU63" i="14" s="1"/>
  <c r="BK63" i="14" a="1"/>
  <c r="BK63" i="14" s="1"/>
  <c r="X63" i="14" a="1"/>
  <c r="X63" i="14" s="1"/>
  <c r="BA63" i="14" a="1"/>
  <c r="BA63" i="14" s="1"/>
  <c r="P63" i="14" a="1"/>
  <c r="P63" i="14" s="1"/>
  <c r="T63" i="14" a="1"/>
  <c r="T63" i="14" s="1"/>
  <c r="AQ63" i="14" a="1"/>
  <c r="AQ63" i="14" s="1"/>
  <c r="BF63" i="14" a="1"/>
  <c r="BF63" i="14" s="1"/>
  <c r="R63" i="14" a="1"/>
  <c r="R63" i="14" s="1"/>
  <c r="AL63" i="1" s="1"/>
  <c r="BC63" i="14" a="1"/>
  <c r="BC63" i="14" s="1"/>
  <c r="AD63" i="14" a="1"/>
  <c r="AD63" i="14" s="1"/>
  <c r="AS63" i="14" a="1"/>
  <c r="AS63" i="14" s="1"/>
  <c r="BY63" i="14" a="1"/>
  <c r="BY63" i="14" s="1"/>
  <c r="AY63" i="14" a="1"/>
  <c r="AY63" i="14" s="1"/>
  <c r="S63" i="14" a="1"/>
  <c r="S63" i="14" s="1"/>
  <c r="AH63" i="14" a="1"/>
  <c r="AH63" i="14" s="1"/>
  <c r="Q63" i="14" a="1"/>
  <c r="Q63" i="14" s="1"/>
  <c r="AE63" i="14" a="1"/>
  <c r="AE63" i="14" s="1"/>
  <c r="BJ63" i="14" a="1"/>
  <c r="BJ63" i="14" s="1"/>
  <c r="U63" i="14" a="1"/>
  <c r="U63" i="14" s="1"/>
  <c r="BP63" i="14" a="1"/>
  <c r="BP63" i="14" s="1"/>
  <c r="AN63" i="14" a="1"/>
  <c r="AN63" i="14" s="1"/>
  <c r="BW63" i="14" a="1"/>
  <c r="BW63" i="14" s="1"/>
  <c r="AA63" i="14" a="1"/>
  <c r="AA63" i="14" s="1"/>
  <c r="M63" i="14" a="1"/>
  <c r="M63" i="14" s="1"/>
  <c r="BR63" i="14" a="1"/>
  <c r="BR63" i="14" s="1"/>
  <c r="AT63" i="14" a="1"/>
  <c r="AT63" i="14" s="1"/>
  <c r="AK63" i="14" a="1"/>
  <c r="AK63" i="14" s="1"/>
  <c r="AR63" i="14" a="1"/>
  <c r="AR63" i="14" s="1"/>
  <c r="BO63" i="14" a="1"/>
  <c r="BO63" i="14" s="1"/>
  <c r="BN63" i="14" a="1"/>
  <c r="BN63" i="14" s="1"/>
  <c r="AX63" i="14" a="1"/>
  <c r="AX63" i="14" s="1"/>
  <c r="AG63" i="14" a="1"/>
  <c r="AG63" i="14" s="1"/>
  <c r="Z63" i="14" a="1"/>
  <c r="Z63" i="14" s="1"/>
  <c r="BE63" i="14" a="1"/>
  <c r="BE63" i="14" s="1"/>
  <c r="AV63" i="14" a="1"/>
  <c r="AV63" i="14" s="1"/>
  <c r="Y63" i="14" a="1"/>
  <c r="Y63" i="14" s="1"/>
  <c r="O63" i="14" a="1"/>
  <c r="O63" i="14" s="1"/>
  <c r="AL63" i="14" a="1"/>
  <c r="AL63" i="14" s="1"/>
  <c r="V63" i="14" a="1"/>
  <c r="V63" i="14" s="1"/>
  <c r="AB63" i="14" a="1"/>
  <c r="AB63" i="14" s="1"/>
  <c r="AI63" i="14" a="1"/>
  <c r="AI63" i="14" s="1"/>
  <c r="K64" i="11"/>
  <c r="A64" i="14"/>
  <c r="CA64" i="14" s="1"/>
  <c r="A64" i="8"/>
  <c r="A64" i="2"/>
  <c r="A64" i="5"/>
  <c r="A64" i="9"/>
  <c r="A64" i="7"/>
  <c r="R64" i="7" s="1"/>
  <c r="AF60" i="1"/>
  <c r="W60" i="1"/>
  <c r="DH61" i="5"/>
  <c r="Y60" i="1"/>
  <c r="DJ61" i="5"/>
  <c r="AE63" i="8"/>
  <c r="AU63" i="8"/>
  <c r="AM62" i="1"/>
  <c r="B61" i="5"/>
  <c r="B61" i="2"/>
  <c r="B61" i="1"/>
  <c r="BG61" i="1" s="1"/>
  <c r="BU61" i="5"/>
  <c r="AH61" i="5"/>
  <c r="BY63" i="11"/>
  <c r="K62" i="10"/>
  <c r="AA62" i="7"/>
  <c r="AF62" i="8" s="1"/>
  <c r="AV62" i="8" s="1"/>
  <c r="L62" i="11"/>
  <c r="M62" i="5"/>
  <c r="H61" i="10"/>
  <c r="J61" i="7"/>
  <c r="K62" i="5"/>
  <c r="F61" i="10"/>
  <c r="H61" i="7"/>
  <c r="DD61" i="5"/>
  <c r="I62" i="5"/>
  <c r="D61" i="10"/>
  <c r="F61" i="7"/>
  <c r="G62" i="5"/>
  <c r="D61" i="7"/>
  <c r="B61" i="10"/>
  <c r="J62" i="5"/>
  <c r="DC62" i="5" s="1"/>
  <c r="E61" i="10"/>
  <c r="G61" i="7"/>
  <c r="L62" i="5"/>
  <c r="G61" i="10"/>
  <c r="I61" i="7"/>
  <c r="H62" i="5"/>
  <c r="C61" i="10"/>
  <c r="E61" i="7"/>
  <c r="CS56" i="8"/>
  <c r="CQ57" i="8"/>
  <c r="CU57" i="8" s="1"/>
  <c r="D59" i="9"/>
  <c r="DB57" i="8"/>
  <c r="CI58" i="8"/>
  <c r="DA58" i="8" s="1"/>
  <c r="DH59" i="8"/>
  <c r="DI59" i="8" s="1"/>
  <c r="CK59" i="8"/>
  <c r="BW59" i="8"/>
  <c r="AC59" i="1" s="1"/>
  <c r="N58" i="7"/>
  <c r="BH59" i="8"/>
  <c r="BU59" i="8" s="1"/>
  <c r="BI59" i="8"/>
  <c r="AH70" i="9"/>
  <c r="B57" i="14"/>
  <c r="AQ57" i="5"/>
  <c r="CR57" i="8"/>
  <c r="CZ61" i="5"/>
  <c r="C60" i="5"/>
  <c r="F60" i="5" s="1"/>
  <c r="AE58" i="7"/>
  <c r="AF58" i="7" s="1"/>
  <c r="Q58" i="7"/>
  <c r="Y57" i="11"/>
  <c r="AH57" i="1" s="1"/>
  <c r="N58" i="11"/>
  <c r="AB57" i="11"/>
  <c r="Q57" i="8" s="1"/>
  <c r="Z57" i="11"/>
  <c r="AD57" i="11"/>
  <c r="AI57" i="1" s="1"/>
  <c r="AA57" i="11"/>
  <c r="AK57" i="1" s="1"/>
  <c r="AC57" i="11"/>
  <c r="U57" i="8" s="1"/>
  <c r="BY58" i="8"/>
  <c r="BZ58" i="8"/>
  <c r="CB58" i="8"/>
  <c r="CT58" i="8" s="1"/>
  <c r="CC58" i="8"/>
  <c r="CV58" i="8" s="1"/>
  <c r="CW58" i="8" s="1"/>
  <c r="CH58" i="8"/>
  <c r="CZ58" i="8" s="1"/>
  <c r="CA58" i="8"/>
  <c r="A59" i="11"/>
  <c r="A59" i="10"/>
  <c r="AA59" i="10" s="1"/>
  <c r="B59" i="7"/>
  <c r="AC59" i="8"/>
  <c r="BQ59" i="8" s="1"/>
  <c r="BT59" i="5"/>
  <c r="X59" i="8"/>
  <c r="DD59" i="8" s="1"/>
  <c r="E59" i="1"/>
  <c r="AJ59" i="5"/>
  <c r="AP59" i="5" s="1"/>
  <c r="B59" i="9"/>
  <c r="Y59" i="9" s="1"/>
  <c r="AI59" i="5"/>
  <c r="DA60" i="5"/>
  <c r="DG60" i="5" s="1" a="1"/>
  <c r="DG60" i="5" s="1"/>
  <c r="AB61" i="1"/>
  <c r="DI61" i="5"/>
  <c r="AG70" i="9"/>
  <c r="AK70" i="9"/>
  <c r="AE132" i="9"/>
  <c r="N46" i="1"/>
  <c r="S63" i="2"/>
  <c r="N64" i="2"/>
  <c r="R64" i="2"/>
  <c r="Q63" i="2"/>
  <c r="J65" i="10"/>
  <c r="N65" i="5" s="1"/>
  <c r="P65" i="2"/>
  <c r="AQ86" i="9" l="1"/>
  <c r="CM86" i="8" s="1"/>
  <c r="AO59" i="5"/>
  <c r="AM59" i="5"/>
  <c r="AN59" i="5"/>
  <c r="AR59" i="5" s="1"/>
  <c r="AV60" i="5"/>
  <c r="AW60" i="5"/>
  <c r="AG58" i="7"/>
  <c r="CL60" i="8"/>
  <c r="AI82" i="9"/>
  <c r="AO82" i="8" s="1"/>
  <c r="G65" i="8"/>
  <c r="CF64" i="8"/>
  <c r="O64" i="2"/>
  <c r="AS63" i="5"/>
  <c r="BM64" i="5" a="1"/>
  <c r="BM64" i="5" s="1"/>
  <c r="AM71" i="9"/>
  <c r="BR59" i="8"/>
  <c r="BS59" i="8"/>
  <c r="AD62" i="1"/>
  <c r="BQ64" i="5" a="1"/>
  <c r="BQ64" i="5" s="1"/>
  <c r="BA64" i="5" a="1"/>
  <c r="BA64" i="5" s="1"/>
  <c r="BH64" i="5" a="1"/>
  <c r="BH64" i="5" s="1"/>
  <c r="BF64" i="5" a="1"/>
  <c r="BF64" i="5" s="1"/>
  <c r="AE63" i="1" s="1"/>
  <c r="BI64" i="5" a="1"/>
  <c r="BI64" i="5" s="1"/>
  <c r="AZ64" i="5" a="1"/>
  <c r="AZ64" i="5" s="1"/>
  <c r="BD64" i="5" a="1"/>
  <c r="BD64" i="5" s="1"/>
  <c r="BK64" i="5" a="1"/>
  <c r="BK64" i="5" s="1"/>
  <c r="BG64" i="5" a="1"/>
  <c r="BG64" i="5" s="1"/>
  <c r="BJ64" i="5" a="1"/>
  <c r="BJ64" i="5" s="1"/>
  <c r="BC64" i="5" a="1"/>
  <c r="BC64" i="5" s="1"/>
  <c r="BB64" i="5" a="1"/>
  <c r="BB64" i="5" s="1"/>
  <c r="BE64" i="5" a="1"/>
  <c r="BE64" i="5" s="1"/>
  <c r="CV64" i="5"/>
  <c r="CT64" i="5"/>
  <c r="CS64" i="5"/>
  <c r="CR64" i="5"/>
  <c r="CU64" i="5"/>
  <c r="CQ64" i="5"/>
  <c r="CW64" i="5"/>
  <c r="BL64" i="5" a="1"/>
  <c r="BL64" i="5" s="1"/>
  <c r="AY64" i="5" a="1"/>
  <c r="AY64" i="5" s="1"/>
  <c r="BN64" i="5" a="1"/>
  <c r="BN64" i="5" s="1"/>
  <c r="BO64" i="5" a="1"/>
  <c r="BO64" i="5" s="1"/>
  <c r="V62" i="2"/>
  <c r="CX57" i="8"/>
  <c r="CY57" i="8" s="1"/>
  <c r="F67" i="8"/>
  <c r="BP63" i="5" a="1"/>
  <c r="BP63" i="5" s="1"/>
  <c r="J63" i="2" s="1"/>
  <c r="O68" i="1"/>
  <c r="CE58" i="8"/>
  <c r="CX58" i="8" s="1"/>
  <c r="CY58" i="8" s="1"/>
  <c r="BX59" i="8"/>
  <c r="CD59" i="8" s="1"/>
  <c r="BT59" i="8"/>
  <c r="BO59" i="8"/>
  <c r="BP59" i="8"/>
  <c r="BM59" i="8"/>
  <c r="BN59" i="8"/>
  <c r="BK59" i="8"/>
  <c r="BL59" i="8"/>
  <c r="BJ59" i="8"/>
  <c r="AC59" i="10"/>
  <c r="X59" i="10" s="1"/>
  <c r="AH63" i="11"/>
  <c r="AK63" i="11"/>
  <c r="DF62" i="5"/>
  <c r="AM63" i="1"/>
  <c r="DB62" i="5"/>
  <c r="AJ63" i="1"/>
  <c r="DE62" i="5"/>
  <c r="AM64" i="14" a="1"/>
  <c r="AM64" i="14" s="1"/>
  <c r="V64" i="14" a="1"/>
  <c r="V64" i="14" s="1"/>
  <c r="BT64" i="14" a="1"/>
  <c r="BT64" i="14" s="1"/>
  <c r="X64" i="14" a="1"/>
  <c r="X64" i="14" s="1"/>
  <c r="BC64" i="14" a="1"/>
  <c r="BC64" i="14" s="1"/>
  <c r="AD64" i="14" a="1"/>
  <c r="AD64" i="14" s="1"/>
  <c r="BI64" i="14" a="1"/>
  <c r="BI64" i="14" s="1"/>
  <c r="AB64" i="14" a="1"/>
  <c r="AB64" i="14" s="1"/>
  <c r="T64" i="14" a="1"/>
  <c r="T64" i="14" s="1"/>
  <c r="BN64" i="14" a="1"/>
  <c r="BN64" i="14" s="1"/>
  <c r="AW64" i="14" a="1"/>
  <c r="AW64" i="14" s="1"/>
  <c r="Q64" i="14" a="1"/>
  <c r="Q64" i="14" s="1"/>
  <c r="AE64" i="14" a="1"/>
  <c r="AE64" i="14" s="1"/>
  <c r="AT64" i="14" a="1"/>
  <c r="AT64" i="14" s="1"/>
  <c r="AK64" i="14" a="1"/>
  <c r="AK64" i="14" s="1"/>
  <c r="P64" i="14" a="1"/>
  <c r="P64" i="14" s="1"/>
  <c r="AQ64" i="14" a="1"/>
  <c r="AQ64" i="14" s="1"/>
  <c r="BG64" i="14" a="1"/>
  <c r="BG64" i="14" s="1"/>
  <c r="BF64" i="14" a="1"/>
  <c r="BF64" i="14" s="1"/>
  <c r="AO64" i="14" a="1"/>
  <c r="AO64" i="14" s="1"/>
  <c r="AU64" i="14" a="1"/>
  <c r="AU64" i="14" s="1"/>
  <c r="AL64" i="14" a="1"/>
  <c r="AL64" i="14" s="1"/>
  <c r="AC64" i="14" a="1"/>
  <c r="AC64" i="14" s="1"/>
  <c r="BY64" i="14" a="1"/>
  <c r="BY64" i="14" s="1"/>
  <c r="S64" i="14" a="1"/>
  <c r="S64" i="14" s="1"/>
  <c r="AF64" i="14" a="1"/>
  <c r="AF64" i="14" s="1"/>
  <c r="AX64" i="14" a="1"/>
  <c r="AX64" i="14" s="1"/>
  <c r="AG64" i="14" a="1"/>
  <c r="AG64" i="14" s="1"/>
  <c r="O64" i="14" a="1"/>
  <c r="O64" i="14" s="1"/>
  <c r="N64" i="14" a="1"/>
  <c r="N64" i="14" s="1"/>
  <c r="AJ64" i="14" a="1"/>
  <c r="AJ64" i="14" s="1"/>
  <c r="AZ64" i="14" a="1"/>
  <c r="AZ64" i="14" s="1"/>
  <c r="AY64" i="14" a="1"/>
  <c r="AY64" i="14" s="1"/>
  <c r="BU64" i="14" a="1"/>
  <c r="BU64" i="14" s="1"/>
  <c r="M64" i="14" a="1"/>
  <c r="M64" i="14" s="1"/>
  <c r="BJ64" i="14" a="1"/>
  <c r="BJ64" i="14" s="1"/>
  <c r="BD64" i="14" a="1"/>
  <c r="BD64" i="14" s="1"/>
  <c r="BZ64" i="14" a="1"/>
  <c r="BZ64" i="14" s="1"/>
  <c r="BP64" i="14" a="1"/>
  <c r="BP64" i="14" s="1"/>
  <c r="AA64" i="14" a="1"/>
  <c r="AA64" i="14" s="1"/>
  <c r="BL64" i="14" a="1"/>
  <c r="BL64" i="14" s="1"/>
  <c r="Y64" i="14" a="1"/>
  <c r="Y64" i="14" s="1"/>
  <c r="AV64" i="14" a="1"/>
  <c r="AV64" i="14" s="1"/>
  <c r="BR64" i="14" a="1"/>
  <c r="BR64" i="14" s="1"/>
  <c r="BQ64" i="14" a="1"/>
  <c r="BQ64" i="14" s="1"/>
  <c r="BX64" i="14" a="1"/>
  <c r="BX64" i="14" s="1"/>
  <c r="U64" i="14" a="1"/>
  <c r="U64" i="14" s="1"/>
  <c r="BO64" i="14" a="1"/>
  <c r="BO64" i="14" s="1"/>
  <c r="AP64" i="14" a="1"/>
  <c r="AP64" i="14" s="1"/>
  <c r="BM64" i="14" a="1"/>
  <c r="BM64" i="14" s="1"/>
  <c r="BS64" i="14" a="1"/>
  <c r="BS64" i="14" s="1"/>
  <c r="W64" i="14" a="1"/>
  <c r="W64" i="14" s="1"/>
  <c r="AS64" i="14" a="1"/>
  <c r="AS64" i="14" s="1"/>
  <c r="BH64" i="14" a="1"/>
  <c r="BH64" i="14" s="1"/>
  <c r="AN64" i="14" a="1"/>
  <c r="AN64" i="14" s="1"/>
  <c r="AI64" i="14" a="1"/>
  <c r="AI64" i="14" s="1"/>
  <c r="AH64" i="14" a="1"/>
  <c r="AH64" i="14" s="1"/>
  <c r="R64" i="14" a="1"/>
  <c r="R64" i="14" s="1"/>
  <c r="AL64" i="1" s="1"/>
  <c r="BW64" i="14" a="1"/>
  <c r="BW64" i="14" s="1"/>
  <c r="BV64" i="14" a="1"/>
  <c r="BV64" i="14" s="1"/>
  <c r="Z64" i="14" a="1"/>
  <c r="Z64" i="14" s="1"/>
  <c r="BE64" i="14" a="1"/>
  <c r="BE64" i="14" s="1"/>
  <c r="BK64" i="14" a="1"/>
  <c r="BK64" i="14" s="1"/>
  <c r="BB64" i="14" a="1"/>
  <c r="BB64" i="14" s="1"/>
  <c r="BA64" i="14" a="1"/>
  <c r="BA64" i="14" s="1"/>
  <c r="AR64" i="14" a="1"/>
  <c r="AR64" i="14" s="1"/>
  <c r="DH62" i="5"/>
  <c r="Y61" i="1"/>
  <c r="DJ62" i="5"/>
  <c r="W61" i="1"/>
  <c r="K65" i="11"/>
  <c r="A65" i="14"/>
  <c r="CA65" i="14" s="1"/>
  <c r="A65" i="8"/>
  <c r="A65" i="2"/>
  <c r="A65" i="5"/>
  <c r="A65" i="7"/>
  <c r="R65" i="7" s="1"/>
  <c r="A65" i="9"/>
  <c r="AF61" i="1"/>
  <c r="AU64" i="8"/>
  <c r="AE64" i="8"/>
  <c r="CS57" i="8"/>
  <c r="B62" i="5"/>
  <c r="B62" i="1"/>
  <c r="BG62" i="1" s="1"/>
  <c r="B62" i="2"/>
  <c r="AH62" i="5"/>
  <c r="BU62" i="5"/>
  <c r="BY64" i="11"/>
  <c r="K63" i="10"/>
  <c r="AA63" i="7"/>
  <c r="AF63" i="8" s="1"/>
  <c r="AV63" i="8" s="1"/>
  <c r="L63" i="11"/>
  <c r="J63" i="5"/>
  <c r="DC63" i="5" s="1"/>
  <c r="E62" i="10"/>
  <c r="G62" i="7"/>
  <c r="H63" i="5"/>
  <c r="C62" i="10"/>
  <c r="E62" i="7"/>
  <c r="B62" i="10"/>
  <c r="G63" i="5"/>
  <c r="D62" i="7"/>
  <c r="K63" i="5"/>
  <c r="F62" i="10"/>
  <c r="H62" i="7"/>
  <c r="DD62" i="5"/>
  <c r="L63" i="5"/>
  <c r="G62" i="10"/>
  <c r="I62" i="7"/>
  <c r="I63" i="5"/>
  <c r="D62" i="10"/>
  <c r="F62" i="7"/>
  <c r="M63" i="5"/>
  <c r="H62" i="10"/>
  <c r="J62" i="7"/>
  <c r="CQ58" i="8"/>
  <c r="CU58" i="8" s="1"/>
  <c r="CI59" i="8"/>
  <c r="DA59" i="8" s="1"/>
  <c r="DB58" i="8"/>
  <c r="D60" i="9"/>
  <c r="DH60" i="8"/>
  <c r="DI60" i="8" s="1"/>
  <c r="CK60" i="8"/>
  <c r="BW60" i="8"/>
  <c r="AC60" i="1" s="1"/>
  <c r="N59" i="7"/>
  <c r="BH60" i="8"/>
  <c r="BU60" i="8" s="1"/>
  <c r="BI60" i="8"/>
  <c r="AH71" i="9"/>
  <c r="B58" i="14"/>
  <c r="AQ58" i="5"/>
  <c r="AE59" i="7"/>
  <c r="AF59" i="7" s="1"/>
  <c r="Q59" i="7"/>
  <c r="AA58" i="11"/>
  <c r="AK58" i="1" s="1"/>
  <c r="Y58" i="11"/>
  <c r="AH58" i="1" s="1"/>
  <c r="N59" i="11"/>
  <c r="Z58" i="11"/>
  <c r="AB58" i="11"/>
  <c r="Q58" i="8" s="1"/>
  <c r="AC58" i="11"/>
  <c r="U58" i="8" s="1"/>
  <c r="AD58" i="11"/>
  <c r="AI58" i="1" s="1"/>
  <c r="A60" i="10"/>
  <c r="AA60" i="10" s="1"/>
  <c r="B60" i="7"/>
  <c r="E60" i="1"/>
  <c r="A60" i="11"/>
  <c r="AI60" i="5"/>
  <c r="B60" i="9"/>
  <c r="Y60" i="9" s="1"/>
  <c r="AJ60" i="5"/>
  <c r="AP60" i="5" s="1"/>
  <c r="AC60" i="8"/>
  <c r="BQ60" i="8" s="1"/>
  <c r="BT60" i="5"/>
  <c r="X60" i="8"/>
  <c r="DD60" i="8" s="1"/>
  <c r="C61" i="5"/>
  <c r="F61" i="5" s="1"/>
  <c r="CZ62" i="5"/>
  <c r="CR58" i="8"/>
  <c r="CC59" i="8"/>
  <c r="CV59" i="8" s="1"/>
  <c r="CW59" i="8" s="1"/>
  <c r="CA59" i="8"/>
  <c r="CB59" i="8"/>
  <c r="CT59" i="8" s="1"/>
  <c r="BY59" i="8"/>
  <c r="BZ59" i="8"/>
  <c r="CH59" i="8"/>
  <c r="CZ59" i="8" s="1"/>
  <c r="DI62" i="5"/>
  <c r="AB62" i="1"/>
  <c r="DA61" i="5"/>
  <c r="DG61" i="5" s="1" a="1"/>
  <c r="DG61" i="5" s="1"/>
  <c r="AG71" i="9"/>
  <c r="AK71" i="9"/>
  <c r="AE133" i="9"/>
  <c r="N47" i="1"/>
  <c r="S64" i="2"/>
  <c r="N65" i="2"/>
  <c r="R65" i="2"/>
  <c r="Q64" i="2"/>
  <c r="J66" i="10"/>
  <c r="N66" i="5" s="1"/>
  <c r="P66" i="2"/>
  <c r="AQ87" i="9" l="1"/>
  <c r="CM87" i="8" s="1"/>
  <c r="AO60" i="5"/>
  <c r="AM60" i="5"/>
  <c r="AN60" i="5"/>
  <c r="AV61" i="5"/>
  <c r="AW61" i="5"/>
  <c r="AG59" i="7"/>
  <c r="CL61" i="8"/>
  <c r="AI83" i="9"/>
  <c r="AO83" i="8" s="1"/>
  <c r="G66" i="8"/>
  <c r="CF65" i="8"/>
  <c r="O65" i="2"/>
  <c r="AS64" i="5"/>
  <c r="BC65" i="5" a="1"/>
  <c r="BC65" i="5" s="1"/>
  <c r="AM72" i="9"/>
  <c r="BR60" i="8"/>
  <c r="BS60" i="8"/>
  <c r="AD63" i="1"/>
  <c r="BE65" i="5" a="1"/>
  <c r="BE65" i="5" s="1"/>
  <c r="BB65" i="5" a="1"/>
  <c r="BB65" i="5" s="1"/>
  <c r="BJ65" i="5" a="1"/>
  <c r="BJ65" i="5" s="1"/>
  <c r="BG65" i="5" a="1"/>
  <c r="BG65" i="5" s="1"/>
  <c r="BO65" i="5" a="1"/>
  <c r="BO65" i="5" s="1"/>
  <c r="BK65" i="5" a="1"/>
  <c r="BK65" i="5" s="1"/>
  <c r="CW65" i="5"/>
  <c r="CR65" i="5"/>
  <c r="CT65" i="5"/>
  <c r="CU65" i="5"/>
  <c r="CV65" i="5"/>
  <c r="CQ65" i="5"/>
  <c r="CS65" i="5"/>
  <c r="BL65" i="5" a="1"/>
  <c r="BL65" i="5" s="1"/>
  <c r="AY65" i="5" a="1"/>
  <c r="AY65" i="5" s="1"/>
  <c r="BN65" i="5" a="1"/>
  <c r="BN65" i="5" s="1"/>
  <c r="BD65" i="5" a="1"/>
  <c r="BD65" i="5" s="1"/>
  <c r="AZ65" i="5" a="1"/>
  <c r="AZ65" i="5" s="1"/>
  <c r="BI65" i="5" a="1"/>
  <c r="BI65" i="5" s="1"/>
  <c r="BF65" i="5" a="1"/>
  <c r="BF65" i="5" s="1"/>
  <c r="AE64" i="1" s="1"/>
  <c r="BH65" i="5" a="1"/>
  <c r="BH65" i="5" s="1"/>
  <c r="BA65" i="5" a="1"/>
  <c r="BA65" i="5" s="1"/>
  <c r="BQ65" i="5" a="1"/>
  <c r="BQ65" i="5" s="1"/>
  <c r="BM65" i="5" a="1"/>
  <c r="BM65" i="5" s="1"/>
  <c r="V63" i="2"/>
  <c r="F68" i="8"/>
  <c r="BP64" i="5" a="1"/>
  <c r="BP64" i="5" s="1"/>
  <c r="J64" i="2" s="1"/>
  <c r="O69" i="1"/>
  <c r="CE59" i="8"/>
  <c r="CX59" i="8" s="1"/>
  <c r="CY59" i="8" s="1"/>
  <c r="BT60" i="8"/>
  <c r="BO60" i="8"/>
  <c r="BP60" i="8"/>
  <c r="BM60" i="8"/>
  <c r="BN60" i="8"/>
  <c r="BK60" i="8"/>
  <c r="BL60" i="8"/>
  <c r="BJ60" i="8"/>
  <c r="AC60" i="10"/>
  <c r="X60" i="10" s="1"/>
  <c r="AR60" i="5"/>
  <c r="AH64" i="11"/>
  <c r="DF63" i="5"/>
  <c r="DB63" i="5"/>
  <c r="AJ64" i="1"/>
  <c r="DE63" i="5"/>
  <c r="Y62" i="1"/>
  <c r="DJ63" i="5"/>
  <c r="DH63" i="5"/>
  <c r="K66" i="11"/>
  <c r="A66" i="14"/>
  <c r="CA66" i="14" s="1"/>
  <c r="A66" i="8"/>
  <c r="A66" i="9"/>
  <c r="A66" i="2"/>
  <c r="A66" i="5"/>
  <c r="A66" i="7"/>
  <c r="R66" i="7" s="1"/>
  <c r="AU65" i="8"/>
  <c r="AE65" i="8"/>
  <c r="AF62" i="1"/>
  <c r="BC65" i="14" a="1"/>
  <c r="BC65" i="14" s="1"/>
  <c r="BJ65" i="14" a="1"/>
  <c r="BJ65" i="14" s="1"/>
  <c r="AC65" i="14" a="1"/>
  <c r="AC65" i="14" s="1"/>
  <c r="AZ65" i="14" a="1"/>
  <c r="AZ65" i="14" s="1"/>
  <c r="AB65" i="14" a="1"/>
  <c r="AB65" i="14" s="1"/>
  <c r="AH65" i="14" a="1"/>
  <c r="AH65" i="14" s="1"/>
  <c r="AO65" i="14" a="1"/>
  <c r="AO65" i="14" s="1"/>
  <c r="BL65" i="14" a="1"/>
  <c r="BL65" i="14" s="1"/>
  <c r="AM65" i="14" a="1"/>
  <c r="AM65" i="14" s="1"/>
  <c r="AT65" i="14" a="1"/>
  <c r="AT65" i="14" s="1"/>
  <c r="AK65" i="14" a="1"/>
  <c r="AK65" i="14" s="1"/>
  <c r="BA65" i="14" a="1"/>
  <c r="BA65" i="14" s="1"/>
  <c r="U65" i="14" a="1"/>
  <c r="U65" i="14" s="1"/>
  <c r="BE65" i="14" a="1"/>
  <c r="BE65" i="14" s="1"/>
  <c r="AF65" i="14" a="1"/>
  <c r="AF65" i="14" s="1"/>
  <c r="M65" i="14" a="1"/>
  <c r="M65" i="14" s="1"/>
  <c r="W65" i="14" a="1"/>
  <c r="W65" i="14" s="1"/>
  <c r="AL65" i="14" a="1"/>
  <c r="AL65" i="14" s="1"/>
  <c r="BD65" i="14" a="1"/>
  <c r="BD65" i="14" s="1"/>
  <c r="BZ65" i="14" a="1"/>
  <c r="BZ65" i="14" s="1"/>
  <c r="BO65" i="14" a="1"/>
  <c r="BO65" i="14" s="1"/>
  <c r="BN65" i="14" a="1"/>
  <c r="BN65" i="14" s="1"/>
  <c r="AP65" i="14" a="1"/>
  <c r="AP65" i="14" s="1"/>
  <c r="Y65" i="14" a="1"/>
  <c r="Y65" i="14" s="1"/>
  <c r="BS65" i="14" a="1"/>
  <c r="BS65" i="14" s="1"/>
  <c r="AE65" i="14" a="1"/>
  <c r="AE65" i="14" s="1"/>
  <c r="V65" i="14" a="1"/>
  <c r="V65" i="14" s="1"/>
  <c r="BQ65" i="14" a="1"/>
  <c r="BQ65" i="14" s="1"/>
  <c r="BX65" i="14" a="1"/>
  <c r="BX65" i="14" s="1"/>
  <c r="AN65" i="14" a="1"/>
  <c r="AN65" i="14" s="1"/>
  <c r="AX65" i="14" a="1"/>
  <c r="AX65" i="14" s="1"/>
  <c r="Z65" i="14" a="1"/>
  <c r="Z65" i="14" s="1"/>
  <c r="BM65" i="14" a="1"/>
  <c r="BM65" i="14" s="1"/>
  <c r="AV65" i="14" a="1"/>
  <c r="AV65" i="14" s="1"/>
  <c r="O65" i="14" a="1"/>
  <c r="O65" i="14" s="1"/>
  <c r="AD65" i="14" a="1"/>
  <c r="AD65" i="14" s="1"/>
  <c r="P65" i="14" a="1"/>
  <c r="P65" i="14" s="1"/>
  <c r="BP65" i="14" a="1"/>
  <c r="BP65" i="14" s="1"/>
  <c r="AY65" i="14" a="1"/>
  <c r="AY65" i="14" s="1"/>
  <c r="R65" i="14" a="1"/>
  <c r="R65" i="14" s="1"/>
  <c r="AL65" i="1" s="1"/>
  <c r="AI65" i="14" a="1"/>
  <c r="AI65" i="14" s="1"/>
  <c r="AW65" i="14" a="1"/>
  <c r="AW65" i="14" s="1"/>
  <c r="BT65" i="14" a="1"/>
  <c r="BT65" i="14" s="1"/>
  <c r="BB65" i="14" a="1"/>
  <c r="BB65" i="14" s="1"/>
  <c r="N65" i="14" a="1"/>
  <c r="N65" i="14" s="1"/>
  <c r="AR65" i="14" a="1"/>
  <c r="AR65" i="14" s="1"/>
  <c r="AJ65" i="14" a="1"/>
  <c r="AJ65" i="14" s="1"/>
  <c r="AQ65" i="14" a="1"/>
  <c r="AQ65" i="14" s="1"/>
  <c r="BU65" i="14" a="1"/>
  <c r="BU65" i="14" s="1"/>
  <c r="BF65" i="14" a="1"/>
  <c r="BF65" i="14" s="1"/>
  <c r="AU65" i="14" a="1"/>
  <c r="AU65" i="14" s="1"/>
  <c r="BR65" i="14" a="1"/>
  <c r="BR65" i="14" s="1"/>
  <c r="BI65" i="14" a="1"/>
  <c r="BI65" i="14" s="1"/>
  <c r="BY65" i="14" a="1"/>
  <c r="BY65" i="14" s="1"/>
  <c r="BW65" i="14" a="1"/>
  <c r="BW65" i="14" s="1"/>
  <c r="AA65" i="14" a="1"/>
  <c r="AA65" i="14" s="1"/>
  <c r="BV65" i="14" a="1"/>
  <c r="BV65" i="14" s="1"/>
  <c r="Q65" i="14" a="1"/>
  <c r="Q65" i="14" s="1"/>
  <c r="X65" i="14" a="1"/>
  <c r="X65" i="14" s="1"/>
  <c r="AS65" i="14" a="1"/>
  <c r="AS65" i="14" s="1"/>
  <c r="BH65" i="14" a="1"/>
  <c r="BH65" i="14" s="1"/>
  <c r="T65" i="14" a="1"/>
  <c r="T65" i="14" s="1"/>
  <c r="BG65" i="14" a="1"/>
  <c r="BG65" i="14" s="1"/>
  <c r="S65" i="14" a="1"/>
  <c r="S65" i="14" s="1"/>
  <c r="AG65" i="14" a="1"/>
  <c r="AG65" i="14" s="1"/>
  <c r="BK65" i="14" a="1"/>
  <c r="BK65" i="14" s="1"/>
  <c r="W62" i="1"/>
  <c r="AM64" i="1"/>
  <c r="AK64" i="11"/>
  <c r="CS58" i="8"/>
  <c r="AH63" i="5"/>
  <c r="B63" i="1"/>
  <c r="BG63" i="1" s="1"/>
  <c r="B63" i="2"/>
  <c r="BU63" i="5"/>
  <c r="BY65" i="11"/>
  <c r="K64" i="10"/>
  <c r="AA64" i="7"/>
  <c r="AF64" i="8" s="1"/>
  <c r="AV64" i="8" s="1"/>
  <c r="L64" i="11"/>
  <c r="M64" i="5"/>
  <c r="H63" i="10"/>
  <c r="J63" i="7"/>
  <c r="H64" i="5"/>
  <c r="C63" i="10"/>
  <c r="E63" i="7"/>
  <c r="K64" i="5"/>
  <c r="F63" i="10"/>
  <c r="H63" i="7"/>
  <c r="DD63" i="5"/>
  <c r="L64" i="5"/>
  <c r="G63" i="10"/>
  <c r="I63" i="7"/>
  <c r="B63" i="5"/>
  <c r="I64" i="5"/>
  <c r="D63" i="10"/>
  <c r="F63" i="7"/>
  <c r="B63" i="10"/>
  <c r="G64" i="5"/>
  <c r="D63" i="7"/>
  <c r="J64" i="5"/>
  <c r="DC64" i="5" s="1"/>
  <c r="E63" i="10"/>
  <c r="G63" i="7"/>
  <c r="DB59" i="8"/>
  <c r="CQ59" i="8"/>
  <c r="CU59" i="8" s="1"/>
  <c r="CI60" i="8"/>
  <c r="DA60" i="8" s="1"/>
  <c r="D61" i="9"/>
  <c r="DH61" i="8"/>
  <c r="DI61" i="8" s="1"/>
  <c r="CK61" i="8"/>
  <c r="BW61" i="8"/>
  <c r="AC61" i="1" s="1"/>
  <c r="BX60" i="8"/>
  <c r="CD60" i="8" s="1"/>
  <c r="N60" i="7"/>
  <c r="BH61" i="8"/>
  <c r="BU61" i="8" s="1"/>
  <c r="BI61" i="8"/>
  <c r="AH72" i="9"/>
  <c r="B59" i="14"/>
  <c r="CR59" i="8"/>
  <c r="CZ63" i="5"/>
  <c r="BT61" i="5"/>
  <c r="E61" i="1"/>
  <c r="AC61" i="8"/>
  <c r="BQ61" i="8" s="1"/>
  <c r="B61" i="7"/>
  <c r="A61" i="10"/>
  <c r="AA61" i="10" s="1"/>
  <c r="AJ61" i="5"/>
  <c r="AP61" i="5" s="1"/>
  <c r="X61" i="8"/>
  <c r="DD61" i="8" s="1"/>
  <c r="AI61" i="5"/>
  <c r="B61" i="9"/>
  <c r="Y61" i="9" s="1"/>
  <c r="A61" i="11"/>
  <c r="Y59" i="11"/>
  <c r="AH59" i="1" s="1"/>
  <c r="AB59" i="11"/>
  <c r="Q59" i="8" s="1"/>
  <c r="N60" i="11"/>
  <c r="AA59" i="11"/>
  <c r="AK59" i="1" s="1"/>
  <c r="AD59" i="11"/>
  <c r="AI59" i="1" s="1"/>
  <c r="Z59" i="11"/>
  <c r="AC59" i="11"/>
  <c r="U59" i="8" s="1"/>
  <c r="AQ59" i="5"/>
  <c r="AE60" i="7"/>
  <c r="AF60" i="7" s="1"/>
  <c r="Q60" i="7"/>
  <c r="C62" i="5"/>
  <c r="F62" i="5" s="1"/>
  <c r="CC60" i="8"/>
  <c r="CV60" i="8" s="1"/>
  <c r="CW60" i="8" s="1"/>
  <c r="CH60" i="8"/>
  <c r="CZ60" i="8" s="1"/>
  <c r="CA60" i="8"/>
  <c r="CB60" i="8"/>
  <c r="CT60" i="8" s="1"/>
  <c r="BZ60" i="8"/>
  <c r="BY60" i="8"/>
  <c r="DA62" i="5"/>
  <c r="DG62" i="5" s="1" a="1"/>
  <c r="DG62" i="5" s="1"/>
  <c r="AB63" i="1"/>
  <c r="DI63" i="5"/>
  <c r="AG72" i="9"/>
  <c r="AK72" i="9"/>
  <c r="AE134" i="9"/>
  <c r="N48" i="1"/>
  <c r="S65" i="2"/>
  <c r="N66" i="2"/>
  <c r="R66" i="2"/>
  <c r="Q65" i="2"/>
  <c r="J67" i="10"/>
  <c r="N67" i="5" s="1"/>
  <c r="P67" i="2"/>
  <c r="AQ88" i="9" l="1"/>
  <c r="CM88" i="8" s="1"/>
  <c r="AO61" i="5"/>
  <c r="AM61" i="5"/>
  <c r="AN61" i="5"/>
  <c r="AR61" i="5" s="1"/>
  <c r="AV62" i="5"/>
  <c r="AW62" i="5"/>
  <c r="AG60" i="7"/>
  <c r="AI60" i="7" s="1"/>
  <c r="CL62" i="8"/>
  <c r="AI84" i="9"/>
  <c r="AO84" i="8" s="1"/>
  <c r="G67" i="8"/>
  <c r="CF66" i="8"/>
  <c r="O66" i="2"/>
  <c r="AQ60" i="5"/>
  <c r="AS65" i="5"/>
  <c r="BC66" i="5" a="1"/>
  <c r="BC66" i="5" s="1"/>
  <c r="BQ66" i="5" a="1"/>
  <c r="BQ66" i="5" s="1"/>
  <c r="BA66" i="5" a="1"/>
  <c r="BA66" i="5" s="1"/>
  <c r="BK66" i="5" a="1"/>
  <c r="BK66" i="5" s="1"/>
  <c r="BH66" i="5" a="1"/>
  <c r="BH66" i="5" s="1"/>
  <c r="BM66" i="5" a="1"/>
  <c r="BM66" i="5" s="1"/>
  <c r="BN66" i="5" a="1"/>
  <c r="BN66" i="5" s="1"/>
  <c r="AM73" i="9"/>
  <c r="BR61" i="8"/>
  <c r="BS61" i="8"/>
  <c r="AD64" i="1"/>
  <c r="BF66" i="5" a="1"/>
  <c r="BF66" i="5" s="1"/>
  <c r="AE65" i="1" s="1"/>
  <c r="BO66" i="5" a="1"/>
  <c r="BO66" i="5" s="1"/>
  <c r="BI66" i="5" a="1"/>
  <c r="BI66" i="5" s="1"/>
  <c r="BG66" i="5" a="1"/>
  <c r="BG66" i="5" s="1"/>
  <c r="BJ66" i="5" a="1"/>
  <c r="BJ66" i="5" s="1"/>
  <c r="AZ66" i="5" a="1"/>
  <c r="AZ66" i="5" s="1"/>
  <c r="BB66" i="5" a="1"/>
  <c r="BB66" i="5" s="1"/>
  <c r="CS66" i="5"/>
  <c r="CU66" i="5"/>
  <c r="CT66" i="5"/>
  <c r="CW66" i="5"/>
  <c r="CV66" i="5"/>
  <c r="CR66" i="5"/>
  <c r="CQ66" i="5"/>
  <c r="AY66" i="5" a="1"/>
  <c r="AY66" i="5" s="1"/>
  <c r="BL66" i="5" a="1"/>
  <c r="BL66" i="5" s="1"/>
  <c r="BD66" i="5" a="1"/>
  <c r="BD66" i="5" s="1"/>
  <c r="BE66" i="5" a="1"/>
  <c r="BE66" i="5" s="1"/>
  <c r="V64" i="2"/>
  <c r="F69" i="8"/>
  <c r="BP65" i="5" a="1"/>
  <c r="BP65" i="5" s="1"/>
  <c r="J65" i="2" s="1"/>
  <c r="O70" i="1"/>
  <c r="BX61" i="8"/>
  <c r="CE61" i="8" s="1"/>
  <c r="BT61" i="8"/>
  <c r="BO61" i="8"/>
  <c r="BP61" i="8"/>
  <c r="BM61" i="8"/>
  <c r="BN61" i="8"/>
  <c r="BK61" i="8"/>
  <c r="BL61" i="8"/>
  <c r="BJ61" i="8"/>
  <c r="AC61" i="10"/>
  <c r="X61" i="10" s="1"/>
  <c r="AH65" i="11"/>
  <c r="DF64" i="5"/>
  <c r="AM65" i="1"/>
  <c r="DB64" i="5"/>
  <c r="DE64" i="5"/>
  <c r="AU66" i="8"/>
  <c r="AE66" i="8"/>
  <c r="W63" i="1"/>
  <c r="AJ65" i="1"/>
  <c r="BS66" i="14" a="1"/>
  <c r="BS66" i="14" s="1"/>
  <c r="AE66" i="14" a="1"/>
  <c r="AE66" i="14" s="1"/>
  <c r="V66" i="14" a="1"/>
  <c r="V66" i="14" s="1"/>
  <c r="BI66" i="14" a="1"/>
  <c r="BI66" i="14" s="1"/>
  <c r="AJ66" i="14" a="1"/>
  <c r="AJ66" i="14" s="1"/>
  <c r="BO66" i="14" a="1"/>
  <c r="BO66" i="14" s="1"/>
  <c r="AA66" i="14" a="1"/>
  <c r="AA66" i="14" s="1"/>
  <c r="AO66" i="14" a="1"/>
  <c r="AO66" i="14" s="1"/>
  <c r="BL66" i="14" a="1"/>
  <c r="BL66" i="14" s="1"/>
  <c r="BT66" i="14" a="1"/>
  <c r="BT66" i="14" s="1"/>
  <c r="X66" i="14" a="1"/>
  <c r="X66" i="14" s="1"/>
  <c r="BD66" i="14" a="1"/>
  <c r="BD66" i="14" s="1"/>
  <c r="BX66" i="14" a="1"/>
  <c r="BX66" i="14" s="1"/>
  <c r="AN66" i="14" a="1"/>
  <c r="AN66" i="14" s="1"/>
  <c r="BF66" i="14" a="1"/>
  <c r="BF66" i="14" s="1"/>
  <c r="AP66" i="14" a="1"/>
  <c r="AP66" i="14" s="1"/>
  <c r="BU66" i="14" a="1"/>
  <c r="BU66" i="14" s="1"/>
  <c r="Q66" i="14" a="1"/>
  <c r="Q66" i="14" s="1"/>
  <c r="AV66" i="14" a="1"/>
  <c r="AV66" i="14" s="1"/>
  <c r="O66" i="14" a="1"/>
  <c r="O66" i="14" s="1"/>
  <c r="AS66" i="14" a="1"/>
  <c r="AS66" i="14" s="1"/>
  <c r="BP66" i="14" a="1"/>
  <c r="BP66" i="14" s="1"/>
  <c r="T66" i="14" a="1"/>
  <c r="T66" i="14" s="1"/>
  <c r="AI66" i="14" a="1"/>
  <c r="AI66" i="14" s="1"/>
  <c r="AX66" i="14" a="1"/>
  <c r="AX66" i="14" s="1"/>
  <c r="BE66" i="14" a="1"/>
  <c r="BE66" i="14" s="1"/>
  <c r="AU66" i="14" a="1"/>
  <c r="AU66" i="14" s="1"/>
  <c r="BR66" i="14" a="1"/>
  <c r="BR66" i="14" s="1"/>
  <c r="BA66" i="14" a="1"/>
  <c r="BA66" i="14" s="1"/>
  <c r="P66" i="14" a="1"/>
  <c r="P66" i="14" s="1"/>
  <c r="AC66" i="14" a="1"/>
  <c r="AC66" i="14" s="1"/>
  <c r="AY66" i="14" a="1"/>
  <c r="AY66" i="14" s="1"/>
  <c r="R66" i="14" a="1"/>
  <c r="R66" i="14" s="1"/>
  <c r="AL66" i="1" s="1"/>
  <c r="Y66" i="14" a="1"/>
  <c r="Y66" i="14" s="1"/>
  <c r="BK66" i="14" a="1"/>
  <c r="BK66" i="14" s="1"/>
  <c r="AT66" i="14" a="1"/>
  <c r="AT66" i="14" s="1"/>
  <c r="N66" i="14" a="1"/>
  <c r="N66" i="14" s="1"/>
  <c r="AR66" i="14" a="1"/>
  <c r="AR66" i="14" s="1"/>
  <c r="AZ66" i="14" a="1"/>
  <c r="AZ66" i="14" s="1"/>
  <c r="AQ66" i="14" a="1"/>
  <c r="AQ66" i="14" s="1"/>
  <c r="BV66" i="14" a="1"/>
  <c r="BV66" i="14" s="1"/>
  <c r="M66" i="14" a="1"/>
  <c r="M66" i="14" s="1"/>
  <c r="BC66" i="14" a="1"/>
  <c r="BC66" i="14" s="1"/>
  <c r="AL66" i="14" a="1"/>
  <c r="AL66" i="14" s="1"/>
  <c r="U66" i="14" a="1"/>
  <c r="U66" i="14" s="1"/>
  <c r="BH66" i="14" a="1"/>
  <c r="BH66" i="14" s="1"/>
  <c r="AB66" i="14" a="1"/>
  <c r="AB66" i="14" s="1"/>
  <c r="S66" i="14" a="1"/>
  <c r="S66" i="14" s="1"/>
  <c r="AF66" i="14" a="1"/>
  <c r="AF66" i="14" s="1"/>
  <c r="AG66" i="14" a="1"/>
  <c r="AG66" i="14" s="1"/>
  <c r="BZ66" i="14" a="1"/>
  <c r="BZ66" i="14" s="1"/>
  <c r="AW66" i="14" a="1"/>
  <c r="AW66" i="14" s="1"/>
  <c r="BW66" i="14" a="1"/>
  <c r="BW66" i="14" s="1"/>
  <c r="BM66" i="14" a="1"/>
  <c r="BM66" i="14" s="1"/>
  <c r="W66" i="14" a="1"/>
  <c r="W66" i="14" s="1"/>
  <c r="BQ66" i="14" a="1"/>
  <c r="BQ66" i="14" s="1"/>
  <c r="AM66" i="14" a="1"/>
  <c r="AM66" i="14" s="1"/>
  <c r="BY66" i="14" a="1"/>
  <c r="BY66" i="14" s="1"/>
  <c r="BJ66" i="14" a="1"/>
  <c r="BJ66" i="14" s="1"/>
  <c r="BG66" i="14" a="1"/>
  <c r="BG66" i="14" s="1"/>
  <c r="BB66" i="14" a="1"/>
  <c r="BB66" i="14" s="1"/>
  <c r="BN66" i="14" a="1"/>
  <c r="BN66" i="14" s="1"/>
  <c r="AD66" i="14" a="1"/>
  <c r="AD66" i="14" s="1"/>
  <c r="AH66" i="14" a="1"/>
  <c r="AH66" i="14" s="1"/>
  <c r="AK66" i="14" a="1"/>
  <c r="AK66" i="14" s="1"/>
  <c r="Z66" i="14" a="1"/>
  <c r="Z66" i="14" s="1"/>
  <c r="DH64" i="5"/>
  <c r="Y63" i="1"/>
  <c r="DJ64" i="5"/>
  <c r="K67" i="11"/>
  <c r="A67" i="14"/>
  <c r="CA67" i="14" s="1"/>
  <c r="A67" i="7"/>
  <c r="R67" i="7" s="1"/>
  <c r="A67" i="5"/>
  <c r="A67" i="8"/>
  <c r="A67" i="9"/>
  <c r="A67" i="2"/>
  <c r="AF63" i="1"/>
  <c r="AK65" i="11"/>
  <c r="BU64" i="5"/>
  <c r="B64" i="1"/>
  <c r="BG64" i="1" s="1"/>
  <c r="B64" i="2"/>
  <c r="AH64" i="5"/>
  <c r="BY66" i="11"/>
  <c r="K65" i="10"/>
  <c r="AA65" i="7"/>
  <c r="AF65" i="8" s="1"/>
  <c r="AV65" i="8" s="1"/>
  <c r="L65" i="11"/>
  <c r="I65" i="5"/>
  <c r="D64" i="10"/>
  <c r="F64" i="7"/>
  <c r="K65" i="5"/>
  <c r="F64" i="10"/>
  <c r="H64" i="7"/>
  <c r="DD64" i="5"/>
  <c r="J65" i="5"/>
  <c r="DC65" i="5" s="1"/>
  <c r="E64" i="10"/>
  <c r="G64" i="7"/>
  <c r="G65" i="5"/>
  <c r="D64" i="7"/>
  <c r="B64" i="10"/>
  <c r="H65" i="5"/>
  <c r="C64" i="10"/>
  <c r="E64" i="7"/>
  <c r="L65" i="5"/>
  <c r="G64" i="10"/>
  <c r="I64" i="7"/>
  <c r="B64" i="5"/>
  <c r="M65" i="5"/>
  <c r="H64" i="10"/>
  <c r="J64" i="7"/>
  <c r="CS59" i="8"/>
  <c r="CQ60" i="8"/>
  <c r="CU60" i="8" s="1"/>
  <c r="DB60" i="8"/>
  <c r="D62" i="9"/>
  <c r="CI61" i="8"/>
  <c r="DA61" i="8" s="1"/>
  <c r="DH62" i="8"/>
  <c r="DI62" i="8" s="1"/>
  <c r="CE60" i="8"/>
  <c r="CX60" i="8" s="1"/>
  <c r="CY60" i="8" s="1"/>
  <c r="CK62" i="8"/>
  <c r="BW62" i="8"/>
  <c r="AC62" i="1" s="1"/>
  <c r="N61" i="7"/>
  <c r="BH62" i="8"/>
  <c r="BU62" i="8" s="1"/>
  <c r="BI62" i="8"/>
  <c r="AH73" i="9"/>
  <c r="CZ64" i="5"/>
  <c r="CR60" i="8"/>
  <c r="CH61" i="8"/>
  <c r="CZ61" i="8" s="1"/>
  <c r="CB61" i="8"/>
  <c r="CT61" i="8" s="1"/>
  <c r="BY61" i="8"/>
  <c r="BZ61" i="8"/>
  <c r="CC61" i="8"/>
  <c r="CV61" i="8" s="1"/>
  <c r="CW61" i="8" s="1"/>
  <c r="CA61" i="8"/>
  <c r="AC60" i="11"/>
  <c r="U60" i="8" s="1"/>
  <c r="Y60" i="11"/>
  <c r="AH60" i="1" s="1"/>
  <c r="AA60" i="11"/>
  <c r="AK60" i="1" s="1"/>
  <c r="AB60" i="11"/>
  <c r="Q60" i="8" s="1"/>
  <c r="AD60" i="11"/>
  <c r="AI60" i="1" s="1"/>
  <c r="N61" i="11"/>
  <c r="Z60" i="11"/>
  <c r="Q61" i="7"/>
  <c r="AE61" i="7"/>
  <c r="AF61" i="7" s="1"/>
  <c r="C63" i="5"/>
  <c r="F63" i="5" s="1"/>
  <c r="B62" i="9"/>
  <c r="Y62" i="9" s="1"/>
  <c r="AI62" i="5"/>
  <c r="A62" i="11"/>
  <c r="AC62" i="8"/>
  <c r="BQ62" i="8" s="1"/>
  <c r="BT62" i="5"/>
  <c r="A62" i="10"/>
  <c r="AA62" i="10" s="1"/>
  <c r="B62" i="7"/>
  <c r="X62" i="8"/>
  <c r="DD62" i="8" s="1"/>
  <c r="E62" i="1"/>
  <c r="AJ62" i="5"/>
  <c r="AP62" i="5" s="1"/>
  <c r="AB64" i="1"/>
  <c r="DI64" i="5"/>
  <c r="DA63" i="5"/>
  <c r="DG63" i="5" s="1" a="1"/>
  <c r="DG63" i="5" s="1"/>
  <c r="AG73" i="9"/>
  <c r="AK73" i="9"/>
  <c r="AE135" i="9"/>
  <c r="N49" i="1"/>
  <c r="S66" i="2"/>
  <c r="N67" i="2"/>
  <c r="R67" i="2"/>
  <c r="Q66" i="2"/>
  <c r="P68" i="2"/>
  <c r="J68" i="10"/>
  <c r="N68" i="5" s="1"/>
  <c r="AQ89" i="9" l="1"/>
  <c r="CM89" i="8" s="1"/>
  <c r="AO62" i="5"/>
  <c r="AM62" i="5"/>
  <c r="AN62" i="5"/>
  <c r="AR62" i="5" s="1"/>
  <c r="AV63" i="5"/>
  <c r="AW63" i="5"/>
  <c r="AG61" i="7"/>
  <c r="AI61" i="7" s="1"/>
  <c r="CL63" i="8"/>
  <c r="AI85" i="9"/>
  <c r="AO85" i="8" s="1"/>
  <c r="G68" i="8"/>
  <c r="CF67" i="8"/>
  <c r="O67" i="2"/>
  <c r="AQ61" i="5"/>
  <c r="AS66" i="5"/>
  <c r="AD65" i="1"/>
  <c r="BA67" i="5" a="1"/>
  <c r="BA67" i="5" s="1"/>
  <c r="AZ67" i="5" a="1"/>
  <c r="AZ67" i="5" s="1"/>
  <c r="BB67" i="5" a="1"/>
  <c r="BB67" i="5" s="1"/>
  <c r="AM74" i="9"/>
  <c r="BR62" i="8"/>
  <c r="BS62" i="8"/>
  <c r="BJ67" i="5" a="1"/>
  <c r="BJ67" i="5" s="1"/>
  <c r="BG67" i="5" a="1"/>
  <c r="BG67" i="5" s="1"/>
  <c r="BI67" i="5" a="1"/>
  <c r="BI67" i="5" s="1"/>
  <c r="BE67" i="5" a="1"/>
  <c r="BE67" i="5" s="1"/>
  <c r="BO67" i="5" a="1"/>
  <c r="BO67" i="5" s="1"/>
  <c r="BD67" i="5" a="1"/>
  <c r="BD67" i="5" s="1"/>
  <c r="BF67" i="5" a="1"/>
  <c r="BF67" i="5" s="1"/>
  <c r="AE66" i="1" s="1"/>
  <c r="BK67" i="5" a="1"/>
  <c r="BK67" i="5" s="1"/>
  <c r="BH67" i="5" a="1"/>
  <c r="BH67" i="5" s="1"/>
  <c r="CT67" i="5"/>
  <c r="CS67" i="5"/>
  <c r="CV67" i="5"/>
  <c r="CW67" i="5"/>
  <c r="CR67" i="5"/>
  <c r="CU67" i="5"/>
  <c r="CQ67" i="5"/>
  <c r="AY67" i="5" a="1"/>
  <c r="AY67" i="5" s="1"/>
  <c r="BL67" i="5" a="1"/>
  <c r="BL67" i="5" s="1"/>
  <c r="BQ67" i="5" a="1"/>
  <c r="BQ67" i="5" s="1"/>
  <c r="BM67" i="5" a="1"/>
  <c r="BM67" i="5" s="1"/>
  <c r="BN67" i="5" a="1"/>
  <c r="BN67" i="5" s="1"/>
  <c r="BC67" i="5" a="1"/>
  <c r="BC67" i="5" s="1"/>
  <c r="V65" i="2"/>
  <c r="F70" i="8"/>
  <c r="BP66" i="5" a="1"/>
  <c r="BP66" i="5" s="1"/>
  <c r="J66" i="2" s="1"/>
  <c r="O71" i="1"/>
  <c r="CD61" i="8"/>
  <c r="BX62" i="8"/>
  <c r="CD62" i="8" s="1"/>
  <c r="BT62" i="8"/>
  <c r="BO62" i="8"/>
  <c r="BP62" i="8"/>
  <c r="BM62" i="8"/>
  <c r="BN62" i="8"/>
  <c r="BK62" i="8"/>
  <c r="BL62" i="8"/>
  <c r="BJ62" i="8"/>
  <c r="AC62" i="10"/>
  <c r="X62" i="10" s="1"/>
  <c r="AH66" i="11"/>
  <c r="AK66" i="11"/>
  <c r="DF65" i="5"/>
  <c r="DE65" i="5"/>
  <c r="AM66" i="1"/>
  <c r="DB65" i="5"/>
  <c r="AF64" i="1"/>
  <c r="W64" i="1"/>
  <c r="Y64" i="1"/>
  <c r="DJ65" i="5"/>
  <c r="AE67" i="8"/>
  <c r="AU67" i="8"/>
  <c r="AJ66" i="1"/>
  <c r="K68" i="11"/>
  <c r="A68" i="14"/>
  <c r="CA68" i="14" s="1"/>
  <c r="A68" i="7"/>
  <c r="R68" i="7" s="1"/>
  <c r="A68" i="9"/>
  <c r="A68" i="2"/>
  <c r="A68" i="8"/>
  <c r="A68" i="5"/>
  <c r="DH65" i="5"/>
  <c r="W67" i="14" a="1"/>
  <c r="W67" i="14" s="1"/>
  <c r="AT67" i="14" a="1"/>
  <c r="AT67" i="14" s="1"/>
  <c r="BQ67" i="14" a="1"/>
  <c r="BQ67" i="14" s="1"/>
  <c r="AZ67" i="14" a="1"/>
  <c r="AZ67" i="14" s="1"/>
  <c r="AB67" i="14" a="1"/>
  <c r="AB67" i="14" s="1"/>
  <c r="AI67" i="14" a="1"/>
  <c r="AI67" i="14" s="1"/>
  <c r="BU67" i="14" a="1"/>
  <c r="BU67" i="14" s="1"/>
  <c r="AW67" i="14" a="1"/>
  <c r="AW67" i="14" s="1"/>
  <c r="BT67" i="14" a="1"/>
  <c r="BT67" i="14" s="1"/>
  <c r="BR67" i="14" a="1"/>
  <c r="BR67" i="14" s="1"/>
  <c r="BB67" i="14" a="1"/>
  <c r="BB67" i="14" s="1"/>
  <c r="AC67" i="14" a="1"/>
  <c r="AC67" i="14" s="1"/>
  <c r="AN67" i="14" a="1"/>
  <c r="AN67" i="14" s="1"/>
  <c r="BG67" i="14" a="1"/>
  <c r="BG67" i="14" s="1"/>
  <c r="BL67" i="14" a="1"/>
  <c r="BL67" i="14" s="1"/>
  <c r="S67" i="14" a="1"/>
  <c r="S67" i="14" s="1"/>
  <c r="AO67" i="14" a="1"/>
  <c r="AO67" i="14" s="1"/>
  <c r="AV67" i="14" a="1"/>
  <c r="AV67" i="14" s="1"/>
  <c r="AE67" i="14" a="1"/>
  <c r="AE67" i="14" s="1"/>
  <c r="N67" i="14" a="1"/>
  <c r="N67" i="14" s="1"/>
  <c r="BZ67" i="14" a="1"/>
  <c r="BZ67" i="14" s="1"/>
  <c r="BW67" i="14" a="1"/>
  <c r="BW67" i="14" s="1"/>
  <c r="AQ67" i="14" a="1"/>
  <c r="AQ67" i="14" s="1"/>
  <c r="AA67" i="14" a="1"/>
  <c r="AA67" i="14" s="1"/>
  <c r="BF67" i="14" a="1"/>
  <c r="BF67" i="14" s="1"/>
  <c r="M67" i="14" a="1"/>
  <c r="M67" i="14" s="1"/>
  <c r="BS67" i="14" a="1"/>
  <c r="BS67" i="14" s="1"/>
  <c r="BJ67" i="14" a="1"/>
  <c r="BJ67" i="14" s="1"/>
  <c r="BD67" i="14" a="1"/>
  <c r="BD67" i="14" s="1"/>
  <c r="AR67" i="14" a="1"/>
  <c r="AR67" i="14" s="1"/>
  <c r="BH67" i="14" a="1"/>
  <c r="BH67" i="14" s="1"/>
  <c r="BO67" i="14" a="1"/>
  <c r="BO67" i="14" s="1"/>
  <c r="AX67" i="14" a="1"/>
  <c r="AX67" i="14" s="1"/>
  <c r="BE67" i="14" a="1"/>
  <c r="BE67" i="14" s="1"/>
  <c r="BK67" i="14" a="1"/>
  <c r="BK67" i="14" s="1"/>
  <c r="AL67" i="14" a="1"/>
  <c r="AL67" i="14" s="1"/>
  <c r="BI67" i="14" a="1"/>
  <c r="BI67" i="14" s="1"/>
  <c r="P67" i="14" a="1"/>
  <c r="P67" i="14" s="1"/>
  <c r="T67" i="14" a="1"/>
  <c r="T67" i="14" s="1"/>
  <c r="AY67" i="14" a="1"/>
  <c r="AY67" i="14" s="1"/>
  <c r="Z67" i="14" a="1"/>
  <c r="Z67" i="14" s="1"/>
  <c r="BC67" i="14" a="1"/>
  <c r="BC67" i="14" s="1"/>
  <c r="V67" i="14" a="1"/>
  <c r="V67" i="14" s="1"/>
  <c r="AD67" i="14" a="1"/>
  <c r="AD67" i="14" s="1"/>
  <c r="AK67" i="14" a="1"/>
  <c r="AK67" i="14" s="1"/>
  <c r="BY67" i="14" a="1"/>
  <c r="BY67" i="14" s="1"/>
  <c r="BV67" i="14" a="1"/>
  <c r="BV67" i="14" s="1"/>
  <c r="AH67" i="14" a="1"/>
  <c r="AH67" i="14" s="1"/>
  <c r="BM67" i="14" a="1"/>
  <c r="BM67" i="14" s="1"/>
  <c r="O67" i="14" a="1"/>
  <c r="O67" i="14" s="1"/>
  <c r="AF67" i="14" a="1"/>
  <c r="AF67" i="14" s="1"/>
  <c r="X67" i="14" a="1"/>
  <c r="X67" i="14" s="1"/>
  <c r="AP67" i="14" a="1"/>
  <c r="AP67" i="14" s="1"/>
  <c r="BA67" i="14" a="1"/>
  <c r="BA67" i="14" s="1"/>
  <c r="R67" i="14" a="1"/>
  <c r="R67" i="14" s="1"/>
  <c r="AL67" i="1" s="1"/>
  <c r="AS67" i="14" a="1"/>
  <c r="AS67" i="14" s="1"/>
  <c r="BN67" i="14" a="1"/>
  <c r="BN67" i="14" s="1"/>
  <c r="BP67" i="14" a="1"/>
  <c r="BP67" i="14" s="1"/>
  <c r="AG67" i="14" a="1"/>
  <c r="AG67" i="14" s="1"/>
  <c r="U67" i="14" a="1"/>
  <c r="U67" i="14" s="1"/>
  <c r="Y67" i="14" a="1"/>
  <c r="Y67" i="14" s="1"/>
  <c r="AU67" i="14" a="1"/>
  <c r="AU67" i="14" s="1"/>
  <c r="AJ67" i="14" a="1"/>
  <c r="AJ67" i="14" s="1"/>
  <c r="Q67" i="14" a="1"/>
  <c r="Q67" i="14" s="1"/>
  <c r="AM67" i="14" a="1"/>
  <c r="AM67" i="14" s="1"/>
  <c r="BX67" i="14" a="1"/>
  <c r="BX67" i="14" s="1"/>
  <c r="B65" i="5"/>
  <c r="B65" i="2"/>
  <c r="B65" i="1"/>
  <c r="BG65" i="1" s="1"/>
  <c r="BU65" i="5"/>
  <c r="AH65" i="5"/>
  <c r="BY67" i="11"/>
  <c r="AA66" i="7"/>
  <c r="AF66" i="8" s="1"/>
  <c r="AV66" i="8" s="1"/>
  <c r="K66" i="10"/>
  <c r="L66" i="11"/>
  <c r="H66" i="5"/>
  <c r="C65" i="10"/>
  <c r="E65" i="7"/>
  <c r="M66" i="5"/>
  <c r="H65" i="10"/>
  <c r="J65" i="7"/>
  <c r="G66" i="5"/>
  <c r="B65" i="10"/>
  <c r="D65" i="7"/>
  <c r="K66" i="5"/>
  <c r="F65" i="10"/>
  <c r="H65" i="7"/>
  <c r="DD65" i="5"/>
  <c r="L66" i="5"/>
  <c r="G65" i="10"/>
  <c r="I65" i="7"/>
  <c r="J66" i="5"/>
  <c r="DC66" i="5" s="1"/>
  <c r="E65" i="10"/>
  <c r="G65" i="7"/>
  <c r="I66" i="5"/>
  <c r="D65" i="10"/>
  <c r="F65" i="7"/>
  <c r="CQ61" i="8"/>
  <c r="CU61" i="8" s="1"/>
  <c r="CS60" i="8"/>
  <c r="D63" i="9"/>
  <c r="CI62" i="8"/>
  <c r="DA62" i="8" s="1"/>
  <c r="DB61" i="8"/>
  <c r="DH63" i="8"/>
  <c r="DI63" i="8" s="1"/>
  <c r="CK63" i="8"/>
  <c r="BW63" i="8"/>
  <c r="AC63" i="1" s="1"/>
  <c r="N62" i="7"/>
  <c r="BH63" i="8"/>
  <c r="BU63" i="8" s="1"/>
  <c r="BI63" i="8"/>
  <c r="AH74" i="9"/>
  <c r="AJ63" i="5"/>
  <c r="AP63" i="5" s="1"/>
  <c r="X63" i="8"/>
  <c r="DD63" i="8" s="1"/>
  <c r="E63" i="1"/>
  <c r="A63" i="10"/>
  <c r="AA63" i="10" s="1"/>
  <c r="B63" i="7"/>
  <c r="AI63" i="5"/>
  <c r="B63" i="9"/>
  <c r="Y63" i="9" s="1"/>
  <c r="A63" i="11"/>
  <c r="AC63" i="8"/>
  <c r="BQ63" i="8" s="1"/>
  <c r="BT63" i="5"/>
  <c r="B61" i="14"/>
  <c r="N62" i="11"/>
  <c r="Z61" i="11"/>
  <c r="Y61" i="11"/>
  <c r="AH61" i="1" s="1"/>
  <c r="AB61" i="11"/>
  <c r="Q61" i="8" s="1"/>
  <c r="AA61" i="11"/>
  <c r="AK61" i="1" s="1"/>
  <c r="AC61" i="11"/>
  <c r="U61" i="8" s="1"/>
  <c r="AD61" i="11"/>
  <c r="AI61" i="1" s="1"/>
  <c r="CZ65" i="5"/>
  <c r="CC62" i="8"/>
  <c r="CV62" i="8" s="1"/>
  <c r="CW62" i="8" s="1"/>
  <c r="CH62" i="8"/>
  <c r="CZ62" i="8" s="1"/>
  <c r="CA62" i="8"/>
  <c r="CB62" i="8"/>
  <c r="CT62" i="8" s="1"/>
  <c r="BY62" i="8"/>
  <c r="BZ62" i="8"/>
  <c r="CR61" i="8"/>
  <c r="C64" i="5"/>
  <c r="F64" i="5" s="1"/>
  <c r="AE62" i="7"/>
  <c r="AF62" i="7" s="1"/>
  <c r="Q62" i="7"/>
  <c r="C65" i="5"/>
  <c r="DA64" i="5"/>
  <c r="DG64" i="5" s="1" a="1"/>
  <c r="DG64" i="5" s="1"/>
  <c r="AB65" i="1"/>
  <c r="DI65" i="5"/>
  <c r="AG74" i="9"/>
  <c r="AK74" i="9"/>
  <c r="AE136" i="9"/>
  <c r="N50" i="1"/>
  <c r="S67" i="2"/>
  <c r="N68" i="2"/>
  <c r="R68" i="2"/>
  <c r="Q67" i="2"/>
  <c r="J69" i="10"/>
  <c r="N69" i="5" s="1"/>
  <c r="P69" i="2"/>
  <c r="AQ90" i="9" l="1"/>
  <c r="CM90" i="8" s="1"/>
  <c r="AO63" i="5"/>
  <c r="AM63" i="5"/>
  <c r="AN63" i="5"/>
  <c r="AR63" i="5" s="1"/>
  <c r="AV64" i="5"/>
  <c r="AW64" i="5"/>
  <c r="AG62" i="7"/>
  <c r="AI62" i="7" s="1"/>
  <c r="CL64" i="8"/>
  <c r="AI86" i="9"/>
  <c r="AO86" i="8" s="1"/>
  <c r="G69" i="8"/>
  <c r="CF68" i="8"/>
  <c r="O68" i="2"/>
  <c r="AQ62" i="5"/>
  <c r="AS67" i="5"/>
  <c r="AM75" i="9"/>
  <c r="BR63" i="8"/>
  <c r="BS63" i="8"/>
  <c r="AD66" i="1"/>
  <c r="BH68" i="5" a="1"/>
  <c r="BH68" i="5" s="1"/>
  <c r="BK68" i="5" a="1"/>
  <c r="BK68" i="5" s="1"/>
  <c r="BC68" i="5" a="1"/>
  <c r="BC68" i="5" s="1"/>
  <c r="BF68" i="5" a="1"/>
  <c r="BF68" i="5" s="1"/>
  <c r="AE67" i="1" s="1"/>
  <c r="BN68" i="5" a="1"/>
  <c r="BN68" i="5" s="1"/>
  <c r="BD68" i="5" a="1"/>
  <c r="BD68" i="5" s="1"/>
  <c r="BM68" i="5" a="1"/>
  <c r="BM68" i="5" s="1"/>
  <c r="BO68" i="5" a="1"/>
  <c r="BO68" i="5" s="1"/>
  <c r="BQ68" i="5" a="1"/>
  <c r="BQ68" i="5" s="1"/>
  <c r="BE68" i="5" a="1"/>
  <c r="BE68" i="5" s="1"/>
  <c r="CS68" i="5"/>
  <c r="CT68" i="5"/>
  <c r="CR68" i="5"/>
  <c r="CQ68" i="5"/>
  <c r="CW68" i="5"/>
  <c r="CV68" i="5"/>
  <c r="CU68" i="5"/>
  <c r="AY68" i="5" a="1"/>
  <c r="AY68" i="5" s="1"/>
  <c r="BL68" i="5" a="1"/>
  <c r="BL68" i="5" s="1"/>
  <c r="BI68" i="5" a="1"/>
  <c r="BI68" i="5" s="1"/>
  <c r="BG68" i="5" a="1"/>
  <c r="BG68" i="5" s="1"/>
  <c r="BB68" i="5" a="1"/>
  <c r="BB68" i="5" s="1"/>
  <c r="BJ68" i="5" a="1"/>
  <c r="BJ68" i="5" s="1"/>
  <c r="AZ68" i="5" a="1"/>
  <c r="AZ68" i="5" s="1"/>
  <c r="BA68" i="5" a="1"/>
  <c r="BA68" i="5" s="1"/>
  <c r="V66" i="2"/>
  <c r="CX61" i="8"/>
  <c r="CY61" i="8" s="1"/>
  <c r="F71" i="8"/>
  <c r="BP67" i="5" a="1"/>
  <c r="BP67" i="5" s="1"/>
  <c r="J67" i="2" s="1"/>
  <c r="O72" i="1"/>
  <c r="CE62" i="8"/>
  <c r="CX62" i="8" s="1"/>
  <c r="CY62" i="8" s="1"/>
  <c r="BT63" i="8"/>
  <c r="BO63" i="8"/>
  <c r="BP63" i="8"/>
  <c r="BM63" i="8"/>
  <c r="BN63" i="8"/>
  <c r="BK63" i="8"/>
  <c r="BL63" i="8"/>
  <c r="BJ63" i="8"/>
  <c r="AC63" i="10"/>
  <c r="X63" i="10" s="1"/>
  <c r="AH67" i="11"/>
  <c r="DF66" i="5"/>
  <c r="DE66" i="5"/>
  <c r="AJ67" i="1"/>
  <c r="AM67" i="1"/>
  <c r="DB66" i="5"/>
  <c r="DH66" i="5"/>
  <c r="Y65" i="1"/>
  <c r="DJ66" i="5"/>
  <c r="K69" i="11"/>
  <c r="A69" i="14"/>
  <c r="CA69" i="14" s="1"/>
  <c r="A69" i="9"/>
  <c r="A69" i="7"/>
  <c r="R69" i="7" s="1"/>
  <c r="A69" i="5"/>
  <c r="A69" i="2"/>
  <c r="A69" i="8"/>
  <c r="AK67" i="11"/>
  <c r="AU68" i="8"/>
  <c r="AE68" i="8"/>
  <c r="W65" i="1"/>
  <c r="AF65" i="1"/>
  <c r="AM68" i="14" a="1"/>
  <c r="AM68" i="14" s="1"/>
  <c r="AT68" i="14" a="1"/>
  <c r="AT68" i="14" s="1"/>
  <c r="BA68" i="14" a="1"/>
  <c r="BA68" i="14" s="1"/>
  <c r="AR68" i="14" a="1"/>
  <c r="AR68" i="14" s="1"/>
  <c r="U68" i="14" a="1"/>
  <c r="U68" i="14" s="1"/>
  <c r="S68" i="14" a="1"/>
  <c r="S68" i="14" s="1"/>
  <c r="BN68" i="14" a="1"/>
  <c r="BN68" i="14" s="1"/>
  <c r="Q68" i="14" a="1"/>
  <c r="Q68" i="14" s="1"/>
  <c r="BS68" i="14" a="1"/>
  <c r="BS68" i="14" s="1"/>
  <c r="O68" i="14" a="1"/>
  <c r="O68" i="14" s="1"/>
  <c r="V68" i="14" a="1"/>
  <c r="V68" i="14" s="1"/>
  <c r="AC68" i="14" a="1"/>
  <c r="AC68" i="14" s="1"/>
  <c r="AB68" i="14" a="1"/>
  <c r="AB68" i="14" s="1"/>
  <c r="AQ68" i="14" a="1"/>
  <c r="AQ68" i="14" s="1"/>
  <c r="AF68" i="14" a="1"/>
  <c r="AF68" i="14" s="1"/>
  <c r="BV68" i="14" a="1"/>
  <c r="BV68" i="14" s="1"/>
  <c r="M68" i="14" a="1"/>
  <c r="M68" i="14" s="1"/>
  <c r="BT68" i="14" a="1"/>
  <c r="BT68" i="14" s="1"/>
  <c r="BR68" i="14" a="1"/>
  <c r="BR68" i="14" s="1"/>
  <c r="X68" i="14" a="1"/>
  <c r="X68" i="14" s="1"/>
  <c r="AK68" i="14" a="1"/>
  <c r="AK68" i="14" s="1"/>
  <c r="AJ68" i="14" a="1"/>
  <c r="AJ68" i="14" s="1"/>
  <c r="BF68" i="14" a="1"/>
  <c r="BF68" i="14" s="1"/>
  <c r="Z68" i="14" a="1"/>
  <c r="Z68" i="14" s="1"/>
  <c r="BL68" i="14" a="1"/>
  <c r="BL68" i="14" s="1"/>
  <c r="BU68" i="14" a="1"/>
  <c r="BU68" i="14" s="1"/>
  <c r="AV68" i="14" a="1"/>
  <c r="AV68" i="14" s="1"/>
  <c r="W68" i="14" a="1"/>
  <c r="W68" i="14" s="1"/>
  <c r="BD68" i="14" a="1"/>
  <c r="BD68" i="14" s="1"/>
  <c r="AZ68" i="14" a="1"/>
  <c r="AZ68" i="14" s="1"/>
  <c r="T68" i="14" a="1"/>
  <c r="T68" i="14" s="1"/>
  <c r="AA68" i="14" a="1"/>
  <c r="AA68" i="14" s="1"/>
  <c r="BE68" i="14" a="1"/>
  <c r="BE68" i="14" s="1"/>
  <c r="AO68" i="14" a="1"/>
  <c r="AO68" i="14" s="1"/>
  <c r="BK68" i="14" a="1"/>
  <c r="BK68" i="14" s="1"/>
  <c r="BB68" i="14" a="1"/>
  <c r="BB68" i="14" s="1"/>
  <c r="BQ68" i="14" a="1"/>
  <c r="BQ68" i="14" s="1"/>
  <c r="BP68" i="14" a="1"/>
  <c r="BP68" i="14" s="1"/>
  <c r="AN68" i="14" a="1"/>
  <c r="AN68" i="14" s="1"/>
  <c r="BO68" i="14" a="1"/>
  <c r="BO68" i="14" s="1"/>
  <c r="AP68" i="14" a="1"/>
  <c r="AP68" i="14" s="1"/>
  <c r="Y68" i="14" a="1"/>
  <c r="Y68" i="14" s="1"/>
  <c r="AE68" i="14" a="1"/>
  <c r="AE68" i="14" s="1"/>
  <c r="BJ68" i="14" a="1"/>
  <c r="BJ68" i="14" s="1"/>
  <c r="AL68" i="14" a="1"/>
  <c r="AL68" i="14" s="1"/>
  <c r="BZ68" i="14" a="1"/>
  <c r="BZ68" i="14" s="1"/>
  <c r="BY68" i="14" a="1"/>
  <c r="BY68" i="14" s="1"/>
  <c r="AY68" i="14" a="1"/>
  <c r="AY68" i="14" s="1"/>
  <c r="AX68" i="14" a="1"/>
  <c r="AX68" i="14" s="1"/>
  <c r="BM68" i="14" a="1"/>
  <c r="BM68" i="14" s="1"/>
  <c r="AD68" i="14" a="1"/>
  <c r="AD68" i="14" s="1"/>
  <c r="BG68" i="14" a="1"/>
  <c r="BG68" i="14" s="1"/>
  <c r="N68" i="14" a="1"/>
  <c r="N68" i="14" s="1"/>
  <c r="AI68" i="14" a="1"/>
  <c r="AI68" i="14" s="1"/>
  <c r="AS68" i="14" a="1"/>
  <c r="AS68" i="14" s="1"/>
  <c r="R68" i="14" a="1"/>
  <c r="R68" i="14" s="1"/>
  <c r="AL68" i="1" s="1"/>
  <c r="BI68" i="14" a="1"/>
  <c r="BI68" i="14" s="1"/>
  <c r="AH68" i="14" a="1"/>
  <c r="AH68" i="14" s="1"/>
  <c r="BH68" i="14" a="1"/>
  <c r="BH68" i="14" s="1"/>
  <c r="AW68" i="14" a="1"/>
  <c r="AW68" i="14" s="1"/>
  <c r="BX68" i="14" a="1"/>
  <c r="BX68" i="14" s="1"/>
  <c r="AG68" i="14" a="1"/>
  <c r="AG68" i="14" s="1"/>
  <c r="BC68" i="14" a="1"/>
  <c r="BC68" i="14" s="1"/>
  <c r="BW68" i="14" a="1"/>
  <c r="BW68" i="14" s="1"/>
  <c r="AU68" i="14" a="1"/>
  <c r="AU68" i="14" s="1"/>
  <c r="P68" i="14" a="1"/>
  <c r="P68" i="14" s="1"/>
  <c r="CS61" i="8"/>
  <c r="F65" i="5"/>
  <c r="B66" i="5"/>
  <c r="BY68" i="11"/>
  <c r="AA67" i="7"/>
  <c r="AF67" i="8" s="1"/>
  <c r="AV67" i="8" s="1"/>
  <c r="K67" i="10"/>
  <c r="L67" i="11"/>
  <c r="B66" i="2"/>
  <c r="B66" i="1"/>
  <c r="BG66" i="1" s="1"/>
  <c r="BU66" i="5"/>
  <c r="AH66" i="5"/>
  <c r="G67" i="5"/>
  <c r="D66" i="7"/>
  <c r="B66" i="10"/>
  <c r="L67" i="5"/>
  <c r="G66" i="10"/>
  <c r="I66" i="7"/>
  <c r="I67" i="5"/>
  <c r="D66" i="10"/>
  <c r="F66" i="7"/>
  <c r="M67" i="5"/>
  <c r="H66" i="10"/>
  <c r="J66" i="7"/>
  <c r="J67" i="5"/>
  <c r="DC67" i="5" s="1"/>
  <c r="E66" i="10"/>
  <c r="G66" i="7"/>
  <c r="K67" i="5"/>
  <c r="F66" i="10"/>
  <c r="H66" i="7"/>
  <c r="DD66" i="5"/>
  <c r="H67" i="5"/>
  <c r="C66" i="10"/>
  <c r="E66" i="7"/>
  <c r="CQ62" i="8"/>
  <c r="CU62" i="8" s="1"/>
  <c r="DB62" i="8"/>
  <c r="CI63" i="8"/>
  <c r="DA63" i="8" s="1"/>
  <c r="D64" i="9"/>
  <c r="DH64" i="8"/>
  <c r="DI64" i="8" s="1"/>
  <c r="CK64" i="8"/>
  <c r="BW64" i="8"/>
  <c r="AC64" i="1" s="1"/>
  <c r="BX63" i="8"/>
  <c r="CD63" i="8" s="1"/>
  <c r="N63" i="7"/>
  <c r="BH64" i="8"/>
  <c r="BU64" i="8" s="1"/>
  <c r="BI64" i="8"/>
  <c r="AH75" i="9"/>
  <c r="CR62" i="8"/>
  <c r="AA62" i="11"/>
  <c r="AK62" i="1" s="1"/>
  <c r="Z62" i="11"/>
  <c r="AB62" i="11"/>
  <c r="Q62" i="8" s="1"/>
  <c r="AD62" i="11"/>
  <c r="AI62" i="1" s="1"/>
  <c r="AC62" i="11"/>
  <c r="U62" i="8" s="1"/>
  <c r="Y62" i="11"/>
  <c r="AH62" i="1" s="1"/>
  <c r="N63" i="11"/>
  <c r="CA63" i="8"/>
  <c r="CB63" i="8"/>
  <c r="CT63" i="8" s="1"/>
  <c r="BY63" i="8"/>
  <c r="BZ63" i="8"/>
  <c r="CC63" i="8"/>
  <c r="CV63" i="8" s="1"/>
  <c r="CW63" i="8" s="1"/>
  <c r="CH63" i="8"/>
  <c r="CZ63" i="8" s="1"/>
  <c r="B62" i="14"/>
  <c r="Q63" i="7"/>
  <c r="AE63" i="7"/>
  <c r="AF63" i="7" s="1"/>
  <c r="CZ66" i="5"/>
  <c r="AI64" i="5"/>
  <c r="B64" i="9"/>
  <c r="Y64" i="9" s="1"/>
  <c r="B64" i="7"/>
  <c r="A64" i="11"/>
  <c r="A64" i="10"/>
  <c r="AA64" i="10" s="1"/>
  <c r="AC64" i="8"/>
  <c r="BQ64" i="8" s="1"/>
  <c r="BT64" i="5"/>
  <c r="AJ64" i="5"/>
  <c r="AP64" i="5" s="1"/>
  <c r="X64" i="8"/>
  <c r="DD64" i="8" s="1"/>
  <c r="E64" i="1"/>
  <c r="AB66" i="1"/>
  <c r="DI66" i="5"/>
  <c r="C66" i="5"/>
  <c r="DA65" i="5"/>
  <c r="DG65" i="5" s="1" a="1"/>
  <c r="DG65" i="5" s="1"/>
  <c r="AG75" i="9"/>
  <c r="AK75" i="9"/>
  <c r="N51" i="1"/>
  <c r="S68" i="2"/>
  <c r="N69" i="2"/>
  <c r="R69" i="2"/>
  <c r="Q68" i="2"/>
  <c r="J70" i="10"/>
  <c r="N70" i="5" s="1"/>
  <c r="P70" i="2"/>
  <c r="AQ91" i="9" l="1"/>
  <c r="CM91" i="8" s="1"/>
  <c r="AO64" i="5"/>
  <c r="AM64" i="5"/>
  <c r="AN64" i="5"/>
  <c r="AR64" i="5" s="1"/>
  <c r="AV65" i="5"/>
  <c r="AW65" i="5"/>
  <c r="AG63" i="7"/>
  <c r="AI63" i="7" s="1"/>
  <c r="CL65" i="8"/>
  <c r="AI87" i="9"/>
  <c r="AO87" i="8" s="1"/>
  <c r="G70" i="8"/>
  <c r="CF69" i="8"/>
  <c r="O69" i="2"/>
  <c r="AQ63" i="5"/>
  <c r="AS68" i="5"/>
  <c r="BD69" i="5" a="1"/>
  <c r="BD69" i="5" s="1"/>
  <c r="BG69" i="5" a="1"/>
  <c r="BG69" i="5" s="1"/>
  <c r="AM76" i="9"/>
  <c r="BR64" i="8"/>
  <c r="BS64" i="8"/>
  <c r="AD67" i="1"/>
  <c r="BA69" i="5" a="1"/>
  <c r="BA69" i="5" s="1"/>
  <c r="BE69" i="5" a="1"/>
  <c r="BE69" i="5" s="1"/>
  <c r="AZ69" i="5" a="1"/>
  <c r="AZ69" i="5" s="1"/>
  <c r="BQ69" i="5" a="1"/>
  <c r="BQ69" i="5" s="1"/>
  <c r="BJ69" i="5" a="1"/>
  <c r="BJ69" i="5" s="1"/>
  <c r="BO69" i="5" a="1"/>
  <c r="BO69" i="5" s="1"/>
  <c r="BB69" i="5" a="1"/>
  <c r="BB69" i="5" s="1"/>
  <c r="BM69" i="5" a="1"/>
  <c r="BM69" i="5" s="1"/>
  <c r="BN69" i="5" a="1"/>
  <c r="BN69" i="5" s="1"/>
  <c r="BI69" i="5" a="1"/>
  <c r="BI69" i="5" s="1"/>
  <c r="BF69" i="5" a="1"/>
  <c r="BF69" i="5" s="1"/>
  <c r="AE68" i="1" s="1"/>
  <c r="BC69" i="5" a="1"/>
  <c r="BC69" i="5" s="1"/>
  <c r="CT69" i="5"/>
  <c r="CS69" i="5"/>
  <c r="CV69" i="5"/>
  <c r="CR69" i="5"/>
  <c r="CQ69" i="5"/>
  <c r="CW69" i="5"/>
  <c r="CU69" i="5"/>
  <c r="AY69" i="5" a="1"/>
  <c r="AY69" i="5" s="1"/>
  <c r="BL69" i="5" a="1"/>
  <c r="BL69" i="5" s="1"/>
  <c r="BK69" i="5" a="1"/>
  <c r="BK69" i="5" s="1"/>
  <c r="BH69" i="5" a="1"/>
  <c r="BH69" i="5" s="1"/>
  <c r="V67" i="2"/>
  <c r="F72" i="8"/>
  <c r="BP68" i="5" a="1"/>
  <c r="BP68" i="5" s="1"/>
  <c r="J68" i="2" s="1"/>
  <c r="O73" i="1"/>
  <c r="BX64" i="8"/>
  <c r="CE64" i="8" s="1"/>
  <c r="BT64" i="8"/>
  <c r="BO64" i="8"/>
  <c r="BP64" i="8"/>
  <c r="BM64" i="8"/>
  <c r="BN64" i="8"/>
  <c r="BK64" i="8"/>
  <c r="BL64" i="8"/>
  <c r="BJ64" i="8"/>
  <c r="AC64" i="10"/>
  <c r="X64" i="10" s="1"/>
  <c r="AH68" i="11"/>
  <c r="DF67" i="5"/>
  <c r="AJ68" i="1"/>
  <c r="DE67" i="5"/>
  <c r="AE69" i="8"/>
  <c r="AU69" i="8"/>
  <c r="W66" i="1"/>
  <c r="Y66" i="1"/>
  <c r="DJ67" i="5"/>
  <c r="DH67" i="5"/>
  <c r="AM68" i="1"/>
  <c r="BC69" i="14" a="1"/>
  <c r="BC69" i="14" s="1"/>
  <c r="AT69" i="14" a="1"/>
  <c r="AT69" i="14" s="1"/>
  <c r="V69" i="14" a="1"/>
  <c r="V69" i="14" s="1"/>
  <c r="AJ69" i="14" a="1"/>
  <c r="AJ69" i="14" s="1"/>
  <c r="T69" i="14" a="1"/>
  <c r="T69" i="14" s="1"/>
  <c r="AQ69" i="14" a="1"/>
  <c r="AQ69" i="14" s="1"/>
  <c r="AX69" i="14" a="1"/>
  <c r="AX69" i="14" s="1"/>
  <c r="BE69" i="14" a="1"/>
  <c r="BE69" i="14" s="1"/>
  <c r="BK69" i="14" a="1"/>
  <c r="BK69" i="14" s="1"/>
  <c r="AD69" i="14" a="1"/>
  <c r="AD69" i="14" s="1"/>
  <c r="AK69" i="14" a="1"/>
  <c r="AK69" i="14" s="1"/>
  <c r="P69" i="14" a="1"/>
  <c r="P69" i="14" s="1"/>
  <c r="BO69" i="14" a="1"/>
  <c r="BO69" i="14" s="1"/>
  <c r="AA69" i="14" a="1"/>
  <c r="AA69" i="14" s="1"/>
  <c r="Z69" i="14" a="1"/>
  <c r="Z69" i="14" s="1"/>
  <c r="AO69" i="14" a="1"/>
  <c r="AO69" i="14" s="1"/>
  <c r="W69" i="14" a="1"/>
  <c r="W69" i="14" s="1"/>
  <c r="AE69" i="14" a="1"/>
  <c r="AE69" i="14" s="1"/>
  <c r="U69" i="14" a="1"/>
  <c r="U69" i="14" s="1"/>
  <c r="BY69" i="14" a="1"/>
  <c r="BY69" i="14" s="1"/>
  <c r="BW69" i="14" a="1"/>
  <c r="BW69" i="14" s="1"/>
  <c r="BV69" i="14" a="1"/>
  <c r="BV69" i="14" s="1"/>
  <c r="BM69" i="14" a="1"/>
  <c r="BM69" i="14" s="1"/>
  <c r="AG69" i="14" a="1"/>
  <c r="AG69" i="14" s="1"/>
  <c r="AV69" i="14" a="1"/>
  <c r="AV69" i="14" s="1"/>
  <c r="O69" i="14" a="1"/>
  <c r="O69" i="14" s="1"/>
  <c r="BJ69" i="14" a="1"/>
  <c r="BJ69" i="14" s="1"/>
  <c r="BA69" i="14" a="1"/>
  <c r="BA69" i="14" s="1"/>
  <c r="AR69" i="14" a="1"/>
  <c r="AR69" i="14" s="1"/>
  <c r="AI69" i="14" a="1"/>
  <c r="AI69" i="14" s="1"/>
  <c r="BF69" i="14" a="1"/>
  <c r="BF69" i="14" s="1"/>
  <c r="S69" i="14" a="1"/>
  <c r="S69" i="14" s="1"/>
  <c r="M69" i="14" a="1"/>
  <c r="M69" i="14" s="1"/>
  <c r="BS69" i="14" a="1"/>
  <c r="BS69" i="14" s="1"/>
  <c r="X69" i="14" a="1"/>
  <c r="X69" i="14" s="1"/>
  <c r="N69" i="14" a="1"/>
  <c r="N69" i="14" s="1"/>
  <c r="AS69" i="14" a="1"/>
  <c r="AS69" i="14" s="1"/>
  <c r="BP69" i="14" a="1"/>
  <c r="BP69" i="14" s="1"/>
  <c r="BN69" i="14" a="1"/>
  <c r="BN69" i="14" s="1"/>
  <c r="AH69" i="14" a="1"/>
  <c r="AH69" i="14" s="1"/>
  <c r="AP69" i="14" a="1"/>
  <c r="AP69" i="14" s="1"/>
  <c r="Q69" i="14" a="1"/>
  <c r="Q69" i="14" s="1"/>
  <c r="AU69" i="14" a="1"/>
  <c r="AU69" i="14" s="1"/>
  <c r="AL69" i="14" a="1"/>
  <c r="AL69" i="14" s="1"/>
  <c r="BI69" i="14" a="1"/>
  <c r="BI69" i="14" s="1"/>
  <c r="BH69" i="14" a="1"/>
  <c r="BH69" i="14" s="1"/>
  <c r="BZ69" i="14" a="1"/>
  <c r="BZ69" i="14" s="1"/>
  <c r="AY69" i="14" a="1"/>
  <c r="AY69" i="14" s="1"/>
  <c r="AF69" i="14" a="1"/>
  <c r="AF69" i="14" s="1"/>
  <c r="BU69" i="14" a="1"/>
  <c r="BU69" i="14" s="1"/>
  <c r="AM69" i="14" a="1"/>
  <c r="AM69" i="14" s="1"/>
  <c r="BB69" i="14" a="1"/>
  <c r="BB69" i="14" s="1"/>
  <c r="BD69" i="14" a="1"/>
  <c r="BD69" i="14" s="1"/>
  <c r="AZ69" i="14" a="1"/>
  <c r="AZ69" i="14" s="1"/>
  <c r="BX69" i="14" a="1"/>
  <c r="BX69" i="14" s="1"/>
  <c r="AN69" i="14" a="1"/>
  <c r="AN69" i="14" s="1"/>
  <c r="BL69" i="14" a="1"/>
  <c r="BL69" i="14" s="1"/>
  <c r="Y69" i="14" a="1"/>
  <c r="Y69" i="14" s="1"/>
  <c r="BQ69" i="14" a="1"/>
  <c r="BQ69" i="14" s="1"/>
  <c r="AC69" i="14" a="1"/>
  <c r="AC69" i="14" s="1"/>
  <c r="AB69" i="14" a="1"/>
  <c r="AB69" i="14" s="1"/>
  <c r="BG69" i="14" a="1"/>
  <c r="BG69" i="14" s="1"/>
  <c r="AW69" i="14" a="1"/>
  <c r="AW69" i="14" s="1"/>
  <c r="R69" i="14" a="1"/>
  <c r="R69" i="14" s="1"/>
  <c r="AL69" i="1" s="1"/>
  <c r="BT69" i="14" a="1"/>
  <c r="BT69" i="14" s="1"/>
  <c r="BR69" i="14" a="1"/>
  <c r="BR69" i="14" s="1"/>
  <c r="K70" i="11"/>
  <c r="A70" i="14"/>
  <c r="CA70" i="14" s="1"/>
  <c r="A70" i="5"/>
  <c r="A70" i="9"/>
  <c r="A70" i="7"/>
  <c r="R70" i="7" s="1"/>
  <c r="A70" i="2"/>
  <c r="A70" i="8"/>
  <c r="AF66" i="1"/>
  <c r="AK68" i="11"/>
  <c r="AC65" i="8"/>
  <c r="BQ65" i="8" s="1"/>
  <c r="BW65" i="8"/>
  <c r="AI65" i="5"/>
  <c r="CS62" i="8"/>
  <c r="B65" i="9"/>
  <c r="Y65" i="9" s="1"/>
  <c r="AJ65" i="5"/>
  <c r="AP65" i="5" s="1"/>
  <c r="BI65" i="8"/>
  <c r="B65" i="7"/>
  <c r="Q65" i="7" s="1"/>
  <c r="BH65" i="8"/>
  <c r="BU65" i="8" s="1"/>
  <c r="BT65" i="5"/>
  <c r="A65" i="10"/>
  <c r="AA65" i="10" s="1"/>
  <c r="DH65" i="8"/>
  <c r="DI65" i="8" s="1"/>
  <c r="F66" i="5"/>
  <c r="CK65" i="8"/>
  <c r="E65" i="1"/>
  <c r="A65" i="11"/>
  <c r="AB64" i="11" s="1"/>
  <c r="Q64" i="8" s="1"/>
  <c r="X65" i="8"/>
  <c r="DD65" i="8" s="1"/>
  <c r="B67" i="2"/>
  <c r="B67" i="1"/>
  <c r="BG67" i="1" s="1"/>
  <c r="AH67" i="5"/>
  <c r="BU67" i="5"/>
  <c r="BY69" i="11"/>
  <c r="AA68" i="7"/>
  <c r="AF68" i="8" s="1"/>
  <c r="AV68" i="8" s="1"/>
  <c r="K68" i="10"/>
  <c r="L68" i="11"/>
  <c r="I68" i="5"/>
  <c r="D67" i="10"/>
  <c r="F67" i="7"/>
  <c r="H68" i="5"/>
  <c r="C67" i="10"/>
  <c r="E67" i="7"/>
  <c r="J68" i="5"/>
  <c r="E67" i="10"/>
  <c r="G67" i="7"/>
  <c r="L68" i="5"/>
  <c r="G67" i="10"/>
  <c r="I67" i="7"/>
  <c r="B67" i="5"/>
  <c r="M68" i="5"/>
  <c r="H67" i="10"/>
  <c r="J67" i="7"/>
  <c r="G68" i="5"/>
  <c r="D67" i="7"/>
  <c r="B67" i="10"/>
  <c r="DB67" i="5"/>
  <c r="K68" i="5"/>
  <c r="F67" i="10"/>
  <c r="H67" i="7"/>
  <c r="DD67" i="5"/>
  <c r="CQ63" i="8"/>
  <c r="CU63" i="8" s="1"/>
  <c r="DB63" i="8"/>
  <c r="D65" i="9"/>
  <c r="CI64" i="8"/>
  <c r="DA64" i="8" s="1"/>
  <c r="CE63" i="8"/>
  <c r="CX63" i="8" s="1"/>
  <c r="CY63" i="8" s="1"/>
  <c r="N64" i="7"/>
  <c r="AH76" i="9"/>
  <c r="CR63" i="8"/>
  <c r="AD63" i="11"/>
  <c r="AI63" i="1" s="1"/>
  <c r="AB63" i="11"/>
  <c r="Q63" i="8" s="1"/>
  <c r="AC63" i="11"/>
  <c r="U63" i="8" s="1"/>
  <c r="Y63" i="11"/>
  <c r="AH63" i="1" s="1"/>
  <c r="N64" i="11"/>
  <c r="Z63" i="11"/>
  <c r="AA63" i="11"/>
  <c r="AK63" i="1" s="1"/>
  <c r="Q64" i="7"/>
  <c r="AE64" i="7"/>
  <c r="AF64" i="7" s="1"/>
  <c r="CZ67" i="5"/>
  <c r="B63" i="14"/>
  <c r="BY64" i="8"/>
  <c r="BZ64" i="8"/>
  <c r="CH64" i="8"/>
  <c r="CZ64" i="8" s="1"/>
  <c r="CC64" i="8"/>
  <c r="CV64" i="8" s="1"/>
  <c r="CW64" i="8" s="1"/>
  <c r="CA64" i="8"/>
  <c r="CB64" i="8"/>
  <c r="CT64" i="8" s="1"/>
  <c r="DA66" i="5"/>
  <c r="DG66" i="5" s="1" a="1"/>
  <c r="DG66" i="5" s="1"/>
  <c r="AB67" i="1"/>
  <c r="DI67" i="5"/>
  <c r="AG76" i="9"/>
  <c r="AK76" i="9"/>
  <c r="N52" i="1"/>
  <c r="S69" i="2"/>
  <c r="N70" i="2"/>
  <c r="R70" i="2"/>
  <c r="Q69" i="2"/>
  <c r="J71" i="10"/>
  <c r="N71" i="5" s="1"/>
  <c r="P71" i="2"/>
  <c r="AQ92" i="9" l="1"/>
  <c r="CM92" i="8" s="1"/>
  <c r="AO65" i="5"/>
  <c r="AM65" i="5"/>
  <c r="AN65" i="5"/>
  <c r="AR65" i="5" s="1"/>
  <c r="AV66" i="5"/>
  <c r="AW66" i="5"/>
  <c r="AG64" i="7"/>
  <c r="AI64" i="7" s="1"/>
  <c r="CL66" i="8"/>
  <c r="CA65" i="8"/>
  <c r="AC65" i="1"/>
  <c r="AI88" i="9"/>
  <c r="AO88" i="8" s="1"/>
  <c r="G71" i="8"/>
  <c r="CF70" i="8"/>
  <c r="O70" i="2"/>
  <c r="AQ64" i="5"/>
  <c r="AS69" i="5"/>
  <c r="BD70" i="5" a="1"/>
  <c r="BD70" i="5" s="1"/>
  <c r="BI70" i="5" a="1"/>
  <c r="BI70" i="5" s="1"/>
  <c r="BN70" i="5" a="1"/>
  <c r="BN70" i="5" s="1"/>
  <c r="BC70" i="5" a="1"/>
  <c r="BC70" i="5" s="1"/>
  <c r="AM77" i="9"/>
  <c r="BR65" i="8"/>
  <c r="BS65" i="8"/>
  <c r="AD68" i="1"/>
  <c r="BF70" i="5" a="1"/>
  <c r="BF70" i="5" s="1"/>
  <c r="AE69" i="1" s="1"/>
  <c r="BG70" i="5" a="1"/>
  <c r="BG70" i="5" s="1"/>
  <c r="BH70" i="5" a="1"/>
  <c r="BH70" i="5" s="1"/>
  <c r="BK70" i="5" a="1"/>
  <c r="BK70" i="5" s="1"/>
  <c r="BM70" i="5" a="1"/>
  <c r="BM70" i="5" s="1"/>
  <c r="BB70" i="5" a="1"/>
  <c r="BB70" i="5" s="1"/>
  <c r="BO70" i="5" a="1"/>
  <c r="BO70" i="5" s="1"/>
  <c r="BJ70" i="5" a="1"/>
  <c r="BJ70" i="5" s="1"/>
  <c r="BQ70" i="5" a="1"/>
  <c r="BQ70" i="5" s="1"/>
  <c r="AZ70" i="5" a="1"/>
  <c r="AZ70" i="5" s="1"/>
  <c r="CW70" i="5"/>
  <c r="CT70" i="5"/>
  <c r="CR70" i="5"/>
  <c r="CS70" i="5"/>
  <c r="CQ70" i="5"/>
  <c r="CU70" i="5"/>
  <c r="CV70" i="5"/>
  <c r="BL70" i="5" a="1"/>
  <c r="BL70" i="5" s="1"/>
  <c r="AY70" i="5" a="1"/>
  <c r="AY70" i="5" s="1"/>
  <c r="BE70" i="5" a="1"/>
  <c r="BE70" i="5" s="1"/>
  <c r="BA70" i="5" a="1"/>
  <c r="BA70" i="5" s="1"/>
  <c r="V68" i="2"/>
  <c r="F73" i="8"/>
  <c r="CD64" i="8"/>
  <c r="BP69" i="5" a="1"/>
  <c r="BP69" i="5" s="1"/>
  <c r="J69" i="2" s="1"/>
  <c r="O74" i="1"/>
  <c r="BT65" i="8"/>
  <c r="BO65" i="8"/>
  <c r="BP65" i="8"/>
  <c r="BM65" i="8"/>
  <c r="BN65" i="8"/>
  <c r="BK65" i="8"/>
  <c r="BL65" i="8"/>
  <c r="BJ65" i="8"/>
  <c r="AH69" i="11"/>
  <c r="AC65" i="10"/>
  <c r="X65" i="10" s="1"/>
  <c r="BW66" i="8"/>
  <c r="DF68" i="5"/>
  <c r="AK69" i="11"/>
  <c r="AJ69" i="1"/>
  <c r="DB68" i="5"/>
  <c r="DE68" i="5"/>
  <c r="AE70" i="8"/>
  <c r="AU70" i="8"/>
  <c r="W67" i="1"/>
  <c r="AF67" i="1"/>
  <c r="AM69" i="1"/>
  <c r="BK70" i="14" a="1"/>
  <c r="BK70" i="14" s="1"/>
  <c r="BB70" i="14" a="1"/>
  <c r="BB70" i="14" s="1"/>
  <c r="BI70" i="14" a="1"/>
  <c r="BI70" i="14" s="1"/>
  <c r="AR70" i="14" a="1"/>
  <c r="AR70" i="14" s="1"/>
  <c r="AC70" i="14" a="1"/>
  <c r="AC70" i="14" s="1"/>
  <c r="AF70" i="14" a="1"/>
  <c r="AF70" i="14" s="1"/>
  <c r="AH70" i="14" a="1"/>
  <c r="AH70" i="14" s="1"/>
  <c r="Z70" i="14" a="1"/>
  <c r="Z70" i="14" s="1"/>
  <c r="AU70" i="14" a="1"/>
  <c r="AU70" i="14" s="1"/>
  <c r="V70" i="14" a="1"/>
  <c r="V70" i="14" s="1"/>
  <c r="BD70" i="14" a="1"/>
  <c r="BD70" i="14" s="1"/>
  <c r="X70" i="14" a="1"/>
  <c r="X70" i="14" s="1"/>
  <c r="BJ70" i="14" a="1"/>
  <c r="BJ70" i="14" s="1"/>
  <c r="U70" i="14" a="1"/>
  <c r="U70" i="14" s="1"/>
  <c r="BY70" i="14" a="1"/>
  <c r="BY70" i="14" s="1"/>
  <c r="AB70" i="14" a="1"/>
  <c r="AB70" i="14" s="1"/>
  <c r="BN70" i="14" a="1"/>
  <c r="BN70" i="14" s="1"/>
  <c r="BM70" i="14" a="1"/>
  <c r="BM70" i="14" s="1"/>
  <c r="AG70" i="14" a="1"/>
  <c r="AG70" i="14" s="1"/>
  <c r="O70" i="14" a="1"/>
  <c r="O70" i="14" s="1"/>
  <c r="AK70" i="14" a="1"/>
  <c r="AK70" i="14" s="1"/>
  <c r="BX70" i="14" a="1"/>
  <c r="BX70" i="14" s="1"/>
  <c r="AY70" i="14" a="1"/>
  <c r="AY70" i="14" s="1"/>
  <c r="AX70" i="14" a="1"/>
  <c r="AX70" i="14" s="1"/>
  <c r="M70" i="14" a="1"/>
  <c r="M70" i="14" s="1"/>
  <c r="AM70" i="14" a="1"/>
  <c r="AM70" i="14" s="1"/>
  <c r="BA70" i="14" a="1"/>
  <c r="BA70" i="14" s="1"/>
  <c r="BW70" i="14" a="1"/>
  <c r="BW70" i="14" s="1"/>
  <c r="S70" i="14" a="1"/>
  <c r="S70" i="14" s="1"/>
  <c r="BU70" i="14" a="1"/>
  <c r="BU70" i="14" s="1"/>
  <c r="BS70" i="14" a="1"/>
  <c r="BS70" i="14" s="1"/>
  <c r="N70" i="14" a="1"/>
  <c r="N70" i="14" s="1"/>
  <c r="AS70" i="14" a="1"/>
  <c r="AS70" i="14" s="1"/>
  <c r="AN70" i="14" a="1"/>
  <c r="AN70" i="14" s="1"/>
  <c r="BV70" i="14" a="1"/>
  <c r="BV70" i="14" s="1"/>
  <c r="BL70" i="14" a="1"/>
  <c r="BL70" i="14" s="1"/>
  <c r="AV70" i="14" a="1"/>
  <c r="AV70" i="14" s="1"/>
  <c r="BR70" i="14" a="1"/>
  <c r="BR70" i="14" s="1"/>
  <c r="BH70" i="14" a="1"/>
  <c r="BH70" i="14" s="1"/>
  <c r="BZ70" i="14" a="1"/>
  <c r="BZ70" i="14" s="1"/>
  <c r="BO70" i="14" a="1"/>
  <c r="BO70" i="14" s="1"/>
  <c r="AW70" i="14" a="1"/>
  <c r="AW70" i="14" s="1"/>
  <c r="BT70" i="14" a="1"/>
  <c r="BT70" i="14" s="1"/>
  <c r="AD70" i="14" a="1"/>
  <c r="AD70" i="14" s="1"/>
  <c r="BP70" i="14" a="1"/>
  <c r="BP70" i="14" s="1"/>
  <c r="T70" i="14" a="1"/>
  <c r="T70" i="14" s="1"/>
  <c r="AO70" i="14" a="1"/>
  <c r="AO70" i="14" s="1"/>
  <c r="R70" i="14" a="1"/>
  <c r="R70" i="14" s="1"/>
  <c r="AL70" i="1" s="1"/>
  <c r="BC70" i="14" a="1"/>
  <c r="BC70" i="14" s="1"/>
  <c r="AT70" i="14" a="1"/>
  <c r="AT70" i="14" s="1"/>
  <c r="AZ70" i="14" a="1"/>
  <c r="AZ70" i="14" s="1"/>
  <c r="AA70" i="14" a="1"/>
  <c r="AA70" i="14" s="1"/>
  <c r="BF70" i="14" a="1"/>
  <c r="BF70" i="14" s="1"/>
  <c r="Y70" i="14" a="1"/>
  <c r="Y70" i="14" s="1"/>
  <c r="AE70" i="14" a="1"/>
  <c r="AE70" i="14" s="1"/>
  <c r="AL70" i="14" a="1"/>
  <c r="AL70" i="14" s="1"/>
  <c r="P70" i="14" a="1"/>
  <c r="P70" i="14" s="1"/>
  <c r="BG70" i="14" a="1"/>
  <c r="BG70" i="14" s="1"/>
  <c r="AQ70" i="14" a="1"/>
  <c r="AQ70" i="14" s="1"/>
  <c r="BE70" i="14" a="1"/>
  <c r="BE70" i="14" s="1"/>
  <c r="W70" i="14" a="1"/>
  <c r="W70" i="14" s="1"/>
  <c r="BQ70" i="14" a="1"/>
  <c r="BQ70" i="14" s="1"/>
  <c r="AJ70" i="14" a="1"/>
  <c r="AJ70" i="14" s="1"/>
  <c r="AI70" i="14" a="1"/>
  <c r="AI70" i="14" s="1"/>
  <c r="AP70" i="14" a="1"/>
  <c r="AP70" i="14" s="1"/>
  <c r="Q70" i="14" a="1"/>
  <c r="Q70" i="14" s="1"/>
  <c r="Y67" i="1"/>
  <c r="DJ68" i="5"/>
  <c r="K71" i="11"/>
  <c r="A71" i="14"/>
  <c r="CA71" i="14" s="1"/>
  <c r="A71" i="5"/>
  <c r="A71" i="9"/>
  <c r="A71" i="2"/>
  <c r="A71" i="7"/>
  <c r="R71" i="7" s="1"/>
  <c r="A71" i="8"/>
  <c r="DH68" i="5"/>
  <c r="BY65" i="8"/>
  <c r="CB65" i="8"/>
  <c r="CT65" i="8" s="1"/>
  <c r="E66" i="1"/>
  <c r="CC65" i="8"/>
  <c r="CV65" i="8" s="1"/>
  <c r="CW65" i="8" s="1"/>
  <c r="BZ65" i="8"/>
  <c r="B66" i="7"/>
  <c r="AE66" i="7" s="1"/>
  <c r="AF66" i="7" s="1"/>
  <c r="B66" i="9"/>
  <c r="Y66" i="9" s="1"/>
  <c r="CH65" i="8"/>
  <c r="CZ65" i="8" s="1"/>
  <c r="BI66" i="8"/>
  <c r="DH66" i="8"/>
  <c r="DI66" i="8" s="1"/>
  <c r="X66" i="8"/>
  <c r="DD66" i="8" s="1"/>
  <c r="A66" i="11"/>
  <c r="Y65" i="11" s="1"/>
  <c r="AH65" i="1" s="1"/>
  <c r="A66" i="10"/>
  <c r="AA66" i="10" s="1"/>
  <c r="AJ66" i="5"/>
  <c r="AP66" i="5" s="1"/>
  <c r="CK66" i="8"/>
  <c r="BT66" i="5"/>
  <c r="BH66" i="8"/>
  <c r="BU66" i="8" s="1"/>
  <c r="AC66" i="8"/>
  <c r="BQ66" i="8" s="1"/>
  <c r="AI66" i="5"/>
  <c r="AC64" i="11"/>
  <c r="U64" i="8" s="1"/>
  <c r="D66" i="9"/>
  <c r="AA64" i="11"/>
  <c r="AK64" i="1" s="1"/>
  <c r="AD64" i="11"/>
  <c r="AI64" i="1" s="1"/>
  <c r="Z64" i="11"/>
  <c r="N65" i="11"/>
  <c r="Y64" i="11"/>
  <c r="AH64" i="1" s="1"/>
  <c r="N65" i="7"/>
  <c r="BX65" i="8"/>
  <c r="CD65" i="8" s="1"/>
  <c r="AE65" i="7"/>
  <c r="AF65" i="7" s="1"/>
  <c r="CI65" i="8"/>
  <c r="DA65" i="8" s="1"/>
  <c r="B68" i="5"/>
  <c r="CS63" i="8"/>
  <c r="BY70" i="11"/>
  <c r="K69" i="10"/>
  <c r="AA69" i="7"/>
  <c r="AF69" i="8" s="1"/>
  <c r="AV69" i="8" s="1"/>
  <c r="L69" i="11"/>
  <c r="B68" i="2"/>
  <c r="BU68" i="5"/>
  <c r="B68" i="1"/>
  <c r="BG68" i="1" s="1"/>
  <c r="AH68" i="5"/>
  <c r="J69" i="5"/>
  <c r="DC69" i="5" s="1"/>
  <c r="E68" i="10"/>
  <c r="G68" i="7"/>
  <c r="DC68" i="5"/>
  <c r="K69" i="5"/>
  <c r="F68" i="10"/>
  <c r="H68" i="7"/>
  <c r="DD68" i="5"/>
  <c r="M69" i="5"/>
  <c r="H68" i="10"/>
  <c r="J68" i="7"/>
  <c r="H69" i="5"/>
  <c r="C68" i="10"/>
  <c r="E68" i="7"/>
  <c r="G69" i="5"/>
  <c r="D68" i="7"/>
  <c r="B68" i="10"/>
  <c r="L69" i="5"/>
  <c r="G68" i="10"/>
  <c r="I68" i="7"/>
  <c r="I69" i="5"/>
  <c r="D68" i="10"/>
  <c r="F68" i="7"/>
  <c r="CQ64" i="8"/>
  <c r="CU64" i="8" s="1"/>
  <c r="DB64" i="8"/>
  <c r="AH77" i="9"/>
  <c r="CR64" i="8"/>
  <c r="CZ68" i="5"/>
  <c r="B64" i="14"/>
  <c r="C67" i="5"/>
  <c r="F67" i="5" s="1"/>
  <c r="AB68" i="1"/>
  <c r="DI68" i="5"/>
  <c r="DA67" i="5"/>
  <c r="DG67" i="5" s="1" a="1"/>
  <c r="DG67" i="5" s="1"/>
  <c r="AG77" i="9"/>
  <c r="AK77" i="9"/>
  <c r="N53" i="1"/>
  <c r="S70" i="2"/>
  <c r="N71" i="2"/>
  <c r="R71" i="2"/>
  <c r="Q70" i="2"/>
  <c r="J72" i="10"/>
  <c r="N72" i="5" s="1"/>
  <c r="P72" i="2"/>
  <c r="AQ93" i="9" l="1"/>
  <c r="CM93" i="8" s="1"/>
  <c r="AO66" i="5"/>
  <c r="AM66" i="5"/>
  <c r="AN66" i="5"/>
  <c r="AR66" i="5" s="1"/>
  <c r="AV67" i="5"/>
  <c r="AW67" i="5"/>
  <c r="AG66" i="7"/>
  <c r="AG65" i="7"/>
  <c r="AI65" i="7" s="1"/>
  <c r="CL67" i="8"/>
  <c r="CR65" i="8"/>
  <c r="CH66" i="8"/>
  <c r="CZ66" i="8" s="1"/>
  <c r="AC66" i="1"/>
  <c r="AI89" i="9"/>
  <c r="AO89" i="8" s="1"/>
  <c r="G72" i="8"/>
  <c r="CF71" i="8"/>
  <c r="O71" i="2"/>
  <c r="AS70" i="5"/>
  <c r="AQ65" i="5"/>
  <c r="BI71" i="5" a="1"/>
  <c r="BI71" i="5" s="1"/>
  <c r="AD69" i="1"/>
  <c r="BC71" i="5" a="1"/>
  <c r="BC71" i="5" s="1"/>
  <c r="BN71" i="5" a="1"/>
  <c r="BN71" i="5" s="1"/>
  <c r="BQ71" i="5" a="1"/>
  <c r="BQ71" i="5" s="1"/>
  <c r="AM78" i="9"/>
  <c r="BR66" i="8"/>
  <c r="BS66" i="8"/>
  <c r="AZ71" i="5" a="1"/>
  <c r="AZ71" i="5" s="1"/>
  <c r="BJ71" i="5" a="1"/>
  <c r="BJ71" i="5" s="1"/>
  <c r="BO71" i="5" a="1"/>
  <c r="BO71" i="5" s="1"/>
  <c r="BA71" i="5" a="1"/>
  <c r="BA71" i="5" s="1"/>
  <c r="BB71" i="5" a="1"/>
  <c r="BB71" i="5" s="1"/>
  <c r="BE71" i="5" a="1"/>
  <c r="BE71" i="5" s="1"/>
  <c r="BM71" i="5" a="1"/>
  <c r="BM71" i="5" s="1"/>
  <c r="BK71" i="5" a="1"/>
  <c r="BK71" i="5" s="1"/>
  <c r="BH71" i="5" a="1"/>
  <c r="BH71" i="5" s="1"/>
  <c r="CW71" i="5"/>
  <c r="CR71" i="5"/>
  <c r="CQ71" i="5"/>
  <c r="CU71" i="5"/>
  <c r="CS71" i="5"/>
  <c r="CT71" i="5"/>
  <c r="CV71" i="5"/>
  <c r="AY71" i="5" a="1"/>
  <c r="AY71" i="5" s="1"/>
  <c r="BL71" i="5" a="1"/>
  <c r="BL71" i="5" s="1"/>
  <c r="BG71" i="5" a="1"/>
  <c r="BG71" i="5" s="1"/>
  <c r="BF71" i="5" a="1"/>
  <c r="BF71" i="5" s="1"/>
  <c r="AE70" i="1" s="1"/>
  <c r="BD71" i="5" a="1"/>
  <c r="BD71" i="5" s="1"/>
  <c r="V69" i="2"/>
  <c r="CX64" i="8"/>
  <c r="CY64" i="8" s="1"/>
  <c r="CQ65" i="8"/>
  <c r="CU65" i="8" s="1"/>
  <c r="F74" i="8"/>
  <c r="BP70" i="5" a="1"/>
  <c r="BP70" i="5" s="1"/>
  <c r="J70" i="2" s="1"/>
  <c r="O75" i="1"/>
  <c r="BX66" i="8"/>
  <c r="CE66" i="8" s="1"/>
  <c r="BT66" i="8"/>
  <c r="BO66" i="8"/>
  <c r="BP66" i="8"/>
  <c r="BM66" i="8"/>
  <c r="BN66" i="8"/>
  <c r="BK66" i="8"/>
  <c r="BL66" i="8"/>
  <c r="BJ66" i="8"/>
  <c r="AC66" i="10"/>
  <c r="X66" i="10" s="1"/>
  <c r="AH70" i="11"/>
  <c r="CB66" i="8"/>
  <c r="CT66" i="8" s="1"/>
  <c r="BY66" i="8"/>
  <c r="BZ66" i="8"/>
  <c r="CC66" i="8"/>
  <c r="CV66" i="8" s="1"/>
  <c r="CW66" i="8" s="1"/>
  <c r="DB69" i="5"/>
  <c r="CA66" i="8"/>
  <c r="DF69" i="5"/>
  <c r="DE69" i="5"/>
  <c r="AE71" i="8"/>
  <c r="AU71" i="8"/>
  <c r="W68" i="1"/>
  <c r="K72" i="11"/>
  <c r="A72" i="14"/>
  <c r="CA72" i="14" s="1"/>
  <c r="A72" i="8"/>
  <c r="A72" i="2"/>
  <c r="A72" i="7"/>
  <c r="R72" i="7" s="1"/>
  <c r="A72" i="9"/>
  <c r="A72" i="5"/>
  <c r="DH69" i="5"/>
  <c r="AJ70" i="1"/>
  <c r="AK70" i="11"/>
  <c r="Y68" i="1"/>
  <c r="DJ69" i="5"/>
  <c r="BC71" i="14" a="1"/>
  <c r="BC71" i="14" s="1"/>
  <c r="BB71" i="14" a="1"/>
  <c r="BB71" i="14" s="1"/>
  <c r="N71" i="14" a="1"/>
  <c r="N71" i="14" s="1"/>
  <c r="AS71" i="14" a="1"/>
  <c r="AS71" i="14" s="1"/>
  <c r="AB71" i="14" a="1"/>
  <c r="AB71" i="14" s="1"/>
  <c r="AF71" i="14" a="1"/>
  <c r="AF71" i="14" s="1"/>
  <c r="BF71" i="14" a="1"/>
  <c r="BF71" i="14" s="1"/>
  <c r="AG71" i="14" a="1"/>
  <c r="AG71" i="14" s="1"/>
  <c r="AU71" i="14" a="1"/>
  <c r="AU71" i="14" s="1"/>
  <c r="V71" i="14" a="1"/>
  <c r="V71" i="14" s="1"/>
  <c r="BI71" i="14" a="1"/>
  <c r="BI71" i="14" s="1"/>
  <c r="AR71" i="14" a="1"/>
  <c r="AR71" i="14" s="1"/>
  <c r="AN71" i="14" a="1"/>
  <c r="AN71" i="14" s="1"/>
  <c r="BN71" i="14" a="1"/>
  <c r="BN71" i="14" s="1"/>
  <c r="AP71" i="14" a="1"/>
  <c r="AP71" i="14" s="1"/>
  <c r="AO71" i="14" a="1"/>
  <c r="AO71" i="14" s="1"/>
  <c r="AM71" i="14" a="1"/>
  <c r="AM71" i="14" s="1"/>
  <c r="BJ71" i="14" a="1"/>
  <c r="BJ71" i="14" s="1"/>
  <c r="U71" i="14" a="1"/>
  <c r="U71" i="14" s="1"/>
  <c r="BO71" i="14" a="1"/>
  <c r="BO71" i="14" s="1"/>
  <c r="AQ71" i="14" a="1"/>
  <c r="AQ71" i="14" s="1"/>
  <c r="R71" i="14" a="1"/>
  <c r="R71" i="14" s="1"/>
  <c r="AL71" i="1" s="1"/>
  <c r="BK71" i="14" a="1"/>
  <c r="BK71" i="14" s="1"/>
  <c r="AD71" i="14" a="1"/>
  <c r="AD71" i="14" s="1"/>
  <c r="BX71" i="14" a="1"/>
  <c r="BX71" i="14" s="1"/>
  <c r="P71" i="14" a="1"/>
  <c r="P71" i="14" s="1"/>
  <c r="AY71" i="14" a="1"/>
  <c r="AY71" i="14" s="1"/>
  <c r="BM71" i="14" a="1"/>
  <c r="BM71" i="14" s="1"/>
  <c r="X71" i="14" a="1"/>
  <c r="X71" i="14" s="1"/>
  <c r="AL71" i="14" a="1"/>
  <c r="AL71" i="14" s="1"/>
  <c r="BZ71" i="14" a="1"/>
  <c r="BZ71" i="14" s="1"/>
  <c r="AJ71" i="14" a="1"/>
  <c r="AJ71" i="14" s="1"/>
  <c r="BU71" i="14" a="1"/>
  <c r="BU71" i="14" s="1"/>
  <c r="AW71" i="14" a="1"/>
  <c r="AW71" i="14" s="1"/>
  <c r="W71" i="14" a="1"/>
  <c r="W71" i="14" s="1"/>
  <c r="BQ71" i="14" a="1"/>
  <c r="BQ71" i="14" s="1"/>
  <c r="BH71" i="14" a="1"/>
  <c r="BH71" i="14" s="1"/>
  <c r="BW71" i="14" a="1"/>
  <c r="BW71" i="14" s="1"/>
  <c r="Z71" i="14" a="1"/>
  <c r="Z71" i="14" s="1"/>
  <c r="BL71" i="14" a="1"/>
  <c r="BL71" i="14" s="1"/>
  <c r="AE71" i="14" a="1"/>
  <c r="AE71" i="14" s="1"/>
  <c r="BA71" i="14" a="1"/>
  <c r="BA71" i="14" s="1"/>
  <c r="BY71" i="14" a="1"/>
  <c r="BY71" i="14" s="1"/>
  <c r="BG71" i="14" a="1"/>
  <c r="BG71" i="14" s="1"/>
  <c r="AH71" i="14" a="1"/>
  <c r="AH71" i="14" s="1"/>
  <c r="Q71" i="14" a="1"/>
  <c r="Q71" i="14" s="1"/>
  <c r="AV71" i="14" a="1"/>
  <c r="AV71" i="14" s="1"/>
  <c r="O71" i="14" a="1"/>
  <c r="O71" i="14" s="1"/>
  <c r="BD71" i="14" a="1"/>
  <c r="BD71" i="14" s="1"/>
  <c r="BP71" i="14" a="1"/>
  <c r="BP71" i="14" s="1"/>
  <c r="AI71" i="14" a="1"/>
  <c r="AI71" i="14" s="1"/>
  <c r="AA71" i="14" a="1"/>
  <c r="AA71" i="14" s="1"/>
  <c r="Y71" i="14" a="1"/>
  <c r="Y71" i="14" s="1"/>
  <c r="BT71" i="14" a="1"/>
  <c r="BT71" i="14" s="1"/>
  <c r="AT71" i="14" a="1"/>
  <c r="AT71" i="14" s="1"/>
  <c r="AK71" i="14" a="1"/>
  <c r="AK71" i="14" s="1"/>
  <c r="AZ71" i="14" a="1"/>
  <c r="AZ71" i="14" s="1"/>
  <c r="S71" i="14" a="1"/>
  <c r="S71" i="14" s="1"/>
  <c r="BE71" i="14" a="1"/>
  <c r="BE71" i="14" s="1"/>
  <c r="M71" i="14" a="1"/>
  <c r="M71" i="14" s="1"/>
  <c r="BV71" i="14" a="1"/>
  <c r="BV71" i="14" s="1"/>
  <c r="AX71" i="14" a="1"/>
  <c r="AX71" i="14" s="1"/>
  <c r="BS71" i="14" a="1"/>
  <c r="BS71" i="14" s="1"/>
  <c r="BR71" i="14" a="1"/>
  <c r="BR71" i="14" s="1"/>
  <c r="AC71" i="14" a="1"/>
  <c r="AC71" i="14" s="1"/>
  <c r="T71" i="14" a="1"/>
  <c r="T71" i="14" s="1"/>
  <c r="AF68" i="1"/>
  <c r="AM70" i="1"/>
  <c r="AA65" i="11"/>
  <c r="AK65" i="1" s="1"/>
  <c r="AC65" i="11"/>
  <c r="U65" i="8" s="1"/>
  <c r="N66" i="7"/>
  <c r="DB65" i="8"/>
  <c r="AD65" i="11"/>
  <c r="AI65" i="1" s="1"/>
  <c r="Q66" i="7"/>
  <c r="Z65" i="11"/>
  <c r="AB65" i="11"/>
  <c r="Q65" i="8" s="1"/>
  <c r="N66" i="11"/>
  <c r="D67" i="9"/>
  <c r="CI66" i="8"/>
  <c r="DA66" i="8" s="1"/>
  <c r="B65" i="14"/>
  <c r="CE65" i="8"/>
  <c r="CX65" i="8" s="1"/>
  <c r="CY65" i="8" s="1"/>
  <c r="CS64" i="8"/>
  <c r="B69" i="5"/>
  <c r="AH69" i="5"/>
  <c r="BU69" i="5"/>
  <c r="B69" i="1"/>
  <c r="BG69" i="1" s="1"/>
  <c r="B69" i="2"/>
  <c r="BY71" i="11"/>
  <c r="K70" i="10"/>
  <c r="AA70" i="7"/>
  <c r="AF70" i="8" s="1"/>
  <c r="AV70" i="8" s="1"/>
  <c r="L70" i="11"/>
  <c r="I70" i="5"/>
  <c r="D69" i="10"/>
  <c r="F69" i="7"/>
  <c r="K70" i="5"/>
  <c r="F69" i="10"/>
  <c r="H69" i="7"/>
  <c r="DD69" i="5"/>
  <c r="H70" i="5"/>
  <c r="C69" i="10"/>
  <c r="E69" i="7"/>
  <c r="D69" i="7"/>
  <c r="G70" i="5"/>
  <c r="B69" i="10"/>
  <c r="L70" i="5"/>
  <c r="G69" i="10"/>
  <c r="I69" i="7"/>
  <c r="M70" i="5"/>
  <c r="H69" i="10"/>
  <c r="J69" i="7"/>
  <c r="J70" i="5"/>
  <c r="DC70" i="5" s="1"/>
  <c r="E69" i="10"/>
  <c r="G69" i="7"/>
  <c r="DH67" i="8"/>
  <c r="DI67" i="8" s="1"/>
  <c r="CK67" i="8"/>
  <c r="BW67" i="8"/>
  <c r="AC67" i="1" s="1"/>
  <c r="BH67" i="8"/>
  <c r="BI67" i="8"/>
  <c r="AH78" i="9"/>
  <c r="C68" i="5"/>
  <c r="F68" i="5" s="1"/>
  <c r="CZ69" i="5"/>
  <c r="AI67" i="5"/>
  <c r="B67" i="9"/>
  <c r="Y67" i="9" s="1"/>
  <c r="A67" i="11"/>
  <c r="AC67" i="8"/>
  <c r="BQ67" i="8" s="1"/>
  <c r="BT67" i="5"/>
  <c r="B67" i="7"/>
  <c r="X67" i="8"/>
  <c r="DD67" i="8" s="1"/>
  <c r="E67" i="1"/>
  <c r="A67" i="10"/>
  <c r="AA67" i="10" s="1"/>
  <c r="AJ67" i="5"/>
  <c r="AP67" i="5" s="1"/>
  <c r="DA68" i="5"/>
  <c r="DG68" i="5" s="1" a="1"/>
  <c r="DG68" i="5" s="1"/>
  <c r="AB69" i="1"/>
  <c r="DI69" i="5"/>
  <c r="AG78" i="9"/>
  <c r="AK78" i="9"/>
  <c r="N54" i="1"/>
  <c r="S71" i="2"/>
  <c r="N72" i="2"/>
  <c r="R72" i="2"/>
  <c r="Q71" i="2"/>
  <c r="P73" i="2"/>
  <c r="J73" i="10"/>
  <c r="N73" i="5" s="1"/>
  <c r="AQ94" i="9" l="1"/>
  <c r="CM94" i="8" s="1"/>
  <c r="AO67" i="5"/>
  <c r="AM67" i="5"/>
  <c r="AN67" i="5"/>
  <c r="AR67" i="5" s="1"/>
  <c r="AV68" i="5"/>
  <c r="AW68" i="5"/>
  <c r="AI66" i="7"/>
  <c r="DB66" i="8"/>
  <c r="CL68" i="8"/>
  <c r="AI90" i="9"/>
  <c r="AO90" i="8" s="1"/>
  <c r="G73" i="8"/>
  <c r="CF72" i="8"/>
  <c r="O72" i="2"/>
  <c r="AQ66" i="5"/>
  <c r="AS71" i="5"/>
  <c r="BQ72" i="5" a="1"/>
  <c r="BQ72" i="5" s="1"/>
  <c r="AD70" i="1"/>
  <c r="BH72" i="5" a="1"/>
  <c r="BH72" i="5" s="1"/>
  <c r="AM79" i="9"/>
  <c r="BR67" i="8"/>
  <c r="BS67" i="8"/>
  <c r="BK72" i="5" a="1"/>
  <c r="BK72" i="5" s="1"/>
  <c r="BD72" i="5" a="1"/>
  <c r="BD72" i="5" s="1"/>
  <c r="CW72" i="5"/>
  <c r="CS72" i="5"/>
  <c r="CV72" i="5"/>
  <c r="CR72" i="5"/>
  <c r="CU72" i="5"/>
  <c r="CT72" i="5"/>
  <c r="CQ72" i="5"/>
  <c r="BL72" i="5" a="1"/>
  <c r="BL72" i="5" s="1"/>
  <c r="AY72" i="5" a="1"/>
  <c r="AY72" i="5" s="1"/>
  <c r="BC72" i="5" a="1"/>
  <c r="BC72" i="5" s="1"/>
  <c r="BM72" i="5" a="1"/>
  <c r="BM72" i="5" s="1"/>
  <c r="BF72" i="5" a="1"/>
  <c r="BF72" i="5" s="1"/>
  <c r="AE71" i="1" s="1"/>
  <c r="BE72" i="5" a="1"/>
  <c r="BE72" i="5" s="1"/>
  <c r="BG72" i="5" a="1"/>
  <c r="BG72" i="5" s="1"/>
  <c r="BB72" i="5" a="1"/>
  <c r="BB72" i="5" s="1"/>
  <c r="BA72" i="5" a="1"/>
  <c r="BA72" i="5" s="1"/>
  <c r="BO72" i="5" a="1"/>
  <c r="BO72" i="5" s="1"/>
  <c r="BJ72" i="5" a="1"/>
  <c r="BJ72" i="5" s="1"/>
  <c r="AZ72" i="5" a="1"/>
  <c r="AZ72" i="5" s="1"/>
  <c r="BN72" i="5" a="1"/>
  <c r="BN72" i="5" s="1"/>
  <c r="BI72" i="5" a="1"/>
  <c r="BI72" i="5" s="1"/>
  <c r="V70" i="2"/>
  <c r="CS65" i="8"/>
  <c r="F75" i="8"/>
  <c r="CQ66" i="8"/>
  <c r="CU66" i="8" s="1"/>
  <c r="BP71" i="5" a="1"/>
  <c r="BP71" i="5" s="1"/>
  <c r="J71" i="2" s="1"/>
  <c r="O76" i="1"/>
  <c r="CD66" i="8"/>
  <c r="BT67" i="8"/>
  <c r="BU67" i="8"/>
  <c r="AH71" i="11"/>
  <c r="BO67" i="8"/>
  <c r="BP67" i="8"/>
  <c r="BM67" i="8"/>
  <c r="BN67" i="8"/>
  <c r="BK67" i="8"/>
  <c r="BL67" i="8"/>
  <c r="BJ67" i="8"/>
  <c r="AC67" i="10"/>
  <c r="X67" i="10" s="1"/>
  <c r="AJ71" i="1"/>
  <c r="CR66" i="8"/>
  <c r="DE70" i="5"/>
  <c r="DF70" i="5"/>
  <c r="DB70" i="5"/>
  <c r="AE72" i="14" a="1"/>
  <c r="AE72" i="14" s="1"/>
  <c r="AT72" i="14" a="1"/>
  <c r="AT72" i="14" s="1"/>
  <c r="AU72" i="14" a="1"/>
  <c r="AU72" i="14" s="1"/>
  <c r="BR72" i="14" a="1"/>
  <c r="BR72" i="14" s="1"/>
  <c r="AV72" i="14" a="1"/>
  <c r="AV72" i="14" s="1"/>
  <c r="V72" i="14" a="1"/>
  <c r="V72" i="14" s="1"/>
  <c r="BQ72" i="14" a="1"/>
  <c r="BQ72" i="14" s="1"/>
  <c r="BZ72" i="14" a="1"/>
  <c r="BZ72" i="14" s="1"/>
  <c r="P72" i="14" a="1"/>
  <c r="P72" i="14" s="1"/>
  <c r="AI72" i="14" a="1"/>
  <c r="AI72" i="14" s="1"/>
  <c r="BF72" i="14" a="1"/>
  <c r="BF72" i="14" s="1"/>
  <c r="AH72" i="14" a="1"/>
  <c r="AH72" i="14" s="1"/>
  <c r="BK72" i="14" a="1"/>
  <c r="BK72" i="14" s="1"/>
  <c r="AD72" i="14" a="1"/>
  <c r="AD72" i="14" s="1"/>
  <c r="AS72" i="14" a="1"/>
  <c r="AS72" i="14" s="1"/>
  <c r="BH72" i="14" a="1"/>
  <c r="BH72" i="14" s="1"/>
  <c r="AN72" i="14" a="1"/>
  <c r="AN72" i="14" s="1"/>
  <c r="AF72" i="14" a="1"/>
  <c r="AF72" i="14" s="1"/>
  <c r="BN72" i="14" a="1"/>
  <c r="BN72" i="14" s="1"/>
  <c r="AO72" i="14" a="1"/>
  <c r="AO72" i="14" s="1"/>
  <c r="AM72" i="14" a="1"/>
  <c r="AM72" i="14" s="1"/>
  <c r="BJ72" i="14" a="1"/>
  <c r="BJ72" i="14" s="1"/>
  <c r="BI72" i="14" a="1"/>
  <c r="BI72" i="14" s="1"/>
  <c r="AR72" i="14" a="1"/>
  <c r="AR72" i="14" s="1"/>
  <c r="BW72" i="14" a="1"/>
  <c r="BW72" i="14" s="1"/>
  <c r="BG72" i="14" a="1"/>
  <c r="BG72" i="14" s="1"/>
  <c r="AX72" i="14" a="1"/>
  <c r="AX72" i="14" s="1"/>
  <c r="Q72" i="14" a="1"/>
  <c r="Q72" i="14" s="1"/>
  <c r="BS72" i="14" a="1"/>
  <c r="BS72" i="14" s="1"/>
  <c r="AL72" i="14" a="1"/>
  <c r="AL72" i="14" s="1"/>
  <c r="U72" i="14" a="1"/>
  <c r="U72" i="14" s="1"/>
  <c r="T72" i="14" a="1"/>
  <c r="T72" i="14" s="1"/>
  <c r="BV72" i="14" a="1"/>
  <c r="BV72" i="14" s="1"/>
  <c r="BM72" i="14" a="1"/>
  <c r="BM72" i="14" s="1"/>
  <c r="AP72" i="14" a="1"/>
  <c r="AP72" i="14" s="1"/>
  <c r="R72" i="14" a="1"/>
  <c r="R72" i="14" s="1"/>
  <c r="AL72" i="1" s="1"/>
  <c r="BC72" i="14" a="1"/>
  <c r="BC72" i="14" s="1"/>
  <c r="N72" i="14" a="1"/>
  <c r="N72" i="14" s="1"/>
  <c r="AK72" i="14" a="1"/>
  <c r="AK72" i="14" s="1"/>
  <c r="AB72" i="14" a="1"/>
  <c r="AB72" i="14" s="1"/>
  <c r="BO72" i="14" a="1"/>
  <c r="BO72" i="14" s="1"/>
  <c r="BL72" i="14" a="1"/>
  <c r="BL72" i="14" s="1"/>
  <c r="AG72" i="14" a="1"/>
  <c r="AG72" i="14" s="1"/>
  <c r="M72" i="14" a="1"/>
  <c r="M72" i="14" s="1"/>
  <c r="W72" i="14" a="1"/>
  <c r="W72" i="14" s="1"/>
  <c r="O72" i="14" a="1"/>
  <c r="O72" i="14" s="1"/>
  <c r="BX72" i="14" a="1"/>
  <c r="BX72" i="14" s="1"/>
  <c r="BY72" i="14" a="1"/>
  <c r="BY72" i="14" s="1"/>
  <c r="S72" i="14" a="1"/>
  <c r="S72" i="14" s="1"/>
  <c r="BU72" i="14" a="1"/>
  <c r="BU72" i="14" s="1"/>
  <c r="Y72" i="14" a="1"/>
  <c r="Y72" i="14" s="1"/>
  <c r="BB72" i="14" a="1"/>
  <c r="BB72" i="14" s="1"/>
  <c r="BA72" i="14" a="1"/>
  <c r="BA72" i="14" s="1"/>
  <c r="AJ72" i="14" a="1"/>
  <c r="AJ72" i="14" s="1"/>
  <c r="BP72" i="14" a="1"/>
  <c r="BP72" i="14" s="1"/>
  <c r="AY72" i="14" a="1"/>
  <c r="AY72" i="14" s="1"/>
  <c r="AA72" i="14" a="1"/>
  <c r="AA72" i="14" s="1"/>
  <c r="AW72" i="14" a="1"/>
  <c r="AW72" i="14" s="1"/>
  <c r="BT72" i="14" a="1"/>
  <c r="BT72" i="14" s="1"/>
  <c r="X72" i="14" a="1"/>
  <c r="X72" i="14" s="1"/>
  <c r="BD72" i="14" a="1"/>
  <c r="BD72" i="14" s="1"/>
  <c r="AC72" i="14" a="1"/>
  <c r="AC72" i="14" s="1"/>
  <c r="AZ72" i="14" a="1"/>
  <c r="AZ72" i="14" s="1"/>
  <c r="AQ72" i="14" a="1"/>
  <c r="AQ72" i="14" s="1"/>
  <c r="Z72" i="14" a="1"/>
  <c r="Z72" i="14" s="1"/>
  <c r="BE72" i="14" a="1"/>
  <c r="BE72" i="14" s="1"/>
  <c r="DH70" i="5"/>
  <c r="K73" i="11"/>
  <c r="A73" i="14"/>
  <c r="CA73" i="14" s="1"/>
  <c r="A73" i="8"/>
  <c r="A73" i="2"/>
  <c r="A73" i="9"/>
  <c r="A73" i="5"/>
  <c r="A73" i="7"/>
  <c r="R73" i="7" s="1"/>
  <c r="Y69" i="1"/>
  <c r="DJ70" i="5"/>
  <c r="W69" i="1"/>
  <c r="AF69" i="1"/>
  <c r="AM71" i="1"/>
  <c r="AK71" i="11"/>
  <c r="AU72" i="8"/>
  <c r="AE72" i="8"/>
  <c r="D68" i="9"/>
  <c r="B70" i="5"/>
  <c r="BU70" i="5"/>
  <c r="B70" i="2"/>
  <c r="B70" i="1"/>
  <c r="BG70" i="1" s="1"/>
  <c r="AH70" i="5"/>
  <c r="BY72" i="11"/>
  <c r="K71" i="10"/>
  <c r="AA71" i="7"/>
  <c r="AF71" i="8" s="1"/>
  <c r="AV71" i="8" s="1"/>
  <c r="L71" i="11"/>
  <c r="J71" i="5"/>
  <c r="DC71" i="5" s="1"/>
  <c r="E70" i="10"/>
  <c r="G70" i="7"/>
  <c r="D70" i="7"/>
  <c r="G71" i="5"/>
  <c r="B70" i="10"/>
  <c r="K71" i="5"/>
  <c r="F70" i="10"/>
  <c r="H70" i="7"/>
  <c r="DD70" i="5"/>
  <c r="M71" i="5"/>
  <c r="H70" i="10"/>
  <c r="J70" i="7"/>
  <c r="I71" i="5"/>
  <c r="D70" i="10"/>
  <c r="F70" i="7"/>
  <c r="L71" i="5"/>
  <c r="G70" i="10"/>
  <c r="I70" i="7"/>
  <c r="H71" i="5"/>
  <c r="C70" i="10"/>
  <c r="E70" i="7"/>
  <c r="BX67" i="8"/>
  <c r="CE67" i="8" s="1"/>
  <c r="DH68" i="8"/>
  <c r="DI68" i="8" s="1"/>
  <c r="CK68" i="8"/>
  <c r="BW68" i="8"/>
  <c r="AC68" i="1" s="1"/>
  <c r="N67" i="7"/>
  <c r="BH68" i="8"/>
  <c r="BU68" i="8" s="1"/>
  <c r="BI68" i="8"/>
  <c r="AH79" i="9"/>
  <c r="C69" i="5"/>
  <c r="F69" i="5" s="1"/>
  <c r="AE67" i="7"/>
  <c r="AF67" i="7" s="1"/>
  <c r="Q67" i="7"/>
  <c r="CZ70" i="5"/>
  <c r="CI67" i="8"/>
  <c r="DA67" i="8" s="1"/>
  <c r="AA66" i="11"/>
  <c r="AK66" i="1" s="1"/>
  <c r="Y66" i="11"/>
  <c r="AH66" i="1" s="1"/>
  <c r="AC66" i="11"/>
  <c r="U66" i="8" s="1"/>
  <c r="AB66" i="11"/>
  <c r="Q66" i="8" s="1"/>
  <c r="AD66" i="11"/>
  <c r="AI66" i="1" s="1"/>
  <c r="N67" i="11"/>
  <c r="Z66" i="11"/>
  <c r="AC68" i="8"/>
  <c r="BQ68" i="8" s="1"/>
  <c r="X68" i="8"/>
  <c r="DD68" i="8" s="1"/>
  <c r="AI68" i="5"/>
  <c r="A68" i="11"/>
  <c r="BT68" i="5"/>
  <c r="A68" i="10"/>
  <c r="AA68" i="10" s="1"/>
  <c r="B68" i="7"/>
  <c r="E68" i="1"/>
  <c r="AJ68" i="5"/>
  <c r="AP68" i="5" s="1"/>
  <c r="B68" i="9"/>
  <c r="Y68" i="9" s="1"/>
  <c r="CA67" i="8"/>
  <c r="CB67" i="8"/>
  <c r="CT67" i="8" s="1"/>
  <c r="BY67" i="8"/>
  <c r="BZ67" i="8"/>
  <c r="CC67" i="8"/>
  <c r="CV67" i="8" s="1"/>
  <c r="CW67" i="8" s="1"/>
  <c r="CH67" i="8"/>
  <c r="CZ67" i="8" s="1"/>
  <c r="AB70" i="1"/>
  <c r="DI70" i="5"/>
  <c r="C70" i="5"/>
  <c r="DA69" i="5"/>
  <c r="DG69" i="5" s="1" a="1"/>
  <c r="DG69" i="5" s="1"/>
  <c r="AG79" i="9"/>
  <c r="AK79" i="9"/>
  <c r="N55" i="1"/>
  <c r="S72" i="2"/>
  <c r="N73" i="2"/>
  <c r="R73" i="2"/>
  <c r="Q72" i="2"/>
  <c r="P74" i="2"/>
  <c r="J74" i="10"/>
  <c r="N74" i="5" s="1"/>
  <c r="AQ95" i="9" l="1"/>
  <c r="CM95" i="8" s="1"/>
  <c r="AO68" i="5"/>
  <c r="AM68" i="5"/>
  <c r="AN68" i="5"/>
  <c r="AV69" i="5"/>
  <c r="AW69" i="5"/>
  <c r="AG67" i="7"/>
  <c r="AI67" i="7" s="1"/>
  <c r="CL69" i="8"/>
  <c r="AI91" i="9"/>
  <c r="AO91" i="8" s="1"/>
  <c r="AQ67" i="5"/>
  <c r="G74" i="8"/>
  <c r="CF73" i="8"/>
  <c r="O73" i="2"/>
  <c r="AS72" i="5"/>
  <c r="BJ73" i="5" a="1"/>
  <c r="BJ73" i="5" s="1"/>
  <c r="BC73" i="5" a="1"/>
  <c r="BC73" i="5" s="1"/>
  <c r="BE73" i="5" a="1"/>
  <c r="BE73" i="5" s="1"/>
  <c r="BF73" i="5" a="1"/>
  <c r="BF73" i="5" s="1"/>
  <c r="AE72" i="1" s="1"/>
  <c r="BM73" i="5" a="1"/>
  <c r="BM73" i="5" s="1"/>
  <c r="AM80" i="9"/>
  <c r="BR68" i="8"/>
  <c r="BS68" i="8"/>
  <c r="AD71" i="1"/>
  <c r="BI73" i="5" a="1"/>
  <c r="BI73" i="5" s="1"/>
  <c r="BN73" i="5" a="1"/>
  <c r="BN73" i="5" s="1"/>
  <c r="AZ73" i="5" a="1"/>
  <c r="AZ73" i="5" s="1"/>
  <c r="BO73" i="5" a="1"/>
  <c r="BO73" i="5" s="1"/>
  <c r="BA73" i="5" a="1"/>
  <c r="BA73" i="5" s="1"/>
  <c r="CQ73" i="5"/>
  <c r="CW73" i="5"/>
  <c r="CR73" i="5"/>
  <c r="CV73" i="5"/>
  <c r="CT73" i="5"/>
  <c r="CU73" i="5"/>
  <c r="CS73" i="5"/>
  <c r="AY73" i="5" a="1"/>
  <c r="AY73" i="5" s="1"/>
  <c r="BL73" i="5" a="1"/>
  <c r="BL73" i="5" s="1"/>
  <c r="BH73" i="5" a="1"/>
  <c r="BH73" i="5" s="1"/>
  <c r="BB73" i="5" a="1"/>
  <c r="BB73" i="5" s="1"/>
  <c r="BD73" i="5" a="1"/>
  <c r="BD73" i="5" s="1"/>
  <c r="BG73" i="5" a="1"/>
  <c r="BG73" i="5" s="1"/>
  <c r="BK73" i="5" a="1"/>
  <c r="BK73" i="5" s="1"/>
  <c r="BQ73" i="5" a="1"/>
  <c r="BQ73" i="5" s="1"/>
  <c r="V71" i="2"/>
  <c r="CS66" i="8"/>
  <c r="CX66" i="8"/>
  <c r="CY66" i="8" s="1"/>
  <c r="BP72" i="5" a="1"/>
  <c r="BP72" i="5" s="1"/>
  <c r="J72" i="2" s="1"/>
  <c r="O77" i="1"/>
  <c r="AH72" i="11"/>
  <c r="BX68" i="8"/>
  <c r="CD68" i="8" s="1"/>
  <c r="BT68" i="8"/>
  <c r="BO68" i="8"/>
  <c r="BP68" i="8"/>
  <c r="BM68" i="8"/>
  <c r="BN68" i="8"/>
  <c r="BK68" i="8"/>
  <c r="BL68" i="8"/>
  <c r="BJ68" i="8"/>
  <c r="AC68" i="10"/>
  <c r="X68" i="10" s="1"/>
  <c r="AR68" i="5"/>
  <c r="AK72" i="11"/>
  <c r="DF71" i="5"/>
  <c r="DE71" i="5"/>
  <c r="AE73" i="14" a="1"/>
  <c r="AE73" i="14" s="1"/>
  <c r="BJ73" i="14" a="1"/>
  <c r="BJ73" i="14" s="1"/>
  <c r="BI73" i="14" a="1"/>
  <c r="BI73" i="14" s="1"/>
  <c r="T73" i="14" a="1"/>
  <c r="T73" i="14" s="1"/>
  <c r="BP73" i="14" a="1"/>
  <c r="BP73" i="14" s="1"/>
  <c r="AA73" i="14" a="1"/>
  <c r="AA73" i="14" s="1"/>
  <c r="AX73" i="14" a="1"/>
  <c r="AX73" i="14" s="1"/>
  <c r="M73" i="14" a="1"/>
  <c r="M73" i="14" s="1"/>
  <c r="AV73" i="14" a="1"/>
  <c r="AV73" i="14" s="1"/>
  <c r="W73" i="14" a="1"/>
  <c r="W73" i="14" s="1"/>
  <c r="AD73" i="14" a="1"/>
  <c r="AD73" i="14" s="1"/>
  <c r="BA73" i="14" a="1"/>
  <c r="BA73" i="14" s="1"/>
  <c r="BH73" i="14" a="1"/>
  <c r="BH73" i="14" s="1"/>
  <c r="S73" i="14" a="1"/>
  <c r="S73" i="14" s="1"/>
  <c r="Z73" i="14" a="1"/>
  <c r="Z73" i="14" s="1"/>
  <c r="AP73" i="14" a="1"/>
  <c r="AP73" i="14" s="1"/>
  <c r="AO73" i="14" a="1"/>
  <c r="AO73" i="14" s="1"/>
  <c r="BS73" i="14" a="1"/>
  <c r="BS73" i="14" s="1"/>
  <c r="BR73" i="14" a="1"/>
  <c r="BR73" i="14" s="1"/>
  <c r="N73" i="14" a="1"/>
  <c r="N73" i="14" s="1"/>
  <c r="BY73" i="14" a="1"/>
  <c r="BY73" i="14" s="1"/>
  <c r="BW73" i="14" a="1"/>
  <c r="BW73" i="14" s="1"/>
  <c r="AQ73" i="14" a="1"/>
  <c r="AQ73" i="14" s="1"/>
  <c r="BN73" i="14" a="1"/>
  <c r="BN73" i="14" s="1"/>
  <c r="BM73" i="14" a="1"/>
  <c r="BM73" i="14" s="1"/>
  <c r="X73" i="14" a="1"/>
  <c r="X73" i="14" s="1"/>
  <c r="AS73" i="14" a="1"/>
  <c r="AS73" i="14" s="1"/>
  <c r="P73" i="14" a="1"/>
  <c r="P73" i="14" s="1"/>
  <c r="AI73" i="14" a="1"/>
  <c r="AI73" i="14" s="1"/>
  <c r="AW73" i="14" a="1"/>
  <c r="AW73" i="14" s="1"/>
  <c r="BT73" i="14" a="1"/>
  <c r="BT73" i="14" s="1"/>
  <c r="BB73" i="14" a="1"/>
  <c r="BB73" i="14" s="1"/>
  <c r="BZ73" i="14" a="1"/>
  <c r="BZ73" i="14" s="1"/>
  <c r="AZ73" i="14" a="1"/>
  <c r="AZ73" i="14" s="1"/>
  <c r="BF73" i="14" a="1"/>
  <c r="BF73" i="14" s="1"/>
  <c r="Y73" i="14" a="1"/>
  <c r="Y73" i="14" s="1"/>
  <c r="BK73" i="14" a="1"/>
  <c r="BK73" i="14" s="1"/>
  <c r="AL73" i="14" a="1"/>
  <c r="AL73" i="14" s="1"/>
  <c r="AJ73" i="14" a="1"/>
  <c r="AJ73" i="14" s="1"/>
  <c r="AF73" i="14" a="1"/>
  <c r="AF73" i="14" s="1"/>
  <c r="BL73" i="14" a="1"/>
  <c r="BL73" i="14" s="1"/>
  <c r="AU73" i="14" a="1"/>
  <c r="AU73" i="14" s="1"/>
  <c r="BQ73" i="14" a="1"/>
  <c r="BQ73" i="14" s="1"/>
  <c r="BX73" i="14" a="1"/>
  <c r="BX73" i="14" s="1"/>
  <c r="AY73" i="14" a="1"/>
  <c r="AY73" i="14" s="1"/>
  <c r="R73" i="14" a="1"/>
  <c r="R73" i="14" s="1"/>
  <c r="AL73" i="1" s="1"/>
  <c r="BC73" i="14" a="1"/>
  <c r="BC73" i="14" s="1"/>
  <c r="V73" i="14" a="1"/>
  <c r="V73" i="14" s="1"/>
  <c r="U73" i="14" a="1"/>
  <c r="U73" i="14" s="1"/>
  <c r="BV73" i="14" a="1"/>
  <c r="BV73" i="14" s="1"/>
  <c r="Q73" i="14" a="1"/>
  <c r="Q73" i="14" s="1"/>
  <c r="AM73" i="14" a="1"/>
  <c r="AM73" i="14" s="1"/>
  <c r="AC73" i="14" a="1"/>
  <c r="AC73" i="14" s="1"/>
  <c r="AR73" i="14" a="1"/>
  <c r="AR73" i="14" s="1"/>
  <c r="BO73" i="14" a="1"/>
  <c r="BO73" i="14" s="1"/>
  <c r="BU73" i="14" a="1"/>
  <c r="BU73" i="14" s="1"/>
  <c r="O73" i="14" a="1"/>
  <c r="O73" i="14" s="1"/>
  <c r="AK73" i="14" a="1"/>
  <c r="AK73" i="14" s="1"/>
  <c r="AN73" i="14" a="1"/>
  <c r="AN73" i="14" s="1"/>
  <c r="BG73" i="14" a="1"/>
  <c r="BG73" i="14" s="1"/>
  <c r="AH73" i="14" a="1"/>
  <c r="AH73" i="14" s="1"/>
  <c r="AT73" i="14" a="1"/>
  <c r="AT73" i="14" s="1"/>
  <c r="BD73" i="14" a="1"/>
  <c r="BD73" i="14" s="1"/>
  <c r="AB73" i="14" a="1"/>
  <c r="AB73" i="14" s="1"/>
  <c r="BE73" i="14" a="1"/>
  <c r="BE73" i="14" s="1"/>
  <c r="AG73" i="14" a="1"/>
  <c r="AG73" i="14" s="1"/>
  <c r="AF70" i="1"/>
  <c r="K74" i="11"/>
  <c r="A74" i="14"/>
  <c r="CA74" i="14" s="1"/>
  <c r="A74" i="5"/>
  <c r="A74" i="7"/>
  <c r="R74" i="7" s="1"/>
  <c r="A74" i="9"/>
  <c r="A74" i="2"/>
  <c r="A74" i="8"/>
  <c r="AM72" i="1"/>
  <c r="W70" i="1"/>
  <c r="DH71" i="5"/>
  <c r="Y70" i="1"/>
  <c r="DJ71" i="5"/>
  <c r="AU73" i="8"/>
  <c r="AE73" i="8"/>
  <c r="AJ72" i="1"/>
  <c r="F70" i="5"/>
  <c r="BU71" i="5"/>
  <c r="B71" i="2"/>
  <c r="AH71" i="5"/>
  <c r="B71" i="1"/>
  <c r="BG71" i="1" s="1"/>
  <c r="BY73" i="11"/>
  <c r="AA72" i="7"/>
  <c r="AF72" i="8" s="1"/>
  <c r="AV72" i="8" s="1"/>
  <c r="K72" i="10"/>
  <c r="L72" i="11"/>
  <c r="I72" i="5"/>
  <c r="D71" i="10"/>
  <c r="F71" i="7"/>
  <c r="DB71" i="5"/>
  <c r="D71" i="7"/>
  <c r="G72" i="5"/>
  <c r="B71" i="10"/>
  <c r="H72" i="5"/>
  <c r="C71" i="10"/>
  <c r="E71" i="7"/>
  <c r="M72" i="5"/>
  <c r="H71" i="10"/>
  <c r="J71" i="7"/>
  <c r="B71" i="5"/>
  <c r="L72" i="5"/>
  <c r="G71" i="10"/>
  <c r="I71" i="7"/>
  <c r="J72" i="5"/>
  <c r="DC72" i="5" s="1"/>
  <c r="E71" i="10"/>
  <c r="G71" i="7"/>
  <c r="K72" i="5"/>
  <c r="F71" i="10"/>
  <c r="H71" i="7"/>
  <c r="DD71" i="5"/>
  <c r="CQ67" i="8"/>
  <c r="CU67" i="8" s="1"/>
  <c r="F76" i="8"/>
  <c r="CD67" i="8"/>
  <c r="D69" i="9"/>
  <c r="DH69" i="8"/>
  <c r="DI69" i="8" s="1"/>
  <c r="K76" i="8"/>
  <c r="K77" i="8" s="1"/>
  <c r="K78" i="8" s="1"/>
  <c r="K79" i="8" s="1"/>
  <c r="K80" i="8" s="1"/>
  <c r="K81" i="8" s="1"/>
  <c r="K82" i="8" s="1"/>
  <c r="K83" i="8" s="1"/>
  <c r="K84" i="8" s="1"/>
  <c r="K85" i="8" s="1"/>
  <c r="K86" i="8" s="1"/>
  <c r="K87" i="8" s="1"/>
  <c r="K88" i="8" s="1"/>
  <c r="K89" i="8" s="1"/>
  <c r="K90" i="8" s="1"/>
  <c r="K91" i="8" s="1"/>
  <c r="K92" i="8" s="1"/>
  <c r="K93" i="8" s="1"/>
  <c r="K94" i="8" s="1"/>
  <c r="K95" i="8" s="1"/>
  <c r="K96" i="8" s="1"/>
  <c r="K97" i="8" s="1"/>
  <c r="K98" i="8" s="1"/>
  <c r="K99" i="8" s="1"/>
  <c r="K100" i="8" s="1"/>
  <c r="K101" i="8" s="1"/>
  <c r="K102" i="8" s="1"/>
  <c r="K103" i="8" s="1"/>
  <c r="K104" i="8" s="1"/>
  <c r="K105" i="8" s="1"/>
  <c r="K106" i="8" s="1"/>
  <c r="K107" i="8" s="1"/>
  <c r="K108" i="8" s="1"/>
  <c r="K109" i="8" s="1"/>
  <c r="K110" i="8" s="1"/>
  <c r="K111" i="8" s="1"/>
  <c r="K112" i="8" s="1"/>
  <c r="K113" i="8" s="1"/>
  <c r="K114" i="8" s="1"/>
  <c r="K115" i="8" s="1"/>
  <c r="K116" i="8" s="1"/>
  <c r="K117" i="8" s="1"/>
  <c r="K118" i="8" s="1"/>
  <c r="K119" i="8" s="1"/>
  <c r="K120" i="8" s="1"/>
  <c r="K121" i="8" s="1"/>
  <c r="K122" i="8" s="1"/>
  <c r="K123" i="8" s="1"/>
  <c r="K124" i="8" s="1"/>
  <c r="K125" i="8" s="1"/>
  <c r="K126" i="8" s="1"/>
  <c r="K127" i="8" s="1"/>
  <c r="K128" i="8" s="1"/>
  <c r="K129" i="8" s="1"/>
  <c r="K130" i="8" s="1"/>
  <c r="K131" i="8" s="1"/>
  <c r="K132" i="8" s="1"/>
  <c r="K133" i="8" s="1"/>
  <c r="K134" i="8" s="1"/>
  <c r="K135" i="8" s="1"/>
  <c r="K136" i="8" s="1"/>
  <c r="CK69" i="8"/>
  <c r="BW69" i="8"/>
  <c r="BI69" i="8"/>
  <c r="N68" i="7"/>
  <c r="B69" i="7"/>
  <c r="Q69" i="7" s="1"/>
  <c r="BH69" i="8"/>
  <c r="BU69" i="8" s="1"/>
  <c r="AH80" i="9"/>
  <c r="A69" i="10"/>
  <c r="AA69" i="10" s="1"/>
  <c r="DB67" i="8"/>
  <c r="E69" i="1"/>
  <c r="X69" i="8"/>
  <c r="DD69" i="8" s="1"/>
  <c r="BT69" i="5"/>
  <c r="AJ69" i="5"/>
  <c r="AP69" i="5" s="1"/>
  <c r="AC69" i="8"/>
  <c r="BQ69" i="8" s="1"/>
  <c r="A69" i="11"/>
  <c r="AA68" i="11" s="1"/>
  <c r="AK68" i="1" s="1"/>
  <c r="B69" i="9"/>
  <c r="Y69" i="9" s="1"/>
  <c r="AI69" i="5"/>
  <c r="CZ71" i="5"/>
  <c r="AE68" i="7"/>
  <c r="AF68" i="7" s="1"/>
  <c r="Q68" i="7"/>
  <c r="CB68" i="8"/>
  <c r="CT68" i="8" s="1"/>
  <c r="BY68" i="8"/>
  <c r="BZ68" i="8"/>
  <c r="CH68" i="8"/>
  <c r="CZ68" i="8" s="1"/>
  <c r="CC68" i="8"/>
  <c r="CV68" i="8" s="1"/>
  <c r="CW68" i="8" s="1"/>
  <c r="CA68" i="8"/>
  <c r="B67" i="14"/>
  <c r="AB67" i="11"/>
  <c r="Q67" i="8" s="1"/>
  <c r="Z67" i="11"/>
  <c r="AA67" i="11"/>
  <c r="AK67" i="1" s="1"/>
  <c r="AC67" i="11"/>
  <c r="U67" i="8" s="1"/>
  <c r="Y67" i="11"/>
  <c r="AH67" i="1" s="1"/>
  <c r="AD67" i="11"/>
  <c r="AI67" i="1" s="1"/>
  <c r="N68" i="11"/>
  <c r="CR67" i="8"/>
  <c r="CI68" i="8"/>
  <c r="DA68" i="8" s="1"/>
  <c r="DA70" i="5"/>
  <c r="DG70" i="5" s="1" a="1"/>
  <c r="DG70" i="5" s="1"/>
  <c r="AB71" i="1"/>
  <c r="DI71" i="5"/>
  <c r="AG80" i="9"/>
  <c r="AK80" i="9"/>
  <c r="N56" i="1"/>
  <c r="S73" i="2"/>
  <c r="N74" i="2"/>
  <c r="R74" i="2"/>
  <c r="Q73" i="2"/>
  <c r="J75" i="10"/>
  <c r="N75" i="5" s="1"/>
  <c r="P75" i="2"/>
  <c r="AQ96" i="9" l="1"/>
  <c r="CM96" i="8" s="1"/>
  <c r="AO69" i="5"/>
  <c r="AM69" i="5"/>
  <c r="AN69" i="5"/>
  <c r="AV70" i="5"/>
  <c r="AW70" i="5"/>
  <c r="AG68" i="7"/>
  <c r="AI68" i="7" s="1"/>
  <c r="CL70" i="8"/>
  <c r="CC69" i="8"/>
  <c r="CV69" i="8" s="1"/>
  <c r="CW69" i="8" s="1"/>
  <c r="AC69" i="1"/>
  <c r="AI92" i="9"/>
  <c r="AO92" i="8" s="1"/>
  <c r="G75" i="8"/>
  <c r="CF74" i="8"/>
  <c r="O74" i="2"/>
  <c r="AQ68" i="5"/>
  <c r="AS73" i="5"/>
  <c r="AM81" i="9"/>
  <c r="BR69" i="8"/>
  <c r="BS69" i="8"/>
  <c r="AD72" i="1"/>
  <c r="CR74" i="5"/>
  <c r="CQ74" i="5"/>
  <c r="CV74" i="5"/>
  <c r="CU74" i="5"/>
  <c r="CT74" i="5"/>
  <c r="CW74" i="5"/>
  <c r="CS74" i="5"/>
  <c r="AY74" i="5" a="1"/>
  <c r="AY74" i="5" s="1"/>
  <c r="BL74" i="5" a="1"/>
  <c r="BL74" i="5" s="1"/>
  <c r="BQ74" i="5" a="1"/>
  <c r="BQ74" i="5" s="1"/>
  <c r="BE74" i="5" a="1"/>
  <c r="BE74" i="5" s="1"/>
  <c r="BK74" i="5" a="1"/>
  <c r="BK74" i="5" s="1"/>
  <c r="BA74" i="5" a="1"/>
  <c r="BA74" i="5" s="1"/>
  <c r="BG74" i="5" a="1"/>
  <c r="BG74" i="5" s="1"/>
  <c r="BO74" i="5" a="1"/>
  <c r="BO74" i="5" s="1"/>
  <c r="BD74" i="5" a="1"/>
  <c r="BD74" i="5" s="1"/>
  <c r="BJ74" i="5" a="1"/>
  <c r="BJ74" i="5" s="1"/>
  <c r="BB74" i="5" a="1"/>
  <c r="BB74" i="5" s="1"/>
  <c r="AZ74" i="5" a="1"/>
  <c r="AZ74" i="5" s="1"/>
  <c r="BM74" i="5" a="1"/>
  <c r="BM74" i="5" s="1"/>
  <c r="BF74" i="5" a="1"/>
  <c r="BF74" i="5" s="1"/>
  <c r="AE73" i="1" s="1"/>
  <c r="BH74" i="5" a="1"/>
  <c r="BH74" i="5" s="1"/>
  <c r="BN74" i="5" a="1"/>
  <c r="BN74" i="5" s="1"/>
  <c r="BI74" i="5" a="1"/>
  <c r="BI74" i="5" s="1"/>
  <c r="BC74" i="5" a="1"/>
  <c r="BC74" i="5" s="1"/>
  <c r="V72" i="2"/>
  <c r="CX67" i="8"/>
  <c r="CY67" i="8" s="1"/>
  <c r="F77" i="8"/>
  <c r="BP73" i="5" a="1"/>
  <c r="BP73" i="5" s="1"/>
  <c r="J73" i="2" s="1"/>
  <c r="O78" i="1"/>
  <c r="AH73" i="11"/>
  <c r="CE68" i="8"/>
  <c r="CX68" i="8" s="1"/>
  <c r="CY68" i="8" s="1"/>
  <c r="BT69" i="8"/>
  <c r="BO69" i="8"/>
  <c r="BP69" i="8"/>
  <c r="BM69" i="8"/>
  <c r="BN69" i="8"/>
  <c r="BK69" i="8"/>
  <c r="BL69" i="8"/>
  <c r="BJ69" i="8"/>
  <c r="AC69" i="10"/>
  <c r="X69" i="10" s="1"/>
  <c r="AR69" i="5"/>
  <c r="BW70" i="8"/>
  <c r="AK73" i="11"/>
  <c r="AM73" i="1"/>
  <c r="DB72" i="5"/>
  <c r="DF72" i="5"/>
  <c r="BT74" i="14" a="1"/>
  <c r="BT74" i="14" s="1"/>
  <c r="BR74" i="14" a="1"/>
  <c r="BR74" i="14" s="1"/>
  <c r="N74" i="14" a="1"/>
  <c r="N74" i="14" s="1"/>
  <c r="U74" i="14" a="1"/>
  <c r="U74" i="14" s="1"/>
  <c r="BX74" i="14" a="1"/>
  <c r="BX74" i="14" s="1"/>
  <c r="S74" i="14" a="1"/>
  <c r="S74" i="14" s="1"/>
  <c r="BF74" i="14" a="1"/>
  <c r="BF74" i="14" s="1"/>
  <c r="Q74" i="14" a="1"/>
  <c r="Q74" i="14" s="1"/>
  <c r="AM74" i="14" a="1"/>
  <c r="AM74" i="14" s="1"/>
  <c r="BJ74" i="14" a="1"/>
  <c r="BJ74" i="14" s="1"/>
  <c r="BA74" i="14" a="1"/>
  <c r="BA74" i="14" s="1"/>
  <c r="BZ74" i="14" a="1"/>
  <c r="BZ74" i="14" s="1"/>
  <c r="BW74" i="14" a="1"/>
  <c r="BW74" i="14" s="1"/>
  <c r="AQ74" i="14" a="1"/>
  <c r="AQ74" i="14" s="1"/>
  <c r="AH74" i="14" a="1"/>
  <c r="AH74" i="14" s="1"/>
  <c r="Z74" i="14" a="1"/>
  <c r="Z74" i="14" s="1"/>
  <c r="BK74" i="14" a="1"/>
  <c r="BK74" i="14" s="1"/>
  <c r="AL74" i="14" a="1"/>
  <c r="AL74" i="14" s="1"/>
  <c r="BQ74" i="14" a="1"/>
  <c r="BQ74" i="14" s="1"/>
  <c r="BY74" i="14" a="1"/>
  <c r="BY74" i="14" s="1"/>
  <c r="AJ74" i="14" a="1"/>
  <c r="AJ74" i="14" s="1"/>
  <c r="AY74" i="14" a="1"/>
  <c r="AY74" i="14" s="1"/>
  <c r="R74" i="14" a="1"/>
  <c r="R74" i="14" s="1"/>
  <c r="AL74" i="1" s="1"/>
  <c r="BU74" i="14" a="1"/>
  <c r="BU74" i="14" s="1"/>
  <c r="W74" i="14" a="1"/>
  <c r="W74" i="14" s="1"/>
  <c r="BB74" i="14" a="1"/>
  <c r="BB74" i="14" s="1"/>
  <c r="AK74" i="14" a="1"/>
  <c r="AK74" i="14" s="1"/>
  <c r="AR74" i="14" a="1"/>
  <c r="AR74" i="14" s="1"/>
  <c r="AB74" i="14" a="1"/>
  <c r="AB74" i="14" s="1"/>
  <c r="BN74" i="14" a="1"/>
  <c r="BN74" i="14" s="1"/>
  <c r="AX74" i="14" a="1"/>
  <c r="AX74" i="14" s="1"/>
  <c r="AW74" i="14" a="1"/>
  <c r="AW74" i="14" s="1"/>
  <c r="BC74" i="14" a="1"/>
  <c r="BC74" i="14" s="1"/>
  <c r="AT74" i="14" a="1"/>
  <c r="AT74" i="14" s="1"/>
  <c r="AC74" i="14" a="1"/>
  <c r="AC74" i="14" s="1"/>
  <c r="P74" i="14" a="1"/>
  <c r="P74" i="14" s="1"/>
  <c r="AN74" i="14" a="1"/>
  <c r="AN74" i="14" s="1"/>
  <c r="BO74" i="14" a="1"/>
  <c r="BO74" i="14" s="1"/>
  <c r="BE74" i="14" a="1"/>
  <c r="BE74" i="14" s="1"/>
  <c r="AO74" i="14" a="1"/>
  <c r="AO74" i="14" s="1"/>
  <c r="BS74" i="14" a="1"/>
  <c r="BS74" i="14" s="1"/>
  <c r="X74" i="14" a="1"/>
  <c r="X74" i="14" s="1"/>
  <c r="AD74" i="14" a="1"/>
  <c r="AD74" i="14" s="1"/>
  <c r="AS74" i="14" a="1"/>
  <c r="AS74" i="14" s="1"/>
  <c r="BP74" i="14" a="1"/>
  <c r="BP74" i="14" s="1"/>
  <c r="BG74" i="14" a="1"/>
  <c r="BG74" i="14" s="1"/>
  <c r="AA74" i="14" a="1"/>
  <c r="AA74" i="14" s="1"/>
  <c r="Y74" i="14" a="1"/>
  <c r="Y74" i="14" s="1"/>
  <c r="M74" i="14" a="1"/>
  <c r="M74" i="14" s="1"/>
  <c r="BH74" i="14" a="1"/>
  <c r="BH74" i="14" s="1"/>
  <c r="BM74" i="14" a="1"/>
  <c r="BM74" i="14" s="1"/>
  <c r="AV74" i="14" a="1"/>
  <c r="AV74" i="14" s="1"/>
  <c r="AZ74" i="14" a="1"/>
  <c r="AZ74" i="14" s="1"/>
  <c r="AG74" i="14" a="1"/>
  <c r="AG74" i="14" s="1"/>
  <c r="AU74" i="14" a="1"/>
  <c r="AU74" i="14" s="1"/>
  <c r="T74" i="14" a="1"/>
  <c r="T74" i="14" s="1"/>
  <c r="O74" i="14" a="1"/>
  <c r="O74" i="14" s="1"/>
  <c r="AI74" i="14" a="1"/>
  <c r="AI74" i="14" s="1"/>
  <c r="AE74" i="14" a="1"/>
  <c r="AE74" i="14" s="1"/>
  <c r="BV74" i="14" a="1"/>
  <c r="BV74" i="14" s="1"/>
  <c r="BI74" i="14" a="1"/>
  <c r="BI74" i="14" s="1"/>
  <c r="AF74" i="14" a="1"/>
  <c r="AF74" i="14" s="1"/>
  <c r="V74" i="14" a="1"/>
  <c r="V74" i="14" s="1"/>
  <c r="AP74" i="14" a="1"/>
  <c r="AP74" i="14" s="1"/>
  <c r="BD74" i="14" a="1"/>
  <c r="BD74" i="14" s="1"/>
  <c r="BL74" i="14" a="1"/>
  <c r="BL74" i="14" s="1"/>
  <c r="DH72" i="5"/>
  <c r="AF71" i="1"/>
  <c r="K75" i="11"/>
  <c r="A75" i="14"/>
  <c r="CA75" i="14" s="1"/>
  <c r="A75" i="7"/>
  <c r="R75" i="7" s="1"/>
  <c r="A75" i="8"/>
  <c r="A75" i="5"/>
  <c r="A75" i="2"/>
  <c r="A75" i="9"/>
  <c r="AU74" i="8"/>
  <c r="AE74" i="8"/>
  <c r="DE72" i="5"/>
  <c r="Y71" i="1"/>
  <c r="DJ72" i="5"/>
  <c r="W71" i="1"/>
  <c r="AJ73" i="1"/>
  <c r="CS67" i="8"/>
  <c r="X70" i="8"/>
  <c r="DD70" i="8" s="1"/>
  <c r="B70" i="9"/>
  <c r="Y70" i="9" s="1"/>
  <c r="AC70" i="8"/>
  <c r="BQ70" i="8" s="1"/>
  <c r="B70" i="7"/>
  <c r="AE70" i="7" s="1"/>
  <c r="AF70" i="7" s="1"/>
  <c r="B72" i="5"/>
  <c r="BT70" i="5"/>
  <c r="DH70" i="8"/>
  <c r="DI70" i="8" s="1"/>
  <c r="AJ70" i="5"/>
  <c r="AP70" i="5" s="1"/>
  <c r="A70" i="11"/>
  <c r="N70" i="11" s="1"/>
  <c r="AI70" i="5"/>
  <c r="CK70" i="8"/>
  <c r="E70" i="1"/>
  <c r="BI70" i="8"/>
  <c r="A70" i="10"/>
  <c r="AA70" i="10" s="1"/>
  <c r="BH70" i="8"/>
  <c r="BU70" i="8" s="1"/>
  <c r="B72" i="2"/>
  <c r="B72" i="1"/>
  <c r="BG72" i="1" s="1"/>
  <c r="AH72" i="5"/>
  <c r="BU72" i="5"/>
  <c r="BY74" i="11"/>
  <c r="AA73" i="7"/>
  <c r="AF73" i="8" s="1"/>
  <c r="AV73" i="8" s="1"/>
  <c r="K73" i="10"/>
  <c r="L73" i="11"/>
  <c r="K73" i="5"/>
  <c r="F72" i="10"/>
  <c r="H72" i="7"/>
  <c r="DD72" i="5"/>
  <c r="D72" i="7"/>
  <c r="G73" i="5"/>
  <c r="B72" i="10"/>
  <c r="M73" i="5"/>
  <c r="H72" i="10"/>
  <c r="J72" i="7"/>
  <c r="J73" i="5"/>
  <c r="DC73" i="5" s="1"/>
  <c r="E72" i="10"/>
  <c r="G72" i="7"/>
  <c r="H73" i="5"/>
  <c r="C72" i="10"/>
  <c r="E72" i="7"/>
  <c r="L73" i="5"/>
  <c r="G72" i="10"/>
  <c r="I72" i="7"/>
  <c r="I73" i="5"/>
  <c r="D72" i="10"/>
  <c r="F72" i="7"/>
  <c r="CQ68" i="8"/>
  <c r="CU68" i="8" s="1"/>
  <c r="AE69" i="7"/>
  <c r="AF69" i="7" s="1"/>
  <c r="D70" i="9"/>
  <c r="BX69" i="8"/>
  <c r="CD69" i="8" s="1"/>
  <c r="N69" i="7"/>
  <c r="AH81" i="9"/>
  <c r="CB69" i="8"/>
  <c r="CT69" i="8" s="1"/>
  <c r="CA69" i="8"/>
  <c r="BY69" i="8"/>
  <c r="CH69" i="8"/>
  <c r="CZ69" i="8" s="1"/>
  <c r="BZ69" i="8"/>
  <c r="CI69" i="8"/>
  <c r="DA69" i="8" s="1"/>
  <c r="N69" i="11"/>
  <c r="Z68" i="11"/>
  <c r="AC68" i="11"/>
  <c r="U68" i="8" s="1"/>
  <c r="AD68" i="11"/>
  <c r="AI68" i="1" s="1"/>
  <c r="Y68" i="11"/>
  <c r="AH68" i="1" s="1"/>
  <c r="AB68" i="11"/>
  <c r="Q68" i="8" s="1"/>
  <c r="DB68" i="8"/>
  <c r="CR68" i="8"/>
  <c r="B68" i="14"/>
  <c r="CZ72" i="5"/>
  <c r="C71" i="5"/>
  <c r="F71" i="5" s="1"/>
  <c r="AB72" i="1"/>
  <c r="DI72" i="5"/>
  <c r="C72" i="5"/>
  <c r="DA71" i="5"/>
  <c r="DG71" i="5" s="1" a="1"/>
  <c r="DG71" i="5" s="1"/>
  <c r="AG81" i="9"/>
  <c r="AK81" i="9"/>
  <c r="L51" i="11"/>
  <c r="AV51" i="8"/>
  <c r="L39" i="11"/>
  <c r="AV39" i="8"/>
  <c r="L37" i="11"/>
  <c r="AV37" i="8"/>
  <c r="L40" i="11"/>
  <c r="AV40" i="8"/>
  <c r="B15" i="14"/>
  <c r="N57" i="1"/>
  <c r="S74" i="2"/>
  <c r="N75" i="2"/>
  <c r="R75" i="2"/>
  <c r="Q74" i="2"/>
  <c r="J76" i="10"/>
  <c r="N76" i="5" s="1"/>
  <c r="P76" i="2"/>
  <c r="AQ97" i="9" l="1"/>
  <c r="CM97" i="8" s="1"/>
  <c r="AO70" i="5"/>
  <c r="AM70" i="5"/>
  <c r="AN70" i="5"/>
  <c r="AV71" i="5"/>
  <c r="AW71" i="5"/>
  <c r="AG70" i="7"/>
  <c r="AG69" i="7"/>
  <c r="AI69" i="7" s="1"/>
  <c r="CL71" i="8"/>
  <c r="CC70" i="8"/>
  <c r="CV70" i="8" s="1"/>
  <c r="CW70" i="8" s="1"/>
  <c r="AC70" i="1"/>
  <c r="AI93" i="9"/>
  <c r="AO93" i="8" s="1"/>
  <c r="CF75" i="8"/>
  <c r="G76" i="8"/>
  <c r="O75" i="2"/>
  <c r="AQ69" i="5"/>
  <c r="AS74" i="5"/>
  <c r="BD75" i="5" a="1"/>
  <c r="BD75" i="5" s="1"/>
  <c r="BO75" i="5" a="1"/>
  <c r="BO75" i="5" s="1"/>
  <c r="BE75" i="5" a="1"/>
  <c r="BE75" i="5" s="1"/>
  <c r="BG75" i="5" a="1"/>
  <c r="BG75" i="5" s="1"/>
  <c r="BA75" i="5" a="1"/>
  <c r="BA75" i="5" s="1"/>
  <c r="AM82" i="9"/>
  <c r="BR70" i="8"/>
  <c r="BS70" i="8"/>
  <c r="AD73" i="1"/>
  <c r="BK75" i="5" a="1"/>
  <c r="BK75" i="5" s="1"/>
  <c r="BC75" i="5" a="1"/>
  <c r="BC75" i="5" s="1"/>
  <c r="BQ75" i="5" a="1"/>
  <c r="BQ75" i="5" s="1"/>
  <c r="BI75" i="5" a="1"/>
  <c r="BI75" i="5" s="1"/>
  <c r="BN75" i="5" a="1"/>
  <c r="BN75" i="5" s="1"/>
  <c r="BH75" i="5" a="1"/>
  <c r="BH75" i="5" s="1"/>
  <c r="BF75" i="5" a="1"/>
  <c r="BF75" i="5" s="1"/>
  <c r="AE74" i="1" s="1"/>
  <c r="CR75" i="5"/>
  <c r="CQ75" i="5"/>
  <c r="CT75" i="5"/>
  <c r="CV75" i="5"/>
  <c r="CW75" i="5"/>
  <c r="CS75" i="5"/>
  <c r="CU75" i="5"/>
  <c r="AY75" i="5" a="1"/>
  <c r="AY75" i="5" s="1"/>
  <c r="BL75" i="5" a="1"/>
  <c r="BL75" i="5" s="1"/>
  <c r="BM75" i="5" a="1"/>
  <c r="BM75" i="5" s="1"/>
  <c r="AZ75" i="5" a="1"/>
  <c r="AZ75" i="5" s="1"/>
  <c r="BB75" i="5" a="1"/>
  <c r="BB75" i="5" s="1"/>
  <c r="BJ75" i="5" a="1"/>
  <c r="BJ75" i="5" s="1"/>
  <c r="V73" i="2"/>
  <c r="F78" i="8"/>
  <c r="BP74" i="5" a="1"/>
  <c r="BP74" i="5" s="1"/>
  <c r="J74" i="2" s="1"/>
  <c r="O79" i="1"/>
  <c r="BT70" i="8"/>
  <c r="BO70" i="8"/>
  <c r="BP70" i="8"/>
  <c r="BM70" i="8"/>
  <c r="BN70" i="8"/>
  <c r="BK70" i="8"/>
  <c r="BL70" i="8"/>
  <c r="BJ70" i="8"/>
  <c r="AC70" i="10"/>
  <c r="X70" i="10" s="1"/>
  <c r="AR70" i="5"/>
  <c r="BZ70" i="8"/>
  <c r="BY70" i="8"/>
  <c r="CB70" i="8"/>
  <c r="CT70" i="8" s="1"/>
  <c r="CH70" i="8"/>
  <c r="CZ70" i="8" s="1"/>
  <c r="CA70" i="8"/>
  <c r="AK74" i="11"/>
  <c r="AH74" i="11"/>
  <c r="DB73" i="5"/>
  <c r="DE73" i="5"/>
  <c r="Y72" i="1"/>
  <c r="DJ73" i="5"/>
  <c r="BT75" i="14" a="1"/>
  <c r="BT75" i="14" s="1"/>
  <c r="BJ75" i="14" a="1"/>
  <c r="BJ75" i="14" s="1"/>
  <c r="AT75" i="14" a="1"/>
  <c r="AT75" i="14" s="1"/>
  <c r="BP75" i="14" a="1"/>
  <c r="BP75" i="14" s="1"/>
  <c r="AR75" i="14" a="1"/>
  <c r="AR75" i="14" s="1"/>
  <c r="BO75" i="14" a="1"/>
  <c r="BO75" i="14" s="1"/>
  <c r="Z75" i="14" a="1"/>
  <c r="Z75" i="14" s="1"/>
  <c r="AO75" i="14" a="1"/>
  <c r="AO75" i="14" s="1"/>
  <c r="Y75" i="14" a="1"/>
  <c r="Y75" i="14" s="1"/>
  <c r="BK75" i="14" a="1"/>
  <c r="BK75" i="14" s="1"/>
  <c r="W75" i="14" a="1"/>
  <c r="W75" i="14" s="1"/>
  <c r="V75" i="14" a="1"/>
  <c r="V75" i="14" s="1"/>
  <c r="BX75" i="14" a="1"/>
  <c r="BX75" i="14" s="1"/>
  <c r="AB75" i="14" a="1"/>
  <c r="AB75" i="14" s="1"/>
  <c r="AN75" i="14" a="1"/>
  <c r="AN75" i="14" s="1"/>
  <c r="BF75" i="14" a="1"/>
  <c r="BF75" i="14" s="1"/>
  <c r="BM75" i="14" a="1"/>
  <c r="BM75" i="14" s="1"/>
  <c r="BS75" i="14" a="1"/>
  <c r="BS75" i="14" s="1"/>
  <c r="X75" i="14" a="1"/>
  <c r="X75" i="14" s="1"/>
  <c r="AS75" i="14" a="1"/>
  <c r="AS75" i="14" s="1"/>
  <c r="AK75" i="14" a="1"/>
  <c r="AK75" i="14" s="1"/>
  <c r="AC75" i="14" a="1"/>
  <c r="AC75" i="14" s="1"/>
  <c r="BG75" i="14" a="1"/>
  <c r="BG75" i="14" s="1"/>
  <c r="AH75" i="14" a="1"/>
  <c r="AH75" i="14" s="1"/>
  <c r="AG75" i="14" a="1"/>
  <c r="AG75" i="14" s="1"/>
  <c r="AU75" i="14" a="1"/>
  <c r="AU75" i="14" s="1"/>
  <c r="AE75" i="14" a="1"/>
  <c r="AE75" i="14" s="1"/>
  <c r="BA75" i="14" a="1"/>
  <c r="BA75" i="14" s="1"/>
  <c r="BZ75" i="14" a="1"/>
  <c r="BZ75" i="14" s="1"/>
  <c r="AZ75" i="14" a="1"/>
  <c r="AZ75" i="14" s="1"/>
  <c r="AI75" i="14" a="1"/>
  <c r="AI75" i="14" s="1"/>
  <c r="AW75" i="14" a="1"/>
  <c r="AW75" i="14" s="1"/>
  <c r="BE75" i="14" a="1"/>
  <c r="BE75" i="14" s="1"/>
  <c r="BC75" i="14" a="1"/>
  <c r="BC75" i="14" s="1"/>
  <c r="N75" i="14" a="1"/>
  <c r="N75" i="14" s="1"/>
  <c r="BI75" i="14" a="1"/>
  <c r="BI75" i="14" s="1"/>
  <c r="BY75" i="14" a="1"/>
  <c r="BY75" i="14" s="1"/>
  <c r="BW75" i="14" a="1"/>
  <c r="BW75" i="14" s="1"/>
  <c r="S75" i="14" a="1"/>
  <c r="S75" i="14" s="1"/>
  <c r="AF75" i="14" a="1"/>
  <c r="AF75" i="14" s="1"/>
  <c r="M75" i="14" a="1"/>
  <c r="M75" i="14" s="1"/>
  <c r="AM75" i="14" a="1"/>
  <c r="AM75" i="14" s="1"/>
  <c r="BB75" i="14" a="1"/>
  <c r="BB75" i="14" s="1"/>
  <c r="BD75" i="14" a="1"/>
  <c r="BD75" i="14" s="1"/>
  <c r="BH75" i="14" a="1"/>
  <c r="BH75" i="14" s="1"/>
  <c r="T75" i="14" a="1"/>
  <c r="T75" i="14" s="1"/>
  <c r="BV75" i="14" a="1"/>
  <c r="BV75" i="14" s="1"/>
  <c r="AP75" i="14" a="1"/>
  <c r="AP75" i="14" s="1"/>
  <c r="BL75" i="14" a="1"/>
  <c r="BL75" i="14" s="1"/>
  <c r="AD75" i="14" a="1"/>
  <c r="AD75" i="14" s="1"/>
  <c r="BN75" i="14" a="1"/>
  <c r="BN75" i="14" s="1"/>
  <c r="AL75" i="14" a="1"/>
  <c r="AL75" i="14" s="1"/>
  <c r="AQ75" i="14" a="1"/>
  <c r="AQ75" i="14" s="1"/>
  <c r="BQ75" i="14" a="1"/>
  <c r="BQ75" i="14" s="1"/>
  <c r="AX75" i="14" a="1"/>
  <c r="AX75" i="14" s="1"/>
  <c r="U75" i="14" a="1"/>
  <c r="U75" i="14" s="1"/>
  <c r="BU75" i="14" a="1"/>
  <c r="BU75" i="14" s="1"/>
  <c r="P75" i="14" a="1"/>
  <c r="P75" i="14" s="1"/>
  <c r="R75" i="14" a="1"/>
  <c r="R75" i="14" s="1"/>
  <c r="AL75" i="1" s="1"/>
  <c r="AV75" i="14" a="1"/>
  <c r="AV75" i="14" s="1"/>
  <c r="AJ75" i="14" a="1"/>
  <c r="AJ75" i="14" s="1"/>
  <c r="Q75" i="14" a="1"/>
  <c r="Q75" i="14" s="1"/>
  <c r="O75" i="14" a="1"/>
  <c r="O75" i="14" s="1"/>
  <c r="AY75" i="14" a="1"/>
  <c r="AY75" i="14" s="1"/>
  <c r="BR75" i="14" a="1"/>
  <c r="BR75" i="14" s="1"/>
  <c r="AA75" i="14" a="1"/>
  <c r="AA75" i="14" s="1"/>
  <c r="DH73" i="5"/>
  <c r="K76" i="11"/>
  <c r="A76" i="14"/>
  <c r="CA76" i="14" s="1"/>
  <c r="A76" i="7"/>
  <c r="R76" i="7" s="1"/>
  <c r="A76" i="8"/>
  <c r="A76" i="5"/>
  <c r="A76" i="2"/>
  <c r="A76" i="9"/>
  <c r="W72" i="1"/>
  <c r="AF72" i="1"/>
  <c r="AM74" i="1"/>
  <c r="DF73" i="5"/>
  <c r="AU75" i="8"/>
  <c r="AE75" i="8"/>
  <c r="AJ74" i="1"/>
  <c r="BX70" i="8"/>
  <c r="CD70" i="8" s="1"/>
  <c r="N70" i="7"/>
  <c r="AD69" i="11"/>
  <c r="AI69" i="1" s="1"/>
  <c r="Z69" i="11"/>
  <c r="AC69" i="11"/>
  <c r="U69" i="8" s="1"/>
  <c r="AB69" i="11"/>
  <c r="Q69" i="8" s="1"/>
  <c r="CI70" i="8"/>
  <c r="DA70" i="8" s="1"/>
  <c r="F72" i="5"/>
  <c r="B70" i="14"/>
  <c r="Q70" i="7"/>
  <c r="Y69" i="11"/>
  <c r="AH69" i="1" s="1"/>
  <c r="AA69" i="11"/>
  <c r="AK69" i="1" s="1"/>
  <c r="D71" i="9"/>
  <c r="CS68" i="8"/>
  <c r="B73" i="2"/>
  <c r="B73" i="1"/>
  <c r="BG73" i="1" s="1"/>
  <c r="AH73" i="5"/>
  <c r="BU73" i="5"/>
  <c r="BY75" i="11"/>
  <c r="AA74" i="7"/>
  <c r="AF74" i="8" s="1"/>
  <c r="AV74" i="8" s="1"/>
  <c r="K74" i="10"/>
  <c r="L74" i="11"/>
  <c r="H74" i="5"/>
  <c r="C73" i="10"/>
  <c r="E73" i="7"/>
  <c r="B73" i="5"/>
  <c r="G74" i="5"/>
  <c r="D73" i="7"/>
  <c r="B73" i="10"/>
  <c r="I74" i="5"/>
  <c r="D73" i="10"/>
  <c r="F73" i="7"/>
  <c r="J74" i="5"/>
  <c r="DC74" i="5" s="1"/>
  <c r="E73" i="10"/>
  <c r="G73" i="7"/>
  <c r="L74" i="5"/>
  <c r="G73" i="10"/>
  <c r="I73" i="7"/>
  <c r="M74" i="5"/>
  <c r="H73" i="10"/>
  <c r="J73" i="7"/>
  <c r="K74" i="5"/>
  <c r="F73" i="10"/>
  <c r="H73" i="7"/>
  <c r="DD73" i="5"/>
  <c r="CQ69" i="8"/>
  <c r="CU69" i="8" s="1"/>
  <c r="B69" i="14"/>
  <c r="CE69" i="8"/>
  <c r="CX69" i="8" s="1"/>
  <c r="CY69" i="8" s="1"/>
  <c r="DH71" i="8"/>
  <c r="DI71" i="8" s="1"/>
  <c r="CK71" i="8"/>
  <c r="BW71" i="8"/>
  <c r="AC71" i="1" s="1"/>
  <c r="BH71" i="8"/>
  <c r="BU71" i="8" s="1"/>
  <c r="BI71" i="8"/>
  <c r="AH82" i="9"/>
  <c r="DB69" i="8"/>
  <c r="CR69" i="8"/>
  <c r="CZ73" i="5"/>
  <c r="A71" i="11"/>
  <c r="X71" i="8"/>
  <c r="DD71" i="8" s="1"/>
  <c r="B71" i="9"/>
  <c r="Y71" i="9" s="1"/>
  <c r="E71" i="1"/>
  <c r="AJ71" i="5"/>
  <c r="AP71" i="5" s="1"/>
  <c r="AI71" i="5"/>
  <c r="AC71" i="8"/>
  <c r="BQ71" i="8" s="1"/>
  <c r="BT71" i="5"/>
  <c r="A71" i="10"/>
  <c r="AA71" i="10" s="1"/>
  <c r="B71" i="7"/>
  <c r="C73" i="5"/>
  <c r="DA72" i="5"/>
  <c r="DG72" i="5" s="1" a="1"/>
  <c r="DG72" i="5" s="1"/>
  <c r="AB73" i="1"/>
  <c r="DI73" i="5"/>
  <c r="AH39" i="5"/>
  <c r="BU39" i="5"/>
  <c r="AH40" i="5"/>
  <c r="BU40" i="5"/>
  <c r="AH51" i="5"/>
  <c r="BU51" i="5"/>
  <c r="AH37" i="5"/>
  <c r="BU37" i="5"/>
  <c r="AG82" i="9"/>
  <c r="AK82" i="9"/>
  <c r="B39" i="2"/>
  <c r="B39" i="1"/>
  <c r="BG39" i="1" s="1"/>
  <c r="B40" i="2"/>
  <c r="B40" i="1"/>
  <c r="BG40" i="1" s="1"/>
  <c r="B51" i="2"/>
  <c r="B51" i="1"/>
  <c r="BG51" i="1" s="1"/>
  <c r="B37" i="2"/>
  <c r="B37" i="1"/>
  <c r="BG37" i="1" s="1"/>
  <c r="B26" i="14"/>
  <c r="N58" i="1"/>
  <c r="S75" i="2"/>
  <c r="N76" i="2"/>
  <c r="R76" i="2"/>
  <c r="Q75" i="2"/>
  <c r="J77" i="10"/>
  <c r="N77" i="5" s="1"/>
  <c r="P77" i="2"/>
  <c r="AQ98" i="9" l="1"/>
  <c r="CM98" i="8" s="1"/>
  <c r="AO71" i="5"/>
  <c r="AM71" i="5"/>
  <c r="AN71" i="5"/>
  <c r="AV72" i="5"/>
  <c r="AW72" i="5"/>
  <c r="AI70" i="7"/>
  <c r="CL72" i="8"/>
  <c r="AI94" i="9"/>
  <c r="AO94" i="8" s="1"/>
  <c r="D92" i="4"/>
  <c r="CF76" i="8"/>
  <c r="G77" i="8"/>
  <c r="O76" i="2"/>
  <c r="AS75" i="5"/>
  <c r="AQ70" i="5"/>
  <c r="BO76" i="5" a="1"/>
  <c r="BO76" i="5" s="1"/>
  <c r="AM83" i="9"/>
  <c r="BR71" i="8"/>
  <c r="BS71" i="8"/>
  <c r="AD74" i="1"/>
  <c r="BF76" i="5" a="1"/>
  <c r="BF76" i="5" s="1"/>
  <c r="AE75" i="1" s="1"/>
  <c r="BA76" i="5" a="1"/>
  <c r="BA76" i="5" s="1"/>
  <c r="BJ76" i="5" a="1"/>
  <c r="BJ76" i="5" s="1"/>
  <c r="BB76" i="5" a="1"/>
  <c r="BB76" i="5" s="1"/>
  <c r="BH76" i="5" a="1"/>
  <c r="BH76" i="5" s="1"/>
  <c r="BN76" i="5" a="1"/>
  <c r="BN76" i="5" s="1"/>
  <c r="AZ76" i="5" a="1"/>
  <c r="AZ76" i="5" s="1"/>
  <c r="BI76" i="5" a="1"/>
  <c r="BI76" i="5" s="1"/>
  <c r="CU76" i="5"/>
  <c r="CW76" i="5"/>
  <c r="CV76" i="5"/>
  <c r="CQ76" i="5"/>
  <c r="CR76" i="5"/>
  <c r="CS76" i="5"/>
  <c r="CT76" i="5"/>
  <c r="AY76" i="5" a="1"/>
  <c r="AY76" i="5" s="1"/>
  <c r="BL76" i="5" a="1"/>
  <c r="BL76" i="5" s="1"/>
  <c r="BM76" i="5" a="1"/>
  <c r="BM76" i="5" s="1"/>
  <c r="BG76" i="5" a="1"/>
  <c r="BG76" i="5" s="1"/>
  <c r="BD76" i="5" a="1"/>
  <c r="BD76" i="5" s="1"/>
  <c r="BQ76" i="5" a="1"/>
  <c r="BQ76" i="5" s="1"/>
  <c r="BC76" i="5" a="1"/>
  <c r="BC76" i="5" s="1"/>
  <c r="BE76" i="5" a="1"/>
  <c r="BE76" i="5" s="1"/>
  <c r="B45" i="4" s="1"/>
  <c r="BK76" i="5" a="1"/>
  <c r="BK76" i="5" s="1"/>
  <c r="V74" i="2"/>
  <c r="CQ70" i="8"/>
  <c r="CU70" i="8" s="1"/>
  <c r="F79" i="8"/>
  <c r="BP75" i="5" a="1"/>
  <c r="BP75" i="5" s="1"/>
  <c r="J75" i="2" s="1"/>
  <c r="DH72" i="8"/>
  <c r="DI72" i="8" s="1"/>
  <c r="O80" i="1"/>
  <c r="BX71" i="8"/>
  <c r="CD71" i="8" s="1"/>
  <c r="BT71" i="8"/>
  <c r="BO71" i="8"/>
  <c r="BP71" i="8"/>
  <c r="BM71" i="8"/>
  <c r="BN71" i="8"/>
  <c r="BK71" i="8"/>
  <c r="BL71" i="8"/>
  <c r="BJ71" i="8"/>
  <c r="AC71" i="10"/>
  <c r="X71" i="10" s="1"/>
  <c r="AR71" i="5"/>
  <c r="CR70" i="8"/>
  <c r="DB70" i="8"/>
  <c r="AM75" i="1"/>
  <c r="AH75" i="11"/>
  <c r="DF74" i="5"/>
  <c r="AK75" i="11"/>
  <c r="DB74" i="5"/>
  <c r="AU76" i="8"/>
  <c r="AE76" i="8"/>
  <c r="AF73" i="1"/>
  <c r="BT76" i="14" a="1"/>
  <c r="BT76" i="14" s="1"/>
  <c r="AE76" i="14" a="1"/>
  <c r="AE76" i="14" s="1"/>
  <c r="AD76" i="14" a="1"/>
  <c r="AD76" i="14" s="1"/>
  <c r="AJ76" i="14" a="1"/>
  <c r="AJ76" i="14" s="1"/>
  <c r="BP76" i="14" a="1"/>
  <c r="BP76" i="14" s="1"/>
  <c r="AY76" i="14" a="1"/>
  <c r="AY76" i="14" s="1"/>
  <c r="AF76" i="14" a="1"/>
  <c r="AF76" i="14" s="1"/>
  <c r="AG76" i="14" a="1"/>
  <c r="AG76" i="14" s="1"/>
  <c r="M76" i="14" a="1"/>
  <c r="M76" i="14" s="1"/>
  <c r="BS76" i="14" a="1"/>
  <c r="BS76" i="14" s="1"/>
  <c r="AT76" i="14" a="1"/>
  <c r="AT76" i="14" s="1"/>
  <c r="BA76" i="14" a="1"/>
  <c r="BA76" i="14" s="1"/>
  <c r="BX76" i="14" a="1"/>
  <c r="BX76" i="14" s="1"/>
  <c r="AN76" i="14" a="1"/>
  <c r="AN76" i="14" s="1"/>
  <c r="AI76" i="14" a="1"/>
  <c r="AI76" i="14" s="1"/>
  <c r="AW76" i="14" a="1"/>
  <c r="AW76" i="14" s="1"/>
  <c r="Y76" i="14" a="1"/>
  <c r="Y76" i="14" s="1"/>
  <c r="BK76" i="14" a="1"/>
  <c r="BK76" i="14" s="1"/>
  <c r="BR76" i="14" a="1"/>
  <c r="BR76" i="14" s="1"/>
  <c r="BQ76" i="14" a="1"/>
  <c r="BQ76" i="14" s="1"/>
  <c r="AR76" i="14" a="1"/>
  <c r="AR76" i="14" s="1"/>
  <c r="AC76" i="14" a="1"/>
  <c r="AC76" i="14" s="1"/>
  <c r="AA76" i="14" a="1"/>
  <c r="AA76" i="14" s="1"/>
  <c r="AQ76" i="14" a="1"/>
  <c r="AQ76" i="14" s="1"/>
  <c r="BM76" i="14" a="1"/>
  <c r="BM76" i="14" s="1"/>
  <c r="AU76" i="14" a="1"/>
  <c r="AU76" i="14" s="1"/>
  <c r="BJ76" i="14" a="1"/>
  <c r="BJ76" i="14" s="1"/>
  <c r="BB76" i="14" a="1"/>
  <c r="BB76" i="14" s="1"/>
  <c r="U76" i="14" a="1"/>
  <c r="U76" i="14" s="1"/>
  <c r="BZ76" i="14" a="1"/>
  <c r="BZ76" i="14" s="1"/>
  <c r="S76" i="14" a="1"/>
  <c r="S76" i="14" s="1"/>
  <c r="Z76" i="14" a="1"/>
  <c r="Z76" i="14" s="1"/>
  <c r="BE76" i="14" a="1"/>
  <c r="BE76" i="14" s="1"/>
  <c r="W76" i="14" a="1"/>
  <c r="W76" i="14" s="1"/>
  <c r="AL76" i="14" a="1"/>
  <c r="AL76" i="14" s="1"/>
  <c r="AK76" i="14" a="1"/>
  <c r="AK76" i="14" s="1"/>
  <c r="BH76" i="14" a="1"/>
  <c r="BH76" i="14" s="1"/>
  <c r="B53" i="4" s="1"/>
  <c r="AB76" i="14" a="1"/>
  <c r="AB76" i="14" s="1"/>
  <c r="BG76" i="14" a="1"/>
  <c r="BG76" i="14" s="1"/>
  <c r="BV76" i="14" a="1"/>
  <c r="BV76" i="14" s="1"/>
  <c r="AH76" i="14" a="1"/>
  <c r="AH76" i="14" s="1"/>
  <c r="AM76" i="14" a="1"/>
  <c r="AM76" i="14" s="1"/>
  <c r="O76" i="14" a="1"/>
  <c r="O76" i="14" s="1"/>
  <c r="AS76" i="14" a="1"/>
  <c r="AS76" i="14" s="1"/>
  <c r="P76" i="14" a="1"/>
  <c r="P76" i="14" s="1"/>
  <c r="T76" i="14" a="1"/>
  <c r="T76" i="14" s="1"/>
  <c r="AX76" i="14" a="1"/>
  <c r="AX76" i="14" s="1"/>
  <c r="AP76" i="14" a="1"/>
  <c r="AP76" i="14" s="1"/>
  <c r="BU76" i="14" a="1"/>
  <c r="BU76" i="14" s="1"/>
  <c r="V76" i="14" a="1"/>
  <c r="V76" i="14" s="1"/>
  <c r="BN76" i="14" a="1"/>
  <c r="BN76" i="14" s="1"/>
  <c r="N76" i="14" a="1"/>
  <c r="N76" i="14" s="1"/>
  <c r="R76" i="14" a="1"/>
  <c r="R76" i="14" s="1"/>
  <c r="AL76" i="1" s="1"/>
  <c r="BI76" i="14" a="1"/>
  <c r="BI76" i="14" s="1"/>
  <c r="BF76" i="14" a="1"/>
  <c r="BF76" i="14" s="1"/>
  <c r="BD76" i="14" a="1"/>
  <c r="BD76" i="14" s="1"/>
  <c r="Q76" i="14" a="1"/>
  <c r="Q76" i="14" s="1"/>
  <c r="AZ76" i="14" a="1"/>
  <c r="AZ76" i="14" s="1"/>
  <c r="BL76" i="14" a="1"/>
  <c r="BL76" i="14" s="1"/>
  <c r="AV76" i="14" a="1"/>
  <c r="AV76" i="14" s="1"/>
  <c r="BW76" i="14" a="1"/>
  <c r="BW76" i="14" s="1"/>
  <c r="AO76" i="14" a="1"/>
  <c r="AO76" i="14" s="1"/>
  <c r="BC76" i="14" a="1"/>
  <c r="BC76" i="14" s="1"/>
  <c r="BO76" i="14" a="1"/>
  <c r="BO76" i="14" s="1"/>
  <c r="X76" i="14" a="1"/>
  <c r="X76" i="14" s="1"/>
  <c r="BY76" i="14" a="1"/>
  <c r="BY76" i="14" s="1"/>
  <c r="AJ75" i="1"/>
  <c r="DH74" i="5"/>
  <c r="Y73" i="1"/>
  <c r="DJ74" i="5"/>
  <c r="K77" i="11"/>
  <c r="A77" i="14"/>
  <c r="CA77" i="14" s="1"/>
  <c r="A77" i="9"/>
  <c r="A77" i="8"/>
  <c r="A77" i="5"/>
  <c r="A77" i="2"/>
  <c r="A77" i="7"/>
  <c r="R77" i="7" s="1"/>
  <c r="W73" i="1"/>
  <c r="CE70" i="8"/>
  <c r="CX70" i="8" s="1"/>
  <c r="CY70" i="8" s="1"/>
  <c r="E72" i="1"/>
  <c r="X72" i="8"/>
  <c r="DD72" i="8" s="1"/>
  <c r="BI72" i="8"/>
  <c r="BW72" i="8"/>
  <c r="A72" i="11"/>
  <c r="AA71" i="11" s="1"/>
  <c r="AK71" i="1" s="1"/>
  <c r="BH72" i="8"/>
  <c r="BU72" i="8" s="1"/>
  <c r="B72" i="7"/>
  <c r="AE72" i="7" s="1"/>
  <c r="AF72" i="7" s="1"/>
  <c r="B72" i="9"/>
  <c r="Y72" i="9" s="1"/>
  <c r="AI72" i="5"/>
  <c r="A72" i="10"/>
  <c r="AA72" i="10" s="1"/>
  <c r="AJ72" i="5"/>
  <c r="AP72" i="5" s="1"/>
  <c r="BT72" i="5"/>
  <c r="CK72" i="8"/>
  <c r="AC72" i="8"/>
  <c r="BQ72" i="8" s="1"/>
  <c r="F73" i="5"/>
  <c r="BU74" i="5"/>
  <c r="B74" i="1"/>
  <c r="BG74" i="1" s="1"/>
  <c r="AH74" i="5"/>
  <c r="B74" i="2"/>
  <c r="BY76" i="11"/>
  <c r="AA75" i="7"/>
  <c r="AF75" i="8" s="1"/>
  <c r="AV75" i="8" s="1"/>
  <c r="K75" i="10"/>
  <c r="L75" i="11"/>
  <c r="L75" i="5"/>
  <c r="G74" i="10"/>
  <c r="I74" i="7"/>
  <c r="K75" i="5"/>
  <c r="F74" i="10"/>
  <c r="H74" i="7"/>
  <c r="DD74" i="5"/>
  <c r="B74" i="10"/>
  <c r="G75" i="5"/>
  <c r="D74" i="7"/>
  <c r="J75" i="5"/>
  <c r="DC75" i="5" s="1"/>
  <c r="E74" i="10"/>
  <c r="G74" i="7"/>
  <c r="B74" i="5"/>
  <c r="M75" i="5"/>
  <c r="H74" i="10"/>
  <c r="J74" i="7"/>
  <c r="DE74" i="5"/>
  <c r="I75" i="5"/>
  <c r="D74" i="10"/>
  <c r="F74" i="7"/>
  <c r="H75" i="5"/>
  <c r="C74" i="10"/>
  <c r="E74" i="7"/>
  <c r="CS69" i="8"/>
  <c r="D72" i="9"/>
  <c r="N71" i="7"/>
  <c r="AH83" i="9"/>
  <c r="CZ74" i="5"/>
  <c r="CH71" i="8"/>
  <c r="CZ71" i="8" s="1"/>
  <c r="CA71" i="8"/>
  <c r="CB71" i="8"/>
  <c r="CT71" i="8" s="1"/>
  <c r="BY71" i="8"/>
  <c r="BZ71" i="8"/>
  <c r="CC71" i="8"/>
  <c r="CV71" i="8" s="1"/>
  <c r="CW71" i="8" s="1"/>
  <c r="AC70" i="11"/>
  <c r="U70" i="8" s="1"/>
  <c r="AD70" i="11"/>
  <c r="AI70" i="1" s="1"/>
  <c r="Y70" i="11"/>
  <c r="AH70" i="1" s="1"/>
  <c r="N71" i="11"/>
  <c r="Z70" i="11"/>
  <c r="AB70" i="11"/>
  <c r="Q70" i="8" s="1"/>
  <c r="AA70" i="11"/>
  <c r="AK70" i="1" s="1"/>
  <c r="Q71" i="7"/>
  <c r="AE71" i="7"/>
  <c r="AF71" i="7" s="1"/>
  <c r="CI71" i="8"/>
  <c r="DA71" i="8" s="1"/>
  <c r="DA73" i="5"/>
  <c r="DG73" i="5" s="1" a="1"/>
  <c r="DG73" i="5" s="1"/>
  <c r="AB74" i="1"/>
  <c r="DI74" i="5"/>
  <c r="AG83" i="9"/>
  <c r="AK83" i="9"/>
  <c r="L36" i="11"/>
  <c r="AV36" i="8"/>
  <c r="L49" i="11"/>
  <c r="AV49" i="8"/>
  <c r="L54" i="11"/>
  <c r="AV54" i="8"/>
  <c r="L41" i="11"/>
  <c r="AV41" i="8"/>
  <c r="L38" i="11"/>
  <c r="AV38" i="8"/>
  <c r="L52" i="11"/>
  <c r="AV52" i="8"/>
  <c r="B36" i="14"/>
  <c r="N59" i="1"/>
  <c r="S76" i="2"/>
  <c r="N77" i="2"/>
  <c r="C40" i="4"/>
  <c r="R77" i="2"/>
  <c r="Q76" i="2"/>
  <c r="J78" i="10"/>
  <c r="N78" i="5" s="1"/>
  <c r="P78" i="2"/>
  <c r="AQ99" i="9" l="1"/>
  <c r="CM99" i="8" s="1"/>
  <c r="AO72" i="5"/>
  <c r="AM72" i="5"/>
  <c r="AN72" i="5"/>
  <c r="AR72" i="5" s="1"/>
  <c r="AV73" i="5"/>
  <c r="AW73" i="5"/>
  <c r="AG72" i="7"/>
  <c r="AG71" i="7"/>
  <c r="AI71" i="7" s="1"/>
  <c r="CL73" i="8"/>
  <c r="CA72" i="8"/>
  <c r="AC72" i="1"/>
  <c r="AI95" i="9"/>
  <c r="AO95" i="8" s="1"/>
  <c r="G78" i="8"/>
  <c r="CF77" i="8"/>
  <c r="O77" i="2"/>
  <c r="AS76" i="5"/>
  <c r="AQ71" i="5"/>
  <c r="AM84" i="9"/>
  <c r="BR72" i="8"/>
  <c r="BS72" i="8"/>
  <c r="AD75" i="1"/>
  <c r="CV77" i="5"/>
  <c r="CU77" i="5"/>
  <c r="CS77" i="5"/>
  <c r="CR77" i="5"/>
  <c r="CT77" i="5"/>
  <c r="CW77" i="5"/>
  <c r="CQ77" i="5"/>
  <c r="AY77" i="5" a="1"/>
  <c r="AY77" i="5" s="1"/>
  <c r="BL77" i="5" a="1"/>
  <c r="BL77" i="5" s="1"/>
  <c r="BK77" i="5" a="1"/>
  <c r="BK77" i="5" s="1"/>
  <c r="BI77" i="5" a="1"/>
  <c r="BI77" i="5" s="1"/>
  <c r="BE77" i="5" a="1"/>
  <c r="BE77" i="5" s="1"/>
  <c r="AZ77" i="5" a="1"/>
  <c r="AZ77" i="5" s="1"/>
  <c r="BC77" i="5" a="1"/>
  <c r="BC77" i="5" s="1"/>
  <c r="BN77" i="5" a="1"/>
  <c r="BN77" i="5" s="1"/>
  <c r="BQ77" i="5" a="1"/>
  <c r="BQ77" i="5" s="1"/>
  <c r="BD77" i="5" a="1"/>
  <c r="BD77" i="5" s="1"/>
  <c r="BH77" i="5" a="1"/>
  <c r="BH77" i="5" s="1"/>
  <c r="BG77" i="5" a="1"/>
  <c r="BG77" i="5" s="1"/>
  <c r="BB77" i="5" a="1"/>
  <c r="BB77" i="5" s="1"/>
  <c r="BM77" i="5" a="1"/>
  <c r="BM77" i="5" s="1"/>
  <c r="BJ77" i="5" a="1"/>
  <c r="BJ77" i="5" s="1"/>
  <c r="BA77" i="5" a="1"/>
  <c r="BA77" i="5" s="1"/>
  <c r="BF77" i="5" a="1"/>
  <c r="BF77" i="5" s="1"/>
  <c r="AE76" i="1" s="1"/>
  <c r="BO77" i="5" a="1"/>
  <c r="BO77" i="5" s="1"/>
  <c r="V75" i="2"/>
  <c r="CS70" i="8"/>
  <c r="CI72" i="8"/>
  <c r="DA72" i="8" s="1"/>
  <c r="F80" i="8"/>
  <c r="BP76" i="5" a="1"/>
  <c r="BP76" i="5" s="1"/>
  <c r="J76" i="2" s="1"/>
  <c r="O81" i="1"/>
  <c r="CE71" i="8"/>
  <c r="CX71" i="8" s="1"/>
  <c r="CY71" i="8" s="1"/>
  <c r="BX72" i="8"/>
  <c r="CD72" i="8" s="1"/>
  <c r="BT72" i="8"/>
  <c r="BO72" i="8"/>
  <c r="BP72" i="8"/>
  <c r="BM72" i="8"/>
  <c r="BN72" i="8"/>
  <c r="BK72" i="8"/>
  <c r="BL72" i="8"/>
  <c r="BJ72" i="8"/>
  <c r="AC72" i="10"/>
  <c r="X72" i="10" s="1"/>
  <c r="AH76" i="11"/>
  <c r="DE75" i="5"/>
  <c r="BW73" i="8"/>
  <c r="AK76" i="11"/>
  <c r="AJ76" i="1"/>
  <c r="DF75" i="5"/>
  <c r="DB75" i="5"/>
  <c r="W74" i="1"/>
  <c r="AM77" i="14" a="1"/>
  <c r="AM77" i="14" s="1"/>
  <c r="AT77" i="14" a="1"/>
  <c r="AT77" i="14" s="1"/>
  <c r="BA77" i="14" a="1"/>
  <c r="BA77" i="14" s="1"/>
  <c r="AZ77" i="14" a="1"/>
  <c r="AZ77" i="14" s="1"/>
  <c r="AJ77" i="14" a="1"/>
  <c r="AJ77" i="14" s="1"/>
  <c r="S77" i="14" a="1"/>
  <c r="S77" i="14" s="1"/>
  <c r="BU77" i="14" a="1"/>
  <c r="BU77" i="14" s="1"/>
  <c r="Q77" i="14" a="1"/>
  <c r="Q77" i="14" s="1"/>
  <c r="BR77" i="14" a="1"/>
  <c r="BR77" i="14" s="1"/>
  <c r="AE77" i="14" a="1"/>
  <c r="AE77" i="14" s="1"/>
  <c r="U77" i="14" a="1"/>
  <c r="U77" i="14" s="1"/>
  <c r="BZ77" i="14" a="1"/>
  <c r="BZ77" i="14" s="1"/>
  <c r="AB77" i="14" a="1"/>
  <c r="AB77" i="14" s="1"/>
  <c r="BN77" i="14" a="1"/>
  <c r="BN77" i="14" s="1"/>
  <c r="AW77" i="14" a="1"/>
  <c r="AW77" i="14" s="1"/>
  <c r="Y77" i="14" a="1"/>
  <c r="Y77" i="14" s="1"/>
  <c r="BS77" i="14" a="1"/>
  <c r="BS77" i="14" s="1"/>
  <c r="O77" i="14" a="1"/>
  <c r="O77" i="14" s="1"/>
  <c r="BB77" i="14" a="1"/>
  <c r="BB77" i="14" s="1"/>
  <c r="AK77" i="14" a="1"/>
  <c r="AK77" i="14" s="1"/>
  <c r="BY77" i="14" a="1"/>
  <c r="BY77" i="14" s="1"/>
  <c r="AQ77" i="14" a="1"/>
  <c r="AQ77" i="14" s="1"/>
  <c r="AY77" i="14" a="1"/>
  <c r="AY77" i="14" s="1"/>
  <c r="AX77" i="14" a="1"/>
  <c r="AX77" i="14" s="1"/>
  <c r="AO77" i="14" a="1"/>
  <c r="AO77" i="14" s="1"/>
  <c r="BT77" i="14" a="1"/>
  <c r="BT77" i="14" s="1"/>
  <c r="X77" i="14" a="1"/>
  <c r="X77" i="14" s="1"/>
  <c r="AL77" i="14" a="1"/>
  <c r="AL77" i="14" s="1"/>
  <c r="BI77" i="14" a="1"/>
  <c r="BI77" i="14" s="1"/>
  <c r="T77" i="14" a="1"/>
  <c r="T77" i="14" s="1"/>
  <c r="AI77" i="14" a="1"/>
  <c r="AI77" i="14" s="1"/>
  <c r="AP77" i="14" a="1"/>
  <c r="AP77" i="14" s="1"/>
  <c r="Z77" i="14" a="1"/>
  <c r="Z77" i="14" s="1"/>
  <c r="M77" i="14" a="1"/>
  <c r="M77" i="14" s="1"/>
  <c r="AV77" i="14" a="1"/>
  <c r="AV77" i="14" s="1"/>
  <c r="W77" i="14" a="1"/>
  <c r="W77" i="14" s="1"/>
  <c r="AD77" i="14" a="1"/>
  <c r="AD77" i="14" s="1"/>
  <c r="AC77" i="14" a="1"/>
  <c r="AC77" i="14" s="1"/>
  <c r="BW77" i="14" a="1"/>
  <c r="BW77" i="14" s="1"/>
  <c r="AF77" i="14" a="1"/>
  <c r="AF77" i="14" s="1"/>
  <c r="BL77" i="14" a="1"/>
  <c r="BL77" i="14" s="1"/>
  <c r="BF77" i="14" a="1"/>
  <c r="BF77" i="14" s="1"/>
  <c r="BK77" i="14" a="1"/>
  <c r="BK77" i="14" s="1"/>
  <c r="N77" i="14" a="1"/>
  <c r="N77" i="14" s="1"/>
  <c r="BD77" i="14" a="1"/>
  <c r="BD77" i="14" s="1"/>
  <c r="P77" i="14" a="1"/>
  <c r="P77" i="14" s="1"/>
  <c r="AR77" i="14" a="1"/>
  <c r="AR77" i="14" s="1"/>
  <c r="AA77" i="14" a="1"/>
  <c r="AA77" i="14" s="1"/>
  <c r="R77" i="14" a="1"/>
  <c r="R77" i="14" s="1"/>
  <c r="AL77" i="1" s="1"/>
  <c r="BM77" i="14" a="1"/>
  <c r="BM77" i="14" s="1"/>
  <c r="BP77" i="14" a="1"/>
  <c r="BP77" i="14" s="1"/>
  <c r="AG77" i="14" a="1"/>
  <c r="AG77" i="14" s="1"/>
  <c r="BX77" i="14" a="1"/>
  <c r="BX77" i="14" s="1"/>
  <c r="BE77" i="14" a="1"/>
  <c r="BE77" i="14" s="1"/>
  <c r="AU77" i="14" a="1"/>
  <c r="AU77" i="14" s="1"/>
  <c r="AN77" i="14" a="1"/>
  <c r="AN77" i="14" s="1"/>
  <c r="BC77" i="14" a="1"/>
  <c r="BC77" i="14" s="1"/>
  <c r="BH77" i="14" a="1"/>
  <c r="BH77" i="14" s="1"/>
  <c r="V77" i="14" a="1"/>
  <c r="V77" i="14" s="1"/>
  <c r="BO77" i="14" a="1"/>
  <c r="BO77" i="14" s="1"/>
  <c r="BJ77" i="14" a="1"/>
  <c r="BJ77" i="14" s="1"/>
  <c r="BG77" i="14" a="1"/>
  <c r="BG77" i="14" s="1"/>
  <c r="BQ77" i="14" a="1"/>
  <c r="BQ77" i="14" s="1"/>
  <c r="BV77" i="14" a="1"/>
  <c r="BV77" i="14" s="1"/>
  <c r="AS77" i="14" a="1"/>
  <c r="AS77" i="14" s="1"/>
  <c r="AH77" i="14" a="1"/>
  <c r="AH77" i="14" s="1"/>
  <c r="K78" i="11"/>
  <c r="A78" i="14"/>
  <c r="CA78" i="14" s="1"/>
  <c r="A78" i="5"/>
  <c r="A78" i="9"/>
  <c r="A78" i="2"/>
  <c r="A78" i="8"/>
  <c r="A78" i="7"/>
  <c r="R78" i="7" s="1"/>
  <c r="AM76" i="1"/>
  <c r="Y74" i="1"/>
  <c r="DJ75" i="5"/>
  <c r="AF74" i="1"/>
  <c r="AE77" i="8"/>
  <c r="AU77" i="8"/>
  <c r="DH75" i="5"/>
  <c r="BZ72" i="8"/>
  <c r="CH72" i="8"/>
  <c r="CZ72" i="8" s="1"/>
  <c r="BY72" i="8"/>
  <c r="D73" i="9"/>
  <c r="N72" i="7"/>
  <c r="AD71" i="11"/>
  <c r="AI71" i="1" s="1"/>
  <c r="AB71" i="11"/>
  <c r="Q71" i="8" s="1"/>
  <c r="CB72" i="8"/>
  <c r="CT72" i="8" s="1"/>
  <c r="CC72" i="8"/>
  <c r="CV72" i="8" s="1"/>
  <c r="CW72" i="8" s="1"/>
  <c r="Z71" i="11"/>
  <c r="Y71" i="11"/>
  <c r="AH71" i="1" s="1"/>
  <c r="AC71" i="11"/>
  <c r="U71" i="8" s="1"/>
  <c r="B72" i="14"/>
  <c r="B73" i="7"/>
  <c r="AE73" i="7" s="1"/>
  <c r="AF73" i="7" s="1"/>
  <c r="N72" i="11"/>
  <c r="Q72" i="7"/>
  <c r="B73" i="9"/>
  <c r="Y73" i="9" s="1"/>
  <c r="AJ73" i="5"/>
  <c r="AP73" i="5" s="1"/>
  <c r="A73" i="10"/>
  <c r="AA73" i="10" s="1"/>
  <c r="AC73" i="8"/>
  <c r="BQ73" i="8" s="1"/>
  <c r="A73" i="11"/>
  <c r="Z72" i="11" s="1"/>
  <c r="E73" i="1"/>
  <c r="BT73" i="5"/>
  <c r="BI73" i="8"/>
  <c r="X73" i="8"/>
  <c r="DD73" i="8" s="1"/>
  <c r="AI73" i="5"/>
  <c r="DH73" i="8"/>
  <c r="DI73" i="8" s="1"/>
  <c r="CK73" i="8"/>
  <c r="BH73" i="8"/>
  <c r="BU73" i="8" s="1"/>
  <c r="BY77" i="11"/>
  <c r="K76" i="10"/>
  <c r="AA76" i="7"/>
  <c r="AF76" i="8" s="1"/>
  <c r="AV76" i="8" s="1"/>
  <c r="L76" i="11"/>
  <c r="B75" i="2"/>
  <c r="B75" i="1"/>
  <c r="BG75" i="1" s="1"/>
  <c r="AH75" i="5"/>
  <c r="BU75" i="5"/>
  <c r="H76" i="5"/>
  <c r="C75" i="10"/>
  <c r="E75" i="7"/>
  <c r="I76" i="5"/>
  <c r="D75" i="10"/>
  <c r="F75" i="7"/>
  <c r="J76" i="5"/>
  <c r="DC76" i="5" s="1"/>
  <c r="E75" i="10"/>
  <c r="G75" i="7"/>
  <c r="K76" i="5"/>
  <c r="F75" i="10"/>
  <c r="H75" i="7"/>
  <c r="DD75" i="5"/>
  <c r="B75" i="10"/>
  <c r="D75" i="7"/>
  <c r="G76" i="5"/>
  <c r="L76" i="5"/>
  <c r="G75" i="10"/>
  <c r="I75" i="7"/>
  <c r="B75" i="5"/>
  <c r="M76" i="5"/>
  <c r="H75" i="10"/>
  <c r="J75" i="7"/>
  <c r="CQ71" i="8"/>
  <c r="CU71" i="8" s="1"/>
  <c r="AH84" i="9"/>
  <c r="CR71" i="8"/>
  <c r="DB71" i="8"/>
  <c r="CZ75" i="5"/>
  <c r="C74" i="5"/>
  <c r="F74" i="5" s="1"/>
  <c r="AB75" i="1"/>
  <c r="DI75" i="5"/>
  <c r="C75" i="5"/>
  <c r="DA74" i="5"/>
  <c r="DG74" i="5" s="1" a="1"/>
  <c r="DG74" i="5" s="1"/>
  <c r="AH38" i="5"/>
  <c r="BU38" i="5"/>
  <c r="AH54" i="5"/>
  <c r="BU54" i="5"/>
  <c r="AH49" i="5"/>
  <c r="BU49" i="5"/>
  <c r="AH41" i="5"/>
  <c r="BU41" i="5"/>
  <c r="AH36" i="5"/>
  <c r="BU36" i="5"/>
  <c r="AH52" i="5"/>
  <c r="BU52" i="5"/>
  <c r="AG84" i="9"/>
  <c r="AK84" i="9"/>
  <c r="B41" i="2"/>
  <c r="B41" i="1"/>
  <c r="BG41" i="1" s="1"/>
  <c r="B36" i="2"/>
  <c r="B36" i="1"/>
  <c r="BG36" i="1" s="1"/>
  <c r="B52" i="2"/>
  <c r="B52" i="1"/>
  <c r="BG52" i="1" s="1"/>
  <c r="B54" i="2"/>
  <c r="B54" i="1"/>
  <c r="BG54" i="1" s="1"/>
  <c r="B38" i="2"/>
  <c r="B38" i="1"/>
  <c r="BG38" i="1" s="1"/>
  <c r="B49" i="2"/>
  <c r="B49" i="1"/>
  <c r="BG49" i="1" s="1"/>
  <c r="L43" i="11"/>
  <c r="AV43" i="8"/>
  <c r="B45" i="14"/>
  <c r="N60" i="1"/>
  <c r="S77" i="2"/>
  <c r="N78" i="2"/>
  <c r="R78" i="2"/>
  <c r="Q77" i="2"/>
  <c r="J79" i="10"/>
  <c r="N79" i="5" s="1"/>
  <c r="P79" i="2"/>
  <c r="AQ100" i="9" l="1"/>
  <c r="CM100" i="8" s="1"/>
  <c r="AO73" i="5"/>
  <c r="AM73" i="5"/>
  <c r="AN73" i="5"/>
  <c r="AR73" i="5" s="1"/>
  <c r="AV74" i="5"/>
  <c r="AW74" i="5"/>
  <c r="AI72" i="7"/>
  <c r="AG73" i="7"/>
  <c r="CL74" i="8"/>
  <c r="CR72" i="8"/>
  <c r="CH73" i="8"/>
  <c r="CZ73" i="8" s="1"/>
  <c r="AC73" i="1"/>
  <c r="AI96" i="9"/>
  <c r="AO96" i="8" s="1"/>
  <c r="G79" i="8"/>
  <c r="CF78" i="8"/>
  <c r="O78" i="2"/>
  <c r="AQ72" i="5"/>
  <c r="BE78" i="5" a="1"/>
  <c r="BE78" i="5" s="1"/>
  <c r="BN78" i="5" a="1"/>
  <c r="BN78" i="5" s="1"/>
  <c r="BI78" i="5" a="1"/>
  <c r="BI78" i="5" s="1"/>
  <c r="BC78" i="5" a="1"/>
  <c r="BC78" i="5" s="1"/>
  <c r="AZ78" i="5" a="1"/>
  <c r="AZ78" i="5" s="1"/>
  <c r="AM85" i="9"/>
  <c r="BR73" i="8"/>
  <c r="BS73" i="8"/>
  <c r="AD76" i="1"/>
  <c r="BK78" i="5" a="1"/>
  <c r="BK78" i="5" s="1"/>
  <c r="BO78" i="5" a="1"/>
  <c r="BO78" i="5" s="1"/>
  <c r="BF78" i="5" a="1"/>
  <c r="BF78" i="5" s="1"/>
  <c r="AE77" i="1" s="1"/>
  <c r="BA78" i="5" a="1"/>
  <c r="BA78" i="5" s="1"/>
  <c r="BJ78" i="5" a="1"/>
  <c r="BJ78" i="5" s="1"/>
  <c r="BM78" i="5" a="1"/>
  <c r="BM78" i="5" s="1"/>
  <c r="BB78" i="5" a="1"/>
  <c r="BB78" i="5" s="1"/>
  <c r="CU78" i="5"/>
  <c r="CV78" i="5"/>
  <c r="CT78" i="5"/>
  <c r="CW78" i="5"/>
  <c r="CQ78" i="5"/>
  <c r="CS78" i="5"/>
  <c r="CR78" i="5"/>
  <c r="BL78" i="5" a="1"/>
  <c r="BL78" i="5" s="1"/>
  <c r="AY78" i="5" a="1"/>
  <c r="AY78" i="5" s="1"/>
  <c r="BG78" i="5" a="1"/>
  <c r="BG78" i="5" s="1"/>
  <c r="BH78" i="5" a="1"/>
  <c r="BH78" i="5" s="1"/>
  <c r="BD78" i="5" a="1"/>
  <c r="BD78" i="5" s="1"/>
  <c r="BQ78" i="5" a="1"/>
  <c r="BQ78" i="5" s="1"/>
  <c r="V76" i="2"/>
  <c r="DB72" i="8"/>
  <c r="CQ72" i="8"/>
  <c r="CU72" i="8" s="1"/>
  <c r="F81" i="8"/>
  <c r="BP77" i="5" a="1"/>
  <c r="BP77" i="5" s="1"/>
  <c r="J77" i="2" s="1"/>
  <c r="O82" i="1"/>
  <c r="CE72" i="8"/>
  <c r="CX72" i="8" s="1"/>
  <c r="CY72" i="8" s="1"/>
  <c r="BX73" i="8"/>
  <c r="CD73" i="8" s="1"/>
  <c r="BT73" i="8"/>
  <c r="BO73" i="8"/>
  <c r="BP73" i="8"/>
  <c r="BM73" i="8"/>
  <c r="BN73" i="8"/>
  <c r="BK73" i="8"/>
  <c r="BL73" i="8"/>
  <c r="BJ73" i="8"/>
  <c r="AC73" i="10"/>
  <c r="X73" i="10" s="1"/>
  <c r="AS77" i="5"/>
  <c r="AH77" i="11"/>
  <c r="CA73" i="8"/>
  <c r="CC73" i="8"/>
  <c r="CV73" i="8" s="1"/>
  <c r="CW73" i="8" s="1"/>
  <c r="CB73" i="8"/>
  <c r="CT73" i="8" s="1"/>
  <c r="BY73" i="8"/>
  <c r="BZ73" i="8"/>
  <c r="DB76" i="5"/>
  <c r="DE76" i="5"/>
  <c r="AK77" i="11"/>
  <c r="AJ77" i="1"/>
  <c r="DF76" i="5"/>
  <c r="AE78" i="8"/>
  <c r="AU78" i="8"/>
  <c r="DH76" i="5"/>
  <c r="AF75" i="1"/>
  <c r="BS78" i="14" a="1"/>
  <c r="BS78" i="14" s="1"/>
  <c r="AL78" i="14" a="1"/>
  <c r="AL78" i="14" s="1"/>
  <c r="AC78" i="14" a="1"/>
  <c r="AC78" i="14" s="1"/>
  <c r="AZ78" i="14" a="1"/>
  <c r="AZ78" i="14" s="1"/>
  <c r="AJ78" i="14" a="1"/>
  <c r="AJ78" i="14" s="1"/>
  <c r="AY78" i="14" a="1"/>
  <c r="AY78" i="14" s="1"/>
  <c r="AH78" i="14" a="1"/>
  <c r="AH78" i="14" s="1"/>
  <c r="BU78" i="14" a="1"/>
  <c r="BU78" i="14" s="1"/>
  <c r="BK78" i="14" a="1"/>
  <c r="BK78" i="14" s="1"/>
  <c r="V78" i="14" a="1"/>
  <c r="V78" i="14" s="1"/>
  <c r="BQ78" i="14" a="1"/>
  <c r="BQ78" i="14" s="1"/>
  <c r="BP78" i="14" a="1"/>
  <c r="BP78" i="14" s="1"/>
  <c r="T78" i="14" a="1"/>
  <c r="T78" i="14" s="1"/>
  <c r="BV78" i="14" a="1"/>
  <c r="BV78" i="14" s="1"/>
  <c r="BF78" i="14" a="1"/>
  <c r="BF78" i="14" s="1"/>
  <c r="BE78" i="14" a="1"/>
  <c r="BE78" i="14" s="1"/>
  <c r="AU78" i="14" a="1"/>
  <c r="AU78" i="14" s="1"/>
  <c r="AV78" i="14" a="1"/>
  <c r="AV78" i="14" s="1"/>
  <c r="O78" i="14" a="1"/>
  <c r="O78" i="14" s="1"/>
  <c r="BJ78" i="14" a="1"/>
  <c r="BJ78" i="14" s="1"/>
  <c r="BI78" i="14" a="1"/>
  <c r="BI78" i="14" s="1"/>
  <c r="BH78" i="14" a="1"/>
  <c r="BH78" i="14" s="1"/>
  <c r="AA78" i="14" a="1"/>
  <c r="AA78" i="14" s="1"/>
  <c r="AX78" i="14" a="1"/>
  <c r="AX78" i="14" s="1"/>
  <c r="AO78" i="14" a="1"/>
  <c r="AO78" i="14" s="1"/>
  <c r="BL78" i="14" a="1"/>
  <c r="BL78" i="14" s="1"/>
  <c r="BR78" i="14" a="1"/>
  <c r="BR78" i="14" s="1"/>
  <c r="BY78" i="14" a="1"/>
  <c r="BY78" i="14" s="1"/>
  <c r="BA78" i="14" a="1"/>
  <c r="BA78" i="14" s="1"/>
  <c r="AP78" i="14" a="1"/>
  <c r="AP78" i="14" s="1"/>
  <c r="Y78" i="14" a="1"/>
  <c r="Y78" i="14" s="1"/>
  <c r="BB78" i="14" a="1"/>
  <c r="BB78" i="14" s="1"/>
  <c r="U78" i="14" a="1"/>
  <c r="U78" i="14" s="1"/>
  <c r="BO78" i="14" a="1"/>
  <c r="BO78" i="14" s="1"/>
  <c r="AQ78" i="14" a="1"/>
  <c r="AQ78" i="14" s="1"/>
  <c r="Q78" i="14" a="1"/>
  <c r="Q78" i="14" s="1"/>
  <c r="BT78" i="14" a="1"/>
  <c r="BT78" i="14" s="1"/>
  <c r="AT78" i="14" a="1"/>
  <c r="AT78" i="14" s="1"/>
  <c r="P78" i="14" a="1"/>
  <c r="P78" i="14" s="1"/>
  <c r="BG78" i="14" a="1"/>
  <c r="BG78" i="14" s="1"/>
  <c r="Z78" i="14" a="1"/>
  <c r="Z78" i="14" s="1"/>
  <c r="BC78" i="14" a="1"/>
  <c r="BC78" i="14" s="1"/>
  <c r="AD78" i="14" a="1"/>
  <c r="AD78" i="14" s="1"/>
  <c r="BX78" i="14" a="1"/>
  <c r="BX78" i="14" s="1"/>
  <c r="AF78" i="14" a="1"/>
  <c r="AF78" i="14" s="1"/>
  <c r="R78" i="14" a="1"/>
  <c r="R78" i="14" s="1"/>
  <c r="AL78" i="1" s="1"/>
  <c r="AM78" i="14" a="1"/>
  <c r="AM78" i="14" s="1"/>
  <c r="N78" i="14" a="1"/>
  <c r="N78" i="14" s="1"/>
  <c r="AR78" i="14" a="1"/>
  <c r="AR78" i="14" s="1"/>
  <c r="BN78" i="14" a="1"/>
  <c r="BN78" i="14" s="1"/>
  <c r="BM78" i="14" a="1"/>
  <c r="BM78" i="14" s="1"/>
  <c r="AE78" i="14" a="1"/>
  <c r="AE78" i="14" s="1"/>
  <c r="BD78" i="14" a="1"/>
  <c r="BD78" i="14" s="1"/>
  <c r="AN78" i="14" a="1"/>
  <c r="AN78" i="14" s="1"/>
  <c r="BW78" i="14" a="1"/>
  <c r="BW78" i="14" s="1"/>
  <c r="AW78" i="14" a="1"/>
  <c r="AW78" i="14" s="1"/>
  <c r="W78" i="14" a="1"/>
  <c r="W78" i="14" s="1"/>
  <c r="AS78" i="14" a="1"/>
  <c r="AS78" i="14" s="1"/>
  <c r="BZ78" i="14" a="1"/>
  <c r="BZ78" i="14" s="1"/>
  <c r="AI78" i="14" a="1"/>
  <c r="AI78" i="14" s="1"/>
  <c r="AG78" i="14" a="1"/>
  <c r="AG78" i="14" s="1"/>
  <c r="X78" i="14" a="1"/>
  <c r="X78" i="14" s="1"/>
  <c r="AK78" i="14" a="1"/>
  <c r="AK78" i="14" s="1"/>
  <c r="AB78" i="14" a="1"/>
  <c r="AB78" i="14" s="1"/>
  <c r="S78" i="14" a="1"/>
  <c r="S78" i="14" s="1"/>
  <c r="M78" i="14" a="1"/>
  <c r="M78" i="14" s="1"/>
  <c r="AM77" i="1"/>
  <c r="W75" i="1"/>
  <c r="K79" i="11"/>
  <c r="A79" i="14"/>
  <c r="CA79" i="14" s="1"/>
  <c r="A79" i="5"/>
  <c r="A79" i="7"/>
  <c r="R79" i="7" s="1"/>
  <c r="A79" i="2"/>
  <c r="A79" i="9"/>
  <c r="A79" i="8"/>
  <c r="Y75" i="1"/>
  <c r="DJ76" i="5"/>
  <c r="AB72" i="11"/>
  <c r="Q72" i="8" s="1"/>
  <c r="B73" i="14"/>
  <c r="Q73" i="7"/>
  <c r="N73" i="11"/>
  <c r="N73" i="7"/>
  <c r="AD72" i="11"/>
  <c r="AI72" i="1" s="1"/>
  <c r="Y72" i="11"/>
  <c r="AH72" i="1" s="1"/>
  <c r="AA72" i="11"/>
  <c r="AK72" i="1" s="1"/>
  <c r="AC72" i="11"/>
  <c r="U72" i="8" s="1"/>
  <c r="CI73" i="8"/>
  <c r="DA73" i="8" s="1"/>
  <c r="D74" i="9"/>
  <c r="F75" i="5"/>
  <c r="B76" i="5"/>
  <c r="CS71" i="8"/>
  <c r="BU76" i="5"/>
  <c r="AH76" i="5"/>
  <c r="B76" i="2"/>
  <c r="B76" i="1"/>
  <c r="BG76" i="1" s="1"/>
  <c r="BY78" i="11"/>
  <c r="K77" i="10"/>
  <c r="AA77" i="7"/>
  <c r="AF77" i="8" s="1"/>
  <c r="AV77" i="8" s="1"/>
  <c r="L77" i="11"/>
  <c r="J77" i="5"/>
  <c r="DC77" i="5" s="1"/>
  <c r="E76" i="10"/>
  <c r="G76" i="7"/>
  <c r="M77" i="5"/>
  <c r="H76" i="10"/>
  <c r="J76" i="7"/>
  <c r="I77" i="5"/>
  <c r="D76" i="10"/>
  <c r="F76" i="7"/>
  <c r="L77" i="5"/>
  <c r="G76" i="10"/>
  <c r="I76" i="7"/>
  <c r="K77" i="5"/>
  <c r="F76" i="10"/>
  <c r="H76" i="7"/>
  <c r="DD76" i="5"/>
  <c r="G77" i="5"/>
  <c r="D76" i="7"/>
  <c r="B76" i="10"/>
  <c r="H77" i="5"/>
  <c r="C76" i="10"/>
  <c r="E76" i="7"/>
  <c r="DH74" i="8"/>
  <c r="DI74" i="8" s="1"/>
  <c r="CK74" i="8"/>
  <c r="BW74" i="8"/>
  <c r="AC74" i="1" s="1"/>
  <c r="BH74" i="8"/>
  <c r="BU74" i="8" s="1"/>
  <c r="BI74" i="8"/>
  <c r="AH85" i="9"/>
  <c r="CZ76" i="5"/>
  <c r="B74" i="9"/>
  <c r="Y74" i="9" s="1"/>
  <c r="BT74" i="5"/>
  <c r="X74" i="8"/>
  <c r="DD74" i="8" s="1"/>
  <c r="E74" i="1"/>
  <c r="AC74" i="8"/>
  <c r="BQ74" i="8" s="1"/>
  <c r="AJ74" i="5"/>
  <c r="AP74" i="5" s="1"/>
  <c r="AI74" i="5"/>
  <c r="A74" i="10"/>
  <c r="AA74" i="10" s="1"/>
  <c r="B74" i="7"/>
  <c r="A74" i="11"/>
  <c r="DA75" i="5"/>
  <c r="DG75" i="5" s="1" a="1"/>
  <c r="DG75" i="5" s="1"/>
  <c r="AB76" i="1"/>
  <c r="DI76" i="5"/>
  <c r="AH43" i="5"/>
  <c r="BU43" i="5"/>
  <c r="AG85" i="9"/>
  <c r="AK85" i="9"/>
  <c r="B43" i="2"/>
  <c r="B43" i="1"/>
  <c r="BG43" i="1" s="1"/>
  <c r="B53" i="14"/>
  <c r="N61" i="1"/>
  <c r="S78" i="2"/>
  <c r="N79" i="2"/>
  <c r="R79" i="2"/>
  <c r="Q78" i="2"/>
  <c r="J80" i="10"/>
  <c r="N80" i="5" s="1"/>
  <c r="P80" i="2"/>
  <c r="AQ101" i="9" l="1"/>
  <c r="CM101" i="8" s="1"/>
  <c r="AO74" i="5"/>
  <c r="AM74" i="5"/>
  <c r="AN74" i="5"/>
  <c r="AV75" i="5"/>
  <c r="AW75" i="5"/>
  <c r="AI73" i="7"/>
  <c r="CL75" i="8"/>
  <c r="DB73" i="8"/>
  <c r="AI97" i="9"/>
  <c r="AO97" i="8" s="1"/>
  <c r="G80" i="8"/>
  <c r="CF79" i="8"/>
  <c r="O79" i="2"/>
  <c r="AQ73" i="5"/>
  <c r="BE79" i="5" a="1"/>
  <c r="BE79" i="5" s="1"/>
  <c r="AD77" i="1"/>
  <c r="AM86" i="9"/>
  <c r="BR74" i="8"/>
  <c r="BS74" i="8"/>
  <c r="BM79" i="5" a="1"/>
  <c r="BM79" i="5" s="1"/>
  <c r="BB79" i="5" a="1"/>
  <c r="BB79" i="5" s="1"/>
  <c r="BQ79" i="5" a="1"/>
  <c r="BQ79" i="5" s="1"/>
  <c r="BD79" i="5" a="1"/>
  <c r="BD79" i="5" s="1"/>
  <c r="BJ79" i="5" a="1"/>
  <c r="BJ79" i="5" s="1"/>
  <c r="BI79" i="5" a="1"/>
  <c r="BI79" i="5" s="1"/>
  <c r="BH79" i="5" a="1"/>
  <c r="BH79" i="5" s="1"/>
  <c r="BA79" i="5" a="1"/>
  <c r="BA79" i="5" s="1"/>
  <c r="BG79" i="5" a="1"/>
  <c r="BG79" i="5" s="1"/>
  <c r="BF79" i="5" a="1"/>
  <c r="BF79" i="5" s="1"/>
  <c r="AE78" i="1" s="1"/>
  <c r="BO79" i="5" a="1"/>
  <c r="BO79" i="5" s="1"/>
  <c r="BK79" i="5" a="1"/>
  <c r="BK79" i="5" s="1"/>
  <c r="CV79" i="5"/>
  <c r="CU79" i="5"/>
  <c r="CQ79" i="5"/>
  <c r="CT79" i="5"/>
  <c r="CR79" i="5"/>
  <c r="CS79" i="5"/>
  <c r="CW79" i="5"/>
  <c r="BL79" i="5" a="1"/>
  <c r="BL79" i="5" s="1"/>
  <c r="AY79" i="5" a="1"/>
  <c r="AY79" i="5" s="1"/>
  <c r="BC79" i="5" a="1"/>
  <c r="BC79" i="5" s="1"/>
  <c r="AZ79" i="5" a="1"/>
  <c r="AZ79" i="5" s="1"/>
  <c r="BN79" i="5" a="1"/>
  <c r="BN79" i="5" s="1"/>
  <c r="V77" i="2"/>
  <c r="CS72" i="8"/>
  <c r="F82" i="8"/>
  <c r="CQ73" i="8"/>
  <c r="CU73" i="8" s="1"/>
  <c r="BP78" i="5" a="1"/>
  <c r="BP78" i="5" s="1"/>
  <c r="J78" i="2" s="1"/>
  <c r="O83" i="1"/>
  <c r="CE73" i="8"/>
  <c r="CX73" i="8" s="1"/>
  <c r="CY73" i="8" s="1"/>
  <c r="BX74" i="8"/>
  <c r="CD74" i="8" s="1"/>
  <c r="BT74" i="8"/>
  <c r="BO74" i="8"/>
  <c r="BP74" i="8"/>
  <c r="BM74" i="8"/>
  <c r="BN74" i="8"/>
  <c r="BK74" i="8"/>
  <c r="BL74" i="8"/>
  <c r="BJ74" i="8"/>
  <c r="AC74" i="10"/>
  <c r="X74" i="10" s="1"/>
  <c r="AR74" i="5"/>
  <c r="AS78" i="5"/>
  <c r="CK75" i="8"/>
  <c r="CR73" i="8"/>
  <c r="AH78" i="11"/>
  <c r="DB77" i="5"/>
  <c r="DE77" i="5"/>
  <c r="W76" i="1"/>
  <c r="AF76" i="1"/>
  <c r="Y76" i="1"/>
  <c r="DJ77" i="5"/>
  <c r="AM78" i="1"/>
  <c r="AK78" i="11"/>
  <c r="DH77" i="5"/>
  <c r="AJ78" i="1"/>
  <c r="BS79" i="14" a="1"/>
  <c r="BS79" i="14" s="1"/>
  <c r="AL79" i="14" a="1"/>
  <c r="AL79" i="14" s="1"/>
  <c r="BA79" i="14" a="1"/>
  <c r="BA79" i="14" s="1"/>
  <c r="BZ79" i="14" a="1"/>
  <c r="BZ79" i="14" s="1"/>
  <c r="AN79" i="14" a="1"/>
  <c r="AN79" i="14" s="1"/>
  <c r="BM79" i="14" a="1"/>
  <c r="BM79" i="14" s="1"/>
  <c r="AF79" i="14" a="1"/>
  <c r="AF79" i="14" s="1"/>
  <c r="M79" i="14" a="1"/>
  <c r="M79" i="14" s="1"/>
  <c r="AV79" i="14" a="1"/>
  <c r="AV79" i="14" s="1"/>
  <c r="O79" i="14" a="1"/>
  <c r="O79" i="14" s="1"/>
  <c r="V79" i="14" a="1"/>
  <c r="V79" i="14" s="1"/>
  <c r="AC79" i="14" a="1"/>
  <c r="AC79" i="14" s="1"/>
  <c r="AZ79" i="14" a="1"/>
  <c r="AZ79" i="14" s="1"/>
  <c r="BV79" i="14" a="1"/>
  <c r="BV79" i="14" s="1"/>
  <c r="Z79" i="14" a="1"/>
  <c r="Z79" i="14" s="1"/>
  <c r="AA79" i="14" a="1"/>
  <c r="AA79" i="14" s="1"/>
  <c r="AH79" i="14" a="1"/>
  <c r="AH79" i="14" s="1"/>
  <c r="AM79" i="14" a="1"/>
  <c r="AM79" i="14" s="1"/>
  <c r="AD79" i="14" a="1"/>
  <c r="AD79" i="14" s="1"/>
  <c r="U79" i="14" a="1"/>
  <c r="U79" i="14" s="1"/>
  <c r="AJ79" i="14" a="1"/>
  <c r="AJ79" i="14" s="1"/>
  <c r="BN79" i="14" a="1"/>
  <c r="BN79" i="14" s="1"/>
  <c r="AP79" i="14" a="1"/>
  <c r="AP79" i="14" s="1"/>
  <c r="AE79" i="14" a="1"/>
  <c r="AE79" i="14" s="1"/>
  <c r="BQ79" i="14" a="1"/>
  <c r="BQ79" i="14" s="1"/>
  <c r="BP79" i="14" a="1"/>
  <c r="BP79" i="14" s="1"/>
  <c r="AB79" i="14" a="1"/>
  <c r="AB79" i="14" s="1"/>
  <c r="R79" i="14" a="1"/>
  <c r="R79" i="14" s="1"/>
  <c r="AL79" i="1" s="1"/>
  <c r="BE79" i="14" a="1"/>
  <c r="BE79" i="14" s="1"/>
  <c r="X79" i="14" a="1"/>
  <c r="X79" i="14" s="1"/>
  <c r="AS79" i="14" a="1"/>
  <c r="AS79" i="14" s="1"/>
  <c r="BX79" i="14" a="1"/>
  <c r="BX79" i="14" s="1"/>
  <c r="AY79" i="14" a="1"/>
  <c r="AY79" i="14" s="1"/>
  <c r="BU79" i="14" a="1"/>
  <c r="BU79" i="14" s="1"/>
  <c r="Q79" i="14" a="1"/>
  <c r="Q79" i="14" s="1"/>
  <c r="W79" i="14" a="1"/>
  <c r="W79" i="14" s="1"/>
  <c r="N79" i="14" a="1"/>
  <c r="N79" i="14" s="1"/>
  <c r="BH79" i="14" a="1"/>
  <c r="BH79" i="14" s="1"/>
  <c r="AQ79" i="14" a="1"/>
  <c r="AQ79" i="14" s="1"/>
  <c r="AI79" i="14" a="1"/>
  <c r="AI79" i="14" s="1"/>
  <c r="AG79" i="14" a="1"/>
  <c r="AG79" i="14" s="1"/>
  <c r="BT79" i="14" a="1"/>
  <c r="BT79" i="14" s="1"/>
  <c r="BR79" i="14" a="1"/>
  <c r="BR79" i="14" s="1"/>
  <c r="BD79" i="14" a="1"/>
  <c r="BD79" i="14" s="1"/>
  <c r="BY79" i="14" a="1"/>
  <c r="BY79" i="14" s="1"/>
  <c r="BO79" i="14" a="1"/>
  <c r="BO79" i="14" s="1"/>
  <c r="BL79" i="14" a="1"/>
  <c r="BL79" i="14" s="1"/>
  <c r="Y79" i="14" a="1"/>
  <c r="Y79" i="14" s="1"/>
  <c r="BK79" i="14" a="1"/>
  <c r="BK79" i="14" s="1"/>
  <c r="BJ79" i="14" a="1"/>
  <c r="BJ79" i="14" s="1"/>
  <c r="AK79" i="14" a="1"/>
  <c r="AK79" i="14" s="1"/>
  <c r="BW79" i="14" a="1"/>
  <c r="BW79" i="14" s="1"/>
  <c r="BG79" i="14" a="1"/>
  <c r="BG79" i="14" s="1"/>
  <c r="AO79" i="14" a="1"/>
  <c r="AO79" i="14" s="1"/>
  <c r="BC79" i="14" a="1"/>
  <c r="BC79" i="14" s="1"/>
  <c r="BB79" i="14" a="1"/>
  <c r="BB79" i="14" s="1"/>
  <c r="BI79" i="14" a="1"/>
  <c r="BI79" i="14" s="1"/>
  <c r="AR79" i="14" a="1"/>
  <c r="AR79" i="14" s="1"/>
  <c r="AW79" i="14" a="1"/>
  <c r="AW79" i="14" s="1"/>
  <c r="S79" i="14" a="1"/>
  <c r="S79" i="14" s="1"/>
  <c r="P79" i="14" a="1"/>
  <c r="P79" i="14" s="1"/>
  <c r="T79" i="14" a="1"/>
  <c r="T79" i="14" s="1"/>
  <c r="AX79" i="14" a="1"/>
  <c r="AX79" i="14" s="1"/>
  <c r="BF79" i="14" a="1"/>
  <c r="BF79" i="14" s="1"/>
  <c r="AU79" i="14" a="1"/>
  <c r="AU79" i="14" s="1"/>
  <c r="AT79" i="14" a="1"/>
  <c r="AT79" i="14" s="1"/>
  <c r="K80" i="11"/>
  <c r="A80" i="14"/>
  <c r="CA80" i="14" s="1"/>
  <c r="A80" i="8"/>
  <c r="A80" i="2"/>
  <c r="A80" i="9"/>
  <c r="A80" i="7"/>
  <c r="R80" i="7" s="1"/>
  <c r="A80" i="5"/>
  <c r="AE79" i="8"/>
  <c r="AU79" i="8"/>
  <c r="AC75" i="8"/>
  <c r="BQ75" i="8" s="1"/>
  <c r="BH75" i="8"/>
  <c r="BU75" i="8" s="1"/>
  <c r="AJ75" i="5"/>
  <c r="AP75" i="5" s="1"/>
  <c r="B75" i="7"/>
  <c r="AE75" i="7" s="1"/>
  <c r="AF75" i="7" s="1"/>
  <c r="B75" i="9"/>
  <c r="Y75" i="9" s="1"/>
  <c r="BT75" i="5"/>
  <c r="E75" i="1"/>
  <c r="A75" i="11"/>
  <c r="N75" i="11" s="1"/>
  <c r="BW75" i="8"/>
  <c r="X75" i="8"/>
  <c r="DD75" i="8" s="1"/>
  <c r="BI75" i="8"/>
  <c r="A75" i="10"/>
  <c r="AA75" i="10" s="1"/>
  <c r="DH75" i="8"/>
  <c r="DI75" i="8" s="1"/>
  <c r="AI75" i="5"/>
  <c r="B77" i="5"/>
  <c r="DF77" i="5"/>
  <c r="BU77" i="5"/>
  <c r="AH77" i="5"/>
  <c r="B77" i="1"/>
  <c r="BG77" i="1" s="1"/>
  <c r="B77" i="2"/>
  <c r="BY79" i="11"/>
  <c r="K78" i="10"/>
  <c r="AA78" i="7"/>
  <c r="AF78" i="8" s="1"/>
  <c r="AV78" i="8" s="1"/>
  <c r="L78" i="11"/>
  <c r="I78" i="5"/>
  <c r="D77" i="10"/>
  <c r="F77" i="7"/>
  <c r="H78" i="5"/>
  <c r="C77" i="10"/>
  <c r="E77" i="7"/>
  <c r="K78" i="5"/>
  <c r="F77" i="10"/>
  <c r="H77" i="7"/>
  <c r="DD77" i="5"/>
  <c r="M78" i="5"/>
  <c r="H77" i="10"/>
  <c r="J77" i="7"/>
  <c r="D77" i="7"/>
  <c r="G78" i="5"/>
  <c r="B77" i="10"/>
  <c r="L78" i="5"/>
  <c r="G77" i="10"/>
  <c r="I77" i="7"/>
  <c r="J78" i="5"/>
  <c r="DC78" i="5" s="1"/>
  <c r="E77" i="10"/>
  <c r="G77" i="7"/>
  <c r="D75" i="9"/>
  <c r="N74" i="7"/>
  <c r="AH86" i="9"/>
  <c r="AB73" i="11"/>
  <c r="Q73" i="8" s="1"/>
  <c r="AD73" i="11"/>
  <c r="AI73" i="1" s="1"/>
  <c r="N74" i="11"/>
  <c r="Z73" i="11"/>
  <c r="AA73" i="11"/>
  <c r="AK73" i="1" s="1"/>
  <c r="Y73" i="11"/>
  <c r="AH73" i="1" s="1"/>
  <c r="AC73" i="11"/>
  <c r="U73" i="8" s="1"/>
  <c r="CI74" i="8"/>
  <c r="DA74" i="8" s="1"/>
  <c r="Q74" i="7"/>
  <c r="AE74" i="7"/>
  <c r="AF74" i="7" s="1"/>
  <c r="C76" i="5"/>
  <c r="F76" i="5" s="1"/>
  <c r="CZ77" i="5"/>
  <c r="CB74" i="8"/>
  <c r="CT74" i="8" s="1"/>
  <c r="BY74" i="8"/>
  <c r="BZ74" i="8"/>
  <c r="CA74" i="8"/>
  <c r="CC74" i="8"/>
  <c r="CV74" i="8" s="1"/>
  <c r="CW74" i="8" s="1"/>
  <c r="CH74" i="8"/>
  <c r="CZ74" i="8" s="1"/>
  <c r="C77" i="5"/>
  <c r="DA76" i="5"/>
  <c r="DG76" i="5" s="1" a="1"/>
  <c r="DG76" i="5" s="1"/>
  <c r="AB77" i="1"/>
  <c r="DI77" i="5"/>
  <c r="AG86" i="9"/>
  <c r="AK86" i="9"/>
  <c r="L55" i="11"/>
  <c r="AV55" i="8"/>
  <c r="B60" i="14"/>
  <c r="N62" i="1"/>
  <c r="S79" i="2"/>
  <c r="N80" i="2"/>
  <c r="R80" i="2"/>
  <c r="Q79" i="2"/>
  <c r="P81" i="2"/>
  <c r="J81" i="10"/>
  <c r="N81" i="5" s="1"/>
  <c r="AQ102" i="9" l="1"/>
  <c r="CM102" i="8" s="1"/>
  <c r="AO75" i="5"/>
  <c r="AM75" i="5"/>
  <c r="AN75" i="5"/>
  <c r="AR75" i="5" s="1"/>
  <c r="AV76" i="5"/>
  <c r="AW76" i="5"/>
  <c r="AG75" i="7"/>
  <c r="AG74" i="7"/>
  <c r="AI74" i="7" s="1"/>
  <c r="CL76" i="8"/>
  <c r="BY75" i="8"/>
  <c r="CQ75" i="8" s="1"/>
  <c r="CU75" i="8" s="1"/>
  <c r="AC75" i="1"/>
  <c r="AI98" i="9"/>
  <c r="AO98" i="8" s="1"/>
  <c r="G81" i="8"/>
  <c r="CF80" i="8"/>
  <c r="O80" i="2"/>
  <c r="AQ74" i="5"/>
  <c r="BG80" i="5" a="1"/>
  <c r="BG80" i="5" s="1"/>
  <c r="BK80" i="5" a="1"/>
  <c r="BK80" i="5" s="1"/>
  <c r="BO80" i="5" a="1"/>
  <c r="BO80" i="5" s="1"/>
  <c r="AM87" i="9"/>
  <c r="BR75" i="8"/>
  <c r="BS75" i="8"/>
  <c r="AD78" i="1"/>
  <c r="BF80" i="5" a="1"/>
  <c r="BF80" i="5" s="1"/>
  <c r="AE79" i="1" s="1"/>
  <c r="CV80" i="5"/>
  <c r="CT80" i="5"/>
  <c r="CQ80" i="5"/>
  <c r="CW80" i="5"/>
  <c r="CS80" i="5"/>
  <c r="CU80" i="5"/>
  <c r="CR80" i="5"/>
  <c r="AY80" i="5" a="1"/>
  <c r="AY80" i="5" s="1"/>
  <c r="BL80" i="5" a="1"/>
  <c r="BL80" i="5" s="1"/>
  <c r="BN80" i="5" a="1"/>
  <c r="BN80" i="5" s="1"/>
  <c r="BA80" i="5" a="1"/>
  <c r="BA80" i="5" s="1"/>
  <c r="AZ80" i="5" a="1"/>
  <c r="AZ80" i="5" s="1"/>
  <c r="BH80" i="5" a="1"/>
  <c r="BH80" i="5" s="1"/>
  <c r="BC80" i="5" a="1"/>
  <c r="BC80" i="5" s="1"/>
  <c r="BI80" i="5" a="1"/>
  <c r="BI80" i="5" s="1"/>
  <c r="BJ80" i="5" a="1"/>
  <c r="BJ80" i="5" s="1"/>
  <c r="BD80" i="5" a="1"/>
  <c r="BD80" i="5" s="1"/>
  <c r="BQ80" i="5" a="1"/>
  <c r="BQ80" i="5" s="1"/>
  <c r="BB80" i="5" a="1"/>
  <c r="BB80" i="5" s="1"/>
  <c r="BM80" i="5" a="1"/>
  <c r="BM80" i="5" s="1"/>
  <c r="BE80" i="5" a="1"/>
  <c r="BE80" i="5" s="1"/>
  <c r="V78" i="2"/>
  <c r="CS73" i="8"/>
  <c r="F83" i="8"/>
  <c r="BP79" i="5" a="1"/>
  <c r="BP79" i="5" s="1"/>
  <c r="J79" i="2" s="1"/>
  <c r="O84" i="1"/>
  <c r="CE74" i="8"/>
  <c r="CX74" i="8" s="1"/>
  <c r="CY74" i="8" s="1"/>
  <c r="BX75" i="8"/>
  <c r="CD75" i="8" s="1"/>
  <c r="BT75" i="8"/>
  <c r="BO75" i="8"/>
  <c r="BP75" i="8"/>
  <c r="BM75" i="8"/>
  <c r="BN75" i="8"/>
  <c r="BK75" i="8"/>
  <c r="BL75" i="8"/>
  <c r="BJ75" i="8"/>
  <c r="AC75" i="10"/>
  <c r="X75" i="10" s="1"/>
  <c r="AS79" i="5"/>
  <c r="AH79" i="11"/>
  <c r="DF78" i="5"/>
  <c r="DB78" i="5"/>
  <c r="AM79" i="1"/>
  <c r="DE78" i="5"/>
  <c r="AJ79" i="1"/>
  <c r="DH78" i="5"/>
  <c r="AU80" i="8"/>
  <c r="AE80" i="8"/>
  <c r="AK79" i="11"/>
  <c r="AF77" i="1"/>
  <c r="AE80" i="14" a="1"/>
  <c r="AE80" i="14" s="1"/>
  <c r="AL80" i="14" a="1"/>
  <c r="AL80" i="14" s="1"/>
  <c r="U80" i="14" a="1"/>
  <c r="U80" i="14" s="1"/>
  <c r="T80" i="14" a="1"/>
  <c r="T80" i="14" s="1"/>
  <c r="AZ80" i="14" a="1"/>
  <c r="AZ80" i="14" s="1"/>
  <c r="BV80" i="14" a="1"/>
  <c r="BV80" i="14" s="1"/>
  <c r="AH80" i="14" a="1"/>
  <c r="AH80" i="14" s="1"/>
  <c r="Y80" i="14" a="1"/>
  <c r="Y80" i="14" s="1"/>
  <c r="AU80" i="14" a="1"/>
  <c r="AU80" i="14" s="1"/>
  <c r="BR80" i="14" a="1"/>
  <c r="BR80" i="14" s="1"/>
  <c r="AT80" i="14" a="1"/>
  <c r="AT80" i="14" s="1"/>
  <c r="P80" i="14" a="1"/>
  <c r="P80" i="14" s="1"/>
  <c r="BA80" i="14" a="1"/>
  <c r="BA80" i="14" s="1"/>
  <c r="BF80" i="14" a="1"/>
  <c r="BF80" i="14" s="1"/>
  <c r="AO80" i="14" a="1"/>
  <c r="AO80" i="14" s="1"/>
  <c r="Z80" i="14" a="1"/>
  <c r="Z80" i="14" s="1"/>
  <c r="BC80" i="14" a="1"/>
  <c r="BC80" i="14" s="1"/>
  <c r="V80" i="14" a="1"/>
  <c r="V80" i="14" s="1"/>
  <c r="BY80" i="14" a="1"/>
  <c r="BY80" i="14" s="1"/>
  <c r="BP80" i="14" a="1"/>
  <c r="BP80" i="14" s="1"/>
  <c r="AA80" i="14" a="1"/>
  <c r="AA80" i="14" s="1"/>
  <c r="BE80" i="14" a="1"/>
  <c r="BE80" i="14" s="1"/>
  <c r="W80" i="14" a="1"/>
  <c r="W80" i="14" s="1"/>
  <c r="BI80" i="14" a="1"/>
  <c r="BI80" i="14" s="1"/>
  <c r="AJ80" i="14" a="1"/>
  <c r="AJ80" i="14" s="1"/>
  <c r="BG80" i="14" a="1"/>
  <c r="BG80" i="14" s="1"/>
  <c r="S80" i="14" a="1"/>
  <c r="S80" i="14" s="1"/>
  <c r="AG80" i="14" a="1"/>
  <c r="AG80" i="14" s="1"/>
  <c r="O80" i="14" a="1"/>
  <c r="O80" i="14" s="1"/>
  <c r="BD80" i="14" a="1"/>
  <c r="BD80" i="14" s="1"/>
  <c r="AN80" i="14" a="1"/>
  <c r="AN80" i="14" s="1"/>
  <c r="AF80" i="14" a="1"/>
  <c r="AF80" i="14" s="1"/>
  <c r="AX80" i="14" a="1"/>
  <c r="AX80" i="14" s="1"/>
  <c r="AW80" i="14" a="1"/>
  <c r="AW80" i="14" s="1"/>
  <c r="AV80" i="14" a="1"/>
  <c r="AV80" i="14" s="1"/>
  <c r="X80" i="14" a="1"/>
  <c r="X80" i="14" s="1"/>
  <c r="BQ80" i="14" a="1"/>
  <c r="BQ80" i="14" s="1"/>
  <c r="BW80" i="14" a="1"/>
  <c r="BW80" i="14" s="1"/>
  <c r="BN80" i="14" a="1"/>
  <c r="BN80" i="14" s="1"/>
  <c r="AP80" i="14" a="1"/>
  <c r="AP80" i="14" s="1"/>
  <c r="Q80" i="14" a="1"/>
  <c r="Q80" i="14" s="1"/>
  <c r="BT80" i="14" a="1"/>
  <c r="BT80" i="14" s="1"/>
  <c r="BJ80" i="14" a="1"/>
  <c r="BJ80" i="14" s="1"/>
  <c r="AS80" i="14" a="1"/>
  <c r="AS80" i="14" s="1"/>
  <c r="BX80" i="14" a="1"/>
  <c r="BX80" i="14" s="1"/>
  <c r="AY80" i="14" a="1"/>
  <c r="AY80" i="14" s="1"/>
  <c r="R80" i="14" a="1"/>
  <c r="R80" i="14" s="1"/>
  <c r="AL80" i="1" s="1"/>
  <c r="M80" i="14" a="1"/>
  <c r="M80" i="14" s="1"/>
  <c r="BK80" i="14" a="1"/>
  <c r="BK80" i="14" s="1"/>
  <c r="N80" i="14" a="1"/>
  <c r="N80" i="14" s="1"/>
  <c r="AK80" i="14" a="1"/>
  <c r="AK80" i="14" s="1"/>
  <c r="AR80" i="14" a="1"/>
  <c r="AR80" i="14" s="1"/>
  <c r="AQ80" i="14" a="1"/>
  <c r="AQ80" i="14" s="1"/>
  <c r="BL80" i="14" a="1"/>
  <c r="BL80" i="14" s="1"/>
  <c r="AM80" i="14" a="1"/>
  <c r="AM80" i="14" s="1"/>
  <c r="BB80" i="14" a="1"/>
  <c r="BB80" i="14" s="1"/>
  <c r="BZ80" i="14" a="1"/>
  <c r="BZ80" i="14" s="1"/>
  <c r="BH80" i="14" a="1"/>
  <c r="BH80" i="14" s="1"/>
  <c r="AI80" i="14" a="1"/>
  <c r="AI80" i="14" s="1"/>
  <c r="BU80" i="14" a="1"/>
  <c r="BU80" i="14" s="1"/>
  <c r="BS80" i="14" a="1"/>
  <c r="BS80" i="14" s="1"/>
  <c r="AC80" i="14" a="1"/>
  <c r="AC80" i="14" s="1"/>
  <c r="AB80" i="14" a="1"/>
  <c r="AB80" i="14" s="1"/>
  <c r="BO80" i="14" a="1"/>
  <c r="BO80" i="14" s="1"/>
  <c r="BM80" i="14" a="1"/>
  <c r="BM80" i="14" s="1"/>
  <c r="AD80" i="14" a="1"/>
  <c r="AD80" i="14" s="1"/>
  <c r="K81" i="11"/>
  <c r="A81" i="14"/>
  <c r="CA81" i="14" s="1"/>
  <c r="A81" i="8"/>
  <c r="A81" i="2"/>
  <c r="A81" i="9"/>
  <c r="A81" i="7"/>
  <c r="R81" i="7" s="1"/>
  <c r="A81" i="5"/>
  <c r="W77" i="1"/>
  <c r="Y77" i="1"/>
  <c r="DJ78" i="5"/>
  <c r="Q75" i="7"/>
  <c r="N75" i="7"/>
  <c r="F77" i="5"/>
  <c r="D76" i="9"/>
  <c r="AD74" i="11"/>
  <c r="AI74" i="1" s="1"/>
  <c r="AA74" i="11"/>
  <c r="AK74" i="1" s="1"/>
  <c r="AB74" i="11"/>
  <c r="Q74" i="8" s="1"/>
  <c r="Y74" i="11"/>
  <c r="AH74" i="1" s="1"/>
  <c r="Z74" i="11"/>
  <c r="AC74" i="11"/>
  <c r="U74" i="8" s="1"/>
  <c r="BZ75" i="8"/>
  <c r="CH75" i="8"/>
  <c r="CZ75" i="8" s="1"/>
  <c r="CC75" i="8"/>
  <c r="CV75" i="8" s="1"/>
  <c r="CW75" i="8" s="1"/>
  <c r="CB75" i="8"/>
  <c r="CT75" i="8" s="1"/>
  <c r="CA75" i="8"/>
  <c r="CI75" i="8"/>
  <c r="DA75" i="8" s="1"/>
  <c r="B78" i="5"/>
  <c r="BU78" i="5"/>
  <c r="AH78" i="5"/>
  <c r="B78" i="2"/>
  <c r="B78" i="1"/>
  <c r="BG78" i="1" s="1"/>
  <c r="BY80" i="11"/>
  <c r="AA79" i="7"/>
  <c r="AF79" i="8" s="1"/>
  <c r="AV79" i="8" s="1"/>
  <c r="K79" i="10"/>
  <c r="L79" i="11"/>
  <c r="K79" i="5"/>
  <c r="F78" i="10"/>
  <c r="H78" i="7"/>
  <c r="DD78" i="5"/>
  <c r="J79" i="5"/>
  <c r="DC79" i="5" s="1"/>
  <c r="E78" i="10"/>
  <c r="G78" i="7"/>
  <c r="H79" i="5"/>
  <c r="C78" i="10"/>
  <c r="E78" i="7"/>
  <c r="L79" i="5"/>
  <c r="G78" i="10"/>
  <c r="I78" i="7"/>
  <c r="M79" i="5"/>
  <c r="H78" i="10"/>
  <c r="J78" i="7"/>
  <c r="D78" i="7"/>
  <c r="B78" i="10"/>
  <c r="G79" i="5"/>
  <c r="I79" i="5"/>
  <c r="D78" i="10"/>
  <c r="F78" i="7"/>
  <c r="CQ74" i="8"/>
  <c r="CU74" i="8" s="1"/>
  <c r="DH76" i="8"/>
  <c r="DI76" i="8" s="1"/>
  <c r="CK76" i="8"/>
  <c r="BW76" i="8"/>
  <c r="AC76" i="1" s="1"/>
  <c r="BH76" i="8"/>
  <c r="BU76" i="8" s="1"/>
  <c r="BI76" i="8"/>
  <c r="AH87" i="9"/>
  <c r="DB74" i="8"/>
  <c r="AJ76" i="5"/>
  <c r="AP76" i="5" s="1"/>
  <c r="AC76" i="8"/>
  <c r="BQ76" i="8" s="1"/>
  <c r="BT76" i="5"/>
  <c r="A76" i="10"/>
  <c r="AA76" i="10" s="1"/>
  <c r="B76" i="7"/>
  <c r="AI76" i="5"/>
  <c r="A76" i="11"/>
  <c r="X76" i="8"/>
  <c r="DD76" i="8" s="1"/>
  <c r="E76" i="1"/>
  <c r="B76" i="9"/>
  <c r="Y76" i="9" s="1"/>
  <c r="B74" i="14"/>
  <c r="CZ78" i="5"/>
  <c r="CR74" i="8"/>
  <c r="AB78" i="1"/>
  <c r="DI78" i="5"/>
  <c r="C78" i="5"/>
  <c r="DA77" i="5"/>
  <c r="DG77" i="5" s="1" a="1"/>
  <c r="DG77" i="5" s="1"/>
  <c r="AH55" i="5"/>
  <c r="BU55" i="5"/>
  <c r="AG87" i="9"/>
  <c r="AK87" i="9"/>
  <c r="B55" i="2"/>
  <c r="B55" i="1"/>
  <c r="BG55" i="1" s="1"/>
  <c r="B66" i="14"/>
  <c r="N63" i="1"/>
  <c r="S80" i="2"/>
  <c r="N81" i="2"/>
  <c r="R81" i="2"/>
  <c r="Q80" i="2"/>
  <c r="P82" i="2"/>
  <c r="J82" i="10"/>
  <c r="N82" i="5" s="1"/>
  <c r="AQ103" i="9" l="1"/>
  <c r="CM103" i="8" s="1"/>
  <c r="AO76" i="5"/>
  <c r="AM76" i="5"/>
  <c r="AN76" i="5"/>
  <c r="AV77" i="5"/>
  <c r="AW77" i="5"/>
  <c r="AI75" i="7"/>
  <c r="CL77" i="8"/>
  <c r="AI99" i="9"/>
  <c r="AO99" i="8" s="1"/>
  <c r="G82" i="8"/>
  <c r="CF81" i="8"/>
  <c r="O81" i="2"/>
  <c r="AQ75" i="5"/>
  <c r="BO81" i="5" a="1"/>
  <c r="BO81" i="5" s="1"/>
  <c r="BA81" i="5" a="1"/>
  <c r="BA81" i="5" s="1"/>
  <c r="BN81" i="5" a="1"/>
  <c r="BN81" i="5" s="1"/>
  <c r="BH81" i="5" a="1"/>
  <c r="BH81" i="5" s="1"/>
  <c r="AM88" i="9"/>
  <c r="I54" i="4"/>
  <c r="I53" i="4"/>
  <c r="J53" i="4" s="1"/>
  <c r="BR76" i="8"/>
  <c r="BS76" i="8"/>
  <c r="F70" i="4"/>
  <c r="D81" i="4" s="1"/>
  <c r="AD79" i="1"/>
  <c r="AZ81" i="5" a="1"/>
  <c r="AZ81" i="5" s="1"/>
  <c r="CW81" i="5"/>
  <c r="CS81" i="5"/>
  <c r="CR81" i="5"/>
  <c r="CT81" i="5"/>
  <c r="CU81" i="5"/>
  <c r="CV81" i="5"/>
  <c r="CQ81" i="5"/>
  <c r="AY81" i="5" a="1"/>
  <c r="AY81" i="5" s="1"/>
  <c r="BL81" i="5" a="1"/>
  <c r="BL81" i="5" s="1"/>
  <c r="BE81" i="5" a="1"/>
  <c r="BE81" i="5" s="1"/>
  <c r="BM81" i="5" a="1"/>
  <c r="BM81" i="5" s="1"/>
  <c r="BB81" i="5" a="1"/>
  <c r="BB81" i="5" s="1"/>
  <c r="BQ81" i="5" a="1"/>
  <c r="BQ81" i="5" s="1"/>
  <c r="BD81" i="5" a="1"/>
  <c r="BD81" i="5" s="1"/>
  <c r="BJ81" i="5" a="1"/>
  <c r="BJ81" i="5" s="1"/>
  <c r="BK81" i="5" a="1"/>
  <c r="BK81" i="5" s="1"/>
  <c r="BI81" i="5" a="1"/>
  <c r="BI81" i="5" s="1"/>
  <c r="BG81" i="5" a="1"/>
  <c r="BG81" i="5" s="1"/>
  <c r="BC81" i="5" a="1"/>
  <c r="BC81" i="5" s="1"/>
  <c r="BF81" i="5" a="1"/>
  <c r="BF81" i="5" s="1"/>
  <c r="AE80" i="1" s="1"/>
  <c r="V79" i="2"/>
  <c r="F84" i="8"/>
  <c r="BP80" i="5" a="1"/>
  <c r="BP80" i="5" s="1"/>
  <c r="J80" i="2" s="1"/>
  <c r="BI77" i="8"/>
  <c r="O85" i="1"/>
  <c r="CE75" i="8"/>
  <c r="CX75" i="8" s="1"/>
  <c r="CY75" i="8" s="1"/>
  <c r="BT76" i="8"/>
  <c r="BO76" i="8"/>
  <c r="BP76" i="8"/>
  <c r="BM76" i="8"/>
  <c r="BN76" i="8"/>
  <c r="BK76" i="8"/>
  <c r="BL76" i="8"/>
  <c r="BJ76" i="8"/>
  <c r="AC76" i="10"/>
  <c r="X76" i="10" s="1"/>
  <c r="AR76" i="5"/>
  <c r="AS80" i="5"/>
  <c r="AH80" i="11"/>
  <c r="DB79" i="5"/>
  <c r="DF79" i="5"/>
  <c r="AJ80" i="1"/>
  <c r="AK80" i="11"/>
  <c r="AM80" i="1"/>
  <c r="DE79" i="5"/>
  <c r="DH79" i="5"/>
  <c r="Y78" i="1"/>
  <c r="DJ79" i="5"/>
  <c r="AU81" i="8"/>
  <c r="AE81" i="8"/>
  <c r="AF78" i="1"/>
  <c r="BR81" i="14" a="1"/>
  <c r="BR81" i="14" s="1"/>
  <c r="BJ81" i="14" a="1"/>
  <c r="BJ81" i="14" s="1"/>
  <c r="BQ81" i="14" a="1"/>
  <c r="BQ81" i="14" s="1"/>
  <c r="BP81" i="14" a="1"/>
  <c r="BP81" i="14" s="1"/>
  <c r="AI81" i="14" a="1"/>
  <c r="AI81" i="14" s="1"/>
  <c r="BF81" i="14" a="1"/>
  <c r="BF81" i="14" s="1"/>
  <c r="S81" i="14" a="1"/>
  <c r="S81" i="14" s="1"/>
  <c r="Q81" i="14" a="1"/>
  <c r="Q81" i="14" s="1"/>
  <c r="AV81" i="14" a="1"/>
  <c r="AV81" i="14" s="1"/>
  <c r="AE81" i="14" a="1"/>
  <c r="AE81" i="14" s="1"/>
  <c r="AL81" i="14" a="1"/>
  <c r="AL81" i="14" s="1"/>
  <c r="U81" i="14" a="1"/>
  <c r="U81" i="14" s="1"/>
  <c r="AJ81" i="14" a="1"/>
  <c r="AJ81" i="14" s="1"/>
  <c r="AA81" i="14" a="1"/>
  <c r="AA81" i="14" s="1"/>
  <c r="BU81" i="14" a="1"/>
  <c r="BU81" i="14" s="1"/>
  <c r="BN81" i="14" a="1"/>
  <c r="BN81" i="14" s="1"/>
  <c r="BE81" i="14" a="1"/>
  <c r="BE81" i="14" s="1"/>
  <c r="BT81" i="14" a="1"/>
  <c r="BT81" i="14" s="1"/>
  <c r="W81" i="14" a="1"/>
  <c r="W81" i="14" s="1"/>
  <c r="N81" i="14" a="1"/>
  <c r="N81" i="14" s="1"/>
  <c r="AZ81" i="14" a="1"/>
  <c r="AZ81" i="14" s="1"/>
  <c r="AB81" i="14" a="1"/>
  <c r="AB81" i="14" s="1"/>
  <c r="AF81" i="14" a="1"/>
  <c r="AF81" i="14" s="1"/>
  <c r="BV81" i="14" a="1"/>
  <c r="BV81" i="14" s="1"/>
  <c r="BM81" i="14" a="1"/>
  <c r="BM81" i="14" s="1"/>
  <c r="Y81" i="14" a="1"/>
  <c r="Y81" i="14" s="1"/>
  <c r="BC81" i="14" a="1"/>
  <c r="BC81" i="14" s="1"/>
  <c r="BB81" i="14" a="1"/>
  <c r="BB81" i="14" s="1"/>
  <c r="AD81" i="14" a="1"/>
  <c r="AD81" i="14" s="1"/>
  <c r="BD81" i="14" a="1"/>
  <c r="BD81" i="14" s="1"/>
  <c r="BY81" i="14" a="1"/>
  <c r="BY81" i="14" s="1"/>
  <c r="BW81" i="14" a="1"/>
  <c r="BW81" i="14" s="1"/>
  <c r="AX81" i="14" a="1"/>
  <c r="AX81" i="14" s="1"/>
  <c r="M81" i="14" a="1"/>
  <c r="M81" i="14" s="1"/>
  <c r="AM81" i="14" a="1"/>
  <c r="AM81" i="14" s="1"/>
  <c r="O81" i="14" a="1"/>
  <c r="O81" i="14" s="1"/>
  <c r="BA81" i="14" a="1"/>
  <c r="BA81" i="14" s="1"/>
  <c r="BH81" i="14" a="1"/>
  <c r="BH81" i="14" s="1"/>
  <c r="T81" i="14" a="1"/>
  <c r="T81" i="14" s="1"/>
  <c r="AN81" i="14" a="1"/>
  <c r="AN81" i="14" s="1"/>
  <c r="AP81" i="14" a="1"/>
  <c r="AP81" i="14" s="1"/>
  <c r="AW81" i="14" a="1"/>
  <c r="AW81" i="14" s="1"/>
  <c r="BS81" i="14" a="1"/>
  <c r="BS81" i="14" s="1"/>
  <c r="X81" i="14" a="1"/>
  <c r="X81" i="14" s="1"/>
  <c r="AS81" i="14" a="1"/>
  <c r="AS81" i="14" s="1"/>
  <c r="AR81" i="14" a="1"/>
  <c r="AR81" i="14" s="1"/>
  <c r="BX81" i="14" a="1"/>
  <c r="BX81" i="14" s="1"/>
  <c r="AQ81" i="14" a="1"/>
  <c r="AQ81" i="14" s="1"/>
  <c r="R81" i="14" a="1"/>
  <c r="R81" i="14" s="1"/>
  <c r="AL81" i="1" s="1"/>
  <c r="Z81" i="14" a="1"/>
  <c r="Z81" i="14" s="1"/>
  <c r="BK81" i="14" a="1"/>
  <c r="BK81" i="14" s="1"/>
  <c r="AT81" i="14" a="1"/>
  <c r="AT81" i="14" s="1"/>
  <c r="AC81" i="14" a="1"/>
  <c r="AC81" i="14" s="1"/>
  <c r="BZ81" i="14" a="1"/>
  <c r="BZ81" i="14" s="1"/>
  <c r="AK81" i="14" a="1"/>
  <c r="AK81" i="14" s="1"/>
  <c r="BO81" i="14" a="1"/>
  <c r="BO81" i="14" s="1"/>
  <c r="AO81" i="14" a="1"/>
  <c r="AO81" i="14" s="1"/>
  <c r="AG81" i="14" a="1"/>
  <c r="AG81" i="14" s="1"/>
  <c r="V81" i="14" a="1"/>
  <c r="V81" i="14" s="1"/>
  <c r="BI81" i="14" a="1"/>
  <c r="BI81" i="14" s="1"/>
  <c r="P81" i="14" a="1"/>
  <c r="P81" i="14" s="1"/>
  <c r="BG81" i="14" a="1"/>
  <c r="BG81" i="14" s="1"/>
  <c r="AY81" i="14" a="1"/>
  <c r="AY81" i="14" s="1"/>
  <c r="AH81" i="14" a="1"/>
  <c r="AH81" i="14" s="1"/>
  <c r="BL81" i="14" a="1"/>
  <c r="BL81" i="14" s="1"/>
  <c r="AU81" i="14" a="1"/>
  <c r="AU81" i="14" s="1"/>
  <c r="W78" i="1"/>
  <c r="K82" i="11"/>
  <c r="A82" i="14"/>
  <c r="CA82" i="14" s="1"/>
  <c r="A82" i="7"/>
  <c r="R82" i="7" s="1"/>
  <c r="A82" i="5"/>
  <c r="A82" i="9"/>
  <c r="A82" i="2"/>
  <c r="A82" i="8"/>
  <c r="B77" i="9"/>
  <c r="Y77" i="9" s="1"/>
  <c r="DH77" i="8"/>
  <c r="DI77" i="8" s="1"/>
  <c r="B77" i="7"/>
  <c r="Q77" i="7" s="1"/>
  <c r="BH77" i="8"/>
  <c r="BU77" i="8" s="1"/>
  <c r="A77" i="11"/>
  <c r="AB76" i="11" s="1"/>
  <c r="Q76" i="8" s="1"/>
  <c r="E77" i="1"/>
  <c r="CK77" i="8"/>
  <c r="X77" i="8"/>
  <c r="DD77" i="8" s="1"/>
  <c r="A77" i="10"/>
  <c r="AA77" i="10" s="1"/>
  <c r="AI77" i="5"/>
  <c r="BT77" i="5"/>
  <c r="BW77" i="8"/>
  <c r="AJ77" i="5"/>
  <c r="AP77" i="5" s="1"/>
  <c r="AC77" i="8"/>
  <c r="BQ77" i="8" s="1"/>
  <c r="DB75" i="8"/>
  <c r="CR75" i="8"/>
  <c r="CS75" i="8" s="1"/>
  <c r="F78" i="5"/>
  <c r="AH79" i="5"/>
  <c r="BU79" i="5"/>
  <c r="B79" i="2"/>
  <c r="B79" i="1"/>
  <c r="BG79" i="1" s="1"/>
  <c r="CS74" i="8"/>
  <c r="BY81" i="11"/>
  <c r="AA80" i="7"/>
  <c r="AF80" i="8" s="1"/>
  <c r="AV80" i="8" s="1"/>
  <c r="K80" i="10"/>
  <c r="L80" i="11"/>
  <c r="M80" i="5"/>
  <c r="H79" i="10"/>
  <c r="J79" i="7"/>
  <c r="H80" i="5"/>
  <c r="C79" i="10"/>
  <c r="E79" i="7"/>
  <c r="I80" i="5"/>
  <c r="D79" i="10"/>
  <c r="F79" i="7"/>
  <c r="B79" i="5"/>
  <c r="B79" i="10"/>
  <c r="G80" i="5"/>
  <c r="D79" i="7"/>
  <c r="J80" i="5"/>
  <c r="DC80" i="5" s="1"/>
  <c r="E79" i="10"/>
  <c r="G79" i="7"/>
  <c r="L80" i="5"/>
  <c r="G79" i="10"/>
  <c r="I79" i="7"/>
  <c r="K80" i="5"/>
  <c r="F79" i="10"/>
  <c r="H79" i="7"/>
  <c r="DD79" i="5"/>
  <c r="D77" i="9"/>
  <c r="BX76" i="8"/>
  <c r="CD76" i="8" s="1"/>
  <c r="N76" i="7"/>
  <c r="AH88" i="9"/>
  <c r="F64" i="4"/>
  <c r="D89" i="4" s="1"/>
  <c r="F72" i="4"/>
  <c r="F59" i="4"/>
  <c r="F61" i="4"/>
  <c r="F63" i="4"/>
  <c r="F66" i="4"/>
  <c r="C83" i="4" s="1"/>
  <c r="B24" i="4" s="1"/>
  <c r="C41" i="4" s="1"/>
  <c r="F67" i="4"/>
  <c r="F56" i="4"/>
  <c r="F52" i="4"/>
  <c r="F69" i="4"/>
  <c r="F65" i="4"/>
  <c r="F62" i="4"/>
  <c r="F58" i="4"/>
  <c r="F55" i="4"/>
  <c r="F53" i="4"/>
  <c r="F51" i="4"/>
  <c r="D88" i="4"/>
  <c r="B56" i="4"/>
  <c r="F68" i="4"/>
  <c r="E71" i="4"/>
  <c r="F71" i="4" s="1"/>
  <c r="F54" i="4"/>
  <c r="F57" i="4"/>
  <c r="F60" i="4"/>
  <c r="CZ79" i="5"/>
  <c r="AB75" i="11"/>
  <c r="Q75" i="8" s="1"/>
  <c r="Z75" i="11"/>
  <c r="AA75" i="11"/>
  <c r="AK75" i="1" s="1"/>
  <c r="Y75" i="11"/>
  <c r="AH75" i="1" s="1"/>
  <c r="AC75" i="11"/>
  <c r="U75" i="8" s="1"/>
  <c r="AD75" i="11"/>
  <c r="AI75" i="1" s="1"/>
  <c r="N76" i="11"/>
  <c r="CI76" i="8"/>
  <c r="DA76" i="8" s="1"/>
  <c r="CA76" i="8"/>
  <c r="CC76" i="8"/>
  <c r="CV76" i="8" s="1"/>
  <c r="CW76" i="8" s="1"/>
  <c r="CH76" i="8"/>
  <c r="CZ76" i="8" s="1"/>
  <c r="BY76" i="8"/>
  <c r="BZ76" i="8"/>
  <c r="CB76" i="8"/>
  <c r="CT76" i="8" s="1"/>
  <c r="AE76" i="7"/>
  <c r="AF76" i="7" s="1"/>
  <c r="Q76" i="7"/>
  <c r="DA78" i="5"/>
  <c r="DG78" i="5" s="1" a="1"/>
  <c r="DG78" i="5" s="1"/>
  <c r="AB79" i="1"/>
  <c r="DI79" i="5"/>
  <c r="AG88" i="9"/>
  <c r="AK88" i="9"/>
  <c r="L35" i="11"/>
  <c r="AV35" i="8"/>
  <c r="B71" i="14"/>
  <c r="N64" i="1"/>
  <c r="S81" i="2"/>
  <c r="N82" i="2"/>
  <c r="R82" i="2"/>
  <c r="Q81" i="2"/>
  <c r="P83" i="2"/>
  <c r="J83" i="10"/>
  <c r="N83" i="5" s="1"/>
  <c r="AQ104" i="9" l="1"/>
  <c r="CM104" i="8" s="1"/>
  <c r="AO77" i="5"/>
  <c r="AM77" i="5"/>
  <c r="AN77" i="5"/>
  <c r="AR77" i="5" s="1"/>
  <c r="AV78" i="5"/>
  <c r="AW78" i="5"/>
  <c r="AG76" i="7"/>
  <c r="AI76" i="7" s="1"/>
  <c r="M29" i="7"/>
  <c r="CL78" i="8"/>
  <c r="CH77" i="8"/>
  <c r="CZ77" i="8" s="1"/>
  <c r="AC77" i="1"/>
  <c r="AI100" i="9"/>
  <c r="AO100" i="8" s="1"/>
  <c r="G83" i="8"/>
  <c r="CF82" i="8"/>
  <c r="O82" i="2"/>
  <c r="AQ76" i="5"/>
  <c r="C80" i="4"/>
  <c r="D79" i="4"/>
  <c r="BA82" i="5" a="1"/>
  <c r="BA82" i="5" s="1"/>
  <c r="D84" i="4"/>
  <c r="AD80" i="1"/>
  <c r="BF82" i="5" a="1"/>
  <c r="BF82" i="5" s="1"/>
  <c r="AE81" i="1" s="1"/>
  <c r="BM82" i="5" a="1"/>
  <c r="BM82" i="5" s="1"/>
  <c r="BE82" i="5" a="1"/>
  <c r="BE82" i="5" s="1"/>
  <c r="AM89" i="9"/>
  <c r="BR77" i="8"/>
  <c r="BS77" i="8"/>
  <c r="D82" i="4"/>
  <c r="D80" i="4"/>
  <c r="C25" i="4" s="1"/>
  <c r="C85" i="4"/>
  <c r="J54" i="4"/>
  <c r="BC82" i="5" a="1"/>
  <c r="BC82" i="5" s="1"/>
  <c r="BG82" i="5" a="1"/>
  <c r="BG82" i="5" s="1"/>
  <c r="BI82" i="5" a="1"/>
  <c r="BI82" i="5" s="1"/>
  <c r="CR82" i="5"/>
  <c r="CS82" i="5"/>
  <c r="CU82" i="5"/>
  <c r="CQ82" i="5"/>
  <c r="CT82" i="5"/>
  <c r="CW82" i="5"/>
  <c r="CV82" i="5"/>
  <c r="AY82" i="5" a="1"/>
  <c r="AY82" i="5" s="1"/>
  <c r="BL82" i="5" a="1"/>
  <c r="BL82" i="5" s="1"/>
  <c r="BK82" i="5" a="1"/>
  <c r="BK82" i="5" s="1"/>
  <c r="BJ82" i="5" a="1"/>
  <c r="BJ82" i="5" s="1"/>
  <c r="BD82" i="5" a="1"/>
  <c r="BD82" i="5" s="1"/>
  <c r="BQ82" i="5" a="1"/>
  <c r="BQ82" i="5" s="1"/>
  <c r="BN82" i="5" a="1"/>
  <c r="BN82" i="5" s="1"/>
  <c r="BB82" i="5" a="1"/>
  <c r="BB82" i="5" s="1"/>
  <c r="AZ82" i="5" a="1"/>
  <c r="AZ82" i="5" s="1"/>
  <c r="BO82" i="5" a="1"/>
  <c r="BO82" i="5" s="1"/>
  <c r="BH82" i="5" a="1"/>
  <c r="BH82" i="5" s="1"/>
  <c r="V80" i="2"/>
  <c r="F85" i="8"/>
  <c r="BP81" i="5" a="1"/>
  <c r="BP81" i="5" s="1"/>
  <c r="J81" i="2" s="1"/>
  <c r="O86" i="1"/>
  <c r="BX77" i="8"/>
  <c r="CE77" i="8" s="1"/>
  <c r="BT77" i="8"/>
  <c r="BO77" i="8"/>
  <c r="BP77" i="8"/>
  <c r="BM77" i="8"/>
  <c r="BN77" i="8"/>
  <c r="BK77" i="8"/>
  <c r="BL77" i="8"/>
  <c r="BJ77" i="8"/>
  <c r="AC77" i="10"/>
  <c r="X77" i="10" s="1"/>
  <c r="AS81" i="5"/>
  <c r="BW78" i="8"/>
  <c r="DB80" i="5"/>
  <c r="AK81" i="11"/>
  <c r="DF80" i="5"/>
  <c r="DE80" i="5"/>
  <c r="Y79" i="1"/>
  <c r="DJ80" i="5"/>
  <c r="AU82" i="8"/>
  <c r="AE82" i="8"/>
  <c r="AH81" i="11"/>
  <c r="W79" i="1"/>
  <c r="AM81" i="1"/>
  <c r="AF79" i="1"/>
  <c r="BS82" i="14" a="1"/>
  <c r="BS82" i="14" s="1"/>
  <c r="X82" i="14" a="1"/>
  <c r="X82" i="14" s="1"/>
  <c r="N82" i="14" a="1"/>
  <c r="N82" i="14" s="1"/>
  <c r="BZ82" i="14" a="1"/>
  <c r="BZ82" i="14" s="1"/>
  <c r="AB82" i="14" a="1"/>
  <c r="AB82" i="14" s="1"/>
  <c r="S82" i="14" a="1"/>
  <c r="S82" i="14" s="1"/>
  <c r="AP82" i="14" a="1"/>
  <c r="AP82" i="14" s="1"/>
  <c r="BL82" i="14" a="1"/>
  <c r="BL82" i="14" s="1"/>
  <c r="AU82" i="14" a="1"/>
  <c r="AU82" i="14" s="1"/>
  <c r="BJ82" i="14" a="1"/>
  <c r="BJ82" i="14" s="1"/>
  <c r="AC82" i="14" a="1"/>
  <c r="AC82" i="14" s="1"/>
  <c r="AJ82" i="14" a="1"/>
  <c r="AJ82" i="14" s="1"/>
  <c r="BP82" i="14" a="1"/>
  <c r="BP82" i="14" s="1"/>
  <c r="AF82" i="14" a="1"/>
  <c r="AF82" i="14" s="1"/>
  <c r="AH82" i="14" a="1"/>
  <c r="AH82" i="14" s="1"/>
  <c r="AO82" i="14" a="1"/>
  <c r="AO82" i="14" s="1"/>
  <c r="AM82" i="14" a="1"/>
  <c r="AM82" i="14" s="1"/>
  <c r="BB82" i="14" a="1"/>
  <c r="BB82" i="14" s="1"/>
  <c r="BI82" i="14" a="1"/>
  <c r="BI82" i="14" s="1"/>
  <c r="U82" i="14" a="1"/>
  <c r="U82" i="14" s="1"/>
  <c r="AN82" i="14" a="1"/>
  <c r="AN82" i="14" s="1"/>
  <c r="BV82" i="14" a="1"/>
  <c r="BV82" i="14" s="1"/>
  <c r="BM82" i="14" a="1"/>
  <c r="BM82" i="14" s="1"/>
  <c r="AW82" i="14" a="1"/>
  <c r="AW82" i="14" s="1"/>
  <c r="BT82" i="14" a="1"/>
  <c r="BT82" i="14" s="1"/>
  <c r="W82" i="14" a="1"/>
  <c r="W82" i="14" s="1"/>
  <c r="AL82" i="14" a="1"/>
  <c r="AL82" i="14" s="1"/>
  <c r="AS82" i="14" a="1"/>
  <c r="AS82" i="14" s="1"/>
  <c r="BH82" i="14" a="1"/>
  <c r="BH82" i="14" s="1"/>
  <c r="AY82" i="14" a="1"/>
  <c r="AY82" i="14" s="1"/>
  <c r="AI82" i="14" a="1"/>
  <c r="AI82" i="14" s="1"/>
  <c r="BE82" i="14" a="1"/>
  <c r="BE82" i="14" s="1"/>
  <c r="AG82" i="14" a="1"/>
  <c r="AG82" i="14" s="1"/>
  <c r="AV82" i="14" a="1"/>
  <c r="AV82" i="14" s="1"/>
  <c r="BR82" i="14" a="1"/>
  <c r="BR82" i="14" s="1"/>
  <c r="V82" i="14" a="1"/>
  <c r="V82" i="14" s="1"/>
  <c r="AZ82" i="14" a="1"/>
  <c r="AZ82" i="14" s="1"/>
  <c r="T82" i="14" a="1"/>
  <c r="T82" i="14" s="1"/>
  <c r="BG82" i="14" a="1"/>
  <c r="BG82" i="14" s="1"/>
  <c r="Z82" i="14" a="1"/>
  <c r="Z82" i="14" s="1"/>
  <c r="Y82" i="14" a="1"/>
  <c r="Y82" i="14" s="1"/>
  <c r="Q82" i="14" a="1"/>
  <c r="Q82" i="14" s="1"/>
  <c r="BC82" i="14" a="1"/>
  <c r="BC82" i="14" s="1"/>
  <c r="O82" i="14" a="1"/>
  <c r="O82" i="14" s="1"/>
  <c r="BD82" i="14" a="1"/>
  <c r="BD82" i="14" s="1"/>
  <c r="AR82" i="14" a="1"/>
  <c r="AR82" i="14" s="1"/>
  <c r="BX82" i="14" a="1"/>
  <c r="BX82" i="14" s="1"/>
  <c r="AQ82" i="14" a="1"/>
  <c r="AQ82" i="14" s="1"/>
  <c r="R82" i="14" a="1"/>
  <c r="R82" i="14" s="1"/>
  <c r="AL82" i="1" s="1"/>
  <c r="M82" i="14" a="1"/>
  <c r="M82" i="14" s="1"/>
  <c r="AK82" i="14" a="1"/>
  <c r="AK82" i="14" s="1"/>
  <c r="BU82" i="14" a="1"/>
  <c r="BU82" i="14" s="1"/>
  <c r="BK82" i="14" a="1"/>
  <c r="BK82" i="14" s="1"/>
  <c r="BY82" i="14" a="1"/>
  <c r="BY82" i="14" s="1"/>
  <c r="AE82" i="14" a="1"/>
  <c r="AE82" i="14" s="1"/>
  <c r="BW82" i="14" a="1"/>
  <c r="BW82" i="14" s="1"/>
  <c r="AT82" i="14" a="1"/>
  <c r="AT82" i="14" s="1"/>
  <c r="BO82" i="14" a="1"/>
  <c r="BO82" i="14" s="1"/>
  <c r="AD82" i="14" a="1"/>
  <c r="AD82" i="14" s="1"/>
  <c r="BN82" i="14" a="1"/>
  <c r="BN82" i="14" s="1"/>
  <c r="BQ82" i="14" a="1"/>
  <c r="BQ82" i="14" s="1"/>
  <c r="BF82" i="14" a="1"/>
  <c r="BF82" i="14" s="1"/>
  <c r="BA82" i="14" a="1"/>
  <c r="BA82" i="14" s="1"/>
  <c r="AA82" i="14" a="1"/>
  <c r="AA82" i="14" s="1"/>
  <c r="P82" i="14" a="1"/>
  <c r="P82" i="14" s="1"/>
  <c r="AX82" i="14" a="1"/>
  <c r="AX82" i="14" s="1"/>
  <c r="AJ81" i="1"/>
  <c r="DH80" i="5"/>
  <c r="K83" i="11"/>
  <c r="A83" i="14"/>
  <c r="CA83" i="14" s="1"/>
  <c r="A83" i="7"/>
  <c r="R83" i="7" s="1"/>
  <c r="A83" i="9"/>
  <c r="A83" i="2"/>
  <c r="A83" i="8"/>
  <c r="A83" i="5"/>
  <c r="Y76" i="11"/>
  <c r="AH76" i="1" s="1"/>
  <c r="CI77" i="8"/>
  <c r="DA77" i="8" s="1"/>
  <c r="BY77" i="8"/>
  <c r="AE77" i="7"/>
  <c r="AF77" i="7" s="1"/>
  <c r="AA76" i="11"/>
  <c r="AK76" i="1" s="1"/>
  <c r="Z76" i="11"/>
  <c r="AD76" i="11"/>
  <c r="AI76" i="1" s="1"/>
  <c r="N77" i="11"/>
  <c r="AC76" i="11"/>
  <c r="N77" i="7"/>
  <c r="D78" i="9"/>
  <c r="A78" i="10"/>
  <c r="AA78" i="10" s="1"/>
  <c r="CA77" i="8"/>
  <c r="CC77" i="8"/>
  <c r="CV77" i="8" s="1"/>
  <c r="CW77" i="8" s="1"/>
  <c r="BT78" i="5"/>
  <c r="CB77" i="8"/>
  <c r="CT77" i="8" s="1"/>
  <c r="AJ78" i="5"/>
  <c r="AP78" i="5" s="1"/>
  <c r="AC78" i="8"/>
  <c r="BQ78" i="8" s="1"/>
  <c r="BZ77" i="8"/>
  <c r="DH78" i="8"/>
  <c r="DI78" i="8" s="1"/>
  <c r="E78" i="1"/>
  <c r="B80" i="5"/>
  <c r="B78" i="7"/>
  <c r="AE78" i="7" s="1"/>
  <c r="AF78" i="7" s="1"/>
  <c r="B78" i="9"/>
  <c r="Y78" i="9" s="1"/>
  <c r="A78" i="11"/>
  <c r="AC77" i="11" s="1"/>
  <c r="U77" i="8" s="1"/>
  <c r="AI78" i="5"/>
  <c r="BH78" i="8"/>
  <c r="BU78" i="8" s="1"/>
  <c r="CK78" i="8"/>
  <c r="X78" i="8"/>
  <c r="DD78" i="8" s="1"/>
  <c r="BI78" i="8"/>
  <c r="BY82" i="11"/>
  <c r="K81" i="10"/>
  <c r="AA81" i="7"/>
  <c r="AF81" i="8" s="1"/>
  <c r="AV81" i="8" s="1"/>
  <c r="L81" i="11"/>
  <c r="BU80" i="5"/>
  <c r="B80" i="2"/>
  <c r="B80" i="1"/>
  <c r="BG80" i="1" s="1"/>
  <c r="AH80" i="5"/>
  <c r="J81" i="5"/>
  <c r="DC81" i="5" s="1"/>
  <c r="E80" i="10"/>
  <c r="G80" i="7"/>
  <c r="I81" i="5"/>
  <c r="D80" i="10"/>
  <c r="F80" i="7"/>
  <c r="K81" i="5"/>
  <c r="F80" i="10"/>
  <c r="H80" i="7"/>
  <c r="DD80" i="5"/>
  <c r="G81" i="5"/>
  <c r="D80" i="7"/>
  <c r="B80" i="10"/>
  <c r="H81" i="5"/>
  <c r="C80" i="10"/>
  <c r="E80" i="7"/>
  <c r="L81" i="5"/>
  <c r="G80" i="10"/>
  <c r="I80" i="7"/>
  <c r="M81" i="5"/>
  <c r="H80" i="10"/>
  <c r="J80" i="7"/>
  <c r="CQ76" i="8"/>
  <c r="CU76" i="8" s="1"/>
  <c r="CE76" i="8"/>
  <c r="CX76" i="8" s="1"/>
  <c r="CY76" i="8" s="1"/>
  <c r="AH89" i="9"/>
  <c r="D83" i="4"/>
  <c r="CR76" i="8"/>
  <c r="DB76" i="8"/>
  <c r="CZ80" i="5"/>
  <c r="B76" i="14"/>
  <c r="C79" i="5"/>
  <c r="F79" i="5" s="1"/>
  <c r="AB80" i="1"/>
  <c r="DI80" i="5"/>
  <c r="DA79" i="5"/>
  <c r="DG79" i="5" s="1" a="1"/>
  <c r="DG79" i="5" s="1"/>
  <c r="AH35" i="5"/>
  <c r="BU35" i="5"/>
  <c r="AG89" i="9"/>
  <c r="AK89" i="9"/>
  <c r="B35" i="2"/>
  <c r="B35" i="1"/>
  <c r="BG35" i="1" s="1"/>
  <c r="L56" i="11"/>
  <c r="AV56" i="8"/>
  <c r="B75" i="14"/>
  <c r="N65" i="1"/>
  <c r="S82" i="2"/>
  <c r="N83" i="2"/>
  <c r="R83" i="2"/>
  <c r="Q82" i="2"/>
  <c r="P84" i="2"/>
  <c r="J84" i="10"/>
  <c r="N84" i="5" s="1"/>
  <c r="AQ105" i="9" l="1"/>
  <c r="CM105" i="8" s="1"/>
  <c r="AO78" i="5"/>
  <c r="AM78" i="5"/>
  <c r="AN78" i="5"/>
  <c r="AR78" i="5" s="1"/>
  <c r="AV79" i="5"/>
  <c r="AW79" i="5"/>
  <c r="AG77" i="7"/>
  <c r="AI77" i="7" s="1"/>
  <c r="AG78" i="7"/>
  <c r="CL79" i="8"/>
  <c r="C24" i="4"/>
  <c r="F41" i="4" s="1"/>
  <c r="DB77" i="8"/>
  <c r="CC78" i="8"/>
  <c r="CV78" i="8" s="1"/>
  <c r="CW78" i="8" s="1"/>
  <c r="AC78" i="1"/>
  <c r="AI101" i="9"/>
  <c r="AO101" i="8" s="1"/>
  <c r="G84" i="8"/>
  <c r="CF83" i="8"/>
  <c r="O83" i="2"/>
  <c r="B25" i="4"/>
  <c r="AM90" i="9"/>
  <c r="BR78" i="8"/>
  <c r="BS78" i="8"/>
  <c r="U76" i="8"/>
  <c r="AD81" i="1"/>
  <c r="CT83" i="5"/>
  <c r="CS83" i="5"/>
  <c r="CV83" i="5"/>
  <c r="CW83" i="5"/>
  <c r="CR83" i="5"/>
  <c r="CU83" i="5"/>
  <c r="CQ83" i="5"/>
  <c r="AY83" i="5" a="1"/>
  <c r="AY83" i="5" s="1"/>
  <c r="BL83" i="5" a="1"/>
  <c r="BL83" i="5" s="1"/>
  <c r="BO83" i="5" a="1"/>
  <c r="BO83" i="5" s="1"/>
  <c r="AZ83" i="5" a="1"/>
  <c r="AZ83" i="5" s="1"/>
  <c r="BI83" i="5" a="1"/>
  <c r="BI83" i="5" s="1"/>
  <c r="BB83" i="5" a="1"/>
  <c r="BB83" i="5" s="1"/>
  <c r="BM83" i="5" a="1"/>
  <c r="BM83" i="5" s="1"/>
  <c r="BN83" i="5" a="1"/>
  <c r="BN83" i="5" s="1"/>
  <c r="BG83" i="5" a="1"/>
  <c r="BG83" i="5" s="1"/>
  <c r="BH83" i="5" a="1"/>
  <c r="BH83" i="5" s="1"/>
  <c r="BQ83" i="5" a="1"/>
  <c r="BQ83" i="5" s="1"/>
  <c r="BA83" i="5" a="1"/>
  <c r="BA83" i="5" s="1"/>
  <c r="BD83" i="5" a="1"/>
  <c r="BD83" i="5" s="1"/>
  <c r="BC83" i="5" a="1"/>
  <c r="BC83" i="5" s="1"/>
  <c r="BJ83" i="5" a="1"/>
  <c r="BJ83" i="5" s="1"/>
  <c r="BF83" i="5" a="1"/>
  <c r="BF83" i="5" s="1"/>
  <c r="AE82" i="1" s="1"/>
  <c r="BK83" i="5" a="1"/>
  <c r="BK83" i="5" s="1"/>
  <c r="BE83" i="5" a="1"/>
  <c r="BE83" i="5" s="1"/>
  <c r="V81" i="2"/>
  <c r="CQ77" i="8"/>
  <c r="CU77" i="8" s="1"/>
  <c r="F86" i="8"/>
  <c r="BP82" i="5" a="1"/>
  <c r="BP82" i="5" s="1"/>
  <c r="J82" i="2" s="1"/>
  <c r="O87" i="1"/>
  <c r="F42" i="4"/>
  <c r="F40" i="4"/>
  <c r="CD77" i="8"/>
  <c r="BX78" i="8"/>
  <c r="CE78" i="8" s="1"/>
  <c r="BT78" i="8"/>
  <c r="BO78" i="8"/>
  <c r="BP78" i="8"/>
  <c r="BM78" i="8"/>
  <c r="BN78" i="8"/>
  <c r="BK78" i="8"/>
  <c r="BL78" i="8"/>
  <c r="BJ78" i="8"/>
  <c r="AC78" i="10"/>
  <c r="X78" i="10" s="1"/>
  <c r="AS82" i="5"/>
  <c r="CH78" i="8"/>
  <c r="CZ78" i="8" s="1"/>
  <c r="CA78" i="8"/>
  <c r="BZ78" i="8"/>
  <c r="DF81" i="5"/>
  <c r="CB78" i="8"/>
  <c r="CT78" i="8" s="1"/>
  <c r="BY78" i="8"/>
  <c r="DE81" i="5"/>
  <c r="AK82" i="11"/>
  <c r="AJ82" i="1"/>
  <c r="DB81" i="5"/>
  <c r="K84" i="11"/>
  <c r="A84" i="14"/>
  <c r="CA84" i="14" s="1"/>
  <c r="A84" i="7"/>
  <c r="R84" i="7" s="1"/>
  <c r="A84" i="5"/>
  <c r="A84" i="8"/>
  <c r="A84" i="9"/>
  <c r="A84" i="2"/>
  <c r="AU83" i="8"/>
  <c r="AE83" i="8"/>
  <c r="AM82" i="1"/>
  <c r="DH81" i="5"/>
  <c r="AF80" i="1"/>
  <c r="AV83" i="14" a="1"/>
  <c r="AV83" i="14" s="1"/>
  <c r="W83" i="14" a="1"/>
  <c r="W83" i="14" s="1"/>
  <c r="V83" i="14" a="1"/>
  <c r="V83" i="14" s="1"/>
  <c r="BP83" i="14" a="1"/>
  <c r="BP83" i="14" s="1"/>
  <c r="T83" i="14" a="1"/>
  <c r="T83" i="14" s="1"/>
  <c r="BG83" i="14" a="1"/>
  <c r="BG83" i="14" s="1"/>
  <c r="BM83" i="14" a="1"/>
  <c r="BM83" i="14" s="1"/>
  <c r="BE83" i="14" a="1"/>
  <c r="BE83" i="14" s="1"/>
  <c r="AE83" i="14" a="1"/>
  <c r="AE83" i="14" s="1"/>
  <c r="AL83" i="14" a="1"/>
  <c r="AL83" i="14" s="1"/>
  <c r="BD83" i="14" a="1"/>
  <c r="BD83" i="14" s="1"/>
  <c r="AJ83" i="14" a="1"/>
  <c r="AJ83" i="14" s="1"/>
  <c r="P83" i="14" a="1"/>
  <c r="P83" i="14" s="1"/>
  <c r="BV83" i="14" a="1"/>
  <c r="BV83" i="14" s="1"/>
  <c r="AH83" i="14" a="1"/>
  <c r="AH83" i="14" s="1"/>
  <c r="M83" i="14" a="1"/>
  <c r="M83" i="14" s="1"/>
  <c r="BC83" i="14" a="1"/>
  <c r="BC83" i="14" s="1"/>
  <c r="BB83" i="14" a="1"/>
  <c r="BB83" i="14" s="1"/>
  <c r="BI83" i="14" a="1"/>
  <c r="BI83" i="14" s="1"/>
  <c r="U83" i="14" a="1"/>
  <c r="U83" i="14" s="1"/>
  <c r="AN83" i="14" a="1"/>
  <c r="AN83" i="14" s="1"/>
  <c r="AQ83" i="14" a="1"/>
  <c r="AQ83" i="14" s="1"/>
  <c r="BL83" i="14" a="1"/>
  <c r="BL83" i="14" s="1"/>
  <c r="BU83" i="14" a="1"/>
  <c r="BU83" i="14" s="1"/>
  <c r="AU83" i="14" a="1"/>
  <c r="AU83" i="14" s="1"/>
  <c r="N83" i="14" a="1"/>
  <c r="N83" i="14" s="1"/>
  <c r="AC83" i="14" a="1"/>
  <c r="AC83" i="14" s="1"/>
  <c r="BZ83" i="14" a="1"/>
  <c r="BZ83" i="14" s="1"/>
  <c r="AB83" i="14" a="1"/>
  <c r="AB83" i="14" s="1"/>
  <c r="AF83" i="14" a="1"/>
  <c r="AF83" i="14" s="1"/>
  <c r="BF83" i="14" a="1"/>
  <c r="BF83" i="14" s="1"/>
  <c r="Y83" i="14" a="1"/>
  <c r="Y83" i="14" s="1"/>
  <c r="AM83" i="14" a="1"/>
  <c r="AM83" i="14" s="1"/>
  <c r="BR83" i="14" a="1"/>
  <c r="BR83" i="14" s="1"/>
  <c r="BA83" i="14" a="1"/>
  <c r="BA83" i="14" s="1"/>
  <c r="BY83" i="14" a="1"/>
  <c r="BY83" i="14" s="1"/>
  <c r="BW83" i="14" a="1"/>
  <c r="BW83" i="14" s="1"/>
  <c r="BO83" i="14" a="1"/>
  <c r="BO83" i="14" s="1"/>
  <c r="Z83" i="14" a="1"/>
  <c r="Z83" i="14" s="1"/>
  <c r="AO83" i="14" a="1"/>
  <c r="AO83" i="14" s="1"/>
  <c r="BS83" i="14" a="1"/>
  <c r="BS83" i="14" s="1"/>
  <c r="O83" i="14" a="1"/>
  <c r="O83" i="14" s="1"/>
  <c r="BJ83" i="14" a="1"/>
  <c r="BJ83" i="14" s="1"/>
  <c r="AK83" i="14" a="1"/>
  <c r="AK83" i="14" s="1"/>
  <c r="BX83" i="14" a="1"/>
  <c r="BX83" i="14" s="1"/>
  <c r="AI83" i="14" a="1"/>
  <c r="AI83" i="14" s="1"/>
  <c r="AA83" i="14" a="1"/>
  <c r="AA83" i="14" s="1"/>
  <c r="AX83" i="14" a="1"/>
  <c r="AX83" i="14" s="1"/>
  <c r="AW83" i="14" a="1"/>
  <c r="AW83" i="14" s="1"/>
  <c r="AD83" i="14" a="1"/>
  <c r="AD83" i="14" s="1"/>
  <c r="R83" i="14" a="1"/>
  <c r="R83" i="14" s="1"/>
  <c r="AL83" i="1" s="1"/>
  <c r="BQ83" i="14" a="1"/>
  <c r="BQ83" i="14" s="1"/>
  <c r="AP83" i="14" a="1"/>
  <c r="AP83" i="14" s="1"/>
  <c r="AS83" i="14" a="1"/>
  <c r="AS83" i="14" s="1"/>
  <c r="BN83" i="14" a="1"/>
  <c r="BN83" i="14" s="1"/>
  <c r="BH83" i="14" a="1"/>
  <c r="BH83" i="14" s="1"/>
  <c r="Q83" i="14" a="1"/>
  <c r="Q83" i="14" s="1"/>
  <c r="BT83" i="14" a="1"/>
  <c r="BT83" i="14" s="1"/>
  <c r="AR83" i="14" a="1"/>
  <c r="AR83" i="14" s="1"/>
  <c r="AG83" i="14" a="1"/>
  <c r="AG83" i="14" s="1"/>
  <c r="BK83" i="14" a="1"/>
  <c r="BK83" i="14" s="1"/>
  <c r="AZ83" i="14" a="1"/>
  <c r="AZ83" i="14" s="1"/>
  <c r="X83" i="14" a="1"/>
  <c r="X83" i="14" s="1"/>
  <c r="S83" i="14" a="1"/>
  <c r="S83" i="14" s="1"/>
  <c r="AT83" i="14" a="1"/>
  <c r="AT83" i="14" s="1"/>
  <c r="AY83" i="14" a="1"/>
  <c r="AY83" i="14" s="1"/>
  <c r="Y80" i="1"/>
  <c r="DJ81" i="5"/>
  <c r="W80" i="1"/>
  <c r="AH82" i="11"/>
  <c r="AQ77" i="5"/>
  <c r="B77" i="14"/>
  <c r="CI78" i="8"/>
  <c r="DA78" i="8" s="1"/>
  <c r="CR77" i="8"/>
  <c r="N78" i="7"/>
  <c r="N78" i="11"/>
  <c r="CS76" i="8"/>
  <c r="D79" i="9"/>
  <c r="Q78" i="7"/>
  <c r="Z77" i="11"/>
  <c r="AD77" i="11"/>
  <c r="AI77" i="1" s="1"/>
  <c r="Y77" i="11"/>
  <c r="AH77" i="1" s="1"/>
  <c r="AA77" i="11"/>
  <c r="AK77" i="1" s="1"/>
  <c r="AB77" i="11"/>
  <c r="Q77" i="8" s="1"/>
  <c r="B81" i="5"/>
  <c r="B81" i="2"/>
  <c r="B81" i="1"/>
  <c r="BG81" i="1" s="1"/>
  <c r="AH81" i="5"/>
  <c r="BU81" i="5"/>
  <c r="BY83" i="11"/>
  <c r="AA82" i="7"/>
  <c r="AF82" i="8" s="1"/>
  <c r="AV82" i="8" s="1"/>
  <c r="K82" i="10"/>
  <c r="L82" i="11"/>
  <c r="H82" i="5"/>
  <c r="C81" i="10"/>
  <c r="E81" i="7"/>
  <c r="K82" i="5"/>
  <c r="F81" i="10"/>
  <c r="H81" i="7"/>
  <c r="DD81" i="5"/>
  <c r="M82" i="5"/>
  <c r="H81" i="10"/>
  <c r="J81" i="7"/>
  <c r="D81" i="7"/>
  <c r="G82" i="5"/>
  <c r="B81" i="10"/>
  <c r="I82" i="5"/>
  <c r="D81" i="10"/>
  <c r="F81" i="7"/>
  <c r="L82" i="5"/>
  <c r="G81" i="10"/>
  <c r="I81" i="7"/>
  <c r="J82" i="5"/>
  <c r="DC82" i="5" s="1"/>
  <c r="E81" i="10"/>
  <c r="G81" i="7"/>
  <c r="DH79" i="8"/>
  <c r="DI79" i="8" s="1"/>
  <c r="CK79" i="8"/>
  <c r="BW79" i="8"/>
  <c r="AC79" i="1" s="1"/>
  <c r="BH79" i="8"/>
  <c r="BI79" i="8"/>
  <c r="AH90" i="9"/>
  <c r="CZ81" i="5"/>
  <c r="C80" i="5"/>
  <c r="F80" i="5" s="1"/>
  <c r="AJ79" i="5"/>
  <c r="AP79" i="5" s="1"/>
  <c r="AC79" i="8"/>
  <c r="BQ79" i="8" s="1"/>
  <c r="AI79" i="5"/>
  <c r="A79" i="10"/>
  <c r="AA79" i="10" s="1"/>
  <c r="BT79" i="5"/>
  <c r="X79" i="8"/>
  <c r="DD79" i="8" s="1"/>
  <c r="B79" i="7"/>
  <c r="A79" i="11"/>
  <c r="E79" i="1"/>
  <c r="B79" i="9"/>
  <c r="Y79" i="9" s="1"/>
  <c r="DA80" i="5"/>
  <c r="DG80" i="5" s="1" a="1"/>
  <c r="DG80" i="5" s="1"/>
  <c r="AB81" i="1"/>
  <c r="DI81" i="5"/>
  <c r="AH56" i="5"/>
  <c r="BU56" i="5"/>
  <c r="AG90" i="9"/>
  <c r="AK90" i="9"/>
  <c r="B56" i="2"/>
  <c r="B56" i="1"/>
  <c r="BG56" i="1" s="1"/>
  <c r="B78" i="14"/>
  <c r="N66" i="1"/>
  <c r="S83" i="2"/>
  <c r="N84" i="2"/>
  <c r="R84" i="2"/>
  <c r="Q83" i="2"/>
  <c r="J85" i="10"/>
  <c r="N85" i="5" s="1"/>
  <c r="P85" i="2"/>
  <c r="AQ106" i="9" l="1"/>
  <c r="CM106" i="8" s="1"/>
  <c r="AO79" i="5"/>
  <c r="AM79" i="5"/>
  <c r="AN79" i="5"/>
  <c r="AR79" i="5" s="1"/>
  <c r="AV80" i="5"/>
  <c r="AW80" i="5"/>
  <c r="AI78" i="7"/>
  <c r="CL80" i="8"/>
  <c r="AI102" i="9"/>
  <c r="AO102" i="8" s="1"/>
  <c r="BN84" i="5" a="1"/>
  <c r="BN84" i="5" s="1"/>
  <c r="AZ84" i="5" a="1"/>
  <c r="AZ84" i="5" s="1"/>
  <c r="G85" i="8"/>
  <c r="CF84" i="8"/>
  <c r="O84" i="2"/>
  <c r="BI84" i="5" a="1"/>
  <c r="BI84" i="5" s="1"/>
  <c r="AM91" i="9"/>
  <c r="BR79" i="8"/>
  <c r="BS79" i="8"/>
  <c r="H41" i="4"/>
  <c r="H40" i="4"/>
  <c r="H42" i="4"/>
  <c r="AD82" i="1"/>
  <c r="BM84" i="5" a="1"/>
  <c r="BM84" i="5" s="1"/>
  <c r="BB84" i="5" a="1"/>
  <c r="BB84" i="5" s="1"/>
  <c r="BE84" i="5" a="1"/>
  <c r="BE84" i="5" s="1"/>
  <c r="BO84" i="5" a="1"/>
  <c r="BO84" i="5" s="1"/>
  <c r="BK84" i="5" a="1"/>
  <c r="BK84" i="5" s="1"/>
  <c r="BF84" i="5" a="1"/>
  <c r="BF84" i="5" s="1"/>
  <c r="AE83" i="1" s="1"/>
  <c r="BJ84" i="5" a="1"/>
  <c r="BJ84" i="5" s="1"/>
  <c r="BC84" i="5" a="1"/>
  <c r="BC84" i="5" s="1"/>
  <c r="CS84" i="5"/>
  <c r="CT84" i="5"/>
  <c r="CR84" i="5"/>
  <c r="CQ84" i="5"/>
  <c r="CW84" i="5"/>
  <c r="CV84" i="5"/>
  <c r="CU84" i="5"/>
  <c r="AY84" i="5" a="1"/>
  <c r="AY84" i="5" s="1"/>
  <c r="BL84" i="5" a="1"/>
  <c r="BL84" i="5" s="1"/>
  <c r="BD84" i="5" a="1"/>
  <c r="BD84" i="5" s="1"/>
  <c r="BA84" i="5" a="1"/>
  <c r="BA84" i="5" s="1"/>
  <c r="BQ84" i="5" a="1"/>
  <c r="BQ84" i="5" s="1"/>
  <c r="BH84" i="5" a="1"/>
  <c r="BH84" i="5" s="1"/>
  <c r="BG84" i="5" a="1"/>
  <c r="BG84" i="5" s="1"/>
  <c r="V82" i="2"/>
  <c r="CS77" i="8"/>
  <c r="CX77" i="8"/>
  <c r="CY77" i="8" s="1"/>
  <c r="CQ78" i="8"/>
  <c r="CU78" i="8" s="1"/>
  <c r="F87" i="8"/>
  <c r="BP83" i="5" a="1"/>
  <c r="BP83" i="5" s="1"/>
  <c r="J83" i="2" s="1"/>
  <c r="O88" i="1"/>
  <c r="CD78" i="8"/>
  <c r="AH83" i="11"/>
  <c r="BT79" i="8"/>
  <c r="BU79" i="8"/>
  <c r="BO79" i="8"/>
  <c r="BP79" i="8"/>
  <c r="BM79" i="8"/>
  <c r="BN79" i="8"/>
  <c r="BK79" i="8"/>
  <c r="BL79" i="8"/>
  <c r="BJ79" i="8"/>
  <c r="AC79" i="10"/>
  <c r="X79" i="10" s="1"/>
  <c r="AS83" i="5"/>
  <c r="CR78" i="8"/>
  <c r="DB78" i="8"/>
  <c r="DE82" i="5"/>
  <c r="DF82" i="5"/>
  <c r="AK83" i="11"/>
  <c r="DB82" i="5"/>
  <c r="AJ83" i="1"/>
  <c r="W81" i="1"/>
  <c r="DH82" i="5"/>
  <c r="AU84" i="8"/>
  <c r="AE84" i="8"/>
  <c r="K85" i="11"/>
  <c r="A85" i="14"/>
  <c r="CA85" i="14" s="1"/>
  <c r="A85" i="9"/>
  <c r="A85" i="8"/>
  <c r="A85" i="2"/>
  <c r="A85" i="5"/>
  <c r="A85" i="7"/>
  <c r="R85" i="7" s="1"/>
  <c r="AM83" i="1"/>
  <c r="AU84" i="14" a="1"/>
  <c r="AU84" i="14" s="1"/>
  <c r="AE84" i="14" a="1"/>
  <c r="AE84" i="14" s="1"/>
  <c r="BQ84" i="14" a="1"/>
  <c r="BQ84" i="14" s="1"/>
  <c r="BH84" i="14" a="1"/>
  <c r="BH84" i="14" s="1"/>
  <c r="T84" i="14" a="1"/>
  <c r="T84" i="14" s="1"/>
  <c r="AA84" i="14" a="1"/>
  <c r="AA84" i="14" s="1"/>
  <c r="Z84" i="14" a="1"/>
  <c r="Z84" i="14" s="1"/>
  <c r="BU84" i="14" a="1"/>
  <c r="BU84" i="14" s="1"/>
  <c r="BC84" i="14" a="1"/>
  <c r="BC84" i="14" s="1"/>
  <c r="BJ84" i="14" a="1"/>
  <c r="BJ84" i="14" s="1"/>
  <c r="BB84" i="14" a="1"/>
  <c r="BB84" i="14" s="1"/>
  <c r="AS84" i="14" a="1"/>
  <c r="AS84" i="14" s="1"/>
  <c r="BO84" i="14" a="1"/>
  <c r="BO84" i="14" s="1"/>
  <c r="BN84" i="14" a="1"/>
  <c r="BN84" i="14" s="1"/>
  <c r="R84" i="14" a="1"/>
  <c r="R84" i="14" s="1"/>
  <c r="AL84" i="1" s="1"/>
  <c r="BM84" i="14" a="1"/>
  <c r="BM84" i="14" s="1"/>
  <c r="BK84" i="14" a="1"/>
  <c r="BK84" i="14" s="1"/>
  <c r="AD84" i="14" a="1"/>
  <c r="AD84" i="14" s="1"/>
  <c r="N84" i="14" a="1"/>
  <c r="N84" i="14" s="1"/>
  <c r="AC84" i="14" a="1"/>
  <c r="AC84" i="14" s="1"/>
  <c r="AR84" i="14" a="1"/>
  <c r="AR84" i="14" s="1"/>
  <c r="AN84" i="14" a="1"/>
  <c r="AN84" i="14" s="1"/>
  <c r="AO84" i="14" a="1"/>
  <c r="AO84" i="14" s="1"/>
  <c r="AG84" i="14" a="1"/>
  <c r="AG84" i="14" s="1"/>
  <c r="O84" i="14" a="1"/>
  <c r="O84" i="14" s="1"/>
  <c r="AT84" i="14" a="1"/>
  <c r="AT84" i="14" s="1"/>
  <c r="U84" i="14" a="1"/>
  <c r="U84" i="14" s="1"/>
  <c r="BZ84" i="14" a="1"/>
  <c r="BZ84" i="14" s="1"/>
  <c r="AJ84" i="14" a="1"/>
  <c r="AJ84" i="14" s="1"/>
  <c r="AY84" i="14" a="1"/>
  <c r="AY84" i="14" s="1"/>
  <c r="AX84" i="14" a="1"/>
  <c r="AX84" i="14" s="1"/>
  <c r="Q84" i="14" a="1"/>
  <c r="Q84" i="14" s="1"/>
  <c r="AM84" i="14" a="1"/>
  <c r="AM84" i="14" s="1"/>
  <c r="V84" i="14" a="1"/>
  <c r="V84" i="14" s="1"/>
  <c r="BA84" i="14" a="1"/>
  <c r="BA84" i="14" s="1"/>
  <c r="BY84" i="14" a="1"/>
  <c r="BY84" i="14" s="1"/>
  <c r="BW84" i="14" a="1"/>
  <c r="BW84" i="14" s="1"/>
  <c r="BV84" i="14" a="1"/>
  <c r="BV84" i="14" s="1"/>
  <c r="AQ84" i="14" a="1"/>
  <c r="AQ84" i="14" s="1"/>
  <c r="AW84" i="14" a="1"/>
  <c r="AW84" i="14" s="1"/>
  <c r="BT84" i="14" a="1"/>
  <c r="BT84" i="14" s="1"/>
  <c r="W84" i="14" a="1"/>
  <c r="W84" i="14" s="1"/>
  <c r="AL84" i="14" a="1"/>
  <c r="AL84" i="14" s="1"/>
  <c r="BX84" i="14" a="1"/>
  <c r="BX84" i="14" s="1"/>
  <c r="BP84" i="14" a="1"/>
  <c r="BP84" i="14" s="1"/>
  <c r="AI84" i="14" a="1"/>
  <c r="AI84" i="14" s="1"/>
  <c r="BL84" i="14" a="1"/>
  <c r="BL84" i="14" s="1"/>
  <c r="AH84" i="14" a="1"/>
  <c r="AH84" i="14" s="1"/>
  <c r="Y84" i="14" a="1"/>
  <c r="Y84" i="14" s="1"/>
  <c r="BD84" i="14" a="1"/>
  <c r="BD84" i="14" s="1"/>
  <c r="AP84" i="14" a="1"/>
  <c r="AP84" i="14" s="1"/>
  <c r="BI84" i="14" a="1"/>
  <c r="BI84" i="14" s="1"/>
  <c r="S84" i="14" a="1"/>
  <c r="S84" i="14" s="1"/>
  <c r="P84" i="14" a="1"/>
  <c r="P84" i="14" s="1"/>
  <c r="AF84" i="14" a="1"/>
  <c r="AF84" i="14" s="1"/>
  <c r="AZ84" i="14" a="1"/>
  <c r="AZ84" i="14" s="1"/>
  <c r="BE84" i="14" a="1"/>
  <c r="BE84" i="14" s="1"/>
  <c r="AV84" i="14" a="1"/>
  <c r="AV84" i="14" s="1"/>
  <c r="AK84" i="14" a="1"/>
  <c r="AK84" i="14" s="1"/>
  <c r="M84" i="14" a="1"/>
  <c r="M84" i="14" s="1"/>
  <c r="BS84" i="14" a="1"/>
  <c r="BS84" i="14" s="1"/>
  <c r="AB84" i="14" a="1"/>
  <c r="AB84" i="14" s="1"/>
  <c r="BR84" i="14" a="1"/>
  <c r="BR84" i="14" s="1"/>
  <c r="BG84" i="14" a="1"/>
  <c r="BG84" i="14" s="1"/>
  <c r="X84" i="14" a="1"/>
  <c r="X84" i="14" s="1"/>
  <c r="BF84" i="14" a="1"/>
  <c r="BF84" i="14" s="1"/>
  <c r="Y81" i="1"/>
  <c r="DJ82" i="5"/>
  <c r="AF81" i="1"/>
  <c r="AQ78" i="5"/>
  <c r="B82" i="1"/>
  <c r="BG82" i="1" s="1"/>
  <c r="AH82" i="5"/>
  <c r="B82" i="2"/>
  <c r="BU82" i="5"/>
  <c r="BY84" i="11"/>
  <c r="AA83" i="7"/>
  <c r="AF83" i="8" s="1"/>
  <c r="AV83" i="8" s="1"/>
  <c r="K83" i="10"/>
  <c r="L83" i="11"/>
  <c r="B82" i="5"/>
  <c r="I83" i="5"/>
  <c r="D82" i="10"/>
  <c r="F82" i="7"/>
  <c r="M83" i="5"/>
  <c r="H82" i="10"/>
  <c r="J82" i="7"/>
  <c r="J83" i="5"/>
  <c r="DC83" i="5" s="1"/>
  <c r="E82" i="10"/>
  <c r="G82" i="7"/>
  <c r="G83" i="5"/>
  <c r="D82" i="7"/>
  <c r="B82" i="10"/>
  <c r="K83" i="5"/>
  <c r="F82" i="10"/>
  <c r="H82" i="7"/>
  <c r="DD82" i="5"/>
  <c r="L83" i="5"/>
  <c r="G82" i="10"/>
  <c r="I82" i="7"/>
  <c r="H83" i="5"/>
  <c r="C82" i="10"/>
  <c r="E82" i="7"/>
  <c r="BX79" i="8"/>
  <c r="CD79" i="8" s="1"/>
  <c r="D80" i="9"/>
  <c r="DH80" i="8"/>
  <c r="DI80" i="8" s="1"/>
  <c r="CK80" i="8"/>
  <c r="BW80" i="8"/>
  <c r="AC80" i="1" s="1"/>
  <c r="N79" i="7"/>
  <c r="BH80" i="8"/>
  <c r="BU80" i="8" s="1"/>
  <c r="BI80" i="8"/>
  <c r="AH91" i="9"/>
  <c r="BZ79" i="8"/>
  <c r="CA79" i="8"/>
  <c r="CC79" i="8"/>
  <c r="CV79" i="8" s="1"/>
  <c r="CW79" i="8" s="1"/>
  <c r="CH79" i="8"/>
  <c r="CZ79" i="8" s="1"/>
  <c r="CB79" i="8"/>
  <c r="CT79" i="8" s="1"/>
  <c r="BY79" i="8"/>
  <c r="X80" i="8"/>
  <c r="DD80" i="8" s="1"/>
  <c r="AJ80" i="5"/>
  <c r="AP80" i="5" s="1"/>
  <c r="B80" i="9"/>
  <c r="Y80" i="9" s="1"/>
  <c r="BT80" i="5"/>
  <c r="B80" i="7"/>
  <c r="AI80" i="5"/>
  <c r="E80" i="1"/>
  <c r="A80" i="11"/>
  <c r="AC80" i="8"/>
  <c r="BQ80" i="8" s="1"/>
  <c r="A80" i="10"/>
  <c r="AA80" i="10" s="1"/>
  <c r="CZ82" i="5"/>
  <c r="Y78" i="11"/>
  <c r="AH78" i="1" s="1"/>
  <c r="AB78" i="11"/>
  <c r="Q78" i="8" s="1"/>
  <c r="N79" i="11"/>
  <c r="Z78" i="11"/>
  <c r="AA78" i="11"/>
  <c r="AK78" i="1" s="1"/>
  <c r="AC78" i="11"/>
  <c r="U78" i="8" s="1"/>
  <c r="AD78" i="11"/>
  <c r="AI78" i="1" s="1"/>
  <c r="C81" i="5"/>
  <c r="F81" i="5" s="1"/>
  <c r="CI79" i="8"/>
  <c r="DA79" i="8" s="1"/>
  <c r="AE79" i="7"/>
  <c r="AF79" i="7" s="1"/>
  <c r="Q79" i="7"/>
  <c r="DI82" i="5"/>
  <c r="AB82" i="1"/>
  <c r="DA81" i="5"/>
  <c r="DG81" i="5" s="1" a="1"/>
  <c r="DG81" i="5" s="1"/>
  <c r="AG91" i="9"/>
  <c r="AK91" i="9"/>
  <c r="N67" i="1"/>
  <c r="S84" i="2"/>
  <c r="N85" i="2"/>
  <c r="R85" i="2"/>
  <c r="Q84" i="2"/>
  <c r="P86" i="2"/>
  <c r="J86" i="10"/>
  <c r="N86" i="5" s="1"/>
  <c r="AQ107" i="9" l="1"/>
  <c r="CM107" i="8" s="1"/>
  <c r="AO80" i="5"/>
  <c r="AM80" i="5"/>
  <c r="AN80" i="5"/>
  <c r="AV81" i="5"/>
  <c r="AW81" i="5"/>
  <c r="AG79" i="7"/>
  <c r="AI79" i="7" s="1"/>
  <c r="CL81" i="8"/>
  <c r="AI103" i="9"/>
  <c r="AO103" i="8" s="1"/>
  <c r="AD83" i="1"/>
  <c r="G86" i="8"/>
  <c r="CF85" i="8"/>
  <c r="O85" i="2"/>
  <c r="AM92" i="9"/>
  <c r="BR80" i="8"/>
  <c r="BS80" i="8"/>
  <c r="BC85" i="5" a="1"/>
  <c r="BC85" i="5" s="1"/>
  <c r="CT85" i="5"/>
  <c r="CS85" i="5"/>
  <c r="CV85" i="5"/>
  <c r="CR85" i="5"/>
  <c r="CQ85" i="5"/>
  <c r="CW85" i="5"/>
  <c r="CU85" i="5"/>
  <c r="AY85" i="5" a="1"/>
  <c r="AY85" i="5" s="1"/>
  <c r="BL85" i="5" a="1"/>
  <c r="BL85" i="5" s="1"/>
  <c r="BG85" i="5" a="1"/>
  <c r="BG85" i="5" s="1"/>
  <c r="BH85" i="5" a="1"/>
  <c r="BH85" i="5" s="1"/>
  <c r="BJ85" i="5" a="1"/>
  <c r="BJ85" i="5" s="1"/>
  <c r="BQ85" i="5" a="1"/>
  <c r="BQ85" i="5" s="1"/>
  <c r="AZ85" i="5" a="1"/>
  <c r="AZ85" i="5" s="1"/>
  <c r="BA85" i="5" a="1"/>
  <c r="BA85" i="5" s="1"/>
  <c r="BF85" i="5" a="1"/>
  <c r="BF85" i="5" s="1"/>
  <c r="AE84" i="1" s="1"/>
  <c r="BI85" i="5" a="1"/>
  <c r="BI85" i="5" s="1"/>
  <c r="BK85" i="5" a="1"/>
  <c r="BK85" i="5" s="1"/>
  <c r="BD85" i="5" a="1"/>
  <c r="BD85" i="5" s="1"/>
  <c r="BO85" i="5" a="1"/>
  <c r="BO85" i="5" s="1"/>
  <c r="BE85" i="5" a="1"/>
  <c r="BE85" i="5" s="1"/>
  <c r="BB85" i="5" a="1"/>
  <c r="BB85" i="5" s="1"/>
  <c r="BM85" i="5" a="1"/>
  <c r="BM85" i="5" s="1"/>
  <c r="BN85" i="5" a="1"/>
  <c r="BN85" i="5" s="1"/>
  <c r="V83" i="2"/>
  <c r="CS78" i="8"/>
  <c r="CX78" i="8"/>
  <c r="CY78" i="8" s="1"/>
  <c r="F88" i="8"/>
  <c r="BP84" i="5" a="1"/>
  <c r="BP84" i="5" s="1"/>
  <c r="J84" i="2" s="1"/>
  <c r="O89" i="1"/>
  <c r="BX80" i="8"/>
  <c r="CD80" i="8" s="1"/>
  <c r="BT80" i="8"/>
  <c r="BO80" i="8"/>
  <c r="BP80" i="8"/>
  <c r="BM80" i="8"/>
  <c r="BN80" i="8"/>
  <c r="BK80" i="8"/>
  <c r="BL80" i="8"/>
  <c r="BJ80" i="8"/>
  <c r="AC80" i="10"/>
  <c r="X80" i="10" s="1"/>
  <c r="AR80" i="5"/>
  <c r="AS84" i="5"/>
  <c r="DB83" i="5"/>
  <c r="DE83" i="5"/>
  <c r="AK84" i="11"/>
  <c r="DF83" i="5"/>
  <c r="AH84" i="11"/>
  <c r="AJ84" i="1"/>
  <c r="AM84" i="1"/>
  <c r="AE85" i="8"/>
  <c r="AU85" i="8"/>
  <c r="AF82" i="1"/>
  <c r="BS85" i="14" a="1"/>
  <c r="BS85" i="14" s="1"/>
  <c r="V85" i="14" a="1"/>
  <c r="V85" i="14" s="1"/>
  <c r="AS85" i="14" a="1"/>
  <c r="AS85" i="14" s="1"/>
  <c r="AZ85" i="14" a="1"/>
  <c r="AZ85" i="14" s="1"/>
  <c r="BO85" i="14" a="1"/>
  <c r="BO85" i="14" s="1"/>
  <c r="AQ85" i="14" a="1"/>
  <c r="AQ85" i="14" s="1"/>
  <c r="AF85" i="14" a="1"/>
  <c r="AF85" i="14" s="1"/>
  <c r="AO85" i="14" a="1"/>
  <c r="AO85" i="14" s="1"/>
  <c r="BK85" i="14" a="1"/>
  <c r="BK85" i="14" s="1"/>
  <c r="BB85" i="14" a="1"/>
  <c r="BB85" i="14" s="1"/>
  <c r="U85" i="14" a="1"/>
  <c r="U85" i="14" s="1"/>
  <c r="AR85" i="14" a="1"/>
  <c r="AR85" i="14" s="1"/>
  <c r="AB85" i="14" a="1"/>
  <c r="AB85" i="14" s="1"/>
  <c r="Z85" i="14" a="1"/>
  <c r="Z85" i="14" s="1"/>
  <c r="BL85" i="14" a="1"/>
  <c r="BL85" i="14" s="1"/>
  <c r="AG85" i="14" a="1"/>
  <c r="AG85" i="14" s="1"/>
  <c r="AV85" i="14" a="1"/>
  <c r="AV85" i="14" s="1"/>
  <c r="X85" i="14" a="1"/>
  <c r="X85" i="14" s="1"/>
  <c r="AT85" i="14" a="1"/>
  <c r="AT85" i="14" s="1"/>
  <c r="AK85" i="14" a="1"/>
  <c r="AK85" i="14" s="1"/>
  <c r="P85" i="14" a="1"/>
  <c r="P85" i="14" s="1"/>
  <c r="S85" i="14" a="1"/>
  <c r="S85" i="14" s="1"/>
  <c r="BF85" i="14" a="1"/>
  <c r="BF85" i="14" s="1"/>
  <c r="M85" i="14" a="1"/>
  <c r="M85" i="14" s="1"/>
  <c r="Q85" i="14" a="1"/>
  <c r="Q85" i="14" s="1"/>
  <c r="BT85" i="14" a="1"/>
  <c r="BT85" i="14" s="1"/>
  <c r="O85" i="14" a="1"/>
  <c r="O85" i="14" s="1"/>
  <c r="AD85" i="14" a="1"/>
  <c r="AD85" i="14" s="1"/>
  <c r="AC85" i="14" a="1"/>
  <c r="AC85" i="14" s="1"/>
  <c r="BZ85" i="14" a="1"/>
  <c r="BZ85" i="14" s="1"/>
  <c r="BG85" i="14" a="1"/>
  <c r="BG85" i="14" s="1"/>
  <c r="BV85" i="14" a="1"/>
  <c r="BV85" i="14" s="1"/>
  <c r="AH85" i="14" a="1"/>
  <c r="AH85" i="14" s="1"/>
  <c r="Y85" i="14" a="1"/>
  <c r="Y85" i="14" s="1"/>
  <c r="AU85" i="14" a="1"/>
  <c r="AU85" i="14" s="1"/>
  <c r="BR85" i="14" a="1"/>
  <c r="BR85" i="14" s="1"/>
  <c r="N85" i="14" a="1"/>
  <c r="N85" i="14" s="1"/>
  <c r="BA85" i="14" a="1"/>
  <c r="BA85" i="14" s="1"/>
  <c r="BY85" i="14" a="1"/>
  <c r="BY85" i="14" s="1"/>
  <c r="AI85" i="14" a="1"/>
  <c r="AI85" i="14" s="1"/>
  <c r="R85" i="14" a="1"/>
  <c r="R85" i="14" s="1"/>
  <c r="AL85" i="1" s="1"/>
  <c r="BU85" i="14" a="1"/>
  <c r="BU85" i="14" s="1"/>
  <c r="W85" i="14" a="1"/>
  <c r="W85" i="14" s="1"/>
  <c r="AL85" i="14" a="1"/>
  <c r="AL85" i="14" s="1"/>
  <c r="BD85" i="14" a="1"/>
  <c r="BD85" i="14" s="1"/>
  <c r="BH85" i="14" a="1"/>
  <c r="BH85" i="14" s="1"/>
  <c r="AN85" i="14" a="1"/>
  <c r="AN85" i="14" s="1"/>
  <c r="BW85" i="14" a="1"/>
  <c r="BW85" i="14" s="1"/>
  <c r="AX85" i="14" a="1"/>
  <c r="AX85" i="14" s="1"/>
  <c r="BM85" i="14" a="1"/>
  <c r="BM85" i="14" s="1"/>
  <c r="BC85" i="14" a="1"/>
  <c r="BC85" i="14" s="1"/>
  <c r="AE85" i="14" a="1"/>
  <c r="AE85" i="14" s="1"/>
  <c r="BQ85" i="14" a="1"/>
  <c r="BQ85" i="14" s="1"/>
  <c r="BX85" i="14" a="1"/>
  <c r="BX85" i="14" s="1"/>
  <c r="T85" i="14" a="1"/>
  <c r="T85" i="14" s="1"/>
  <c r="AY85" i="14" a="1"/>
  <c r="AY85" i="14" s="1"/>
  <c r="AP85" i="14" a="1"/>
  <c r="AP85" i="14" s="1"/>
  <c r="BE85" i="14" a="1"/>
  <c r="BE85" i="14" s="1"/>
  <c r="BP85" i="14" a="1"/>
  <c r="BP85" i="14" s="1"/>
  <c r="AJ85" i="14" a="1"/>
  <c r="AJ85" i="14" s="1"/>
  <c r="BN85" i="14" a="1"/>
  <c r="BN85" i="14" s="1"/>
  <c r="AA85" i="14" a="1"/>
  <c r="AA85" i="14" s="1"/>
  <c r="AW85" i="14" a="1"/>
  <c r="AW85" i="14" s="1"/>
  <c r="AM85" i="14" a="1"/>
  <c r="AM85" i="14" s="1"/>
  <c r="BJ85" i="14" a="1"/>
  <c r="BJ85" i="14" s="1"/>
  <c r="BI85" i="14" a="1"/>
  <c r="BI85" i="14" s="1"/>
  <c r="DH83" i="5"/>
  <c r="Y82" i="1"/>
  <c r="DJ83" i="5"/>
  <c r="K86" i="11"/>
  <c r="A86" i="14"/>
  <c r="CA86" i="14" s="1"/>
  <c r="A86" i="5"/>
  <c r="A86" i="9"/>
  <c r="A86" i="8"/>
  <c r="A86" i="7"/>
  <c r="R86" i="7" s="1"/>
  <c r="A86" i="2"/>
  <c r="W82" i="1"/>
  <c r="B83" i="2"/>
  <c r="B83" i="1"/>
  <c r="BG83" i="1" s="1"/>
  <c r="AH83" i="5"/>
  <c r="BU83" i="5"/>
  <c r="BY85" i="11"/>
  <c r="K84" i="10"/>
  <c r="AA84" i="7"/>
  <c r="AF84" i="8" s="1"/>
  <c r="AV84" i="8" s="1"/>
  <c r="L84" i="11"/>
  <c r="J84" i="5"/>
  <c r="DC84" i="5" s="1"/>
  <c r="E83" i="10"/>
  <c r="G83" i="7"/>
  <c r="K84" i="5"/>
  <c r="F83" i="10"/>
  <c r="H83" i="7"/>
  <c r="DD83" i="5"/>
  <c r="H84" i="5"/>
  <c r="C83" i="10"/>
  <c r="E83" i="7"/>
  <c r="B83" i="5"/>
  <c r="B83" i="10"/>
  <c r="D83" i="7"/>
  <c r="G84" i="5"/>
  <c r="M84" i="5"/>
  <c r="H83" i="10"/>
  <c r="J83" i="7"/>
  <c r="L84" i="5"/>
  <c r="G83" i="10"/>
  <c r="I83" i="7"/>
  <c r="I84" i="5"/>
  <c r="D83" i="10"/>
  <c r="F83" i="7"/>
  <c r="CQ79" i="8"/>
  <c r="CU79" i="8" s="1"/>
  <c r="CE79" i="8"/>
  <c r="CX79" i="8" s="1"/>
  <c r="CY79" i="8" s="1"/>
  <c r="D81" i="9"/>
  <c r="DH81" i="8"/>
  <c r="DI81" i="8" s="1"/>
  <c r="CK81" i="8"/>
  <c r="BW81" i="8"/>
  <c r="AC81" i="1" s="1"/>
  <c r="N80" i="7"/>
  <c r="BH81" i="8"/>
  <c r="BU81" i="8" s="1"/>
  <c r="BI81" i="8"/>
  <c r="AH92" i="9"/>
  <c r="C82" i="5"/>
  <c r="F82" i="5" s="1"/>
  <c r="B79" i="14"/>
  <c r="CB80" i="8"/>
  <c r="CT80" i="8" s="1"/>
  <c r="CC80" i="8"/>
  <c r="CV80" i="8" s="1"/>
  <c r="CW80" i="8" s="1"/>
  <c r="CH80" i="8"/>
  <c r="CZ80" i="8" s="1"/>
  <c r="CA80" i="8"/>
  <c r="BY80" i="8"/>
  <c r="BZ80" i="8"/>
  <c r="AQ79" i="5"/>
  <c r="CI80" i="8"/>
  <c r="DA80" i="8" s="1"/>
  <c r="Q80" i="7"/>
  <c r="AE80" i="7"/>
  <c r="AF80" i="7" s="1"/>
  <c r="AD79" i="11"/>
  <c r="AI79" i="1" s="1"/>
  <c r="AC79" i="11"/>
  <c r="U79" i="8" s="1"/>
  <c r="Z79" i="11"/>
  <c r="AB79" i="11"/>
  <c r="Q79" i="8" s="1"/>
  <c r="Y79" i="11"/>
  <c r="AH79" i="1" s="1"/>
  <c r="N80" i="11"/>
  <c r="AA79" i="11"/>
  <c r="AK79" i="1" s="1"/>
  <c r="DB79" i="8"/>
  <c r="CZ83" i="5"/>
  <c r="A81" i="10"/>
  <c r="AA81" i="10" s="1"/>
  <c r="BT81" i="5"/>
  <c r="A81" i="11"/>
  <c r="AJ81" i="5"/>
  <c r="AP81" i="5" s="1"/>
  <c r="X81" i="8"/>
  <c r="DD81" i="8" s="1"/>
  <c r="B81" i="7"/>
  <c r="E81" i="1"/>
  <c r="B81" i="9"/>
  <c r="Y81" i="9" s="1"/>
  <c r="AI81" i="5"/>
  <c r="AC81" i="8"/>
  <c r="BQ81" i="8" s="1"/>
  <c r="CR79" i="8"/>
  <c r="DA82" i="5"/>
  <c r="DG82" i="5" s="1" a="1"/>
  <c r="DG82" i="5" s="1"/>
  <c r="AB83" i="1"/>
  <c r="DI83" i="5"/>
  <c r="AG92" i="9"/>
  <c r="AK92" i="9"/>
  <c r="N68" i="1"/>
  <c r="S85" i="2"/>
  <c r="N86" i="2"/>
  <c r="R86" i="2"/>
  <c r="Q85" i="2"/>
  <c r="J87" i="10"/>
  <c r="N87" i="5" s="1"/>
  <c r="P87" i="2"/>
  <c r="AQ108" i="9" l="1"/>
  <c r="CM108" i="8" s="1"/>
  <c r="AO81" i="5"/>
  <c r="AM81" i="5"/>
  <c r="AN81" i="5"/>
  <c r="AR81" i="5" s="1"/>
  <c r="AV82" i="5"/>
  <c r="AW82" i="5"/>
  <c r="AG80" i="7"/>
  <c r="AI80" i="7" s="1"/>
  <c r="CL82" i="8"/>
  <c r="AI104" i="9"/>
  <c r="AO104" i="8" s="1"/>
  <c r="BA86" i="5" a="1"/>
  <c r="BA86" i="5" s="1"/>
  <c r="G87" i="8"/>
  <c r="CF86" i="8"/>
  <c r="O86" i="2"/>
  <c r="AZ86" i="5" a="1"/>
  <c r="AZ86" i="5" s="1"/>
  <c r="BG86" i="5" a="1"/>
  <c r="BG86" i="5" s="1"/>
  <c r="BQ86" i="5" a="1"/>
  <c r="BQ86" i="5" s="1"/>
  <c r="BN86" i="5" a="1"/>
  <c r="BN86" i="5" s="1"/>
  <c r="BJ86" i="5" a="1"/>
  <c r="BJ86" i="5" s="1"/>
  <c r="AM93" i="9"/>
  <c r="BR81" i="8"/>
  <c r="BS81" i="8"/>
  <c r="AD84" i="1"/>
  <c r="BH86" i="5" a="1"/>
  <c r="BH86" i="5" s="1"/>
  <c r="BM86" i="5" a="1"/>
  <c r="BM86" i="5" s="1"/>
  <c r="CW86" i="5"/>
  <c r="CT86" i="5"/>
  <c r="CR86" i="5"/>
  <c r="CQ86" i="5"/>
  <c r="CV86" i="5"/>
  <c r="CS86" i="5"/>
  <c r="CU86" i="5"/>
  <c r="AY86" i="5" a="1"/>
  <c r="AY86" i="5" s="1"/>
  <c r="BL86" i="5" a="1"/>
  <c r="BL86" i="5" s="1"/>
  <c r="BB86" i="5" a="1"/>
  <c r="BB86" i="5" s="1"/>
  <c r="BE86" i="5" a="1"/>
  <c r="BE86" i="5" s="1"/>
  <c r="BO86" i="5" a="1"/>
  <c r="BO86" i="5" s="1"/>
  <c r="BD86" i="5" a="1"/>
  <c r="BD86" i="5" s="1"/>
  <c r="BK86" i="5" a="1"/>
  <c r="BK86" i="5" s="1"/>
  <c r="BI86" i="5" a="1"/>
  <c r="BI86" i="5" s="1"/>
  <c r="BF86" i="5" a="1"/>
  <c r="BF86" i="5" s="1"/>
  <c r="AE85" i="1" s="1"/>
  <c r="BC86" i="5" a="1"/>
  <c r="BC86" i="5" s="1"/>
  <c r="V84" i="2"/>
  <c r="F89" i="8"/>
  <c r="BP85" i="5" a="1"/>
  <c r="BP85" i="5" s="1"/>
  <c r="J85" i="2" s="1"/>
  <c r="O90" i="1"/>
  <c r="CE80" i="8"/>
  <c r="CX80" i="8" s="1"/>
  <c r="CY80" i="8" s="1"/>
  <c r="BX81" i="8"/>
  <c r="CD81" i="8" s="1"/>
  <c r="BT81" i="8"/>
  <c r="BO81" i="8"/>
  <c r="BP81" i="8"/>
  <c r="BM81" i="8"/>
  <c r="BN81" i="8"/>
  <c r="BK81" i="8"/>
  <c r="BL81" i="8"/>
  <c r="BJ81" i="8"/>
  <c r="AC81" i="10"/>
  <c r="X81" i="10" s="1"/>
  <c r="AS85" i="5"/>
  <c r="AH85" i="11"/>
  <c r="DE84" i="5"/>
  <c r="AK85" i="11"/>
  <c r="DB84" i="5"/>
  <c r="AE86" i="8"/>
  <c r="AU86" i="8"/>
  <c r="DH84" i="5"/>
  <c r="AJ85" i="1"/>
  <c r="AF83" i="1"/>
  <c r="Y83" i="1"/>
  <c r="DJ84" i="5"/>
  <c r="W83" i="1"/>
  <c r="K87" i="11"/>
  <c r="A87" i="14"/>
  <c r="CA87" i="14" s="1"/>
  <c r="A87" i="5"/>
  <c r="A87" i="7"/>
  <c r="R87" i="7" s="1"/>
  <c r="A87" i="8"/>
  <c r="A87" i="9"/>
  <c r="A87" i="2"/>
  <c r="DF84" i="5"/>
  <c r="AE86" i="14" a="1"/>
  <c r="AE86" i="14" s="1"/>
  <c r="BR86" i="14" a="1"/>
  <c r="BR86" i="14" s="1"/>
  <c r="AS86" i="14" a="1"/>
  <c r="AS86" i="14" s="1"/>
  <c r="AR86" i="14" a="1"/>
  <c r="AR86" i="14" s="1"/>
  <c r="BV86" i="14" a="1"/>
  <c r="BV86" i="14" s="1"/>
  <c r="AH86" i="14" a="1"/>
  <c r="AH86" i="14" s="1"/>
  <c r="BU86" i="14" a="1"/>
  <c r="BU86" i="14" s="1"/>
  <c r="AW86" i="14" a="1"/>
  <c r="AW86" i="14" s="1"/>
  <c r="BT86" i="14" a="1"/>
  <c r="BT86" i="14" s="1"/>
  <c r="W86" i="14" a="1"/>
  <c r="W86" i="14" s="1"/>
  <c r="N86" i="14" a="1"/>
  <c r="N86" i="14" s="1"/>
  <c r="AC86" i="14" a="1"/>
  <c r="AC86" i="14" s="1"/>
  <c r="AB86" i="14" a="1"/>
  <c r="AB86" i="14" s="1"/>
  <c r="AA86" i="14" a="1"/>
  <c r="AA86" i="14" s="1"/>
  <c r="Z86" i="14" a="1"/>
  <c r="Z86" i="14" s="1"/>
  <c r="R86" i="14" a="1"/>
  <c r="R86" i="14" s="1"/>
  <c r="AL86" i="1" s="1"/>
  <c r="Y86" i="14" a="1"/>
  <c r="Y86" i="14" s="1"/>
  <c r="AV86" i="14" a="1"/>
  <c r="AV86" i="14" s="1"/>
  <c r="AT86" i="14" a="1"/>
  <c r="AT86" i="14" s="1"/>
  <c r="BB86" i="14" a="1"/>
  <c r="BB86" i="14" s="1"/>
  <c r="BQ86" i="14" a="1"/>
  <c r="BQ86" i="14" s="1"/>
  <c r="AZ86" i="14" a="1"/>
  <c r="AZ86" i="14" s="1"/>
  <c r="BO86" i="14" a="1"/>
  <c r="BO86" i="14" s="1"/>
  <c r="BL86" i="14" a="1"/>
  <c r="BL86" i="14" s="1"/>
  <c r="AQ86" i="14" a="1"/>
  <c r="AQ86" i="14" s="1"/>
  <c r="Q86" i="14" a="1"/>
  <c r="Q86" i="14" s="1"/>
  <c r="AM86" i="14" a="1"/>
  <c r="AM86" i="14" s="1"/>
  <c r="BJ86" i="14" a="1"/>
  <c r="BJ86" i="14" s="1"/>
  <c r="BI86" i="14" a="1"/>
  <c r="BI86" i="14" s="1"/>
  <c r="AJ86" i="14" a="1"/>
  <c r="AJ86" i="14" s="1"/>
  <c r="BP86" i="14" a="1"/>
  <c r="BP86" i="14" s="1"/>
  <c r="S86" i="14" a="1"/>
  <c r="S86" i="14" s="1"/>
  <c r="BF86" i="14" a="1"/>
  <c r="BF86" i="14" s="1"/>
  <c r="AG86" i="14" a="1"/>
  <c r="AG86" i="14" s="1"/>
  <c r="X86" i="14" a="1"/>
  <c r="X86" i="14" s="1"/>
  <c r="BX86" i="14" a="1"/>
  <c r="BX86" i="14" s="1"/>
  <c r="AN86" i="14" a="1"/>
  <c r="AN86" i="14" s="1"/>
  <c r="AX86" i="14" a="1"/>
  <c r="AX86" i="14" s="1"/>
  <c r="AD86" i="14" a="1"/>
  <c r="AD86" i="14" s="1"/>
  <c r="BH86" i="14" a="1"/>
  <c r="BH86" i="14" s="1"/>
  <c r="AY86" i="14" a="1"/>
  <c r="AY86" i="14" s="1"/>
  <c r="BM86" i="14" a="1"/>
  <c r="BM86" i="14" s="1"/>
  <c r="BS86" i="14" a="1"/>
  <c r="BS86" i="14" s="1"/>
  <c r="AL86" i="14" a="1"/>
  <c r="AL86" i="14" s="1"/>
  <c r="P86" i="14" a="1"/>
  <c r="P86" i="14" s="1"/>
  <c r="AO86" i="14" a="1"/>
  <c r="AO86" i="14" s="1"/>
  <c r="BK86" i="14" a="1"/>
  <c r="BK86" i="14" s="1"/>
  <c r="BA86" i="14" a="1"/>
  <c r="BA86" i="14" s="1"/>
  <c r="T86" i="14" a="1"/>
  <c r="T86" i="14" s="1"/>
  <c r="AI86" i="14" a="1"/>
  <c r="AI86" i="14" s="1"/>
  <c r="AU86" i="14" a="1"/>
  <c r="AU86" i="14" s="1"/>
  <c r="BD86" i="14" a="1"/>
  <c r="BD86" i="14" s="1"/>
  <c r="BZ86" i="14" a="1"/>
  <c r="BZ86" i="14" s="1"/>
  <c r="BN86" i="14" a="1"/>
  <c r="BN86" i="14" s="1"/>
  <c r="BC86" i="14" a="1"/>
  <c r="BC86" i="14" s="1"/>
  <c r="AK86" i="14" a="1"/>
  <c r="AK86" i="14" s="1"/>
  <c r="BW86" i="14" a="1"/>
  <c r="BW86" i="14" s="1"/>
  <c r="AP86" i="14" a="1"/>
  <c r="AP86" i="14" s="1"/>
  <c r="O86" i="14" a="1"/>
  <c r="O86" i="14" s="1"/>
  <c r="BY86" i="14" a="1"/>
  <c r="BY86" i="14" s="1"/>
  <c r="BG86" i="14" a="1"/>
  <c r="BG86" i="14" s="1"/>
  <c r="BE86" i="14" a="1"/>
  <c r="BE86" i="14" s="1"/>
  <c r="V86" i="14" a="1"/>
  <c r="V86" i="14" s="1"/>
  <c r="U86" i="14" a="1"/>
  <c r="U86" i="14" s="1"/>
  <c r="AF86" i="14" a="1"/>
  <c r="AF86" i="14" s="1"/>
  <c r="M86" i="14" a="1"/>
  <c r="M86" i="14" s="1"/>
  <c r="AM85" i="1"/>
  <c r="CS79" i="8"/>
  <c r="B84" i="5"/>
  <c r="BY86" i="11"/>
  <c r="K85" i="10"/>
  <c r="AA85" i="7"/>
  <c r="AF85" i="8" s="1"/>
  <c r="AV85" i="8" s="1"/>
  <c r="L85" i="11"/>
  <c r="AH84" i="5"/>
  <c r="BU84" i="5"/>
  <c r="B84" i="1"/>
  <c r="BG84" i="1" s="1"/>
  <c r="B84" i="2"/>
  <c r="D84" i="7"/>
  <c r="G85" i="5"/>
  <c r="B84" i="10"/>
  <c r="H85" i="5"/>
  <c r="C84" i="10"/>
  <c r="E84" i="7"/>
  <c r="I85" i="5"/>
  <c r="D84" i="10"/>
  <c r="F84" i="7"/>
  <c r="L85" i="5"/>
  <c r="G84" i="10"/>
  <c r="I84" i="7"/>
  <c r="K85" i="5"/>
  <c r="F84" i="10"/>
  <c r="H84" i="7"/>
  <c r="DD84" i="5"/>
  <c r="M85" i="5"/>
  <c r="H84" i="10"/>
  <c r="J84" i="7"/>
  <c r="J85" i="5"/>
  <c r="DC85" i="5" s="1"/>
  <c r="E84" i="10"/>
  <c r="G84" i="7"/>
  <c r="CQ80" i="8"/>
  <c r="CU80" i="8" s="1"/>
  <c r="D82" i="9"/>
  <c r="DH82" i="8"/>
  <c r="DI82" i="8" s="1"/>
  <c r="CK82" i="8"/>
  <c r="BW82" i="8"/>
  <c r="AC82" i="1" s="1"/>
  <c r="N81" i="7"/>
  <c r="BH82" i="8"/>
  <c r="BU82" i="8" s="1"/>
  <c r="BI82" i="8"/>
  <c r="AH93" i="9"/>
  <c r="CR80" i="8"/>
  <c r="C83" i="5"/>
  <c r="F83" i="5" s="1"/>
  <c r="DB80" i="8"/>
  <c r="BY81" i="8"/>
  <c r="CH81" i="8"/>
  <c r="CZ81" i="8" s="1"/>
  <c r="BZ81" i="8"/>
  <c r="CC81" i="8"/>
  <c r="CV81" i="8" s="1"/>
  <c r="CW81" i="8" s="1"/>
  <c r="CA81" i="8"/>
  <c r="CB81" i="8"/>
  <c r="CT81" i="8" s="1"/>
  <c r="AQ80" i="5"/>
  <c r="Q81" i="7"/>
  <c r="AE81" i="7"/>
  <c r="AF81" i="7" s="1"/>
  <c r="B80" i="14"/>
  <c r="CZ84" i="5"/>
  <c r="AC82" i="8"/>
  <c r="BQ82" i="8" s="1"/>
  <c r="B82" i="7"/>
  <c r="A82" i="10"/>
  <c r="AA82" i="10" s="1"/>
  <c r="BT82" i="5"/>
  <c r="AJ82" i="5"/>
  <c r="AP82" i="5" s="1"/>
  <c r="E82" i="1"/>
  <c r="AI82" i="5"/>
  <c r="B82" i="9"/>
  <c r="Y82" i="9" s="1"/>
  <c r="A82" i="11"/>
  <c r="X82" i="8"/>
  <c r="DD82" i="8" s="1"/>
  <c r="AB80" i="11"/>
  <c r="Q80" i="8" s="1"/>
  <c r="Y80" i="11"/>
  <c r="AH80" i="1" s="1"/>
  <c r="AD80" i="11"/>
  <c r="AI80" i="1" s="1"/>
  <c r="N81" i="11"/>
  <c r="Z80" i="11"/>
  <c r="AA80" i="11"/>
  <c r="AK80" i="1" s="1"/>
  <c r="AC80" i="11"/>
  <c r="U80" i="8" s="1"/>
  <c r="CI81" i="8"/>
  <c r="DA81" i="8" s="1"/>
  <c r="AB84" i="1"/>
  <c r="DI84" i="5"/>
  <c r="DA83" i="5"/>
  <c r="DG83" i="5" s="1" a="1"/>
  <c r="DG83" i="5" s="1"/>
  <c r="AG93" i="9"/>
  <c r="AK93" i="9"/>
  <c r="N69" i="1"/>
  <c r="S86" i="2"/>
  <c r="N87" i="2"/>
  <c r="R87" i="2"/>
  <c r="Q86" i="2"/>
  <c r="J88" i="10"/>
  <c r="N88" i="5" s="1"/>
  <c r="P88" i="2"/>
  <c r="AQ109" i="9" l="1"/>
  <c r="CM109" i="8" s="1"/>
  <c r="AO82" i="5"/>
  <c r="AM82" i="5"/>
  <c r="AN82" i="5"/>
  <c r="AR82" i="5" s="1"/>
  <c r="AV83" i="5"/>
  <c r="AW83" i="5"/>
  <c r="AG81" i="7"/>
  <c r="AI81" i="7" s="1"/>
  <c r="CL83" i="8"/>
  <c r="AI105" i="9"/>
  <c r="AO105" i="8" s="1"/>
  <c r="G88" i="8"/>
  <c r="CF87" i="8"/>
  <c r="O87" i="2"/>
  <c r="AD85" i="1"/>
  <c r="BN87" i="5" a="1"/>
  <c r="BN87" i="5" s="1"/>
  <c r="BK87" i="5" a="1"/>
  <c r="BK87" i="5" s="1"/>
  <c r="BA87" i="5" a="1"/>
  <c r="BA87" i="5" s="1"/>
  <c r="BB87" i="5" a="1"/>
  <c r="BB87" i="5" s="1"/>
  <c r="AM94" i="9"/>
  <c r="BR82" i="8"/>
  <c r="BS82" i="8"/>
  <c r="BC87" i="5" a="1"/>
  <c r="BC87" i="5" s="1"/>
  <c r="BF87" i="5" a="1"/>
  <c r="BF87" i="5" s="1"/>
  <c r="AE86" i="1" s="1"/>
  <c r="BI87" i="5" a="1"/>
  <c r="BI87" i="5" s="1"/>
  <c r="BD87" i="5" a="1"/>
  <c r="BD87" i="5" s="1"/>
  <c r="BM87" i="5" a="1"/>
  <c r="BM87" i="5" s="1"/>
  <c r="BQ87" i="5" a="1"/>
  <c r="BQ87" i="5" s="1"/>
  <c r="CQ87" i="5"/>
  <c r="CW87" i="5"/>
  <c r="CU87" i="5"/>
  <c r="CR87" i="5"/>
  <c r="CS87" i="5"/>
  <c r="CT87" i="5"/>
  <c r="CV87" i="5"/>
  <c r="AY87" i="5" a="1"/>
  <c r="AY87" i="5" s="1"/>
  <c r="BL87" i="5" a="1"/>
  <c r="BL87" i="5" s="1"/>
  <c r="BO87" i="5" a="1"/>
  <c r="BO87" i="5" s="1"/>
  <c r="BJ87" i="5" a="1"/>
  <c r="BJ87" i="5" s="1"/>
  <c r="BE87" i="5" a="1"/>
  <c r="BE87" i="5" s="1"/>
  <c r="BH87" i="5" a="1"/>
  <c r="BH87" i="5" s="1"/>
  <c r="BG87" i="5" a="1"/>
  <c r="BG87" i="5" s="1"/>
  <c r="AZ87" i="5" a="1"/>
  <c r="AZ87" i="5" s="1"/>
  <c r="V85" i="2"/>
  <c r="F90" i="8"/>
  <c r="BP86" i="5" a="1"/>
  <c r="BP86" i="5" s="1"/>
  <c r="J86" i="2" s="1"/>
  <c r="O91" i="1"/>
  <c r="CE81" i="8"/>
  <c r="CX81" i="8" s="1"/>
  <c r="CY81" i="8" s="1"/>
  <c r="BX82" i="8"/>
  <c r="CE82" i="8" s="1"/>
  <c r="BT82" i="8"/>
  <c r="BO82" i="8"/>
  <c r="BP82" i="8"/>
  <c r="BM82" i="8"/>
  <c r="BN82" i="8"/>
  <c r="BK82" i="8"/>
  <c r="BL82" i="8"/>
  <c r="BJ82" i="8"/>
  <c r="AC82" i="10"/>
  <c r="X82" i="10" s="1"/>
  <c r="AS86" i="5"/>
  <c r="AK86" i="11"/>
  <c r="DB85" i="5"/>
  <c r="AM86" i="1"/>
  <c r="DF85" i="5"/>
  <c r="DE85" i="5"/>
  <c r="DH85" i="5"/>
  <c r="AJ86" i="1"/>
  <c r="Y84" i="1"/>
  <c r="DJ85" i="5"/>
  <c r="O87" i="14" a="1"/>
  <c r="O87" i="14" s="1"/>
  <c r="V87" i="14" a="1"/>
  <c r="V87" i="14" s="1"/>
  <c r="BA87" i="14" a="1"/>
  <c r="BA87" i="14" s="1"/>
  <c r="BZ87" i="14" a="1"/>
  <c r="BZ87" i="14" s="1"/>
  <c r="BO87" i="14" a="1"/>
  <c r="BO87" i="14" s="1"/>
  <c r="AF87" i="14" a="1"/>
  <c r="AF87" i="14" s="1"/>
  <c r="BF87" i="14" a="1"/>
  <c r="BF87" i="14" s="1"/>
  <c r="Q87" i="14" a="1"/>
  <c r="Q87" i="14" s="1"/>
  <c r="BS87" i="14" a="1"/>
  <c r="BS87" i="14" s="1"/>
  <c r="BB87" i="14" a="1"/>
  <c r="BB87" i="14" s="1"/>
  <c r="BD87" i="14" a="1"/>
  <c r="BD87" i="14" s="1"/>
  <c r="AZ87" i="14" a="1"/>
  <c r="AZ87" i="14" s="1"/>
  <c r="T87" i="14" a="1"/>
  <c r="T87" i="14" s="1"/>
  <c r="BV87" i="14" a="1"/>
  <c r="BV87" i="14" s="1"/>
  <c r="R87" i="14" a="1"/>
  <c r="R87" i="14" s="1"/>
  <c r="AL87" i="1" s="1"/>
  <c r="AP87" i="14" a="1"/>
  <c r="AP87" i="14" s="1"/>
  <c r="BK87" i="14" a="1"/>
  <c r="BK87" i="14" s="1"/>
  <c r="W87" i="14" a="1"/>
  <c r="W87" i="14" s="1"/>
  <c r="BQ87" i="14" a="1"/>
  <c r="BQ87" i="14" s="1"/>
  <c r="AR87" i="14" a="1"/>
  <c r="AR87" i="14" s="1"/>
  <c r="AN87" i="14" a="1"/>
  <c r="AN87" i="14" s="1"/>
  <c r="AY87" i="14" a="1"/>
  <c r="AY87" i="14" s="1"/>
  <c r="BE87" i="14" a="1"/>
  <c r="BE87" i="14" s="1"/>
  <c r="Y87" i="14" a="1"/>
  <c r="Y87" i="14" s="1"/>
  <c r="BJ87" i="14" a="1"/>
  <c r="BJ87" i="14" s="1"/>
  <c r="BI87" i="14" a="1"/>
  <c r="BI87" i="14" s="1"/>
  <c r="BW87" i="14" a="1"/>
  <c r="BW87" i="14" s="1"/>
  <c r="BN87" i="14" a="1"/>
  <c r="BN87" i="14" s="1"/>
  <c r="BM87" i="14" a="1"/>
  <c r="BM87" i="14" s="1"/>
  <c r="AL87" i="14" a="1"/>
  <c r="AL87" i="14" s="1"/>
  <c r="U87" i="14" a="1"/>
  <c r="U87" i="14" s="1"/>
  <c r="P87" i="14" a="1"/>
  <c r="P87" i="14" s="1"/>
  <c r="AX87" i="14" a="1"/>
  <c r="AX87" i="14" s="1"/>
  <c r="M87" i="14" a="1"/>
  <c r="M87" i="14" s="1"/>
  <c r="BT87" i="14" a="1"/>
  <c r="BT87" i="14" s="1"/>
  <c r="N87" i="14" a="1"/>
  <c r="N87" i="14" s="1"/>
  <c r="BX87" i="14" a="1"/>
  <c r="BX87" i="14" s="1"/>
  <c r="AK87" i="14" a="1"/>
  <c r="AK87" i="14" s="1"/>
  <c r="AH87" i="14" a="1"/>
  <c r="AH87" i="14" s="1"/>
  <c r="BU87" i="14" a="1"/>
  <c r="BU87" i="14" s="1"/>
  <c r="AV87" i="14" a="1"/>
  <c r="AV87" i="14" s="1"/>
  <c r="X87" i="14" a="1"/>
  <c r="X87" i="14" s="1"/>
  <c r="AC87" i="14" a="1"/>
  <c r="AC87" i="14" s="1"/>
  <c r="AB87" i="14" a="1"/>
  <c r="AB87" i="14" s="1"/>
  <c r="BL87" i="14" a="1"/>
  <c r="BL87" i="14" s="1"/>
  <c r="AG87" i="14" a="1"/>
  <c r="AG87" i="14" s="1"/>
  <c r="BC87" i="14" a="1"/>
  <c r="BC87" i="14" s="1"/>
  <c r="AE87" i="14" a="1"/>
  <c r="AE87" i="14" s="1"/>
  <c r="BH87" i="14" a="1"/>
  <c r="BH87" i="14" s="1"/>
  <c r="AQ87" i="14" a="1"/>
  <c r="AQ87" i="14" s="1"/>
  <c r="S87" i="14" a="1"/>
  <c r="S87" i="14" s="1"/>
  <c r="AU87" i="14" a="1"/>
  <c r="AU87" i="14" s="1"/>
  <c r="AT87" i="14" a="1"/>
  <c r="AT87" i="14" s="1"/>
  <c r="AJ87" i="14" a="1"/>
  <c r="AJ87" i="14" s="1"/>
  <c r="AA87" i="14" a="1"/>
  <c r="AA87" i="14" s="1"/>
  <c r="Z87" i="14" a="1"/>
  <c r="Z87" i="14" s="1"/>
  <c r="AM87" i="14" a="1"/>
  <c r="AM87" i="14" s="1"/>
  <c r="AS87" i="14" a="1"/>
  <c r="AS87" i="14" s="1"/>
  <c r="BY87" i="14" a="1"/>
  <c r="BY87" i="14" s="1"/>
  <c r="BG87" i="14" a="1"/>
  <c r="BG87" i="14" s="1"/>
  <c r="AW87" i="14" a="1"/>
  <c r="AW87" i="14" s="1"/>
  <c r="BR87" i="14" a="1"/>
  <c r="BR87" i="14" s="1"/>
  <c r="AD87" i="14" a="1"/>
  <c r="AD87" i="14" s="1"/>
  <c r="BP87" i="14" a="1"/>
  <c r="BP87" i="14" s="1"/>
  <c r="AI87" i="14" a="1"/>
  <c r="AI87" i="14" s="1"/>
  <c r="AO87" i="14" a="1"/>
  <c r="AO87" i="14" s="1"/>
  <c r="K88" i="11"/>
  <c r="A88" i="14"/>
  <c r="CA88" i="14" s="1"/>
  <c r="A88" i="8"/>
  <c r="A88" i="2"/>
  <c r="A88" i="7"/>
  <c r="R88" i="7" s="1"/>
  <c r="A88" i="5"/>
  <c r="A88" i="9"/>
  <c r="AH86" i="11"/>
  <c r="AF84" i="1"/>
  <c r="W84" i="1"/>
  <c r="AE87" i="8"/>
  <c r="AU87" i="8"/>
  <c r="CS80" i="8"/>
  <c r="B85" i="5"/>
  <c r="B85" i="2"/>
  <c r="AH85" i="5"/>
  <c r="B85" i="1"/>
  <c r="BG85" i="1" s="1"/>
  <c r="BU85" i="5"/>
  <c r="BY87" i="11"/>
  <c r="AA86" i="7"/>
  <c r="AF86" i="8" s="1"/>
  <c r="AV86" i="8" s="1"/>
  <c r="K86" i="10"/>
  <c r="L86" i="11"/>
  <c r="I86" i="5"/>
  <c r="D85" i="10"/>
  <c r="F85" i="7"/>
  <c r="J86" i="5"/>
  <c r="DC86" i="5" s="1"/>
  <c r="E85" i="10"/>
  <c r="G85" i="7"/>
  <c r="K86" i="5"/>
  <c r="F85" i="10"/>
  <c r="H85" i="7"/>
  <c r="DD85" i="5"/>
  <c r="H86" i="5"/>
  <c r="C85" i="10"/>
  <c r="E85" i="7"/>
  <c r="M86" i="5"/>
  <c r="H85" i="10"/>
  <c r="J85" i="7"/>
  <c r="L86" i="5"/>
  <c r="G85" i="10"/>
  <c r="I85" i="7"/>
  <c r="D85" i="7"/>
  <c r="B85" i="10"/>
  <c r="G86" i="5"/>
  <c r="CQ81" i="8"/>
  <c r="CU81" i="8" s="1"/>
  <c r="D83" i="9"/>
  <c r="DH83" i="8"/>
  <c r="DI83" i="8" s="1"/>
  <c r="CK83" i="8"/>
  <c r="BW83" i="8"/>
  <c r="AC83" i="1" s="1"/>
  <c r="BI83" i="8"/>
  <c r="N82" i="7"/>
  <c r="A83" i="11"/>
  <c r="AC82" i="11" s="1"/>
  <c r="U82" i="8" s="1"/>
  <c r="BH83" i="8"/>
  <c r="BU83" i="8" s="1"/>
  <c r="AH94" i="9"/>
  <c r="AJ83" i="5"/>
  <c r="AP83" i="5" s="1"/>
  <c r="AC83" i="8"/>
  <c r="BQ83" i="8" s="1"/>
  <c r="E83" i="1"/>
  <c r="B83" i="7"/>
  <c r="AI83" i="5"/>
  <c r="A83" i="10"/>
  <c r="AA83" i="10" s="1"/>
  <c r="B83" i="9"/>
  <c r="Y83" i="9" s="1"/>
  <c r="BT83" i="5"/>
  <c r="X83" i="8"/>
  <c r="DD83" i="8" s="1"/>
  <c r="AQ81" i="5"/>
  <c r="CI82" i="8"/>
  <c r="DA82" i="8" s="1"/>
  <c r="C84" i="5"/>
  <c r="F84" i="5" s="1"/>
  <c r="CR81" i="8"/>
  <c r="CZ85" i="5"/>
  <c r="DB81" i="8"/>
  <c r="AA81" i="11"/>
  <c r="AK81" i="1" s="1"/>
  <c r="AB81" i="11"/>
  <c r="Q81" i="8" s="1"/>
  <c r="Z81" i="11"/>
  <c r="Y81" i="11"/>
  <c r="AH81" i="1" s="1"/>
  <c r="AC81" i="11"/>
  <c r="U81" i="8" s="1"/>
  <c r="AD81" i="11"/>
  <c r="AI81" i="1" s="1"/>
  <c r="N82" i="11"/>
  <c r="AE82" i="7"/>
  <c r="AF82" i="7" s="1"/>
  <c r="Q82" i="7"/>
  <c r="B81" i="14"/>
  <c r="CA82" i="8"/>
  <c r="CB82" i="8"/>
  <c r="CT82" i="8" s="1"/>
  <c r="BY82" i="8"/>
  <c r="BZ82" i="8"/>
  <c r="CC82" i="8"/>
  <c r="CV82" i="8" s="1"/>
  <c r="CW82" i="8" s="1"/>
  <c r="CH82" i="8"/>
  <c r="CZ82" i="8" s="1"/>
  <c r="C85" i="5"/>
  <c r="DA84" i="5"/>
  <c r="DG84" i="5" s="1" a="1"/>
  <c r="DG84" i="5" s="1"/>
  <c r="AB85" i="1"/>
  <c r="DI85" i="5"/>
  <c r="AG94" i="9"/>
  <c r="AK94" i="9"/>
  <c r="N70" i="1"/>
  <c r="S87" i="2"/>
  <c r="N88" i="2"/>
  <c r="R88" i="2"/>
  <c r="Q87" i="2"/>
  <c r="P89" i="2"/>
  <c r="J89" i="10"/>
  <c r="N89" i="5" s="1"/>
  <c r="AQ110" i="9" l="1"/>
  <c r="CM110" i="8" s="1"/>
  <c r="AO83" i="5"/>
  <c r="AM83" i="5"/>
  <c r="AN83" i="5"/>
  <c r="AR83" i="5" s="1"/>
  <c r="AV84" i="5"/>
  <c r="AW84" i="5"/>
  <c r="AG82" i="7"/>
  <c r="AI82" i="7" s="1"/>
  <c r="CL84" i="8"/>
  <c r="AI106" i="9"/>
  <c r="AO106" i="8" s="1"/>
  <c r="G89" i="8"/>
  <c r="CF88" i="8"/>
  <c r="O88" i="2"/>
  <c r="AD86" i="1"/>
  <c r="BK88" i="5" a="1"/>
  <c r="BK88" i="5" s="1"/>
  <c r="AM95" i="9"/>
  <c r="BR83" i="8"/>
  <c r="BS83" i="8"/>
  <c r="AZ88" i="5" a="1"/>
  <c r="AZ88" i="5" s="1"/>
  <c r="BQ88" i="5" a="1"/>
  <c r="BQ88" i="5" s="1"/>
  <c r="BG88" i="5" a="1"/>
  <c r="BG88" i="5" s="1"/>
  <c r="BM88" i="5" a="1"/>
  <c r="BM88" i="5" s="1"/>
  <c r="BA88" i="5" a="1"/>
  <c r="BA88" i="5" s="1"/>
  <c r="BD88" i="5" a="1"/>
  <c r="BD88" i="5" s="1"/>
  <c r="BH88" i="5" a="1"/>
  <c r="BH88" i="5" s="1"/>
  <c r="BE88" i="5" a="1"/>
  <c r="BE88" i="5" s="1"/>
  <c r="BI88" i="5" a="1"/>
  <c r="BI88" i="5" s="1"/>
  <c r="BJ88" i="5" a="1"/>
  <c r="BJ88" i="5" s="1"/>
  <c r="BF88" i="5" a="1"/>
  <c r="BF88" i="5" s="1"/>
  <c r="AE87" i="1" s="1"/>
  <c r="CQ88" i="5"/>
  <c r="CW88" i="5"/>
  <c r="CS88" i="5"/>
  <c r="CV88" i="5"/>
  <c r="CR88" i="5"/>
  <c r="CU88" i="5"/>
  <c r="CT88" i="5"/>
  <c r="AY88" i="5" a="1"/>
  <c r="AY88" i="5" s="1"/>
  <c r="BL88" i="5" a="1"/>
  <c r="BL88" i="5" s="1"/>
  <c r="BO88" i="5" a="1"/>
  <c r="BO88" i="5" s="1"/>
  <c r="BC88" i="5" a="1"/>
  <c r="BC88" i="5" s="1"/>
  <c r="BB88" i="5" a="1"/>
  <c r="BB88" i="5" s="1"/>
  <c r="BN88" i="5" a="1"/>
  <c r="BN88" i="5" s="1"/>
  <c r="V86" i="2"/>
  <c r="F91" i="8"/>
  <c r="BP87" i="5" a="1"/>
  <c r="BP87" i="5" s="1"/>
  <c r="J87" i="2" s="1"/>
  <c r="O92" i="1"/>
  <c r="CD82" i="8"/>
  <c r="BX83" i="8"/>
  <c r="CE83" i="8" s="1"/>
  <c r="BT83" i="8"/>
  <c r="BO83" i="8"/>
  <c r="BP83" i="8"/>
  <c r="BM83" i="8"/>
  <c r="BN83" i="8"/>
  <c r="BK83" i="8"/>
  <c r="BL83" i="8"/>
  <c r="BJ83" i="8"/>
  <c r="AC83" i="10"/>
  <c r="X83" i="10" s="1"/>
  <c r="AS87" i="5"/>
  <c r="AH87" i="11"/>
  <c r="DF86" i="5"/>
  <c r="AK87" i="11"/>
  <c r="DE86" i="5"/>
  <c r="AM87" i="1"/>
  <c r="DB86" i="5"/>
  <c r="K89" i="11"/>
  <c r="A89" i="14"/>
  <c r="CA89" i="14" s="1"/>
  <c r="A89" i="8"/>
  <c r="A89" i="2"/>
  <c r="A89" i="7"/>
  <c r="R89" i="7" s="1"/>
  <c r="A89" i="5"/>
  <c r="A89" i="9"/>
  <c r="Y85" i="1"/>
  <c r="DJ86" i="5"/>
  <c r="W85" i="1"/>
  <c r="AJ87" i="1"/>
  <c r="AU88" i="8"/>
  <c r="AE88" i="8"/>
  <c r="DH86" i="5"/>
  <c r="AF85" i="1"/>
  <c r="BT88" i="14" a="1"/>
  <c r="BT88" i="14" s="1"/>
  <c r="O88" i="14" a="1"/>
  <c r="O88" i="14" s="1"/>
  <c r="V88" i="14" a="1"/>
  <c r="V88" i="14" s="1"/>
  <c r="BY88" i="14" a="1"/>
  <c r="BY88" i="14" s="1"/>
  <c r="U88" i="14" a="1"/>
  <c r="U88" i="14" s="1"/>
  <c r="AI88" i="14" a="1"/>
  <c r="AI88" i="14" s="1"/>
  <c r="AO88" i="14" a="1"/>
  <c r="AO88" i="14" s="1"/>
  <c r="BM88" i="14" a="1"/>
  <c r="BM88" i="14" s="1"/>
  <c r="Z88" i="14" a="1"/>
  <c r="Z88" i="14" s="1"/>
  <c r="BS88" i="14" a="1"/>
  <c r="BS88" i="14" s="1"/>
  <c r="AD88" i="14" a="1"/>
  <c r="AD88" i="14" s="1"/>
  <c r="BD88" i="14" a="1"/>
  <c r="BD88" i="14" s="1"/>
  <c r="T88" i="14" a="1"/>
  <c r="T88" i="14" s="1"/>
  <c r="BX88" i="14" a="1"/>
  <c r="BX88" i="14" s="1"/>
  <c r="AF88" i="14" a="1"/>
  <c r="AF88" i="14" s="1"/>
  <c r="R88" i="14" a="1"/>
  <c r="R88" i="14" s="1"/>
  <c r="AL88" i="1" s="1"/>
  <c r="AW88" i="14" a="1"/>
  <c r="AW88" i="14" s="1"/>
  <c r="BR88" i="14" a="1"/>
  <c r="BR88" i="14" s="1"/>
  <c r="BQ88" i="14" a="1"/>
  <c r="BQ88" i="14" s="1"/>
  <c r="BW88" i="14" a="1"/>
  <c r="BW88" i="14" s="1"/>
  <c r="AQ88" i="14" a="1"/>
  <c r="AQ88" i="14" s="1"/>
  <c r="AA88" i="14" a="1"/>
  <c r="AA88" i="14" s="1"/>
  <c r="AG88" i="14" a="1"/>
  <c r="AG88" i="14" s="1"/>
  <c r="AE88" i="14" a="1"/>
  <c r="AE88" i="14" s="1"/>
  <c r="BI88" i="14" a="1"/>
  <c r="BI88" i="14" s="1"/>
  <c r="P88" i="14" a="1"/>
  <c r="P88" i="14" s="1"/>
  <c r="BG88" i="14" a="1"/>
  <c r="BG88" i="14" s="1"/>
  <c r="AX88" i="14" a="1"/>
  <c r="AX88" i="14" s="1"/>
  <c r="M88" i="14" a="1"/>
  <c r="M88" i="14" s="1"/>
  <c r="AV88" i="14" a="1"/>
  <c r="AV88" i="14" s="1"/>
  <c r="BB88" i="14" a="1"/>
  <c r="BB88" i="14" s="1"/>
  <c r="AK88" i="14" a="1"/>
  <c r="AK88" i="14" s="1"/>
  <c r="BZ88" i="14" a="1"/>
  <c r="BZ88" i="14" s="1"/>
  <c r="BV88" i="14" a="1"/>
  <c r="BV88" i="14" s="1"/>
  <c r="BU88" i="14" a="1"/>
  <c r="BU88" i="14" s="1"/>
  <c r="Y88" i="14" a="1"/>
  <c r="Y88" i="14" s="1"/>
  <c r="BC88" i="14" a="1"/>
  <c r="BC88" i="14" s="1"/>
  <c r="X88" i="14" a="1"/>
  <c r="X88" i="14" s="1"/>
  <c r="AC88" i="14" a="1"/>
  <c r="AC88" i="14" s="1"/>
  <c r="BP88" i="14" a="1"/>
  <c r="BP88" i="14" s="1"/>
  <c r="AY88" i="14" a="1"/>
  <c r="AY88" i="14" s="1"/>
  <c r="S88" i="14" a="1"/>
  <c r="S88" i="14" s="1"/>
  <c r="BK88" i="14" a="1"/>
  <c r="BK88" i="14" s="1"/>
  <c r="AL88" i="14" a="1"/>
  <c r="AL88" i="14" s="1"/>
  <c r="BA88" i="14" a="1"/>
  <c r="BA88" i="14" s="1"/>
  <c r="AB88" i="14" a="1"/>
  <c r="AB88" i="14" s="1"/>
  <c r="BO88" i="14" a="1"/>
  <c r="BO88" i="14" s="1"/>
  <c r="BF88" i="14" a="1"/>
  <c r="BF88" i="14" s="1"/>
  <c r="AM88" i="14" a="1"/>
  <c r="AM88" i="14" s="1"/>
  <c r="BJ88" i="14" a="1"/>
  <c r="BJ88" i="14" s="1"/>
  <c r="AS88" i="14" a="1"/>
  <c r="AS88" i="14" s="1"/>
  <c r="BH88" i="14" a="1"/>
  <c r="BH88" i="14" s="1"/>
  <c r="BN88" i="14" a="1"/>
  <c r="BN88" i="14" s="1"/>
  <c r="AH88" i="14" a="1"/>
  <c r="AH88" i="14" s="1"/>
  <c r="AU88" i="14" a="1"/>
  <c r="AU88" i="14" s="1"/>
  <c r="AT88" i="14" a="1"/>
  <c r="AT88" i="14" s="1"/>
  <c r="AJ88" i="14" a="1"/>
  <c r="AJ88" i="14" s="1"/>
  <c r="AR88" i="14" a="1"/>
  <c r="AR88" i="14" s="1"/>
  <c r="AP88" i="14" a="1"/>
  <c r="AP88" i="14" s="1"/>
  <c r="BE88" i="14" a="1"/>
  <c r="BE88" i="14" s="1"/>
  <c r="W88" i="14" a="1"/>
  <c r="W88" i="14" s="1"/>
  <c r="N88" i="14" a="1"/>
  <c r="N88" i="14" s="1"/>
  <c r="AZ88" i="14" a="1"/>
  <c r="AZ88" i="14" s="1"/>
  <c r="AN88" i="14" a="1"/>
  <c r="AN88" i="14" s="1"/>
  <c r="BL88" i="14" a="1"/>
  <c r="BL88" i="14" s="1"/>
  <c r="Q88" i="14" a="1"/>
  <c r="Q88" i="14" s="1"/>
  <c r="F85" i="5"/>
  <c r="B86" i="5"/>
  <c r="B86" i="2"/>
  <c r="B86" i="1"/>
  <c r="BG86" i="1" s="1"/>
  <c r="BU86" i="5"/>
  <c r="AH86" i="5"/>
  <c r="BY88" i="11"/>
  <c r="AA87" i="7"/>
  <c r="AF87" i="8" s="1"/>
  <c r="AV87" i="8" s="1"/>
  <c r="K87" i="10"/>
  <c r="L87" i="11"/>
  <c r="CS81" i="8"/>
  <c r="G87" i="5"/>
  <c r="D86" i="7"/>
  <c r="B86" i="10"/>
  <c r="K87" i="5"/>
  <c r="F86" i="10"/>
  <c r="H86" i="7"/>
  <c r="DD86" i="5"/>
  <c r="M87" i="5"/>
  <c r="H86" i="10"/>
  <c r="J86" i="7"/>
  <c r="J87" i="5"/>
  <c r="DC87" i="5" s="1"/>
  <c r="E86" i="10"/>
  <c r="G86" i="7"/>
  <c r="H87" i="5"/>
  <c r="C86" i="10"/>
  <c r="E86" i="7"/>
  <c r="L87" i="5"/>
  <c r="G86" i="10"/>
  <c r="I86" i="7"/>
  <c r="I87" i="5"/>
  <c r="D86" i="10"/>
  <c r="F86" i="7"/>
  <c r="CQ82" i="8"/>
  <c r="CU82" i="8" s="1"/>
  <c r="D84" i="9"/>
  <c r="DH84" i="8"/>
  <c r="DI84" i="8" s="1"/>
  <c r="CK84" i="8"/>
  <c r="BW84" i="8"/>
  <c r="AC84" i="1" s="1"/>
  <c r="Z82" i="11"/>
  <c r="Y82" i="11"/>
  <c r="AH82" i="1" s="1"/>
  <c r="N83" i="11"/>
  <c r="AD82" i="11"/>
  <c r="AI82" i="1" s="1"/>
  <c r="AB82" i="11"/>
  <c r="Q82" i="8" s="1"/>
  <c r="AA82" i="11"/>
  <c r="AK82" i="1" s="1"/>
  <c r="N83" i="7"/>
  <c r="BH84" i="8"/>
  <c r="BU84" i="8" s="1"/>
  <c r="BI84" i="8"/>
  <c r="AH95" i="9"/>
  <c r="DB82" i="8"/>
  <c r="CI83" i="8"/>
  <c r="DA83" i="8" s="1"/>
  <c r="BY83" i="8"/>
  <c r="BZ83" i="8"/>
  <c r="CC83" i="8"/>
  <c r="CV83" i="8" s="1"/>
  <c r="CW83" i="8" s="1"/>
  <c r="CA83" i="8"/>
  <c r="CH83" i="8"/>
  <c r="CZ83" i="8" s="1"/>
  <c r="CB83" i="8"/>
  <c r="CT83" i="8" s="1"/>
  <c r="CR82" i="8"/>
  <c r="Q83" i="7"/>
  <c r="AE83" i="7"/>
  <c r="AF83" i="7" s="1"/>
  <c r="AQ82" i="5"/>
  <c r="B82" i="14"/>
  <c r="B84" i="9"/>
  <c r="Y84" i="9" s="1"/>
  <c r="AI84" i="5"/>
  <c r="A84" i="11"/>
  <c r="AC84" i="8"/>
  <c r="BQ84" i="8" s="1"/>
  <c r="BT84" i="5"/>
  <c r="A84" i="10"/>
  <c r="AA84" i="10" s="1"/>
  <c r="B84" i="7"/>
  <c r="X84" i="8"/>
  <c r="DD84" i="8" s="1"/>
  <c r="E84" i="1"/>
  <c r="AJ84" i="5"/>
  <c r="AP84" i="5" s="1"/>
  <c r="CZ86" i="5"/>
  <c r="AB86" i="1"/>
  <c r="DI86" i="5"/>
  <c r="DA85" i="5"/>
  <c r="DG85" i="5" s="1" a="1"/>
  <c r="DG85" i="5" s="1"/>
  <c r="AG95" i="9"/>
  <c r="AK95" i="9"/>
  <c r="N71" i="1"/>
  <c r="S88" i="2"/>
  <c r="N89" i="2"/>
  <c r="R89" i="2"/>
  <c r="Q88" i="2"/>
  <c r="J90" i="10"/>
  <c r="N90" i="5" s="1"/>
  <c r="P90" i="2"/>
  <c r="U1269" i="14"/>
  <c r="U1270" i="14" s="1"/>
  <c r="AQ111" i="9" l="1"/>
  <c r="CM111" i="8" s="1"/>
  <c r="AO84" i="5"/>
  <c r="AM84" i="5"/>
  <c r="AN84" i="5"/>
  <c r="AR84" i="5" s="1"/>
  <c r="AV85" i="5"/>
  <c r="AW85" i="5"/>
  <c r="AG83" i="7"/>
  <c r="AI83" i="7" s="1"/>
  <c r="CL85" i="8"/>
  <c r="AI107" i="9"/>
  <c r="AO107" i="8" s="1"/>
  <c r="G90" i="8"/>
  <c r="CF89" i="8"/>
  <c r="O89" i="2"/>
  <c r="BF89" i="5" a="1"/>
  <c r="BF89" i="5" s="1"/>
  <c r="AE88" i="1" s="1"/>
  <c r="AM96" i="9"/>
  <c r="BR84" i="8"/>
  <c r="BS84" i="8"/>
  <c r="AD87" i="1"/>
  <c r="CQ89" i="5"/>
  <c r="CW89" i="5"/>
  <c r="CR89" i="5"/>
  <c r="CV89" i="5"/>
  <c r="CS89" i="5"/>
  <c r="CT89" i="5"/>
  <c r="CU89" i="5"/>
  <c r="AY89" i="5" a="1"/>
  <c r="AY89" i="5" s="1"/>
  <c r="BL89" i="5" a="1"/>
  <c r="BL89" i="5" s="1"/>
  <c r="BJ89" i="5" a="1"/>
  <c r="BJ89" i="5" s="1"/>
  <c r="BI89" i="5" a="1"/>
  <c r="BI89" i="5" s="1"/>
  <c r="BN89" i="5" a="1"/>
  <c r="BN89" i="5" s="1"/>
  <c r="BE89" i="5" a="1"/>
  <c r="BE89" i="5" s="1"/>
  <c r="BB89" i="5" a="1"/>
  <c r="BB89" i="5" s="1"/>
  <c r="BH89" i="5" a="1"/>
  <c r="BH89" i="5" s="1"/>
  <c r="BC89" i="5" a="1"/>
  <c r="BC89" i="5" s="1"/>
  <c r="BD89" i="5" a="1"/>
  <c r="BD89" i="5" s="1"/>
  <c r="BO89" i="5" a="1"/>
  <c r="BO89" i="5" s="1"/>
  <c r="BA89" i="5" a="1"/>
  <c r="BA89" i="5" s="1"/>
  <c r="BM89" i="5" a="1"/>
  <c r="BM89" i="5" s="1"/>
  <c r="BG89" i="5" a="1"/>
  <c r="BG89" i="5" s="1"/>
  <c r="BQ89" i="5" a="1"/>
  <c r="BQ89" i="5" s="1"/>
  <c r="AZ89" i="5" a="1"/>
  <c r="AZ89" i="5" s="1"/>
  <c r="BK89" i="5" a="1"/>
  <c r="BK89" i="5" s="1"/>
  <c r="V87" i="2"/>
  <c r="CX82" i="8"/>
  <c r="CY82" i="8" s="1"/>
  <c r="F92" i="8"/>
  <c r="BP88" i="5" a="1"/>
  <c r="BP88" i="5" s="1"/>
  <c r="J88" i="2" s="1"/>
  <c r="BT85" i="5"/>
  <c r="O93" i="1"/>
  <c r="CD83" i="8"/>
  <c r="BX84" i="8"/>
  <c r="CD84" i="8" s="1"/>
  <c r="BT84" i="8"/>
  <c r="BO84" i="8"/>
  <c r="BP84" i="8"/>
  <c r="BM84" i="8"/>
  <c r="BN84" i="8"/>
  <c r="BK84" i="8"/>
  <c r="BL84" i="8"/>
  <c r="BJ84" i="8"/>
  <c r="AC84" i="10"/>
  <c r="X84" i="10" s="1"/>
  <c r="AS88" i="5"/>
  <c r="AK88" i="11"/>
  <c r="DB87" i="5"/>
  <c r="AH88" i="11"/>
  <c r="AJ88" i="1"/>
  <c r="AM88" i="1"/>
  <c r="DE87" i="5"/>
  <c r="BT89" i="14" a="1"/>
  <c r="BT89" i="14" s="1"/>
  <c r="O89" i="14" a="1"/>
  <c r="O89" i="14" s="1"/>
  <c r="V89" i="14" a="1"/>
  <c r="V89" i="14" s="1"/>
  <c r="AC89" i="14" a="1"/>
  <c r="AC89" i="14" s="1"/>
  <c r="BY89" i="14" a="1"/>
  <c r="BY89" i="14" s="1"/>
  <c r="BG89" i="14" a="1"/>
  <c r="BG89" i="14" s="1"/>
  <c r="AH89" i="14" a="1"/>
  <c r="AH89" i="14" s="1"/>
  <c r="M89" i="14" a="1"/>
  <c r="M89" i="14" s="1"/>
  <c r="AO89" i="14" a="1"/>
  <c r="AO89" i="14" s="1"/>
  <c r="BK89" i="14" a="1"/>
  <c r="BK89" i="14" s="1"/>
  <c r="BR89" i="14" a="1"/>
  <c r="BR89" i="14" s="1"/>
  <c r="N89" i="14" a="1"/>
  <c r="N89" i="14" s="1"/>
  <c r="P89" i="14" a="1"/>
  <c r="P89" i="14" s="1"/>
  <c r="BZ89" i="14" a="1"/>
  <c r="BZ89" i="14" s="1"/>
  <c r="AI89" i="14" a="1"/>
  <c r="AI89" i="14" s="1"/>
  <c r="Z89" i="14" a="1"/>
  <c r="Z89" i="14" s="1"/>
  <c r="BL89" i="14" a="1"/>
  <c r="BL89" i="14" s="1"/>
  <c r="AU89" i="14" a="1"/>
  <c r="AU89" i="14" s="1"/>
  <c r="AL89" i="14" a="1"/>
  <c r="AL89" i="14" s="1"/>
  <c r="BD89" i="14" a="1"/>
  <c r="BD89" i="14" s="1"/>
  <c r="U89" i="14" a="1"/>
  <c r="U89" i="14" s="1"/>
  <c r="AB89" i="14" a="1"/>
  <c r="AB89" i="14" s="1"/>
  <c r="AF89" i="14" a="1"/>
  <c r="AF89" i="14" s="1"/>
  <c r="BV89" i="14" a="1"/>
  <c r="BV89" i="14" s="1"/>
  <c r="R89" i="14" a="1"/>
  <c r="R89" i="14" s="1"/>
  <c r="AL89" i="1" s="1"/>
  <c r="BC89" i="14" a="1"/>
  <c r="BC89" i="14" s="1"/>
  <c r="BB89" i="14" a="1"/>
  <c r="BB89" i="14" s="1"/>
  <c r="BA89" i="14" a="1"/>
  <c r="BA89" i="14" s="1"/>
  <c r="BH89" i="14" a="1"/>
  <c r="BH89" i="14" s="1"/>
  <c r="AN89" i="14" a="1"/>
  <c r="AN89" i="14" s="1"/>
  <c r="BW89" i="14" a="1"/>
  <c r="BW89" i="14" s="1"/>
  <c r="BF89" i="14" a="1"/>
  <c r="BF89" i="14" s="1"/>
  <c r="BM89" i="14" a="1"/>
  <c r="BM89" i="14" s="1"/>
  <c r="AM89" i="14" a="1"/>
  <c r="AM89" i="14" s="1"/>
  <c r="AT89" i="14" a="1"/>
  <c r="AT89" i="14" s="1"/>
  <c r="AS89" i="14" a="1"/>
  <c r="AS89" i="14" s="1"/>
  <c r="BX89" i="14" a="1"/>
  <c r="BX89" i="14" s="1"/>
  <c r="T89" i="14" a="1"/>
  <c r="T89" i="14" s="1"/>
  <c r="AY89" i="14" a="1"/>
  <c r="AY89" i="14" s="1"/>
  <c r="AW89" i="14" a="1"/>
  <c r="AW89" i="14" s="1"/>
  <c r="BE89" i="14" a="1"/>
  <c r="BE89" i="14" s="1"/>
  <c r="BS89" i="14" a="1"/>
  <c r="BS89" i="14" s="1"/>
  <c r="X89" i="14" a="1"/>
  <c r="X89" i="14" s="1"/>
  <c r="BQ89" i="14" a="1"/>
  <c r="BQ89" i="14" s="1"/>
  <c r="BP89" i="14" a="1"/>
  <c r="BP89" i="14" s="1"/>
  <c r="AJ89" i="14" a="1"/>
  <c r="AJ89" i="14" s="1"/>
  <c r="AQ89" i="14" a="1"/>
  <c r="AQ89" i="14" s="1"/>
  <c r="AX89" i="14" a="1"/>
  <c r="AX89" i="14" s="1"/>
  <c r="Q89" i="14" a="1"/>
  <c r="Q89" i="14" s="1"/>
  <c r="AE89" i="14" a="1"/>
  <c r="AE89" i="14" s="1"/>
  <c r="BJ89" i="14" a="1"/>
  <c r="BJ89" i="14" s="1"/>
  <c r="BI89" i="14" a="1"/>
  <c r="BI89" i="14" s="1"/>
  <c r="AZ89" i="14" a="1"/>
  <c r="AZ89" i="14" s="1"/>
  <c r="AA89" i="14" a="1"/>
  <c r="AA89" i="14" s="1"/>
  <c r="BU89" i="14" a="1"/>
  <c r="BU89" i="14" s="1"/>
  <c r="BN89" i="14" a="1"/>
  <c r="BN89" i="14" s="1"/>
  <c r="AP89" i="14" a="1"/>
  <c r="AP89" i="14" s="1"/>
  <c r="AD89" i="14" a="1"/>
  <c r="AD89" i="14" s="1"/>
  <c r="AK89" i="14" a="1"/>
  <c r="AK89" i="14" s="1"/>
  <c r="AR89" i="14" a="1"/>
  <c r="AR89" i="14" s="1"/>
  <c r="BO89" i="14" a="1"/>
  <c r="BO89" i="14" s="1"/>
  <c r="S89" i="14" a="1"/>
  <c r="S89" i="14" s="1"/>
  <c r="AG89" i="14" a="1"/>
  <c r="AG89" i="14" s="1"/>
  <c r="AV89" i="14" a="1"/>
  <c r="AV89" i="14" s="1"/>
  <c r="Y89" i="14" a="1"/>
  <c r="Y89" i="14" s="1"/>
  <c r="W89" i="14" a="1"/>
  <c r="W89" i="14" s="1"/>
  <c r="DH87" i="5"/>
  <c r="Y86" i="1"/>
  <c r="DJ87" i="5"/>
  <c r="K90" i="11"/>
  <c r="A90" i="14"/>
  <c r="CA90" i="14" s="1"/>
  <c r="A90" i="9"/>
  <c r="A90" i="2"/>
  <c r="A90" i="7"/>
  <c r="R90" i="7" s="1"/>
  <c r="A90" i="8"/>
  <c r="A90" i="5"/>
  <c r="W86" i="1"/>
  <c r="AF86" i="1"/>
  <c r="AU89" i="8"/>
  <c r="AE89" i="8"/>
  <c r="AC85" i="8"/>
  <c r="BQ85" i="8" s="1"/>
  <c r="BW85" i="8"/>
  <c r="A85" i="10"/>
  <c r="AA85" i="10" s="1"/>
  <c r="X85" i="8"/>
  <c r="DD85" i="8" s="1"/>
  <c r="AJ85" i="5"/>
  <c r="AP85" i="5" s="1"/>
  <c r="AI85" i="5"/>
  <c r="BH85" i="8"/>
  <c r="BU85" i="8" s="1"/>
  <c r="E85" i="1"/>
  <c r="DH85" i="8"/>
  <c r="DI85" i="8" s="1"/>
  <c r="A85" i="11"/>
  <c r="Y84" i="11" s="1"/>
  <c r="AH84" i="1" s="1"/>
  <c r="BI85" i="8"/>
  <c r="B85" i="7"/>
  <c r="AE85" i="7" s="1"/>
  <c r="AF85" i="7" s="1"/>
  <c r="CK85" i="8"/>
  <c r="B85" i="9"/>
  <c r="Y85" i="9" s="1"/>
  <c r="B87" i="5"/>
  <c r="AH87" i="5"/>
  <c r="BU87" i="5"/>
  <c r="B87" i="2"/>
  <c r="B87" i="1"/>
  <c r="BG87" i="1" s="1"/>
  <c r="BY89" i="11"/>
  <c r="AA88" i="7"/>
  <c r="AF88" i="8" s="1"/>
  <c r="AV88" i="8" s="1"/>
  <c r="K88" i="10"/>
  <c r="L88" i="11"/>
  <c r="H88" i="5"/>
  <c r="C87" i="10"/>
  <c r="E87" i="7"/>
  <c r="CS82" i="8"/>
  <c r="I88" i="5"/>
  <c r="D87" i="10"/>
  <c r="F87" i="7"/>
  <c r="K88" i="5"/>
  <c r="F87" i="10"/>
  <c r="H87" i="7"/>
  <c r="DD87" i="5"/>
  <c r="J88" i="5"/>
  <c r="DC88" i="5" s="1"/>
  <c r="E87" i="10"/>
  <c r="G87" i="7"/>
  <c r="L88" i="5"/>
  <c r="G87" i="10"/>
  <c r="I87" i="7"/>
  <c r="G88" i="5"/>
  <c r="B87" i="10"/>
  <c r="D87" i="7"/>
  <c r="M88" i="5"/>
  <c r="H87" i="10"/>
  <c r="J87" i="7"/>
  <c r="DF87" i="5"/>
  <c r="CQ83" i="8"/>
  <c r="CU83" i="8" s="1"/>
  <c r="D85" i="9"/>
  <c r="N84" i="7"/>
  <c r="AH96" i="9"/>
  <c r="AQ83" i="5"/>
  <c r="DB83" i="8"/>
  <c r="B83" i="14"/>
  <c r="CR83" i="8"/>
  <c r="CI84" i="8"/>
  <c r="DA84" i="8" s="1"/>
  <c r="Y83" i="11"/>
  <c r="AH83" i="1" s="1"/>
  <c r="Z83" i="11"/>
  <c r="AA83" i="11"/>
  <c r="AK83" i="1" s="1"/>
  <c r="AC83" i="11"/>
  <c r="U83" i="8" s="1"/>
  <c r="AB83" i="11"/>
  <c r="Q83" i="8" s="1"/>
  <c r="N84" i="11"/>
  <c r="AD83" i="11"/>
  <c r="AI83" i="1" s="1"/>
  <c r="C86" i="5"/>
  <c r="F86" i="5" s="1"/>
  <c r="BY84" i="8"/>
  <c r="BZ84" i="8"/>
  <c r="CH84" i="8"/>
  <c r="CZ84" i="8" s="1"/>
  <c r="CC84" i="8"/>
  <c r="CV84" i="8" s="1"/>
  <c r="CW84" i="8" s="1"/>
  <c r="CB84" i="8"/>
  <c r="CT84" i="8" s="1"/>
  <c r="CA84" i="8"/>
  <c r="CZ87" i="5"/>
  <c r="AE84" i="7"/>
  <c r="AF84" i="7" s="1"/>
  <c r="Q84" i="7"/>
  <c r="C87" i="5"/>
  <c r="DA86" i="5"/>
  <c r="DG86" i="5" s="1" a="1"/>
  <c r="DG86" i="5" s="1"/>
  <c r="DI87" i="5"/>
  <c r="AB87" i="1"/>
  <c r="AG96" i="9"/>
  <c r="AK96" i="9"/>
  <c r="N72" i="1"/>
  <c r="S89" i="2"/>
  <c r="N90" i="2"/>
  <c r="R90" i="2"/>
  <c r="Q89" i="2"/>
  <c r="J91" i="10"/>
  <c r="N91" i="5" s="1"/>
  <c r="P91" i="2"/>
  <c r="AQ112" i="9" l="1"/>
  <c r="CM112" i="8" s="1"/>
  <c r="AO85" i="5"/>
  <c r="AM85" i="5"/>
  <c r="AN85" i="5"/>
  <c r="AR85" i="5" s="1"/>
  <c r="AV86" i="5"/>
  <c r="AW86" i="5"/>
  <c r="AG85" i="7"/>
  <c r="AG84" i="7"/>
  <c r="AI84" i="7" s="1"/>
  <c r="CL86" i="8"/>
  <c r="BZ85" i="8"/>
  <c r="AC85" i="1"/>
  <c r="AI108" i="9"/>
  <c r="AO108" i="8" s="1"/>
  <c r="G91" i="8"/>
  <c r="CF90" i="8"/>
  <c r="O90" i="2"/>
  <c r="BF90" i="5" a="1"/>
  <c r="BF90" i="5" s="1"/>
  <c r="AE89" i="1" s="1"/>
  <c r="BB90" i="5" a="1"/>
  <c r="BB90" i="5" s="1"/>
  <c r="BJ90" i="5" a="1"/>
  <c r="BJ90" i="5" s="1"/>
  <c r="BE90" i="5" a="1"/>
  <c r="BE90" i="5" s="1"/>
  <c r="BI90" i="5" a="1"/>
  <c r="BI90" i="5" s="1"/>
  <c r="AM97" i="9"/>
  <c r="BR85" i="8"/>
  <c r="BS85" i="8"/>
  <c r="AD88" i="1"/>
  <c r="BN90" i="5" a="1"/>
  <c r="BN90" i="5" s="1"/>
  <c r="BK90" i="5" a="1"/>
  <c r="BK90" i="5" s="1"/>
  <c r="AZ90" i="5" a="1"/>
  <c r="AZ90" i="5" s="1"/>
  <c r="BQ90" i="5" a="1"/>
  <c r="BQ90" i="5" s="1"/>
  <c r="CQ90" i="5"/>
  <c r="CR90" i="5"/>
  <c r="CV90" i="5"/>
  <c r="CW90" i="5"/>
  <c r="CT90" i="5"/>
  <c r="CU90" i="5"/>
  <c r="CS90" i="5"/>
  <c r="AY90" i="5" a="1"/>
  <c r="AY90" i="5" s="1"/>
  <c r="BL90" i="5" a="1"/>
  <c r="BL90" i="5" s="1"/>
  <c r="BG90" i="5" a="1"/>
  <c r="BG90" i="5" s="1"/>
  <c r="BM90" i="5" a="1"/>
  <c r="BM90" i="5" s="1"/>
  <c r="BA90" i="5" a="1"/>
  <c r="BA90" i="5" s="1"/>
  <c r="BO90" i="5" a="1"/>
  <c r="BO90" i="5" s="1"/>
  <c r="BD90" i="5" a="1"/>
  <c r="BD90" i="5" s="1"/>
  <c r="BC90" i="5" a="1"/>
  <c r="BC90" i="5" s="1"/>
  <c r="BH90" i="5" a="1"/>
  <c r="BH90" i="5" s="1"/>
  <c r="V88" i="2"/>
  <c r="CX83" i="8"/>
  <c r="CY83" i="8" s="1"/>
  <c r="F93" i="8"/>
  <c r="BP89" i="5" a="1"/>
  <c r="BP89" i="5" s="1"/>
  <c r="J89" i="2" s="1"/>
  <c r="O94" i="1"/>
  <c r="CE84" i="8"/>
  <c r="CX84" i="8" s="1"/>
  <c r="CY84" i="8" s="1"/>
  <c r="BX85" i="8"/>
  <c r="CE85" i="8" s="1"/>
  <c r="BT85" i="8"/>
  <c r="BO85" i="8"/>
  <c r="BP85" i="8"/>
  <c r="BM85" i="8"/>
  <c r="BN85" i="8"/>
  <c r="BK85" i="8"/>
  <c r="BL85" i="8"/>
  <c r="BJ85" i="8"/>
  <c r="AC85" i="10"/>
  <c r="X85" i="10" s="1"/>
  <c r="AS89" i="5"/>
  <c r="AH89" i="11"/>
  <c r="AK89" i="11"/>
  <c r="DB88" i="5"/>
  <c r="AM89" i="1"/>
  <c r="DE88" i="5"/>
  <c r="DF88" i="5"/>
  <c r="AF87" i="1"/>
  <c r="DH88" i="5"/>
  <c r="AU90" i="14" a="1"/>
  <c r="AU90" i="14" s="1"/>
  <c r="BB90" i="14" a="1"/>
  <c r="BB90" i="14" s="1"/>
  <c r="U90" i="14" a="1"/>
  <c r="U90" i="14" s="1"/>
  <c r="BW90" i="14" a="1"/>
  <c r="BW90" i="14" s="1"/>
  <c r="AN90" i="14" a="1"/>
  <c r="AN90" i="14" s="1"/>
  <c r="S90" i="14" a="1"/>
  <c r="S90" i="14" s="1"/>
  <c r="BE90" i="14" a="1"/>
  <c r="BE90" i="14" s="1"/>
  <c r="Y90" i="14" a="1"/>
  <c r="Y90" i="14" s="1"/>
  <c r="W90" i="14" a="1"/>
  <c r="W90" i="14" s="1"/>
  <c r="AD90" i="14" a="1"/>
  <c r="AD90" i="14" s="1"/>
  <c r="BA90" i="14" a="1"/>
  <c r="BA90" i="14" s="1"/>
  <c r="AR90" i="14" a="1"/>
  <c r="AR90" i="14" s="1"/>
  <c r="BZ90" i="14" a="1"/>
  <c r="BZ90" i="14" s="1"/>
  <c r="AF90" i="14" a="1"/>
  <c r="AF90" i="14" s="1"/>
  <c r="AP90" i="14" a="1"/>
  <c r="AP90" i="14" s="1"/>
  <c r="Q90" i="14" a="1"/>
  <c r="Q90" i="14" s="1"/>
  <c r="AV90" i="14" a="1"/>
  <c r="AV90" i="14" s="1"/>
  <c r="AE90" i="14" a="1"/>
  <c r="AE90" i="14" s="1"/>
  <c r="V90" i="14" a="1"/>
  <c r="V90" i="14" s="1"/>
  <c r="AK90" i="14" a="1"/>
  <c r="AK90" i="14" s="1"/>
  <c r="BY90" i="14" a="1"/>
  <c r="BY90" i="14" s="1"/>
  <c r="AY90" i="14" a="1"/>
  <c r="AY90" i="14" s="1"/>
  <c r="AA90" i="14" a="1"/>
  <c r="AA90" i="14" s="1"/>
  <c r="AX90" i="14" a="1"/>
  <c r="AX90" i="14" s="1"/>
  <c r="M90" i="14" a="1"/>
  <c r="M90" i="14" s="1"/>
  <c r="BC90" i="14" a="1"/>
  <c r="BC90" i="14" s="1"/>
  <c r="AL90" i="14" a="1"/>
  <c r="AL90" i="14" s="1"/>
  <c r="AT90" i="14" a="1"/>
  <c r="AT90" i="14" s="1"/>
  <c r="AJ90" i="14" a="1"/>
  <c r="AJ90" i="14" s="1"/>
  <c r="AZ90" i="14" a="1"/>
  <c r="AZ90" i="14" s="1"/>
  <c r="BO90" i="14" a="1"/>
  <c r="BO90" i="14" s="1"/>
  <c r="Z90" i="14" a="1"/>
  <c r="Z90" i="14" s="1"/>
  <c r="AO90" i="14" a="1"/>
  <c r="AO90" i="14" s="1"/>
  <c r="BS90" i="14" a="1"/>
  <c r="BS90" i="14" s="1"/>
  <c r="X90" i="14" a="1"/>
  <c r="X90" i="14" s="1"/>
  <c r="AS90" i="14" a="1"/>
  <c r="AS90" i="14" s="1"/>
  <c r="BI90" i="14" a="1"/>
  <c r="BI90" i="14" s="1"/>
  <c r="P90" i="14" a="1"/>
  <c r="P90" i="14" s="1"/>
  <c r="AI90" i="14" a="1"/>
  <c r="AI90" i="14" s="1"/>
  <c r="BL90" i="14" a="1"/>
  <c r="BL90" i="14" s="1"/>
  <c r="AG90" i="14" a="1"/>
  <c r="AG90" i="14" s="1"/>
  <c r="AM90" i="14" a="1"/>
  <c r="AM90" i="14" s="1"/>
  <c r="BR90" i="14" a="1"/>
  <c r="BR90" i="14" s="1"/>
  <c r="BD90" i="14" a="1"/>
  <c r="BD90" i="14" s="1"/>
  <c r="BX90" i="14" a="1"/>
  <c r="BX90" i="14" s="1"/>
  <c r="BP90" i="14" a="1"/>
  <c r="BP90" i="14" s="1"/>
  <c r="BN90" i="14" a="1"/>
  <c r="BN90" i="14" s="1"/>
  <c r="BF90" i="14" a="1"/>
  <c r="BF90" i="14" s="1"/>
  <c r="BM90" i="14" a="1"/>
  <c r="BM90" i="14" s="1"/>
  <c r="BT90" i="14" a="1"/>
  <c r="BT90" i="14" s="1"/>
  <c r="AB90" i="14" a="1"/>
  <c r="AB90" i="14" s="1"/>
  <c r="AW90" i="14" a="1"/>
  <c r="AW90" i="14" s="1"/>
  <c r="BK90" i="14" a="1"/>
  <c r="BK90" i="14" s="1"/>
  <c r="T90" i="14" a="1"/>
  <c r="T90" i="14" s="1"/>
  <c r="BJ90" i="14" a="1"/>
  <c r="BJ90" i="14" s="1"/>
  <c r="AQ90" i="14" a="1"/>
  <c r="AQ90" i="14" s="1"/>
  <c r="O90" i="14" a="1"/>
  <c r="O90" i="14" s="1"/>
  <c r="BG90" i="14" a="1"/>
  <c r="BG90" i="14" s="1"/>
  <c r="N90" i="14" a="1"/>
  <c r="N90" i="14" s="1"/>
  <c r="AH90" i="14" a="1"/>
  <c r="AH90" i="14" s="1"/>
  <c r="BQ90" i="14" a="1"/>
  <c r="BQ90" i="14" s="1"/>
  <c r="BV90" i="14" a="1"/>
  <c r="BV90" i="14" s="1"/>
  <c r="AC90" i="14" a="1"/>
  <c r="AC90" i="14" s="1"/>
  <c r="R90" i="14" a="1"/>
  <c r="R90" i="14" s="1"/>
  <c r="AL90" i="1" s="1"/>
  <c r="BH90" i="14" a="1"/>
  <c r="BH90" i="14" s="1"/>
  <c r="BU90" i="14" a="1"/>
  <c r="BU90" i="14" s="1"/>
  <c r="AJ89" i="1"/>
  <c r="K91" i="11"/>
  <c r="A91" i="14"/>
  <c r="CA91" i="14" s="1"/>
  <c r="A91" i="7"/>
  <c r="R91" i="7" s="1"/>
  <c r="A91" i="9"/>
  <c r="A91" i="2"/>
  <c r="A91" i="5"/>
  <c r="A91" i="8"/>
  <c r="W87" i="1"/>
  <c r="AU90" i="8"/>
  <c r="AE90" i="8"/>
  <c r="Y87" i="1"/>
  <c r="DJ88" i="5"/>
  <c r="CB85" i="8"/>
  <c r="CT85" i="8" s="1"/>
  <c r="F87" i="5"/>
  <c r="BY85" i="8"/>
  <c r="CA85" i="8"/>
  <c r="CC85" i="8"/>
  <c r="CV85" i="8" s="1"/>
  <c r="CW85" i="8" s="1"/>
  <c r="CH85" i="8"/>
  <c r="CZ85" i="8" s="1"/>
  <c r="AC84" i="11"/>
  <c r="U84" i="8" s="1"/>
  <c r="AB84" i="11"/>
  <c r="Q84" i="8" s="1"/>
  <c r="N85" i="7"/>
  <c r="CI85" i="8"/>
  <c r="DA85" i="8" s="1"/>
  <c r="D86" i="9"/>
  <c r="Z84" i="11"/>
  <c r="AA84" i="11"/>
  <c r="AK84" i="1" s="1"/>
  <c r="N85" i="11"/>
  <c r="AD84" i="11"/>
  <c r="AI84" i="1" s="1"/>
  <c r="Q85" i="7"/>
  <c r="B85" i="14"/>
  <c r="AH88" i="5"/>
  <c r="BU88" i="5"/>
  <c r="B88" i="2"/>
  <c r="B88" i="1"/>
  <c r="BG88" i="1" s="1"/>
  <c r="BY90" i="11"/>
  <c r="K89" i="10"/>
  <c r="AA89" i="7"/>
  <c r="AF89" i="8" s="1"/>
  <c r="AV89" i="8" s="1"/>
  <c r="L89" i="11"/>
  <c r="K89" i="5"/>
  <c r="F88" i="10"/>
  <c r="H88" i="7"/>
  <c r="DD88" i="5"/>
  <c r="L89" i="5"/>
  <c r="G88" i="10"/>
  <c r="I88" i="7"/>
  <c r="M89" i="5"/>
  <c r="H88" i="10"/>
  <c r="J88" i="7"/>
  <c r="I89" i="5"/>
  <c r="D88" i="10"/>
  <c r="F88" i="7"/>
  <c r="J89" i="5"/>
  <c r="DC89" i="5" s="1"/>
  <c r="E88" i="10"/>
  <c r="G88" i="7"/>
  <c r="B88" i="5"/>
  <c r="G89" i="5"/>
  <c r="D88" i="7"/>
  <c r="B88" i="10"/>
  <c r="H89" i="5"/>
  <c r="C88" i="10"/>
  <c r="E88" i="7"/>
  <c r="CS83" i="8"/>
  <c r="CQ84" i="8"/>
  <c r="CU84" i="8" s="1"/>
  <c r="DH86" i="8"/>
  <c r="DI86" i="8" s="1"/>
  <c r="CK86" i="8"/>
  <c r="BW86" i="8"/>
  <c r="AC86" i="1" s="1"/>
  <c r="BH86" i="8"/>
  <c r="BU86" i="8" s="1"/>
  <c r="BI86" i="8"/>
  <c r="AH97" i="9"/>
  <c r="DB84" i="8"/>
  <c r="CR84" i="8"/>
  <c r="AQ84" i="5"/>
  <c r="CZ88" i="5"/>
  <c r="B84" i="14"/>
  <c r="X86" i="8"/>
  <c r="DD86" i="8" s="1"/>
  <c r="E86" i="1"/>
  <c r="AI86" i="5"/>
  <c r="B86" i="9"/>
  <c r="Y86" i="9" s="1"/>
  <c r="A86" i="11"/>
  <c r="AJ86" i="5"/>
  <c r="AP86" i="5" s="1"/>
  <c r="AC86" i="8"/>
  <c r="BQ86" i="8" s="1"/>
  <c r="BT86" i="5"/>
  <c r="A86" i="10"/>
  <c r="AA86" i="10" s="1"/>
  <c r="B86" i="7"/>
  <c r="AB88" i="1"/>
  <c r="DI88" i="5"/>
  <c r="DA87" i="5"/>
  <c r="DG87" i="5" s="1" a="1"/>
  <c r="DG87" i="5" s="1"/>
  <c r="AG97" i="9"/>
  <c r="AK97" i="9"/>
  <c r="S1269" i="14"/>
  <c r="S1270" i="14" s="1"/>
  <c r="V1269" i="14"/>
  <c r="V1270" i="14" s="1"/>
  <c r="W1269" i="14"/>
  <c r="W1270" i="14" s="1"/>
  <c r="M1269" i="14"/>
  <c r="M1270" i="14" s="1"/>
  <c r="T1269" i="14"/>
  <c r="T1270" i="14" s="1"/>
  <c r="X1269" i="14"/>
  <c r="X1270" i="14" s="1"/>
  <c r="Q1269" i="14"/>
  <c r="Q1270" i="14" s="1"/>
  <c r="N73" i="1"/>
  <c r="R1269" i="14"/>
  <c r="R1270" i="14" s="1"/>
  <c r="S90" i="2"/>
  <c r="N91" i="2"/>
  <c r="R91" i="2"/>
  <c r="Q90" i="2"/>
  <c r="J92" i="10"/>
  <c r="N92" i="5" s="1"/>
  <c r="P92" i="2"/>
  <c r="AQ113" i="9" l="1"/>
  <c r="CM113" i="8" s="1"/>
  <c r="AI85" i="7"/>
  <c r="AO86" i="5"/>
  <c r="AM86" i="5"/>
  <c r="AN86" i="5"/>
  <c r="AR86" i="5" s="1"/>
  <c r="AV87" i="5"/>
  <c r="AW87" i="5"/>
  <c r="CL87" i="8"/>
  <c r="CR85" i="8"/>
  <c r="AI109" i="9"/>
  <c r="AO109" i="8" s="1"/>
  <c r="G92" i="8"/>
  <c r="CF91" i="8"/>
  <c r="O91" i="2"/>
  <c r="BI91" i="5" a="1"/>
  <c r="BI91" i="5" s="1"/>
  <c r="AM98" i="9"/>
  <c r="BR86" i="8"/>
  <c r="BS86" i="8"/>
  <c r="AD89" i="1"/>
  <c r="BH91" i="5" a="1"/>
  <c r="BH91" i="5" s="1"/>
  <c r="CS91" i="5"/>
  <c r="CR91" i="5"/>
  <c r="CQ91" i="5"/>
  <c r="CT91" i="5"/>
  <c r="CV91" i="5"/>
  <c r="CW91" i="5"/>
  <c r="CU91" i="5"/>
  <c r="AY91" i="5" a="1"/>
  <c r="AY91" i="5" s="1"/>
  <c r="BL91" i="5" a="1"/>
  <c r="BL91" i="5" s="1"/>
  <c r="BC91" i="5" a="1"/>
  <c r="BC91" i="5" s="1"/>
  <c r="BJ91" i="5" a="1"/>
  <c r="BJ91" i="5" s="1"/>
  <c r="BD91" i="5" a="1"/>
  <c r="BD91" i="5" s="1"/>
  <c r="BQ91" i="5" a="1"/>
  <c r="BQ91" i="5" s="1"/>
  <c r="AZ91" i="5" a="1"/>
  <c r="AZ91" i="5" s="1"/>
  <c r="BO91" i="5" a="1"/>
  <c r="BO91" i="5" s="1"/>
  <c r="BK91" i="5" a="1"/>
  <c r="BK91" i="5" s="1"/>
  <c r="BA91" i="5" a="1"/>
  <c r="BA91" i="5" s="1"/>
  <c r="BF91" i="5" a="1"/>
  <c r="BF91" i="5" s="1"/>
  <c r="AE90" i="1" s="1"/>
  <c r="BM91" i="5" a="1"/>
  <c r="BM91" i="5" s="1"/>
  <c r="BN91" i="5" a="1"/>
  <c r="BN91" i="5" s="1"/>
  <c r="BG91" i="5" a="1"/>
  <c r="BG91" i="5" s="1"/>
  <c r="BB91" i="5" a="1"/>
  <c r="BB91" i="5" s="1"/>
  <c r="BE91" i="5" a="1"/>
  <c r="BE91" i="5" s="1"/>
  <c r="V89" i="2"/>
  <c r="CQ85" i="8"/>
  <c r="CU85" i="8" s="1"/>
  <c r="F94" i="8"/>
  <c r="BP90" i="5" a="1"/>
  <c r="BP90" i="5" s="1"/>
  <c r="J90" i="2" s="1"/>
  <c r="AC87" i="8"/>
  <c r="BQ87" i="8" s="1"/>
  <c r="O95" i="1"/>
  <c r="CD85" i="8"/>
  <c r="BX86" i="8"/>
  <c r="CD86" i="8" s="1"/>
  <c r="BT86" i="8"/>
  <c r="BO86" i="8"/>
  <c r="BP86" i="8"/>
  <c r="BM86" i="8"/>
  <c r="BN86" i="8"/>
  <c r="BK86" i="8"/>
  <c r="BL86" i="8"/>
  <c r="BJ86" i="8"/>
  <c r="AC86" i="10"/>
  <c r="X86" i="10" s="1"/>
  <c r="AS90" i="5"/>
  <c r="AH90" i="11"/>
  <c r="AK90" i="11"/>
  <c r="DE89" i="5"/>
  <c r="CK87" i="8"/>
  <c r="DB89" i="5"/>
  <c r="DF89" i="5"/>
  <c r="AU91" i="8"/>
  <c r="AE91" i="8"/>
  <c r="DH89" i="5"/>
  <c r="K92" i="11"/>
  <c r="A92" i="14"/>
  <c r="CA92" i="14" s="1"/>
  <c r="A92" i="7"/>
  <c r="R92" i="7" s="1"/>
  <c r="A92" i="9"/>
  <c r="A92" i="2"/>
  <c r="A92" i="8"/>
  <c r="A92" i="5"/>
  <c r="AF88" i="1"/>
  <c r="AJ90" i="1"/>
  <c r="BS91" i="14" a="1"/>
  <c r="BS91" i="14" s="1"/>
  <c r="AD91" i="14" a="1"/>
  <c r="AD91" i="14" s="1"/>
  <c r="BQ91" i="14" a="1"/>
  <c r="BQ91" i="14" s="1"/>
  <c r="BP91" i="14" a="1"/>
  <c r="BP91" i="14" s="1"/>
  <c r="BH91" i="14" a="1"/>
  <c r="BH91" i="14" s="1"/>
  <c r="AY91" i="14" a="1"/>
  <c r="AY91" i="14" s="1"/>
  <c r="BV91" i="14" a="1"/>
  <c r="BV91" i="14" s="1"/>
  <c r="AW91" i="14" a="1"/>
  <c r="AW91" i="14" s="1"/>
  <c r="AM91" i="14" a="1"/>
  <c r="AM91" i="14" s="1"/>
  <c r="BJ91" i="14" a="1"/>
  <c r="BJ91" i="14" s="1"/>
  <c r="N91" i="14" a="1"/>
  <c r="N91" i="14" s="1"/>
  <c r="BZ91" i="14" a="1"/>
  <c r="BZ91" i="14" s="1"/>
  <c r="T91" i="14" a="1"/>
  <c r="T91" i="14" s="1"/>
  <c r="BG91" i="14" a="1"/>
  <c r="BG91" i="14" s="1"/>
  <c r="BF91" i="14" a="1"/>
  <c r="BF91" i="14" s="1"/>
  <c r="Y91" i="14" a="1"/>
  <c r="Y91" i="14" s="1"/>
  <c r="AE91" i="14" a="1"/>
  <c r="AE91" i="14" s="1"/>
  <c r="X91" i="14" a="1"/>
  <c r="X91" i="14" s="1"/>
  <c r="BI91" i="14" a="1"/>
  <c r="BI91" i="14" s="1"/>
  <c r="U91" i="14" a="1"/>
  <c r="U91" i="14" s="1"/>
  <c r="AR91" i="14" a="1"/>
  <c r="AR91" i="14" s="1"/>
  <c r="AX91" i="14" a="1"/>
  <c r="AX91" i="14" s="1"/>
  <c r="Z91" i="14" a="1"/>
  <c r="Z91" i="14" s="1"/>
  <c r="AO91" i="14" a="1"/>
  <c r="AO91" i="14" s="1"/>
  <c r="AV91" i="14" a="1"/>
  <c r="AV91" i="14" s="1"/>
  <c r="W91" i="14" a="1"/>
  <c r="W91" i="14" s="1"/>
  <c r="V91" i="14" a="1"/>
  <c r="V91" i="14" s="1"/>
  <c r="AK91" i="14" a="1"/>
  <c r="AK91" i="14" s="1"/>
  <c r="BY91" i="14" a="1"/>
  <c r="BY91" i="14" s="1"/>
  <c r="BO91" i="14" a="1"/>
  <c r="BO91" i="14" s="1"/>
  <c r="R91" i="14" a="1"/>
  <c r="R91" i="14" s="1"/>
  <c r="AL91" i="1" s="1"/>
  <c r="BU91" i="14" a="1"/>
  <c r="BU91" i="14" s="1"/>
  <c r="BM91" i="14" a="1"/>
  <c r="BM91" i="14" s="1"/>
  <c r="BT91" i="14" a="1"/>
  <c r="BT91" i="14" s="1"/>
  <c r="AL91" i="14" a="1"/>
  <c r="AL91" i="14" s="1"/>
  <c r="BR91" i="14" a="1"/>
  <c r="BR91" i="14" s="1"/>
  <c r="P91" i="14" a="1"/>
  <c r="P91" i="14" s="1"/>
  <c r="BW91" i="14" a="1"/>
  <c r="BW91" i="14" s="1"/>
  <c r="S91" i="14" a="1"/>
  <c r="S91" i="14" s="1"/>
  <c r="AH91" i="14" a="1"/>
  <c r="AH91" i="14" s="1"/>
  <c r="AG91" i="14" a="1"/>
  <c r="AG91" i="14" s="1"/>
  <c r="M91" i="14" a="1"/>
  <c r="M91" i="14" s="1"/>
  <c r="BC91" i="14" a="1"/>
  <c r="BC91" i="14" s="1"/>
  <c r="O91" i="14" a="1"/>
  <c r="O91" i="14" s="1"/>
  <c r="BD91" i="14" a="1"/>
  <c r="BD91" i="14" s="1"/>
  <c r="AC91" i="14" a="1"/>
  <c r="AC91" i="14" s="1"/>
  <c r="AB91" i="14" a="1"/>
  <c r="AB91" i="14" s="1"/>
  <c r="AF91" i="14" a="1"/>
  <c r="AF91" i="14" s="1"/>
  <c r="BL91" i="14" a="1"/>
  <c r="BL91" i="14" s="1"/>
  <c r="Q91" i="14" a="1"/>
  <c r="Q91" i="14" s="1"/>
  <c r="BA91" i="14" a="1"/>
  <c r="BA91" i="14" s="1"/>
  <c r="AI91" i="14" a="1"/>
  <c r="AI91" i="14" s="1"/>
  <c r="AS91" i="14" a="1"/>
  <c r="AS91" i="14" s="1"/>
  <c r="BN91" i="14" a="1"/>
  <c r="BN91" i="14" s="1"/>
  <c r="BX91" i="14" a="1"/>
  <c r="BX91" i="14" s="1"/>
  <c r="BE91" i="14" a="1"/>
  <c r="BE91" i="14" s="1"/>
  <c r="AZ91" i="14" a="1"/>
  <c r="AZ91" i="14" s="1"/>
  <c r="AP91" i="14" a="1"/>
  <c r="AP91" i="14" s="1"/>
  <c r="AU91" i="14" a="1"/>
  <c r="AU91" i="14" s="1"/>
  <c r="AN91" i="14" a="1"/>
  <c r="AN91" i="14" s="1"/>
  <c r="BK91" i="14" a="1"/>
  <c r="BK91" i="14" s="1"/>
  <c r="AJ91" i="14" a="1"/>
  <c r="AJ91" i="14" s="1"/>
  <c r="BB91" i="14" a="1"/>
  <c r="BB91" i="14" s="1"/>
  <c r="AQ91" i="14" a="1"/>
  <c r="AQ91" i="14" s="1"/>
  <c r="AT91" i="14" a="1"/>
  <c r="AT91" i="14" s="1"/>
  <c r="AA91" i="14" a="1"/>
  <c r="AA91" i="14" s="1"/>
  <c r="Y88" i="1"/>
  <c r="DJ89" i="5"/>
  <c r="W88" i="1"/>
  <c r="AM90" i="1"/>
  <c r="B87" i="7"/>
  <c r="AE87" i="7" s="1"/>
  <c r="AF87" i="7" s="1"/>
  <c r="A87" i="11"/>
  <c r="Y86" i="11" s="1"/>
  <c r="AH86" i="1" s="1"/>
  <c r="BT87" i="5"/>
  <c r="E87" i="1"/>
  <c r="AI87" i="5"/>
  <c r="X87" i="8"/>
  <c r="DD87" i="8" s="1"/>
  <c r="B87" i="9"/>
  <c r="Y87" i="9" s="1"/>
  <c r="DH87" i="8"/>
  <c r="DI87" i="8" s="1"/>
  <c r="BI87" i="8"/>
  <c r="A87" i="10"/>
  <c r="AA87" i="10" s="1"/>
  <c r="AJ87" i="5"/>
  <c r="AP87" i="5" s="1"/>
  <c r="BW87" i="8"/>
  <c r="BH87" i="8"/>
  <c r="BU87" i="8" s="1"/>
  <c r="DB85" i="8"/>
  <c r="AQ85" i="5"/>
  <c r="CS84" i="8"/>
  <c r="B89" i="5"/>
  <c r="BU89" i="5"/>
  <c r="AH89" i="5"/>
  <c r="B89" i="2"/>
  <c r="B89" i="1"/>
  <c r="BG89" i="1" s="1"/>
  <c r="BY91" i="11"/>
  <c r="K90" i="10"/>
  <c r="AA90" i="7"/>
  <c r="AF90" i="8" s="1"/>
  <c r="AV90" i="8" s="1"/>
  <c r="L90" i="11"/>
  <c r="H90" i="5"/>
  <c r="C89" i="10"/>
  <c r="E89" i="7"/>
  <c r="J90" i="5"/>
  <c r="DC90" i="5" s="1"/>
  <c r="E89" i="10"/>
  <c r="G89" i="7"/>
  <c r="L90" i="5"/>
  <c r="G89" i="10"/>
  <c r="I89" i="7"/>
  <c r="D89" i="7"/>
  <c r="G90" i="5"/>
  <c r="B89" i="10"/>
  <c r="I90" i="5"/>
  <c r="D89" i="10"/>
  <c r="F89" i="7"/>
  <c r="M90" i="5"/>
  <c r="H89" i="10"/>
  <c r="J89" i="7"/>
  <c r="K90" i="5"/>
  <c r="F89" i="10"/>
  <c r="H89" i="7"/>
  <c r="DD89" i="5"/>
  <c r="D87" i="9"/>
  <c r="N86" i="7"/>
  <c r="AH98" i="9"/>
  <c r="CZ89" i="5"/>
  <c r="CA86" i="8"/>
  <c r="CB86" i="8"/>
  <c r="CT86" i="8" s="1"/>
  <c r="BY86" i="8"/>
  <c r="BZ86" i="8"/>
  <c r="CH86" i="8"/>
  <c r="CZ86" i="8" s="1"/>
  <c r="CC86" i="8"/>
  <c r="CV86" i="8" s="1"/>
  <c r="CW86" i="8" s="1"/>
  <c r="C88" i="5"/>
  <c r="F88" i="5" s="1"/>
  <c r="CI86" i="8"/>
  <c r="DA86" i="8" s="1"/>
  <c r="AD85" i="11"/>
  <c r="AI85" i="1" s="1"/>
  <c r="AA85" i="11"/>
  <c r="AK85" i="1" s="1"/>
  <c r="N86" i="11"/>
  <c r="AB85" i="11"/>
  <c r="Q85" i="8" s="1"/>
  <c r="Y85" i="11"/>
  <c r="AH85" i="1" s="1"/>
  <c r="Z85" i="11"/>
  <c r="AC85" i="11"/>
  <c r="U85" i="8" s="1"/>
  <c r="Q86" i="7"/>
  <c r="AE86" i="7"/>
  <c r="AF86" i="7" s="1"/>
  <c r="DA88" i="5"/>
  <c r="DG88" i="5" s="1" a="1"/>
  <c r="DG88" i="5" s="1"/>
  <c r="AB89" i="1"/>
  <c r="DI89" i="5"/>
  <c r="AG98" i="9"/>
  <c r="AK98" i="9"/>
  <c r="N74" i="1"/>
  <c r="S91" i="2"/>
  <c r="N92" i="2"/>
  <c r="R92" i="2"/>
  <c r="Q91" i="2"/>
  <c r="P93" i="2"/>
  <c r="J93" i="10"/>
  <c r="N93" i="5" s="1"/>
  <c r="AQ114" i="9" l="1"/>
  <c r="CM114" i="8" s="1"/>
  <c r="AO87" i="5"/>
  <c r="AM87" i="5"/>
  <c r="AN87" i="5"/>
  <c r="AR87" i="5" s="1"/>
  <c r="AV88" i="5"/>
  <c r="AW88" i="5"/>
  <c r="AG86" i="7"/>
  <c r="AI86" i="7" s="1"/>
  <c r="AG87" i="7"/>
  <c r="CL88" i="8"/>
  <c r="CA87" i="8"/>
  <c r="AC87" i="1"/>
  <c r="AI110" i="9"/>
  <c r="AO110" i="8" s="1"/>
  <c r="G93" i="8"/>
  <c r="CF92" i="8"/>
  <c r="O92" i="2"/>
  <c r="BE92" i="5" a="1"/>
  <c r="BE92" i="5" s="1"/>
  <c r="BM92" i="5" a="1"/>
  <c r="BM92" i="5" s="1"/>
  <c r="BJ92" i="5" a="1"/>
  <c r="BJ92" i="5" s="1"/>
  <c r="BB92" i="5" a="1"/>
  <c r="BB92" i="5" s="1"/>
  <c r="BF92" i="5" a="1"/>
  <c r="BF92" i="5" s="1"/>
  <c r="AE91" i="1" s="1"/>
  <c r="BC92" i="5" a="1"/>
  <c r="BC92" i="5" s="1"/>
  <c r="BG92" i="5" a="1"/>
  <c r="BG92" i="5" s="1"/>
  <c r="BQ92" i="5" a="1"/>
  <c r="BQ92" i="5" s="1"/>
  <c r="BN92" i="5" a="1"/>
  <c r="BN92" i="5" s="1"/>
  <c r="BD92" i="5" a="1"/>
  <c r="BD92" i="5" s="1"/>
  <c r="AM99" i="9"/>
  <c r="BR87" i="8"/>
  <c r="BS87" i="8"/>
  <c r="AD90" i="1"/>
  <c r="CT92" i="5"/>
  <c r="CU92" i="5"/>
  <c r="CW92" i="5"/>
  <c r="CQ92" i="5"/>
  <c r="CV92" i="5"/>
  <c r="CR92" i="5"/>
  <c r="CS92" i="5"/>
  <c r="BL92" i="5" a="1"/>
  <c r="BL92" i="5" s="1"/>
  <c r="AY92" i="5" a="1"/>
  <c r="AY92" i="5" s="1"/>
  <c r="BA92" i="5" a="1"/>
  <c r="BA92" i="5" s="1"/>
  <c r="BK92" i="5" a="1"/>
  <c r="BK92" i="5" s="1"/>
  <c r="BH92" i="5" a="1"/>
  <c r="BH92" i="5" s="1"/>
  <c r="BO92" i="5" a="1"/>
  <c r="BO92" i="5" s="1"/>
  <c r="AZ92" i="5" a="1"/>
  <c r="AZ92" i="5" s="1"/>
  <c r="BI92" i="5" a="1"/>
  <c r="BI92" i="5" s="1"/>
  <c r="V90" i="2"/>
  <c r="CS85" i="8"/>
  <c r="CX85" i="8"/>
  <c r="CY85" i="8" s="1"/>
  <c r="F95" i="8"/>
  <c r="BP87" i="8"/>
  <c r="BO87" i="8"/>
  <c r="N87" i="7"/>
  <c r="BJ87" i="8"/>
  <c r="BM87" i="8"/>
  <c r="BL87" i="8"/>
  <c r="BK87" i="8"/>
  <c r="BP91" i="5" a="1"/>
  <c r="BP91" i="5" s="1"/>
  <c r="J91" i="2" s="1"/>
  <c r="BN87" i="8"/>
  <c r="O96" i="1"/>
  <c r="CE86" i="8"/>
  <c r="CX86" i="8" s="1"/>
  <c r="CY86" i="8" s="1"/>
  <c r="BX87" i="8"/>
  <c r="CD87" i="8" s="1"/>
  <c r="BT87" i="8"/>
  <c r="AC87" i="10"/>
  <c r="X87" i="10" s="1"/>
  <c r="AS91" i="5"/>
  <c r="DB90" i="5"/>
  <c r="AK91" i="11"/>
  <c r="D88" i="9"/>
  <c r="AM91" i="1"/>
  <c r="AJ91" i="1"/>
  <c r="DF90" i="5"/>
  <c r="DE90" i="5"/>
  <c r="AF89" i="1"/>
  <c r="W89" i="1"/>
  <c r="AM92" i="14" a="1"/>
  <c r="AM92" i="14" s="1"/>
  <c r="AD92" i="14" a="1"/>
  <c r="AD92" i="14" s="1"/>
  <c r="N92" i="14" a="1"/>
  <c r="N92" i="14" s="1"/>
  <c r="BZ92" i="14" a="1"/>
  <c r="BZ92" i="14" s="1"/>
  <c r="AB92" i="14" a="1"/>
  <c r="AB92" i="14" s="1"/>
  <c r="AF92" i="14" a="1"/>
  <c r="AF92" i="14" s="1"/>
  <c r="BE92" i="14" a="1"/>
  <c r="BE92" i="14" s="1"/>
  <c r="Q92" i="14" a="1"/>
  <c r="Q92" i="14" s="1"/>
  <c r="AE92" i="14" a="1"/>
  <c r="AE92" i="14" s="1"/>
  <c r="W92" i="14" a="1"/>
  <c r="W92" i="14" s="1"/>
  <c r="AS92" i="14" a="1"/>
  <c r="AS92" i="14" s="1"/>
  <c r="AJ92" i="14" a="1"/>
  <c r="AJ92" i="14" s="1"/>
  <c r="BW92" i="14" a="1"/>
  <c r="BW92" i="14" s="1"/>
  <c r="BV92" i="14" a="1"/>
  <c r="BV92" i="14" s="1"/>
  <c r="R92" i="14" a="1"/>
  <c r="R92" i="14" s="1"/>
  <c r="AL92" i="1" s="1"/>
  <c r="AX92" i="14" a="1"/>
  <c r="AX92" i="14" s="1"/>
  <c r="X92" i="14" a="1"/>
  <c r="X92" i="14" s="1"/>
  <c r="V92" i="14" a="1"/>
  <c r="V92" i="14" s="1"/>
  <c r="AK92" i="14" a="1"/>
  <c r="AK92" i="14" s="1"/>
  <c r="BX92" i="14" a="1"/>
  <c r="BX92" i="14" s="1"/>
  <c r="BH92" i="14" a="1"/>
  <c r="BH92" i="14" s="1"/>
  <c r="BF92" i="14" a="1"/>
  <c r="BF92" i="14" s="1"/>
  <c r="AA92" i="14" a="1"/>
  <c r="AA92" i="14" s="1"/>
  <c r="AO92" i="14" a="1"/>
  <c r="AO92" i="14" s="1"/>
  <c r="AV92" i="14" a="1"/>
  <c r="AV92" i="14" s="1"/>
  <c r="AU92" i="14" a="1"/>
  <c r="AU92" i="14" s="1"/>
  <c r="AL92" i="14" a="1"/>
  <c r="AL92" i="14" s="1"/>
  <c r="BA92" i="14" a="1"/>
  <c r="BA92" i="14" s="1"/>
  <c r="AZ92" i="14" a="1"/>
  <c r="AZ92" i="14" s="1"/>
  <c r="AY92" i="14" a="1"/>
  <c r="AY92" i="14" s="1"/>
  <c r="AH92" i="14" a="1"/>
  <c r="AH92" i="14" s="1"/>
  <c r="S92" i="14" a="1"/>
  <c r="S92" i="14" s="1"/>
  <c r="Y92" i="14" a="1"/>
  <c r="Y92" i="14" s="1"/>
  <c r="BT92" i="14" a="1"/>
  <c r="BT92" i="14" s="1"/>
  <c r="O92" i="14" a="1"/>
  <c r="O92" i="14" s="1"/>
  <c r="AT92" i="14" a="1"/>
  <c r="AT92" i="14" s="1"/>
  <c r="BP92" i="14" a="1"/>
  <c r="BP92" i="14" s="1"/>
  <c r="AN92" i="14" a="1"/>
  <c r="AN92" i="14" s="1"/>
  <c r="BO92" i="14" a="1"/>
  <c r="BO92" i="14" s="1"/>
  <c r="AW92" i="14" a="1"/>
  <c r="AW92" i="14" s="1"/>
  <c r="BL92" i="14" a="1"/>
  <c r="BL92" i="14" s="1"/>
  <c r="AG92" i="14" a="1"/>
  <c r="AG92" i="14" s="1"/>
  <c r="BS92" i="14" a="1"/>
  <c r="BS92" i="14" s="1"/>
  <c r="BJ92" i="14" a="1"/>
  <c r="BJ92" i="14" s="1"/>
  <c r="BD92" i="14" a="1"/>
  <c r="BD92" i="14" s="1"/>
  <c r="BY92" i="14" a="1"/>
  <c r="BY92" i="14" s="1"/>
  <c r="P92" i="14" a="1"/>
  <c r="P92" i="14" s="1"/>
  <c r="AI92" i="14" a="1"/>
  <c r="AI92" i="14" s="1"/>
  <c r="Z92" i="14" a="1"/>
  <c r="Z92" i="14" s="1"/>
  <c r="BM92" i="14" a="1"/>
  <c r="BM92" i="14" s="1"/>
  <c r="BI92" i="14" a="1"/>
  <c r="BI92" i="14" s="1"/>
  <c r="AP92" i="14" a="1"/>
  <c r="AP92" i="14" s="1"/>
  <c r="BQ92" i="14" a="1"/>
  <c r="BQ92" i="14" s="1"/>
  <c r="AQ92" i="14" a="1"/>
  <c r="AQ92" i="14" s="1"/>
  <c r="AR92" i="14" a="1"/>
  <c r="AR92" i="14" s="1"/>
  <c r="BU92" i="14" a="1"/>
  <c r="BU92" i="14" s="1"/>
  <c r="AC92" i="14" a="1"/>
  <c r="AC92" i="14" s="1"/>
  <c r="M92" i="14" a="1"/>
  <c r="M92" i="14" s="1"/>
  <c r="BK92" i="14" a="1"/>
  <c r="BK92" i="14" s="1"/>
  <c r="T92" i="14" a="1"/>
  <c r="T92" i="14" s="1"/>
  <c r="BC92" i="14" a="1"/>
  <c r="BC92" i="14" s="1"/>
  <c r="U92" i="14" a="1"/>
  <c r="U92" i="14" s="1"/>
  <c r="BR92" i="14" a="1"/>
  <c r="BR92" i="14" s="1"/>
  <c r="BG92" i="14" a="1"/>
  <c r="BG92" i="14" s="1"/>
  <c r="BB92" i="14" a="1"/>
  <c r="BB92" i="14" s="1"/>
  <c r="BN92" i="14" a="1"/>
  <c r="BN92" i="14" s="1"/>
  <c r="AH91" i="11"/>
  <c r="K93" i="11"/>
  <c r="A93" i="14"/>
  <c r="CA93" i="14" s="1"/>
  <c r="A93" i="9"/>
  <c r="A93" i="7"/>
  <c r="R93" i="7" s="1"/>
  <c r="A93" i="2"/>
  <c r="A93" i="8"/>
  <c r="A93" i="5"/>
  <c r="Y89" i="1"/>
  <c r="DJ90" i="5"/>
  <c r="DH90" i="5"/>
  <c r="AU92" i="8"/>
  <c r="AE92" i="8"/>
  <c r="N87" i="11"/>
  <c r="AA86" i="11"/>
  <c r="AK86" i="1" s="1"/>
  <c r="AC86" i="11"/>
  <c r="U86" i="8" s="1"/>
  <c r="Z86" i="11"/>
  <c r="AB86" i="11"/>
  <c r="Q86" i="8" s="1"/>
  <c r="AD86" i="11"/>
  <c r="AI86" i="1" s="1"/>
  <c r="B87" i="14"/>
  <c r="Q87" i="7"/>
  <c r="CI87" i="8"/>
  <c r="DA87" i="8" s="1"/>
  <c r="CB87" i="8"/>
  <c r="CT87" i="8" s="1"/>
  <c r="CC87" i="8"/>
  <c r="CV87" i="8" s="1"/>
  <c r="CW87" i="8" s="1"/>
  <c r="BY87" i="8"/>
  <c r="BZ87" i="8"/>
  <c r="CH87" i="8"/>
  <c r="CZ87" i="8" s="1"/>
  <c r="B90" i="5"/>
  <c r="BU90" i="5"/>
  <c r="AH90" i="5"/>
  <c r="B90" i="2"/>
  <c r="B90" i="1"/>
  <c r="BG90" i="1" s="1"/>
  <c r="BY92" i="11"/>
  <c r="K91" i="10"/>
  <c r="AA91" i="7"/>
  <c r="AF91" i="8" s="1"/>
  <c r="AV91" i="8" s="1"/>
  <c r="L91" i="11"/>
  <c r="L91" i="5"/>
  <c r="G90" i="10"/>
  <c r="I90" i="7"/>
  <c r="I91" i="5"/>
  <c r="D90" i="10"/>
  <c r="F90" i="7"/>
  <c r="K91" i="5"/>
  <c r="F90" i="10"/>
  <c r="H90" i="7"/>
  <c r="DD90" i="5"/>
  <c r="G91" i="5"/>
  <c r="B90" i="10"/>
  <c r="D90" i="7"/>
  <c r="J91" i="5"/>
  <c r="DC91" i="5" s="1"/>
  <c r="E90" i="10"/>
  <c r="G90" i="7"/>
  <c r="M91" i="5"/>
  <c r="H90" i="10"/>
  <c r="J90" i="7"/>
  <c r="H91" i="5"/>
  <c r="C90" i="10"/>
  <c r="E90" i="7"/>
  <c r="CQ86" i="8"/>
  <c r="CU86" i="8" s="1"/>
  <c r="DH88" i="8"/>
  <c r="DI88" i="8" s="1"/>
  <c r="CK88" i="8"/>
  <c r="BW88" i="8"/>
  <c r="AC88" i="1" s="1"/>
  <c r="BH88" i="8"/>
  <c r="BU88" i="8" s="1"/>
  <c r="BI88" i="8"/>
  <c r="AH99" i="9"/>
  <c r="X88" i="8"/>
  <c r="DD88" i="8" s="1"/>
  <c r="E88" i="1"/>
  <c r="B88" i="9"/>
  <c r="Y88" i="9" s="1"/>
  <c r="AJ88" i="5"/>
  <c r="AP88" i="5" s="1"/>
  <c r="AI88" i="5"/>
  <c r="A88" i="11"/>
  <c r="AC88" i="8"/>
  <c r="BQ88" i="8" s="1"/>
  <c r="BT88" i="5"/>
  <c r="A88" i="10"/>
  <c r="AA88" i="10" s="1"/>
  <c r="B88" i="7"/>
  <c r="CZ90" i="5"/>
  <c r="AQ86" i="5"/>
  <c r="B86" i="14"/>
  <c r="DB86" i="8"/>
  <c r="C89" i="5"/>
  <c r="F89" i="5" s="1"/>
  <c r="CR86" i="8"/>
  <c r="AB90" i="1"/>
  <c r="DI90" i="5"/>
  <c r="DA89" i="5"/>
  <c r="DG89" i="5" s="1" a="1"/>
  <c r="DG89" i="5" s="1"/>
  <c r="AG99" i="9"/>
  <c r="AK99" i="9"/>
  <c r="AF1269" i="14"/>
  <c r="AF1270" i="14" s="1"/>
  <c r="N75" i="1"/>
  <c r="S92" i="2"/>
  <c r="N93" i="2"/>
  <c r="R93" i="2"/>
  <c r="Q92" i="2"/>
  <c r="J94" i="10"/>
  <c r="N94" i="5" s="1"/>
  <c r="P94" i="2"/>
  <c r="AQ115" i="9" l="1"/>
  <c r="CM115" i="8" s="1"/>
  <c r="AO88" i="5"/>
  <c r="AM88" i="5"/>
  <c r="AN88" i="5"/>
  <c r="AV89" i="5"/>
  <c r="AW89" i="5"/>
  <c r="AI87" i="7"/>
  <c r="CR87" i="8"/>
  <c r="CL89" i="8"/>
  <c r="AI111" i="9"/>
  <c r="AO111" i="8" s="1"/>
  <c r="G94" i="8"/>
  <c r="CF93" i="8"/>
  <c r="O93" i="2"/>
  <c r="BM93" i="5" a="1"/>
  <c r="BM93" i="5" s="1"/>
  <c r="AD91" i="1"/>
  <c r="AM100" i="9"/>
  <c r="BR88" i="8"/>
  <c r="BS88" i="8"/>
  <c r="BI93" i="5" a="1"/>
  <c r="BI93" i="5" s="1"/>
  <c r="AZ93" i="5" a="1"/>
  <c r="AZ93" i="5" s="1"/>
  <c r="BF93" i="5" a="1"/>
  <c r="BF93" i="5" s="1"/>
  <c r="AE92" i="1" s="1"/>
  <c r="CV93" i="5"/>
  <c r="CU93" i="5"/>
  <c r="CR93" i="5"/>
  <c r="CS93" i="5"/>
  <c r="CT93" i="5"/>
  <c r="CW93" i="5"/>
  <c r="CQ93" i="5"/>
  <c r="AY93" i="5" a="1"/>
  <c r="AY93" i="5" s="1"/>
  <c r="BL93" i="5" a="1"/>
  <c r="BL93" i="5" s="1"/>
  <c r="BD93" i="5" a="1"/>
  <c r="BD93" i="5" s="1"/>
  <c r="BN93" i="5" a="1"/>
  <c r="BN93" i="5" s="1"/>
  <c r="BO93" i="5" a="1"/>
  <c r="BO93" i="5" s="1"/>
  <c r="BG93" i="5" a="1"/>
  <c r="BG93" i="5" s="1"/>
  <c r="BH93" i="5" a="1"/>
  <c r="BH93" i="5" s="1"/>
  <c r="BB93" i="5" a="1"/>
  <c r="BB93" i="5" s="1"/>
  <c r="BK93" i="5" a="1"/>
  <c r="BK93" i="5" s="1"/>
  <c r="BE93" i="5" a="1"/>
  <c r="BE93" i="5" s="1"/>
  <c r="BA93" i="5" a="1"/>
  <c r="BA93" i="5" s="1"/>
  <c r="BC93" i="5" a="1"/>
  <c r="BC93" i="5" s="1"/>
  <c r="BJ93" i="5" a="1"/>
  <c r="BJ93" i="5" s="1"/>
  <c r="BQ93" i="5" a="1"/>
  <c r="BQ93" i="5" s="1"/>
  <c r="V91" i="2"/>
  <c r="CQ87" i="8"/>
  <c r="CU87" i="8" s="1"/>
  <c r="F96" i="8"/>
  <c r="BP92" i="5" a="1"/>
  <c r="BP92" i="5" s="1"/>
  <c r="J92" i="2" s="1"/>
  <c r="O97" i="1"/>
  <c r="CE87" i="8"/>
  <c r="CX87" i="8" s="1"/>
  <c r="CY87" i="8" s="1"/>
  <c r="BT88" i="8"/>
  <c r="BO88" i="8"/>
  <c r="BP88" i="8"/>
  <c r="BM88" i="8"/>
  <c r="BN88" i="8"/>
  <c r="BK88" i="8"/>
  <c r="BL88" i="8"/>
  <c r="BJ88" i="8"/>
  <c r="AR88" i="5"/>
  <c r="AC88" i="10"/>
  <c r="X88" i="10" s="1"/>
  <c r="AS92" i="5"/>
  <c r="AK92" i="11"/>
  <c r="DB91" i="5"/>
  <c r="DF91" i="5"/>
  <c r="AH92" i="11"/>
  <c r="DE91" i="5"/>
  <c r="Y90" i="1"/>
  <c r="DJ91" i="5"/>
  <c r="DH91" i="5"/>
  <c r="AJ92" i="1"/>
  <c r="W90" i="1"/>
  <c r="K94" i="11"/>
  <c r="A94" i="14"/>
  <c r="CA94" i="14" s="1"/>
  <c r="A94" i="5"/>
  <c r="A94" i="9"/>
  <c r="A94" i="8"/>
  <c r="A94" i="7"/>
  <c r="R94" i="7" s="1"/>
  <c r="A94" i="2"/>
  <c r="AE93" i="8"/>
  <c r="AU93" i="8"/>
  <c r="AM92" i="1"/>
  <c r="AF90" i="1"/>
  <c r="W93" i="14" a="1"/>
  <c r="W93" i="14" s="1"/>
  <c r="AE93" i="14" a="1"/>
  <c r="AE93" i="14" s="1"/>
  <c r="AS93" i="14" a="1"/>
  <c r="AS93" i="14" s="1"/>
  <c r="BP93" i="14" a="1"/>
  <c r="BP93" i="14" s="1"/>
  <c r="T93" i="14" a="1"/>
  <c r="T93" i="14" s="1"/>
  <c r="BV93" i="14" a="1"/>
  <c r="BV93" i="14" s="1"/>
  <c r="AX93" i="14" a="1"/>
  <c r="AX93" i="14" s="1"/>
  <c r="AG93" i="14" a="1"/>
  <c r="AG93" i="14" s="1"/>
  <c r="AV93" i="14" a="1"/>
  <c r="AV93" i="14" s="1"/>
  <c r="O93" i="14" a="1"/>
  <c r="O93" i="14" s="1"/>
  <c r="AT93" i="14" a="1"/>
  <c r="AT93" i="14" s="1"/>
  <c r="AK93" i="14" a="1"/>
  <c r="AK93" i="14" s="1"/>
  <c r="BZ93" i="14" a="1"/>
  <c r="BZ93" i="14" s="1"/>
  <c r="BO93" i="14" a="1"/>
  <c r="BO93" i="14" s="1"/>
  <c r="AQ93" i="14" a="1"/>
  <c r="AQ93" i="14" s="1"/>
  <c r="BF93" i="14" a="1"/>
  <c r="BF93" i="14" s="1"/>
  <c r="M93" i="14" a="1"/>
  <c r="M93" i="14" s="1"/>
  <c r="BT93" i="14" a="1"/>
  <c r="BT93" i="14" s="1"/>
  <c r="BB93" i="14" a="1"/>
  <c r="BB93" i="14" s="1"/>
  <c r="N93" i="14" a="1"/>
  <c r="N93" i="14" s="1"/>
  <c r="U93" i="14" a="1"/>
  <c r="U93" i="14" s="1"/>
  <c r="AJ93" i="14" a="1"/>
  <c r="AJ93" i="14" s="1"/>
  <c r="BG93" i="14" a="1"/>
  <c r="BG93" i="14" s="1"/>
  <c r="AH93" i="14" a="1"/>
  <c r="AH93" i="14" s="1"/>
  <c r="Q93" i="14" a="1"/>
  <c r="Q93" i="14" s="1"/>
  <c r="Y93" i="14" a="1"/>
  <c r="Y93" i="14" s="1"/>
  <c r="BK93" i="14" a="1"/>
  <c r="BK93" i="14" s="1"/>
  <c r="BR93" i="14" a="1"/>
  <c r="BR93" i="14" s="1"/>
  <c r="V93" i="14" a="1"/>
  <c r="V93" i="14" s="1"/>
  <c r="BX93" i="14" a="1"/>
  <c r="BX93" i="14" s="1"/>
  <c r="AN93" i="14" a="1"/>
  <c r="AN93" i="14" s="1"/>
  <c r="AI93" i="14" a="1"/>
  <c r="AI93" i="14" s="1"/>
  <c r="R93" i="14" a="1"/>
  <c r="R93" i="14" s="1"/>
  <c r="AL93" i="1" s="1"/>
  <c r="BL93" i="14" a="1"/>
  <c r="BL93" i="14" s="1"/>
  <c r="BS93" i="14" a="1"/>
  <c r="BS93" i="14" s="1"/>
  <c r="AL93" i="14" a="1"/>
  <c r="AL93" i="14" s="1"/>
  <c r="BA93" i="14" a="1"/>
  <c r="BA93" i="14" s="1"/>
  <c r="BH93" i="14" a="1"/>
  <c r="BH93" i="14" s="1"/>
  <c r="BW93" i="14" a="1"/>
  <c r="BW93" i="14" s="1"/>
  <c r="S93" i="14" a="1"/>
  <c r="S93" i="14" s="1"/>
  <c r="AA93" i="14" a="1"/>
  <c r="AA93" i="14" s="1"/>
  <c r="AW93" i="14" a="1"/>
  <c r="AW93" i="14" s="1"/>
  <c r="AM93" i="14" a="1"/>
  <c r="AM93" i="14" s="1"/>
  <c r="AD93" i="14" a="1"/>
  <c r="AD93" i="14" s="1"/>
  <c r="BI93" i="14" a="1"/>
  <c r="BI93" i="14" s="1"/>
  <c r="AR93" i="14" a="1"/>
  <c r="AR93" i="14" s="1"/>
  <c r="AB93" i="14" a="1"/>
  <c r="AB93" i="14" s="1"/>
  <c r="BN93" i="14" a="1"/>
  <c r="BN93" i="14" s="1"/>
  <c r="BM93" i="14" a="1"/>
  <c r="BM93" i="14" s="1"/>
  <c r="AO93" i="14" a="1"/>
  <c r="AO93" i="14" s="1"/>
  <c r="AU93" i="14" a="1"/>
  <c r="AU93" i="14" s="1"/>
  <c r="X93" i="14" a="1"/>
  <c r="X93" i="14" s="1"/>
  <c r="BD93" i="14" a="1"/>
  <c r="BD93" i="14" s="1"/>
  <c r="BY93" i="14" a="1"/>
  <c r="BY93" i="14" s="1"/>
  <c r="AC93" i="14" a="1"/>
  <c r="AC93" i="14" s="1"/>
  <c r="AY93" i="14" a="1"/>
  <c r="AY93" i="14" s="1"/>
  <c r="BE93" i="14" a="1"/>
  <c r="BE93" i="14" s="1"/>
  <c r="BU93" i="14" a="1"/>
  <c r="BU93" i="14" s="1"/>
  <c r="BQ93" i="14" a="1"/>
  <c r="BQ93" i="14" s="1"/>
  <c r="P93" i="14" a="1"/>
  <c r="P93" i="14" s="1"/>
  <c r="AZ93" i="14" a="1"/>
  <c r="AZ93" i="14" s="1"/>
  <c r="AF93" i="14" a="1"/>
  <c r="AF93" i="14" s="1"/>
  <c r="AP93" i="14" a="1"/>
  <c r="AP93" i="14" s="1"/>
  <c r="Z93" i="14" a="1"/>
  <c r="Z93" i="14" s="1"/>
  <c r="BC93" i="14" a="1"/>
  <c r="BC93" i="14" s="1"/>
  <c r="BJ93" i="14" a="1"/>
  <c r="BJ93" i="14" s="1"/>
  <c r="DB87" i="8"/>
  <c r="AQ87" i="5"/>
  <c r="B91" i="5"/>
  <c r="BY93" i="11"/>
  <c r="K92" i="10"/>
  <c r="AA92" i="7"/>
  <c r="AF92" i="8" s="1"/>
  <c r="AV92" i="8" s="1"/>
  <c r="L92" i="11"/>
  <c r="CS86" i="8"/>
  <c r="B91" i="2"/>
  <c r="BU91" i="5"/>
  <c r="B91" i="1"/>
  <c r="BG91" i="1" s="1"/>
  <c r="AH91" i="5"/>
  <c r="J92" i="5"/>
  <c r="DC92" i="5" s="1"/>
  <c r="E91" i="10"/>
  <c r="G91" i="7"/>
  <c r="K92" i="5"/>
  <c r="F91" i="10"/>
  <c r="H91" i="7"/>
  <c r="DD91" i="5"/>
  <c r="H92" i="5"/>
  <c r="C91" i="10"/>
  <c r="E91" i="7"/>
  <c r="D91" i="7"/>
  <c r="B91" i="10"/>
  <c r="G92" i="5"/>
  <c r="I92" i="5"/>
  <c r="D91" i="10"/>
  <c r="F91" i="7"/>
  <c r="M92" i="5"/>
  <c r="H91" i="10"/>
  <c r="J91" i="7"/>
  <c r="L92" i="5"/>
  <c r="G91" i="10"/>
  <c r="I91" i="7"/>
  <c r="D89" i="9"/>
  <c r="DH89" i="8"/>
  <c r="DI89" i="8" s="1"/>
  <c r="CK89" i="8"/>
  <c r="BW89" i="8"/>
  <c r="AC89" i="1" s="1"/>
  <c r="BX88" i="8"/>
  <c r="CD88" i="8" s="1"/>
  <c r="N88" i="7"/>
  <c r="BH89" i="8"/>
  <c r="BU89" i="8" s="1"/>
  <c r="BI89" i="8"/>
  <c r="AH100" i="9"/>
  <c r="A89" i="11"/>
  <c r="A89" i="10"/>
  <c r="AA89" i="10" s="1"/>
  <c r="B89" i="7"/>
  <c r="B89" i="9"/>
  <c r="Y89" i="9" s="1"/>
  <c r="AC89" i="8"/>
  <c r="BQ89" i="8" s="1"/>
  <c r="BT89" i="5"/>
  <c r="AJ89" i="5"/>
  <c r="AP89" i="5" s="1"/>
  <c r="X89" i="8"/>
  <c r="DD89" i="8" s="1"/>
  <c r="E89" i="1"/>
  <c r="AI89" i="5"/>
  <c r="AB87" i="11"/>
  <c r="Q87" i="8" s="1"/>
  <c r="AC87" i="11"/>
  <c r="U87" i="8" s="1"/>
  <c r="AD87" i="11"/>
  <c r="AI87" i="1" s="1"/>
  <c r="Y87" i="11"/>
  <c r="AH87" i="1" s="1"/>
  <c r="Z87" i="11"/>
  <c r="N88" i="11"/>
  <c r="AA87" i="11"/>
  <c r="AK87" i="1" s="1"/>
  <c r="C90" i="5"/>
  <c r="F90" i="5" s="1"/>
  <c r="AE88" i="7"/>
  <c r="AF88" i="7" s="1"/>
  <c r="Q88" i="7"/>
  <c r="CB88" i="8"/>
  <c r="CT88" i="8" s="1"/>
  <c r="BY88" i="8"/>
  <c r="BZ88" i="8"/>
  <c r="CA88" i="8"/>
  <c r="CC88" i="8"/>
  <c r="CV88" i="8" s="1"/>
  <c r="CW88" i="8" s="1"/>
  <c r="CH88" i="8"/>
  <c r="CZ88" i="8" s="1"/>
  <c r="CZ91" i="5"/>
  <c r="CI88" i="8"/>
  <c r="DA88" i="8" s="1"/>
  <c r="C91" i="5"/>
  <c r="DA90" i="5"/>
  <c r="DG90" i="5" s="1" a="1"/>
  <c r="DG90" i="5" s="1"/>
  <c r="AB91" i="1"/>
  <c r="DI91" i="5"/>
  <c r="AG100" i="9"/>
  <c r="AK100" i="9"/>
  <c r="N1269" i="14"/>
  <c r="N1270" i="14" s="1"/>
  <c r="N76" i="1"/>
  <c r="S93" i="2"/>
  <c r="N94" i="2"/>
  <c r="R94" i="2"/>
  <c r="Q93" i="2"/>
  <c r="J95" i="10"/>
  <c r="N95" i="5" s="1"/>
  <c r="P95" i="2"/>
  <c r="AQ116" i="9" l="1"/>
  <c r="CM116" i="8" s="1"/>
  <c r="AO89" i="5"/>
  <c r="AM89" i="5"/>
  <c r="AN89" i="5"/>
  <c r="AR89" i="5" s="1"/>
  <c r="AV90" i="5"/>
  <c r="AW90" i="5"/>
  <c r="AG88" i="7"/>
  <c r="AI88" i="7" s="1"/>
  <c r="CL90" i="8"/>
  <c r="AI112" i="9"/>
  <c r="AO112" i="8" s="1"/>
  <c r="G95" i="8"/>
  <c r="CF94" i="8"/>
  <c r="O94" i="2"/>
  <c r="BN94" i="5" a="1"/>
  <c r="BN94" i="5" s="1"/>
  <c r="AM101" i="9"/>
  <c r="BR89" i="8"/>
  <c r="BS89" i="8"/>
  <c r="AD92" i="1"/>
  <c r="BQ94" i="5" a="1"/>
  <c r="BQ94" i="5" s="1"/>
  <c r="BJ94" i="5" a="1"/>
  <c r="BJ94" i="5" s="1"/>
  <c r="BC94" i="5" a="1"/>
  <c r="BC94" i="5" s="1"/>
  <c r="BA94" i="5" a="1"/>
  <c r="BA94" i="5" s="1"/>
  <c r="BE94" i="5" a="1"/>
  <c r="BE94" i="5" s="1"/>
  <c r="BD94" i="5" a="1"/>
  <c r="BD94" i="5" s="1"/>
  <c r="BK94" i="5" a="1"/>
  <c r="BK94" i="5" s="1"/>
  <c r="BB94" i="5" a="1"/>
  <c r="BB94" i="5" s="1"/>
  <c r="BF94" i="5" a="1"/>
  <c r="BF94" i="5" s="1"/>
  <c r="AE93" i="1" s="1"/>
  <c r="CU94" i="5"/>
  <c r="CV94" i="5"/>
  <c r="CT94" i="5"/>
  <c r="CQ94" i="5"/>
  <c r="CR94" i="5"/>
  <c r="CS94" i="5"/>
  <c r="CW94" i="5"/>
  <c r="BL94" i="5" a="1"/>
  <c r="BL94" i="5" s="1"/>
  <c r="AY94" i="5" a="1"/>
  <c r="AY94" i="5" s="1"/>
  <c r="BH94" i="5" a="1"/>
  <c r="BH94" i="5" s="1"/>
  <c r="AZ94" i="5" a="1"/>
  <c r="AZ94" i="5" s="1"/>
  <c r="BG94" i="5" a="1"/>
  <c r="BG94" i="5" s="1"/>
  <c r="BI94" i="5" a="1"/>
  <c r="BI94" i="5" s="1"/>
  <c r="BO94" i="5" a="1"/>
  <c r="BO94" i="5" s="1"/>
  <c r="BM94" i="5" a="1"/>
  <c r="BM94" i="5" s="1"/>
  <c r="V92" i="2"/>
  <c r="CS87" i="8"/>
  <c r="F97" i="8"/>
  <c r="BP93" i="5" a="1"/>
  <c r="BP93" i="5" s="1"/>
  <c r="J93" i="2" s="1"/>
  <c r="O98" i="1"/>
  <c r="BX89" i="8"/>
  <c r="CE89" i="8" s="1"/>
  <c r="BT89" i="8"/>
  <c r="BO89" i="8"/>
  <c r="BP89" i="8"/>
  <c r="BM89" i="8"/>
  <c r="BN89" i="8"/>
  <c r="BK89" i="8"/>
  <c r="BL89" i="8"/>
  <c r="BJ89" i="8"/>
  <c r="AC89" i="10"/>
  <c r="X89" i="10" s="1"/>
  <c r="AS93" i="5"/>
  <c r="AK93" i="11"/>
  <c r="DF92" i="5"/>
  <c r="DB92" i="5"/>
  <c r="DE92" i="5"/>
  <c r="K95" i="11"/>
  <c r="A95" i="14"/>
  <c r="CA95" i="14" s="1"/>
  <c r="A95" i="5"/>
  <c r="A95" i="8"/>
  <c r="A95" i="9"/>
  <c r="A95" i="7"/>
  <c r="R95" i="7" s="1"/>
  <c r="A95" i="2"/>
  <c r="W94" i="14" a="1"/>
  <c r="W94" i="14" s="1"/>
  <c r="BJ94" i="14" a="1"/>
  <c r="BJ94" i="14" s="1"/>
  <c r="BA94" i="14" a="1"/>
  <c r="BA94" i="14" s="1"/>
  <c r="BY94" i="14" a="1"/>
  <c r="BY94" i="14" s="1"/>
  <c r="S94" i="14" a="1"/>
  <c r="S94" i="14" s="1"/>
  <c r="BW94" i="14" a="1"/>
  <c r="BW94" i="14" s="1"/>
  <c r="BM94" i="14" a="1"/>
  <c r="BM94" i="14" s="1"/>
  <c r="AV94" i="14" a="1"/>
  <c r="AV94" i="14" s="1"/>
  <c r="X94" i="14" a="1"/>
  <c r="X94" i="14" s="1"/>
  <c r="AL94" i="14" a="1"/>
  <c r="AL94" i="14" s="1"/>
  <c r="AK94" i="14" a="1"/>
  <c r="AK94" i="14" s="1"/>
  <c r="BT94" i="14" a="1"/>
  <c r="BT94" i="14" s="1"/>
  <c r="AT94" i="14" a="1"/>
  <c r="AT94" i="14" s="1"/>
  <c r="AD94" i="14" a="1"/>
  <c r="AD94" i="14" s="1"/>
  <c r="AC94" i="14" a="1"/>
  <c r="AC94" i="14" s="1"/>
  <c r="AJ94" i="14" a="1"/>
  <c r="AJ94" i="14" s="1"/>
  <c r="AN94" i="14" a="1"/>
  <c r="AN94" i="14" s="1"/>
  <c r="AQ94" i="14" a="1"/>
  <c r="AQ94" i="14" s="1"/>
  <c r="BE94" i="14" a="1"/>
  <c r="BE94" i="14" s="1"/>
  <c r="M94" i="14" a="1"/>
  <c r="M94" i="14" s="1"/>
  <c r="BC94" i="14" a="1"/>
  <c r="BC94" i="14" s="1"/>
  <c r="AE94" i="14" a="1"/>
  <c r="AE94" i="14" s="1"/>
  <c r="N94" i="14" a="1"/>
  <c r="N94" i="14" s="1"/>
  <c r="BX94" i="14" a="1"/>
  <c r="BX94" i="14" s="1"/>
  <c r="BO94" i="14" a="1"/>
  <c r="BO94" i="14" s="1"/>
  <c r="AA94" i="14" a="1"/>
  <c r="AA94" i="14" s="1"/>
  <c r="AH94" i="14" a="1"/>
  <c r="AH94" i="14" s="1"/>
  <c r="AG94" i="14" a="1"/>
  <c r="AG94" i="14" s="1"/>
  <c r="AU94" i="14" a="1"/>
  <c r="AU94" i="14" s="1"/>
  <c r="O94" i="14" a="1"/>
  <c r="O94" i="14" s="1"/>
  <c r="BD94" i="14" a="1"/>
  <c r="BD94" i="14" s="1"/>
  <c r="P94" i="14" a="1"/>
  <c r="P94" i="14" s="1"/>
  <c r="BZ94" i="14" a="1"/>
  <c r="BZ94" i="14" s="1"/>
  <c r="BG94" i="14" a="1"/>
  <c r="BG94" i="14" s="1"/>
  <c r="AP94" i="14" a="1"/>
  <c r="AP94" i="14" s="1"/>
  <c r="AW94" i="14" a="1"/>
  <c r="AW94" i="14" s="1"/>
  <c r="AM94" i="14" a="1"/>
  <c r="AM94" i="14" s="1"/>
  <c r="V94" i="14" a="1"/>
  <c r="V94" i="14" s="1"/>
  <c r="BQ94" i="14" a="1"/>
  <c r="BQ94" i="14" s="1"/>
  <c r="BK94" i="14" a="1"/>
  <c r="BK94" i="14" s="1"/>
  <c r="BR94" i="14" a="1"/>
  <c r="BR94" i="14" s="1"/>
  <c r="AS94" i="14" a="1"/>
  <c r="AS94" i="14" s="1"/>
  <c r="AR94" i="14" a="1"/>
  <c r="AR94" i="14" s="1"/>
  <c r="U94" i="14" a="1"/>
  <c r="U94" i="14" s="1"/>
  <c r="BN94" i="14" a="1"/>
  <c r="BN94" i="14" s="1"/>
  <c r="AX94" i="14" a="1"/>
  <c r="AX94" i="14" s="1"/>
  <c r="R94" i="14" a="1"/>
  <c r="R94" i="14" s="1"/>
  <c r="AL94" i="1" s="1"/>
  <c r="BB94" i="14" a="1"/>
  <c r="BB94" i="14" s="1"/>
  <c r="AI94" i="14" a="1"/>
  <c r="AI94" i="14" s="1"/>
  <c r="Z94" i="14" a="1"/>
  <c r="Z94" i="14" s="1"/>
  <c r="BI94" i="14" a="1"/>
  <c r="BI94" i="14" s="1"/>
  <c r="BV94" i="14" a="1"/>
  <c r="BV94" i="14" s="1"/>
  <c r="Q94" i="14" a="1"/>
  <c r="Q94" i="14" s="1"/>
  <c r="BH94" i="14" a="1"/>
  <c r="BH94" i="14" s="1"/>
  <c r="BF94" i="14" a="1"/>
  <c r="BF94" i="14" s="1"/>
  <c r="BP94" i="14" a="1"/>
  <c r="BP94" i="14" s="1"/>
  <c r="AF94" i="14" a="1"/>
  <c r="AF94" i="14" s="1"/>
  <c r="AB94" i="14" a="1"/>
  <c r="AB94" i="14" s="1"/>
  <c r="BU94" i="14" a="1"/>
  <c r="BU94" i="14" s="1"/>
  <c r="T94" i="14" a="1"/>
  <c r="T94" i="14" s="1"/>
  <c r="Y94" i="14" a="1"/>
  <c r="Y94" i="14" s="1"/>
  <c r="AZ94" i="14" a="1"/>
  <c r="AZ94" i="14" s="1"/>
  <c r="BL94" i="14" a="1"/>
  <c r="BL94" i="14" s="1"/>
  <c r="BS94" i="14" a="1"/>
  <c r="BS94" i="14" s="1"/>
  <c r="AY94" i="14" a="1"/>
  <c r="AY94" i="14" s="1"/>
  <c r="AO94" i="14" a="1"/>
  <c r="AO94" i="14" s="1"/>
  <c r="DH92" i="5"/>
  <c r="AJ93" i="1"/>
  <c r="AF91" i="1"/>
  <c r="AH93" i="11"/>
  <c r="AM93" i="1"/>
  <c r="W91" i="1"/>
  <c r="AE94" i="8"/>
  <c r="AU94" i="8"/>
  <c r="Y91" i="1"/>
  <c r="DJ92" i="5"/>
  <c r="F91" i="5"/>
  <c r="B92" i="5"/>
  <c r="BU92" i="5"/>
  <c r="B92" i="2"/>
  <c r="B92" i="1"/>
  <c r="BG92" i="1" s="1"/>
  <c r="AH92" i="5"/>
  <c r="BY94" i="11"/>
  <c r="AA93" i="7"/>
  <c r="AF93" i="8" s="1"/>
  <c r="AV93" i="8" s="1"/>
  <c r="K93" i="10"/>
  <c r="L93" i="11"/>
  <c r="I93" i="5"/>
  <c r="D92" i="10"/>
  <c r="F92" i="7"/>
  <c r="H93" i="5"/>
  <c r="C92" i="10"/>
  <c r="E92" i="7"/>
  <c r="D92" i="7"/>
  <c r="G93" i="5"/>
  <c r="B92" i="10"/>
  <c r="L93" i="5"/>
  <c r="G92" i="10"/>
  <c r="I92" i="7"/>
  <c r="K93" i="5"/>
  <c r="F92" i="10"/>
  <c r="H92" i="7"/>
  <c r="DD92" i="5"/>
  <c r="M93" i="5"/>
  <c r="H92" i="10"/>
  <c r="J92" i="7"/>
  <c r="J93" i="5"/>
  <c r="DC93" i="5" s="1"/>
  <c r="E92" i="10"/>
  <c r="G92" i="7"/>
  <c r="CQ88" i="8"/>
  <c r="CU88" i="8" s="1"/>
  <c r="D90" i="9"/>
  <c r="DH90" i="8"/>
  <c r="DI90" i="8" s="1"/>
  <c r="CE88" i="8"/>
  <c r="CX88" i="8" s="1"/>
  <c r="CY88" i="8" s="1"/>
  <c r="CK90" i="8"/>
  <c r="BW90" i="8"/>
  <c r="AC90" i="1" s="1"/>
  <c r="N89" i="7"/>
  <c r="BH90" i="8"/>
  <c r="BU90" i="8" s="1"/>
  <c r="BI90" i="8"/>
  <c r="AH101" i="9"/>
  <c r="AQ88" i="5"/>
  <c r="CR88" i="8"/>
  <c r="B88" i="14"/>
  <c r="CZ92" i="5"/>
  <c r="AE89" i="7"/>
  <c r="AF89" i="7" s="1"/>
  <c r="Q89" i="7"/>
  <c r="CI89" i="8"/>
  <c r="DA89" i="8" s="1"/>
  <c r="BT90" i="5"/>
  <c r="AC90" i="8"/>
  <c r="BQ90" i="8" s="1"/>
  <c r="A90" i="10"/>
  <c r="AA90" i="10" s="1"/>
  <c r="B90" i="7"/>
  <c r="E90" i="1"/>
  <c r="AJ90" i="5"/>
  <c r="AP90" i="5" s="1"/>
  <c r="X90" i="8"/>
  <c r="DD90" i="8" s="1"/>
  <c r="AI90" i="5"/>
  <c r="B90" i="9"/>
  <c r="Y90" i="9" s="1"/>
  <c r="A90" i="11"/>
  <c r="Y88" i="11"/>
  <c r="AH88" i="1" s="1"/>
  <c r="AA88" i="11"/>
  <c r="AK88" i="1" s="1"/>
  <c r="AC88" i="11"/>
  <c r="U88" i="8" s="1"/>
  <c r="AD88" i="11"/>
  <c r="AI88" i="1" s="1"/>
  <c r="Z88" i="11"/>
  <c r="N89" i="11"/>
  <c r="AB88" i="11"/>
  <c r="Q88" i="8" s="1"/>
  <c r="BY89" i="8"/>
  <c r="CB89" i="8"/>
  <c r="CT89" i="8" s="1"/>
  <c r="BZ89" i="8"/>
  <c r="CH89" i="8"/>
  <c r="CZ89" i="8" s="1"/>
  <c r="CA89" i="8"/>
  <c r="CC89" i="8"/>
  <c r="CV89" i="8" s="1"/>
  <c r="CW89" i="8" s="1"/>
  <c r="DB88" i="8"/>
  <c r="AB92" i="1"/>
  <c r="DI92" i="5"/>
  <c r="DA91" i="5"/>
  <c r="DG91" i="5" s="1" a="1"/>
  <c r="DG91" i="5" s="1"/>
  <c r="AG101" i="9"/>
  <c r="AK101" i="9"/>
  <c r="N77" i="1"/>
  <c r="S94" i="2"/>
  <c r="N95" i="2"/>
  <c r="R95" i="2"/>
  <c r="Q94" i="2"/>
  <c r="J96" i="10"/>
  <c r="N96" i="5" s="1"/>
  <c r="P96" i="2"/>
  <c r="AQ117" i="9" l="1"/>
  <c r="CM117" i="8" s="1"/>
  <c r="AO90" i="5"/>
  <c r="AM90" i="5"/>
  <c r="AN90" i="5"/>
  <c r="AV91" i="5"/>
  <c r="AW91" i="5"/>
  <c r="AG89" i="7"/>
  <c r="AI89" i="7" s="1"/>
  <c r="CL91" i="8"/>
  <c r="AI113" i="9"/>
  <c r="AO113" i="8" s="1"/>
  <c r="G96" i="8"/>
  <c r="CF95" i="8"/>
  <c r="O95" i="2"/>
  <c r="AD93" i="1"/>
  <c r="AM102" i="9"/>
  <c r="BR90" i="8"/>
  <c r="BS90" i="8"/>
  <c r="BF95" i="5" a="1"/>
  <c r="BF95" i="5" s="1"/>
  <c r="AE94" i="1" s="1"/>
  <c r="CV95" i="5"/>
  <c r="CU95" i="5"/>
  <c r="CQ95" i="5"/>
  <c r="CT95" i="5"/>
  <c r="CR95" i="5"/>
  <c r="CS95" i="5"/>
  <c r="CW95" i="5"/>
  <c r="AY95" i="5" a="1"/>
  <c r="AY95" i="5" s="1"/>
  <c r="BL95" i="5" a="1"/>
  <c r="BL95" i="5" s="1"/>
  <c r="BM95" i="5" a="1"/>
  <c r="BM95" i="5" s="1"/>
  <c r="BB95" i="5" a="1"/>
  <c r="BB95" i="5" s="1"/>
  <c r="BO95" i="5" a="1"/>
  <c r="BO95" i="5" s="1"/>
  <c r="BK95" i="5" a="1"/>
  <c r="BK95" i="5" s="1"/>
  <c r="BI95" i="5" a="1"/>
  <c r="BI95" i="5" s="1"/>
  <c r="BD95" i="5" a="1"/>
  <c r="BD95" i="5" s="1"/>
  <c r="BG95" i="5" a="1"/>
  <c r="BG95" i="5" s="1"/>
  <c r="BE95" i="5" a="1"/>
  <c r="BE95" i="5" s="1"/>
  <c r="AZ95" i="5" a="1"/>
  <c r="AZ95" i="5" s="1"/>
  <c r="BA95" i="5" a="1"/>
  <c r="BA95" i="5" s="1"/>
  <c r="BH95" i="5" a="1"/>
  <c r="BH95" i="5" s="1"/>
  <c r="BC95" i="5" a="1"/>
  <c r="BC95" i="5" s="1"/>
  <c r="BJ95" i="5" a="1"/>
  <c r="BJ95" i="5" s="1"/>
  <c r="BQ95" i="5" a="1"/>
  <c r="BQ95" i="5" s="1"/>
  <c r="BN95" i="5" a="1"/>
  <c r="BN95" i="5" s="1"/>
  <c r="V93" i="2"/>
  <c r="F98" i="8"/>
  <c r="BP94" i="5" a="1"/>
  <c r="BP94" i="5" s="1"/>
  <c r="J94" i="2" s="1"/>
  <c r="O99" i="1"/>
  <c r="CD89" i="8"/>
  <c r="BT90" i="8"/>
  <c r="BO90" i="8"/>
  <c r="BP90" i="8"/>
  <c r="BM90" i="8"/>
  <c r="BN90" i="8"/>
  <c r="BK90" i="8"/>
  <c r="BL90" i="8"/>
  <c r="BJ90" i="8"/>
  <c r="AC90" i="10"/>
  <c r="X90" i="10" s="1"/>
  <c r="AR90" i="5"/>
  <c r="AS94" i="5"/>
  <c r="AK94" i="11"/>
  <c r="BW91" i="8"/>
  <c r="DF93" i="5"/>
  <c r="DB93" i="5"/>
  <c r="Y92" i="1"/>
  <c r="DJ93" i="5"/>
  <c r="DH93" i="5"/>
  <c r="AH94" i="11"/>
  <c r="AM94" i="1"/>
  <c r="AE95" i="8"/>
  <c r="AU95" i="8"/>
  <c r="K96" i="11"/>
  <c r="A96" i="14"/>
  <c r="CA96" i="14" s="1"/>
  <c r="A96" i="8"/>
  <c r="A96" i="2"/>
  <c r="A96" i="5"/>
  <c r="A96" i="7"/>
  <c r="R96" i="7" s="1"/>
  <c r="A96" i="9"/>
  <c r="AF92" i="1"/>
  <c r="BT95" i="14" a="1"/>
  <c r="BT95" i="14" s="1"/>
  <c r="X95" i="14" a="1"/>
  <c r="X95" i="14" s="1"/>
  <c r="AD95" i="14" a="1"/>
  <c r="AD95" i="14" s="1"/>
  <c r="BA95" i="14" a="1"/>
  <c r="BA95" i="14" s="1"/>
  <c r="BY95" i="14" a="1"/>
  <c r="BY95" i="14" s="1"/>
  <c r="AY95" i="14" a="1"/>
  <c r="AY95" i="14" s="1"/>
  <c r="BN95" i="14" a="1"/>
  <c r="BN95" i="14" s="1"/>
  <c r="AW95" i="14" a="1"/>
  <c r="AW95" i="14" s="1"/>
  <c r="BE95" i="14" a="1"/>
  <c r="BE95" i="14" s="1"/>
  <c r="BC95" i="14" a="1"/>
  <c r="BC95" i="14" s="1"/>
  <c r="BJ95" i="14" a="1"/>
  <c r="BJ95" i="14" s="1"/>
  <c r="BD95" i="14" a="1"/>
  <c r="BD95" i="14" s="1"/>
  <c r="AU95" i="14" a="1"/>
  <c r="AU95" i="14" s="1"/>
  <c r="AT95" i="14" a="1"/>
  <c r="AT95" i="14" s="1"/>
  <c r="BQ95" i="14" a="1"/>
  <c r="BQ95" i="14" s="1"/>
  <c r="AZ95" i="14" a="1"/>
  <c r="AZ95" i="14" s="1"/>
  <c r="AB95" i="14" a="1"/>
  <c r="AB95" i="14" s="1"/>
  <c r="BG95" i="14" a="1"/>
  <c r="BG95" i="14" s="1"/>
  <c r="BL95" i="14" a="1"/>
  <c r="BL95" i="14" s="1"/>
  <c r="AG95" i="14" a="1"/>
  <c r="AG95" i="14" s="1"/>
  <c r="BK95" i="14" a="1"/>
  <c r="BK95" i="14" s="1"/>
  <c r="N95" i="14" a="1"/>
  <c r="N95" i="14" s="1"/>
  <c r="AS95" i="14" a="1"/>
  <c r="AS95" i="14" s="1"/>
  <c r="BZ95" i="14" a="1"/>
  <c r="BZ95" i="14" s="1"/>
  <c r="BH95" i="14" a="1"/>
  <c r="BH95" i="14" s="1"/>
  <c r="AI95" i="14" a="1"/>
  <c r="AI95" i="14" s="1"/>
  <c r="BF95" i="14" a="1"/>
  <c r="BF95" i="14" s="1"/>
  <c r="Q95" i="14" a="1"/>
  <c r="Q95" i="14" s="1"/>
  <c r="W95" i="14" a="1"/>
  <c r="W95" i="14" s="1"/>
  <c r="AK95" i="14" a="1"/>
  <c r="AK95" i="14" s="1"/>
  <c r="AN95" i="14" a="1"/>
  <c r="AN95" i="14" s="1"/>
  <c r="Z95" i="14" a="1"/>
  <c r="Z95" i="14" s="1"/>
  <c r="BM95" i="14" a="1"/>
  <c r="BM95" i="14" s="1"/>
  <c r="AE95" i="14" a="1"/>
  <c r="AE95" i="14" s="1"/>
  <c r="U95" i="14" a="1"/>
  <c r="U95" i="14" s="1"/>
  <c r="BW95" i="14" a="1"/>
  <c r="BW95" i="14" s="1"/>
  <c r="R95" i="14" a="1"/>
  <c r="R95" i="14" s="1"/>
  <c r="AL95" i="1" s="1"/>
  <c r="M95" i="14" a="1"/>
  <c r="M95" i="14" s="1"/>
  <c r="BR95" i="14" a="1"/>
  <c r="BR95" i="14" s="1"/>
  <c r="P95" i="14" a="1"/>
  <c r="P95" i="14" s="1"/>
  <c r="AQ95" i="14" a="1"/>
  <c r="AQ95" i="14" s="1"/>
  <c r="AH95" i="14" a="1"/>
  <c r="AH95" i="14" s="1"/>
  <c r="V95" i="14" a="1"/>
  <c r="V95" i="14" s="1"/>
  <c r="AJ95" i="14" a="1"/>
  <c r="AJ95" i="14" s="1"/>
  <c r="BO95" i="14" a="1"/>
  <c r="BO95" i="14" s="1"/>
  <c r="AP95" i="14" a="1"/>
  <c r="AP95" i="14" s="1"/>
  <c r="AV95" i="14" a="1"/>
  <c r="AV95" i="14" s="1"/>
  <c r="BB95" i="14" a="1"/>
  <c r="BB95" i="14" s="1"/>
  <c r="BX95" i="14" a="1"/>
  <c r="BX95" i="14" s="1"/>
  <c r="AA95" i="14" a="1"/>
  <c r="AA95" i="14" s="1"/>
  <c r="BV95" i="14" a="1"/>
  <c r="BV95" i="14" s="1"/>
  <c r="BS95" i="14" a="1"/>
  <c r="BS95" i="14" s="1"/>
  <c r="AL95" i="14" a="1"/>
  <c r="AL95" i="14" s="1"/>
  <c r="BP95" i="14" a="1"/>
  <c r="BP95" i="14" s="1"/>
  <c r="AF95" i="14" a="1"/>
  <c r="AF95" i="14" s="1"/>
  <c r="AO95" i="14" a="1"/>
  <c r="AO95" i="14" s="1"/>
  <c r="AM95" i="14" a="1"/>
  <c r="AM95" i="14" s="1"/>
  <c r="AC95" i="14" a="1"/>
  <c r="AC95" i="14" s="1"/>
  <c r="T95" i="14" a="1"/>
  <c r="T95" i="14" s="1"/>
  <c r="S95" i="14" a="1"/>
  <c r="S95" i="14" s="1"/>
  <c r="Y95" i="14" a="1"/>
  <c r="Y95" i="14" s="1"/>
  <c r="BU95" i="14" a="1"/>
  <c r="BU95" i="14" s="1"/>
  <c r="O95" i="14" a="1"/>
  <c r="O95" i="14" s="1"/>
  <c r="BI95" i="14" a="1"/>
  <c r="BI95" i="14" s="1"/>
  <c r="AR95" i="14" a="1"/>
  <c r="AR95" i="14" s="1"/>
  <c r="AX95" i="14" a="1"/>
  <c r="AX95" i="14" s="1"/>
  <c r="W92" i="1"/>
  <c r="AJ94" i="1"/>
  <c r="BT91" i="5"/>
  <c r="B91" i="7"/>
  <c r="AE91" i="7" s="1"/>
  <c r="AF91" i="7" s="1"/>
  <c r="CK91" i="8"/>
  <c r="E91" i="1"/>
  <c r="B91" i="9"/>
  <c r="Y91" i="9" s="1"/>
  <c r="AC91" i="8"/>
  <c r="BQ91" i="8" s="1"/>
  <c r="DH91" i="8"/>
  <c r="DI91" i="8" s="1"/>
  <c r="A91" i="10"/>
  <c r="AA91" i="10" s="1"/>
  <c r="BI91" i="8"/>
  <c r="A91" i="11"/>
  <c r="Y90" i="11" s="1"/>
  <c r="AH90" i="1" s="1"/>
  <c r="AJ91" i="5"/>
  <c r="AP91" i="5" s="1"/>
  <c r="AI91" i="5"/>
  <c r="X91" i="8"/>
  <c r="DD91" i="8" s="1"/>
  <c r="BH91" i="8"/>
  <c r="BU91" i="8" s="1"/>
  <c r="BY95" i="11"/>
  <c r="AA94" i="7"/>
  <c r="AF94" i="8" s="1"/>
  <c r="AV94" i="8" s="1"/>
  <c r="K94" i="10"/>
  <c r="L94" i="11"/>
  <c r="B93" i="5"/>
  <c r="B93" i="2"/>
  <c r="B93" i="1"/>
  <c r="BG93" i="1" s="1"/>
  <c r="AH93" i="5"/>
  <c r="BU93" i="5"/>
  <c r="CS88" i="8"/>
  <c r="K94" i="5"/>
  <c r="F93" i="10"/>
  <c r="H93" i="7"/>
  <c r="DD93" i="5"/>
  <c r="J94" i="5"/>
  <c r="DC94" i="5" s="1"/>
  <c r="E93" i="10"/>
  <c r="G93" i="7"/>
  <c r="H94" i="5"/>
  <c r="C93" i="10"/>
  <c r="E93" i="7"/>
  <c r="M94" i="5"/>
  <c r="H93" i="10"/>
  <c r="J93" i="7"/>
  <c r="L94" i="5"/>
  <c r="G93" i="10"/>
  <c r="I93" i="7"/>
  <c r="DE93" i="5"/>
  <c r="G94" i="5"/>
  <c r="D93" i="7"/>
  <c r="B93" i="10"/>
  <c r="I94" i="5"/>
  <c r="D93" i="10"/>
  <c r="F93" i="7"/>
  <c r="CQ89" i="8"/>
  <c r="CU89" i="8" s="1"/>
  <c r="D91" i="9"/>
  <c r="BX90" i="8"/>
  <c r="CE90" i="8" s="1"/>
  <c r="N90" i="7"/>
  <c r="AH102" i="9"/>
  <c r="AQ89" i="5"/>
  <c r="C92" i="5"/>
  <c r="F92" i="5" s="1"/>
  <c r="AE90" i="7"/>
  <c r="AF90" i="7" s="1"/>
  <c r="Q90" i="7"/>
  <c r="DB89" i="8"/>
  <c r="CZ93" i="5"/>
  <c r="CR89" i="8"/>
  <c r="AC89" i="11"/>
  <c r="U89" i="8" s="1"/>
  <c r="AA89" i="11"/>
  <c r="AK89" i="1" s="1"/>
  <c r="Z89" i="11"/>
  <c r="AB89" i="11"/>
  <c r="Q89" i="8" s="1"/>
  <c r="AD89" i="11"/>
  <c r="AI89" i="1" s="1"/>
  <c r="Y89" i="11"/>
  <c r="AH89" i="1" s="1"/>
  <c r="N90" i="11"/>
  <c r="B89" i="14"/>
  <c r="CI90" i="8"/>
  <c r="DA90" i="8" s="1"/>
  <c r="CH90" i="8"/>
  <c r="CZ90" i="8" s="1"/>
  <c r="CC90" i="8"/>
  <c r="CV90" i="8" s="1"/>
  <c r="CW90" i="8" s="1"/>
  <c r="CA90" i="8"/>
  <c r="CB90" i="8"/>
  <c r="CT90" i="8" s="1"/>
  <c r="BY90" i="8"/>
  <c r="BZ90" i="8"/>
  <c r="C93" i="5"/>
  <c r="DA92" i="5"/>
  <c r="DG92" i="5" s="1" a="1"/>
  <c r="DG92" i="5" s="1"/>
  <c r="AB93" i="1"/>
  <c r="DI93" i="5"/>
  <c r="AG102" i="9"/>
  <c r="AK102" i="9"/>
  <c r="N78" i="1"/>
  <c r="S95" i="2"/>
  <c r="N96" i="2"/>
  <c r="R96" i="2"/>
  <c r="Q95" i="2"/>
  <c r="P97" i="2"/>
  <c r="J97" i="10"/>
  <c r="N97" i="5" s="1"/>
  <c r="AQ118" i="9" l="1"/>
  <c r="CM118" i="8" s="1"/>
  <c r="AO91" i="5"/>
  <c r="AM91" i="5"/>
  <c r="AN91" i="5"/>
  <c r="AR91" i="5" s="1"/>
  <c r="AV92" i="5"/>
  <c r="AW92" i="5"/>
  <c r="AG90" i="7"/>
  <c r="AI90" i="7" s="1"/>
  <c r="AG91" i="7"/>
  <c r="CL92" i="8"/>
  <c r="CC91" i="8"/>
  <c r="CV91" i="8" s="1"/>
  <c r="CW91" i="8" s="1"/>
  <c r="AC91" i="1"/>
  <c r="AI114" i="9"/>
  <c r="AO114" i="8" s="1"/>
  <c r="G97" i="8"/>
  <c r="CF96" i="8"/>
  <c r="O96" i="2"/>
  <c r="BN96" i="5" a="1"/>
  <c r="BN96" i="5" s="1"/>
  <c r="BO96" i="5" a="1"/>
  <c r="BO96" i="5" s="1"/>
  <c r="BQ96" i="5" a="1"/>
  <c r="BQ96" i="5" s="1"/>
  <c r="BB96" i="5" a="1"/>
  <c r="BB96" i="5" s="1"/>
  <c r="BI96" i="5" a="1"/>
  <c r="BI96" i="5" s="1"/>
  <c r="BM96" i="5" a="1"/>
  <c r="BM96" i="5" s="1"/>
  <c r="BC96" i="5" a="1"/>
  <c r="BC96" i="5" s="1"/>
  <c r="BK96" i="5" a="1"/>
  <c r="BK96" i="5" s="1"/>
  <c r="AM103" i="9"/>
  <c r="BR91" i="8"/>
  <c r="BS91" i="8"/>
  <c r="AD94" i="1"/>
  <c r="BJ96" i="5" a="1"/>
  <c r="BJ96" i="5" s="1"/>
  <c r="BH96" i="5" a="1"/>
  <c r="BH96" i="5" s="1"/>
  <c r="BA96" i="5" a="1"/>
  <c r="BA96" i="5" s="1"/>
  <c r="AZ96" i="5" a="1"/>
  <c r="AZ96" i="5" s="1"/>
  <c r="BE96" i="5" a="1"/>
  <c r="BE96" i="5" s="1"/>
  <c r="BG96" i="5" a="1"/>
  <c r="BG96" i="5" s="1"/>
  <c r="BF96" i="5" a="1"/>
  <c r="BF96" i="5" s="1"/>
  <c r="AE95" i="1" s="1"/>
  <c r="CV96" i="5"/>
  <c r="CT96" i="5"/>
  <c r="CS96" i="5"/>
  <c r="CR96" i="5"/>
  <c r="CU96" i="5"/>
  <c r="CQ96" i="5"/>
  <c r="CW96" i="5"/>
  <c r="AY96" i="5" a="1"/>
  <c r="AY96" i="5" s="1"/>
  <c r="BL96" i="5" a="1"/>
  <c r="BL96" i="5" s="1"/>
  <c r="BD96" i="5" a="1"/>
  <c r="BD96" i="5" s="1"/>
  <c r="V94" i="2"/>
  <c r="CX89" i="8"/>
  <c r="CY89" i="8" s="1"/>
  <c r="F99" i="8"/>
  <c r="BP95" i="5" a="1"/>
  <c r="BP95" i="5" s="1"/>
  <c r="J95" i="2" s="1"/>
  <c r="O100" i="1"/>
  <c r="BX91" i="8"/>
  <c r="CD91" i="8" s="1"/>
  <c r="BT91" i="8"/>
  <c r="BO91" i="8"/>
  <c r="BP91" i="8"/>
  <c r="BM91" i="8"/>
  <c r="BN91" i="8"/>
  <c r="BK91" i="8"/>
  <c r="BL91" i="8"/>
  <c r="BJ91" i="8"/>
  <c r="AC91" i="10"/>
  <c r="X91" i="10" s="1"/>
  <c r="AS95" i="5"/>
  <c r="AK95" i="11"/>
  <c r="BZ91" i="8"/>
  <c r="CA91" i="8"/>
  <c r="BY91" i="8"/>
  <c r="CH91" i="8"/>
  <c r="CZ91" i="8" s="1"/>
  <c r="DB94" i="5"/>
  <c r="CB91" i="8"/>
  <c r="CT91" i="8" s="1"/>
  <c r="DF94" i="5"/>
  <c r="DE94" i="5"/>
  <c r="AM95" i="1"/>
  <c r="K97" i="11"/>
  <c r="A97" i="14"/>
  <c r="CA97" i="14" s="1"/>
  <c r="A97" i="8"/>
  <c r="A97" i="2"/>
  <c r="A97" i="5"/>
  <c r="A97" i="7"/>
  <c r="R97" i="7" s="1"/>
  <c r="A97" i="9"/>
  <c r="AU96" i="8"/>
  <c r="AE96" i="8"/>
  <c r="DH94" i="5"/>
  <c r="AJ95" i="1"/>
  <c r="AV96" i="14" a="1"/>
  <c r="AV96" i="14" s="1"/>
  <c r="X96" i="14" a="1"/>
  <c r="X96" i="14" s="1"/>
  <c r="AD96" i="14" a="1"/>
  <c r="AD96" i="14" s="1"/>
  <c r="AC96" i="14" a="1"/>
  <c r="AC96" i="14" s="1"/>
  <c r="BW96" i="14" a="1"/>
  <c r="BW96" i="14" s="1"/>
  <c r="AI96" i="14" a="1"/>
  <c r="AI96" i="14" s="1"/>
  <c r="AF96" i="14" a="1"/>
  <c r="AF96" i="14" s="1"/>
  <c r="BM96" i="14" a="1"/>
  <c r="BM96" i="14" s="1"/>
  <c r="BU96" i="14" a="1"/>
  <c r="BU96" i="14" s="1"/>
  <c r="BC96" i="14" a="1"/>
  <c r="BC96" i="14" s="1"/>
  <c r="W96" i="14" a="1"/>
  <c r="W96" i="14" s="1"/>
  <c r="V96" i="14" a="1"/>
  <c r="V96" i="14" s="1"/>
  <c r="AZ96" i="14" a="1"/>
  <c r="AZ96" i="14" s="1"/>
  <c r="BZ96" i="14" a="1"/>
  <c r="BZ96" i="14" s="1"/>
  <c r="AY96" i="14" a="1"/>
  <c r="AY96" i="14" s="1"/>
  <c r="Z96" i="14" a="1"/>
  <c r="Z96" i="14" s="1"/>
  <c r="AW96" i="14" a="1"/>
  <c r="AW96" i="14" s="1"/>
  <c r="BS96" i="14" a="1"/>
  <c r="BS96" i="14" s="1"/>
  <c r="N96" i="14" a="1"/>
  <c r="N96" i="14" s="1"/>
  <c r="U96" i="14" a="1"/>
  <c r="U96" i="14" s="1"/>
  <c r="T96" i="14" a="1"/>
  <c r="T96" i="14" s="1"/>
  <c r="AA96" i="14" a="1"/>
  <c r="AA96" i="14" s="1"/>
  <c r="AP96" i="14" a="1"/>
  <c r="AP96" i="14" s="1"/>
  <c r="AU96" i="14" a="1"/>
  <c r="AU96" i="14" s="1"/>
  <c r="AT96" i="14" a="1"/>
  <c r="AT96" i="14" s="1"/>
  <c r="AK96" i="14" a="1"/>
  <c r="AK96" i="14" s="1"/>
  <c r="AB96" i="14" a="1"/>
  <c r="AB96" i="14" s="1"/>
  <c r="BG96" i="14" a="1"/>
  <c r="BG96" i="14" s="1"/>
  <c r="M96" i="14" a="1"/>
  <c r="M96" i="14" s="1"/>
  <c r="AM96" i="14" a="1"/>
  <c r="AM96" i="14" s="1"/>
  <c r="BR96" i="14" a="1"/>
  <c r="BR96" i="14" s="1"/>
  <c r="BY96" i="14" a="1"/>
  <c r="BY96" i="14" s="1"/>
  <c r="BH96" i="14" a="1"/>
  <c r="BH96" i="14" s="1"/>
  <c r="AO96" i="14" a="1"/>
  <c r="AO96" i="14" s="1"/>
  <c r="BE96" i="14" a="1"/>
  <c r="BE96" i="14" s="1"/>
  <c r="AE96" i="14" a="1"/>
  <c r="AE96" i="14" s="1"/>
  <c r="BD96" i="14" a="1"/>
  <c r="BD96" i="14" s="1"/>
  <c r="BP96" i="14" a="1"/>
  <c r="BP96" i="14" s="1"/>
  <c r="BO96" i="14" a="1"/>
  <c r="BO96" i="14" s="1"/>
  <c r="BN96" i="14" a="1"/>
  <c r="BN96" i="14" s="1"/>
  <c r="BL96" i="14" a="1"/>
  <c r="BL96" i="14" s="1"/>
  <c r="O96" i="14" a="1"/>
  <c r="O96" i="14" s="1"/>
  <c r="BQ96" i="14" a="1"/>
  <c r="BQ96" i="14" s="1"/>
  <c r="P96" i="14" a="1"/>
  <c r="P96" i="14" s="1"/>
  <c r="AN96" i="14" a="1"/>
  <c r="AN96" i="14" s="1"/>
  <c r="AX96" i="14" a="1"/>
  <c r="AX96" i="14" s="1"/>
  <c r="AG96" i="14" a="1"/>
  <c r="AG96" i="14" s="1"/>
  <c r="BB96" i="14" a="1"/>
  <c r="BB96" i="14" s="1"/>
  <c r="BI96" i="14" a="1"/>
  <c r="BI96" i="14" s="1"/>
  <c r="AJ96" i="14" a="1"/>
  <c r="AJ96" i="14" s="1"/>
  <c r="AQ96" i="14" a="1"/>
  <c r="AQ96" i="14" s="1"/>
  <c r="AH96" i="14" a="1"/>
  <c r="AH96" i="14" s="1"/>
  <c r="Q96" i="14" a="1"/>
  <c r="Q96" i="14" s="1"/>
  <c r="BT96" i="14" a="1"/>
  <c r="BT96" i="14" s="1"/>
  <c r="BJ96" i="14" a="1"/>
  <c r="BJ96" i="14" s="1"/>
  <c r="BA96" i="14" a="1"/>
  <c r="BA96" i="14" s="1"/>
  <c r="BX96" i="14" a="1"/>
  <c r="BX96" i="14" s="1"/>
  <c r="BV96" i="14" a="1"/>
  <c r="BV96" i="14" s="1"/>
  <c r="R96" i="14" a="1"/>
  <c r="R96" i="14" s="1"/>
  <c r="AL96" i="1" s="1"/>
  <c r="Y96" i="14" a="1"/>
  <c r="Y96" i="14" s="1"/>
  <c r="BK96" i="14" a="1"/>
  <c r="BK96" i="14" s="1"/>
  <c r="AL96" i="14" a="1"/>
  <c r="AL96" i="14" s="1"/>
  <c r="AS96" i="14" a="1"/>
  <c r="AS96" i="14" s="1"/>
  <c r="AR96" i="14" a="1"/>
  <c r="AR96" i="14" s="1"/>
  <c r="S96" i="14" a="1"/>
  <c r="S96" i="14" s="1"/>
  <c r="BF96" i="14" a="1"/>
  <c r="BF96" i="14" s="1"/>
  <c r="AH95" i="11"/>
  <c r="AF93" i="1"/>
  <c r="Y93" i="1"/>
  <c r="DJ94" i="5"/>
  <c r="W93" i="1"/>
  <c r="B91" i="14"/>
  <c r="CI91" i="8"/>
  <c r="DA91" i="8" s="1"/>
  <c r="F93" i="5"/>
  <c r="N91" i="7"/>
  <c r="Q91" i="7"/>
  <c r="AB90" i="11"/>
  <c r="Q90" i="8" s="1"/>
  <c r="Z90" i="11"/>
  <c r="D92" i="9"/>
  <c r="AA90" i="11"/>
  <c r="AK90" i="1" s="1"/>
  <c r="N91" i="11"/>
  <c r="CS89" i="8"/>
  <c r="AC90" i="11"/>
  <c r="U90" i="8" s="1"/>
  <c r="AD90" i="11"/>
  <c r="AI90" i="1" s="1"/>
  <c r="B94" i="2"/>
  <c r="B94" i="1"/>
  <c r="BG94" i="1" s="1"/>
  <c r="AH94" i="5"/>
  <c r="BU94" i="5"/>
  <c r="BY96" i="11"/>
  <c r="AA95" i="7"/>
  <c r="AF95" i="8" s="1"/>
  <c r="AV95" i="8" s="1"/>
  <c r="K95" i="10"/>
  <c r="L95" i="11"/>
  <c r="L95" i="5"/>
  <c r="G94" i="10"/>
  <c r="I94" i="7"/>
  <c r="I95" i="5"/>
  <c r="D94" i="10"/>
  <c r="F94" i="7"/>
  <c r="J95" i="5"/>
  <c r="DC95" i="5" s="1"/>
  <c r="E94" i="10"/>
  <c r="G94" i="7"/>
  <c r="B94" i="10"/>
  <c r="G95" i="5"/>
  <c r="D94" i="7"/>
  <c r="M95" i="5"/>
  <c r="H94" i="10"/>
  <c r="J94" i="7"/>
  <c r="B94" i="5"/>
  <c r="H95" i="5"/>
  <c r="C94" i="10"/>
  <c r="E94" i="7"/>
  <c r="K95" i="5"/>
  <c r="F94" i="10"/>
  <c r="H94" i="7"/>
  <c r="DD94" i="5"/>
  <c r="CQ90" i="8"/>
  <c r="CU90" i="8" s="1"/>
  <c r="DH92" i="8"/>
  <c r="DI92" i="8" s="1"/>
  <c r="CD90" i="8"/>
  <c r="CK92" i="8"/>
  <c r="BW92" i="8"/>
  <c r="BI92" i="8"/>
  <c r="BT92" i="5"/>
  <c r="BH92" i="8"/>
  <c r="BU92" i="8" s="1"/>
  <c r="AH103" i="9"/>
  <c r="A92" i="11"/>
  <c r="Y91" i="11" s="1"/>
  <c r="AH91" i="1" s="1"/>
  <c r="AI92" i="5"/>
  <c r="B92" i="9"/>
  <c r="Y92" i="9" s="1"/>
  <c r="B92" i="7"/>
  <c r="Q92" i="7" s="1"/>
  <c r="AC92" i="8"/>
  <c r="BQ92" i="8" s="1"/>
  <c r="A92" i="10"/>
  <c r="AA92" i="10" s="1"/>
  <c r="DB90" i="8"/>
  <c r="AJ92" i="5"/>
  <c r="AP92" i="5" s="1"/>
  <c r="X92" i="8"/>
  <c r="DD92" i="8" s="1"/>
  <c r="E92" i="1"/>
  <c r="CR90" i="8"/>
  <c r="B90" i="14"/>
  <c r="CZ94" i="5"/>
  <c r="AQ90" i="5"/>
  <c r="AB94" i="1"/>
  <c r="DI94" i="5"/>
  <c r="C94" i="5"/>
  <c r="DA93" i="5"/>
  <c r="DG93" i="5" s="1" a="1"/>
  <c r="DG93" i="5" s="1"/>
  <c r="AG103" i="9"/>
  <c r="AK103" i="9"/>
  <c r="N79" i="1"/>
  <c r="S96" i="2"/>
  <c r="N97" i="2"/>
  <c r="R97" i="2"/>
  <c r="Q96" i="2"/>
  <c r="J98" i="10"/>
  <c r="N98" i="5" s="1"/>
  <c r="P98" i="2"/>
  <c r="AQ119" i="9" l="1"/>
  <c r="CM119" i="8" s="1"/>
  <c r="AO92" i="5"/>
  <c r="AM92" i="5"/>
  <c r="AN92" i="5"/>
  <c r="AR92" i="5" s="1"/>
  <c r="AV93" i="5"/>
  <c r="AW93" i="5"/>
  <c r="AI91" i="7"/>
  <c r="CL93" i="8"/>
  <c r="CH92" i="8"/>
  <c r="CZ92" i="8" s="1"/>
  <c r="AC92" i="1"/>
  <c r="AI115" i="9"/>
  <c r="AO115" i="8" s="1"/>
  <c r="G98" i="8"/>
  <c r="CF97" i="8"/>
  <c r="O97" i="2"/>
  <c r="BM97" i="5" a="1"/>
  <c r="BM97" i="5" s="1"/>
  <c r="AD95" i="1"/>
  <c r="AZ97" i="5" a="1"/>
  <c r="AZ97" i="5" s="1"/>
  <c r="BF97" i="5" a="1"/>
  <c r="BF97" i="5" s="1"/>
  <c r="AE96" i="1" s="1"/>
  <c r="BG97" i="5" a="1"/>
  <c r="BG97" i="5" s="1"/>
  <c r="BD97" i="5" a="1"/>
  <c r="BD97" i="5" s="1"/>
  <c r="BE97" i="5" a="1"/>
  <c r="BE97" i="5" s="1"/>
  <c r="AM104" i="9"/>
  <c r="BR92" i="8"/>
  <c r="BS92" i="8"/>
  <c r="BA97" i="5" a="1"/>
  <c r="BA97" i="5" s="1"/>
  <c r="BH97" i="5" a="1"/>
  <c r="BH97" i="5" s="1"/>
  <c r="BC97" i="5" a="1"/>
  <c r="BC97" i="5" s="1"/>
  <c r="BJ97" i="5" a="1"/>
  <c r="BJ97" i="5" s="1"/>
  <c r="BQ97" i="5" a="1"/>
  <c r="BQ97" i="5" s="1"/>
  <c r="BN97" i="5" a="1"/>
  <c r="BN97" i="5" s="1"/>
  <c r="BI97" i="5" a="1"/>
  <c r="BI97" i="5" s="1"/>
  <c r="CS97" i="5"/>
  <c r="CW97" i="5"/>
  <c r="CR97" i="5"/>
  <c r="CT97" i="5"/>
  <c r="CU97" i="5"/>
  <c r="CV97" i="5"/>
  <c r="CQ97" i="5"/>
  <c r="AY97" i="5" a="1"/>
  <c r="AY97" i="5" s="1"/>
  <c r="BL97" i="5" a="1"/>
  <c r="BL97" i="5" s="1"/>
  <c r="BB97" i="5" a="1"/>
  <c r="BB97" i="5" s="1"/>
  <c r="BO97" i="5" a="1"/>
  <c r="BO97" i="5" s="1"/>
  <c r="BK97" i="5" a="1"/>
  <c r="BK97" i="5" s="1"/>
  <c r="V95" i="2"/>
  <c r="CX90" i="8"/>
  <c r="CY90" i="8" s="1"/>
  <c r="CQ91" i="8"/>
  <c r="CU91" i="8" s="1"/>
  <c r="F100" i="8"/>
  <c r="BP96" i="5" a="1"/>
  <c r="BP96" i="5" s="1"/>
  <c r="J96" i="2" s="1"/>
  <c r="O101" i="1"/>
  <c r="CE91" i="8"/>
  <c r="CX91" i="8" s="1"/>
  <c r="CY91" i="8" s="1"/>
  <c r="BX92" i="8"/>
  <c r="CE92" i="8" s="1"/>
  <c r="BT92" i="8"/>
  <c r="BO92" i="8"/>
  <c r="BP92" i="8"/>
  <c r="BM92" i="8"/>
  <c r="BN92" i="8"/>
  <c r="BK92" i="8"/>
  <c r="BL92" i="8"/>
  <c r="BJ92" i="8"/>
  <c r="AC92" i="10"/>
  <c r="X92" i="10" s="1"/>
  <c r="AS96" i="5"/>
  <c r="AK96" i="11"/>
  <c r="DB91" i="8"/>
  <c r="CR91" i="8"/>
  <c r="DB95" i="5"/>
  <c r="DE95" i="5"/>
  <c r="BW93" i="8"/>
  <c r="DF95" i="5"/>
  <c r="W94" i="1"/>
  <c r="AJ96" i="1"/>
  <c r="AU97" i="8"/>
  <c r="AE97" i="8"/>
  <c r="DH95" i="5"/>
  <c r="K98" i="11"/>
  <c r="A98" i="14"/>
  <c r="CA98" i="14" s="1"/>
  <c r="A98" i="8"/>
  <c r="A98" i="9"/>
  <c r="A98" i="5"/>
  <c r="A98" i="2"/>
  <c r="A98" i="7"/>
  <c r="R98" i="7" s="1"/>
  <c r="AF94" i="1"/>
  <c r="AV97" i="14" a="1"/>
  <c r="AV97" i="14" s="1"/>
  <c r="BJ97" i="14" a="1"/>
  <c r="BJ97" i="14" s="1"/>
  <c r="N97" i="14" a="1"/>
  <c r="N97" i="14" s="1"/>
  <c r="BZ97" i="14" a="1"/>
  <c r="BZ97" i="14" s="1"/>
  <c r="AN97" i="14" a="1"/>
  <c r="AN97" i="14" s="1"/>
  <c r="BG97" i="14" a="1"/>
  <c r="BG97" i="14" s="1"/>
  <c r="AH97" i="14" a="1"/>
  <c r="AH97" i="14" s="1"/>
  <c r="BE97" i="14" a="1"/>
  <c r="BE97" i="14" s="1"/>
  <c r="Q97" i="14" a="1"/>
  <c r="Q97" i="14" s="1"/>
  <c r="AU97" i="14" a="1"/>
  <c r="AU97" i="14" s="1"/>
  <c r="AL97" i="14" a="1"/>
  <c r="AL97" i="14" s="1"/>
  <c r="AT97" i="14" a="1"/>
  <c r="AT97" i="14" s="1"/>
  <c r="AR97" i="14" a="1"/>
  <c r="AR97" i="14" s="1"/>
  <c r="BW97" i="14" a="1"/>
  <c r="BW97" i="14" s="1"/>
  <c r="AI97" i="14" a="1"/>
  <c r="AI97" i="14" s="1"/>
  <c r="AQ97" i="14" a="1"/>
  <c r="AQ97" i="14" s="1"/>
  <c r="AO97" i="14" a="1"/>
  <c r="AO97" i="14" s="1"/>
  <c r="W97" i="14" a="1"/>
  <c r="W97" i="14" s="1"/>
  <c r="AE97" i="14" a="1"/>
  <c r="AE97" i="14" s="1"/>
  <c r="BA97" i="14" a="1"/>
  <c r="BA97" i="14" s="1"/>
  <c r="BH97" i="14" a="1"/>
  <c r="BH97" i="14" s="1"/>
  <c r="BC97" i="14" a="1"/>
  <c r="BC97" i="14" s="1"/>
  <c r="BB97" i="14" a="1"/>
  <c r="BB97" i="14" s="1"/>
  <c r="BQ97" i="14" a="1"/>
  <c r="BQ97" i="14" s="1"/>
  <c r="BY97" i="14" a="1"/>
  <c r="BY97" i="14" s="1"/>
  <c r="T97" i="14" a="1"/>
  <c r="T97" i="14" s="1"/>
  <c r="BV97" i="14" a="1"/>
  <c r="BV97" i="14" s="1"/>
  <c r="AA97" i="14" a="1"/>
  <c r="AA97" i="14" s="1"/>
  <c r="AG97" i="14" a="1"/>
  <c r="AG97" i="14" s="1"/>
  <c r="X97" i="14" a="1"/>
  <c r="X97" i="14" s="1"/>
  <c r="AC97" i="14" a="1"/>
  <c r="AC97" i="14" s="1"/>
  <c r="AB97" i="14" a="1"/>
  <c r="AB97" i="14" s="1"/>
  <c r="AW97" i="14" a="1"/>
  <c r="AW97" i="14" s="1"/>
  <c r="M97" i="14" a="1"/>
  <c r="M97" i="14" s="1"/>
  <c r="O97" i="14" a="1"/>
  <c r="O97" i="14" s="1"/>
  <c r="AK97" i="14" a="1"/>
  <c r="AK97" i="14" s="1"/>
  <c r="BO97" i="14" a="1"/>
  <c r="BO97" i="14" s="1"/>
  <c r="BF97" i="14" a="1"/>
  <c r="BF97" i="14" s="1"/>
  <c r="BR97" i="14" a="1"/>
  <c r="BR97" i="14" s="1"/>
  <c r="U97" i="14" a="1"/>
  <c r="U97" i="14" s="1"/>
  <c r="AF97" i="14" a="1"/>
  <c r="AF97" i="14" s="1"/>
  <c r="BU97" i="14" a="1"/>
  <c r="BU97" i="14" s="1"/>
  <c r="AD97" i="14" a="1"/>
  <c r="AD97" i="14" s="1"/>
  <c r="BP97" i="14" a="1"/>
  <c r="BP97" i="14" s="1"/>
  <c r="S97" i="14" a="1"/>
  <c r="S97" i="14" s="1"/>
  <c r="Z97" i="14" a="1"/>
  <c r="Z97" i="14" s="1"/>
  <c r="BT97" i="14" a="1"/>
  <c r="BT97" i="14" s="1"/>
  <c r="V97" i="14" a="1"/>
  <c r="V97" i="14" s="1"/>
  <c r="AZ97" i="14" a="1"/>
  <c r="AZ97" i="14" s="1"/>
  <c r="BN97" i="14" a="1"/>
  <c r="BN97" i="14" s="1"/>
  <c r="AX97" i="14" a="1"/>
  <c r="AX97" i="14" s="1"/>
  <c r="BS97" i="14" a="1"/>
  <c r="BS97" i="14" s="1"/>
  <c r="BD97" i="14" a="1"/>
  <c r="BD97" i="14" s="1"/>
  <c r="AJ97" i="14" a="1"/>
  <c r="AJ97" i="14" s="1"/>
  <c r="AY97" i="14" a="1"/>
  <c r="AY97" i="14" s="1"/>
  <c r="BL97" i="14" a="1"/>
  <c r="BL97" i="14" s="1"/>
  <c r="BK97" i="14" a="1"/>
  <c r="BK97" i="14" s="1"/>
  <c r="BI97" i="14" a="1"/>
  <c r="BI97" i="14" s="1"/>
  <c r="P97" i="14" a="1"/>
  <c r="P97" i="14" s="1"/>
  <c r="AP97" i="14" a="1"/>
  <c r="AP97" i="14" s="1"/>
  <c r="R97" i="14" a="1"/>
  <c r="R97" i="14" s="1"/>
  <c r="AL97" i="1" s="1"/>
  <c r="AM97" i="14" a="1"/>
  <c r="AM97" i="14" s="1"/>
  <c r="AS97" i="14" a="1"/>
  <c r="AS97" i="14" s="1"/>
  <c r="BX97" i="14" a="1"/>
  <c r="BX97" i="14" s="1"/>
  <c r="BM97" i="14" a="1"/>
  <c r="BM97" i="14" s="1"/>
  <c r="Y97" i="14" a="1"/>
  <c r="Y97" i="14" s="1"/>
  <c r="AH96" i="11"/>
  <c r="Y94" i="1"/>
  <c r="DJ95" i="5"/>
  <c r="AM96" i="1"/>
  <c r="B93" i="9"/>
  <c r="Y93" i="9" s="1"/>
  <c r="BH93" i="8"/>
  <c r="BU93" i="8" s="1"/>
  <c r="X93" i="8"/>
  <c r="DD93" i="8" s="1"/>
  <c r="BT93" i="5"/>
  <c r="B93" i="7"/>
  <c r="AE93" i="7" s="1"/>
  <c r="AF93" i="7" s="1"/>
  <c r="A93" i="10"/>
  <c r="AA93" i="10" s="1"/>
  <c r="A93" i="11"/>
  <c r="N93" i="11" s="1"/>
  <c r="AI93" i="5"/>
  <c r="AJ93" i="5"/>
  <c r="AP93" i="5" s="1"/>
  <c r="DH93" i="8"/>
  <c r="DI93" i="8" s="1"/>
  <c r="E93" i="1"/>
  <c r="CK93" i="8"/>
  <c r="AC93" i="8"/>
  <c r="BQ93" i="8" s="1"/>
  <c r="BI93" i="8"/>
  <c r="AQ91" i="5"/>
  <c r="F94" i="5"/>
  <c r="B95" i="5"/>
  <c r="AH95" i="5"/>
  <c r="BU95" i="5"/>
  <c r="B95" i="2"/>
  <c r="B95" i="1"/>
  <c r="BG95" i="1" s="1"/>
  <c r="BY97" i="11"/>
  <c r="K96" i="10"/>
  <c r="AA96" i="7"/>
  <c r="AF96" i="8" s="1"/>
  <c r="AV96" i="8" s="1"/>
  <c r="L96" i="11"/>
  <c r="J96" i="5"/>
  <c r="DC96" i="5" s="1"/>
  <c r="E95" i="10"/>
  <c r="G95" i="7"/>
  <c r="K96" i="5"/>
  <c r="F95" i="10"/>
  <c r="H95" i="7"/>
  <c r="DD95" i="5"/>
  <c r="M96" i="5"/>
  <c r="H95" i="10"/>
  <c r="J95" i="7"/>
  <c r="B95" i="10"/>
  <c r="G96" i="5"/>
  <c r="D95" i="7"/>
  <c r="I96" i="5"/>
  <c r="D95" i="10"/>
  <c r="F95" i="7"/>
  <c r="H96" i="5"/>
  <c r="C95" i="10"/>
  <c r="E95" i="7"/>
  <c r="L96" i="5"/>
  <c r="G95" i="10"/>
  <c r="I95" i="7"/>
  <c r="CS90" i="8"/>
  <c r="D93" i="9"/>
  <c r="N92" i="7"/>
  <c r="AH104" i="9"/>
  <c r="BZ92" i="8"/>
  <c r="BY92" i="8"/>
  <c r="CA92" i="8"/>
  <c r="CB92" i="8"/>
  <c r="CT92" i="8" s="1"/>
  <c r="CC92" i="8"/>
  <c r="CV92" i="8" s="1"/>
  <c r="CW92" i="8" s="1"/>
  <c r="AA91" i="11"/>
  <c r="AK91" i="1" s="1"/>
  <c r="AB91" i="11"/>
  <c r="Q91" i="8" s="1"/>
  <c r="AD91" i="11"/>
  <c r="AI91" i="1" s="1"/>
  <c r="N92" i="11"/>
  <c r="AC91" i="11"/>
  <c r="U91" i="8" s="1"/>
  <c r="Z91" i="11"/>
  <c r="AE92" i="7"/>
  <c r="AF92" i="7" s="1"/>
  <c r="CI92" i="8"/>
  <c r="DA92" i="8" s="1"/>
  <c r="CZ95" i="5"/>
  <c r="DA94" i="5"/>
  <c r="DG94" i="5" s="1" a="1"/>
  <c r="DG94" i="5" s="1"/>
  <c r="AB95" i="1"/>
  <c r="DI95" i="5"/>
  <c r="AG104" i="9"/>
  <c r="AK104" i="9"/>
  <c r="N80" i="1"/>
  <c r="S97" i="2"/>
  <c r="N98" i="2"/>
  <c r="R98" i="2"/>
  <c r="Q97" i="2"/>
  <c r="J99" i="10"/>
  <c r="N99" i="5" s="1"/>
  <c r="P99" i="2"/>
  <c r="AQ120" i="9" l="1"/>
  <c r="CM120" i="8" s="1"/>
  <c r="AO93" i="5"/>
  <c r="AM93" i="5"/>
  <c r="AN93" i="5"/>
  <c r="AR93" i="5" s="1"/>
  <c r="AV94" i="5"/>
  <c r="AW94" i="5"/>
  <c r="AG93" i="7"/>
  <c r="AG92" i="7"/>
  <c r="AI92" i="7" s="1"/>
  <c r="CL94" i="8"/>
  <c r="DB92" i="8"/>
  <c r="CC93" i="8"/>
  <c r="CV93" i="8" s="1"/>
  <c r="CW93" i="8" s="1"/>
  <c r="AC93" i="1"/>
  <c r="AI116" i="9"/>
  <c r="AO116" i="8" s="1"/>
  <c r="G99" i="8"/>
  <c r="CF98" i="8"/>
  <c r="O98" i="2"/>
  <c r="BF98" i="5" a="1"/>
  <c r="BF98" i="5" s="1"/>
  <c r="AE97" i="1" s="1"/>
  <c r="AM105" i="9"/>
  <c r="BR93" i="8"/>
  <c r="BS93" i="8"/>
  <c r="AD96" i="1"/>
  <c r="BI98" i="5" a="1"/>
  <c r="BI98" i="5" s="1"/>
  <c r="BN98" i="5" a="1"/>
  <c r="BN98" i="5" s="1"/>
  <c r="BQ98" i="5" a="1"/>
  <c r="BQ98" i="5" s="1"/>
  <c r="BK98" i="5" a="1"/>
  <c r="BK98" i="5" s="1"/>
  <c r="BJ98" i="5" a="1"/>
  <c r="BJ98" i="5" s="1"/>
  <c r="BC98" i="5" a="1"/>
  <c r="BC98" i="5" s="1"/>
  <c r="BO98" i="5" a="1"/>
  <c r="BO98" i="5" s="1"/>
  <c r="CQ98" i="5"/>
  <c r="CR98" i="5"/>
  <c r="CS98" i="5"/>
  <c r="CU98" i="5"/>
  <c r="CT98" i="5"/>
  <c r="CW98" i="5"/>
  <c r="CV98" i="5"/>
  <c r="BL98" i="5" a="1"/>
  <c r="BL98" i="5" s="1"/>
  <c r="AY98" i="5" a="1"/>
  <c r="AY98" i="5" s="1"/>
  <c r="BB98" i="5" a="1"/>
  <c r="BB98" i="5" s="1"/>
  <c r="BH98" i="5" a="1"/>
  <c r="BH98" i="5" s="1"/>
  <c r="BD98" i="5" a="1"/>
  <c r="BD98" i="5" s="1"/>
  <c r="BA98" i="5" a="1"/>
  <c r="BA98" i="5" s="1"/>
  <c r="BE98" i="5" a="1"/>
  <c r="BE98" i="5" s="1"/>
  <c r="AZ98" i="5" a="1"/>
  <c r="AZ98" i="5" s="1"/>
  <c r="BG98" i="5" a="1"/>
  <c r="BG98" i="5" s="1"/>
  <c r="BM98" i="5" a="1"/>
  <c r="BM98" i="5" s="1"/>
  <c r="V96" i="2"/>
  <c r="CS91" i="8"/>
  <c r="F101" i="8"/>
  <c r="BP97" i="5" a="1"/>
  <c r="BP97" i="5" s="1"/>
  <c r="J97" i="2" s="1"/>
  <c r="B94" i="7"/>
  <c r="AE94" i="7" s="1"/>
  <c r="AF94" i="7" s="1"/>
  <c r="O102" i="1"/>
  <c r="CD92" i="8"/>
  <c r="BX93" i="8"/>
  <c r="CE93" i="8" s="1"/>
  <c r="BT93" i="8"/>
  <c r="BO93" i="8"/>
  <c r="BP93" i="8"/>
  <c r="BM93" i="8"/>
  <c r="BN93" i="8"/>
  <c r="BK93" i="8"/>
  <c r="BL93" i="8"/>
  <c r="BJ93" i="8"/>
  <c r="AC93" i="10"/>
  <c r="X93" i="10" s="1"/>
  <c r="AS97" i="5"/>
  <c r="AK97" i="11"/>
  <c r="CA93" i="8"/>
  <c r="CB93" i="8"/>
  <c r="CT93" i="8" s="1"/>
  <c r="BY93" i="8"/>
  <c r="BZ93" i="8"/>
  <c r="CH93" i="8"/>
  <c r="CZ93" i="8" s="1"/>
  <c r="AH97" i="11"/>
  <c r="AJ97" i="1"/>
  <c r="DF96" i="5"/>
  <c r="DE96" i="5"/>
  <c r="AU98" i="8"/>
  <c r="AE98" i="8"/>
  <c r="K99" i="11"/>
  <c r="A99" i="14"/>
  <c r="CA99" i="14" s="1"/>
  <c r="A99" i="7"/>
  <c r="R99" i="7" s="1"/>
  <c r="A99" i="5"/>
  <c r="A99" i="9"/>
  <c r="A99" i="2"/>
  <c r="A99" i="8"/>
  <c r="BK98" i="14" a="1"/>
  <c r="BK98" i="14" s="1"/>
  <c r="W98" i="14" a="1"/>
  <c r="W98" i="14" s="1"/>
  <c r="AL98" i="14" a="1"/>
  <c r="AL98" i="14" s="1"/>
  <c r="AS98" i="14" a="1"/>
  <c r="AS98" i="14" s="1"/>
  <c r="BZ98" i="14" a="1"/>
  <c r="BZ98" i="14" s="1"/>
  <c r="AQ98" i="14" a="1"/>
  <c r="AQ98" i="14" s="1"/>
  <c r="BL98" i="14" a="1"/>
  <c r="BL98" i="14" s="1"/>
  <c r="AH98" i="14" a="1"/>
  <c r="AH98" i="14" s="1"/>
  <c r="M98" i="14" a="1"/>
  <c r="M98" i="14" s="1"/>
  <c r="BT98" i="14" a="1"/>
  <c r="BT98" i="14" s="1"/>
  <c r="O98" i="14" a="1"/>
  <c r="O98" i="14" s="1"/>
  <c r="N98" i="14" a="1"/>
  <c r="N98" i="14" s="1"/>
  <c r="BX98" i="14" a="1"/>
  <c r="BX98" i="14" s="1"/>
  <c r="BP98" i="14" a="1"/>
  <c r="BP98" i="14" s="1"/>
  <c r="S98" i="14" a="1"/>
  <c r="S98" i="14" s="1"/>
  <c r="BM98" i="14" a="1"/>
  <c r="BM98" i="14" s="1"/>
  <c r="AO98" i="14" a="1"/>
  <c r="AO98" i="14" s="1"/>
  <c r="AW98" i="14" a="1"/>
  <c r="AW98" i="14" s="1"/>
  <c r="AV98" i="14" a="1"/>
  <c r="AV98" i="14" s="1"/>
  <c r="BR98" i="14" a="1"/>
  <c r="BR98" i="14" s="1"/>
  <c r="V98" i="14" a="1"/>
  <c r="V98" i="14" s="1"/>
  <c r="BH98" i="14" a="1"/>
  <c r="BH98" i="14" s="1"/>
  <c r="AN98" i="14" a="1"/>
  <c r="AN98" i="14" s="1"/>
  <c r="BO98" i="14" a="1"/>
  <c r="BO98" i="14" s="1"/>
  <c r="BE98" i="14" a="1"/>
  <c r="BE98" i="14" s="1"/>
  <c r="BN98" i="14" a="1"/>
  <c r="BN98" i="14" s="1"/>
  <c r="AM98" i="14" a="1"/>
  <c r="AM98" i="14" s="1"/>
  <c r="X98" i="14" a="1"/>
  <c r="X98" i="14" s="1"/>
  <c r="BQ98" i="14" a="1"/>
  <c r="BQ98" i="14" s="1"/>
  <c r="AC98" i="14" a="1"/>
  <c r="AC98" i="14" s="1"/>
  <c r="P98" i="14" a="1"/>
  <c r="P98" i="14" s="1"/>
  <c r="BG98" i="14" a="1"/>
  <c r="BG98" i="14" s="1"/>
  <c r="BF98" i="14" a="1"/>
  <c r="BF98" i="14" s="1"/>
  <c r="BU98" i="14" a="1"/>
  <c r="BU98" i="14" s="1"/>
  <c r="AU98" i="14" a="1"/>
  <c r="AU98" i="14" s="1"/>
  <c r="BB98" i="14" a="1"/>
  <c r="BB98" i="14" s="1"/>
  <c r="AK98" i="14" a="1"/>
  <c r="AK98" i="14" s="1"/>
  <c r="U98" i="14" a="1"/>
  <c r="U98" i="14" s="1"/>
  <c r="AJ98" i="14" a="1"/>
  <c r="AJ98" i="14" s="1"/>
  <c r="AA98" i="14" a="1"/>
  <c r="AA98" i="14" s="1"/>
  <c r="AP98" i="14" a="1"/>
  <c r="AP98" i="14" s="1"/>
  <c r="AG98" i="14" a="1"/>
  <c r="AG98" i="14" s="1"/>
  <c r="BS98" i="14" a="1"/>
  <c r="BS98" i="14" s="1"/>
  <c r="AD98" i="14" a="1"/>
  <c r="AD98" i="14" s="1"/>
  <c r="BA98" i="14" a="1"/>
  <c r="BA98" i="14" s="1"/>
  <c r="AZ98" i="14" a="1"/>
  <c r="AZ98" i="14" s="1"/>
  <c r="T98" i="14" a="1"/>
  <c r="T98" i="14" s="1"/>
  <c r="AI98" i="14" a="1"/>
  <c r="AI98" i="14" s="1"/>
  <c r="Z98" i="14" a="1"/>
  <c r="Z98" i="14" s="1"/>
  <c r="Q98" i="14" a="1"/>
  <c r="Q98" i="14" s="1"/>
  <c r="BC98" i="14" a="1"/>
  <c r="BC98" i="14" s="1"/>
  <c r="BY98" i="14" a="1"/>
  <c r="BY98" i="14" s="1"/>
  <c r="AE98" i="14" a="1"/>
  <c r="AE98" i="14" s="1"/>
  <c r="BW98" i="14" a="1"/>
  <c r="BW98" i="14" s="1"/>
  <c r="BJ98" i="14" a="1"/>
  <c r="BJ98" i="14" s="1"/>
  <c r="AY98" i="14" a="1"/>
  <c r="AY98" i="14" s="1"/>
  <c r="AT98" i="14" a="1"/>
  <c r="AT98" i="14" s="1"/>
  <c r="R98" i="14" a="1"/>
  <c r="R98" i="14" s="1"/>
  <c r="AL98" i="1" s="1"/>
  <c r="BD98" i="14" a="1"/>
  <c r="BD98" i="14" s="1"/>
  <c r="BV98" i="14" a="1"/>
  <c r="BV98" i="14" s="1"/>
  <c r="BI98" i="14" a="1"/>
  <c r="BI98" i="14" s="1"/>
  <c r="AF98" i="14" a="1"/>
  <c r="AF98" i="14" s="1"/>
  <c r="AR98" i="14" a="1"/>
  <c r="AR98" i="14" s="1"/>
  <c r="AX98" i="14" a="1"/>
  <c r="AX98" i="14" s="1"/>
  <c r="AB98" i="14" a="1"/>
  <c r="AB98" i="14" s="1"/>
  <c r="Y98" i="14" a="1"/>
  <c r="Y98" i="14" s="1"/>
  <c r="Y95" i="1"/>
  <c r="DJ96" i="5"/>
  <c r="AM97" i="1"/>
  <c r="AF95" i="1"/>
  <c r="DH96" i="5"/>
  <c r="W95" i="1"/>
  <c r="Q93" i="7"/>
  <c r="B93" i="14"/>
  <c r="AJ94" i="5"/>
  <c r="AP94" i="5" s="1"/>
  <c r="CI93" i="8"/>
  <c r="DA93" i="8" s="1"/>
  <c r="AC92" i="11"/>
  <c r="U92" i="8" s="1"/>
  <c r="AA92" i="11"/>
  <c r="AK92" i="1" s="1"/>
  <c r="Z92" i="11"/>
  <c r="AD92" i="11"/>
  <c r="AI92" i="1" s="1"/>
  <c r="AB92" i="11"/>
  <c r="Q92" i="8" s="1"/>
  <c r="Y92" i="11"/>
  <c r="AH92" i="1" s="1"/>
  <c r="D94" i="9"/>
  <c r="BT94" i="5"/>
  <c r="N93" i="7"/>
  <c r="A94" i="10"/>
  <c r="AA94" i="10" s="1"/>
  <c r="A94" i="11"/>
  <c r="AA93" i="11" s="1"/>
  <c r="AK93" i="1" s="1"/>
  <c r="BI94" i="8"/>
  <c r="BW94" i="8"/>
  <c r="AC94" i="8"/>
  <c r="BQ94" i="8" s="1"/>
  <c r="E94" i="1"/>
  <c r="AI94" i="5"/>
  <c r="X94" i="8"/>
  <c r="DD94" i="8" s="1"/>
  <c r="B94" i="9"/>
  <c r="Y94" i="9" s="1"/>
  <c r="CK94" i="8"/>
  <c r="DH94" i="8"/>
  <c r="DI94" i="8" s="1"/>
  <c r="BH94" i="8"/>
  <c r="BU94" i="8" s="1"/>
  <c r="AH96" i="5"/>
  <c r="BU96" i="5"/>
  <c r="B96" i="2"/>
  <c r="B96" i="1"/>
  <c r="BG96" i="1" s="1"/>
  <c r="BY98" i="11"/>
  <c r="AA97" i="7"/>
  <c r="AF97" i="8" s="1"/>
  <c r="AV97" i="8" s="1"/>
  <c r="K97" i="10"/>
  <c r="L97" i="11"/>
  <c r="I97" i="5"/>
  <c r="D96" i="10"/>
  <c r="F96" i="7"/>
  <c r="L97" i="5"/>
  <c r="G96" i="10"/>
  <c r="I96" i="7"/>
  <c r="G97" i="5"/>
  <c r="D96" i="7"/>
  <c r="B96" i="10"/>
  <c r="K97" i="5"/>
  <c r="F96" i="10"/>
  <c r="H96" i="7"/>
  <c r="DD96" i="5"/>
  <c r="H97" i="5"/>
  <c r="C96" i="10"/>
  <c r="E96" i="7"/>
  <c r="B96" i="5"/>
  <c r="DB96" i="5"/>
  <c r="M97" i="5"/>
  <c r="H96" i="10"/>
  <c r="J96" i="7"/>
  <c r="J97" i="5"/>
  <c r="DC97" i="5" s="1"/>
  <c r="E96" i="10"/>
  <c r="G96" i="7"/>
  <c r="CQ92" i="8"/>
  <c r="CU92" i="8" s="1"/>
  <c r="AH105" i="9"/>
  <c r="CR92" i="8"/>
  <c r="AQ92" i="5"/>
  <c r="B92" i="14"/>
  <c r="C95" i="5"/>
  <c r="F95" i="5" s="1"/>
  <c r="CZ96" i="5"/>
  <c r="AB96" i="1"/>
  <c r="DI96" i="5"/>
  <c r="C96" i="5"/>
  <c r="DA95" i="5"/>
  <c r="DG95" i="5" s="1" a="1"/>
  <c r="DG95" i="5" s="1"/>
  <c r="AG105" i="9"/>
  <c r="AK105" i="9"/>
  <c r="AD1269" i="14"/>
  <c r="AD1270" i="14" s="1"/>
  <c r="N81" i="1"/>
  <c r="S98" i="2"/>
  <c r="N99" i="2"/>
  <c r="R99" i="2"/>
  <c r="Q98" i="2"/>
  <c r="J100" i="10"/>
  <c r="N100" i="5" s="1"/>
  <c r="P100" i="2"/>
  <c r="AQ121" i="9" l="1"/>
  <c r="CM121" i="8" s="1"/>
  <c r="AO94" i="5"/>
  <c r="AM94" i="5"/>
  <c r="AN94" i="5"/>
  <c r="AR94" i="5" s="1"/>
  <c r="AV95" i="5"/>
  <c r="AW95" i="5"/>
  <c r="AI93" i="7"/>
  <c r="AG94" i="7"/>
  <c r="AI94" i="7" s="1"/>
  <c r="CL95" i="8"/>
  <c r="CH94" i="8"/>
  <c r="CZ94" i="8" s="1"/>
  <c r="AC94" i="1"/>
  <c r="AI117" i="9"/>
  <c r="AO117" i="8" s="1"/>
  <c r="G100" i="8"/>
  <c r="CF99" i="8"/>
  <c r="O99" i="2"/>
  <c r="BM99" i="5" a="1"/>
  <c r="BM99" i="5" s="1"/>
  <c r="BG99" i="5" a="1"/>
  <c r="BG99" i="5" s="1"/>
  <c r="AZ99" i="5" a="1"/>
  <c r="AZ99" i="5" s="1"/>
  <c r="BE99" i="5" a="1"/>
  <c r="BE99" i="5" s="1"/>
  <c r="AM106" i="9"/>
  <c r="BR94" i="8"/>
  <c r="BS94" i="8"/>
  <c r="AD97" i="1"/>
  <c r="BO99" i="5" a="1"/>
  <c r="BO99" i="5" s="1"/>
  <c r="BC99" i="5" a="1"/>
  <c r="BC99" i="5" s="1"/>
  <c r="CT99" i="5"/>
  <c r="CS99" i="5"/>
  <c r="CU99" i="5"/>
  <c r="CQ99" i="5"/>
  <c r="CR99" i="5"/>
  <c r="CV99" i="5"/>
  <c r="CW99" i="5"/>
  <c r="BL99" i="5" a="1"/>
  <c r="BL99" i="5" s="1"/>
  <c r="AY99" i="5" a="1"/>
  <c r="AY99" i="5" s="1"/>
  <c r="BJ99" i="5" a="1"/>
  <c r="BJ99" i="5" s="1"/>
  <c r="BA99" i="5" a="1"/>
  <c r="BA99" i="5" s="1"/>
  <c r="BK99" i="5" a="1"/>
  <c r="BK99" i="5" s="1"/>
  <c r="BD99" i="5" a="1"/>
  <c r="BD99" i="5" s="1"/>
  <c r="BQ99" i="5" a="1"/>
  <c r="BQ99" i="5" s="1"/>
  <c r="BH99" i="5" a="1"/>
  <c r="BH99" i="5" s="1"/>
  <c r="BN99" i="5" a="1"/>
  <c r="BN99" i="5" s="1"/>
  <c r="BB99" i="5" a="1"/>
  <c r="BB99" i="5" s="1"/>
  <c r="BI99" i="5" a="1"/>
  <c r="BI99" i="5" s="1"/>
  <c r="BF99" i="5" a="1"/>
  <c r="BF99" i="5" s="1"/>
  <c r="AE98" i="1" s="1"/>
  <c r="Q94" i="7"/>
  <c r="V97" i="2"/>
  <c r="B94" i="14"/>
  <c r="CX92" i="8"/>
  <c r="CY92" i="8" s="1"/>
  <c r="CQ93" i="8"/>
  <c r="CU93" i="8" s="1"/>
  <c r="F102" i="8"/>
  <c r="BP98" i="5" a="1"/>
  <c r="BP98" i="5" s="1"/>
  <c r="J98" i="2" s="1"/>
  <c r="O103" i="1"/>
  <c r="CD93" i="8"/>
  <c r="BX94" i="8"/>
  <c r="CE94" i="8" s="1"/>
  <c r="BT94" i="8"/>
  <c r="BO94" i="8"/>
  <c r="BP94" i="8"/>
  <c r="BM94" i="8"/>
  <c r="BN94" i="8"/>
  <c r="BK94" i="8"/>
  <c r="BL94" i="8"/>
  <c r="BJ94" i="8"/>
  <c r="AC94" i="10"/>
  <c r="X94" i="10" s="1"/>
  <c r="AS98" i="5"/>
  <c r="AM98" i="1"/>
  <c r="DB93" i="8"/>
  <c r="CR93" i="8"/>
  <c r="AH98" i="11"/>
  <c r="DB97" i="5"/>
  <c r="DF97" i="5"/>
  <c r="DE97" i="5"/>
  <c r="AF96" i="1"/>
  <c r="AE99" i="8"/>
  <c r="AU99" i="8"/>
  <c r="K100" i="11"/>
  <c r="A100" i="14"/>
  <c r="CA100" i="14" s="1"/>
  <c r="A100" i="7"/>
  <c r="R100" i="7" s="1"/>
  <c r="A100" i="9"/>
  <c r="A100" i="2"/>
  <c r="A100" i="8"/>
  <c r="A100" i="5"/>
  <c r="AK98" i="11"/>
  <c r="DH97" i="5"/>
  <c r="Y96" i="1"/>
  <c r="DJ97" i="5"/>
  <c r="W96" i="1"/>
  <c r="AJ98" i="1"/>
  <c r="AE99" i="14" a="1"/>
  <c r="AE99" i="14" s="1"/>
  <c r="BJ99" i="14" a="1"/>
  <c r="BJ99" i="14" s="1"/>
  <c r="AD99" i="14" a="1"/>
  <c r="AD99" i="14" s="1"/>
  <c r="BW99" i="14" a="1"/>
  <c r="BW99" i="14" s="1"/>
  <c r="AR99" i="14" a="1"/>
  <c r="AR99" i="14" s="1"/>
  <c r="AI99" i="14" a="1"/>
  <c r="AI99" i="14" s="1"/>
  <c r="Z99" i="14" a="1"/>
  <c r="Z99" i="14" s="1"/>
  <c r="M99" i="14" a="1"/>
  <c r="M99" i="14" s="1"/>
  <c r="BT99" i="14" a="1"/>
  <c r="BT99" i="14" s="1"/>
  <c r="X99" i="14" a="1"/>
  <c r="X99" i="14" s="1"/>
  <c r="AL99" i="14" a="1"/>
  <c r="AL99" i="14" s="1"/>
  <c r="BA99" i="14" a="1"/>
  <c r="BA99" i="14" s="1"/>
  <c r="T99" i="14" a="1"/>
  <c r="T99" i="14" s="1"/>
  <c r="AQ99" i="14" a="1"/>
  <c r="AQ99" i="14" s="1"/>
  <c r="BN99" i="14" a="1"/>
  <c r="BN99" i="14" s="1"/>
  <c r="BU99" i="14" a="1"/>
  <c r="BU99" i="14" s="1"/>
  <c r="Y99" i="14" a="1"/>
  <c r="Y99" i="14" s="1"/>
  <c r="AV99" i="14" a="1"/>
  <c r="AV99" i="14" s="1"/>
  <c r="W99" i="14" a="1"/>
  <c r="W99" i="14" s="1"/>
  <c r="N99" i="14" a="1"/>
  <c r="N99" i="14" s="1"/>
  <c r="P99" i="14" a="1"/>
  <c r="P99" i="14" s="1"/>
  <c r="BZ99" i="14" a="1"/>
  <c r="BZ99" i="14" s="1"/>
  <c r="BO99" i="14" a="1"/>
  <c r="BO99" i="14" s="1"/>
  <c r="AX99" i="14" a="1"/>
  <c r="AX99" i="14" s="1"/>
  <c r="Q99" i="14" a="1"/>
  <c r="Q99" i="14" s="1"/>
  <c r="AG99" i="14" a="1"/>
  <c r="AG99" i="14" s="1"/>
  <c r="BS99" i="14" a="1"/>
  <c r="BS99" i="14" s="1"/>
  <c r="O99" i="14" a="1"/>
  <c r="O99" i="14" s="1"/>
  <c r="BQ99" i="14" a="1"/>
  <c r="BQ99" i="14" s="1"/>
  <c r="BY99" i="14" a="1"/>
  <c r="BY99" i="14" s="1"/>
  <c r="AZ99" i="14" a="1"/>
  <c r="AZ99" i="14" s="1"/>
  <c r="AY99" i="14" a="1"/>
  <c r="AY99" i="14" s="1"/>
  <c r="S99" i="14" a="1"/>
  <c r="S99" i="14" s="1"/>
  <c r="AH99" i="14" a="1"/>
  <c r="AH99" i="14" s="1"/>
  <c r="BK99" i="14" a="1"/>
  <c r="BK99" i="14" s="1"/>
  <c r="BB99" i="14" a="1"/>
  <c r="BB99" i="14" s="1"/>
  <c r="AS99" i="14" a="1"/>
  <c r="AS99" i="14" s="1"/>
  <c r="U99" i="14" a="1"/>
  <c r="U99" i="14" s="1"/>
  <c r="AB99" i="14" a="1"/>
  <c r="AB99" i="14" s="1"/>
  <c r="BV99" i="14" a="1"/>
  <c r="BV99" i="14" s="1"/>
  <c r="R99" i="14" a="1"/>
  <c r="R99" i="14" s="1"/>
  <c r="AL99" i="1" s="1"/>
  <c r="BM99" i="14" a="1"/>
  <c r="BM99" i="14" s="1"/>
  <c r="BC99" i="14" a="1"/>
  <c r="BC99" i="14" s="1"/>
  <c r="BR99" i="14" a="1"/>
  <c r="BR99" i="14" s="1"/>
  <c r="BD99" i="14" a="1"/>
  <c r="BD99" i="14" s="1"/>
  <c r="AJ99" i="14" a="1"/>
  <c r="AJ99" i="14" s="1"/>
  <c r="AC99" i="14" a="1"/>
  <c r="AC99" i="14" s="1"/>
  <c r="BG99" i="14" a="1"/>
  <c r="BG99" i="14" s="1"/>
  <c r="AF99" i="14" a="1"/>
  <c r="AF99" i="14" s="1"/>
  <c r="AP99" i="14" a="1"/>
  <c r="AP99" i="14" s="1"/>
  <c r="AK99" i="14" a="1"/>
  <c r="AK99" i="14" s="1"/>
  <c r="BF99" i="14" a="1"/>
  <c r="BF99" i="14" s="1"/>
  <c r="BI99" i="14" a="1"/>
  <c r="BI99" i="14" s="1"/>
  <c r="BL99" i="14" a="1"/>
  <c r="BL99" i="14" s="1"/>
  <c r="BH99" i="14" a="1"/>
  <c r="BH99" i="14" s="1"/>
  <c r="BE99" i="14" a="1"/>
  <c r="BE99" i="14" s="1"/>
  <c r="BX99" i="14" a="1"/>
  <c r="BX99" i="14" s="1"/>
  <c r="AO99" i="14" a="1"/>
  <c r="AO99" i="14" s="1"/>
  <c r="AM99" i="14" a="1"/>
  <c r="AM99" i="14" s="1"/>
  <c r="BP99" i="14" a="1"/>
  <c r="BP99" i="14" s="1"/>
  <c r="AU99" i="14" a="1"/>
  <c r="AU99" i="14" s="1"/>
  <c r="AN99" i="14" a="1"/>
  <c r="AN99" i="14" s="1"/>
  <c r="AT99" i="14" a="1"/>
  <c r="AT99" i="14" s="1"/>
  <c r="AA99" i="14" a="1"/>
  <c r="AA99" i="14" s="1"/>
  <c r="V99" i="14" a="1"/>
  <c r="V99" i="14" s="1"/>
  <c r="AW99" i="14" a="1"/>
  <c r="AW99" i="14" s="1"/>
  <c r="AQ93" i="5"/>
  <c r="BZ94" i="8"/>
  <c r="AD93" i="11"/>
  <c r="AI93" i="1" s="1"/>
  <c r="Z93" i="11"/>
  <c r="Y93" i="11"/>
  <c r="AH93" i="1" s="1"/>
  <c r="N94" i="11"/>
  <c r="AB93" i="11"/>
  <c r="Q93" i="8" s="1"/>
  <c r="AC93" i="11"/>
  <c r="U93" i="8" s="1"/>
  <c r="F96" i="5"/>
  <c r="N94" i="7"/>
  <c r="BY94" i="8"/>
  <c r="CB94" i="8"/>
  <c r="CT94" i="8" s="1"/>
  <c r="CA94" i="8"/>
  <c r="CC94" i="8"/>
  <c r="CV94" i="8" s="1"/>
  <c r="CW94" i="8" s="1"/>
  <c r="CI94" i="8"/>
  <c r="DA94" i="8" s="1"/>
  <c r="D95" i="9"/>
  <c r="CS92" i="8"/>
  <c r="B97" i="5"/>
  <c r="B97" i="2"/>
  <c r="B97" i="1"/>
  <c r="BG97" i="1" s="1"/>
  <c r="BU97" i="5"/>
  <c r="AH97" i="5"/>
  <c r="BY99" i="11"/>
  <c r="K98" i="10"/>
  <c r="AA98" i="7"/>
  <c r="AF98" i="8" s="1"/>
  <c r="AV98" i="8" s="1"/>
  <c r="L98" i="11"/>
  <c r="J98" i="5"/>
  <c r="DC98" i="5" s="1"/>
  <c r="E97" i="10"/>
  <c r="G97" i="7"/>
  <c r="H98" i="5"/>
  <c r="C97" i="10"/>
  <c r="E97" i="7"/>
  <c r="M98" i="5"/>
  <c r="H97" i="10"/>
  <c r="J97" i="7"/>
  <c r="L98" i="5"/>
  <c r="G97" i="10"/>
  <c r="I97" i="7"/>
  <c r="K98" i="5"/>
  <c r="F97" i="10"/>
  <c r="H97" i="7"/>
  <c r="DD97" i="5"/>
  <c r="I98" i="5"/>
  <c r="D97" i="10"/>
  <c r="F97" i="7"/>
  <c r="G98" i="5"/>
  <c r="D97" i="7"/>
  <c r="B97" i="10"/>
  <c r="DH95" i="8"/>
  <c r="DI95" i="8" s="1"/>
  <c r="CK95" i="8"/>
  <c r="BW95" i="8"/>
  <c r="BI95" i="8"/>
  <c r="A95" i="10"/>
  <c r="AA95" i="10" s="1"/>
  <c r="BH95" i="8"/>
  <c r="BU95" i="8" s="1"/>
  <c r="AH106" i="9"/>
  <c r="AJ95" i="5"/>
  <c r="AP95" i="5" s="1"/>
  <c r="AC95" i="8"/>
  <c r="BQ95" i="8" s="1"/>
  <c r="E95" i="1"/>
  <c r="BT95" i="5"/>
  <c r="A95" i="11"/>
  <c r="X95" i="8"/>
  <c r="DD95" i="8" s="1"/>
  <c r="AI95" i="5"/>
  <c r="B95" i="7"/>
  <c r="B95" i="9"/>
  <c r="Y95" i="9" s="1"/>
  <c r="CZ97" i="5"/>
  <c r="C97" i="5"/>
  <c r="DA96" i="5"/>
  <c r="DG96" i="5" s="1" a="1"/>
  <c r="DG96" i="5" s="1"/>
  <c r="AB97" i="1"/>
  <c r="DI97" i="5"/>
  <c r="AG106" i="9"/>
  <c r="AK106" i="9"/>
  <c r="AK1269" i="14"/>
  <c r="AK1270" i="14" s="1"/>
  <c r="N82" i="1"/>
  <c r="AI1269" i="14"/>
  <c r="AI1270" i="14" s="1"/>
  <c r="S99" i="2"/>
  <c r="N100" i="2"/>
  <c r="R100" i="2"/>
  <c r="Q99" i="2"/>
  <c r="P101" i="2"/>
  <c r="J101" i="10"/>
  <c r="N101" i="5" s="1"/>
  <c r="AQ122" i="9" l="1"/>
  <c r="CM122" i="8" s="1"/>
  <c r="AO95" i="5"/>
  <c r="AM95" i="5"/>
  <c r="AN95" i="5"/>
  <c r="AV96" i="5"/>
  <c r="AW96" i="5"/>
  <c r="CL96" i="8"/>
  <c r="DB94" i="8"/>
  <c r="CC95" i="8"/>
  <c r="CV95" i="8" s="1"/>
  <c r="CW95" i="8" s="1"/>
  <c r="AC95" i="1"/>
  <c r="AI118" i="9"/>
  <c r="AO118" i="8" s="1"/>
  <c r="G101" i="8"/>
  <c r="CF100" i="8"/>
  <c r="O100" i="2"/>
  <c r="BJ100" i="5" a="1"/>
  <c r="BJ100" i="5" s="1"/>
  <c r="AM107" i="9"/>
  <c r="BR95" i="8"/>
  <c r="BS95" i="8"/>
  <c r="AD98" i="1"/>
  <c r="BF100" i="5" a="1"/>
  <c r="BF100" i="5" s="1"/>
  <c r="AE99" i="1" s="1"/>
  <c r="CS100" i="5"/>
  <c r="CT100" i="5"/>
  <c r="CR100" i="5"/>
  <c r="CV100" i="5"/>
  <c r="CW100" i="5"/>
  <c r="CQ100" i="5"/>
  <c r="CU100" i="5"/>
  <c r="AY100" i="5" a="1"/>
  <c r="AY100" i="5" s="1"/>
  <c r="BL100" i="5" a="1"/>
  <c r="BL100" i="5" s="1"/>
  <c r="BI100" i="5" a="1"/>
  <c r="BI100" i="5" s="1"/>
  <c r="BB100" i="5" a="1"/>
  <c r="BB100" i="5" s="1"/>
  <c r="BN100" i="5" a="1"/>
  <c r="BN100" i="5" s="1"/>
  <c r="BC100" i="5" a="1"/>
  <c r="BC100" i="5" s="1"/>
  <c r="BH100" i="5" a="1"/>
  <c r="BH100" i="5" s="1"/>
  <c r="BE100" i="5" a="1"/>
  <c r="BE100" i="5" s="1"/>
  <c r="BQ100" i="5" a="1"/>
  <c r="BQ100" i="5" s="1"/>
  <c r="BO100" i="5" a="1"/>
  <c r="BO100" i="5" s="1"/>
  <c r="BD100" i="5" a="1"/>
  <c r="BD100" i="5" s="1"/>
  <c r="AZ100" i="5" a="1"/>
  <c r="AZ100" i="5" s="1"/>
  <c r="BK100" i="5" a="1"/>
  <c r="BK100" i="5" s="1"/>
  <c r="BG100" i="5" a="1"/>
  <c r="BG100" i="5" s="1"/>
  <c r="BA100" i="5" a="1"/>
  <c r="BA100" i="5" s="1"/>
  <c r="BM100" i="5" a="1"/>
  <c r="BM100" i="5" s="1"/>
  <c r="V98" i="2"/>
  <c r="CS93" i="8"/>
  <c r="CX93" i="8"/>
  <c r="CY93" i="8" s="1"/>
  <c r="F103" i="8"/>
  <c r="CQ94" i="8"/>
  <c r="CU94" i="8" s="1"/>
  <c r="BP99" i="5" a="1"/>
  <c r="BP99" i="5" s="1"/>
  <c r="J99" i="2" s="1"/>
  <c r="AJ96" i="5"/>
  <c r="AP96" i="5" s="1"/>
  <c r="O104" i="1"/>
  <c r="AR95" i="5"/>
  <c r="CD94" i="8"/>
  <c r="BX95" i="8"/>
  <c r="CD95" i="8" s="1"/>
  <c r="BT95" i="8"/>
  <c r="BO95" i="8"/>
  <c r="BP95" i="8"/>
  <c r="BM95" i="8"/>
  <c r="BN95" i="8"/>
  <c r="BK95" i="8"/>
  <c r="BL95" i="8"/>
  <c r="BJ95" i="8"/>
  <c r="AC95" i="10"/>
  <c r="X95" i="10" s="1"/>
  <c r="AS99" i="5"/>
  <c r="AH99" i="11"/>
  <c r="DH96" i="8"/>
  <c r="DI96" i="8" s="1"/>
  <c r="DB98" i="5"/>
  <c r="DE98" i="5"/>
  <c r="DF98" i="5"/>
  <c r="AJ99" i="1"/>
  <c r="W97" i="1"/>
  <c r="K101" i="11"/>
  <c r="A101" i="14"/>
  <c r="CA101" i="14" s="1"/>
  <c r="A101" i="9"/>
  <c r="A101" i="7"/>
  <c r="R101" i="7" s="1"/>
  <c r="A101" i="2"/>
  <c r="A101" i="5"/>
  <c r="A101" i="8"/>
  <c r="AE100" i="14" a="1"/>
  <c r="AE100" i="14" s="1"/>
  <c r="BB100" i="14" a="1"/>
  <c r="BB100" i="14" s="1"/>
  <c r="N100" i="14" a="1"/>
  <c r="N100" i="14" s="1"/>
  <c r="BY100" i="14" a="1"/>
  <c r="BY100" i="14" s="1"/>
  <c r="AA100" i="14" a="1"/>
  <c r="AA100" i="14" s="1"/>
  <c r="Z100" i="14" a="1"/>
  <c r="Z100" i="14" s="1"/>
  <c r="BF100" i="14" a="1"/>
  <c r="BF100" i="14" s="1"/>
  <c r="BU100" i="14" a="1"/>
  <c r="BU100" i="14" s="1"/>
  <c r="BT100" i="14" a="1"/>
  <c r="BT100" i="14" s="1"/>
  <c r="AU100" i="14" a="1"/>
  <c r="AU100" i="14" s="1"/>
  <c r="AD100" i="14" a="1"/>
  <c r="AD100" i="14" s="1"/>
  <c r="U100" i="14" a="1"/>
  <c r="U100" i="14" s="1"/>
  <c r="P100" i="14" a="1"/>
  <c r="P100" i="14" s="1"/>
  <c r="BN100" i="14" a="1"/>
  <c r="BN100" i="14" s="1"/>
  <c r="BL100" i="14" a="1"/>
  <c r="BL100" i="14" s="1"/>
  <c r="BV100" i="14" a="1"/>
  <c r="BV100" i="14" s="1"/>
  <c r="Y100" i="14" a="1"/>
  <c r="Y100" i="14" s="1"/>
  <c r="BK100" i="14" a="1"/>
  <c r="BK100" i="14" s="1"/>
  <c r="BJ100" i="14" a="1"/>
  <c r="BJ100" i="14" s="1"/>
  <c r="V100" i="14" a="1"/>
  <c r="V100" i="14" s="1"/>
  <c r="AK100" i="14" a="1"/>
  <c r="AK100" i="14" s="1"/>
  <c r="AB100" i="14" a="1"/>
  <c r="AB100" i="14" s="1"/>
  <c r="S100" i="14" a="1"/>
  <c r="S100" i="14" s="1"/>
  <c r="BM100" i="14" a="1"/>
  <c r="BM100" i="14" s="1"/>
  <c r="AO100" i="14" a="1"/>
  <c r="AO100" i="14" s="1"/>
  <c r="BE100" i="14" a="1"/>
  <c r="BE100" i="14" s="1"/>
  <c r="AV100" i="14" a="1"/>
  <c r="AV100" i="14" s="1"/>
  <c r="O100" i="14" a="1"/>
  <c r="O100" i="14" s="1"/>
  <c r="BQ100" i="14" a="1"/>
  <c r="BQ100" i="14" s="1"/>
  <c r="AC100" i="14" a="1"/>
  <c r="AC100" i="14" s="1"/>
  <c r="BW100" i="14" a="1"/>
  <c r="BW100" i="14" s="1"/>
  <c r="BG100" i="14" a="1"/>
  <c r="BG100" i="14" s="1"/>
  <c r="AW100" i="14" a="1"/>
  <c r="AW100" i="14" s="1"/>
  <c r="Q100" i="14" a="1"/>
  <c r="Q100" i="14" s="1"/>
  <c r="BS100" i="14" a="1"/>
  <c r="BS100" i="14" s="1"/>
  <c r="X100" i="14" a="1"/>
  <c r="X100" i="14" s="1"/>
  <c r="BA100" i="14" a="1"/>
  <c r="BA100" i="14" s="1"/>
  <c r="BZ100" i="14" a="1"/>
  <c r="BZ100" i="14" s="1"/>
  <c r="BH100" i="14" a="1"/>
  <c r="BH100" i="14" s="1"/>
  <c r="AQ100" i="14" a="1"/>
  <c r="AQ100" i="14" s="1"/>
  <c r="AI100" i="14" a="1"/>
  <c r="AI100" i="14" s="1"/>
  <c r="AJ100" i="14" a="1"/>
  <c r="AJ100" i="14" s="1"/>
  <c r="AM100" i="14" a="1"/>
  <c r="AM100" i="14" s="1"/>
  <c r="AL100" i="14" a="1"/>
  <c r="AL100" i="14" s="1"/>
  <c r="BI100" i="14" a="1"/>
  <c r="BI100" i="14" s="1"/>
  <c r="AZ100" i="14" a="1"/>
  <c r="AZ100" i="14" s="1"/>
  <c r="BX100" i="14" a="1"/>
  <c r="BX100" i="14" s="1"/>
  <c r="BO100" i="14" a="1"/>
  <c r="BO100" i="14" s="1"/>
  <c r="AP100" i="14" a="1"/>
  <c r="AP100" i="14" s="1"/>
  <c r="AG100" i="14" a="1"/>
  <c r="AG100" i="14" s="1"/>
  <c r="AS100" i="14" a="1"/>
  <c r="AS100" i="14" s="1"/>
  <c r="AX100" i="14" a="1"/>
  <c r="AX100" i="14" s="1"/>
  <c r="BD100" i="14" a="1"/>
  <c r="BD100" i="14" s="1"/>
  <c r="R100" i="14" a="1"/>
  <c r="R100" i="14" s="1"/>
  <c r="AL100" i="1" s="1"/>
  <c r="BP100" i="14" a="1"/>
  <c r="BP100" i="14" s="1"/>
  <c r="AH100" i="14" a="1"/>
  <c r="AH100" i="14" s="1"/>
  <c r="AR100" i="14" a="1"/>
  <c r="AR100" i="14" s="1"/>
  <c r="M100" i="14" a="1"/>
  <c r="M100" i="14" s="1"/>
  <c r="BC100" i="14" a="1"/>
  <c r="BC100" i="14" s="1"/>
  <c r="T100" i="14" a="1"/>
  <c r="T100" i="14" s="1"/>
  <c r="W100" i="14" a="1"/>
  <c r="W100" i="14" s="1"/>
  <c r="AN100" i="14" a="1"/>
  <c r="AN100" i="14" s="1"/>
  <c r="BR100" i="14" a="1"/>
  <c r="BR100" i="14" s="1"/>
  <c r="AF100" i="14" a="1"/>
  <c r="AF100" i="14" s="1"/>
  <c r="AT100" i="14" a="1"/>
  <c r="AT100" i="14" s="1"/>
  <c r="AY100" i="14" a="1"/>
  <c r="AY100" i="14" s="1"/>
  <c r="Y97" i="1"/>
  <c r="DJ98" i="5"/>
  <c r="AF97" i="1"/>
  <c r="DH98" i="5"/>
  <c r="AU100" i="8"/>
  <c r="AE100" i="8"/>
  <c r="AM99" i="1"/>
  <c r="AK99" i="11"/>
  <c r="AQ94" i="5"/>
  <c r="E96" i="1"/>
  <c r="CR94" i="8"/>
  <c r="B96" i="7"/>
  <c r="Q96" i="7" s="1"/>
  <c r="CK96" i="8"/>
  <c r="A96" i="10"/>
  <c r="AA96" i="10" s="1"/>
  <c r="A96" i="11"/>
  <c r="N96" i="11" s="1"/>
  <c r="AI96" i="5"/>
  <c r="AC96" i="8"/>
  <c r="BQ96" i="8" s="1"/>
  <c r="BI96" i="8"/>
  <c r="BW96" i="8"/>
  <c r="B96" i="9"/>
  <c r="Y96" i="9" s="1"/>
  <c r="X96" i="8"/>
  <c r="DD96" i="8" s="1"/>
  <c r="BH96" i="8"/>
  <c r="BU96" i="8" s="1"/>
  <c r="BT96" i="5"/>
  <c r="F97" i="5"/>
  <c r="B98" i="2"/>
  <c r="B98" i="1"/>
  <c r="BG98" i="1" s="1"/>
  <c r="BU98" i="5"/>
  <c r="AH98" i="5"/>
  <c r="BY100" i="11"/>
  <c r="K99" i="10"/>
  <c r="AA99" i="7"/>
  <c r="AF99" i="8" s="1"/>
  <c r="AV99" i="8" s="1"/>
  <c r="L99" i="11"/>
  <c r="M99" i="5"/>
  <c r="H98" i="10"/>
  <c r="J98" i="7"/>
  <c r="G99" i="5"/>
  <c r="D98" i="7"/>
  <c r="B98" i="10"/>
  <c r="K99" i="5"/>
  <c r="F98" i="10"/>
  <c r="H98" i="7"/>
  <c r="DD98" i="5"/>
  <c r="H99" i="5"/>
  <c r="C98" i="10"/>
  <c r="E98" i="7"/>
  <c r="B98" i="5"/>
  <c r="L99" i="5"/>
  <c r="G98" i="10"/>
  <c r="I98" i="7"/>
  <c r="I99" i="5"/>
  <c r="D98" i="10"/>
  <c r="F98" i="7"/>
  <c r="J99" i="5"/>
  <c r="DC99" i="5" s="1"/>
  <c r="E98" i="10"/>
  <c r="G98" i="7"/>
  <c r="D96" i="9"/>
  <c r="N95" i="7"/>
  <c r="AH107" i="9"/>
  <c r="BY95" i="8"/>
  <c r="CB95" i="8"/>
  <c r="CT95" i="8" s="1"/>
  <c r="CA95" i="8"/>
  <c r="CH95" i="8"/>
  <c r="CZ95" i="8" s="1"/>
  <c r="BZ95" i="8"/>
  <c r="CI95" i="8"/>
  <c r="DA95" i="8" s="1"/>
  <c r="AE95" i="7"/>
  <c r="AF95" i="7" s="1"/>
  <c r="Q95" i="7"/>
  <c r="AD94" i="11"/>
  <c r="AI94" i="1" s="1"/>
  <c r="AB94" i="11"/>
  <c r="Q94" i="8" s="1"/>
  <c r="N95" i="11"/>
  <c r="AA94" i="11"/>
  <c r="AK94" i="1" s="1"/>
  <c r="AC94" i="11"/>
  <c r="U94" i="8" s="1"/>
  <c r="Z94" i="11"/>
  <c r="Y94" i="11"/>
  <c r="AH94" i="1" s="1"/>
  <c r="CZ98" i="5"/>
  <c r="AB98" i="1"/>
  <c r="DI98" i="5"/>
  <c r="C98" i="5"/>
  <c r="DA97" i="5"/>
  <c r="DG97" i="5" s="1" a="1"/>
  <c r="DG97" i="5" s="1"/>
  <c r="AG107" i="9"/>
  <c r="AK107" i="9"/>
  <c r="N83" i="1"/>
  <c r="S100" i="2"/>
  <c r="N101" i="2"/>
  <c r="R101" i="2"/>
  <c r="Q100" i="2"/>
  <c r="J102" i="10"/>
  <c r="N102" i="5" s="1"/>
  <c r="P102" i="2"/>
  <c r="AQ123" i="9" l="1"/>
  <c r="CM123" i="8" s="1"/>
  <c r="AO96" i="5"/>
  <c r="AM96" i="5"/>
  <c r="AN96" i="5"/>
  <c r="AV97" i="5"/>
  <c r="AW97" i="5"/>
  <c r="AG95" i="7"/>
  <c r="AI95" i="7" s="1"/>
  <c r="CL97" i="8"/>
  <c r="CB96" i="8"/>
  <c r="CT96" i="8" s="1"/>
  <c r="AC96" i="1"/>
  <c r="AI119" i="9"/>
  <c r="AO119" i="8" s="1"/>
  <c r="G102" i="8"/>
  <c r="CF101" i="8"/>
  <c r="O101" i="2"/>
  <c r="BI101" i="5" a="1"/>
  <c r="BI101" i="5" s="1"/>
  <c r="BC101" i="5" a="1"/>
  <c r="BC101" i="5" s="1"/>
  <c r="BN101" i="5" a="1"/>
  <c r="BN101" i="5" s="1"/>
  <c r="BE101" i="5" a="1"/>
  <c r="BE101" i="5" s="1"/>
  <c r="AM108" i="9"/>
  <c r="BR96" i="8"/>
  <c r="BS96" i="8"/>
  <c r="AD99" i="1"/>
  <c r="BB101" i="5" a="1"/>
  <c r="BB101" i="5" s="1"/>
  <c r="BM101" i="5" a="1"/>
  <c r="BM101" i="5" s="1"/>
  <c r="BA101" i="5" a="1"/>
  <c r="BA101" i="5" s="1"/>
  <c r="BG101" i="5" a="1"/>
  <c r="BG101" i="5" s="1"/>
  <c r="BK101" i="5" a="1"/>
  <c r="BK101" i="5" s="1"/>
  <c r="AZ101" i="5" a="1"/>
  <c r="AZ101" i="5" s="1"/>
  <c r="BD101" i="5" a="1"/>
  <c r="BD101" i="5" s="1"/>
  <c r="CT101" i="5"/>
  <c r="CS101" i="5"/>
  <c r="CV101" i="5"/>
  <c r="CR101" i="5"/>
  <c r="CW101" i="5"/>
  <c r="CU101" i="5"/>
  <c r="CQ101" i="5"/>
  <c r="AY101" i="5" a="1"/>
  <c r="AY101" i="5" s="1"/>
  <c r="BL101" i="5" a="1"/>
  <c r="BL101" i="5" s="1"/>
  <c r="BO101" i="5" a="1"/>
  <c r="BO101" i="5" s="1"/>
  <c r="BQ101" i="5" a="1"/>
  <c r="BQ101" i="5" s="1"/>
  <c r="BF101" i="5" a="1"/>
  <c r="BF101" i="5" s="1"/>
  <c r="AE100" i="1" s="1"/>
  <c r="BH101" i="5" a="1"/>
  <c r="BH101" i="5" s="1"/>
  <c r="BJ101" i="5" a="1"/>
  <c r="BJ101" i="5" s="1"/>
  <c r="V99" i="2"/>
  <c r="CS94" i="8"/>
  <c r="F104" i="8"/>
  <c r="AC96" i="10"/>
  <c r="X96" i="10" s="1"/>
  <c r="BP100" i="5" a="1"/>
  <c r="BP100" i="5" s="1"/>
  <c r="J100" i="2" s="1"/>
  <c r="O105" i="1"/>
  <c r="CX94" i="8"/>
  <c r="CY94" i="8" s="1"/>
  <c r="CE95" i="8"/>
  <c r="CX95" i="8" s="1"/>
  <c r="CY95" i="8" s="1"/>
  <c r="BX96" i="8"/>
  <c r="CD96" i="8" s="1"/>
  <c r="BT96" i="8"/>
  <c r="BO96" i="8"/>
  <c r="BP96" i="8"/>
  <c r="BM96" i="8"/>
  <c r="BN96" i="8"/>
  <c r="BK96" i="8"/>
  <c r="BL96" i="8"/>
  <c r="BJ96" i="8"/>
  <c r="AR96" i="5"/>
  <c r="AS100" i="5"/>
  <c r="AK100" i="11"/>
  <c r="AH100" i="11"/>
  <c r="CI96" i="8"/>
  <c r="DA96" i="8" s="1"/>
  <c r="BW97" i="8"/>
  <c r="DF99" i="5"/>
  <c r="AJ100" i="1"/>
  <c r="DB99" i="5"/>
  <c r="AM100" i="1"/>
  <c r="DE99" i="5"/>
  <c r="AE101" i="8"/>
  <c r="AU101" i="8"/>
  <c r="K102" i="11"/>
  <c r="A102" i="14"/>
  <c r="CA102" i="14" s="1"/>
  <c r="A102" i="5"/>
  <c r="A102" i="9"/>
  <c r="A102" i="8"/>
  <c r="A102" i="7"/>
  <c r="R102" i="7" s="1"/>
  <c r="A102" i="2"/>
  <c r="W98" i="1"/>
  <c r="AF98" i="1"/>
  <c r="BS101" i="14" a="1"/>
  <c r="BS101" i="14" s="1"/>
  <c r="BJ101" i="14" a="1"/>
  <c r="BJ101" i="14" s="1"/>
  <c r="BD101" i="14" a="1"/>
  <c r="BD101" i="14" s="1"/>
  <c r="BQ101" i="14" a="1"/>
  <c r="BQ101" i="14" s="1"/>
  <c r="P101" i="14" a="1"/>
  <c r="P101" i="14" s="1"/>
  <c r="BO101" i="14" a="1"/>
  <c r="BO101" i="14" s="1"/>
  <c r="BE101" i="14" a="1"/>
  <c r="BE101" i="14" s="1"/>
  <c r="AW101" i="14" a="1"/>
  <c r="AW101" i="14" s="1"/>
  <c r="Q101" i="14" a="1"/>
  <c r="Q101" i="14" s="1"/>
  <c r="AV101" i="14" a="1"/>
  <c r="AV101" i="14" s="1"/>
  <c r="AL101" i="14" a="1"/>
  <c r="AL101" i="14" s="1"/>
  <c r="X101" i="14" a="1"/>
  <c r="X101" i="14" s="1"/>
  <c r="AJ101" i="14" a="1"/>
  <c r="AJ101" i="14" s="1"/>
  <c r="AZ101" i="14" a="1"/>
  <c r="AZ101" i="14" s="1"/>
  <c r="BG101" i="14" a="1"/>
  <c r="BG101" i="14" s="1"/>
  <c r="BL101" i="14" a="1"/>
  <c r="BL101" i="14" s="1"/>
  <c r="AO101" i="14" a="1"/>
  <c r="AO101" i="14" s="1"/>
  <c r="AU101" i="14" a="1"/>
  <c r="AU101" i="14" s="1"/>
  <c r="O101" i="14" a="1"/>
  <c r="O101" i="14" s="1"/>
  <c r="V101" i="14" a="1"/>
  <c r="V101" i="14" s="1"/>
  <c r="BZ101" i="14" a="1"/>
  <c r="BZ101" i="14" s="1"/>
  <c r="AB101" i="14" a="1"/>
  <c r="AB101" i="14" s="1"/>
  <c r="AN101" i="14" a="1"/>
  <c r="AN101" i="14" s="1"/>
  <c r="BN101" i="14" a="1"/>
  <c r="BN101" i="14" s="1"/>
  <c r="Y101" i="14" a="1"/>
  <c r="Y101" i="14" s="1"/>
  <c r="BK101" i="14" a="1"/>
  <c r="BK101" i="14" s="1"/>
  <c r="AD101" i="14" a="1"/>
  <c r="AD101" i="14" s="1"/>
  <c r="BA101" i="14" a="1"/>
  <c r="BA101" i="14" s="1"/>
  <c r="BX101" i="14" a="1"/>
  <c r="BX101" i="14" s="1"/>
  <c r="BP101" i="14" a="1"/>
  <c r="BP101" i="14" s="1"/>
  <c r="AQ101" i="14" a="1"/>
  <c r="AQ101" i="14" s="1"/>
  <c r="AX101" i="14" a="1"/>
  <c r="AX101" i="14" s="1"/>
  <c r="AG101" i="14" a="1"/>
  <c r="AG101" i="14" s="1"/>
  <c r="BC101" i="14" a="1"/>
  <c r="BC101" i="14" s="1"/>
  <c r="BR101" i="14" a="1"/>
  <c r="BR101" i="14" s="1"/>
  <c r="AC101" i="14" a="1"/>
  <c r="AC101" i="14" s="1"/>
  <c r="BH101" i="14" a="1"/>
  <c r="BH101" i="14" s="1"/>
  <c r="BY101" i="14" a="1"/>
  <c r="BY101" i="14" s="1"/>
  <c r="AF101" i="14" a="1"/>
  <c r="AF101" i="14" s="1"/>
  <c r="AH101" i="14" a="1"/>
  <c r="AH101" i="14" s="1"/>
  <c r="AP101" i="14" a="1"/>
  <c r="AP101" i="14" s="1"/>
  <c r="W101" i="14" a="1"/>
  <c r="W101" i="14" s="1"/>
  <c r="N101" i="14" a="1"/>
  <c r="N101" i="14" s="1"/>
  <c r="AS101" i="14" a="1"/>
  <c r="AS101" i="14" s="1"/>
  <c r="U101" i="14" a="1"/>
  <c r="U101" i="14" s="1"/>
  <c r="AY101" i="14" a="1"/>
  <c r="AY101" i="14" s="1"/>
  <c r="AI101" i="14" a="1"/>
  <c r="AI101" i="14" s="1"/>
  <c r="R101" i="14" a="1"/>
  <c r="R101" i="14" s="1"/>
  <c r="AL101" i="1" s="1"/>
  <c r="BM101" i="14" a="1"/>
  <c r="BM101" i="14" s="1"/>
  <c r="BT101" i="14" a="1"/>
  <c r="BT101" i="14" s="1"/>
  <c r="AM101" i="14" a="1"/>
  <c r="AM101" i="14" s="1"/>
  <c r="AT101" i="14" a="1"/>
  <c r="AT101" i="14" s="1"/>
  <c r="BI101" i="14" a="1"/>
  <c r="BI101" i="14" s="1"/>
  <c r="T101" i="14" a="1"/>
  <c r="T101" i="14" s="1"/>
  <c r="BF101" i="14" a="1"/>
  <c r="BF101" i="14" s="1"/>
  <c r="BV101" i="14" a="1"/>
  <c r="BV101" i="14" s="1"/>
  <c r="AA101" i="14" a="1"/>
  <c r="AA101" i="14" s="1"/>
  <c r="M101" i="14" a="1"/>
  <c r="M101" i="14" s="1"/>
  <c r="AK101" i="14" a="1"/>
  <c r="AK101" i="14" s="1"/>
  <c r="AR101" i="14" a="1"/>
  <c r="AR101" i="14" s="1"/>
  <c r="BW101" i="14" a="1"/>
  <c r="BW101" i="14" s="1"/>
  <c r="S101" i="14" a="1"/>
  <c r="S101" i="14" s="1"/>
  <c r="Z101" i="14" a="1"/>
  <c r="Z101" i="14" s="1"/>
  <c r="BU101" i="14" a="1"/>
  <c r="BU101" i="14" s="1"/>
  <c r="AE101" i="14" a="1"/>
  <c r="AE101" i="14" s="1"/>
  <c r="BB101" i="14" a="1"/>
  <c r="BB101" i="14" s="1"/>
  <c r="Y98" i="1"/>
  <c r="DJ99" i="5"/>
  <c r="DH99" i="5"/>
  <c r="N96" i="7"/>
  <c r="AD95" i="11"/>
  <c r="AI95" i="1" s="1"/>
  <c r="AA95" i="11"/>
  <c r="AK95" i="1" s="1"/>
  <c r="CH96" i="8"/>
  <c r="CZ96" i="8" s="1"/>
  <c r="AE96" i="7"/>
  <c r="AF96" i="7" s="1"/>
  <c r="Y95" i="11"/>
  <c r="AH95" i="1" s="1"/>
  <c r="AC95" i="11"/>
  <c r="U95" i="8" s="1"/>
  <c r="AB95" i="11"/>
  <c r="Q95" i="8" s="1"/>
  <c r="Z95" i="11"/>
  <c r="CA96" i="8"/>
  <c r="BY96" i="8"/>
  <c r="BZ96" i="8"/>
  <c r="CC96" i="8"/>
  <c r="CV96" i="8" s="1"/>
  <c r="CW96" i="8" s="1"/>
  <c r="D97" i="9"/>
  <c r="A97" i="10"/>
  <c r="AA97" i="10" s="1"/>
  <c r="AI97" i="5"/>
  <c r="AJ97" i="5"/>
  <c r="AP97" i="5" s="1"/>
  <c r="BT97" i="5"/>
  <c r="B97" i="9"/>
  <c r="Y97" i="9" s="1"/>
  <c r="E97" i="1"/>
  <c r="A97" i="11"/>
  <c r="AB96" i="11" s="1"/>
  <c r="Q96" i="8" s="1"/>
  <c r="X97" i="8"/>
  <c r="DD97" i="8" s="1"/>
  <c r="BI97" i="8"/>
  <c r="AC97" i="8"/>
  <c r="BQ97" i="8" s="1"/>
  <c r="B97" i="7"/>
  <c r="AE97" i="7" s="1"/>
  <c r="AF97" i="7" s="1"/>
  <c r="DH97" i="8"/>
  <c r="DI97" i="8" s="1"/>
  <c r="CK97" i="8"/>
  <c r="BH97" i="8"/>
  <c r="BU97" i="8" s="1"/>
  <c r="F98" i="5"/>
  <c r="B99" i="5"/>
  <c r="B99" i="2"/>
  <c r="B99" i="1"/>
  <c r="BG99" i="1" s="1"/>
  <c r="BU99" i="5"/>
  <c r="AH99" i="5"/>
  <c r="BY101" i="11"/>
  <c r="AA100" i="7"/>
  <c r="AF100" i="8" s="1"/>
  <c r="AV100" i="8" s="1"/>
  <c r="K100" i="10"/>
  <c r="L100" i="11"/>
  <c r="K100" i="5"/>
  <c r="F99" i="10"/>
  <c r="H99" i="7"/>
  <c r="DD99" i="5"/>
  <c r="J100" i="5"/>
  <c r="DC100" i="5" s="1"/>
  <c r="E99" i="10"/>
  <c r="G99" i="7"/>
  <c r="H100" i="5"/>
  <c r="C99" i="10"/>
  <c r="E99" i="7"/>
  <c r="G100" i="5"/>
  <c r="D99" i="7"/>
  <c r="B99" i="10"/>
  <c r="I100" i="5"/>
  <c r="D99" i="10"/>
  <c r="F99" i="7"/>
  <c r="L100" i="5"/>
  <c r="G99" i="10"/>
  <c r="I99" i="7"/>
  <c r="M100" i="5"/>
  <c r="H99" i="10"/>
  <c r="J99" i="7"/>
  <c r="CQ95" i="8"/>
  <c r="CU95" i="8" s="1"/>
  <c r="AH108" i="9"/>
  <c r="AQ95" i="5"/>
  <c r="CR95" i="8"/>
  <c r="DB95" i="8"/>
  <c r="B95" i="14"/>
  <c r="CZ99" i="5"/>
  <c r="DA98" i="5"/>
  <c r="DG98" i="5" s="1" a="1"/>
  <c r="DG98" i="5" s="1"/>
  <c r="AB99" i="1"/>
  <c r="DI99" i="5"/>
  <c r="AG108" i="9"/>
  <c r="AK108" i="9"/>
  <c r="AC1269" i="14"/>
  <c r="AC1270" i="14" s="1"/>
  <c r="N84" i="1"/>
  <c r="Z1269" i="14"/>
  <c r="Z1270" i="14" s="1"/>
  <c r="S101" i="2"/>
  <c r="N102" i="2"/>
  <c r="R102" i="2"/>
  <c r="Q101" i="2"/>
  <c r="J103" i="10"/>
  <c r="N103" i="5" s="1"/>
  <c r="P103" i="2"/>
  <c r="AQ124" i="9" l="1"/>
  <c r="CM124" i="8" s="1"/>
  <c r="AO97" i="5"/>
  <c r="AM97" i="5"/>
  <c r="AN97" i="5"/>
  <c r="AR97" i="5" s="1"/>
  <c r="AV98" i="5"/>
  <c r="AW98" i="5"/>
  <c r="AG97" i="7"/>
  <c r="AG96" i="7"/>
  <c r="AI96" i="7" s="1"/>
  <c r="CL98" i="8"/>
  <c r="CC97" i="8"/>
  <c r="CV97" i="8" s="1"/>
  <c r="CW97" i="8" s="1"/>
  <c r="AC97" i="1"/>
  <c r="AI120" i="9"/>
  <c r="AO120" i="8" s="1"/>
  <c r="G103" i="8"/>
  <c r="CF102" i="8"/>
  <c r="O102" i="2"/>
  <c r="AD100" i="1"/>
  <c r="BC102" i="5" a="1"/>
  <c r="BC102" i="5" s="1"/>
  <c r="BJ102" i="5" a="1"/>
  <c r="BJ102" i="5" s="1"/>
  <c r="AM109" i="9"/>
  <c r="BR97" i="8"/>
  <c r="BS97" i="8"/>
  <c r="BD102" i="5" a="1"/>
  <c r="BD102" i="5" s="1"/>
  <c r="AZ102" i="5" a="1"/>
  <c r="AZ102" i="5" s="1"/>
  <c r="BH102" i="5" a="1"/>
  <c r="BH102" i="5" s="1"/>
  <c r="BK102" i="5" a="1"/>
  <c r="BK102" i="5" s="1"/>
  <c r="BE102" i="5" a="1"/>
  <c r="BE102" i="5" s="1"/>
  <c r="BG102" i="5" a="1"/>
  <c r="BG102" i="5" s="1"/>
  <c r="BF102" i="5" a="1"/>
  <c r="BF102" i="5" s="1"/>
  <c r="AE101" i="1" s="1"/>
  <c r="BQ102" i="5" a="1"/>
  <c r="BQ102" i="5" s="1"/>
  <c r="BA102" i="5" a="1"/>
  <c r="BA102" i="5" s="1"/>
  <c r="BO102" i="5" a="1"/>
  <c r="BO102" i="5" s="1"/>
  <c r="BM102" i="5" a="1"/>
  <c r="BM102" i="5" s="1"/>
  <c r="CV102" i="5"/>
  <c r="CW102" i="5"/>
  <c r="CT102" i="5"/>
  <c r="CR102" i="5"/>
  <c r="CQ102" i="5"/>
  <c r="CS102" i="5"/>
  <c r="CU102" i="5"/>
  <c r="AY102" i="5" a="1"/>
  <c r="AY102" i="5" s="1"/>
  <c r="BL102" i="5" a="1"/>
  <c r="BL102" i="5" s="1"/>
  <c r="BI102" i="5" a="1"/>
  <c r="BI102" i="5" s="1"/>
  <c r="BB102" i="5" a="1"/>
  <c r="BB102" i="5" s="1"/>
  <c r="BN102" i="5" a="1"/>
  <c r="BN102" i="5" s="1"/>
  <c r="V100" i="2"/>
  <c r="AQ96" i="5"/>
  <c r="CQ96" i="8"/>
  <c r="CU96" i="8" s="1"/>
  <c r="F105" i="8"/>
  <c r="BP101" i="5" a="1"/>
  <c r="BP101" i="5" s="1"/>
  <c r="J101" i="2" s="1"/>
  <c r="O106" i="1"/>
  <c r="CE96" i="8"/>
  <c r="CX96" i="8" s="1"/>
  <c r="CY96" i="8" s="1"/>
  <c r="BX97" i="8"/>
  <c r="CE97" i="8" s="1"/>
  <c r="BT97" i="8"/>
  <c r="BO97" i="8"/>
  <c r="BP97" i="8"/>
  <c r="BM97" i="8"/>
  <c r="BN97" i="8"/>
  <c r="BK97" i="8"/>
  <c r="BL97" i="8"/>
  <c r="BJ97" i="8"/>
  <c r="AC97" i="10"/>
  <c r="X97" i="10" s="1"/>
  <c r="AS101" i="5"/>
  <c r="DB96" i="8"/>
  <c r="AH101" i="11"/>
  <c r="DE100" i="5"/>
  <c r="CH97" i="8"/>
  <c r="CZ97" i="8" s="1"/>
  <c r="BY97" i="8"/>
  <c r="CA97" i="8"/>
  <c r="CB97" i="8"/>
  <c r="CT97" i="8" s="1"/>
  <c r="BZ97" i="8"/>
  <c r="DB100" i="5"/>
  <c r="DF100" i="5"/>
  <c r="AM101" i="1"/>
  <c r="K103" i="11"/>
  <c r="A103" i="14"/>
  <c r="CA103" i="14" s="1"/>
  <c r="A103" i="5"/>
  <c r="A103" i="2"/>
  <c r="A103" i="9"/>
  <c r="A103" i="7"/>
  <c r="R103" i="7" s="1"/>
  <c r="A103" i="8"/>
  <c r="Y99" i="1"/>
  <c r="DJ100" i="5"/>
  <c r="AF99" i="1"/>
  <c r="AE102" i="8"/>
  <c r="AU102" i="8"/>
  <c r="DH100" i="5"/>
  <c r="AJ101" i="1"/>
  <c r="AV102" i="14" a="1"/>
  <c r="AV102" i="14" s="1"/>
  <c r="O102" i="14" a="1"/>
  <c r="O102" i="14" s="1"/>
  <c r="AD102" i="14" a="1"/>
  <c r="AD102" i="14" s="1"/>
  <c r="AS102" i="14" a="1"/>
  <c r="AS102" i="14" s="1"/>
  <c r="BW102" i="14" a="1"/>
  <c r="BW102" i="14" s="1"/>
  <c r="AI102" i="14" a="1"/>
  <c r="AI102" i="14" s="1"/>
  <c r="AX102" i="14" a="1"/>
  <c r="AX102" i="14" s="1"/>
  <c r="BU102" i="14" a="1"/>
  <c r="BU102" i="14" s="1"/>
  <c r="AG102" i="14" a="1"/>
  <c r="AG102" i="14" s="1"/>
  <c r="BC102" i="14" a="1"/>
  <c r="BC102" i="14" s="1"/>
  <c r="W102" i="14" a="1"/>
  <c r="W102" i="14" s="1"/>
  <c r="N102" i="14" a="1"/>
  <c r="N102" i="14" s="1"/>
  <c r="AK102" i="14" a="1"/>
  <c r="AK102" i="14" s="1"/>
  <c r="BH102" i="14" a="1"/>
  <c r="BH102" i="14" s="1"/>
  <c r="AF102" i="14" a="1"/>
  <c r="AF102" i="14" s="1"/>
  <c r="R102" i="14" a="1"/>
  <c r="R102" i="14" s="1"/>
  <c r="AL102" i="1" s="1"/>
  <c r="BM102" i="14" a="1"/>
  <c r="BM102" i="14" s="1"/>
  <c r="AE102" i="14" a="1"/>
  <c r="AE102" i="14" s="1"/>
  <c r="BR102" i="14" a="1"/>
  <c r="BR102" i="14" s="1"/>
  <c r="BA102" i="14" a="1"/>
  <c r="BA102" i="14" s="1"/>
  <c r="BP102" i="14" a="1"/>
  <c r="BP102" i="14" s="1"/>
  <c r="AR102" i="14" a="1"/>
  <c r="AR102" i="14" s="1"/>
  <c r="BV102" i="14" a="1"/>
  <c r="BV102" i="14" s="1"/>
  <c r="BF102" i="14" a="1"/>
  <c r="BF102" i="14" s="1"/>
  <c r="Y102" i="14" a="1"/>
  <c r="Y102" i="14" s="1"/>
  <c r="AM102" i="14" a="1"/>
  <c r="AM102" i="14" s="1"/>
  <c r="AT102" i="14" a="1"/>
  <c r="AT102" i="14" s="1"/>
  <c r="BQ102" i="14" a="1"/>
  <c r="BQ102" i="14" s="1"/>
  <c r="AZ102" i="14" a="1"/>
  <c r="AZ102" i="14" s="1"/>
  <c r="T102" i="14" a="1"/>
  <c r="T102" i="14" s="1"/>
  <c r="BN102" i="14" a="1"/>
  <c r="BN102" i="14" s="1"/>
  <c r="AP102" i="14" a="1"/>
  <c r="AP102" i="14" s="1"/>
  <c r="BE102" i="14" a="1"/>
  <c r="BE102" i="14" s="1"/>
  <c r="AU102" i="14" a="1"/>
  <c r="AU102" i="14" s="1"/>
  <c r="V102" i="14" a="1"/>
  <c r="V102" i="14" s="1"/>
  <c r="BI102" i="14" a="1"/>
  <c r="BI102" i="14" s="1"/>
  <c r="P102" i="14" a="1"/>
  <c r="P102" i="14" s="1"/>
  <c r="BX102" i="14" a="1"/>
  <c r="BX102" i="14" s="1"/>
  <c r="S102" i="14" a="1"/>
  <c r="S102" i="14" s="1"/>
  <c r="Z102" i="14" a="1"/>
  <c r="Z102" i="14" s="1"/>
  <c r="AW102" i="14" a="1"/>
  <c r="AW102" i="14" s="1"/>
  <c r="BS102" i="14" a="1"/>
  <c r="BS102" i="14" s="1"/>
  <c r="BB102" i="14" a="1"/>
  <c r="BB102" i="14" s="1"/>
  <c r="BD102" i="14" a="1"/>
  <c r="BD102" i="14" s="1"/>
  <c r="BY102" i="14" a="1"/>
  <c r="BY102" i="14" s="1"/>
  <c r="AB102" i="14" a="1"/>
  <c r="AB102" i="14" s="1"/>
  <c r="AY102" i="14" a="1"/>
  <c r="AY102" i="14" s="1"/>
  <c r="AQ102" i="14" a="1"/>
  <c r="AQ102" i="14" s="1"/>
  <c r="AO102" i="14" a="1"/>
  <c r="AO102" i="14" s="1"/>
  <c r="BK102" i="14" a="1"/>
  <c r="BK102" i="14" s="1"/>
  <c r="BJ102" i="14" a="1"/>
  <c r="BJ102" i="14" s="1"/>
  <c r="U102" i="14" a="1"/>
  <c r="U102" i="14" s="1"/>
  <c r="AJ102" i="14" a="1"/>
  <c r="AJ102" i="14" s="1"/>
  <c r="BZ102" i="14" a="1"/>
  <c r="BZ102" i="14" s="1"/>
  <c r="BG102" i="14" a="1"/>
  <c r="BG102" i="14" s="1"/>
  <c r="AH102" i="14" a="1"/>
  <c r="AH102" i="14" s="1"/>
  <c r="Q102" i="14" a="1"/>
  <c r="Q102" i="14" s="1"/>
  <c r="AL102" i="14" a="1"/>
  <c r="AL102" i="14" s="1"/>
  <c r="AC102" i="14" a="1"/>
  <c r="AC102" i="14" s="1"/>
  <c r="AN102" i="14" a="1"/>
  <c r="AN102" i="14" s="1"/>
  <c r="BO102" i="14" a="1"/>
  <c r="BO102" i="14" s="1"/>
  <c r="AA102" i="14" a="1"/>
  <c r="AA102" i="14" s="1"/>
  <c r="BL102" i="14" a="1"/>
  <c r="BL102" i="14" s="1"/>
  <c r="BT102" i="14" a="1"/>
  <c r="BT102" i="14" s="1"/>
  <c r="M102" i="14" a="1"/>
  <c r="M102" i="14" s="1"/>
  <c r="X102" i="14" a="1"/>
  <c r="X102" i="14" s="1"/>
  <c r="AK101" i="11"/>
  <c r="W99" i="1"/>
  <c r="B96" i="14"/>
  <c r="CR96" i="8"/>
  <c r="B97" i="14"/>
  <c r="Z96" i="11"/>
  <c r="N97" i="7"/>
  <c r="AD96" i="11"/>
  <c r="AI96" i="1" s="1"/>
  <c r="N97" i="11"/>
  <c r="Q97" i="7"/>
  <c r="AA96" i="11"/>
  <c r="AK96" i="1" s="1"/>
  <c r="CI97" i="8"/>
  <c r="DA97" i="8" s="1"/>
  <c r="AC96" i="11"/>
  <c r="U96" i="8" s="1"/>
  <c r="Y96" i="11"/>
  <c r="AH96" i="1" s="1"/>
  <c r="AC98" i="8"/>
  <c r="BQ98" i="8" s="1"/>
  <c r="D98" i="9"/>
  <c r="B98" i="9"/>
  <c r="Y98" i="9" s="1"/>
  <c r="BW98" i="8"/>
  <c r="AJ98" i="5"/>
  <c r="AP98" i="5" s="1"/>
  <c r="B100" i="5"/>
  <c r="E98" i="1"/>
  <c r="BI98" i="8"/>
  <c r="X98" i="8"/>
  <c r="DD98" i="8" s="1"/>
  <c r="BT98" i="5"/>
  <c r="A98" i="11"/>
  <c r="Y97" i="11" s="1"/>
  <c r="AH97" i="1" s="1"/>
  <c r="BH98" i="8"/>
  <c r="BU98" i="8" s="1"/>
  <c r="AI98" i="5"/>
  <c r="DH98" i="8"/>
  <c r="DI98" i="8" s="1"/>
  <c r="CK98" i="8"/>
  <c r="B98" i="7"/>
  <c r="Q98" i="7" s="1"/>
  <c r="A98" i="10"/>
  <c r="AA98" i="10" s="1"/>
  <c r="AH100" i="5"/>
  <c r="BU100" i="5"/>
  <c r="B100" i="1"/>
  <c r="BG100" i="1" s="1"/>
  <c r="B100" i="2"/>
  <c r="BY102" i="11"/>
  <c r="AA101" i="7"/>
  <c r="AF101" i="8" s="1"/>
  <c r="AV101" i="8" s="1"/>
  <c r="K101" i="10"/>
  <c r="L101" i="11"/>
  <c r="I101" i="5"/>
  <c r="D100" i="10"/>
  <c r="F100" i="7"/>
  <c r="M101" i="5"/>
  <c r="H100" i="10"/>
  <c r="J100" i="7"/>
  <c r="H101" i="5"/>
  <c r="C100" i="10"/>
  <c r="E100" i="7"/>
  <c r="J101" i="5"/>
  <c r="DC101" i="5" s="1"/>
  <c r="E100" i="10"/>
  <c r="G100" i="7"/>
  <c r="B100" i="10"/>
  <c r="G101" i="5"/>
  <c r="D100" i="7"/>
  <c r="L101" i="5"/>
  <c r="G100" i="10"/>
  <c r="I100" i="7"/>
  <c r="K101" i="5"/>
  <c r="F100" i="10"/>
  <c r="H100" i="7"/>
  <c r="DD100" i="5"/>
  <c r="CS95" i="8"/>
  <c r="AH109" i="9"/>
  <c r="CZ100" i="5"/>
  <c r="C99" i="5"/>
  <c r="F99" i="5" s="1"/>
  <c r="AB100" i="1"/>
  <c r="DI100" i="5"/>
  <c r="C100" i="5"/>
  <c r="DA99" i="5"/>
  <c r="DG99" i="5" s="1" a="1"/>
  <c r="DG99" i="5" s="1"/>
  <c r="AG109" i="9"/>
  <c r="AK109" i="9"/>
  <c r="N85" i="1"/>
  <c r="S102" i="2"/>
  <c r="N103" i="2"/>
  <c r="R103" i="2"/>
  <c r="Q102" i="2"/>
  <c r="J104" i="10"/>
  <c r="N104" i="5" s="1"/>
  <c r="P104" i="2"/>
  <c r="AQ125" i="9" l="1"/>
  <c r="CM125" i="8" s="1"/>
  <c r="AI97" i="7"/>
  <c r="AO98" i="5"/>
  <c r="AM98" i="5"/>
  <c r="AN98" i="5"/>
  <c r="AR98" i="5" s="1"/>
  <c r="AV99" i="5"/>
  <c r="AW99" i="5"/>
  <c r="CL99" i="8"/>
  <c r="CB98" i="8"/>
  <c r="CT98" i="8" s="1"/>
  <c r="AC98" i="1"/>
  <c r="AI121" i="9"/>
  <c r="AO121" i="8" s="1"/>
  <c r="G104" i="8"/>
  <c r="CF103" i="8"/>
  <c r="O103" i="2"/>
  <c r="BO103" i="5" a="1"/>
  <c r="BO103" i="5" s="1"/>
  <c r="AM110" i="9"/>
  <c r="BR98" i="8"/>
  <c r="BS98" i="8"/>
  <c r="AD101" i="1"/>
  <c r="BM103" i="5" a="1"/>
  <c r="BM103" i="5" s="1"/>
  <c r="BA103" i="5" a="1"/>
  <c r="BA103" i="5" s="1"/>
  <c r="BQ103" i="5" a="1"/>
  <c r="BQ103" i="5" s="1"/>
  <c r="BN103" i="5" a="1"/>
  <c r="BN103" i="5" s="1"/>
  <c r="BF103" i="5" a="1"/>
  <c r="BF103" i="5" s="1"/>
  <c r="AE102" i="1" s="1"/>
  <c r="BB103" i="5" a="1"/>
  <c r="BB103" i="5" s="1"/>
  <c r="BG103" i="5" a="1"/>
  <c r="BG103" i="5" s="1"/>
  <c r="BI103" i="5" a="1"/>
  <c r="BI103" i="5" s="1"/>
  <c r="BE103" i="5" a="1"/>
  <c r="BE103" i="5" s="1"/>
  <c r="BK103" i="5" a="1"/>
  <c r="BK103" i="5" s="1"/>
  <c r="BH103" i="5" a="1"/>
  <c r="BH103" i="5" s="1"/>
  <c r="CQ103" i="5"/>
  <c r="CW103" i="5"/>
  <c r="CR103" i="5"/>
  <c r="CU103" i="5"/>
  <c r="CS103" i="5"/>
  <c r="CT103" i="5"/>
  <c r="CV103" i="5"/>
  <c r="BL103" i="5" a="1"/>
  <c r="BL103" i="5" s="1"/>
  <c r="AY103" i="5" a="1"/>
  <c r="AY103" i="5" s="1"/>
  <c r="AZ103" i="5" a="1"/>
  <c r="AZ103" i="5" s="1"/>
  <c r="BJ103" i="5" a="1"/>
  <c r="BJ103" i="5" s="1"/>
  <c r="BD103" i="5" a="1"/>
  <c r="BD103" i="5" s="1"/>
  <c r="BC103" i="5" a="1"/>
  <c r="BC103" i="5" s="1"/>
  <c r="V101" i="2"/>
  <c r="CS96" i="8"/>
  <c r="CQ97" i="8"/>
  <c r="CU97" i="8" s="1"/>
  <c r="F106" i="8"/>
  <c r="BP102" i="5" a="1"/>
  <c r="BP102" i="5" s="1"/>
  <c r="J102" i="2" s="1"/>
  <c r="O107" i="1"/>
  <c r="CD97" i="8"/>
  <c r="BX98" i="8"/>
  <c r="CE98" i="8" s="1"/>
  <c r="BT98" i="8"/>
  <c r="BO98" i="8"/>
  <c r="BP98" i="8"/>
  <c r="BM98" i="8"/>
  <c r="BN98" i="8"/>
  <c r="BK98" i="8"/>
  <c r="BL98" i="8"/>
  <c r="BJ98" i="8"/>
  <c r="AC98" i="10"/>
  <c r="X98" i="10" s="1"/>
  <c r="AS102" i="5"/>
  <c r="AH102" i="11"/>
  <c r="CR97" i="8"/>
  <c r="DF101" i="5"/>
  <c r="DB97" i="8"/>
  <c r="DE101" i="5"/>
  <c r="DB101" i="5"/>
  <c r="AK102" i="11"/>
  <c r="AM102" i="1"/>
  <c r="W100" i="1"/>
  <c r="AF100" i="1"/>
  <c r="BS103" i="14" a="1"/>
  <c r="BS103" i="14" s="1"/>
  <c r="AM103" i="14" a="1"/>
  <c r="AM103" i="14" s="1"/>
  <c r="N103" i="14" a="1"/>
  <c r="N103" i="14" s="1"/>
  <c r="BA103" i="14" a="1"/>
  <c r="BA103" i="14" s="1"/>
  <c r="AJ103" i="14" a="1"/>
  <c r="AJ103" i="14" s="1"/>
  <c r="BG103" i="14" a="1"/>
  <c r="BG103" i="14" s="1"/>
  <c r="BC103" i="14" a="1"/>
  <c r="BC103" i="14" s="1"/>
  <c r="X103" i="14" a="1"/>
  <c r="X103" i="14" s="1"/>
  <c r="BI103" i="14" a="1"/>
  <c r="BI103" i="14" s="1"/>
  <c r="BH103" i="14" a="1"/>
  <c r="BH103" i="14" s="1"/>
  <c r="BZ103" i="14" a="1"/>
  <c r="BZ103" i="14" s="1"/>
  <c r="S103" i="14" a="1"/>
  <c r="S103" i="14" s="1"/>
  <c r="BL103" i="14" a="1"/>
  <c r="BL103" i="14" s="1"/>
  <c r="BM103" i="14" a="1"/>
  <c r="BM103" i="14" s="1"/>
  <c r="AE103" i="14" a="1"/>
  <c r="AE103" i="14" s="1"/>
  <c r="BB103" i="14" a="1"/>
  <c r="BB103" i="14" s="1"/>
  <c r="BQ103" i="14" a="1"/>
  <c r="BQ103" i="14" s="1"/>
  <c r="P103" i="14" a="1"/>
  <c r="P103" i="14" s="1"/>
  <c r="T103" i="14" a="1"/>
  <c r="T103" i="14" s="1"/>
  <c r="AF103" i="14" a="1"/>
  <c r="AF103" i="14" s="1"/>
  <c r="AX103" i="14" a="1"/>
  <c r="AX103" i="14" s="1"/>
  <c r="Q103" i="14" a="1"/>
  <c r="Q103" i="14" s="1"/>
  <c r="AU103" i="14" a="1"/>
  <c r="AU103" i="14" s="1"/>
  <c r="V103" i="14" a="1"/>
  <c r="V103" i="14" s="1"/>
  <c r="AC103" i="14" a="1"/>
  <c r="AC103" i="14" s="1"/>
  <c r="AZ103" i="14" a="1"/>
  <c r="AZ103" i="14" s="1"/>
  <c r="AN103" i="14" a="1"/>
  <c r="AN103" i="14" s="1"/>
  <c r="BV103" i="14" a="1"/>
  <c r="BV103" i="14" s="1"/>
  <c r="R103" i="14" a="1"/>
  <c r="R103" i="14" s="1"/>
  <c r="AL103" i="1" s="1"/>
  <c r="M103" i="14" a="1"/>
  <c r="M103" i="14" s="1"/>
  <c r="BR103" i="14" a="1"/>
  <c r="BR103" i="14" s="1"/>
  <c r="BJ103" i="14" a="1"/>
  <c r="BJ103" i="14" s="1"/>
  <c r="AK103" i="14" a="1"/>
  <c r="AK103" i="14" s="1"/>
  <c r="AB103" i="14" a="1"/>
  <c r="AB103" i="14" s="1"/>
  <c r="AA103" i="14" a="1"/>
  <c r="AA103" i="14" s="1"/>
  <c r="BW103" i="14" a="1"/>
  <c r="BW103" i="14" s="1"/>
  <c r="BF103" i="14" a="1"/>
  <c r="BF103" i="14" s="1"/>
  <c r="AO103" i="14" a="1"/>
  <c r="AO103" i="14" s="1"/>
  <c r="AV103" i="14" a="1"/>
  <c r="AV103" i="14" s="1"/>
  <c r="AL103" i="14" a="1"/>
  <c r="AL103" i="14" s="1"/>
  <c r="AI103" i="14" a="1"/>
  <c r="AI103" i="14" s="1"/>
  <c r="BU103" i="14" a="1"/>
  <c r="BU103" i="14" s="1"/>
  <c r="BT103" i="14" a="1"/>
  <c r="BT103" i="14" s="1"/>
  <c r="U103" i="14" a="1"/>
  <c r="U103" i="14" s="1"/>
  <c r="AQ103" i="14" a="1"/>
  <c r="AQ103" i="14" s="1"/>
  <c r="AG103" i="14" a="1"/>
  <c r="AG103" i="14" s="1"/>
  <c r="BK103" i="14" a="1"/>
  <c r="BK103" i="14" s="1"/>
  <c r="BX103" i="14" a="1"/>
  <c r="BX103" i="14" s="1"/>
  <c r="AY103" i="14" a="1"/>
  <c r="AY103" i="14" s="1"/>
  <c r="Y103" i="14" a="1"/>
  <c r="Y103" i="14" s="1"/>
  <c r="AT103" i="14" a="1"/>
  <c r="AT103" i="14" s="1"/>
  <c r="AR103" i="14" a="1"/>
  <c r="AR103" i="14" s="1"/>
  <c r="AP103" i="14" a="1"/>
  <c r="AP103" i="14" s="1"/>
  <c r="AW103" i="14" a="1"/>
  <c r="AW103" i="14" s="1"/>
  <c r="W103" i="14" a="1"/>
  <c r="W103" i="14" s="1"/>
  <c r="BY103" i="14" a="1"/>
  <c r="BY103" i="14" s="1"/>
  <c r="AH103" i="14" a="1"/>
  <c r="AH103" i="14" s="1"/>
  <c r="O103" i="14" a="1"/>
  <c r="O103" i="14" s="1"/>
  <c r="AS103" i="14" a="1"/>
  <c r="AS103" i="14" s="1"/>
  <c r="BN103" i="14" a="1"/>
  <c r="BN103" i="14" s="1"/>
  <c r="AD103" i="14" a="1"/>
  <c r="AD103" i="14" s="1"/>
  <c r="BP103" i="14" a="1"/>
  <c r="BP103" i="14" s="1"/>
  <c r="BE103" i="14" a="1"/>
  <c r="BE103" i="14" s="1"/>
  <c r="BD103" i="14" a="1"/>
  <c r="BD103" i="14" s="1"/>
  <c r="BO103" i="14" a="1"/>
  <c r="BO103" i="14" s="1"/>
  <c r="Z103" i="14" a="1"/>
  <c r="Z103" i="14" s="1"/>
  <c r="AE103" i="8"/>
  <c r="AU103" i="8"/>
  <c r="DH101" i="5"/>
  <c r="Y100" i="1"/>
  <c r="DJ101" i="5"/>
  <c r="K104" i="11"/>
  <c r="A104" i="14"/>
  <c r="CA104" i="14" s="1"/>
  <c r="A104" i="8"/>
  <c r="A104" i="2"/>
  <c r="A104" i="7"/>
  <c r="R104" i="7" s="1"/>
  <c r="A104" i="9"/>
  <c r="A104" i="5"/>
  <c r="AJ102" i="1"/>
  <c r="AQ97" i="5"/>
  <c r="N98" i="7"/>
  <c r="AD97" i="11"/>
  <c r="AI97" i="1" s="1"/>
  <c r="CH98" i="8"/>
  <c r="CZ98" i="8" s="1"/>
  <c r="CI98" i="8"/>
  <c r="DA98" i="8" s="1"/>
  <c r="CC98" i="8"/>
  <c r="CV98" i="8" s="1"/>
  <c r="CW98" i="8" s="1"/>
  <c r="BY98" i="8"/>
  <c r="CA98" i="8"/>
  <c r="AE98" i="7"/>
  <c r="AF98" i="7" s="1"/>
  <c r="F100" i="5"/>
  <c r="BZ98" i="8"/>
  <c r="D99" i="9"/>
  <c r="Z97" i="11"/>
  <c r="B101" i="5"/>
  <c r="AA97" i="11"/>
  <c r="AK97" i="1" s="1"/>
  <c r="AB97" i="11"/>
  <c r="Q97" i="8" s="1"/>
  <c r="AC97" i="11"/>
  <c r="U97" i="8" s="1"/>
  <c r="N98" i="11"/>
  <c r="B101" i="2"/>
  <c r="B101" i="1"/>
  <c r="BG101" i="1" s="1"/>
  <c r="AH101" i="5"/>
  <c r="BU101" i="5"/>
  <c r="BY103" i="11"/>
  <c r="AA102" i="7"/>
  <c r="AF102" i="8" s="1"/>
  <c r="AV102" i="8" s="1"/>
  <c r="K102" i="10"/>
  <c r="L102" i="11"/>
  <c r="G102" i="5"/>
  <c r="D101" i="7"/>
  <c r="B101" i="10"/>
  <c r="H102" i="5"/>
  <c r="C101" i="10"/>
  <c r="E101" i="7"/>
  <c r="K102" i="5"/>
  <c r="F101" i="10"/>
  <c r="H101" i="7"/>
  <c r="DD101" i="5"/>
  <c r="M102" i="5"/>
  <c r="H101" i="10"/>
  <c r="J101" i="7"/>
  <c r="J102" i="5"/>
  <c r="DC102" i="5" s="1"/>
  <c r="E101" i="10"/>
  <c r="G101" i="7"/>
  <c r="L102" i="5"/>
  <c r="G101" i="10"/>
  <c r="I101" i="7"/>
  <c r="I102" i="5"/>
  <c r="D101" i="10"/>
  <c r="F101" i="7"/>
  <c r="DH99" i="8"/>
  <c r="DI99" i="8" s="1"/>
  <c r="CK99" i="8"/>
  <c r="BW99" i="8"/>
  <c r="AC99" i="1" s="1"/>
  <c r="BH99" i="8"/>
  <c r="BI99" i="8"/>
  <c r="AH110" i="9"/>
  <c r="CZ101" i="5"/>
  <c r="AC99" i="8"/>
  <c r="BQ99" i="8" s="1"/>
  <c r="BT99" i="5"/>
  <c r="AJ99" i="5"/>
  <c r="AP99" i="5" s="1"/>
  <c r="A99" i="10"/>
  <c r="AA99" i="10" s="1"/>
  <c r="B99" i="7"/>
  <c r="X99" i="8"/>
  <c r="DD99" i="8" s="1"/>
  <c r="E99" i="1"/>
  <c r="A99" i="11"/>
  <c r="AI99" i="5"/>
  <c r="B99" i="9"/>
  <c r="Y99" i="9" s="1"/>
  <c r="DA100" i="5"/>
  <c r="DG100" i="5" s="1" a="1"/>
  <c r="DG100" i="5" s="1"/>
  <c r="AB101" i="1"/>
  <c r="DI101" i="5"/>
  <c r="AG110" i="9"/>
  <c r="AK110" i="9"/>
  <c r="N86" i="1"/>
  <c r="S103" i="2"/>
  <c r="N104" i="2"/>
  <c r="R104" i="2"/>
  <c r="Q103" i="2"/>
  <c r="J105" i="10"/>
  <c r="N105" i="5" s="1"/>
  <c r="P105" i="2"/>
  <c r="AQ126" i="9" l="1"/>
  <c r="CM126" i="8" s="1"/>
  <c r="AO99" i="5"/>
  <c r="AM99" i="5"/>
  <c r="AN99" i="5"/>
  <c r="AR99" i="5" s="1"/>
  <c r="AV100" i="5"/>
  <c r="AW100" i="5"/>
  <c r="AG98" i="7"/>
  <c r="AI98" i="7" s="1"/>
  <c r="CL100" i="8"/>
  <c r="AI122" i="9"/>
  <c r="AO122" i="8" s="1"/>
  <c r="G105" i="8"/>
  <c r="CF104" i="8"/>
  <c r="O104" i="2"/>
  <c r="AM111" i="9"/>
  <c r="BR99" i="8"/>
  <c r="BS99" i="8"/>
  <c r="AD102" i="1"/>
  <c r="CQ104" i="5"/>
  <c r="CW104" i="5"/>
  <c r="CS104" i="5"/>
  <c r="CV104" i="5"/>
  <c r="CT104" i="5"/>
  <c r="CR104" i="5"/>
  <c r="CU104" i="5"/>
  <c r="AY104" i="5" a="1"/>
  <c r="AY104" i="5" s="1"/>
  <c r="BL104" i="5" a="1"/>
  <c r="BL104" i="5" s="1"/>
  <c r="BH104" i="5" a="1"/>
  <c r="BH104" i="5" s="1"/>
  <c r="BC104" i="5" a="1"/>
  <c r="BC104" i="5" s="1"/>
  <c r="BK104" i="5" a="1"/>
  <c r="BK104" i="5" s="1"/>
  <c r="BE104" i="5" a="1"/>
  <c r="BE104" i="5" s="1"/>
  <c r="BD104" i="5" a="1"/>
  <c r="BD104" i="5" s="1"/>
  <c r="BI104" i="5" a="1"/>
  <c r="BI104" i="5" s="1"/>
  <c r="BO104" i="5" a="1"/>
  <c r="BO104" i="5" s="1"/>
  <c r="BG104" i="5" a="1"/>
  <c r="BG104" i="5" s="1"/>
  <c r="BJ104" i="5" a="1"/>
  <c r="BJ104" i="5" s="1"/>
  <c r="BB104" i="5" a="1"/>
  <c r="BB104" i="5" s="1"/>
  <c r="AZ104" i="5" a="1"/>
  <c r="AZ104" i="5" s="1"/>
  <c r="BF104" i="5" a="1"/>
  <c r="BF104" i="5" s="1"/>
  <c r="AE103" i="1" s="1"/>
  <c r="BN104" i="5" a="1"/>
  <c r="BN104" i="5" s="1"/>
  <c r="BQ104" i="5" a="1"/>
  <c r="BQ104" i="5" s="1"/>
  <c r="BA104" i="5" a="1"/>
  <c r="BA104" i="5" s="1"/>
  <c r="BM104" i="5" a="1"/>
  <c r="BM104" i="5" s="1"/>
  <c r="V102" i="2"/>
  <c r="CS97" i="8"/>
  <c r="CX97" i="8"/>
  <c r="CY97" i="8" s="1"/>
  <c r="CQ98" i="8"/>
  <c r="CU98" i="8" s="1"/>
  <c r="F107" i="8"/>
  <c r="BP103" i="5" a="1"/>
  <c r="BP103" i="5" s="1"/>
  <c r="J103" i="2" s="1"/>
  <c r="DH100" i="8"/>
  <c r="DI100" i="8" s="1"/>
  <c r="O108" i="1"/>
  <c r="CD98" i="8"/>
  <c r="BT99" i="8"/>
  <c r="BU99" i="8"/>
  <c r="BO99" i="8"/>
  <c r="BP99" i="8"/>
  <c r="BM99" i="8"/>
  <c r="BN99" i="8"/>
  <c r="BK99" i="8"/>
  <c r="BL99" i="8"/>
  <c r="BJ99" i="8"/>
  <c r="AC99" i="10"/>
  <c r="X99" i="10" s="1"/>
  <c r="AS103" i="5"/>
  <c r="DB102" i="5"/>
  <c r="AJ103" i="1"/>
  <c r="DF102" i="5"/>
  <c r="DE102" i="5"/>
  <c r="AK103" i="11"/>
  <c r="BK104" i="14" a="1"/>
  <c r="BK104" i="14" s="1"/>
  <c r="BR104" i="14" a="1"/>
  <c r="BR104" i="14" s="1"/>
  <c r="BQ104" i="14" a="1"/>
  <c r="BQ104" i="14" s="1"/>
  <c r="P104" i="14" a="1"/>
  <c r="P104" i="14" s="1"/>
  <c r="BW104" i="14" a="1"/>
  <c r="BW104" i="14" s="1"/>
  <c r="BO104" i="14" a="1"/>
  <c r="BO104" i="14" s="1"/>
  <c r="BN104" i="14" a="1"/>
  <c r="BN104" i="14" s="1"/>
  <c r="BL104" i="14" a="1"/>
  <c r="BL104" i="14" s="1"/>
  <c r="AE104" i="14" a="1"/>
  <c r="AE104" i="14" s="1"/>
  <c r="BB104" i="14" a="1"/>
  <c r="BB104" i="14" s="1"/>
  <c r="BD104" i="14" a="1"/>
  <c r="BD104" i="14" s="1"/>
  <c r="AZ104" i="14" a="1"/>
  <c r="AZ104" i="14" s="1"/>
  <c r="BV104" i="14" a="1"/>
  <c r="BV104" i="14" s="1"/>
  <c r="Z104" i="14" a="1"/>
  <c r="Z104" i="14" s="1"/>
  <c r="AW104" i="14" a="1"/>
  <c r="AW104" i="14" s="1"/>
  <c r="Y104" i="14" a="1"/>
  <c r="Y104" i="14" s="1"/>
  <c r="AV104" i="14" a="1"/>
  <c r="AV104" i="14" s="1"/>
  <c r="AL104" i="14" a="1"/>
  <c r="AL104" i="14" s="1"/>
  <c r="AT104" i="14" a="1"/>
  <c r="AT104" i="14" s="1"/>
  <c r="BY104" i="14" a="1"/>
  <c r="BY104" i="14" s="1"/>
  <c r="AY104" i="14" a="1"/>
  <c r="AY104" i="14" s="1"/>
  <c r="AH104" i="14" a="1"/>
  <c r="AH104" i="14" s="1"/>
  <c r="BM104" i="14" a="1"/>
  <c r="BM104" i="14" s="1"/>
  <c r="BT104" i="14" a="1"/>
  <c r="BT104" i="14" s="1"/>
  <c r="AM104" i="14" a="1"/>
  <c r="AM104" i="14" s="1"/>
  <c r="BI104" i="14" a="1"/>
  <c r="BI104" i="14" s="1"/>
  <c r="AJ104" i="14" a="1"/>
  <c r="AJ104" i="14" s="1"/>
  <c r="AA104" i="14" a="1"/>
  <c r="AA104" i="14" s="1"/>
  <c r="AP104" i="14" a="1"/>
  <c r="AP104" i="14" s="1"/>
  <c r="M104" i="14" a="1"/>
  <c r="M104" i="14" s="1"/>
  <c r="BS104" i="14" a="1"/>
  <c r="BS104" i="14" s="1"/>
  <c r="N104" i="14" a="1"/>
  <c r="N104" i="14" s="1"/>
  <c r="U104" i="14" a="1"/>
  <c r="U104" i="14" s="1"/>
  <c r="AN104" i="14" a="1"/>
  <c r="AN104" i="14" s="1"/>
  <c r="BG104" i="14" a="1"/>
  <c r="BG104" i="14" s="1"/>
  <c r="AO104" i="14" a="1"/>
  <c r="AO104" i="14" s="1"/>
  <c r="BC104" i="14" a="1"/>
  <c r="BC104" i="14" s="1"/>
  <c r="V104" i="14" a="1"/>
  <c r="V104" i="14" s="1"/>
  <c r="BH104" i="14" a="1"/>
  <c r="BH104" i="14" s="1"/>
  <c r="AR104" i="14" a="1"/>
  <c r="AR104" i="14" s="1"/>
  <c r="AX104" i="14" a="1"/>
  <c r="AX104" i="14" s="1"/>
  <c r="AF104" i="14" a="1"/>
  <c r="AF104" i="14" s="1"/>
  <c r="AU104" i="14" a="1"/>
  <c r="AU104" i="14" s="1"/>
  <c r="AD104" i="14" a="1"/>
  <c r="AD104" i="14" s="1"/>
  <c r="BZ104" i="14" a="1"/>
  <c r="BZ104" i="14" s="1"/>
  <c r="BX104" i="14" a="1"/>
  <c r="BX104" i="14" s="1"/>
  <c r="R104" i="14" a="1"/>
  <c r="R104" i="14" s="1"/>
  <c r="AL104" i="1" s="1"/>
  <c r="AI104" i="14" a="1"/>
  <c r="AI104" i="14" s="1"/>
  <c r="X104" i="14" a="1"/>
  <c r="X104" i="14" s="1"/>
  <c r="BJ104" i="14" a="1"/>
  <c r="BJ104" i="14" s="1"/>
  <c r="BP104" i="14" a="1"/>
  <c r="BP104" i="14" s="1"/>
  <c r="AB104" i="14" a="1"/>
  <c r="AB104" i="14" s="1"/>
  <c r="BU104" i="14" a="1"/>
  <c r="BU104" i="14" s="1"/>
  <c r="BE104" i="14" a="1"/>
  <c r="BE104" i="14" s="1"/>
  <c r="W104" i="14" a="1"/>
  <c r="W104" i="14" s="1"/>
  <c r="AS104" i="14" a="1"/>
  <c r="AS104" i="14" s="1"/>
  <c r="AK104" i="14" a="1"/>
  <c r="AK104" i="14" s="1"/>
  <c r="T104" i="14" a="1"/>
  <c r="T104" i="14" s="1"/>
  <c r="S104" i="14" a="1"/>
  <c r="S104" i="14" s="1"/>
  <c r="AG104" i="14" a="1"/>
  <c r="AG104" i="14" s="1"/>
  <c r="O104" i="14" a="1"/>
  <c r="O104" i="14" s="1"/>
  <c r="BA104" i="14" a="1"/>
  <c r="BA104" i="14" s="1"/>
  <c r="AC104" i="14" a="1"/>
  <c r="AC104" i="14" s="1"/>
  <c r="AQ104" i="14" a="1"/>
  <c r="AQ104" i="14" s="1"/>
  <c r="BF104" i="14" a="1"/>
  <c r="BF104" i="14" s="1"/>
  <c r="Q104" i="14" a="1"/>
  <c r="Q104" i="14" s="1"/>
  <c r="Y101" i="1"/>
  <c r="DJ102" i="5"/>
  <c r="AM103" i="1"/>
  <c r="AH103" i="11"/>
  <c r="DH102" i="5"/>
  <c r="AF101" i="1"/>
  <c r="AU104" i="8"/>
  <c r="AE104" i="8"/>
  <c r="K105" i="11"/>
  <c r="A105" i="14"/>
  <c r="CA105" i="14" s="1"/>
  <c r="A105" i="8"/>
  <c r="A105" i="2"/>
  <c r="A105" i="9"/>
  <c r="A105" i="5"/>
  <c r="A105" i="7"/>
  <c r="R105" i="7" s="1"/>
  <c r="W101" i="1"/>
  <c r="AI100" i="5"/>
  <c r="B100" i="9"/>
  <c r="Y100" i="9" s="1"/>
  <c r="BI100" i="8"/>
  <c r="AJ100" i="5"/>
  <c r="AP100" i="5" s="1"/>
  <c r="A100" i="11"/>
  <c r="N100" i="11" s="1"/>
  <c r="BH100" i="8"/>
  <c r="BU100" i="8" s="1"/>
  <c r="X100" i="8"/>
  <c r="DD100" i="8" s="1"/>
  <c r="BW100" i="8"/>
  <c r="A100" i="10"/>
  <c r="AA100" i="10" s="1"/>
  <c r="BT100" i="5"/>
  <c r="CK100" i="8"/>
  <c r="E100" i="1"/>
  <c r="AC100" i="8"/>
  <c r="BQ100" i="8" s="1"/>
  <c r="B100" i="7"/>
  <c r="AE100" i="7" s="1"/>
  <c r="AF100" i="7" s="1"/>
  <c r="B98" i="14"/>
  <c r="DB98" i="8"/>
  <c r="AQ98" i="5"/>
  <c r="CR98" i="8"/>
  <c r="B102" i="5"/>
  <c r="B102" i="2"/>
  <c r="B102" i="1"/>
  <c r="BG102" i="1" s="1"/>
  <c r="AH102" i="5"/>
  <c r="BU102" i="5"/>
  <c r="BY104" i="11"/>
  <c r="AA103" i="7"/>
  <c r="AF103" i="8" s="1"/>
  <c r="AV103" i="8" s="1"/>
  <c r="K103" i="10"/>
  <c r="L103" i="11"/>
  <c r="J103" i="5"/>
  <c r="DC103" i="5" s="1"/>
  <c r="E102" i="10"/>
  <c r="G102" i="7"/>
  <c r="I103" i="5"/>
  <c r="D102" i="10"/>
  <c r="F102" i="7"/>
  <c r="M103" i="5"/>
  <c r="H102" i="10"/>
  <c r="J102" i="7"/>
  <c r="H103" i="5"/>
  <c r="C102" i="10"/>
  <c r="E102" i="7"/>
  <c r="L103" i="5"/>
  <c r="G102" i="10"/>
  <c r="I102" i="7"/>
  <c r="D102" i="7"/>
  <c r="G103" i="5"/>
  <c r="B102" i="10"/>
  <c r="K103" i="5"/>
  <c r="F102" i="10"/>
  <c r="H102" i="7"/>
  <c r="DD102" i="5"/>
  <c r="BX99" i="8"/>
  <c r="CE99" i="8" s="1"/>
  <c r="D100" i="9"/>
  <c r="N99" i="7"/>
  <c r="AH111" i="9"/>
  <c r="C101" i="5"/>
  <c r="F101" i="5" s="1"/>
  <c r="CC99" i="8"/>
  <c r="CV99" i="8" s="1"/>
  <c r="CW99" i="8" s="1"/>
  <c r="CA99" i="8"/>
  <c r="CB99" i="8"/>
  <c r="CT99" i="8" s="1"/>
  <c r="CH99" i="8"/>
  <c r="CZ99" i="8" s="1"/>
  <c r="BY99" i="8"/>
  <c r="BZ99" i="8"/>
  <c r="CI99" i="8"/>
  <c r="DA99" i="8" s="1"/>
  <c r="AE99" i="7"/>
  <c r="AF99" i="7" s="1"/>
  <c r="Q99" i="7"/>
  <c r="CZ102" i="5"/>
  <c r="AB98" i="11"/>
  <c r="Q98" i="8" s="1"/>
  <c r="AA98" i="11"/>
  <c r="AK98" i="1" s="1"/>
  <c r="AC98" i="11"/>
  <c r="U98" i="8" s="1"/>
  <c r="Y98" i="11"/>
  <c r="AH98" i="1" s="1"/>
  <c r="AD98" i="11"/>
  <c r="AI98" i="1" s="1"/>
  <c r="Z98" i="11"/>
  <c r="N99" i="11"/>
  <c r="AB102" i="1"/>
  <c r="DI102" i="5"/>
  <c r="C102" i="5"/>
  <c r="DA101" i="5"/>
  <c r="DG101" i="5" s="1" a="1"/>
  <c r="DG101" i="5" s="1"/>
  <c r="AG111" i="9"/>
  <c r="AK111" i="9"/>
  <c r="N87" i="1"/>
  <c r="S104" i="2"/>
  <c r="N105" i="2"/>
  <c r="R105" i="2"/>
  <c r="Q104" i="2"/>
  <c r="J106" i="10"/>
  <c r="N106" i="5" s="1"/>
  <c r="P106" i="2"/>
  <c r="AQ127" i="9" l="1"/>
  <c r="CM127" i="8" s="1"/>
  <c r="AO100" i="5"/>
  <c r="AM100" i="5"/>
  <c r="AN100" i="5"/>
  <c r="AV101" i="5"/>
  <c r="AW101" i="5"/>
  <c r="AG99" i="7"/>
  <c r="AI99" i="7" s="1"/>
  <c r="AG100" i="7"/>
  <c r="CL101" i="8"/>
  <c r="CH100" i="8"/>
  <c r="CZ100" i="8" s="1"/>
  <c r="AC100" i="1"/>
  <c r="AI123" i="9"/>
  <c r="AO123" i="8" s="1"/>
  <c r="G106" i="8"/>
  <c r="CF105" i="8"/>
  <c r="O105" i="2"/>
  <c r="BO105" i="5" a="1"/>
  <c r="BO105" i="5" s="1"/>
  <c r="BI105" i="5" a="1"/>
  <c r="BI105" i="5" s="1"/>
  <c r="AM112" i="9"/>
  <c r="BR100" i="8"/>
  <c r="BS100" i="8"/>
  <c r="AD103" i="1"/>
  <c r="BD105" i="5" a="1"/>
  <c r="BD105" i="5" s="1"/>
  <c r="CQ105" i="5"/>
  <c r="CW105" i="5"/>
  <c r="CR105" i="5"/>
  <c r="CV105" i="5"/>
  <c r="CT105" i="5"/>
  <c r="CU105" i="5"/>
  <c r="CS105" i="5"/>
  <c r="AY105" i="5" a="1"/>
  <c r="AY105" i="5" s="1"/>
  <c r="BL105" i="5" a="1"/>
  <c r="BL105" i="5" s="1"/>
  <c r="BE105" i="5" a="1"/>
  <c r="BE105" i="5" s="1"/>
  <c r="BK105" i="5" a="1"/>
  <c r="BK105" i="5" s="1"/>
  <c r="BC105" i="5" a="1"/>
  <c r="BC105" i="5" s="1"/>
  <c r="BM105" i="5" a="1"/>
  <c r="BM105" i="5" s="1"/>
  <c r="BH105" i="5" a="1"/>
  <c r="BH105" i="5" s="1"/>
  <c r="BA105" i="5" a="1"/>
  <c r="BA105" i="5" s="1"/>
  <c r="BQ105" i="5" a="1"/>
  <c r="BQ105" i="5" s="1"/>
  <c r="BN105" i="5" a="1"/>
  <c r="BN105" i="5" s="1"/>
  <c r="BF105" i="5" a="1"/>
  <c r="BF105" i="5" s="1"/>
  <c r="AE104" i="1" s="1"/>
  <c r="AZ105" i="5" a="1"/>
  <c r="AZ105" i="5" s="1"/>
  <c r="BB105" i="5" a="1"/>
  <c r="BB105" i="5" s="1"/>
  <c r="BJ105" i="5" a="1"/>
  <c r="BJ105" i="5" s="1"/>
  <c r="BG105" i="5" a="1"/>
  <c r="BG105" i="5" s="1"/>
  <c r="CS98" i="8"/>
  <c r="V103" i="2"/>
  <c r="CI100" i="8"/>
  <c r="DA100" i="8" s="1"/>
  <c r="CX98" i="8"/>
  <c r="CY98" i="8" s="1"/>
  <c r="F108" i="8"/>
  <c r="BP104" i="5" a="1"/>
  <c r="BP104" i="5" s="1"/>
  <c r="J104" i="2" s="1"/>
  <c r="O109" i="1"/>
  <c r="BX100" i="8"/>
  <c r="CE100" i="8" s="1"/>
  <c r="BT100" i="8"/>
  <c r="BO100" i="8"/>
  <c r="BP100" i="8"/>
  <c r="BM100" i="8"/>
  <c r="BN100" i="8"/>
  <c r="BK100" i="8"/>
  <c r="BL100" i="8"/>
  <c r="BJ100" i="8"/>
  <c r="AC100" i="10"/>
  <c r="X100" i="10" s="1"/>
  <c r="AR100" i="5"/>
  <c r="AS104" i="5"/>
  <c r="AK104" i="11"/>
  <c r="DB103" i="5"/>
  <c r="DE103" i="5"/>
  <c r="AH104" i="11"/>
  <c r="AJ104" i="1"/>
  <c r="DH103" i="5"/>
  <c r="K106" i="11"/>
  <c r="A106" i="14"/>
  <c r="CA106" i="14" s="1"/>
  <c r="A106" i="5"/>
  <c r="A106" i="7"/>
  <c r="R106" i="7" s="1"/>
  <c r="A106" i="8"/>
  <c r="A106" i="9"/>
  <c r="A106" i="2"/>
  <c r="Y102" i="1"/>
  <c r="DJ103" i="5"/>
  <c r="AU105" i="8"/>
  <c r="AE105" i="8"/>
  <c r="W102" i="1"/>
  <c r="BC105" i="14" a="1"/>
  <c r="BC105" i="14" s="1"/>
  <c r="X105" i="14" a="1"/>
  <c r="X105" i="14" s="1"/>
  <c r="BD105" i="14" a="1"/>
  <c r="BD105" i="14" s="1"/>
  <c r="AJ105" i="14" a="1"/>
  <c r="AJ105" i="14" s="1"/>
  <c r="U105" i="14" a="1"/>
  <c r="U105" i="14" s="1"/>
  <c r="AA105" i="14" a="1"/>
  <c r="AA105" i="14" s="1"/>
  <c r="BN105" i="14" a="1"/>
  <c r="BN105" i="14" s="1"/>
  <c r="Y105" i="14" a="1"/>
  <c r="Y105" i="14" s="1"/>
  <c r="AM105" i="14" a="1"/>
  <c r="AM105" i="14" s="1"/>
  <c r="W105" i="14" a="1"/>
  <c r="W105" i="14" s="1"/>
  <c r="V105" i="14" a="1"/>
  <c r="V105" i="14" s="1"/>
  <c r="BZ105" i="14" a="1"/>
  <c r="BZ105" i="14" s="1"/>
  <c r="AZ105" i="14" a="1"/>
  <c r="AZ105" i="14" s="1"/>
  <c r="AI105" i="14" a="1"/>
  <c r="AI105" i="14" s="1"/>
  <c r="AX105" i="14" a="1"/>
  <c r="AX105" i="14" s="1"/>
  <c r="AP105" i="14" a="1"/>
  <c r="AP105" i="14" s="1"/>
  <c r="AU105" i="14" a="1"/>
  <c r="AU105" i="14" s="1"/>
  <c r="AT105" i="14" a="1"/>
  <c r="AT105" i="14" s="1"/>
  <c r="BA105" i="14" a="1"/>
  <c r="BA105" i="14" s="1"/>
  <c r="AR105" i="14" a="1"/>
  <c r="AR105" i="14" s="1"/>
  <c r="AN105" i="14" a="1"/>
  <c r="AN105" i="14" s="1"/>
  <c r="BV105" i="14" a="1"/>
  <c r="BV105" i="14" s="1"/>
  <c r="BF105" i="14" a="1"/>
  <c r="BF105" i="14" s="1"/>
  <c r="R105" i="14" a="1"/>
  <c r="R105" i="14" s="1"/>
  <c r="AL105" i="1" s="1"/>
  <c r="BS105" i="14" a="1"/>
  <c r="BS105" i="14" s="1"/>
  <c r="BJ105" i="14" a="1"/>
  <c r="BJ105" i="14" s="1"/>
  <c r="AC105" i="14" a="1"/>
  <c r="AC105" i="14" s="1"/>
  <c r="BH105" i="14" a="1"/>
  <c r="BH105" i="14" s="1"/>
  <c r="BY105" i="14" a="1"/>
  <c r="BY105" i="14" s="1"/>
  <c r="AQ105" i="14" a="1"/>
  <c r="AQ105" i="14" s="1"/>
  <c r="Z105" i="14" a="1"/>
  <c r="Z105" i="14" s="1"/>
  <c r="AG105" i="14" a="1"/>
  <c r="AG105" i="14" s="1"/>
  <c r="BK105" i="14" a="1"/>
  <c r="BK105" i="14" s="1"/>
  <c r="BB105" i="14" a="1"/>
  <c r="BB105" i="14" s="1"/>
  <c r="AK105" i="14" a="1"/>
  <c r="AK105" i="14" s="1"/>
  <c r="T105" i="14" a="1"/>
  <c r="T105" i="14" s="1"/>
  <c r="BP105" i="14" a="1"/>
  <c r="BP105" i="14" s="1"/>
  <c r="AF105" i="14" a="1"/>
  <c r="AF105" i="14" s="1"/>
  <c r="BE105" i="14" a="1"/>
  <c r="BE105" i="14" s="1"/>
  <c r="BM105" i="14" a="1"/>
  <c r="BM105" i="14" s="1"/>
  <c r="BX105" i="14" a="1"/>
  <c r="BX105" i="14" s="1"/>
  <c r="BR105" i="14" a="1"/>
  <c r="BR105" i="14" s="1"/>
  <c r="AD105" i="14" a="1"/>
  <c r="AD105" i="14" s="1"/>
  <c r="AS105" i="14" a="1"/>
  <c r="AS105" i="14" s="1"/>
  <c r="P105" i="14" a="1"/>
  <c r="P105" i="14" s="1"/>
  <c r="BW105" i="14" a="1"/>
  <c r="BW105" i="14" s="1"/>
  <c r="S105" i="14" a="1"/>
  <c r="S105" i="14" s="1"/>
  <c r="AH105" i="14" a="1"/>
  <c r="AH105" i="14" s="1"/>
  <c r="M105" i="14" a="1"/>
  <c r="M105" i="14" s="1"/>
  <c r="AV105" i="14" a="1"/>
  <c r="AV105" i="14" s="1"/>
  <c r="AE105" i="14" a="1"/>
  <c r="AE105" i="14" s="1"/>
  <c r="AL105" i="14" a="1"/>
  <c r="AL105" i="14" s="1"/>
  <c r="BI105" i="14" a="1"/>
  <c r="BI105" i="14" s="1"/>
  <c r="AB105" i="14" a="1"/>
  <c r="AB105" i="14" s="1"/>
  <c r="AY105" i="14" a="1"/>
  <c r="AY105" i="14" s="1"/>
  <c r="BL105" i="14" a="1"/>
  <c r="BL105" i="14" s="1"/>
  <c r="AW105" i="14" a="1"/>
  <c r="AW105" i="14" s="1"/>
  <c r="Q105" i="14" a="1"/>
  <c r="Q105" i="14" s="1"/>
  <c r="BT105" i="14" a="1"/>
  <c r="BT105" i="14" s="1"/>
  <c r="N105" i="14" a="1"/>
  <c r="N105" i="14" s="1"/>
  <c r="BQ105" i="14" a="1"/>
  <c r="BQ105" i="14" s="1"/>
  <c r="BO105" i="14" a="1"/>
  <c r="BO105" i="14" s="1"/>
  <c r="BG105" i="14" a="1"/>
  <c r="BG105" i="14" s="1"/>
  <c r="BU105" i="14" a="1"/>
  <c r="BU105" i="14" s="1"/>
  <c r="AO105" i="14" a="1"/>
  <c r="AO105" i="14" s="1"/>
  <c r="O105" i="14" a="1"/>
  <c r="O105" i="14" s="1"/>
  <c r="AM104" i="1"/>
  <c r="AF102" i="1"/>
  <c r="AA99" i="11"/>
  <c r="AK99" i="1" s="1"/>
  <c r="Q100" i="7"/>
  <c r="CC100" i="8"/>
  <c r="CV100" i="8" s="1"/>
  <c r="CW100" i="8" s="1"/>
  <c r="D101" i="9"/>
  <c r="N100" i="7"/>
  <c r="Y99" i="11"/>
  <c r="AH99" i="1" s="1"/>
  <c r="Z99" i="11"/>
  <c r="CA100" i="8"/>
  <c r="AC99" i="11"/>
  <c r="U99" i="8" s="1"/>
  <c r="AB99" i="11"/>
  <c r="Q99" i="8" s="1"/>
  <c r="AD99" i="11"/>
  <c r="AI99" i="1" s="1"/>
  <c r="BZ100" i="8"/>
  <c r="CB100" i="8"/>
  <c r="CT100" i="8" s="1"/>
  <c r="BY100" i="8"/>
  <c r="B100" i="14"/>
  <c r="F102" i="5"/>
  <c r="BY105" i="11"/>
  <c r="K104" i="10"/>
  <c r="AA104" i="7"/>
  <c r="AF104" i="8" s="1"/>
  <c r="AV104" i="8" s="1"/>
  <c r="L104" i="11"/>
  <c r="B103" i="2"/>
  <c r="B103" i="1"/>
  <c r="BG103" i="1" s="1"/>
  <c r="AH103" i="5"/>
  <c r="BU103" i="5"/>
  <c r="M104" i="5"/>
  <c r="H103" i="10"/>
  <c r="J103" i="7"/>
  <c r="L104" i="5"/>
  <c r="G103" i="10"/>
  <c r="I103" i="7"/>
  <c r="K104" i="5"/>
  <c r="F103" i="10"/>
  <c r="H103" i="7"/>
  <c r="DD103" i="5"/>
  <c r="I104" i="5"/>
  <c r="D103" i="10"/>
  <c r="F103" i="7"/>
  <c r="D103" i="7"/>
  <c r="B103" i="10"/>
  <c r="G104" i="5"/>
  <c r="H104" i="5"/>
  <c r="C103" i="10"/>
  <c r="E103" i="7"/>
  <c r="DF103" i="5"/>
  <c r="B103" i="5"/>
  <c r="J104" i="5"/>
  <c r="DC104" i="5" s="1"/>
  <c r="E103" i="10"/>
  <c r="G103" i="7"/>
  <c r="CD99" i="8"/>
  <c r="CQ99" i="8"/>
  <c r="CU99" i="8" s="1"/>
  <c r="DH101" i="8"/>
  <c r="DI101" i="8" s="1"/>
  <c r="CK101" i="8"/>
  <c r="BW101" i="8"/>
  <c r="AC101" i="1" s="1"/>
  <c r="BI101" i="8"/>
  <c r="BH101" i="8"/>
  <c r="BU101" i="8" s="1"/>
  <c r="AH112" i="9"/>
  <c r="B101" i="7"/>
  <c r="AI101" i="5"/>
  <c r="A101" i="10"/>
  <c r="AA101" i="10" s="1"/>
  <c r="E101" i="1"/>
  <c r="BT101" i="5"/>
  <c r="X101" i="8"/>
  <c r="DD101" i="8" s="1"/>
  <c r="AC101" i="8"/>
  <c r="BQ101" i="8" s="1"/>
  <c r="AJ101" i="5"/>
  <c r="AP101" i="5" s="1"/>
  <c r="A101" i="11"/>
  <c r="CR99" i="8"/>
  <c r="B101" i="9"/>
  <c r="Y101" i="9" s="1"/>
  <c r="CZ103" i="5"/>
  <c r="DB99" i="8"/>
  <c r="B99" i="14"/>
  <c r="AQ99" i="5"/>
  <c r="DA102" i="5"/>
  <c r="DG102" i="5" s="1" a="1"/>
  <c r="DG102" i="5" s="1"/>
  <c r="AB103" i="1"/>
  <c r="DI103" i="5"/>
  <c r="AG112" i="9"/>
  <c r="AK112" i="9"/>
  <c r="N88" i="1"/>
  <c r="S105" i="2"/>
  <c r="N106" i="2"/>
  <c r="R106" i="2"/>
  <c r="Q105" i="2"/>
  <c r="P107" i="2"/>
  <c r="J107" i="10"/>
  <c r="N107" i="5" s="1"/>
  <c r="AQ128" i="9" l="1"/>
  <c r="CM128" i="8" s="1"/>
  <c r="AO101" i="5"/>
  <c r="AM101" i="5"/>
  <c r="AN101" i="5"/>
  <c r="AR101" i="5" s="1"/>
  <c r="AV102" i="5"/>
  <c r="AW102" i="5"/>
  <c r="AI100" i="7"/>
  <c r="CL102" i="8"/>
  <c r="DB100" i="8"/>
  <c r="AI124" i="9"/>
  <c r="AO124" i="8" s="1"/>
  <c r="G107" i="8"/>
  <c r="CF106" i="8"/>
  <c r="O106" i="2"/>
  <c r="BM106" i="5" a="1"/>
  <c r="BM106" i="5" s="1"/>
  <c r="BC106" i="5" a="1"/>
  <c r="BC106" i="5" s="1"/>
  <c r="AM113" i="9"/>
  <c r="BR101" i="8"/>
  <c r="BS101" i="8"/>
  <c r="AD104" i="1"/>
  <c r="CR106" i="5"/>
  <c r="CQ106" i="5"/>
  <c r="CV106" i="5"/>
  <c r="CU106" i="5"/>
  <c r="CT106" i="5"/>
  <c r="CW106" i="5"/>
  <c r="CS106" i="5"/>
  <c r="BL106" i="5" a="1"/>
  <c r="BL106" i="5" s="1"/>
  <c r="AY106" i="5" a="1"/>
  <c r="AY106" i="5" s="1"/>
  <c r="BH106" i="5" a="1"/>
  <c r="BH106" i="5" s="1"/>
  <c r="BK106" i="5" a="1"/>
  <c r="BK106" i="5" s="1"/>
  <c r="BE106" i="5" a="1"/>
  <c r="BE106" i="5" s="1"/>
  <c r="BG106" i="5" a="1"/>
  <c r="BG106" i="5" s="1"/>
  <c r="BJ106" i="5" a="1"/>
  <c r="BJ106" i="5" s="1"/>
  <c r="BB106" i="5" a="1"/>
  <c r="BB106" i="5" s="1"/>
  <c r="AZ106" i="5" a="1"/>
  <c r="AZ106" i="5" s="1"/>
  <c r="BO106" i="5" a="1"/>
  <c r="BO106" i="5" s="1"/>
  <c r="BF106" i="5" a="1"/>
  <c r="BF106" i="5" s="1"/>
  <c r="AE105" i="1" s="1"/>
  <c r="BN106" i="5" a="1"/>
  <c r="BN106" i="5" s="1"/>
  <c r="BQ106" i="5" a="1"/>
  <c r="BQ106" i="5" s="1"/>
  <c r="BD106" i="5" a="1"/>
  <c r="BD106" i="5" s="1"/>
  <c r="BA106" i="5" a="1"/>
  <c r="BA106" i="5" s="1"/>
  <c r="BI106" i="5" a="1"/>
  <c r="BI106" i="5" s="1"/>
  <c r="V104" i="2"/>
  <c r="CX99" i="8"/>
  <c r="CY99" i="8" s="1"/>
  <c r="F109" i="8"/>
  <c r="CQ100" i="8"/>
  <c r="CU100" i="8" s="1"/>
  <c r="BP105" i="5" a="1"/>
  <c r="BP105" i="5" s="1"/>
  <c r="J105" i="2" s="1"/>
  <c r="O110" i="1"/>
  <c r="CD100" i="8"/>
  <c r="BT101" i="8"/>
  <c r="BO101" i="8"/>
  <c r="BP101" i="8"/>
  <c r="BM101" i="8"/>
  <c r="BN101" i="8"/>
  <c r="BK101" i="8"/>
  <c r="BL101" i="8"/>
  <c r="BJ101" i="8"/>
  <c r="AC101" i="10"/>
  <c r="X101" i="10" s="1"/>
  <c r="AS105" i="5"/>
  <c r="BW102" i="8"/>
  <c r="DF104" i="5"/>
  <c r="DE104" i="5"/>
  <c r="AK105" i="11"/>
  <c r="AJ105" i="1"/>
  <c r="DB104" i="5"/>
  <c r="AF103" i="1"/>
  <c r="DH104" i="5"/>
  <c r="AU106" i="8"/>
  <c r="AE106" i="8"/>
  <c r="W103" i="1"/>
  <c r="Y103" i="1"/>
  <c r="DJ104" i="5"/>
  <c r="K107" i="11"/>
  <c r="A107" i="14"/>
  <c r="CA107" i="14" s="1"/>
  <c r="A107" i="7"/>
  <c r="R107" i="7" s="1"/>
  <c r="A107" i="8"/>
  <c r="A107" i="9"/>
  <c r="A107" i="5"/>
  <c r="A107" i="2"/>
  <c r="AM105" i="1"/>
  <c r="AH105" i="11"/>
  <c r="BS106" i="14" a="1"/>
  <c r="BS106" i="14" s="1"/>
  <c r="BT106" i="14" a="1"/>
  <c r="BT106" i="14" s="1"/>
  <c r="X106" i="14" a="1"/>
  <c r="X106" i="14" s="1"/>
  <c r="AL106" i="14" a="1"/>
  <c r="AL106" i="14" s="1"/>
  <c r="AK106" i="14" a="1"/>
  <c r="AK106" i="14" s="1"/>
  <c r="BY106" i="14" a="1"/>
  <c r="BY106" i="14" s="1"/>
  <c r="BO106" i="14" a="1"/>
  <c r="BO106" i="14" s="1"/>
  <c r="AI106" i="14" a="1"/>
  <c r="AI106" i="14" s="1"/>
  <c r="Y106" i="14" a="1"/>
  <c r="Y106" i="14" s="1"/>
  <c r="AV106" i="14" a="1"/>
  <c r="AV106" i="14" s="1"/>
  <c r="O106" i="14" a="1"/>
  <c r="O106" i="14" s="1"/>
  <c r="N106" i="14" a="1"/>
  <c r="N106" i="14" s="1"/>
  <c r="BZ106" i="14" a="1"/>
  <c r="BZ106" i="14" s="1"/>
  <c r="AJ106" i="14" a="1"/>
  <c r="AJ106" i="14" s="1"/>
  <c r="AY106" i="14" a="1"/>
  <c r="AY106" i="14" s="1"/>
  <c r="BF106" i="14" a="1"/>
  <c r="BF106" i="14" s="1"/>
  <c r="BW106" i="14" a="1"/>
  <c r="BW106" i="14" s="1"/>
  <c r="AM106" i="14" a="1"/>
  <c r="AM106" i="14" s="1"/>
  <c r="AQ106" i="14" a="1"/>
  <c r="AQ106" i="14" s="1"/>
  <c r="BA106" i="14" a="1"/>
  <c r="BA106" i="14" s="1"/>
  <c r="AR106" i="14" a="1"/>
  <c r="AR106" i="14" s="1"/>
  <c r="AN106" i="14" a="1"/>
  <c r="AN106" i="14" s="1"/>
  <c r="BN106" i="14" a="1"/>
  <c r="BN106" i="14" s="1"/>
  <c r="AP106" i="14" a="1"/>
  <c r="AP106" i="14" s="1"/>
  <c r="BL106" i="14" a="1"/>
  <c r="BL106" i="14" s="1"/>
  <c r="AU106" i="14" a="1"/>
  <c r="AU106" i="14" s="1"/>
  <c r="AT106" i="14" a="1"/>
  <c r="AT106" i="14" s="1"/>
  <c r="BJ106" i="14" a="1"/>
  <c r="BJ106" i="14" s="1"/>
  <c r="BP106" i="14" a="1"/>
  <c r="BP106" i="14" s="1"/>
  <c r="T106" i="14" a="1"/>
  <c r="T106" i="14" s="1"/>
  <c r="AX106" i="14" a="1"/>
  <c r="AX106" i="14" s="1"/>
  <c r="AH106" i="14" a="1"/>
  <c r="AH106" i="14" s="1"/>
  <c r="AW106" i="14" a="1"/>
  <c r="AW106" i="14" s="1"/>
  <c r="BC106" i="14" a="1"/>
  <c r="BC106" i="14" s="1"/>
  <c r="V106" i="14" a="1"/>
  <c r="V106" i="14" s="1"/>
  <c r="AA106" i="14" a="1"/>
  <c r="AA106" i="14" s="1"/>
  <c r="AZ106" i="14" a="1"/>
  <c r="AZ106" i="14" s="1"/>
  <c r="BX106" i="14" a="1"/>
  <c r="BX106" i="14" s="1"/>
  <c r="AF106" i="14" a="1"/>
  <c r="AF106" i="14" s="1"/>
  <c r="S106" i="14" a="1"/>
  <c r="S106" i="14" s="1"/>
  <c r="AO106" i="14" a="1"/>
  <c r="AO106" i="14" s="1"/>
  <c r="AE106" i="14" a="1"/>
  <c r="AE106" i="14" s="1"/>
  <c r="BB106" i="14" a="1"/>
  <c r="BB106" i="14" s="1"/>
  <c r="BD106" i="14" a="1"/>
  <c r="BD106" i="14" s="1"/>
  <c r="AS106" i="14" a="1"/>
  <c r="AS106" i="14" s="1"/>
  <c r="AB106" i="14" a="1"/>
  <c r="AB106" i="14" s="1"/>
  <c r="BV106" i="14" a="1"/>
  <c r="BV106" i="14" s="1"/>
  <c r="Q106" i="14" a="1"/>
  <c r="Q106" i="14" s="1"/>
  <c r="M106" i="14" a="1"/>
  <c r="M106" i="14" s="1"/>
  <c r="BK106" i="14" a="1"/>
  <c r="BK106" i="14" s="1"/>
  <c r="BH106" i="14" a="1"/>
  <c r="BH106" i="14" s="1"/>
  <c r="W106" i="14" a="1"/>
  <c r="W106" i="14" s="1"/>
  <c r="U106" i="14" a="1"/>
  <c r="U106" i="14" s="1"/>
  <c r="BR106" i="14" a="1"/>
  <c r="BR106" i="14" s="1"/>
  <c r="BU106" i="14" a="1"/>
  <c r="BU106" i="14" s="1"/>
  <c r="AD106" i="14" a="1"/>
  <c r="AD106" i="14" s="1"/>
  <c r="R106" i="14" a="1"/>
  <c r="R106" i="14" s="1"/>
  <c r="AL106" i="1" s="1"/>
  <c r="BQ106" i="14" a="1"/>
  <c r="BQ106" i="14" s="1"/>
  <c r="Z106" i="14" a="1"/>
  <c r="Z106" i="14" s="1"/>
  <c r="AC106" i="14" a="1"/>
  <c r="AC106" i="14" s="1"/>
  <c r="BM106" i="14" a="1"/>
  <c r="BM106" i="14" s="1"/>
  <c r="BI106" i="14" a="1"/>
  <c r="BI106" i="14" s="1"/>
  <c r="BE106" i="14" a="1"/>
  <c r="BE106" i="14" s="1"/>
  <c r="BG106" i="14" a="1"/>
  <c r="BG106" i="14" s="1"/>
  <c r="P106" i="14" a="1"/>
  <c r="P106" i="14" s="1"/>
  <c r="AG106" i="14" a="1"/>
  <c r="AG106" i="14" s="1"/>
  <c r="AQ100" i="5"/>
  <c r="CR100" i="8"/>
  <c r="BH102" i="8"/>
  <c r="BU102" i="8" s="1"/>
  <c r="A102" i="11"/>
  <c r="Y101" i="11" s="1"/>
  <c r="AH101" i="1" s="1"/>
  <c r="CS99" i="8"/>
  <c r="BT102" i="5"/>
  <c r="AI102" i="5"/>
  <c r="B102" i="7"/>
  <c r="AE102" i="7" s="1"/>
  <c r="AF102" i="7" s="1"/>
  <c r="A102" i="10"/>
  <c r="AA102" i="10" s="1"/>
  <c r="DH102" i="8"/>
  <c r="DI102" i="8" s="1"/>
  <c r="AC102" i="8"/>
  <c r="BQ102" i="8" s="1"/>
  <c r="B102" i="9"/>
  <c r="Y102" i="9" s="1"/>
  <c r="CK102" i="8"/>
  <c r="X102" i="8"/>
  <c r="DD102" i="8" s="1"/>
  <c r="AJ102" i="5"/>
  <c r="AP102" i="5" s="1"/>
  <c r="E102" i="1"/>
  <c r="BI102" i="8"/>
  <c r="B104" i="5"/>
  <c r="B104" i="1"/>
  <c r="BG104" i="1" s="1"/>
  <c r="AH104" i="5"/>
  <c r="BU104" i="5"/>
  <c r="B104" i="2"/>
  <c r="BY106" i="11"/>
  <c r="K105" i="10"/>
  <c r="AA105" i="7"/>
  <c r="AF105" i="8" s="1"/>
  <c r="AV105" i="8" s="1"/>
  <c r="L105" i="11"/>
  <c r="J105" i="5"/>
  <c r="DC105" i="5" s="1"/>
  <c r="E104" i="10"/>
  <c r="G104" i="7"/>
  <c r="K105" i="5"/>
  <c r="F104" i="10"/>
  <c r="H104" i="7"/>
  <c r="DD104" i="5"/>
  <c r="L105" i="5"/>
  <c r="G104" i="10"/>
  <c r="I104" i="7"/>
  <c r="I105" i="5"/>
  <c r="D104" i="10"/>
  <c r="F104" i="7"/>
  <c r="H105" i="5"/>
  <c r="C104" i="10"/>
  <c r="E104" i="7"/>
  <c r="G105" i="5"/>
  <c r="D104" i="7"/>
  <c r="B104" i="10"/>
  <c r="M105" i="5"/>
  <c r="H104" i="10"/>
  <c r="J104" i="7"/>
  <c r="D102" i="9"/>
  <c r="CI101" i="8"/>
  <c r="DA101" i="8" s="1"/>
  <c r="BX101" i="8"/>
  <c r="CD101" i="8" s="1"/>
  <c r="N101" i="7"/>
  <c r="AH113" i="9"/>
  <c r="AE101" i="7"/>
  <c r="AF101" i="7" s="1"/>
  <c r="Q101" i="7"/>
  <c r="CC101" i="8"/>
  <c r="CV101" i="8" s="1"/>
  <c r="CW101" i="8" s="1"/>
  <c r="BY101" i="8"/>
  <c r="CA101" i="8"/>
  <c r="CH101" i="8"/>
  <c r="CZ101" i="8" s="1"/>
  <c r="CB101" i="8"/>
  <c r="CT101" i="8" s="1"/>
  <c r="BZ101" i="8"/>
  <c r="Y100" i="11"/>
  <c r="AH100" i="1" s="1"/>
  <c r="AB100" i="11"/>
  <c r="Q100" i="8" s="1"/>
  <c r="N101" i="11"/>
  <c r="Z100" i="11"/>
  <c r="AC100" i="11"/>
  <c r="U100" i="8" s="1"/>
  <c r="AD100" i="11"/>
  <c r="AI100" i="1" s="1"/>
  <c r="AA100" i="11"/>
  <c r="AK100" i="1" s="1"/>
  <c r="C103" i="5"/>
  <c r="F103" i="5" s="1"/>
  <c r="CZ104" i="5"/>
  <c r="AB104" i="1"/>
  <c r="DI104" i="5"/>
  <c r="C104" i="5"/>
  <c r="DA103" i="5"/>
  <c r="DG103" i="5" s="1" a="1"/>
  <c r="DG103" i="5" s="1"/>
  <c r="AG113" i="9"/>
  <c r="AK113" i="9"/>
  <c r="N89" i="1"/>
  <c r="S106" i="2"/>
  <c r="N107" i="2"/>
  <c r="R107" i="2"/>
  <c r="Q106" i="2"/>
  <c r="J108" i="10"/>
  <c r="N108" i="5" s="1"/>
  <c r="P108" i="2"/>
  <c r="AQ129" i="9" l="1"/>
  <c r="CM129" i="8" s="1"/>
  <c r="AO102" i="5"/>
  <c r="AM102" i="5"/>
  <c r="AN102" i="5"/>
  <c r="AR102" i="5" s="1"/>
  <c r="AV103" i="5"/>
  <c r="AW103" i="5"/>
  <c r="AG102" i="7"/>
  <c r="AG101" i="7"/>
  <c r="AI101" i="7" s="1"/>
  <c r="CL103" i="8"/>
  <c r="CA102" i="8"/>
  <c r="AC102" i="1"/>
  <c r="AI125" i="9"/>
  <c r="AO125" i="8" s="1"/>
  <c r="BG107" i="5" a="1"/>
  <c r="BG107" i="5" s="1"/>
  <c r="G108" i="8"/>
  <c r="CF107" i="8"/>
  <c r="O107" i="2"/>
  <c r="BI107" i="5" a="1"/>
  <c r="BI107" i="5" s="1"/>
  <c r="BC107" i="5" a="1"/>
  <c r="BC107" i="5" s="1"/>
  <c r="BM107" i="5" a="1"/>
  <c r="BM107" i="5" s="1"/>
  <c r="AM114" i="9"/>
  <c r="BR102" i="8"/>
  <c r="BS102" i="8"/>
  <c r="AD105" i="1"/>
  <c r="BE107" i="5" a="1"/>
  <c r="BE107" i="5" s="1"/>
  <c r="BK107" i="5" a="1"/>
  <c r="BK107" i="5" s="1"/>
  <c r="BH107" i="5" a="1"/>
  <c r="BH107" i="5" s="1"/>
  <c r="BA107" i="5" a="1"/>
  <c r="BA107" i="5" s="1"/>
  <c r="BD107" i="5" a="1"/>
  <c r="BD107" i="5" s="1"/>
  <c r="BQ107" i="5" a="1"/>
  <c r="BQ107" i="5" s="1"/>
  <c r="CR107" i="5"/>
  <c r="CU107" i="5"/>
  <c r="CS107" i="5"/>
  <c r="CQ107" i="5"/>
  <c r="CT107" i="5"/>
  <c r="CV107" i="5"/>
  <c r="CW107" i="5"/>
  <c r="AY107" i="5" a="1"/>
  <c r="AY107" i="5" s="1"/>
  <c r="BL107" i="5" a="1"/>
  <c r="BL107" i="5" s="1"/>
  <c r="BN107" i="5" a="1"/>
  <c r="BN107" i="5" s="1"/>
  <c r="BF107" i="5" a="1"/>
  <c r="BF107" i="5" s="1"/>
  <c r="AE106" i="1" s="1"/>
  <c r="BO107" i="5" a="1"/>
  <c r="BO107" i="5" s="1"/>
  <c r="AZ107" i="5" a="1"/>
  <c r="AZ107" i="5" s="1"/>
  <c r="BB107" i="5" a="1"/>
  <c r="BB107" i="5" s="1"/>
  <c r="BJ107" i="5" a="1"/>
  <c r="BJ107" i="5" s="1"/>
  <c r="V105" i="2"/>
  <c r="CS100" i="8"/>
  <c r="CX100" i="8"/>
  <c r="CY100" i="8" s="1"/>
  <c r="F110" i="8"/>
  <c r="BP106" i="5" a="1"/>
  <c r="BP106" i="5" s="1"/>
  <c r="J106" i="2" s="1"/>
  <c r="O111" i="1"/>
  <c r="BX102" i="8"/>
  <c r="CE102" i="8" s="1"/>
  <c r="BT102" i="8"/>
  <c r="BO102" i="8"/>
  <c r="BP102" i="8"/>
  <c r="BM102" i="8"/>
  <c r="BN102" i="8"/>
  <c r="BK102" i="8"/>
  <c r="BL102" i="8"/>
  <c r="BJ102" i="8"/>
  <c r="AC102" i="10"/>
  <c r="X102" i="10" s="1"/>
  <c r="AS106" i="5"/>
  <c r="CH102" i="8"/>
  <c r="CZ102" i="8" s="1"/>
  <c r="CC102" i="8"/>
  <c r="CV102" i="8" s="1"/>
  <c r="CW102" i="8" s="1"/>
  <c r="BZ102" i="8"/>
  <c r="CB102" i="8"/>
  <c r="CT102" i="8" s="1"/>
  <c r="BY102" i="8"/>
  <c r="AK106" i="11"/>
  <c r="AJ106" i="1"/>
  <c r="DF105" i="5"/>
  <c r="DB105" i="5"/>
  <c r="AU107" i="8"/>
  <c r="AE107" i="8"/>
  <c r="AM106" i="1"/>
  <c r="AH106" i="11"/>
  <c r="BS107" i="14" a="1"/>
  <c r="BS107" i="14" s="1"/>
  <c r="AT107" i="14" a="1"/>
  <c r="AT107" i="14" s="1"/>
  <c r="BI107" i="14" a="1"/>
  <c r="BI107" i="14" s="1"/>
  <c r="AZ107" i="14" a="1"/>
  <c r="AZ107" i="14" s="1"/>
  <c r="O107" i="14" a="1"/>
  <c r="O107" i="14" s="1"/>
  <c r="V107" i="14" a="1"/>
  <c r="V107" i="14" s="1"/>
  <c r="P107" i="14" a="1"/>
  <c r="P107" i="14" s="1"/>
  <c r="T107" i="14" a="1"/>
  <c r="T107" i="14" s="1"/>
  <c r="AY107" i="14" a="1"/>
  <c r="AY107" i="14" s="1"/>
  <c r="AP107" i="14" a="1"/>
  <c r="AP107" i="14" s="1"/>
  <c r="AI107" i="14" a="1"/>
  <c r="AI107" i="14" s="1"/>
  <c r="Q107" i="14" a="1"/>
  <c r="Q107" i="14" s="1"/>
  <c r="AE107" i="14" a="1"/>
  <c r="AE107" i="14" s="1"/>
  <c r="BQ107" i="14" a="1"/>
  <c r="BQ107" i="14" s="1"/>
  <c r="U107" i="14" a="1"/>
  <c r="U107" i="14" s="1"/>
  <c r="AN107" i="14" a="1"/>
  <c r="AN107" i="14" s="1"/>
  <c r="BV107" i="14" a="1"/>
  <c r="BV107" i="14" s="1"/>
  <c r="AH107" i="14" a="1"/>
  <c r="AH107" i="14" s="1"/>
  <c r="AW107" i="14" a="1"/>
  <c r="AW107" i="14" s="1"/>
  <c r="W107" i="14" a="1"/>
  <c r="W107" i="14" s="1"/>
  <c r="BD107" i="14" a="1"/>
  <c r="BD107" i="14" s="1"/>
  <c r="AR107" i="14" a="1"/>
  <c r="AR107" i="14" s="1"/>
  <c r="AB107" i="14" a="1"/>
  <c r="AB107" i="14" s="1"/>
  <c r="S107" i="14" a="1"/>
  <c r="S107" i="14" s="1"/>
  <c r="AA107" i="14" a="1"/>
  <c r="AA107" i="14" s="1"/>
  <c r="AO107" i="14" a="1"/>
  <c r="AO107" i="14" s="1"/>
  <c r="AV107" i="14" a="1"/>
  <c r="AV107" i="14" s="1"/>
  <c r="X107" i="14" a="1"/>
  <c r="X107" i="14" s="1"/>
  <c r="BJ107" i="14" a="1"/>
  <c r="BJ107" i="14" s="1"/>
  <c r="AJ107" i="14" a="1"/>
  <c r="AJ107" i="14" s="1"/>
  <c r="BW107" i="14" a="1"/>
  <c r="BW107" i="14" s="1"/>
  <c r="BN107" i="14" a="1"/>
  <c r="BN107" i="14" s="1"/>
  <c r="BF107" i="14" a="1"/>
  <c r="BF107" i="14" s="1"/>
  <c r="BE107" i="14" a="1"/>
  <c r="BE107" i="14" s="1"/>
  <c r="BT107" i="14" a="1"/>
  <c r="BT107" i="14" s="1"/>
  <c r="BR107" i="14" a="1"/>
  <c r="BR107" i="14" s="1"/>
  <c r="AS107" i="14" a="1"/>
  <c r="AS107" i="14" s="1"/>
  <c r="BA107" i="14" a="1"/>
  <c r="BA107" i="14" s="1"/>
  <c r="BH107" i="14" a="1"/>
  <c r="BH107" i="14" s="1"/>
  <c r="BO107" i="14" a="1"/>
  <c r="BO107" i="14" s="1"/>
  <c r="R107" i="14" a="1"/>
  <c r="R107" i="14" s="1"/>
  <c r="AL107" i="1" s="1"/>
  <c r="M107" i="14" a="1"/>
  <c r="M107" i="14" s="1"/>
  <c r="AM107" i="14" a="1"/>
  <c r="AM107" i="14" s="1"/>
  <c r="N107" i="14" a="1"/>
  <c r="N107" i="14" s="1"/>
  <c r="AC107" i="14" a="1"/>
  <c r="AC107" i="14" s="1"/>
  <c r="BY107" i="14" a="1"/>
  <c r="BY107" i="14" s="1"/>
  <c r="AU107" i="14" a="1"/>
  <c r="AU107" i="14" s="1"/>
  <c r="AQ107" i="14" a="1"/>
  <c r="AQ107" i="14" s="1"/>
  <c r="Z107" i="14" a="1"/>
  <c r="Z107" i="14" s="1"/>
  <c r="BM107" i="14" a="1"/>
  <c r="BM107" i="14" s="1"/>
  <c r="AK107" i="14" a="1"/>
  <c r="AK107" i="14" s="1"/>
  <c r="BU107" i="14" a="1"/>
  <c r="BU107" i="14" s="1"/>
  <c r="BC107" i="14" a="1"/>
  <c r="BC107" i="14" s="1"/>
  <c r="AX107" i="14" a="1"/>
  <c r="AX107" i="14" s="1"/>
  <c r="BX107" i="14" a="1"/>
  <c r="BX107" i="14" s="1"/>
  <c r="Y107" i="14" a="1"/>
  <c r="Y107" i="14" s="1"/>
  <c r="BZ107" i="14" a="1"/>
  <c r="BZ107" i="14" s="1"/>
  <c r="AG107" i="14" a="1"/>
  <c r="AG107" i="14" s="1"/>
  <c r="BK107" i="14" a="1"/>
  <c r="BK107" i="14" s="1"/>
  <c r="BG107" i="14" a="1"/>
  <c r="BG107" i="14" s="1"/>
  <c r="BP107" i="14" a="1"/>
  <c r="BP107" i="14" s="1"/>
  <c r="AF107" i="14" a="1"/>
  <c r="AF107" i="14" s="1"/>
  <c r="BB107" i="14" a="1"/>
  <c r="BB107" i="14" s="1"/>
  <c r="AL107" i="14" a="1"/>
  <c r="AL107" i="14" s="1"/>
  <c r="AD107" i="14" a="1"/>
  <c r="AD107" i="14" s="1"/>
  <c r="BL107" i="14" a="1"/>
  <c r="BL107" i="14" s="1"/>
  <c r="K108" i="11"/>
  <c r="A108" i="14"/>
  <c r="CA108" i="14" s="1"/>
  <c r="A108" i="7"/>
  <c r="R108" i="7" s="1"/>
  <c r="A108" i="8"/>
  <c r="A108" i="2"/>
  <c r="A108" i="5"/>
  <c r="A108" i="9"/>
  <c r="DH105" i="5"/>
  <c r="Y104" i="1"/>
  <c r="DJ105" i="5"/>
  <c r="AF104" i="1"/>
  <c r="W104" i="1"/>
  <c r="AD101" i="11"/>
  <c r="AI101" i="1" s="1"/>
  <c r="Z101" i="11"/>
  <c r="N102" i="11"/>
  <c r="AB101" i="11"/>
  <c r="Q101" i="8" s="1"/>
  <c r="AC101" i="11"/>
  <c r="U101" i="8" s="1"/>
  <c r="AA101" i="11"/>
  <c r="AK101" i="1" s="1"/>
  <c r="F104" i="5"/>
  <c r="B102" i="14"/>
  <c r="Q102" i="7"/>
  <c r="D103" i="9"/>
  <c r="N102" i="7"/>
  <c r="CI102" i="8"/>
  <c r="DA102" i="8" s="1"/>
  <c r="B105" i="5"/>
  <c r="BY107" i="11"/>
  <c r="K106" i="10"/>
  <c r="AA106" i="7"/>
  <c r="AF106" i="8" s="1"/>
  <c r="AV106" i="8" s="1"/>
  <c r="L106" i="11"/>
  <c r="BU105" i="5"/>
  <c r="B105" i="2"/>
  <c r="AH105" i="5"/>
  <c r="B105" i="1"/>
  <c r="BG105" i="1" s="1"/>
  <c r="M106" i="5"/>
  <c r="H105" i="10"/>
  <c r="J105" i="7"/>
  <c r="H106" i="5"/>
  <c r="C105" i="10"/>
  <c r="E105" i="7"/>
  <c r="K106" i="5"/>
  <c r="F105" i="10"/>
  <c r="H105" i="7"/>
  <c r="DD105" i="5"/>
  <c r="I106" i="5"/>
  <c r="D105" i="10"/>
  <c r="F105" i="7"/>
  <c r="B105" i="10"/>
  <c r="G106" i="5"/>
  <c r="D105" i="7"/>
  <c r="L106" i="5"/>
  <c r="G105" i="10"/>
  <c r="I105" i="7"/>
  <c r="DE105" i="5"/>
  <c r="J106" i="5"/>
  <c r="DC106" i="5" s="1"/>
  <c r="E105" i="10"/>
  <c r="G105" i="7"/>
  <c r="CQ101" i="8"/>
  <c r="CU101" i="8" s="1"/>
  <c r="DB101" i="8"/>
  <c r="DH103" i="8"/>
  <c r="DI103" i="8" s="1"/>
  <c r="CK103" i="8"/>
  <c r="BW103" i="8"/>
  <c r="AC103" i="1" s="1"/>
  <c r="BI103" i="8"/>
  <c r="CE101" i="8"/>
  <c r="CX101" i="8" s="1"/>
  <c r="CY101" i="8" s="1"/>
  <c r="AJ103" i="5"/>
  <c r="AP103" i="5" s="1"/>
  <c r="BH103" i="8"/>
  <c r="BU103" i="8" s="1"/>
  <c r="AH114" i="9"/>
  <c r="B101" i="14"/>
  <c r="CR101" i="8"/>
  <c r="AQ101" i="5"/>
  <c r="X103" i="8"/>
  <c r="DD103" i="8" s="1"/>
  <c r="E103" i="1"/>
  <c r="B103" i="9"/>
  <c r="Y103" i="9" s="1"/>
  <c r="AI103" i="5"/>
  <c r="A103" i="11"/>
  <c r="AC103" i="8"/>
  <c r="BQ103" i="8" s="1"/>
  <c r="BT103" i="5"/>
  <c r="A103" i="10"/>
  <c r="AA103" i="10" s="1"/>
  <c r="B103" i="7"/>
  <c r="CZ105" i="5"/>
  <c r="C105" i="5"/>
  <c r="DA104" i="5"/>
  <c r="DG104" i="5" s="1" a="1"/>
  <c r="DG104" i="5" s="1"/>
  <c r="AB105" i="1"/>
  <c r="DI105" i="5"/>
  <c r="AG114" i="9"/>
  <c r="AK114" i="9"/>
  <c r="N90" i="1"/>
  <c r="S107" i="2"/>
  <c r="N108" i="2"/>
  <c r="R108" i="2"/>
  <c r="Q107" i="2"/>
  <c r="J109" i="10"/>
  <c r="N109" i="5" s="1"/>
  <c r="P109" i="2"/>
  <c r="AQ130" i="9" l="1"/>
  <c r="CM130" i="8" s="1"/>
  <c r="AO103" i="5"/>
  <c r="AM103" i="5"/>
  <c r="AN103" i="5"/>
  <c r="AI102" i="7"/>
  <c r="AV104" i="5"/>
  <c r="AW104" i="5"/>
  <c r="CL104" i="8"/>
  <c r="CR102" i="8"/>
  <c r="AI126" i="9"/>
  <c r="AO126" i="8" s="1"/>
  <c r="G109" i="8"/>
  <c r="CF108" i="8"/>
  <c r="O108" i="2"/>
  <c r="AM115" i="9"/>
  <c r="BR103" i="8"/>
  <c r="BS103" i="8"/>
  <c r="AD106" i="1"/>
  <c r="CT108" i="5"/>
  <c r="CU108" i="5"/>
  <c r="CW108" i="5"/>
  <c r="CQ108" i="5"/>
  <c r="CS108" i="5"/>
  <c r="CV108" i="5"/>
  <c r="CR108" i="5"/>
  <c r="AY108" i="5" a="1"/>
  <c r="AY108" i="5" s="1"/>
  <c r="BL108" i="5" a="1"/>
  <c r="BL108" i="5" s="1"/>
  <c r="BJ108" i="5" a="1"/>
  <c r="BJ108" i="5" s="1"/>
  <c r="BQ108" i="5" a="1"/>
  <c r="BQ108" i="5" s="1"/>
  <c r="BB108" i="5" a="1"/>
  <c r="BB108" i="5" s="1"/>
  <c r="BD108" i="5" a="1"/>
  <c r="BD108" i="5" s="1"/>
  <c r="AZ108" i="5" a="1"/>
  <c r="AZ108" i="5" s="1"/>
  <c r="BM108" i="5" a="1"/>
  <c r="BM108" i="5" s="1"/>
  <c r="BA108" i="5" a="1"/>
  <c r="BA108" i="5" s="1"/>
  <c r="BO108" i="5" a="1"/>
  <c r="BO108" i="5" s="1"/>
  <c r="BH108" i="5" a="1"/>
  <c r="BH108" i="5" s="1"/>
  <c r="BF108" i="5" a="1"/>
  <c r="BF108" i="5" s="1"/>
  <c r="AE107" i="1" s="1"/>
  <c r="BI108" i="5" a="1"/>
  <c r="BI108" i="5" s="1"/>
  <c r="BN108" i="5" a="1"/>
  <c r="BN108" i="5" s="1"/>
  <c r="BG108" i="5" a="1"/>
  <c r="BG108" i="5" s="1"/>
  <c r="BK108" i="5" a="1"/>
  <c r="BK108" i="5" s="1"/>
  <c r="BE108" i="5" a="1"/>
  <c r="BE108" i="5" s="1"/>
  <c r="BC108" i="5" a="1"/>
  <c r="BC108" i="5" s="1"/>
  <c r="V106" i="2"/>
  <c r="CQ102" i="8"/>
  <c r="CU102" i="8" s="1"/>
  <c r="F111" i="8"/>
  <c r="BP107" i="5" a="1"/>
  <c r="BP107" i="5" s="1"/>
  <c r="J107" i="2" s="1"/>
  <c r="DH104" i="8"/>
  <c r="DI104" i="8" s="1"/>
  <c r="O112" i="1"/>
  <c r="CD102" i="8"/>
  <c r="BX103" i="8"/>
  <c r="CD103" i="8" s="1"/>
  <c r="BT103" i="8"/>
  <c r="BO103" i="8"/>
  <c r="BP103" i="8"/>
  <c r="BM103" i="8"/>
  <c r="BN103" i="8"/>
  <c r="BK103" i="8"/>
  <c r="BL103" i="8"/>
  <c r="BJ103" i="8"/>
  <c r="AC103" i="10"/>
  <c r="X103" i="10" s="1"/>
  <c r="AR103" i="5"/>
  <c r="AS107" i="5"/>
  <c r="DB102" i="8"/>
  <c r="AK107" i="11"/>
  <c r="DE106" i="5"/>
  <c r="DB106" i="5"/>
  <c r="DF106" i="5"/>
  <c r="AM107" i="1"/>
  <c r="Y105" i="1"/>
  <c r="DJ106" i="5"/>
  <c r="W105" i="1"/>
  <c r="AU108" i="8"/>
  <c r="AE108" i="8"/>
  <c r="AH107" i="11"/>
  <c r="AF105" i="1"/>
  <c r="BB108" i="14" a="1"/>
  <c r="BB108" i="14" s="1"/>
  <c r="AM108" i="14" a="1"/>
  <c r="AM108" i="14" s="1"/>
  <c r="AV108" i="14" a="1"/>
  <c r="AV108" i="14" s="1"/>
  <c r="BK108" i="14" a="1"/>
  <c r="BK108" i="14" s="1"/>
  <c r="X108" i="14" a="1"/>
  <c r="X108" i="14" s="1"/>
  <c r="BC108" i="14" a="1"/>
  <c r="BC108" i="14" s="1"/>
  <c r="AL108" i="14" a="1"/>
  <c r="AL108" i="14" s="1"/>
  <c r="BH108" i="14" a="1"/>
  <c r="BH108" i="14" s="1"/>
  <c r="AN108" i="14" a="1"/>
  <c r="AN108" i="14" s="1"/>
  <c r="AY108" i="14" a="1"/>
  <c r="AY108" i="14" s="1"/>
  <c r="AX108" i="14" a="1"/>
  <c r="AX108" i="14" s="1"/>
  <c r="P108" i="14" a="1"/>
  <c r="P108" i="14" s="1"/>
  <c r="AG108" i="14" a="1"/>
  <c r="AG108" i="14" s="1"/>
  <c r="AU108" i="14" a="1"/>
  <c r="AU108" i="14" s="1"/>
  <c r="AS108" i="14" a="1"/>
  <c r="AS108" i="14" s="1"/>
  <c r="BX108" i="14" a="1"/>
  <c r="BX108" i="14" s="1"/>
  <c r="BP108" i="14" a="1"/>
  <c r="BP108" i="14" s="1"/>
  <c r="AQ108" i="14" a="1"/>
  <c r="AQ108" i="14" s="1"/>
  <c r="V108" i="14" a="1"/>
  <c r="V108" i="14" s="1"/>
  <c r="BU108" i="14" a="1"/>
  <c r="BU108" i="14" s="1"/>
  <c r="O108" i="14" a="1"/>
  <c r="O108" i="14" s="1"/>
  <c r="BD108" i="14" a="1"/>
  <c r="BD108" i="14" s="1"/>
  <c r="BZ108" i="14" a="1"/>
  <c r="BZ108" i="14" s="1"/>
  <c r="T108" i="14" a="1"/>
  <c r="T108" i="14" s="1"/>
  <c r="AF108" i="14" a="1"/>
  <c r="AF108" i="14" s="1"/>
  <c r="AP108" i="14" a="1"/>
  <c r="AP108" i="14" s="1"/>
  <c r="Z108" i="14" a="1"/>
  <c r="Z108" i="14" s="1"/>
  <c r="BR108" i="14" a="1"/>
  <c r="BR108" i="14" s="1"/>
  <c r="AD108" i="14" a="1"/>
  <c r="AD108" i="14" s="1"/>
  <c r="AZ108" i="14" a="1"/>
  <c r="AZ108" i="14" s="1"/>
  <c r="BY108" i="14" a="1"/>
  <c r="BY108" i="14" s="1"/>
  <c r="AC108" i="14" a="1"/>
  <c r="AC108" i="14" s="1"/>
  <c r="BE108" i="14" a="1"/>
  <c r="BE108" i="14" s="1"/>
  <c r="AW108" i="14" a="1"/>
  <c r="AW108" i="14" s="1"/>
  <c r="BI108" i="14" a="1"/>
  <c r="BI108" i="14" s="1"/>
  <c r="W108" i="14" a="1"/>
  <c r="W108" i="14" s="1"/>
  <c r="AT108" i="14" a="1"/>
  <c r="AT108" i="14" s="1"/>
  <c r="AR108" i="14" a="1"/>
  <c r="AR108" i="14" s="1"/>
  <c r="AA108" i="14" a="1"/>
  <c r="AA108" i="14" s="1"/>
  <c r="BF108" i="14" a="1"/>
  <c r="BF108" i="14" s="1"/>
  <c r="BV108" i="14" a="1"/>
  <c r="BV108" i="14" s="1"/>
  <c r="M108" i="14" a="1"/>
  <c r="M108" i="14" s="1"/>
  <c r="BT108" i="14" a="1"/>
  <c r="BT108" i="14" s="1"/>
  <c r="N108" i="14" a="1"/>
  <c r="N108" i="14" s="1"/>
  <c r="BQ108" i="14" a="1"/>
  <c r="BQ108" i="14" s="1"/>
  <c r="AJ108" i="14" a="1"/>
  <c r="AJ108" i="14" s="1"/>
  <c r="BG108" i="14" a="1"/>
  <c r="BG108" i="14" s="1"/>
  <c r="BL108" i="14" a="1"/>
  <c r="BL108" i="14" s="1"/>
  <c r="BM108" i="14" a="1"/>
  <c r="BM108" i="14" s="1"/>
  <c r="Y108" i="14" a="1"/>
  <c r="Y108" i="14" s="1"/>
  <c r="BA108" i="14" a="1"/>
  <c r="BA108" i="14" s="1"/>
  <c r="AH108" i="14" a="1"/>
  <c r="AH108" i="14" s="1"/>
  <c r="AK108" i="14" a="1"/>
  <c r="AK108" i="14" s="1"/>
  <c r="Q108" i="14" a="1"/>
  <c r="Q108" i="14" s="1"/>
  <c r="U108" i="14" a="1"/>
  <c r="U108" i="14" s="1"/>
  <c r="AO108" i="14" a="1"/>
  <c r="AO108" i="14" s="1"/>
  <c r="AB108" i="14" a="1"/>
  <c r="AB108" i="14" s="1"/>
  <c r="BO108" i="14" a="1"/>
  <c r="BO108" i="14" s="1"/>
  <c r="BS108" i="14" a="1"/>
  <c r="BS108" i="14" s="1"/>
  <c r="BW108" i="14" a="1"/>
  <c r="BW108" i="14" s="1"/>
  <c r="AI108" i="14" a="1"/>
  <c r="AI108" i="14" s="1"/>
  <c r="S108" i="14" a="1"/>
  <c r="S108" i="14" s="1"/>
  <c r="AE108" i="14" a="1"/>
  <c r="AE108" i="14" s="1"/>
  <c r="R108" i="14" a="1"/>
  <c r="R108" i="14" s="1"/>
  <c r="AL108" i="1" s="1"/>
  <c r="BJ108" i="14" a="1"/>
  <c r="BJ108" i="14" s="1"/>
  <c r="BN108" i="14" a="1"/>
  <c r="BN108" i="14" s="1"/>
  <c r="K109" i="11"/>
  <c r="A109" i="14"/>
  <c r="CA109" i="14" s="1"/>
  <c r="A109" i="9"/>
  <c r="A109" i="8"/>
  <c r="A109" i="5"/>
  <c r="A109" i="7"/>
  <c r="R109" i="7" s="1"/>
  <c r="A109" i="2"/>
  <c r="DH106" i="5"/>
  <c r="AJ107" i="1"/>
  <c r="B104" i="7"/>
  <c r="Q104" i="7" s="1"/>
  <c r="AJ104" i="5"/>
  <c r="AP104" i="5" s="1"/>
  <c r="BT104" i="5"/>
  <c r="AI104" i="5"/>
  <c r="CK104" i="8"/>
  <c r="X104" i="8"/>
  <c r="DD104" i="8" s="1"/>
  <c r="A104" i="10"/>
  <c r="AA104" i="10" s="1"/>
  <c r="BI104" i="8"/>
  <c r="B104" i="9"/>
  <c r="Y104" i="9" s="1"/>
  <c r="AC104" i="8"/>
  <c r="BQ104" i="8" s="1"/>
  <c r="BH104" i="8"/>
  <c r="BU104" i="8" s="1"/>
  <c r="BW104" i="8"/>
  <c r="E104" i="1"/>
  <c r="A104" i="11"/>
  <c r="N104" i="11" s="1"/>
  <c r="AQ102" i="5"/>
  <c r="F105" i="5"/>
  <c r="CS101" i="8"/>
  <c r="B106" i="5"/>
  <c r="B106" i="2"/>
  <c r="B106" i="1"/>
  <c r="BG106" i="1" s="1"/>
  <c r="AH106" i="5"/>
  <c r="BU106" i="5"/>
  <c r="BY108" i="11"/>
  <c r="K107" i="10"/>
  <c r="AA107" i="7"/>
  <c r="AF107" i="8" s="1"/>
  <c r="AV107" i="8" s="1"/>
  <c r="L107" i="11"/>
  <c r="K107" i="5"/>
  <c r="F106" i="10"/>
  <c r="H106" i="7"/>
  <c r="DD106" i="5"/>
  <c r="J107" i="5"/>
  <c r="DC107" i="5" s="1"/>
  <c r="E106" i="10"/>
  <c r="G106" i="7"/>
  <c r="H107" i="5"/>
  <c r="C106" i="10"/>
  <c r="E106" i="7"/>
  <c r="I107" i="5"/>
  <c r="D106" i="10"/>
  <c r="F106" i="7"/>
  <c r="L107" i="5"/>
  <c r="G106" i="10"/>
  <c r="I106" i="7"/>
  <c r="M107" i="5"/>
  <c r="H106" i="10"/>
  <c r="J106" i="7"/>
  <c r="B106" i="10"/>
  <c r="G107" i="5"/>
  <c r="D106" i="7"/>
  <c r="D104" i="9"/>
  <c r="N103" i="7"/>
  <c r="AH115" i="9"/>
  <c r="AE103" i="7"/>
  <c r="AF103" i="7" s="1"/>
  <c r="Q103" i="7"/>
  <c r="CH103" i="8"/>
  <c r="CZ103" i="8" s="1"/>
  <c r="CA103" i="8"/>
  <c r="CB103" i="8"/>
  <c r="CT103" i="8" s="1"/>
  <c r="BZ103" i="8"/>
  <c r="CC103" i="8"/>
  <c r="CV103" i="8" s="1"/>
  <c r="CW103" i="8" s="1"/>
  <c r="BY103" i="8"/>
  <c r="AD102" i="11"/>
  <c r="AI102" i="1" s="1"/>
  <c r="Z102" i="11"/>
  <c r="AB102" i="11"/>
  <c r="Q102" i="8" s="1"/>
  <c r="AA102" i="11"/>
  <c r="AK102" i="1" s="1"/>
  <c r="Y102" i="11"/>
  <c r="AH102" i="1" s="1"/>
  <c r="N103" i="11"/>
  <c r="AC102" i="11"/>
  <c r="U102" i="8" s="1"/>
  <c r="CI103" i="8"/>
  <c r="DA103" i="8" s="1"/>
  <c r="CZ106" i="5"/>
  <c r="AB106" i="1"/>
  <c r="DI106" i="5"/>
  <c r="C106" i="5"/>
  <c r="DA105" i="5"/>
  <c r="DG105" i="5" s="1" a="1"/>
  <c r="DG105" i="5" s="1"/>
  <c r="AG115" i="9"/>
  <c r="AK115" i="9"/>
  <c r="N91" i="1"/>
  <c r="S108" i="2"/>
  <c r="N109" i="2"/>
  <c r="R109" i="2"/>
  <c r="Q108" i="2"/>
  <c r="P110" i="2"/>
  <c r="J110" i="10"/>
  <c r="N110" i="5" s="1"/>
  <c r="AQ131" i="9" l="1"/>
  <c r="CM131" i="8" s="1"/>
  <c r="AO104" i="5"/>
  <c r="AM104" i="5"/>
  <c r="AN104" i="5"/>
  <c r="AV105" i="5"/>
  <c r="AW105" i="5"/>
  <c r="AG103" i="7"/>
  <c r="AI103" i="7" s="1"/>
  <c r="CL105" i="8"/>
  <c r="CB104" i="8"/>
  <c r="CT104" i="8" s="1"/>
  <c r="AC104" i="1"/>
  <c r="AI127" i="9"/>
  <c r="AO127" i="8" s="1"/>
  <c r="BH109" i="5" a="1"/>
  <c r="BH109" i="5" s="1"/>
  <c r="BJ109" i="5" a="1"/>
  <c r="BJ109" i="5" s="1"/>
  <c r="G110" i="8"/>
  <c r="CF109" i="8"/>
  <c r="O109" i="2"/>
  <c r="BC109" i="5" a="1"/>
  <c r="BC109" i="5" s="1"/>
  <c r="BD109" i="5" a="1"/>
  <c r="BD109" i="5" s="1"/>
  <c r="BA109" i="5" a="1"/>
  <c r="BA109" i="5" s="1"/>
  <c r="BM109" i="5" a="1"/>
  <c r="BM109" i="5" s="1"/>
  <c r="AM116" i="9"/>
  <c r="BR104" i="8"/>
  <c r="BS104" i="8"/>
  <c r="AD107" i="1"/>
  <c r="AZ109" i="5" a="1"/>
  <c r="AZ109" i="5" s="1"/>
  <c r="BB109" i="5" a="1"/>
  <c r="BB109" i="5" s="1"/>
  <c r="BQ109" i="5" a="1"/>
  <c r="BQ109" i="5" s="1"/>
  <c r="BE109" i="5" a="1"/>
  <c r="BE109" i="5" s="1"/>
  <c r="CV109" i="5"/>
  <c r="CU109" i="5"/>
  <c r="CS109" i="5"/>
  <c r="CW109" i="5"/>
  <c r="CT109" i="5"/>
  <c r="CR109" i="5"/>
  <c r="CQ109" i="5"/>
  <c r="AY109" i="5" a="1"/>
  <c r="AY109" i="5" s="1"/>
  <c r="BL109" i="5" a="1"/>
  <c r="BL109" i="5" s="1"/>
  <c r="BK109" i="5" a="1"/>
  <c r="BK109" i="5" s="1"/>
  <c r="BG109" i="5" a="1"/>
  <c r="BG109" i="5" s="1"/>
  <c r="BN109" i="5" a="1"/>
  <c r="BN109" i="5" s="1"/>
  <c r="BI109" i="5" a="1"/>
  <c r="BI109" i="5" s="1"/>
  <c r="BF109" i="5" a="1"/>
  <c r="BF109" i="5" s="1"/>
  <c r="AE108" i="1" s="1"/>
  <c r="BO109" i="5" a="1"/>
  <c r="BO109" i="5" s="1"/>
  <c r="V107" i="2"/>
  <c r="CI104" i="8"/>
  <c r="DA104" i="8" s="1"/>
  <c r="CS102" i="8"/>
  <c r="CX102" i="8"/>
  <c r="CY102" i="8" s="1"/>
  <c r="F112" i="8"/>
  <c r="BP108" i="5" a="1"/>
  <c r="BP108" i="5" s="1"/>
  <c r="J108" i="2" s="1"/>
  <c r="O113" i="1"/>
  <c r="CE103" i="8"/>
  <c r="CX103" i="8" s="1"/>
  <c r="CY103" i="8" s="1"/>
  <c r="BX104" i="8"/>
  <c r="CD104" i="8" s="1"/>
  <c r="BT104" i="8"/>
  <c r="BO104" i="8"/>
  <c r="BP104" i="8"/>
  <c r="BM104" i="8"/>
  <c r="BN104" i="8"/>
  <c r="BK104" i="8"/>
  <c r="BL104" i="8"/>
  <c r="BJ104" i="8"/>
  <c r="AC104" i="10"/>
  <c r="X104" i="10" s="1"/>
  <c r="AR104" i="5"/>
  <c r="AS108" i="5"/>
  <c r="AK108" i="11"/>
  <c r="CK105" i="8"/>
  <c r="DF107" i="5"/>
  <c r="AH108" i="11"/>
  <c r="DB107" i="5"/>
  <c r="DE107" i="5"/>
  <c r="W106" i="1"/>
  <c r="K110" i="11"/>
  <c r="A110" i="14"/>
  <c r="CA110" i="14" s="1"/>
  <c r="A110" i="5"/>
  <c r="A110" i="9"/>
  <c r="A110" i="2"/>
  <c r="A110" i="8"/>
  <c r="A110" i="7"/>
  <c r="R110" i="7" s="1"/>
  <c r="AE109" i="8"/>
  <c r="AU109" i="8"/>
  <c r="AF106" i="1"/>
  <c r="Y106" i="1"/>
  <c r="DJ107" i="5"/>
  <c r="BT109" i="14" a="1"/>
  <c r="BT109" i="14" s="1"/>
  <c r="BK109" i="14" a="1"/>
  <c r="BK109" i="14" s="1"/>
  <c r="AT109" i="14" a="1"/>
  <c r="AT109" i="14" s="1"/>
  <c r="BI109" i="14" a="1"/>
  <c r="BI109" i="14" s="1"/>
  <c r="AJ109" i="14" a="1"/>
  <c r="AJ109" i="14" s="1"/>
  <c r="AQ109" i="14" a="1"/>
  <c r="AQ109" i="14" s="1"/>
  <c r="Z109" i="14" a="1"/>
  <c r="Z109" i="14" s="1"/>
  <c r="AW109" i="14" a="1"/>
  <c r="AW109" i="14" s="1"/>
  <c r="M109" i="14" a="1"/>
  <c r="M109" i="14" s="1"/>
  <c r="BN109" i="14" a="1"/>
  <c r="BN109" i="14" s="1"/>
  <c r="W109" i="14" a="1"/>
  <c r="W109" i="14" s="1"/>
  <c r="BR109" i="14" a="1"/>
  <c r="BR109" i="14" s="1"/>
  <c r="BD109" i="14" a="1"/>
  <c r="BD109" i="14" s="1"/>
  <c r="BZ109" i="14" a="1"/>
  <c r="BZ109" i="14" s="1"/>
  <c r="AI109" i="14" a="1"/>
  <c r="AI109" i="14" s="1"/>
  <c r="BH109" i="14" a="1"/>
  <c r="BH109" i="14" s="1"/>
  <c r="AG109" i="14" a="1"/>
  <c r="AG109" i="14" s="1"/>
  <c r="BA109" i="14" a="1"/>
  <c r="BA109" i="14" s="1"/>
  <c r="AV109" i="14" a="1"/>
  <c r="AV109" i="14" s="1"/>
  <c r="AE109" i="14" a="1"/>
  <c r="AE109" i="14" s="1"/>
  <c r="BJ109" i="14" a="1"/>
  <c r="BJ109" i="14" s="1"/>
  <c r="AS109" i="14" a="1"/>
  <c r="AS109" i="14" s="1"/>
  <c r="T109" i="14" a="1"/>
  <c r="T109" i="14" s="1"/>
  <c r="AA109" i="14" a="1"/>
  <c r="AA109" i="14" s="1"/>
  <c r="BF109" i="14" a="1"/>
  <c r="BF109" i="14" s="1"/>
  <c r="BL109" i="14" a="1"/>
  <c r="BL109" i="14" s="1"/>
  <c r="AU109" i="14" a="1"/>
  <c r="AU109" i="14" s="1"/>
  <c r="X109" i="14" a="1"/>
  <c r="X109" i="14" s="1"/>
  <c r="BQ109" i="14" a="1"/>
  <c r="BQ109" i="14" s="1"/>
  <c r="P109" i="14" a="1"/>
  <c r="P109" i="14" s="1"/>
  <c r="U109" i="14" a="1"/>
  <c r="U109" i="14" s="1"/>
  <c r="AF109" i="14" a="1"/>
  <c r="AF109" i="14" s="1"/>
  <c r="R109" i="14" a="1"/>
  <c r="R109" i="14" s="1"/>
  <c r="AL109" i="1" s="1"/>
  <c r="BE109" i="14" a="1"/>
  <c r="BE109" i="14" s="1"/>
  <c r="AB109" i="14" a="1"/>
  <c r="AB109" i="14" s="1"/>
  <c r="BB109" i="14" a="1"/>
  <c r="BB109" i="14" s="1"/>
  <c r="AH109" i="14" a="1"/>
  <c r="AH109" i="14" s="1"/>
  <c r="BP109" i="14" a="1"/>
  <c r="BP109" i="14" s="1"/>
  <c r="AN109" i="14" a="1"/>
  <c r="AN109" i="14" s="1"/>
  <c r="BO109" i="14" a="1"/>
  <c r="BO109" i="14" s="1"/>
  <c r="AX109" i="14" a="1"/>
  <c r="AX109" i="14" s="1"/>
  <c r="Y109" i="14" a="1"/>
  <c r="Y109" i="14" s="1"/>
  <c r="BS109" i="14" a="1"/>
  <c r="BS109" i="14" s="1"/>
  <c r="AL109" i="14" a="1"/>
  <c r="AL109" i="14" s="1"/>
  <c r="N109" i="14" a="1"/>
  <c r="N109" i="14" s="1"/>
  <c r="BY109" i="14" a="1"/>
  <c r="BY109" i="14" s="1"/>
  <c r="AZ109" i="14" a="1"/>
  <c r="AZ109" i="14" s="1"/>
  <c r="BG109" i="14" a="1"/>
  <c r="BG109" i="14" s="1"/>
  <c r="BV109" i="14" a="1"/>
  <c r="BV109" i="14" s="1"/>
  <c r="BM109" i="14" a="1"/>
  <c r="BM109" i="14" s="1"/>
  <c r="AM109" i="14" a="1"/>
  <c r="AM109" i="14" s="1"/>
  <c r="AD109" i="14" a="1"/>
  <c r="AD109" i="14" s="1"/>
  <c r="AK109" i="14" a="1"/>
  <c r="AK109" i="14" s="1"/>
  <c r="BX109" i="14" a="1"/>
  <c r="BX109" i="14" s="1"/>
  <c r="BW109" i="14" a="1"/>
  <c r="BW109" i="14" s="1"/>
  <c r="S109" i="14" a="1"/>
  <c r="S109" i="14" s="1"/>
  <c r="AP109" i="14" a="1"/>
  <c r="AP109" i="14" s="1"/>
  <c r="AO109" i="14" a="1"/>
  <c r="AO109" i="14" s="1"/>
  <c r="AR109" i="14" a="1"/>
  <c r="AR109" i="14" s="1"/>
  <c r="AY109" i="14" a="1"/>
  <c r="AY109" i="14" s="1"/>
  <c r="O109" i="14" a="1"/>
  <c r="O109" i="14" s="1"/>
  <c r="BU109" i="14" a="1"/>
  <c r="BU109" i="14" s="1"/>
  <c r="Q109" i="14" a="1"/>
  <c r="Q109" i="14" s="1"/>
  <c r="BC109" i="14" a="1"/>
  <c r="BC109" i="14" s="1"/>
  <c r="V109" i="14" a="1"/>
  <c r="V109" i="14" s="1"/>
  <c r="AC109" i="14" a="1"/>
  <c r="AC109" i="14" s="1"/>
  <c r="AM108" i="1"/>
  <c r="AJ108" i="1"/>
  <c r="DH107" i="5"/>
  <c r="F106" i="5"/>
  <c r="BT105" i="5"/>
  <c r="AE104" i="7"/>
  <c r="AF104" i="7" s="1"/>
  <c r="CH104" i="8"/>
  <c r="CZ104" i="8" s="1"/>
  <c r="D105" i="9"/>
  <c r="N104" i="7"/>
  <c r="AC105" i="8"/>
  <c r="BQ105" i="8" s="1"/>
  <c r="X105" i="8"/>
  <c r="DD105" i="8" s="1"/>
  <c r="AI105" i="5"/>
  <c r="B105" i="9"/>
  <c r="Y105" i="9" s="1"/>
  <c r="B105" i="7"/>
  <c r="AE105" i="7" s="1"/>
  <c r="AF105" i="7" s="1"/>
  <c r="BY104" i="8"/>
  <c r="BZ104" i="8"/>
  <c r="CC104" i="8"/>
  <c r="CV104" i="8" s="1"/>
  <c r="CW104" i="8" s="1"/>
  <c r="CA104" i="8"/>
  <c r="AD103" i="11"/>
  <c r="AI103" i="1" s="1"/>
  <c r="AC103" i="11"/>
  <c r="U103" i="8" s="1"/>
  <c r="Y103" i="11"/>
  <c r="AH103" i="1" s="1"/>
  <c r="AA103" i="11"/>
  <c r="AK103" i="1" s="1"/>
  <c r="AB103" i="11"/>
  <c r="Q103" i="8" s="1"/>
  <c r="Z103" i="11"/>
  <c r="E105" i="1"/>
  <c r="A105" i="11"/>
  <c r="AD104" i="11" s="1"/>
  <c r="AI104" i="1" s="1"/>
  <c r="A105" i="10"/>
  <c r="AA105" i="10" s="1"/>
  <c r="AJ105" i="5"/>
  <c r="AP105" i="5" s="1"/>
  <c r="DH105" i="8"/>
  <c r="DI105" i="8" s="1"/>
  <c r="BI105" i="8"/>
  <c r="BW105" i="8"/>
  <c r="BH105" i="8"/>
  <c r="BU105" i="8" s="1"/>
  <c r="B107" i="5"/>
  <c r="B107" i="2"/>
  <c r="B107" i="1"/>
  <c r="BG107" i="1" s="1"/>
  <c r="AH107" i="5"/>
  <c r="BU107" i="5"/>
  <c r="BY109" i="11"/>
  <c r="AA108" i="7"/>
  <c r="AF108" i="8" s="1"/>
  <c r="AV108" i="8" s="1"/>
  <c r="K108" i="10"/>
  <c r="L108" i="11"/>
  <c r="H108" i="5"/>
  <c r="C107" i="10"/>
  <c r="E107" i="7"/>
  <c r="G108" i="5"/>
  <c r="D107" i="7"/>
  <c r="B107" i="10"/>
  <c r="L108" i="5"/>
  <c r="G107" i="10"/>
  <c r="I107" i="7"/>
  <c r="J108" i="5"/>
  <c r="DC108" i="5" s="1"/>
  <c r="E107" i="10"/>
  <c r="G107" i="7"/>
  <c r="I108" i="5"/>
  <c r="D107" i="10"/>
  <c r="F107" i="7"/>
  <c r="M108" i="5"/>
  <c r="H107" i="10"/>
  <c r="J107" i="7"/>
  <c r="K108" i="5"/>
  <c r="F107" i="10"/>
  <c r="H107" i="7"/>
  <c r="DD107" i="5"/>
  <c r="CQ103" i="8"/>
  <c r="CU103" i="8" s="1"/>
  <c r="AQ103" i="5"/>
  <c r="AH116" i="9"/>
  <c r="DB103" i="8"/>
  <c r="CR103" i="8"/>
  <c r="B103" i="14"/>
  <c r="CZ107" i="5"/>
  <c r="C107" i="5"/>
  <c r="DA106" i="5"/>
  <c r="DG106" i="5" s="1" a="1"/>
  <c r="DG106" i="5" s="1"/>
  <c r="AB107" i="1"/>
  <c r="DI107" i="5"/>
  <c r="AG116" i="9"/>
  <c r="AK116" i="9"/>
  <c r="N92" i="1"/>
  <c r="S109" i="2"/>
  <c r="N110" i="2"/>
  <c r="R110" i="2"/>
  <c r="Q109" i="2"/>
  <c r="P111" i="2"/>
  <c r="J111" i="10"/>
  <c r="N111" i="5" s="1"/>
  <c r="AQ132" i="9" l="1"/>
  <c r="CM132" i="8" s="1"/>
  <c r="AO105" i="5"/>
  <c r="AM105" i="5"/>
  <c r="AN105" i="5"/>
  <c r="AR105" i="5" s="1"/>
  <c r="AV106" i="5"/>
  <c r="AW106" i="5"/>
  <c r="AG104" i="7"/>
  <c r="AI104" i="7" s="1"/>
  <c r="AG105" i="7"/>
  <c r="CL106" i="8"/>
  <c r="BY105" i="8"/>
  <c r="CQ105" i="8" s="1"/>
  <c r="CU105" i="8" s="1"/>
  <c r="AC105" i="1"/>
  <c r="AI128" i="9"/>
  <c r="AO128" i="8" s="1"/>
  <c r="BJ110" i="5" a="1"/>
  <c r="BJ110" i="5" s="1"/>
  <c r="BG110" i="5" a="1"/>
  <c r="BG110" i="5" s="1"/>
  <c r="BF110" i="5" a="1"/>
  <c r="BF110" i="5" s="1"/>
  <c r="AE109" i="1" s="1"/>
  <c r="G111" i="8"/>
  <c r="CF110" i="8"/>
  <c r="O110" i="2"/>
  <c r="BK110" i="5" a="1"/>
  <c r="BK110" i="5" s="1"/>
  <c r="BH110" i="5" a="1"/>
  <c r="BH110" i="5" s="1"/>
  <c r="BE110" i="5" a="1"/>
  <c r="BE110" i="5" s="1"/>
  <c r="BC110" i="5" a="1"/>
  <c r="BC110" i="5" s="1"/>
  <c r="BO110" i="5" a="1"/>
  <c r="BO110" i="5" s="1"/>
  <c r="BI110" i="5" a="1"/>
  <c r="BI110" i="5" s="1"/>
  <c r="AM117" i="9"/>
  <c r="BR105" i="8"/>
  <c r="BS105" i="8"/>
  <c r="AD108" i="1"/>
  <c r="BN110" i="5" a="1"/>
  <c r="BN110" i="5" s="1"/>
  <c r="BQ110" i="5" a="1"/>
  <c r="BQ110" i="5" s="1"/>
  <c r="BA110" i="5" a="1"/>
  <c r="BA110" i="5" s="1"/>
  <c r="BD110" i="5" a="1"/>
  <c r="BD110" i="5" s="1"/>
  <c r="BB110" i="5" a="1"/>
  <c r="BB110" i="5" s="1"/>
  <c r="CU110" i="5"/>
  <c r="CV110" i="5"/>
  <c r="CT110" i="5"/>
  <c r="CQ110" i="5"/>
  <c r="CS110" i="5"/>
  <c r="CR110" i="5"/>
  <c r="CW110" i="5"/>
  <c r="AY110" i="5" a="1"/>
  <c r="AY110" i="5" s="1"/>
  <c r="BL110" i="5" a="1"/>
  <c r="BL110" i="5" s="1"/>
  <c r="BM110" i="5" a="1"/>
  <c r="BM110" i="5" s="1"/>
  <c r="AZ110" i="5" a="1"/>
  <c r="AZ110" i="5" s="1"/>
  <c r="DB104" i="8"/>
  <c r="V108" i="2"/>
  <c r="F113" i="8"/>
  <c r="CQ104" i="8"/>
  <c r="CU104" i="8" s="1"/>
  <c r="BP109" i="5" a="1"/>
  <c r="BP109" i="5" s="1"/>
  <c r="J109" i="2" s="1"/>
  <c r="A106" i="10"/>
  <c r="AA106" i="10" s="1"/>
  <c r="O114" i="1"/>
  <c r="CE104" i="8"/>
  <c r="CX104" i="8" s="1"/>
  <c r="CY104" i="8" s="1"/>
  <c r="BX105" i="8"/>
  <c r="CD105" i="8" s="1"/>
  <c r="BT105" i="8"/>
  <c r="BO105" i="8"/>
  <c r="BP105" i="8"/>
  <c r="BM105" i="8"/>
  <c r="BN105" i="8"/>
  <c r="BK105" i="8"/>
  <c r="BL105" i="8"/>
  <c r="BJ105" i="8"/>
  <c r="AC105" i="10"/>
  <c r="X105" i="10" s="1"/>
  <c r="AS109" i="5"/>
  <c r="AK109" i="11"/>
  <c r="DB108" i="5"/>
  <c r="DF108" i="5"/>
  <c r="AJ109" i="1"/>
  <c r="AM109" i="1"/>
  <c r="W107" i="1"/>
  <c r="DH108" i="5"/>
  <c r="Y107" i="1"/>
  <c r="DJ108" i="5"/>
  <c r="AE110" i="8"/>
  <c r="AU110" i="8"/>
  <c r="AF107" i="1"/>
  <c r="AH109" i="11"/>
  <c r="K111" i="11"/>
  <c r="A111" i="14"/>
  <c r="CA111" i="14" s="1"/>
  <c r="A111" i="5"/>
  <c r="A111" i="7"/>
  <c r="R111" i="7" s="1"/>
  <c r="A111" i="2"/>
  <c r="A111" i="9"/>
  <c r="A111" i="8"/>
  <c r="BT110" i="14" a="1"/>
  <c r="BT110" i="14" s="1"/>
  <c r="AE110" i="14" a="1"/>
  <c r="AE110" i="14" s="1"/>
  <c r="BB110" i="14" a="1"/>
  <c r="BB110" i="14" s="1"/>
  <c r="BQ110" i="14" a="1"/>
  <c r="BQ110" i="14" s="1"/>
  <c r="BY110" i="14" a="1"/>
  <c r="BY110" i="14" s="1"/>
  <c r="AZ110" i="14" a="1"/>
  <c r="AZ110" i="14" s="1"/>
  <c r="AI110" i="14" a="1"/>
  <c r="AI110" i="14" s="1"/>
  <c r="AW110" i="14" a="1"/>
  <c r="AW110" i="14" s="1"/>
  <c r="BG110" i="14" a="1"/>
  <c r="BG110" i="14" s="1"/>
  <c r="W110" i="14" a="1"/>
  <c r="W110" i="14" s="1"/>
  <c r="AD110" i="14" a="1"/>
  <c r="AD110" i="14" s="1"/>
  <c r="AC110" i="14" a="1"/>
  <c r="AC110" i="14" s="1"/>
  <c r="BW110" i="14" a="1"/>
  <c r="BW110" i="14" s="1"/>
  <c r="BV110" i="14" a="1"/>
  <c r="BV110" i="14" s="1"/>
  <c r="AP110" i="14" a="1"/>
  <c r="AP110" i="14" s="1"/>
  <c r="R110" i="14" a="1"/>
  <c r="R110" i="14" s="1"/>
  <c r="AL110" i="1" s="1"/>
  <c r="AU110" i="14" a="1"/>
  <c r="AU110" i="14" s="1"/>
  <c r="BZ110" i="14" a="1"/>
  <c r="BZ110" i="14" s="1"/>
  <c r="V110" i="14" a="1"/>
  <c r="V110" i="14" s="1"/>
  <c r="N110" i="14" a="1"/>
  <c r="N110" i="14" s="1"/>
  <c r="BM110" i="14" a="1"/>
  <c r="BM110" i="14" s="1"/>
  <c r="AF110" i="14" a="1"/>
  <c r="AF110" i="14" s="1"/>
  <c r="AH110" i="14" a="1"/>
  <c r="AH110" i="14" s="1"/>
  <c r="M110" i="14" a="1"/>
  <c r="M110" i="14" s="1"/>
  <c r="BK110" i="14" a="1"/>
  <c r="BK110" i="14" s="1"/>
  <c r="AL110" i="14" a="1"/>
  <c r="AL110" i="14" s="1"/>
  <c r="AS110" i="14" a="1"/>
  <c r="AS110" i="14" s="1"/>
  <c r="BP110" i="14" a="1"/>
  <c r="BP110" i="14" s="1"/>
  <c r="BX110" i="14" a="1"/>
  <c r="BX110" i="14" s="1"/>
  <c r="BN110" i="14" a="1"/>
  <c r="BN110" i="14" s="1"/>
  <c r="Z110" i="14" a="1"/>
  <c r="Z110" i="14" s="1"/>
  <c r="BL110" i="14" a="1"/>
  <c r="BL110" i="14" s="1"/>
  <c r="BC110" i="14" a="1"/>
  <c r="BC110" i="14" s="1"/>
  <c r="BJ110" i="14" a="1"/>
  <c r="BJ110" i="14" s="1"/>
  <c r="BI110" i="14" a="1"/>
  <c r="BI110" i="14" s="1"/>
  <c r="AR110" i="14" a="1"/>
  <c r="AR110" i="14" s="1"/>
  <c r="P110" i="14" a="1"/>
  <c r="P110" i="14" s="1"/>
  <c r="BO110" i="14" a="1"/>
  <c r="BO110" i="14" s="1"/>
  <c r="AQ110" i="14" a="1"/>
  <c r="AQ110" i="14" s="1"/>
  <c r="AO110" i="14" a="1"/>
  <c r="AO110" i="14" s="1"/>
  <c r="T110" i="14" a="1"/>
  <c r="T110" i="14" s="1"/>
  <c r="BS110" i="14" a="1"/>
  <c r="BS110" i="14" s="1"/>
  <c r="O110" i="14" a="1"/>
  <c r="O110" i="14" s="1"/>
  <c r="BD110" i="14" a="1"/>
  <c r="BD110" i="14" s="1"/>
  <c r="AJ110" i="14" a="1"/>
  <c r="AJ110" i="14" s="1"/>
  <c r="AB110" i="14" a="1"/>
  <c r="AB110" i="14" s="1"/>
  <c r="S110" i="14" a="1"/>
  <c r="S110" i="14" s="1"/>
  <c r="BF110" i="14" a="1"/>
  <c r="BF110" i="14" s="1"/>
  <c r="Y110" i="14" a="1"/>
  <c r="Y110" i="14" s="1"/>
  <c r="AV110" i="14" a="1"/>
  <c r="AV110" i="14" s="1"/>
  <c r="AM110" i="14" a="1"/>
  <c r="AM110" i="14" s="1"/>
  <c r="X110" i="14" a="1"/>
  <c r="X110" i="14" s="1"/>
  <c r="BA110" i="14" a="1"/>
  <c r="BA110" i="14" s="1"/>
  <c r="AN110" i="14" a="1"/>
  <c r="AN110" i="14" s="1"/>
  <c r="BH110" i="14" a="1"/>
  <c r="BH110" i="14" s="1"/>
  <c r="AX110" i="14" a="1"/>
  <c r="AX110" i="14" s="1"/>
  <c r="BE110" i="14" a="1"/>
  <c r="BE110" i="14" s="1"/>
  <c r="Q110" i="14" a="1"/>
  <c r="Q110" i="14" s="1"/>
  <c r="AA110" i="14" a="1"/>
  <c r="AA110" i="14" s="1"/>
  <c r="AK110" i="14" a="1"/>
  <c r="AK110" i="14" s="1"/>
  <c r="U110" i="14" a="1"/>
  <c r="U110" i="14" s="1"/>
  <c r="AY110" i="14" a="1"/>
  <c r="AY110" i="14" s="1"/>
  <c r="AT110" i="14" a="1"/>
  <c r="AT110" i="14" s="1"/>
  <c r="BU110" i="14" a="1"/>
  <c r="BU110" i="14" s="1"/>
  <c r="AG110" i="14" a="1"/>
  <c r="AG110" i="14" s="1"/>
  <c r="BR110" i="14" a="1"/>
  <c r="BR110" i="14" s="1"/>
  <c r="B106" i="7"/>
  <c r="AE106" i="7" s="1"/>
  <c r="AF106" i="7" s="1"/>
  <c r="E106" i="1"/>
  <c r="AC106" i="8"/>
  <c r="BQ106" i="8" s="1"/>
  <c r="BI106" i="8"/>
  <c r="CK106" i="8"/>
  <c r="AQ104" i="5"/>
  <c r="AA104" i="11"/>
  <c r="AK104" i="1" s="1"/>
  <c r="X106" i="8"/>
  <c r="DD106" i="8" s="1"/>
  <c r="BH106" i="8"/>
  <c r="BU106" i="8" s="1"/>
  <c r="DH106" i="8"/>
  <c r="DI106" i="8" s="1"/>
  <c r="B106" i="9"/>
  <c r="Y106" i="9" s="1"/>
  <c r="BT106" i="5"/>
  <c r="AJ106" i="5"/>
  <c r="AP106" i="5" s="1"/>
  <c r="A106" i="11"/>
  <c r="AA105" i="11" s="1"/>
  <c r="AK105" i="1" s="1"/>
  <c r="AI106" i="5"/>
  <c r="BW106" i="8"/>
  <c r="B104" i="14"/>
  <c r="Y104" i="11"/>
  <c r="AH104" i="1" s="1"/>
  <c r="CI105" i="8"/>
  <c r="DA105" i="8" s="1"/>
  <c r="Q105" i="7"/>
  <c r="B105" i="14"/>
  <c r="CR104" i="8"/>
  <c r="N105" i="7"/>
  <c r="CA105" i="8"/>
  <c r="N105" i="11"/>
  <c r="AC104" i="11"/>
  <c r="U104" i="8" s="1"/>
  <c r="BZ105" i="8"/>
  <c r="CH105" i="8"/>
  <c r="CZ105" i="8" s="1"/>
  <c r="CB105" i="8"/>
  <c r="CT105" i="8" s="1"/>
  <c r="CC105" i="8"/>
  <c r="CV105" i="8" s="1"/>
  <c r="CW105" i="8" s="1"/>
  <c r="F107" i="5"/>
  <c r="Z104" i="11"/>
  <c r="AB104" i="11"/>
  <c r="Q104" i="8" s="1"/>
  <c r="D106" i="9"/>
  <c r="AH108" i="5"/>
  <c r="BU108" i="5"/>
  <c r="B108" i="1"/>
  <c r="BG108" i="1" s="1"/>
  <c r="B108" i="2"/>
  <c r="BY110" i="11"/>
  <c r="AA109" i="7"/>
  <c r="AF109" i="8" s="1"/>
  <c r="AV109" i="8" s="1"/>
  <c r="K109" i="10"/>
  <c r="L109" i="11"/>
  <c r="L109" i="5"/>
  <c r="G108" i="10"/>
  <c r="I108" i="7"/>
  <c r="I109" i="5"/>
  <c r="D108" i="10"/>
  <c r="F108" i="7"/>
  <c r="K109" i="5"/>
  <c r="F108" i="10"/>
  <c r="H108" i="7"/>
  <c r="DD108" i="5"/>
  <c r="G109" i="5"/>
  <c r="D108" i="7"/>
  <c r="B108" i="10"/>
  <c r="J109" i="5"/>
  <c r="E108" i="10"/>
  <c r="G108" i="7"/>
  <c r="M109" i="5"/>
  <c r="H108" i="10"/>
  <c r="J108" i="7"/>
  <c r="DE108" i="5"/>
  <c r="B108" i="5"/>
  <c r="H109" i="5"/>
  <c r="C108" i="10"/>
  <c r="E108" i="7"/>
  <c r="CS103" i="8"/>
  <c r="AH117" i="9"/>
  <c r="CZ108" i="5"/>
  <c r="AB108" i="1"/>
  <c r="DI108" i="5"/>
  <c r="C108" i="5"/>
  <c r="DA107" i="5"/>
  <c r="DG107" i="5" s="1" a="1"/>
  <c r="DG107" i="5" s="1"/>
  <c r="AG117" i="9"/>
  <c r="AK117" i="9"/>
  <c r="N93" i="1"/>
  <c r="S110" i="2"/>
  <c r="N111" i="2"/>
  <c r="R111" i="2"/>
  <c r="Q110" i="2"/>
  <c r="J112" i="10"/>
  <c r="N112" i="5" s="1"/>
  <c r="P112" i="2"/>
  <c r="AQ133" i="9" l="1"/>
  <c r="CM133" i="8" s="1"/>
  <c r="AO106" i="5"/>
  <c r="AM106" i="5"/>
  <c r="AN106" i="5"/>
  <c r="AR106" i="5" s="1"/>
  <c r="AV107" i="5"/>
  <c r="AW107" i="5"/>
  <c r="AI105" i="7"/>
  <c r="AG106" i="7"/>
  <c r="CL107" i="8"/>
  <c r="CC106" i="8"/>
  <c r="CV106" i="8" s="1"/>
  <c r="CW106" i="8" s="1"/>
  <c r="AC106" i="1"/>
  <c r="AI129" i="9"/>
  <c r="AO129" i="8" s="1"/>
  <c r="G112" i="8"/>
  <c r="CF111" i="8"/>
  <c r="O111" i="2"/>
  <c r="BK111" i="5" a="1"/>
  <c r="BK111" i="5" s="1"/>
  <c r="BB111" i="5" a="1"/>
  <c r="BB111" i="5" s="1"/>
  <c r="BA111" i="5" a="1"/>
  <c r="BA111" i="5" s="1"/>
  <c r="AM118" i="9"/>
  <c r="BR106" i="8"/>
  <c r="BS106" i="8"/>
  <c r="AD109" i="1"/>
  <c r="BD111" i="5" a="1"/>
  <c r="BD111" i="5" s="1"/>
  <c r="BQ111" i="5" a="1"/>
  <c r="BQ111" i="5" s="1"/>
  <c r="BG111" i="5" a="1"/>
  <c r="BG111" i="5" s="1"/>
  <c r="AZ111" i="5" a="1"/>
  <c r="AZ111" i="5" s="1"/>
  <c r="CV111" i="5"/>
  <c r="CR111" i="5"/>
  <c r="CU111" i="5"/>
  <c r="CQ111" i="5"/>
  <c r="CT111" i="5"/>
  <c r="CW111" i="5"/>
  <c r="CS111" i="5"/>
  <c r="AY111" i="5" a="1"/>
  <c r="AY111" i="5" s="1"/>
  <c r="BL111" i="5" a="1"/>
  <c r="BL111" i="5" s="1"/>
  <c r="BM111" i="5" a="1"/>
  <c r="BM111" i="5" s="1"/>
  <c r="BN111" i="5" a="1"/>
  <c r="BN111" i="5" s="1"/>
  <c r="BE111" i="5" a="1"/>
  <c r="BE111" i="5" s="1"/>
  <c r="BI111" i="5" a="1"/>
  <c r="BI111" i="5" s="1"/>
  <c r="BC111" i="5" a="1"/>
  <c r="BC111" i="5" s="1"/>
  <c r="BF111" i="5" a="1"/>
  <c r="BF111" i="5" s="1"/>
  <c r="AE110" i="1" s="1"/>
  <c r="BH111" i="5" a="1"/>
  <c r="BH111" i="5" s="1"/>
  <c r="BO111" i="5" a="1"/>
  <c r="BO111" i="5" s="1"/>
  <c r="BJ111" i="5" a="1"/>
  <c r="BJ111" i="5" s="1"/>
  <c r="V109" i="2"/>
  <c r="CS104" i="8"/>
  <c r="F114" i="8"/>
  <c r="BP110" i="5" a="1"/>
  <c r="BP110" i="5" s="1"/>
  <c r="J110" i="2" s="1"/>
  <c r="BI107" i="8"/>
  <c r="O115" i="1"/>
  <c r="CE105" i="8"/>
  <c r="CX105" i="8" s="1"/>
  <c r="CY105" i="8" s="1"/>
  <c r="BX106" i="8"/>
  <c r="CE106" i="8" s="1"/>
  <c r="BT106" i="8"/>
  <c r="BO106" i="8"/>
  <c r="BP106" i="8"/>
  <c r="BM106" i="8"/>
  <c r="BN106" i="8"/>
  <c r="BK106" i="8"/>
  <c r="BL106" i="8"/>
  <c r="BJ106" i="8"/>
  <c r="AC106" i="10"/>
  <c r="X106" i="10" s="1"/>
  <c r="AS110" i="5"/>
  <c r="AQ105" i="5"/>
  <c r="AK110" i="11"/>
  <c r="AH110" i="11"/>
  <c r="DB109" i="5"/>
  <c r="AJ110" i="1"/>
  <c r="DE109" i="5"/>
  <c r="DF109" i="5"/>
  <c r="W108" i="1"/>
  <c r="K112" i="11"/>
  <c r="A112" i="14"/>
  <c r="CA112" i="14" s="1"/>
  <c r="A112" i="8"/>
  <c r="A112" i="2"/>
  <c r="A112" i="9"/>
  <c r="A112" i="7"/>
  <c r="R112" i="7" s="1"/>
  <c r="A112" i="5"/>
  <c r="AM110" i="1"/>
  <c r="BS111" i="14" a="1"/>
  <c r="BS111" i="14" s="1"/>
  <c r="W111" i="14" a="1"/>
  <c r="W111" i="14" s="1"/>
  <c r="V111" i="14" a="1"/>
  <c r="V111" i="14" s="1"/>
  <c r="P111" i="14" a="1"/>
  <c r="P111" i="14" s="1"/>
  <c r="AB111" i="14" a="1"/>
  <c r="AB111" i="14" s="1"/>
  <c r="BO111" i="14" a="1"/>
  <c r="BO111" i="14" s="1"/>
  <c r="R111" i="14" a="1"/>
  <c r="R111" i="14" s="1"/>
  <c r="AL111" i="1" s="1"/>
  <c r="BU111" i="14" a="1"/>
  <c r="BU111" i="14" s="1"/>
  <c r="BC111" i="14" a="1"/>
  <c r="BC111" i="14" s="1"/>
  <c r="AE111" i="14" a="1"/>
  <c r="AE111" i="14" s="1"/>
  <c r="N111" i="14" a="1"/>
  <c r="N111" i="14" s="1"/>
  <c r="BZ111" i="14" a="1"/>
  <c r="BZ111" i="14" s="1"/>
  <c r="AY111" i="14" a="1"/>
  <c r="AY111" i="14" s="1"/>
  <c r="BV111" i="14" a="1"/>
  <c r="BV111" i="14" s="1"/>
  <c r="BN111" i="14" a="1"/>
  <c r="BN111" i="14" s="1"/>
  <c r="BE111" i="14" a="1"/>
  <c r="BE111" i="14" s="1"/>
  <c r="AM111" i="14" a="1"/>
  <c r="AM111" i="14" s="1"/>
  <c r="AT111" i="14" a="1"/>
  <c r="AT111" i="14" s="1"/>
  <c r="BI111" i="14" a="1"/>
  <c r="BI111" i="14" s="1"/>
  <c r="BH111" i="14" a="1"/>
  <c r="BH111" i="14" s="1"/>
  <c r="AR111" i="14" a="1"/>
  <c r="AR111" i="14" s="1"/>
  <c r="BG111" i="14" a="1"/>
  <c r="BG111" i="14" s="1"/>
  <c r="AH111" i="14" a="1"/>
  <c r="AH111" i="14" s="1"/>
  <c r="Q111" i="14" a="1"/>
  <c r="Q111" i="14" s="1"/>
  <c r="AV111" i="14" a="1"/>
  <c r="AV111" i="14" s="1"/>
  <c r="O111" i="14" a="1"/>
  <c r="O111" i="14" s="1"/>
  <c r="BB111" i="14" a="1"/>
  <c r="BB111" i="14" s="1"/>
  <c r="BD111" i="14" a="1"/>
  <c r="BD111" i="14" s="1"/>
  <c r="BP111" i="14" a="1"/>
  <c r="BP111" i="14" s="1"/>
  <c r="AJ111" i="14" a="1"/>
  <c r="AJ111" i="14" s="1"/>
  <c r="AA111" i="14" a="1"/>
  <c r="AA111" i="14" s="1"/>
  <c r="AO111" i="14" a="1"/>
  <c r="AO111" i="14" s="1"/>
  <c r="BY111" i="14" a="1"/>
  <c r="BY111" i="14" s="1"/>
  <c r="BT111" i="14" a="1"/>
  <c r="BT111" i="14" s="1"/>
  <c r="BL111" i="14" a="1"/>
  <c r="BL111" i="14" s="1"/>
  <c r="AL111" i="14" a="1"/>
  <c r="AL111" i="14" s="1"/>
  <c r="BA111" i="14" a="1"/>
  <c r="BA111" i="14" s="1"/>
  <c r="AC111" i="14" a="1"/>
  <c r="AC111" i="14" s="1"/>
  <c r="AS111" i="14" a="1"/>
  <c r="AS111" i="14" s="1"/>
  <c r="AF111" i="14" a="1"/>
  <c r="AF111" i="14" s="1"/>
  <c r="M111" i="14" a="1"/>
  <c r="M111" i="14" s="1"/>
  <c r="Y111" i="14" a="1"/>
  <c r="Y111" i="14" s="1"/>
  <c r="S111" i="14" a="1"/>
  <c r="S111" i="14" s="1"/>
  <c r="BF111" i="14" a="1"/>
  <c r="BF111" i="14" s="1"/>
  <c r="BW111" i="14" a="1"/>
  <c r="BW111" i="14" s="1"/>
  <c r="BK111" i="14" a="1"/>
  <c r="BK111" i="14" s="1"/>
  <c r="AK111" i="14" a="1"/>
  <c r="AK111" i="14" s="1"/>
  <c r="AQ111" i="14" a="1"/>
  <c r="AQ111" i="14" s="1"/>
  <c r="AU111" i="14" a="1"/>
  <c r="AU111" i="14" s="1"/>
  <c r="AZ111" i="14" a="1"/>
  <c r="AZ111" i="14" s="1"/>
  <c r="BM111" i="14" a="1"/>
  <c r="BM111" i="14" s="1"/>
  <c r="X111" i="14" a="1"/>
  <c r="X111" i="14" s="1"/>
  <c r="BX111" i="14" a="1"/>
  <c r="BX111" i="14" s="1"/>
  <c r="AX111" i="14" a="1"/>
  <c r="AX111" i="14" s="1"/>
  <c r="BR111" i="14" a="1"/>
  <c r="BR111" i="14" s="1"/>
  <c r="U111" i="14" a="1"/>
  <c r="U111" i="14" s="1"/>
  <c r="AP111" i="14" a="1"/>
  <c r="AP111" i="14" s="1"/>
  <c r="BJ111" i="14" a="1"/>
  <c r="BJ111" i="14" s="1"/>
  <c r="AN111" i="14" a="1"/>
  <c r="AN111" i="14" s="1"/>
  <c r="AG111" i="14" a="1"/>
  <c r="AG111" i="14" s="1"/>
  <c r="AD111" i="14" a="1"/>
  <c r="AD111" i="14" s="1"/>
  <c r="T111" i="14" a="1"/>
  <c r="T111" i="14" s="1"/>
  <c r="AW111" i="14" a="1"/>
  <c r="AW111" i="14" s="1"/>
  <c r="Z111" i="14" a="1"/>
  <c r="Z111" i="14" s="1"/>
  <c r="BQ111" i="14" a="1"/>
  <c r="BQ111" i="14" s="1"/>
  <c r="AI111" i="14" a="1"/>
  <c r="AI111" i="14" s="1"/>
  <c r="AF108" i="1"/>
  <c r="Y108" i="1"/>
  <c r="DJ109" i="5"/>
  <c r="AE111" i="8"/>
  <c r="AU111" i="8"/>
  <c r="DH109" i="5"/>
  <c r="BW107" i="8"/>
  <c r="N106" i="7"/>
  <c r="CH106" i="8"/>
  <c r="CZ106" i="8" s="1"/>
  <c r="B106" i="14"/>
  <c r="CA106" i="8"/>
  <c r="Q106" i="7"/>
  <c r="CB106" i="8"/>
  <c r="CT106" i="8" s="1"/>
  <c r="BZ106" i="8"/>
  <c r="BY106" i="8"/>
  <c r="AC105" i="11"/>
  <c r="U105" i="8" s="1"/>
  <c r="D107" i="9"/>
  <c r="CI106" i="8"/>
  <c r="DA106" i="8" s="1"/>
  <c r="N106" i="11"/>
  <c r="AB105" i="11"/>
  <c r="Q105" i="8" s="1"/>
  <c r="Y105" i="11"/>
  <c r="AH105" i="1" s="1"/>
  <c r="Z105" i="11"/>
  <c r="AD105" i="11"/>
  <c r="AI105" i="1" s="1"/>
  <c r="DB105" i="8"/>
  <c r="B107" i="9"/>
  <c r="Y107" i="9" s="1"/>
  <c r="CR105" i="8"/>
  <c r="CS105" i="8" s="1"/>
  <c r="AI107" i="5"/>
  <c r="BT107" i="5"/>
  <c r="X107" i="8"/>
  <c r="DD107" i="8" s="1"/>
  <c r="B107" i="7"/>
  <c r="AE107" i="7" s="1"/>
  <c r="AF107" i="7" s="1"/>
  <c r="BH107" i="8"/>
  <c r="BU107" i="8" s="1"/>
  <c r="AJ107" i="5"/>
  <c r="AP107" i="5" s="1"/>
  <c r="A107" i="10"/>
  <c r="AA107" i="10" s="1"/>
  <c r="DH107" i="8"/>
  <c r="DI107" i="8" s="1"/>
  <c r="AC107" i="8"/>
  <c r="BQ107" i="8" s="1"/>
  <c r="CK107" i="8"/>
  <c r="A107" i="11"/>
  <c r="AD106" i="11" s="1"/>
  <c r="AI106" i="1" s="1"/>
  <c r="E107" i="1"/>
  <c r="F108" i="5"/>
  <c r="B109" i="2"/>
  <c r="AH109" i="5"/>
  <c r="B109" i="1"/>
  <c r="BG109" i="1" s="1"/>
  <c r="BU109" i="5"/>
  <c r="BY111" i="11"/>
  <c r="K110" i="10"/>
  <c r="AA110" i="7"/>
  <c r="AF110" i="8" s="1"/>
  <c r="AV110" i="8" s="1"/>
  <c r="L110" i="11"/>
  <c r="H110" i="5"/>
  <c r="C109" i="10"/>
  <c r="E109" i="7"/>
  <c r="K110" i="5"/>
  <c r="F109" i="10"/>
  <c r="H109" i="7"/>
  <c r="DD109" i="5"/>
  <c r="J110" i="5"/>
  <c r="DC110" i="5" s="1"/>
  <c r="E109" i="10"/>
  <c r="G109" i="7"/>
  <c r="G110" i="5"/>
  <c r="D109" i="7"/>
  <c r="B109" i="10"/>
  <c r="I110" i="5"/>
  <c r="D109" i="10"/>
  <c r="F109" i="7"/>
  <c r="M110" i="5"/>
  <c r="H109" i="10"/>
  <c r="J109" i="7"/>
  <c r="B109" i="5"/>
  <c r="DC109" i="5"/>
  <c r="L110" i="5"/>
  <c r="G109" i="10"/>
  <c r="I109" i="7"/>
  <c r="AH118" i="9"/>
  <c r="CZ109" i="5"/>
  <c r="DA108" i="5"/>
  <c r="DG108" i="5" s="1" a="1"/>
  <c r="DG108" i="5" s="1"/>
  <c r="AB109" i="1"/>
  <c r="DI109" i="5"/>
  <c r="AG118" i="9"/>
  <c r="AK118" i="9"/>
  <c r="N94" i="1"/>
  <c r="S111" i="2"/>
  <c r="N112" i="2"/>
  <c r="R112" i="2"/>
  <c r="Q111" i="2"/>
  <c r="P113" i="2"/>
  <c r="J113" i="10"/>
  <c r="N113" i="5" s="1"/>
  <c r="AQ134" i="9" l="1"/>
  <c r="CM134" i="8" s="1"/>
  <c r="AO107" i="5"/>
  <c r="AM107" i="5"/>
  <c r="AN107" i="5"/>
  <c r="AV108" i="5"/>
  <c r="AW108" i="5"/>
  <c r="AI106" i="7"/>
  <c r="AG107" i="7"/>
  <c r="CL108" i="8"/>
  <c r="CC107" i="8"/>
  <c r="CV107" i="8" s="1"/>
  <c r="CW107" i="8" s="1"/>
  <c r="AC107" i="1"/>
  <c r="AI130" i="9"/>
  <c r="AO130" i="8" s="1"/>
  <c r="G113" i="8"/>
  <c r="CF112" i="8"/>
  <c r="O112" i="2"/>
  <c r="AM119" i="9"/>
  <c r="BR107" i="8"/>
  <c r="BS107" i="8"/>
  <c r="AD110" i="1"/>
  <c r="BJ112" i="5" a="1"/>
  <c r="BJ112" i="5" s="1"/>
  <c r="BO112" i="5" a="1"/>
  <c r="BO112" i="5" s="1"/>
  <c r="BH112" i="5" a="1"/>
  <c r="BH112" i="5" s="1"/>
  <c r="BF112" i="5" a="1"/>
  <c r="BF112" i="5" s="1"/>
  <c r="AE111" i="1" s="1"/>
  <c r="AZ112" i="5" a="1"/>
  <c r="AZ112" i="5" s="1"/>
  <c r="BC112" i="5" a="1"/>
  <c r="BC112" i="5" s="1"/>
  <c r="BG112" i="5" a="1"/>
  <c r="BG112" i="5" s="1"/>
  <c r="BI112" i="5" a="1"/>
  <c r="BI112" i="5" s="1"/>
  <c r="BQ112" i="5" a="1"/>
  <c r="BQ112" i="5" s="1"/>
  <c r="CV112" i="5"/>
  <c r="CT112" i="5"/>
  <c r="CS112" i="5"/>
  <c r="CQ112" i="5"/>
  <c r="CW112" i="5"/>
  <c r="CR112" i="5"/>
  <c r="CU112" i="5"/>
  <c r="AY112" i="5" a="1"/>
  <c r="AY112" i="5" s="1"/>
  <c r="BL112" i="5" a="1"/>
  <c r="BL112" i="5" s="1"/>
  <c r="BE112" i="5" a="1"/>
  <c r="BE112" i="5" s="1"/>
  <c r="BD112" i="5" a="1"/>
  <c r="BD112" i="5" s="1"/>
  <c r="BA112" i="5" a="1"/>
  <c r="BA112" i="5" s="1"/>
  <c r="BN112" i="5" a="1"/>
  <c r="BN112" i="5" s="1"/>
  <c r="BB112" i="5" a="1"/>
  <c r="BB112" i="5" s="1"/>
  <c r="BM112" i="5" a="1"/>
  <c r="BM112" i="5" s="1"/>
  <c r="BK112" i="5" a="1"/>
  <c r="BK112" i="5" s="1"/>
  <c r="V110" i="2"/>
  <c r="CQ106" i="8"/>
  <c r="CU106" i="8" s="1"/>
  <c r="F115" i="8"/>
  <c r="BP111" i="5" a="1"/>
  <c r="BP111" i="5" s="1"/>
  <c r="J111" i="2" s="1"/>
  <c r="O116" i="1"/>
  <c r="CD106" i="8"/>
  <c r="BX107" i="8"/>
  <c r="CD107" i="8" s="1"/>
  <c r="BT107" i="8"/>
  <c r="BO107" i="8"/>
  <c r="BP107" i="8"/>
  <c r="BM107" i="8"/>
  <c r="BN107" i="8"/>
  <c r="BK107" i="8"/>
  <c r="BL107" i="8"/>
  <c r="BJ107" i="8"/>
  <c r="AC107" i="10"/>
  <c r="X107" i="10" s="1"/>
  <c r="AR107" i="5"/>
  <c r="AS111" i="5"/>
  <c r="AK111" i="11"/>
  <c r="CK108" i="8"/>
  <c r="AJ111" i="1"/>
  <c r="AM111" i="1"/>
  <c r="DE110" i="5"/>
  <c r="DB110" i="5"/>
  <c r="DF110" i="5"/>
  <c r="AM112" i="14" a="1"/>
  <c r="AM112" i="14" s="1"/>
  <c r="AL112" i="14" a="1"/>
  <c r="AL112" i="14" s="1"/>
  <c r="BA112" i="14" a="1"/>
  <c r="BA112" i="14" s="1"/>
  <c r="BQ112" i="14" a="1"/>
  <c r="BQ112" i="14" s="1"/>
  <c r="BY112" i="14" a="1"/>
  <c r="BY112" i="14" s="1"/>
  <c r="BF112" i="14" a="1"/>
  <c r="BF112" i="14" s="1"/>
  <c r="BN112" i="14" a="1"/>
  <c r="BN112" i="14" s="1"/>
  <c r="AW112" i="14" a="1"/>
  <c r="AW112" i="14" s="1"/>
  <c r="AX112" i="14" a="1"/>
  <c r="AX112" i="14" s="1"/>
  <c r="AD112" i="14" a="1"/>
  <c r="AD112" i="14" s="1"/>
  <c r="AK112" i="14" a="1"/>
  <c r="AK112" i="14" s="1"/>
  <c r="P112" i="14" a="1"/>
  <c r="P112" i="14" s="1"/>
  <c r="BE112" i="14" a="1"/>
  <c r="BE112" i="14" s="1"/>
  <c r="AU112" i="14" a="1"/>
  <c r="AU112" i="14" s="1"/>
  <c r="AT112" i="14" a="1"/>
  <c r="AT112" i="14" s="1"/>
  <c r="AS112" i="14" a="1"/>
  <c r="AS112" i="14" s="1"/>
  <c r="BW112" i="14" a="1"/>
  <c r="BW112" i="14" s="1"/>
  <c r="BX112" i="14" a="1"/>
  <c r="BX112" i="14" s="1"/>
  <c r="BV112" i="14" a="1"/>
  <c r="BV112" i="14" s="1"/>
  <c r="AP112" i="14" a="1"/>
  <c r="AP112" i="14" s="1"/>
  <c r="Q112" i="14" a="1"/>
  <c r="Q112" i="14" s="1"/>
  <c r="O112" i="14" a="1"/>
  <c r="O112" i="14" s="1"/>
  <c r="BD112" i="14" a="1"/>
  <c r="BD112" i="14" s="1"/>
  <c r="AB112" i="14" a="1"/>
  <c r="AB112" i="14" s="1"/>
  <c r="AY112" i="14" a="1"/>
  <c r="AY112" i="14" s="1"/>
  <c r="AF112" i="14" a="1"/>
  <c r="AF112" i="14" s="1"/>
  <c r="X112" i="14" a="1"/>
  <c r="X112" i="14" s="1"/>
  <c r="BI112" i="14" a="1"/>
  <c r="BI112" i="14" s="1"/>
  <c r="T112" i="14" a="1"/>
  <c r="T112" i="14" s="1"/>
  <c r="Z112" i="14" a="1"/>
  <c r="Z112" i="14" s="1"/>
  <c r="BM112" i="14" a="1"/>
  <c r="BM112" i="14" s="1"/>
  <c r="BR112" i="14" a="1"/>
  <c r="BR112" i="14" s="1"/>
  <c r="AC112" i="14" a="1"/>
  <c r="AC112" i="14" s="1"/>
  <c r="AE112" i="14" a="1"/>
  <c r="AE112" i="14" s="1"/>
  <c r="BU112" i="14" a="1"/>
  <c r="BU112" i="14" s="1"/>
  <c r="BL112" i="14" a="1"/>
  <c r="BL112" i="14" s="1"/>
  <c r="BS112" i="14" a="1"/>
  <c r="BS112" i="14" s="1"/>
  <c r="BB112" i="14" a="1"/>
  <c r="BB112" i="14" s="1"/>
  <c r="U112" i="14" a="1"/>
  <c r="U112" i="14" s="1"/>
  <c r="AN112" i="14" a="1"/>
  <c r="AN112" i="14" s="1"/>
  <c r="AA112" i="14" a="1"/>
  <c r="AA112" i="14" s="1"/>
  <c r="R112" i="14" a="1"/>
  <c r="R112" i="14" s="1"/>
  <c r="AL112" i="1" s="1"/>
  <c r="AV112" i="14" a="1"/>
  <c r="AV112" i="14" s="1"/>
  <c r="V112" i="14" a="1"/>
  <c r="V112" i="14" s="1"/>
  <c r="AZ112" i="14" a="1"/>
  <c r="AZ112" i="14" s="1"/>
  <c r="AJ112" i="14" a="1"/>
  <c r="AJ112" i="14" s="1"/>
  <c r="AI112" i="14" a="1"/>
  <c r="AI112" i="14" s="1"/>
  <c r="AH112" i="14" a="1"/>
  <c r="AH112" i="14" s="1"/>
  <c r="BT112" i="14" a="1"/>
  <c r="BT112" i="14" s="1"/>
  <c r="BJ112" i="14" a="1"/>
  <c r="BJ112" i="14" s="1"/>
  <c r="BH112" i="14" a="1"/>
  <c r="BH112" i="14" s="1"/>
  <c r="AQ112" i="14" a="1"/>
  <c r="AQ112" i="14" s="1"/>
  <c r="S112" i="14" a="1"/>
  <c r="S112" i="14" s="1"/>
  <c r="BK112" i="14" a="1"/>
  <c r="BK112" i="14" s="1"/>
  <c r="BC112" i="14" a="1"/>
  <c r="BC112" i="14" s="1"/>
  <c r="AR112" i="14" a="1"/>
  <c r="AR112" i="14" s="1"/>
  <c r="BZ112" i="14" a="1"/>
  <c r="BZ112" i="14" s="1"/>
  <c r="BO112" i="14" a="1"/>
  <c r="BO112" i="14" s="1"/>
  <c r="AO112" i="14" a="1"/>
  <c r="AO112" i="14" s="1"/>
  <c r="M112" i="14" a="1"/>
  <c r="M112" i="14" s="1"/>
  <c r="W112" i="14" a="1"/>
  <c r="W112" i="14" s="1"/>
  <c r="N112" i="14" a="1"/>
  <c r="N112" i="14" s="1"/>
  <c r="BP112" i="14" a="1"/>
  <c r="BP112" i="14" s="1"/>
  <c r="BG112" i="14" a="1"/>
  <c r="BG112" i="14" s="1"/>
  <c r="Y112" i="14" a="1"/>
  <c r="Y112" i="14" s="1"/>
  <c r="AG112" i="14" a="1"/>
  <c r="AG112" i="14" s="1"/>
  <c r="DH110" i="5"/>
  <c r="AH111" i="11"/>
  <c r="K113" i="11"/>
  <c r="A113" i="14"/>
  <c r="CA113" i="14" s="1"/>
  <c r="A113" i="8"/>
  <c r="A113" i="2"/>
  <c r="A113" i="9"/>
  <c r="A113" i="7"/>
  <c r="R113" i="7" s="1"/>
  <c r="A113" i="5"/>
  <c r="AF109" i="1"/>
  <c r="W109" i="1"/>
  <c r="Y109" i="1"/>
  <c r="DJ110" i="5"/>
  <c r="AU112" i="8"/>
  <c r="AE112" i="8"/>
  <c r="CB107" i="8"/>
  <c r="CT107" i="8" s="1"/>
  <c r="BY107" i="8"/>
  <c r="CA107" i="8"/>
  <c r="BZ107" i="8"/>
  <c r="CH107" i="8"/>
  <c r="CZ107" i="8" s="1"/>
  <c r="DB106" i="8"/>
  <c r="CR106" i="8"/>
  <c r="AQ106" i="5"/>
  <c r="Z106" i="11"/>
  <c r="Q107" i="7"/>
  <c r="BT108" i="5"/>
  <c r="B108" i="7"/>
  <c r="AE108" i="7" s="1"/>
  <c r="AF108" i="7" s="1"/>
  <c r="A108" i="10"/>
  <c r="AA108" i="10" s="1"/>
  <c r="CI107" i="8"/>
  <c r="DA107" i="8" s="1"/>
  <c r="D108" i="9"/>
  <c r="A108" i="11"/>
  <c r="N108" i="11" s="1"/>
  <c r="AA106" i="11"/>
  <c r="AK106" i="1" s="1"/>
  <c r="AB106" i="11"/>
  <c r="Q106" i="8" s="1"/>
  <c r="AC106" i="11"/>
  <c r="U106" i="8" s="1"/>
  <c r="Y106" i="11"/>
  <c r="AH106" i="1" s="1"/>
  <c r="B107" i="14"/>
  <c r="N107" i="11"/>
  <c r="DH108" i="8"/>
  <c r="DI108" i="8" s="1"/>
  <c r="B108" i="9"/>
  <c r="Y108" i="9" s="1"/>
  <c r="N107" i="7"/>
  <c r="E108" i="1"/>
  <c r="X108" i="8"/>
  <c r="DD108" i="8" s="1"/>
  <c r="BI108" i="8"/>
  <c r="AI108" i="5"/>
  <c r="BW108" i="8"/>
  <c r="BH108" i="8"/>
  <c r="BU108" i="8" s="1"/>
  <c r="AJ108" i="5"/>
  <c r="AP108" i="5" s="1"/>
  <c r="AC108" i="8"/>
  <c r="BQ108" i="8" s="1"/>
  <c r="BY112" i="11"/>
  <c r="AA111" i="7"/>
  <c r="AF111" i="8" s="1"/>
  <c r="AV111" i="8" s="1"/>
  <c r="K111" i="10"/>
  <c r="L111" i="11"/>
  <c r="B110" i="1"/>
  <c r="BG110" i="1" s="1"/>
  <c r="B110" i="2"/>
  <c r="AH110" i="5"/>
  <c r="BU110" i="5"/>
  <c r="B110" i="5"/>
  <c r="L111" i="5"/>
  <c r="G110" i="10"/>
  <c r="I110" i="7"/>
  <c r="I111" i="5"/>
  <c r="D110" i="10"/>
  <c r="F110" i="7"/>
  <c r="J111" i="5"/>
  <c r="DC111" i="5" s="1"/>
  <c r="E110" i="10"/>
  <c r="G110" i="7"/>
  <c r="G111" i="5"/>
  <c r="D110" i="7"/>
  <c r="B110" i="10"/>
  <c r="K111" i="5"/>
  <c r="F110" i="10"/>
  <c r="H110" i="7"/>
  <c r="DD110" i="5"/>
  <c r="M111" i="5"/>
  <c r="H110" i="10"/>
  <c r="J110" i="7"/>
  <c r="H111" i="5"/>
  <c r="C110" i="10"/>
  <c r="E110" i="7"/>
  <c r="AH119" i="9"/>
  <c r="CZ110" i="5"/>
  <c r="C109" i="5"/>
  <c r="F109" i="5" s="1"/>
  <c r="AB110" i="1"/>
  <c r="DI110" i="5"/>
  <c r="DA109" i="5"/>
  <c r="DG109" i="5" s="1" a="1"/>
  <c r="DG109" i="5" s="1"/>
  <c r="AG119" i="9"/>
  <c r="AK119" i="9"/>
  <c r="N95" i="1"/>
  <c r="S112" i="2"/>
  <c r="N113" i="2"/>
  <c r="R113" i="2"/>
  <c r="Q112" i="2"/>
  <c r="J114" i="10"/>
  <c r="N114" i="5" s="1"/>
  <c r="P114" i="2"/>
  <c r="AQ135" i="9" l="1"/>
  <c r="CM135" i="8" s="1"/>
  <c r="AO108" i="5"/>
  <c r="AM108" i="5"/>
  <c r="AN108" i="5"/>
  <c r="AV109" i="5"/>
  <c r="AW109" i="5"/>
  <c r="AI107" i="7"/>
  <c r="AG108" i="7"/>
  <c r="CL109" i="8"/>
  <c r="BZ108" i="8"/>
  <c r="AC108" i="1"/>
  <c r="AI131" i="9"/>
  <c r="AO131" i="8" s="1"/>
  <c r="G114" i="8"/>
  <c r="CF113" i="8"/>
  <c r="O113" i="2"/>
  <c r="AM120" i="9"/>
  <c r="BR108" i="8"/>
  <c r="BS108" i="8"/>
  <c r="AD111" i="1"/>
  <c r="BK113" i="5" a="1"/>
  <c r="BK113" i="5" s="1"/>
  <c r="BQ113" i="5" a="1"/>
  <c r="BQ113" i="5" s="1"/>
  <c r="BM113" i="5" a="1"/>
  <c r="BM113" i="5" s="1"/>
  <c r="BI113" i="5" a="1"/>
  <c r="BI113" i="5" s="1"/>
  <c r="BB113" i="5" a="1"/>
  <c r="BB113" i="5" s="1"/>
  <c r="BG113" i="5" a="1"/>
  <c r="BG113" i="5" s="1"/>
  <c r="BN113" i="5" a="1"/>
  <c r="BN113" i="5" s="1"/>
  <c r="BC113" i="5" a="1"/>
  <c r="BC113" i="5" s="1"/>
  <c r="CQ113" i="5"/>
  <c r="CS113" i="5"/>
  <c r="CW113" i="5"/>
  <c r="CR113" i="5"/>
  <c r="CT113" i="5"/>
  <c r="CU113" i="5"/>
  <c r="CV113" i="5"/>
  <c r="AY113" i="5" a="1"/>
  <c r="AY113" i="5" s="1"/>
  <c r="BL113" i="5" a="1"/>
  <c r="BL113" i="5" s="1"/>
  <c r="BA113" i="5" a="1"/>
  <c r="BA113" i="5" s="1"/>
  <c r="BD113" i="5" a="1"/>
  <c r="BD113" i="5" s="1"/>
  <c r="AZ113" i="5" a="1"/>
  <c r="AZ113" i="5" s="1"/>
  <c r="BE113" i="5" a="1"/>
  <c r="BE113" i="5" s="1"/>
  <c r="BF113" i="5" a="1"/>
  <c r="BF113" i="5" s="1"/>
  <c r="AE112" i="1" s="1"/>
  <c r="BH113" i="5" a="1"/>
  <c r="BH113" i="5" s="1"/>
  <c r="BO113" i="5" a="1"/>
  <c r="BO113" i="5" s="1"/>
  <c r="BJ113" i="5" a="1"/>
  <c r="BJ113" i="5" s="1"/>
  <c r="CS106" i="8"/>
  <c r="V111" i="2"/>
  <c r="CX106" i="8"/>
  <c r="CY106" i="8" s="1"/>
  <c r="CQ107" i="8"/>
  <c r="CU107" i="8" s="1"/>
  <c r="F116" i="8"/>
  <c r="BP112" i="5" a="1"/>
  <c r="BP112" i="5" s="1"/>
  <c r="J112" i="2" s="1"/>
  <c r="O117" i="1"/>
  <c r="CE107" i="8"/>
  <c r="CX107" i="8" s="1"/>
  <c r="CY107" i="8" s="1"/>
  <c r="BT108" i="8"/>
  <c r="BO108" i="8"/>
  <c r="BP108" i="8"/>
  <c r="BM108" i="8"/>
  <c r="BN108" i="8"/>
  <c r="BK108" i="8"/>
  <c r="BL108" i="8"/>
  <c r="BJ108" i="8"/>
  <c r="AC108" i="10"/>
  <c r="X108" i="10" s="1"/>
  <c r="AR108" i="5"/>
  <c r="AS112" i="5"/>
  <c r="AH112" i="11"/>
  <c r="AK112" i="11"/>
  <c r="DF111" i="5"/>
  <c r="DB111" i="5"/>
  <c r="AM112" i="1"/>
  <c r="DE111" i="5"/>
  <c r="W110" i="1"/>
  <c r="AU113" i="8"/>
  <c r="AE113" i="8"/>
  <c r="K114" i="11"/>
  <c r="A114" i="14"/>
  <c r="CA114" i="14" s="1"/>
  <c r="A114" i="8"/>
  <c r="A114" i="9"/>
  <c r="A114" i="2"/>
  <c r="A114" i="7"/>
  <c r="R114" i="7" s="1"/>
  <c r="A114" i="5"/>
  <c r="BK113" i="14" a="1"/>
  <c r="BK113" i="14" s="1"/>
  <c r="BR113" i="14" a="1"/>
  <c r="BR113" i="14" s="1"/>
  <c r="BQ113" i="14" a="1"/>
  <c r="BQ113" i="14" s="1"/>
  <c r="BC113" i="14" a="1"/>
  <c r="BC113" i="14" s="1"/>
  <c r="AL113" i="14" a="1"/>
  <c r="AL113" i="14" s="1"/>
  <c r="BA113" i="14" a="1"/>
  <c r="BA113" i="14" s="1"/>
  <c r="AM113" i="14" a="1"/>
  <c r="AM113" i="14" s="1"/>
  <c r="AT113" i="14" a="1"/>
  <c r="AT113" i="14" s="1"/>
  <c r="BW113" i="14" a="1"/>
  <c r="BW113" i="14" s="1"/>
  <c r="BT113" i="14" a="1"/>
  <c r="BT113" i="14" s="1"/>
  <c r="AE113" i="14" a="1"/>
  <c r="AE113" i="14" s="1"/>
  <c r="AD113" i="14" a="1"/>
  <c r="AD113" i="14" s="1"/>
  <c r="AC113" i="14" a="1"/>
  <c r="AC113" i="14" s="1"/>
  <c r="AQ113" i="14" a="1"/>
  <c r="AQ113" i="14" s="1"/>
  <c r="BI113" i="14" a="1"/>
  <c r="BI113" i="14" s="1"/>
  <c r="AR113" i="14" a="1"/>
  <c r="AR113" i="14" s="1"/>
  <c r="P113" i="14" a="1"/>
  <c r="P113" i="14" s="1"/>
  <c r="BG113" i="14" a="1"/>
  <c r="BG113" i="14" s="1"/>
  <c r="Z113" i="14" a="1"/>
  <c r="Z113" i="14" s="1"/>
  <c r="BD113" i="14" a="1"/>
  <c r="BD113" i="14" s="1"/>
  <c r="AV113" i="14" a="1"/>
  <c r="AV113" i="14" s="1"/>
  <c r="N113" i="14" a="1"/>
  <c r="N113" i="14" s="1"/>
  <c r="T113" i="14" a="1"/>
  <c r="T113" i="14" s="1"/>
  <c r="AB113" i="14" a="1"/>
  <c r="AB113" i="14" s="1"/>
  <c r="BV113" i="14" a="1"/>
  <c r="BV113" i="14" s="1"/>
  <c r="BF113" i="14" a="1"/>
  <c r="BF113" i="14" s="1"/>
  <c r="BL113" i="14" a="1"/>
  <c r="BL113" i="14" s="1"/>
  <c r="AU113" i="14" a="1"/>
  <c r="AU113" i="14" s="1"/>
  <c r="AS113" i="14" a="1"/>
  <c r="AS113" i="14" s="1"/>
  <c r="BP113" i="14" a="1"/>
  <c r="BP113" i="14" s="1"/>
  <c r="AN113" i="14" a="1"/>
  <c r="AN113" i="14" s="1"/>
  <c r="AY113" i="14" a="1"/>
  <c r="AY113" i="14" s="1"/>
  <c r="R113" i="14" a="1"/>
  <c r="R113" i="14" s="1"/>
  <c r="AL113" i="1" s="1"/>
  <c r="AX113" i="14" a="1"/>
  <c r="AX113" i="14" s="1"/>
  <c r="BS113" i="14" a="1"/>
  <c r="BS113" i="14" s="1"/>
  <c r="AK113" i="14" a="1"/>
  <c r="AK113" i="14" s="1"/>
  <c r="X113" i="14" a="1"/>
  <c r="X113" i="14" s="1"/>
  <c r="AF113" i="14" a="1"/>
  <c r="AF113" i="14" s="1"/>
  <c r="BN113" i="14" a="1"/>
  <c r="BN113" i="14" s="1"/>
  <c r="BJ113" i="14" a="1"/>
  <c r="BJ113" i="14" s="1"/>
  <c r="BM113" i="14" a="1"/>
  <c r="BM113" i="14" s="1"/>
  <c r="BB113" i="14" a="1"/>
  <c r="BB113" i="14" s="1"/>
  <c r="U113" i="14" a="1"/>
  <c r="U113" i="14" s="1"/>
  <c r="BZ113" i="14" a="1"/>
  <c r="BZ113" i="14" s="1"/>
  <c r="BO113" i="14" a="1"/>
  <c r="BO113" i="14" s="1"/>
  <c r="BE113" i="14" a="1"/>
  <c r="BE113" i="14" s="1"/>
  <c r="BU113" i="14" a="1"/>
  <c r="BU113" i="14" s="1"/>
  <c r="AG113" i="14" a="1"/>
  <c r="AG113" i="14" s="1"/>
  <c r="O113" i="14" a="1"/>
  <c r="O113" i="14" s="1"/>
  <c r="AJ113" i="14" a="1"/>
  <c r="AJ113" i="14" s="1"/>
  <c r="BH113" i="14" a="1"/>
  <c r="BH113" i="14" s="1"/>
  <c r="AI113" i="14" a="1"/>
  <c r="AI113" i="14" s="1"/>
  <c r="AO113" i="14" a="1"/>
  <c r="AO113" i="14" s="1"/>
  <c r="Y113" i="14" a="1"/>
  <c r="Y113" i="14" s="1"/>
  <c r="W113" i="14" a="1"/>
  <c r="W113" i="14" s="1"/>
  <c r="BY113" i="14" a="1"/>
  <c r="BY113" i="14" s="1"/>
  <c r="Q113" i="14" a="1"/>
  <c r="Q113" i="14" s="1"/>
  <c r="AA113" i="14" a="1"/>
  <c r="AA113" i="14" s="1"/>
  <c r="AP113" i="14" a="1"/>
  <c r="AP113" i="14" s="1"/>
  <c r="AW113" i="14" a="1"/>
  <c r="AW113" i="14" s="1"/>
  <c r="V113" i="14" a="1"/>
  <c r="V113" i="14" s="1"/>
  <c r="BX113" i="14" a="1"/>
  <c r="BX113" i="14" s="1"/>
  <c r="AZ113" i="14" a="1"/>
  <c r="AZ113" i="14" s="1"/>
  <c r="S113" i="14" a="1"/>
  <c r="S113" i="14" s="1"/>
  <c r="AH113" i="14" a="1"/>
  <c r="AH113" i="14" s="1"/>
  <c r="M113" i="14" a="1"/>
  <c r="M113" i="14" s="1"/>
  <c r="AF110" i="1"/>
  <c r="AJ112" i="1"/>
  <c r="Y110" i="1"/>
  <c r="DJ111" i="5"/>
  <c r="DH111" i="5"/>
  <c r="CR107" i="8"/>
  <c r="DB107" i="8"/>
  <c r="AQ107" i="5"/>
  <c r="AA107" i="11"/>
  <c r="AK107" i="1" s="1"/>
  <c r="AB107" i="11"/>
  <c r="Q107" i="8" s="1"/>
  <c r="B108" i="14"/>
  <c r="Q108" i="7"/>
  <c r="AC107" i="11"/>
  <c r="U107" i="8" s="1"/>
  <c r="BY108" i="8"/>
  <c r="Y107" i="11"/>
  <c r="AH107" i="1" s="1"/>
  <c r="CI108" i="8"/>
  <c r="DA108" i="8" s="1"/>
  <c r="AD107" i="11"/>
  <c r="AI107" i="1" s="1"/>
  <c r="Z107" i="11"/>
  <c r="CC108" i="8"/>
  <c r="CV108" i="8" s="1"/>
  <c r="CW108" i="8" s="1"/>
  <c r="CH108" i="8"/>
  <c r="CZ108" i="8" s="1"/>
  <c r="CA108" i="8"/>
  <c r="CB108" i="8"/>
  <c r="CT108" i="8" s="1"/>
  <c r="D109" i="9"/>
  <c r="N108" i="7"/>
  <c r="BX108" i="8"/>
  <c r="CD108" i="8" s="1"/>
  <c r="B111" i="2"/>
  <c r="B111" i="1"/>
  <c r="BG111" i="1" s="1"/>
  <c r="AH111" i="5"/>
  <c r="BU111" i="5"/>
  <c r="BY113" i="11"/>
  <c r="K112" i="10"/>
  <c r="AA112" i="7"/>
  <c r="AF112" i="8" s="1"/>
  <c r="AV112" i="8" s="1"/>
  <c r="L112" i="11"/>
  <c r="B111" i="10"/>
  <c r="G112" i="5"/>
  <c r="D111" i="7"/>
  <c r="I112" i="5"/>
  <c r="D111" i="10"/>
  <c r="F111" i="7"/>
  <c r="K112" i="5"/>
  <c r="F111" i="10"/>
  <c r="H111" i="7"/>
  <c r="DD111" i="5"/>
  <c r="B111" i="5"/>
  <c r="M112" i="5"/>
  <c r="H111" i="10"/>
  <c r="J111" i="7"/>
  <c r="H112" i="5"/>
  <c r="C111" i="10"/>
  <c r="E111" i="7"/>
  <c r="L112" i="5"/>
  <c r="G111" i="10"/>
  <c r="I111" i="7"/>
  <c r="J112" i="5"/>
  <c r="DC112" i="5" s="1"/>
  <c r="E111" i="10"/>
  <c r="G111" i="7"/>
  <c r="DH109" i="8"/>
  <c r="DI109" i="8" s="1"/>
  <c r="CK109" i="8"/>
  <c r="BW109" i="8"/>
  <c r="AC109" i="1" s="1"/>
  <c r="BH109" i="8"/>
  <c r="BU109" i="8" s="1"/>
  <c r="BI109" i="8"/>
  <c r="AH120" i="9"/>
  <c r="CZ111" i="5"/>
  <c r="BT109" i="5"/>
  <c r="A109" i="10"/>
  <c r="AA109" i="10" s="1"/>
  <c r="B109" i="7"/>
  <c r="AJ109" i="5"/>
  <c r="AP109" i="5" s="1"/>
  <c r="X109" i="8"/>
  <c r="DD109" i="8" s="1"/>
  <c r="E109" i="1"/>
  <c r="AI109" i="5"/>
  <c r="B109" i="9"/>
  <c r="Y109" i="9" s="1"/>
  <c r="A109" i="11"/>
  <c r="AC109" i="8"/>
  <c r="BQ109" i="8" s="1"/>
  <c r="C110" i="5"/>
  <c r="F110" i="5" s="1"/>
  <c r="DA110" i="5"/>
  <c r="DG110" i="5" s="1" a="1"/>
  <c r="DG110" i="5" s="1"/>
  <c r="AB111" i="1"/>
  <c r="DI111" i="5"/>
  <c r="AG120" i="9"/>
  <c r="AK120" i="9"/>
  <c r="N96" i="1"/>
  <c r="S113" i="2"/>
  <c r="N114" i="2"/>
  <c r="R114" i="2"/>
  <c r="Q113" i="2"/>
  <c r="J115" i="10"/>
  <c r="N115" i="5" s="1"/>
  <c r="P115" i="2"/>
  <c r="AQ136" i="9" l="1"/>
  <c r="CM136" i="8" s="1"/>
  <c r="AO109" i="5"/>
  <c r="AM109" i="5"/>
  <c r="AN109" i="5"/>
  <c r="AR109" i="5" s="1"/>
  <c r="AV110" i="5"/>
  <c r="AW110" i="5"/>
  <c r="AI108" i="7"/>
  <c r="CL110" i="8"/>
  <c r="CR108" i="8"/>
  <c r="AI132" i="9"/>
  <c r="AO132" i="8" s="1"/>
  <c r="G115" i="8"/>
  <c r="CF114" i="8"/>
  <c r="O114" i="2"/>
  <c r="AM121" i="9"/>
  <c r="BR109" i="8"/>
  <c r="BS109" i="8"/>
  <c r="AD112" i="1"/>
  <c r="BJ114" i="5" a="1"/>
  <c r="BJ114" i="5" s="1"/>
  <c r="BO114" i="5" a="1"/>
  <c r="BO114" i="5" s="1"/>
  <c r="BC114" i="5" a="1"/>
  <c r="BC114" i="5" s="1"/>
  <c r="BH114" i="5" a="1"/>
  <c r="BH114" i="5" s="1"/>
  <c r="BN114" i="5" a="1"/>
  <c r="BN114" i="5" s="1"/>
  <c r="BF114" i="5" a="1"/>
  <c r="BF114" i="5" s="1"/>
  <c r="AE113" i="1" s="1"/>
  <c r="BG114" i="5" a="1"/>
  <c r="BG114" i="5" s="1"/>
  <c r="CQ114" i="5"/>
  <c r="CR114" i="5"/>
  <c r="CS114" i="5"/>
  <c r="CU114" i="5"/>
  <c r="CV114" i="5"/>
  <c r="CT114" i="5"/>
  <c r="CW114" i="5"/>
  <c r="AY114" i="5" a="1"/>
  <c r="AY114" i="5" s="1"/>
  <c r="BL114" i="5" a="1"/>
  <c r="BL114" i="5" s="1"/>
  <c r="BE114" i="5" a="1"/>
  <c r="BE114" i="5" s="1"/>
  <c r="BB114" i="5" a="1"/>
  <c r="BB114" i="5" s="1"/>
  <c r="AZ114" i="5" a="1"/>
  <c r="AZ114" i="5" s="1"/>
  <c r="BI114" i="5" a="1"/>
  <c r="BI114" i="5" s="1"/>
  <c r="BD114" i="5" a="1"/>
  <c r="BD114" i="5" s="1"/>
  <c r="BM114" i="5" a="1"/>
  <c r="BM114" i="5" s="1"/>
  <c r="BA114" i="5" a="1"/>
  <c r="BA114" i="5" s="1"/>
  <c r="BQ114" i="5" a="1"/>
  <c r="BQ114" i="5" s="1"/>
  <c r="BK114" i="5" a="1"/>
  <c r="BK114" i="5" s="1"/>
  <c r="V112" i="2"/>
  <c r="CS107" i="8"/>
  <c r="CQ108" i="8"/>
  <c r="CU108" i="8" s="1"/>
  <c r="F117" i="8"/>
  <c r="BP113" i="5" a="1"/>
  <c r="BP113" i="5" s="1"/>
  <c r="J113" i="2" s="1"/>
  <c r="O118" i="1"/>
  <c r="BX109" i="8"/>
  <c r="CD109" i="8" s="1"/>
  <c r="BT109" i="8"/>
  <c r="BO109" i="8"/>
  <c r="BP109" i="8"/>
  <c r="BM109" i="8"/>
  <c r="BN109" i="8"/>
  <c r="BK109" i="8"/>
  <c r="BL109" i="8"/>
  <c r="BJ109" i="8"/>
  <c r="AC109" i="10"/>
  <c r="X109" i="10" s="1"/>
  <c r="AS113" i="5"/>
  <c r="AJ113" i="1"/>
  <c r="AK113" i="11"/>
  <c r="DB112" i="5"/>
  <c r="DE112" i="5"/>
  <c r="DF112" i="5"/>
  <c r="DH112" i="5"/>
  <c r="AH113" i="11"/>
  <c r="AF111" i="1"/>
  <c r="K115" i="11"/>
  <c r="A115" i="14"/>
  <c r="CA115" i="14" s="1"/>
  <c r="A115" i="7"/>
  <c r="R115" i="7" s="1"/>
  <c r="A115" i="9"/>
  <c r="A115" i="2"/>
  <c r="A115" i="5"/>
  <c r="A115" i="8"/>
  <c r="AM113" i="1"/>
  <c r="AU114" i="8"/>
  <c r="AE114" i="8"/>
  <c r="W111" i="1"/>
  <c r="Y111" i="1"/>
  <c r="DJ112" i="5"/>
  <c r="W114" i="14" a="1"/>
  <c r="W114" i="14" s="1"/>
  <c r="BJ114" i="14" a="1"/>
  <c r="BJ114" i="14" s="1"/>
  <c r="BD114" i="14" a="1"/>
  <c r="BD114" i="14" s="1"/>
  <c r="BZ114" i="14" a="1"/>
  <c r="BZ114" i="14" s="1"/>
  <c r="BY114" i="14" a="1"/>
  <c r="BY114" i="14" s="1"/>
  <c r="AF114" i="14" a="1"/>
  <c r="AF114" i="14" s="1"/>
  <c r="Z114" i="14" a="1"/>
  <c r="Z114" i="14" s="1"/>
  <c r="Q114" i="14" a="1"/>
  <c r="Q114" i="14" s="1"/>
  <c r="AC114" i="14" a="1"/>
  <c r="AC114" i="14" s="1"/>
  <c r="AU114" i="14" a="1"/>
  <c r="AU114" i="14" s="1"/>
  <c r="AL114" i="14" a="1"/>
  <c r="AL114" i="14" s="1"/>
  <c r="BA114" i="14" a="1"/>
  <c r="BA114" i="14" s="1"/>
  <c r="AR114" i="14" a="1"/>
  <c r="AR114" i="14" s="1"/>
  <c r="BG114" i="14" a="1"/>
  <c r="BG114" i="14" s="1"/>
  <c r="BK114" i="14" a="1"/>
  <c r="BK114" i="14" s="1"/>
  <c r="BT114" i="14" a="1"/>
  <c r="BT114" i="14" s="1"/>
  <c r="BV114" i="14" a="1"/>
  <c r="BV114" i="14" s="1"/>
  <c r="V114" i="14" a="1"/>
  <c r="V114" i="14" s="1"/>
  <c r="AK114" i="14" a="1"/>
  <c r="AK114" i="14" s="1"/>
  <c r="AB114" i="14" a="1"/>
  <c r="AB114" i="14" s="1"/>
  <c r="BB114" i="14" a="1"/>
  <c r="BB114" i="14" s="1"/>
  <c r="BP114" i="14" a="1"/>
  <c r="BP114" i="14" s="1"/>
  <c r="AV114" i="14" a="1"/>
  <c r="AV114" i="14" s="1"/>
  <c r="AW114" i="14" a="1"/>
  <c r="AW114" i="14" s="1"/>
  <c r="R114" i="14" a="1"/>
  <c r="R114" i="14" s="1"/>
  <c r="AL114" i="1" s="1"/>
  <c r="BS114" i="14" a="1"/>
  <c r="BS114" i="14" s="1"/>
  <c r="AD114" i="14" a="1"/>
  <c r="AD114" i="14" s="1"/>
  <c r="BH114" i="14" a="1"/>
  <c r="BH114" i="14" s="1"/>
  <c r="AY114" i="14" a="1"/>
  <c r="AY114" i="14" s="1"/>
  <c r="BN114" i="14" a="1"/>
  <c r="BN114" i="14" s="1"/>
  <c r="BL114" i="14" a="1"/>
  <c r="BL114" i="14" s="1"/>
  <c r="AM114" i="14" a="1"/>
  <c r="AM114" i="14" s="1"/>
  <c r="N114" i="14" a="1"/>
  <c r="N114" i="14" s="1"/>
  <c r="BX114" i="14" a="1"/>
  <c r="BX114" i="14" s="1"/>
  <c r="T114" i="14" a="1"/>
  <c r="T114" i="14" s="1"/>
  <c r="AA114" i="14" a="1"/>
  <c r="AA114" i="14" s="1"/>
  <c r="BM114" i="14" a="1"/>
  <c r="BM114" i="14" s="1"/>
  <c r="AE114" i="14" a="1"/>
  <c r="AE114" i="14" s="1"/>
  <c r="AS114" i="14" a="1"/>
  <c r="AS114" i="14" s="1"/>
  <c r="AJ114" i="14" a="1"/>
  <c r="AJ114" i="14" s="1"/>
  <c r="AN114" i="14" a="1"/>
  <c r="AN114" i="14" s="1"/>
  <c r="AO114" i="14" a="1"/>
  <c r="AO114" i="14" s="1"/>
  <c r="AG114" i="14" a="1"/>
  <c r="AG114" i="14" s="1"/>
  <c r="O114" i="14" a="1"/>
  <c r="O114" i="14" s="1"/>
  <c r="U114" i="14" a="1"/>
  <c r="U114" i="14" s="1"/>
  <c r="BC114" i="14" a="1"/>
  <c r="BC114" i="14" s="1"/>
  <c r="BO114" i="14" a="1"/>
  <c r="BO114" i="14" s="1"/>
  <c r="AI114" i="14" a="1"/>
  <c r="AI114" i="14" s="1"/>
  <c r="Y114" i="14" a="1"/>
  <c r="Y114" i="14" s="1"/>
  <c r="AT114" i="14" a="1"/>
  <c r="AT114" i="14" s="1"/>
  <c r="BI114" i="14" a="1"/>
  <c r="BI114" i="14" s="1"/>
  <c r="BW114" i="14" a="1"/>
  <c r="BW114" i="14" s="1"/>
  <c r="AX114" i="14" a="1"/>
  <c r="AX114" i="14" s="1"/>
  <c r="BF114" i="14" a="1"/>
  <c r="BF114" i="14" s="1"/>
  <c r="BE114" i="14" a="1"/>
  <c r="BE114" i="14" s="1"/>
  <c r="AZ114" i="14" a="1"/>
  <c r="AZ114" i="14" s="1"/>
  <c r="S114" i="14" a="1"/>
  <c r="S114" i="14" s="1"/>
  <c r="AQ114" i="14" a="1"/>
  <c r="AQ114" i="14" s="1"/>
  <c r="BU114" i="14" a="1"/>
  <c r="BU114" i="14" s="1"/>
  <c r="X114" i="14" a="1"/>
  <c r="X114" i="14" s="1"/>
  <c r="AH114" i="14" a="1"/>
  <c r="AH114" i="14" s="1"/>
  <c r="BR114" i="14" a="1"/>
  <c r="BR114" i="14" s="1"/>
  <c r="AP114" i="14" a="1"/>
  <c r="AP114" i="14" s="1"/>
  <c r="P114" i="14" a="1"/>
  <c r="P114" i="14" s="1"/>
  <c r="M114" i="14" a="1"/>
  <c r="M114" i="14" s="1"/>
  <c r="BQ114" i="14" a="1"/>
  <c r="BQ114" i="14" s="1"/>
  <c r="DB108" i="8"/>
  <c r="AQ108" i="5"/>
  <c r="CE108" i="8"/>
  <c r="CX108" i="8" s="1"/>
  <c r="CY108" i="8" s="1"/>
  <c r="B112" i="2"/>
  <c r="B112" i="1"/>
  <c r="BG112" i="1" s="1"/>
  <c r="AH112" i="5"/>
  <c r="BU112" i="5"/>
  <c r="BY114" i="11"/>
  <c r="K113" i="10"/>
  <c r="AA113" i="7"/>
  <c r="AF113" i="8" s="1"/>
  <c r="AV113" i="8" s="1"/>
  <c r="L113" i="11"/>
  <c r="K113" i="5"/>
  <c r="F112" i="10"/>
  <c r="H112" i="7"/>
  <c r="DD112" i="5"/>
  <c r="J113" i="5"/>
  <c r="DC113" i="5" s="1"/>
  <c r="E112" i="10"/>
  <c r="G112" i="7"/>
  <c r="M113" i="5"/>
  <c r="H112" i="10"/>
  <c r="J112" i="7"/>
  <c r="I113" i="5"/>
  <c r="D112" i="10"/>
  <c r="F112" i="7"/>
  <c r="L113" i="5"/>
  <c r="G112" i="10"/>
  <c r="I112" i="7"/>
  <c r="G113" i="5"/>
  <c r="D112" i="7"/>
  <c r="B112" i="10"/>
  <c r="B112" i="5"/>
  <c r="H113" i="5"/>
  <c r="C112" i="10"/>
  <c r="E112" i="7"/>
  <c r="D110" i="9"/>
  <c r="DH110" i="8"/>
  <c r="DI110" i="8" s="1"/>
  <c r="CK110" i="8"/>
  <c r="BW110" i="8"/>
  <c r="AC110" i="1" s="1"/>
  <c r="N109" i="7"/>
  <c r="BH110" i="8"/>
  <c r="BU110" i="8" s="1"/>
  <c r="BI110" i="8"/>
  <c r="AH121" i="9"/>
  <c r="AC110" i="8"/>
  <c r="BQ110" i="8" s="1"/>
  <c r="BT110" i="5"/>
  <c r="A110" i="10"/>
  <c r="AA110" i="10" s="1"/>
  <c r="B110" i="7"/>
  <c r="X110" i="8"/>
  <c r="DD110" i="8" s="1"/>
  <c r="E110" i="1"/>
  <c r="AJ110" i="5"/>
  <c r="AP110" i="5" s="1"/>
  <c r="AI110" i="5"/>
  <c r="B110" i="9"/>
  <c r="Y110" i="9" s="1"/>
  <c r="A110" i="11"/>
  <c r="CZ112" i="5"/>
  <c r="N109" i="11"/>
  <c r="AC108" i="11"/>
  <c r="U108" i="8" s="1"/>
  <c r="Z108" i="11"/>
  <c r="AB108" i="11"/>
  <c r="Q108" i="8" s="1"/>
  <c r="AD108" i="11"/>
  <c r="AI108" i="1" s="1"/>
  <c r="AA108" i="11"/>
  <c r="AK108" i="1" s="1"/>
  <c r="Y108" i="11"/>
  <c r="AH108" i="1" s="1"/>
  <c r="CI109" i="8"/>
  <c r="DA109" i="8" s="1"/>
  <c r="AE109" i="7"/>
  <c r="AF109" i="7" s="1"/>
  <c r="Q109" i="7"/>
  <c r="C111" i="5"/>
  <c r="F111" i="5" s="1"/>
  <c r="CA109" i="8"/>
  <c r="CC109" i="8"/>
  <c r="CV109" i="8" s="1"/>
  <c r="CW109" i="8" s="1"/>
  <c r="CH109" i="8"/>
  <c r="CZ109" i="8" s="1"/>
  <c r="BY109" i="8"/>
  <c r="CB109" i="8"/>
  <c r="CT109" i="8" s="1"/>
  <c r="BZ109" i="8"/>
  <c r="AB112" i="1"/>
  <c r="DI112" i="5"/>
  <c r="C112" i="5"/>
  <c r="DA111" i="5"/>
  <c r="DG111" i="5" s="1" a="1"/>
  <c r="DG111" i="5" s="1"/>
  <c r="AG121" i="9"/>
  <c r="AK121" i="9"/>
  <c r="N97" i="1"/>
  <c r="S114" i="2"/>
  <c r="N115" i="2"/>
  <c r="R115" i="2"/>
  <c r="Q114" i="2"/>
  <c r="P116" i="2"/>
  <c r="J116" i="10"/>
  <c r="N116" i="5" s="1"/>
  <c r="AO110" i="5" l="1"/>
  <c r="AM110" i="5"/>
  <c r="AN110" i="5"/>
  <c r="AR110" i="5" s="1"/>
  <c r="AV111" i="5"/>
  <c r="AW111" i="5"/>
  <c r="AG109" i="7"/>
  <c r="AI109" i="7" s="1"/>
  <c r="CL111" i="8"/>
  <c r="AI133" i="9"/>
  <c r="AO133" i="8" s="1"/>
  <c r="G116" i="8"/>
  <c r="CF115" i="8"/>
  <c r="O115" i="2"/>
  <c r="AM122" i="9"/>
  <c r="BR110" i="8"/>
  <c r="BS110" i="8"/>
  <c r="AD113" i="1"/>
  <c r="BK115" i="5" a="1"/>
  <c r="BK115" i="5" s="1"/>
  <c r="BQ115" i="5" a="1"/>
  <c r="BQ115" i="5" s="1"/>
  <c r="BA115" i="5" a="1"/>
  <c r="BA115" i="5" s="1"/>
  <c r="BG115" i="5" a="1"/>
  <c r="BG115" i="5" s="1"/>
  <c r="BM115" i="5" a="1"/>
  <c r="BM115" i="5" s="1"/>
  <c r="BF115" i="5" a="1"/>
  <c r="BF115" i="5" s="1"/>
  <c r="AE114" i="1" s="1"/>
  <c r="BD115" i="5" a="1"/>
  <c r="BD115" i="5" s="1"/>
  <c r="BN115" i="5" a="1"/>
  <c r="BN115" i="5" s="1"/>
  <c r="BI115" i="5" a="1"/>
  <c r="BI115" i="5" s="1"/>
  <c r="BH115" i="5" a="1"/>
  <c r="BH115" i="5" s="1"/>
  <c r="AZ115" i="5" a="1"/>
  <c r="AZ115" i="5" s="1"/>
  <c r="BC115" i="5" a="1"/>
  <c r="BC115" i="5" s="1"/>
  <c r="CQ115" i="5"/>
  <c r="CT115" i="5"/>
  <c r="CS115" i="5"/>
  <c r="CV115" i="5"/>
  <c r="CW115" i="5"/>
  <c r="CR115" i="5"/>
  <c r="CU115" i="5"/>
  <c r="AY115" i="5" a="1"/>
  <c r="AY115" i="5" s="1"/>
  <c r="BL115" i="5" a="1"/>
  <c r="BL115" i="5" s="1"/>
  <c r="BB115" i="5" a="1"/>
  <c r="BB115" i="5" s="1"/>
  <c r="BO115" i="5" a="1"/>
  <c r="BO115" i="5" s="1"/>
  <c r="BE115" i="5" a="1"/>
  <c r="BE115" i="5" s="1"/>
  <c r="BJ115" i="5" a="1"/>
  <c r="BJ115" i="5" s="1"/>
  <c r="V113" i="2"/>
  <c r="CS108" i="8"/>
  <c r="F118" i="8"/>
  <c r="BP114" i="5" a="1"/>
  <c r="BP114" i="5" s="1"/>
  <c r="J114" i="2" s="1"/>
  <c r="O119" i="1"/>
  <c r="CE109" i="8"/>
  <c r="CX109" i="8" s="1"/>
  <c r="CY109" i="8" s="1"/>
  <c r="BT110" i="8"/>
  <c r="BO110" i="8"/>
  <c r="BP110" i="8"/>
  <c r="BM110" i="8"/>
  <c r="BN110" i="8"/>
  <c r="BK110" i="8"/>
  <c r="BL110" i="8"/>
  <c r="BJ110" i="8"/>
  <c r="AC110" i="10"/>
  <c r="X110" i="10" s="1"/>
  <c r="AS114" i="5"/>
  <c r="AK114" i="11"/>
  <c r="DE113" i="5"/>
  <c r="AH114" i="11"/>
  <c r="DB113" i="5"/>
  <c r="Y112" i="1"/>
  <c r="DJ113" i="5"/>
  <c r="K116" i="11"/>
  <c r="A116" i="14"/>
  <c r="CA116" i="14" s="1"/>
  <c r="A116" i="7"/>
  <c r="R116" i="7" s="1"/>
  <c r="A116" i="5"/>
  <c r="A116" i="9"/>
  <c r="A116" i="2"/>
  <c r="A116" i="8"/>
  <c r="AJ114" i="1"/>
  <c r="W112" i="1"/>
  <c r="BS115" i="14" a="1"/>
  <c r="BS115" i="14" s="1"/>
  <c r="BR115" i="14" a="1"/>
  <c r="BR115" i="14" s="1"/>
  <c r="AL115" i="14" a="1"/>
  <c r="AL115" i="14" s="1"/>
  <c r="BZ115" i="14" a="1"/>
  <c r="BZ115" i="14" s="1"/>
  <c r="AJ115" i="14" a="1"/>
  <c r="AJ115" i="14" s="1"/>
  <c r="BG115" i="14" a="1"/>
  <c r="BG115" i="14" s="1"/>
  <c r="AX115" i="14" a="1"/>
  <c r="AX115" i="14" s="1"/>
  <c r="V115" i="14" a="1"/>
  <c r="V115" i="14" s="1"/>
  <c r="AM115" i="14" a="1"/>
  <c r="AM115" i="14" s="1"/>
  <c r="BJ115" i="14" a="1"/>
  <c r="BJ115" i="14" s="1"/>
  <c r="BI115" i="14" a="1"/>
  <c r="BI115" i="14" s="1"/>
  <c r="BX115" i="14" a="1"/>
  <c r="BX115" i="14" s="1"/>
  <c r="T115" i="14" a="1"/>
  <c r="T115" i="14" s="1"/>
  <c r="S115" i="14" a="1"/>
  <c r="S115" i="14" s="1"/>
  <c r="AB115" i="14" a="1"/>
  <c r="AB115" i="14" s="1"/>
  <c r="BL115" i="14" a="1"/>
  <c r="BL115" i="14" s="1"/>
  <c r="BC115" i="14" a="1"/>
  <c r="BC115" i="14" s="1"/>
  <c r="N115" i="14" a="1"/>
  <c r="N115" i="14" s="1"/>
  <c r="U115" i="14" a="1"/>
  <c r="U115" i="14" s="1"/>
  <c r="BB115" i="14" a="1"/>
  <c r="BB115" i="14" s="1"/>
  <c r="AN115" i="14" a="1"/>
  <c r="AN115" i="14" s="1"/>
  <c r="AH115" i="14" a="1"/>
  <c r="AH115" i="14" s="1"/>
  <c r="BM115" i="14" a="1"/>
  <c r="BM115" i="14" s="1"/>
  <c r="Q115" i="14" a="1"/>
  <c r="Q115" i="14" s="1"/>
  <c r="BT115" i="14" a="1"/>
  <c r="BT115" i="14" s="1"/>
  <c r="X115" i="14" a="1"/>
  <c r="X115" i="14" s="1"/>
  <c r="BD115" i="14" a="1"/>
  <c r="BD115" i="14" s="1"/>
  <c r="P115" i="14" a="1"/>
  <c r="P115" i="14" s="1"/>
  <c r="BW115" i="14" a="1"/>
  <c r="BW115" i="14" s="1"/>
  <c r="AY115" i="14" a="1"/>
  <c r="AY115" i="14" s="1"/>
  <c r="BF115" i="14" a="1"/>
  <c r="BF115" i="14" s="1"/>
  <c r="AP115" i="14" a="1"/>
  <c r="AP115" i="14" s="1"/>
  <c r="AG115" i="14" a="1"/>
  <c r="AG115" i="14" s="1"/>
  <c r="W115" i="14" a="1"/>
  <c r="W115" i="14" s="1"/>
  <c r="BP115" i="14" a="1"/>
  <c r="BP115" i="14" s="1"/>
  <c r="AI115" i="14" a="1"/>
  <c r="AI115" i="14" s="1"/>
  <c r="BU115" i="14" a="1"/>
  <c r="BU115" i="14" s="1"/>
  <c r="AD115" i="14" a="1"/>
  <c r="AD115" i="14" s="1"/>
  <c r="AZ115" i="14" a="1"/>
  <c r="AZ115" i="14" s="1"/>
  <c r="Z115" i="14" a="1"/>
  <c r="Z115" i="14" s="1"/>
  <c r="AW115" i="14" a="1"/>
  <c r="AW115" i="14" s="1"/>
  <c r="AV115" i="14" a="1"/>
  <c r="AV115" i="14" s="1"/>
  <c r="BQ115" i="14" a="1"/>
  <c r="BQ115" i="14" s="1"/>
  <c r="AK115" i="14" a="1"/>
  <c r="AK115" i="14" s="1"/>
  <c r="R115" i="14" a="1"/>
  <c r="R115" i="14" s="1"/>
  <c r="AL115" i="1" s="1"/>
  <c r="Y115" i="14" a="1"/>
  <c r="Y115" i="14" s="1"/>
  <c r="O115" i="14" a="1"/>
  <c r="O115" i="14" s="1"/>
  <c r="BA115" i="14" a="1"/>
  <c r="BA115" i="14" s="1"/>
  <c r="AO115" i="14" a="1"/>
  <c r="AO115" i="14" s="1"/>
  <c r="AF115" i="14" a="1"/>
  <c r="AF115" i="14" s="1"/>
  <c r="BK115" i="14" a="1"/>
  <c r="BK115" i="14" s="1"/>
  <c r="AC115" i="14" a="1"/>
  <c r="AC115" i="14" s="1"/>
  <c r="AR115" i="14" a="1"/>
  <c r="AR115" i="14" s="1"/>
  <c r="BN115" i="14" a="1"/>
  <c r="BN115" i="14" s="1"/>
  <c r="AE115" i="14" a="1"/>
  <c r="AE115" i="14" s="1"/>
  <c r="AS115" i="14" a="1"/>
  <c r="AS115" i="14" s="1"/>
  <c r="BV115" i="14" a="1"/>
  <c r="BV115" i="14" s="1"/>
  <c r="AA115" i="14" a="1"/>
  <c r="AA115" i="14" s="1"/>
  <c r="AQ115" i="14" a="1"/>
  <c r="AQ115" i="14" s="1"/>
  <c r="BO115" i="14" a="1"/>
  <c r="BO115" i="14" s="1"/>
  <c r="BE115" i="14" a="1"/>
  <c r="BE115" i="14" s="1"/>
  <c r="M115" i="14" a="1"/>
  <c r="M115" i="14" s="1"/>
  <c r="BH115" i="14" a="1"/>
  <c r="BH115" i="14" s="1"/>
  <c r="AT115" i="14" a="1"/>
  <c r="AT115" i="14" s="1"/>
  <c r="BY115" i="14" a="1"/>
  <c r="BY115" i="14" s="1"/>
  <c r="AU115" i="14" a="1"/>
  <c r="AU115" i="14" s="1"/>
  <c r="AF112" i="1"/>
  <c r="AM114" i="1"/>
  <c r="DH113" i="5"/>
  <c r="AE115" i="8"/>
  <c r="AU115" i="8"/>
  <c r="B113" i="5"/>
  <c r="DF113" i="5"/>
  <c r="BY115" i="11"/>
  <c r="K114" i="10"/>
  <c r="AA114" i="7"/>
  <c r="AF114" i="8" s="1"/>
  <c r="AV114" i="8" s="1"/>
  <c r="L114" i="11"/>
  <c r="B113" i="2"/>
  <c r="B113" i="1"/>
  <c r="BG113" i="1" s="1"/>
  <c r="AH113" i="5"/>
  <c r="BU113" i="5"/>
  <c r="F112" i="5"/>
  <c r="H114" i="5"/>
  <c r="C113" i="10"/>
  <c r="E113" i="7"/>
  <c r="L114" i="5"/>
  <c r="G113" i="10"/>
  <c r="I113" i="7"/>
  <c r="J114" i="5"/>
  <c r="E113" i="10"/>
  <c r="G113" i="7"/>
  <c r="I114" i="5"/>
  <c r="D113" i="10"/>
  <c r="F113" i="7"/>
  <c r="D113" i="7"/>
  <c r="G114" i="5"/>
  <c r="B113" i="10"/>
  <c r="M114" i="5"/>
  <c r="H113" i="10"/>
  <c r="J113" i="7"/>
  <c r="K114" i="5"/>
  <c r="F113" i="10"/>
  <c r="H113" i="7"/>
  <c r="DD113" i="5"/>
  <c r="CQ109" i="8"/>
  <c r="CU109" i="8" s="1"/>
  <c r="D111" i="9"/>
  <c r="DH111" i="8"/>
  <c r="DI111" i="8" s="1"/>
  <c r="CK111" i="8"/>
  <c r="BW111" i="8"/>
  <c r="AC111" i="1" s="1"/>
  <c r="BX110" i="8"/>
  <c r="CE110" i="8" s="1"/>
  <c r="N110" i="7"/>
  <c r="BH111" i="8"/>
  <c r="BU111" i="8" s="1"/>
  <c r="BI111" i="8"/>
  <c r="AH122" i="9"/>
  <c r="AQ109" i="5"/>
  <c r="CR109" i="8"/>
  <c r="DB109" i="8"/>
  <c r="AB109" i="11"/>
  <c r="Q109" i="8" s="1"/>
  <c r="Y109" i="11"/>
  <c r="AH109" i="1" s="1"/>
  <c r="N110" i="11"/>
  <c r="AA109" i="11"/>
  <c r="AK109" i="1" s="1"/>
  <c r="AD109" i="11"/>
  <c r="AI109" i="1" s="1"/>
  <c r="Z109" i="11"/>
  <c r="AC109" i="11"/>
  <c r="U109" i="8" s="1"/>
  <c r="B109" i="14"/>
  <c r="CI110" i="8"/>
  <c r="DA110" i="8" s="1"/>
  <c r="Q110" i="7"/>
  <c r="AE110" i="7"/>
  <c r="AF110" i="7" s="1"/>
  <c r="CZ113" i="5"/>
  <c r="AJ111" i="5"/>
  <c r="AP111" i="5" s="1"/>
  <c r="X111" i="8"/>
  <c r="DD111" i="8" s="1"/>
  <c r="E111" i="1"/>
  <c r="B111" i="9"/>
  <c r="Y111" i="9" s="1"/>
  <c r="AI111" i="5"/>
  <c r="A111" i="11"/>
  <c r="AC111" i="8"/>
  <c r="BQ111" i="8" s="1"/>
  <c r="BT111" i="5"/>
  <c r="A111" i="10"/>
  <c r="AA111" i="10" s="1"/>
  <c r="B111" i="7"/>
  <c r="CC110" i="8"/>
  <c r="CV110" i="8" s="1"/>
  <c r="CW110" i="8" s="1"/>
  <c r="CA110" i="8"/>
  <c r="CB110" i="8"/>
  <c r="CT110" i="8" s="1"/>
  <c r="CH110" i="8"/>
  <c r="CZ110" i="8" s="1"/>
  <c r="BY110" i="8"/>
  <c r="BZ110" i="8"/>
  <c r="DA112" i="5"/>
  <c r="DG112" i="5" s="1" a="1"/>
  <c r="DG112" i="5" s="1"/>
  <c r="AB113" i="1"/>
  <c r="DI113" i="5"/>
  <c r="AG122" i="9"/>
  <c r="AK122" i="9"/>
  <c r="N98" i="1"/>
  <c r="S115" i="2"/>
  <c r="N116" i="2"/>
  <c r="R116" i="2"/>
  <c r="Q115" i="2"/>
  <c r="P117" i="2"/>
  <c r="J117" i="10"/>
  <c r="N117" i="5" s="1"/>
  <c r="AO111" i="5" l="1"/>
  <c r="AM111" i="5"/>
  <c r="AN111" i="5"/>
  <c r="AR111" i="5" s="1"/>
  <c r="AV112" i="5"/>
  <c r="AW112" i="5"/>
  <c r="AG110" i="7"/>
  <c r="AI110" i="7" s="1"/>
  <c r="CL112" i="8"/>
  <c r="AI134" i="9"/>
  <c r="AO134" i="8" s="1"/>
  <c r="G117" i="8"/>
  <c r="CF116" i="8"/>
  <c r="O116" i="2"/>
  <c r="BF116" i="5" a="1"/>
  <c r="BF116" i="5" s="1"/>
  <c r="AE115" i="1" s="1"/>
  <c r="AM123" i="9"/>
  <c r="BR111" i="8"/>
  <c r="BS111" i="8"/>
  <c r="AD114" i="1"/>
  <c r="CS116" i="5"/>
  <c r="CT116" i="5"/>
  <c r="CR116" i="5"/>
  <c r="CQ116" i="5"/>
  <c r="CU116" i="5"/>
  <c r="CW116" i="5"/>
  <c r="CV116" i="5"/>
  <c r="AY116" i="5" a="1"/>
  <c r="AY116" i="5" s="1"/>
  <c r="BL116" i="5" a="1"/>
  <c r="BL116" i="5" s="1"/>
  <c r="BC116" i="5" a="1"/>
  <c r="BC116" i="5" s="1"/>
  <c r="AZ116" i="5" a="1"/>
  <c r="AZ116" i="5" s="1"/>
  <c r="BJ116" i="5" a="1"/>
  <c r="BJ116" i="5" s="1"/>
  <c r="BH116" i="5" a="1"/>
  <c r="BH116" i="5" s="1"/>
  <c r="BE116" i="5" a="1"/>
  <c r="BE116" i="5" s="1"/>
  <c r="BI116" i="5" a="1"/>
  <c r="BI116" i="5" s="1"/>
  <c r="BO116" i="5" a="1"/>
  <c r="BO116" i="5" s="1"/>
  <c r="BN116" i="5" a="1"/>
  <c r="BN116" i="5" s="1"/>
  <c r="BB116" i="5" a="1"/>
  <c r="BB116" i="5" s="1"/>
  <c r="BD116" i="5" a="1"/>
  <c r="BD116" i="5" s="1"/>
  <c r="BM116" i="5" a="1"/>
  <c r="BM116" i="5" s="1"/>
  <c r="BG116" i="5" a="1"/>
  <c r="BG116" i="5" s="1"/>
  <c r="BA116" i="5" a="1"/>
  <c r="BA116" i="5" s="1"/>
  <c r="BQ116" i="5" a="1"/>
  <c r="BQ116" i="5" s="1"/>
  <c r="BK116" i="5" a="1"/>
  <c r="BK116" i="5" s="1"/>
  <c r="V114" i="2"/>
  <c r="F119" i="8"/>
  <c r="BP115" i="5" a="1"/>
  <c r="BP115" i="5" s="1"/>
  <c r="J115" i="2" s="1"/>
  <c r="O120" i="1"/>
  <c r="BX111" i="8"/>
  <c r="CD111" i="8" s="1"/>
  <c r="BT111" i="8"/>
  <c r="BO111" i="8"/>
  <c r="BP111" i="8"/>
  <c r="BM111" i="8"/>
  <c r="BN111" i="8"/>
  <c r="BK111" i="8"/>
  <c r="BL111" i="8"/>
  <c r="BJ111" i="8"/>
  <c r="AC111" i="10"/>
  <c r="X111" i="10" s="1"/>
  <c r="AS115" i="5"/>
  <c r="AK115" i="11"/>
  <c r="BW112" i="8"/>
  <c r="DE114" i="5"/>
  <c r="DB114" i="5"/>
  <c r="AJ115" i="1"/>
  <c r="DF114" i="5"/>
  <c r="AR116" i="14" a="1"/>
  <c r="AR116" i="14" s="1"/>
  <c r="BJ116" i="14" a="1"/>
  <c r="BJ116" i="14" s="1"/>
  <c r="BT116" i="14" a="1"/>
  <c r="BT116" i="14" s="1"/>
  <c r="BA116" i="14" a="1"/>
  <c r="BA116" i="14" s="1"/>
  <c r="T116" i="14" a="1"/>
  <c r="T116" i="14" s="1"/>
  <c r="BO116" i="14" a="1"/>
  <c r="BO116" i="14" s="1"/>
  <c r="AP116" i="14" a="1"/>
  <c r="AP116" i="14" s="1"/>
  <c r="BE116" i="14" a="1"/>
  <c r="BE116" i="14" s="1"/>
  <c r="AJ116" i="14" a="1"/>
  <c r="AJ116" i="14" s="1"/>
  <c r="AT116" i="14" a="1"/>
  <c r="AT116" i="14" s="1"/>
  <c r="W116" i="14" a="1"/>
  <c r="W116" i="14" s="1"/>
  <c r="AK116" i="14" a="1"/>
  <c r="AK116" i="14" s="1"/>
  <c r="AA116" i="14" a="1"/>
  <c r="AA116" i="14" s="1"/>
  <c r="AL116" i="14" a="1"/>
  <c r="AL116" i="14" s="1"/>
  <c r="AD116" i="14" a="1"/>
  <c r="AD116" i="14" s="1"/>
  <c r="BI116" i="14" a="1"/>
  <c r="BI116" i="14" s="1"/>
  <c r="AB116" i="14" a="1"/>
  <c r="AB116" i="14" s="1"/>
  <c r="BD116" i="14" a="1"/>
  <c r="BD116" i="14" s="1"/>
  <c r="U116" i="14" a="1"/>
  <c r="U116" i="14" s="1"/>
  <c r="AX116" i="14" a="1"/>
  <c r="AX116" i="14" s="1"/>
  <c r="BS116" i="14" a="1"/>
  <c r="BS116" i="14" s="1"/>
  <c r="AM116" i="14" a="1"/>
  <c r="AM116" i="14" s="1"/>
  <c r="V116" i="14" a="1"/>
  <c r="V116" i="14" s="1"/>
  <c r="BY116" i="14" a="1"/>
  <c r="BY116" i="14" s="1"/>
  <c r="AS116" i="14" a="1"/>
  <c r="AS116" i="14" s="1"/>
  <c r="BC116" i="14" a="1"/>
  <c r="BC116" i="14" s="1"/>
  <c r="O116" i="14" a="1"/>
  <c r="O116" i="14" s="1"/>
  <c r="BB116" i="14" a="1"/>
  <c r="BB116" i="14" s="1"/>
  <c r="BL116" i="14" a="1"/>
  <c r="BL116" i="14" s="1"/>
  <c r="BW116" i="14" a="1"/>
  <c r="BW116" i="14" s="1"/>
  <c r="R116" i="14" a="1"/>
  <c r="R116" i="14" s="1"/>
  <c r="AL116" i="1" s="1"/>
  <c r="BN116" i="14" a="1"/>
  <c r="BN116" i="14" s="1"/>
  <c r="AU116" i="14" a="1"/>
  <c r="AU116" i="14" s="1"/>
  <c r="BR116" i="14" a="1"/>
  <c r="BR116" i="14" s="1"/>
  <c r="AC116" i="14" a="1"/>
  <c r="AC116" i="14" s="1"/>
  <c r="P116" i="14" a="1"/>
  <c r="P116" i="14" s="1"/>
  <c r="BG116" i="14" a="1"/>
  <c r="BG116" i="14" s="1"/>
  <c r="AZ116" i="14" a="1"/>
  <c r="AZ116" i="14" s="1"/>
  <c r="BF116" i="14" a="1"/>
  <c r="BF116" i="14" s="1"/>
  <c r="Q116" i="14" a="1"/>
  <c r="Q116" i="14" s="1"/>
  <c r="BX116" i="14" a="1"/>
  <c r="BX116" i="14" s="1"/>
  <c r="AE116" i="14" a="1"/>
  <c r="AE116" i="14" s="1"/>
  <c r="X116" i="14" a="1"/>
  <c r="X116" i="14" s="1"/>
  <c r="BQ116" i="14" a="1"/>
  <c r="BQ116" i="14" s="1"/>
  <c r="BH116" i="14" a="1"/>
  <c r="BH116" i="14" s="1"/>
  <c r="AY116" i="14" a="1"/>
  <c r="AY116" i="14" s="1"/>
  <c r="BK116" i="14" a="1"/>
  <c r="BK116" i="14" s="1"/>
  <c r="AO116" i="14" a="1"/>
  <c r="AO116" i="14" s="1"/>
  <c r="M116" i="14" a="1"/>
  <c r="M116" i="14" s="1"/>
  <c r="AN116" i="14" a="1"/>
  <c r="AN116" i="14" s="1"/>
  <c r="N116" i="14" a="1"/>
  <c r="N116" i="14" s="1"/>
  <c r="AV116" i="14" a="1"/>
  <c r="AV116" i="14" s="1"/>
  <c r="BP116" i="14" a="1"/>
  <c r="BP116" i="14" s="1"/>
  <c r="BU116" i="14" a="1"/>
  <c r="BU116" i="14" s="1"/>
  <c r="AW116" i="14" a="1"/>
  <c r="AW116" i="14" s="1"/>
  <c r="AF116" i="14" a="1"/>
  <c r="AF116" i="14" s="1"/>
  <c r="Z116" i="14" a="1"/>
  <c r="Z116" i="14" s="1"/>
  <c r="Y116" i="14" a="1"/>
  <c r="Y116" i="14" s="1"/>
  <c r="BZ116" i="14" a="1"/>
  <c r="BZ116" i="14" s="1"/>
  <c r="AQ116" i="14" a="1"/>
  <c r="AQ116" i="14" s="1"/>
  <c r="AI116" i="14" a="1"/>
  <c r="AI116" i="14" s="1"/>
  <c r="AG116" i="14" a="1"/>
  <c r="AG116" i="14" s="1"/>
  <c r="S116" i="14" a="1"/>
  <c r="S116" i="14" s="1"/>
  <c r="BV116" i="14" a="1"/>
  <c r="BV116" i="14" s="1"/>
  <c r="BM116" i="14" a="1"/>
  <c r="BM116" i="14" s="1"/>
  <c r="AH116" i="14" a="1"/>
  <c r="AH116" i="14" s="1"/>
  <c r="W113" i="1"/>
  <c r="AM115" i="1"/>
  <c r="AH115" i="11"/>
  <c r="AF113" i="1"/>
  <c r="AU116" i="8"/>
  <c r="AE116" i="8"/>
  <c r="DH114" i="5"/>
  <c r="Y113" i="1"/>
  <c r="DJ114" i="5"/>
  <c r="K117" i="11"/>
  <c r="A117" i="14"/>
  <c r="CA117" i="14" s="1"/>
  <c r="A117" i="9"/>
  <c r="A117" i="8"/>
  <c r="A117" i="2"/>
  <c r="A117" i="5"/>
  <c r="A117" i="7"/>
  <c r="R117" i="7" s="1"/>
  <c r="AI112" i="5"/>
  <c r="BT112" i="5"/>
  <c r="BI112" i="8"/>
  <c r="CS109" i="8"/>
  <c r="E112" i="1"/>
  <c r="B112" i="7"/>
  <c r="AE112" i="7" s="1"/>
  <c r="AF112" i="7" s="1"/>
  <c r="X112" i="8"/>
  <c r="DD112" i="8" s="1"/>
  <c r="BH112" i="8"/>
  <c r="BU112" i="8" s="1"/>
  <c r="A112" i="10"/>
  <c r="AA112" i="10" s="1"/>
  <c r="DH112" i="8"/>
  <c r="DI112" i="8" s="1"/>
  <c r="B112" i="9"/>
  <c r="Y112" i="9" s="1"/>
  <c r="AC112" i="8"/>
  <c r="BQ112" i="8" s="1"/>
  <c r="CK112" i="8"/>
  <c r="AJ112" i="5"/>
  <c r="AP112" i="5" s="1"/>
  <c r="A112" i="11"/>
  <c r="N112" i="11" s="1"/>
  <c r="B114" i="2"/>
  <c r="B114" i="1"/>
  <c r="BG114" i="1" s="1"/>
  <c r="BU114" i="5"/>
  <c r="AH114" i="5"/>
  <c r="BY116" i="11"/>
  <c r="K115" i="10"/>
  <c r="AA115" i="7"/>
  <c r="AF115" i="8" s="1"/>
  <c r="AV115" i="8" s="1"/>
  <c r="L115" i="11"/>
  <c r="J115" i="5"/>
  <c r="DC115" i="5" s="1"/>
  <c r="E114" i="10"/>
  <c r="G114" i="7"/>
  <c r="DC114" i="5"/>
  <c r="K115" i="5"/>
  <c r="F114" i="10"/>
  <c r="H114" i="7"/>
  <c r="DD114" i="5"/>
  <c r="L115" i="5"/>
  <c r="G114" i="10"/>
  <c r="I114" i="7"/>
  <c r="G115" i="5"/>
  <c r="D114" i="7"/>
  <c r="B114" i="10"/>
  <c r="B114" i="5"/>
  <c r="M115" i="5"/>
  <c r="H114" i="10"/>
  <c r="J114" i="7"/>
  <c r="I115" i="5"/>
  <c r="D114" i="10"/>
  <c r="F114" i="7"/>
  <c r="H115" i="5"/>
  <c r="C114" i="10"/>
  <c r="E114" i="7"/>
  <c r="CQ110" i="8"/>
  <c r="CU110" i="8" s="1"/>
  <c r="D112" i="9"/>
  <c r="CD110" i="8"/>
  <c r="N111" i="7"/>
  <c r="AH123" i="9"/>
  <c r="CR110" i="8"/>
  <c r="C113" i="5"/>
  <c r="F113" i="5" s="1"/>
  <c r="AQ110" i="5"/>
  <c r="AA110" i="11"/>
  <c r="AK110" i="1" s="1"/>
  <c r="Z110" i="11"/>
  <c r="AC110" i="11"/>
  <c r="U110" i="8" s="1"/>
  <c r="AD110" i="11"/>
  <c r="AI110" i="1" s="1"/>
  <c r="Y110" i="11"/>
  <c r="AH110" i="1" s="1"/>
  <c r="N111" i="11"/>
  <c r="AB110" i="11"/>
  <c r="Q110" i="8" s="1"/>
  <c r="CI111" i="8"/>
  <c r="DA111" i="8" s="1"/>
  <c r="Q111" i="7"/>
  <c r="AE111" i="7"/>
  <c r="AF111" i="7" s="1"/>
  <c r="BY111" i="8"/>
  <c r="BZ111" i="8"/>
  <c r="CH111" i="8"/>
  <c r="CZ111" i="8" s="1"/>
  <c r="CC111" i="8"/>
  <c r="CV111" i="8" s="1"/>
  <c r="CW111" i="8" s="1"/>
  <c r="CA111" i="8"/>
  <c r="CB111" i="8"/>
  <c r="CT111" i="8" s="1"/>
  <c r="CZ114" i="5"/>
  <c r="DB110" i="8"/>
  <c r="B110" i="14"/>
  <c r="AB114" i="1"/>
  <c r="DI114" i="5"/>
  <c r="DA113" i="5"/>
  <c r="DG113" i="5" s="1" a="1"/>
  <c r="DG113" i="5" s="1"/>
  <c r="AG123" i="9"/>
  <c r="AK123" i="9"/>
  <c r="N99" i="1"/>
  <c r="S116" i="2"/>
  <c r="N117" i="2"/>
  <c r="R117" i="2"/>
  <c r="Q116" i="2"/>
  <c r="J118" i="10"/>
  <c r="N118" i="5" s="1"/>
  <c r="P118" i="2"/>
  <c r="AO112" i="5" l="1"/>
  <c r="AM112" i="5"/>
  <c r="AN112" i="5"/>
  <c r="AV113" i="5"/>
  <c r="AW113" i="5"/>
  <c r="AG112" i="7"/>
  <c r="AG111" i="7"/>
  <c r="AI111" i="7" s="1"/>
  <c r="CL113" i="8"/>
  <c r="CB112" i="8"/>
  <c r="CT112" i="8" s="1"/>
  <c r="AC112" i="1"/>
  <c r="AI135" i="9"/>
  <c r="AO135" i="8" s="1"/>
  <c r="BI117" i="5" a="1"/>
  <c r="BI117" i="5" s="1"/>
  <c r="G118" i="8"/>
  <c r="CF117" i="8"/>
  <c r="O117" i="2"/>
  <c r="BB117" i="5" a="1"/>
  <c r="BB117" i="5" s="1"/>
  <c r="BH117" i="5" a="1"/>
  <c r="BH117" i="5" s="1"/>
  <c r="BO117" i="5" a="1"/>
  <c r="BO117" i="5" s="1"/>
  <c r="BJ117" i="5" a="1"/>
  <c r="BJ117" i="5" s="1"/>
  <c r="AM124" i="9"/>
  <c r="BR112" i="8"/>
  <c r="BS112" i="8"/>
  <c r="AD115" i="1"/>
  <c r="BE117" i="5" a="1"/>
  <c r="BE117" i="5" s="1"/>
  <c r="AZ117" i="5" a="1"/>
  <c r="AZ117" i="5" s="1"/>
  <c r="BK117" i="5" a="1"/>
  <c r="BK117" i="5" s="1"/>
  <c r="BC117" i="5" a="1"/>
  <c r="BC117" i="5" s="1"/>
  <c r="BQ117" i="5" a="1"/>
  <c r="BQ117" i="5" s="1"/>
  <c r="CW117" i="5"/>
  <c r="CU117" i="5"/>
  <c r="CT117" i="5"/>
  <c r="CS117" i="5"/>
  <c r="CV117" i="5"/>
  <c r="CR117" i="5"/>
  <c r="CQ117" i="5"/>
  <c r="AY117" i="5" a="1"/>
  <c r="AY117" i="5" s="1"/>
  <c r="BL117" i="5" a="1"/>
  <c r="BL117" i="5" s="1"/>
  <c r="BA117" i="5" a="1"/>
  <c r="BA117" i="5" s="1"/>
  <c r="BG117" i="5" a="1"/>
  <c r="BG117" i="5" s="1"/>
  <c r="BM117" i="5" a="1"/>
  <c r="BM117" i="5" s="1"/>
  <c r="BF117" i="5" a="1"/>
  <c r="BF117" i="5" s="1"/>
  <c r="AE116" i="1" s="1"/>
  <c r="BD117" i="5" a="1"/>
  <c r="BD117" i="5" s="1"/>
  <c r="BN117" i="5" a="1"/>
  <c r="BN117" i="5" s="1"/>
  <c r="V115" i="2"/>
  <c r="CX110" i="8"/>
  <c r="CY110" i="8" s="1"/>
  <c r="F120" i="8"/>
  <c r="BP116" i="5" a="1"/>
  <c r="BP116" i="5" s="1"/>
  <c r="J116" i="2" s="1"/>
  <c r="O121" i="1"/>
  <c r="CE111" i="8"/>
  <c r="CX111" i="8" s="1"/>
  <c r="CY111" i="8" s="1"/>
  <c r="BX112" i="8"/>
  <c r="CE112" i="8" s="1"/>
  <c r="BT112" i="8"/>
  <c r="BO112" i="8"/>
  <c r="BP112" i="8"/>
  <c r="BM112" i="8"/>
  <c r="BN112" i="8"/>
  <c r="BK112" i="8"/>
  <c r="BL112" i="8"/>
  <c r="BJ112" i="8"/>
  <c r="AC112" i="10"/>
  <c r="X112" i="10" s="1"/>
  <c r="AR112" i="5"/>
  <c r="AS116" i="5"/>
  <c r="CC112" i="8"/>
  <c r="CV112" i="8" s="1"/>
  <c r="CW112" i="8" s="1"/>
  <c r="CH112" i="8"/>
  <c r="CZ112" i="8" s="1"/>
  <c r="BZ112" i="8"/>
  <c r="BY112" i="8"/>
  <c r="CA112" i="8"/>
  <c r="AK116" i="11"/>
  <c r="AH116" i="11"/>
  <c r="AM116" i="1"/>
  <c r="DF115" i="5"/>
  <c r="AJ116" i="1"/>
  <c r="DB115" i="5"/>
  <c r="DE115" i="5"/>
  <c r="BW117" i="14" a="1"/>
  <c r="BW117" i="14" s="1"/>
  <c r="AD117" i="14" a="1"/>
  <c r="AD117" i="14" s="1"/>
  <c r="BQ117" i="14" a="1"/>
  <c r="BQ117" i="14" s="1"/>
  <c r="AE117" i="14" a="1"/>
  <c r="AE117" i="14" s="1"/>
  <c r="BX117" i="14" a="1"/>
  <c r="BX117" i="14" s="1"/>
  <c r="BN117" i="14" a="1"/>
  <c r="BN117" i="14" s="1"/>
  <c r="Z117" i="14" a="1"/>
  <c r="Z117" i="14" s="1"/>
  <c r="Q117" i="14" a="1"/>
  <c r="Q117" i="14" s="1"/>
  <c r="BM117" i="14" a="1"/>
  <c r="BM117" i="14" s="1"/>
  <c r="AQ117" i="14" a="1"/>
  <c r="AQ117" i="14" s="1"/>
  <c r="BB117" i="14" a="1"/>
  <c r="BB117" i="14" s="1"/>
  <c r="BA117" i="14" a="1"/>
  <c r="BA117" i="14" s="1"/>
  <c r="AZ117" i="14" a="1"/>
  <c r="AZ117" i="14" s="1"/>
  <c r="AC117" i="14" a="1"/>
  <c r="AC117" i="14" s="1"/>
  <c r="T117" i="14" a="1"/>
  <c r="T117" i="14" s="1"/>
  <c r="R117" i="14" a="1"/>
  <c r="R117" i="14" s="1"/>
  <c r="AL117" i="1" s="1"/>
  <c r="M117" i="14" a="1"/>
  <c r="M117" i="14" s="1"/>
  <c r="O117" i="14" a="1"/>
  <c r="O117" i="14" s="1"/>
  <c r="BT117" i="14" a="1"/>
  <c r="BT117" i="14" s="1"/>
  <c r="N117" i="14" a="1"/>
  <c r="N117" i="14" s="1"/>
  <c r="AK117" i="14" a="1"/>
  <c r="AK117" i="14" s="1"/>
  <c r="BP117" i="14" a="1"/>
  <c r="BP117" i="14" s="1"/>
  <c r="AJ117" i="14" a="1"/>
  <c r="AJ117" i="14" s="1"/>
  <c r="BC117" i="14" a="1"/>
  <c r="BC117" i="14" s="1"/>
  <c r="BV117" i="14" a="1"/>
  <c r="BV117" i="14" s="1"/>
  <c r="AW117" i="14" a="1"/>
  <c r="AW117" i="14" s="1"/>
  <c r="AV117" i="14" a="1"/>
  <c r="AV117" i="14" s="1"/>
  <c r="AT117" i="14" a="1"/>
  <c r="AT117" i="14" s="1"/>
  <c r="AS117" i="14" a="1"/>
  <c r="AS117" i="14" s="1"/>
  <c r="BO117" i="14" a="1"/>
  <c r="BO117" i="14" s="1"/>
  <c r="AN117" i="14" a="1"/>
  <c r="AN117" i="14" s="1"/>
  <c r="W117" i="14" a="1"/>
  <c r="W117" i="14" s="1"/>
  <c r="AX117" i="14" a="1"/>
  <c r="AX117" i="14" s="1"/>
  <c r="AO117" i="14" a="1"/>
  <c r="AO117" i="14" s="1"/>
  <c r="X117" i="14" a="1"/>
  <c r="X117" i="14" s="1"/>
  <c r="AL117" i="14" a="1"/>
  <c r="AL117" i="14" s="1"/>
  <c r="BD117" i="14" a="1"/>
  <c r="BD117" i="14" s="1"/>
  <c r="BI117" i="14" a="1"/>
  <c r="BI117" i="14" s="1"/>
  <c r="BZ117" i="14" a="1"/>
  <c r="BZ117" i="14" s="1"/>
  <c r="AF117" i="14" a="1"/>
  <c r="AF117" i="14" s="1"/>
  <c r="BF117" i="14" a="1"/>
  <c r="BF117" i="14" s="1"/>
  <c r="BL117" i="14" a="1"/>
  <c r="BL117" i="14" s="1"/>
  <c r="BS117" i="14" a="1"/>
  <c r="BS117" i="14" s="1"/>
  <c r="V117" i="14" a="1"/>
  <c r="V117" i="14" s="1"/>
  <c r="U117" i="14" a="1"/>
  <c r="U117" i="14" s="1"/>
  <c r="P117" i="14" a="1"/>
  <c r="P117" i="14" s="1"/>
  <c r="BG117" i="14" a="1"/>
  <c r="BG117" i="14" s="1"/>
  <c r="AP117" i="14" a="1"/>
  <c r="AP117" i="14" s="1"/>
  <c r="AH117" i="14" a="1"/>
  <c r="AH117" i="14" s="1"/>
  <c r="BU117" i="14" a="1"/>
  <c r="BU117" i="14" s="1"/>
  <c r="BY117" i="14" a="1"/>
  <c r="BY117" i="14" s="1"/>
  <c r="AU117" i="14" a="1"/>
  <c r="AU117" i="14" s="1"/>
  <c r="BH117" i="14" a="1"/>
  <c r="BH117" i="14" s="1"/>
  <c r="Y117" i="14" a="1"/>
  <c r="Y117" i="14" s="1"/>
  <c r="AM117" i="14" a="1"/>
  <c r="AM117" i="14" s="1"/>
  <c r="AB117" i="14" a="1"/>
  <c r="AB117" i="14" s="1"/>
  <c r="BJ117" i="14" a="1"/>
  <c r="BJ117" i="14" s="1"/>
  <c r="AA117" i="14" a="1"/>
  <c r="AA117" i="14" s="1"/>
  <c r="AI117" i="14" a="1"/>
  <c r="AI117" i="14" s="1"/>
  <c r="AY117" i="14" a="1"/>
  <c r="AY117" i="14" s="1"/>
  <c r="BR117" i="14" a="1"/>
  <c r="BR117" i="14" s="1"/>
  <c r="S117" i="14" a="1"/>
  <c r="S117" i="14" s="1"/>
  <c r="BK117" i="14" a="1"/>
  <c r="BK117" i="14" s="1"/>
  <c r="BE117" i="14" a="1"/>
  <c r="BE117" i="14" s="1"/>
  <c r="AR117" i="14" a="1"/>
  <c r="AR117" i="14" s="1"/>
  <c r="AG117" i="14" a="1"/>
  <c r="AG117" i="14" s="1"/>
  <c r="W114" i="1"/>
  <c r="AF114" i="1"/>
  <c r="DH115" i="5"/>
  <c r="Y114" i="1"/>
  <c r="DJ115" i="5"/>
  <c r="K118" i="11"/>
  <c r="A118" i="14"/>
  <c r="CA118" i="14" s="1"/>
  <c r="A118" i="5"/>
  <c r="A118" i="9"/>
  <c r="A118" i="8"/>
  <c r="A118" i="2"/>
  <c r="A118" i="7"/>
  <c r="R118" i="7" s="1"/>
  <c r="AE117" i="8"/>
  <c r="AU117" i="8"/>
  <c r="CI112" i="8"/>
  <c r="DA112" i="8" s="1"/>
  <c r="AC111" i="11"/>
  <c r="U111" i="8" s="1"/>
  <c r="B112" i="14"/>
  <c r="N112" i="7"/>
  <c r="D113" i="9"/>
  <c r="Q112" i="7"/>
  <c r="CS110" i="8"/>
  <c r="Y111" i="11"/>
  <c r="AH111" i="1" s="1"/>
  <c r="Z111" i="11"/>
  <c r="AA111" i="11"/>
  <c r="AK111" i="1" s="1"/>
  <c r="B115" i="5"/>
  <c r="AB111" i="11"/>
  <c r="Q111" i="8" s="1"/>
  <c r="AD111" i="11"/>
  <c r="AI111" i="1" s="1"/>
  <c r="BU115" i="5"/>
  <c r="AH115" i="5"/>
  <c r="B115" i="2"/>
  <c r="B115" i="1"/>
  <c r="BG115" i="1" s="1"/>
  <c r="BY117" i="11"/>
  <c r="AA116" i="7"/>
  <c r="AF116" i="8" s="1"/>
  <c r="AV116" i="8" s="1"/>
  <c r="K116" i="10"/>
  <c r="L116" i="11"/>
  <c r="H116" i="5"/>
  <c r="C115" i="10"/>
  <c r="E115" i="7"/>
  <c r="D115" i="7"/>
  <c r="G116" i="5"/>
  <c r="B115" i="10"/>
  <c r="K116" i="5"/>
  <c r="F115" i="10"/>
  <c r="H115" i="7"/>
  <c r="DD115" i="5"/>
  <c r="I116" i="5"/>
  <c r="D115" i="10"/>
  <c r="F115" i="7"/>
  <c r="M116" i="5"/>
  <c r="H115" i="10"/>
  <c r="J115" i="7"/>
  <c r="L116" i="5"/>
  <c r="G115" i="10"/>
  <c r="I115" i="7"/>
  <c r="J116" i="5"/>
  <c r="DC116" i="5" s="1"/>
  <c r="E115" i="10"/>
  <c r="G115" i="7"/>
  <c r="CQ111" i="8"/>
  <c r="CU111" i="8" s="1"/>
  <c r="DH113" i="8"/>
  <c r="DI113" i="8" s="1"/>
  <c r="CK113" i="8"/>
  <c r="BW113" i="8"/>
  <c r="AC113" i="1" s="1"/>
  <c r="BI113" i="8"/>
  <c r="AC113" i="8"/>
  <c r="BQ113" i="8" s="1"/>
  <c r="BH113" i="8"/>
  <c r="BU113" i="8" s="1"/>
  <c r="AH124" i="9"/>
  <c r="B113" i="9"/>
  <c r="Y113" i="9" s="1"/>
  <c r="AQ111" i="5"/>
  <c r="A113" i="10"/>
  <c r="AA113" i="10" s="1"/>
  <c r="BT113" i="5"/>
  <c r="A113" i="11"/>
  <c r="AI113" i="5"/>
  <c r="B113" i="7"/>
  <c r="AJ113" i="5"/>
  <c r="AP113" i="5" s="1"/>
  <c r="X113" i="8"/>
  <c r="DD113" i="8" s="1"/>
  <c r="E113" i="1"/>
  <c r="DB111" i="8"/>
  <c r="C114" i="5"/>
  <c r="F114" i="5" s="1"/>
  <c r="CZ115" i="5"/>
  <c r="CR111" i="8"/>
  <c r="B111" i="14"/>
  <c r="C115" i="5"/>
  <c r="DA114" i="5"/>
  <c r="DG114" i="5" s="1" a="1"/>
  <c r="DG114" i="5" s="1"/>
  <c r="AB115" i="1"/>
  <c r="DI115" i="5"/>
  <c r="AG124" i="9"/>
  <c r="AK124" i="9"/>
  <c r="N100" i="1"/>
  <c r="S117" i="2"/>
  <c r="N118" i="2"/>
  <c r="R118" i="2"/>
  <c r="Q117" i="2"/>
  <c r="P119" i="2"/>
  <c r="J119" i="10"/>
  <c r="N119" i="5" s="1"/>
  <c r="AI112" i="7" l="1"/>
  <c r="AO113" i="5"/>
  <c r="AM113" i="5"/>
  <c r="AN113" i="5"/>
  <c r="AV114" i="5"/>
  <c r="AW114" i="5"/>
  <c r="CL114" i="8"/>
  <c r="AI136" i="9"/>
  <c r="AO136" i="8" s="1"/>
  <c r="G119" i="8"/>
  <c r="CF118" i="8"/>
  <c r="O118" i="2"/>
  <c r="AM125" i="9"/>
  <c r="BR113" i="8"/>
  <c r="BS113" i="8"/>
  <c r="AD116" i="1"/>
  <c r="CV118" i="5"/>
  <c r="CW118" i="5"/>
  <c r="CS118" i="5"/>
  <c r="CT118" i="5"/>
  <c r="CR118" i="5"/>
  <c r="CU118" i="5"/>
  <c r="CQ118" i="5"/>
  <c r="AY118" i="5" a="1"/>
  <c r="AY118" i="5" s="1"/>
  <c r="BL118" i="5" a="1"/>
  <c r="BL118" i="5" s="1"/>
  <c r="BN118" i="5" a="1"/>
  <c r="BN118" i="5" s="1"/>
  <c r="BB118" i="5" a="1"/>
  <c r="BB118" i="5" s="1"/>
  <c r="BD118" i="5" a="1"/>
  <c r="BD118" i="5" s="1"/>
  <c r="BF118" i="5" a="1"/>
  <c r="BF118" i="5" s="1"/>
  <c r="AE117" i="1" s="1"/>
  <c r="BQ118" i="5" a="1"/>
  <c r="BQ118" i="5" s="1"/>
  <c r="BJ118" i="5" a="1"/>
  <c r="BJ118" i="5" s="1"/>
  <c r="BC118" i="5" a="1"/>
  <c r="BC118" i="5" s="1"/>
  <c r="BM118" i="5" a="1"/>
  <c r="BM118" i="5" s="1"/>
  <c r="BK118" i="5" a="1"/>
  <c r="BK118" i="5" s="1"/>
  <c r="BO118" i="5" a="1"/>
  <c r="BO118" i="5" s="1"/>
  <c r="BH118" i="5" a="1"/>
  <c r="BH118" i="5" s="1"/>
  <c r="BG118" i="5" a="1"/>
  <c r="BG118" i="5" s="1"/>
  <c r="AZ118" i="5" a="1"/>
  <c r="AZ118" i="5" s="1"/>
  <c r="BA118" i="5" a="1"/>
  <c r="BA118" i="5" s="1"/>
  <c r="BE118" i="5" a="1"/>
  <c r="BE118" i="5" s="1"/>
  <c r="BI118" i="5" a="1"/>
  <c r="BI118" i="5" s="1"/>
  <c r="V116" i="2"/>
  <c r="CQ112" i="8"/>
  <c r="CU112" i="8" s="1"/>
  <c r="F121" i="8"/>
  <c r="BP117" i="5" a="1"/>
  <c r="BP117" i="5" s="1"/>
  <c r="J117" i="2" s="1"/>
  <c r="O122" i="1"/>
  <c r="CD112" i="8"/>
  <c r="BX113" i="8"/>
  <c r="CD113" i="8" s="1"/>
  <c r="BT113" i="8"/>
  <c r="BO113" i="8"/>
  <c r="BP113" i="8"/>
  <c r="BM113" i="8"/>
  <c r="BN113" i="8"/>
  <c r="BK113" i="8"/>
  <c r="BL113" i="8"/>
  <c r="BJ113" i="8"/>
  <c r="AC113" i="10"/>
  <c r="X113" i="10" s="1"/>
  <c r="AR113" i="5"/>
  <c r="AS117" i="5"/>
  <c r="CR112" i="8"/>
  <c r="DB112" i="8"/>
  <c r="AK117" i="11"/>
  <c r="DE116" i="5"/>
  <c r="DB116" i="5"/>
  <c r="DF116" i="5"/>
  <c r="DH116" i="5"/>
  <c r="W115" i="1"/>
  <c r="AM117" i="1"/>
  <c r="K119" i="11"/>
  <c r="A119" i="14"/>
  <c r="CA119" i="14" s="1"/>
  <c r="A119" i="5"/>
  <c r="A119" i="8"/>
  <c r="A119" i="2"/>
  <c r="A119" i="9"/>
  <c r="A119" i="7"/>
  <c r="R119" i="7" s="1"/>
  <c r="AE118" i="8"/>
  <c r="AU118" i="8"/>
  <c r="AJ117" i="1"/>
  <c r="Y115" i="1"/>
  <c r="DJ116" i="5"/>
  <c r="AH117" i="11"/>
  <c r="AF115" i="1"/>
  <c r="AL118" i="14" a="1"/>
  <c r="AL118" i="14" s="1"/>
  <c r="AU118" i="14" a="1"/>
  <c r="AU118" i="14" s="1"/>
  <c r="AH118" i="14" a="1"/>
  <c r="AH118" i="14" s="1"/>
  <c r="BH118" i="14" a="1"/>
  <c r="BH118" i="14" s="1"/>
  <c r="AR118" i="14" a="1"/>
  <c r="AR118" i="14" s="1"/>
  <c r="S118" i="14" a="1"/>
  <c r="S118" i="14" s="1"/>
  <c r="AW118" i="14" a="1"/>
  <c r="AW118" i="14" s="1"/>
  <c r="Y118" i="14" a="1"/>
  <c r="Y118" i="14" s="1"/>
  <c r="Z118" i="14" a="1"/>
  <c r="Z118" i="14" s="1"/>
  <c r="O118" i="14" a="1"/>
  <c r="O118" i="14" s="1"/>
  <c r="U118" i="14" a="1"/>
  <c r="U118" i="14" s="1"/>
  <c r="BY118" i="14" a="1"/>
  <c r="BY118" i="14" s="1"/>
  <c r="AB118" i="14" a="1"/>
  <c r="AB118" i="14" s="1"/>
  <c r="AQ118" i="14" a="1"/>
  <c r="AQ118" i="14" s="1"/>
  <c r="M118" i="14" a="1"/>
  <c r="M118" i="14" s="1"/>
  <c r="Q118" i="14" a="1"/>
  <c r="Q118" i="14" s="1"/>
  <c r="BV118" i="14" a="1"/>
  <c r="BV118" i="14" s="1"/>
  <c r="X118" i="14" a="1"/>
  <c r="X118" i="14" s="1"/>
  <c r="BJ118" i="14" a="1"/>
  <c r="BJ118" i="14" s="1"/>
  <c r="AJ118" i="14" a="1"/>
  <c r="AJ118" i="14" s="1"/>
  <c r="AZ118" i="14" a="1"/>
  <c r="AZ118" i="14" s="1"/>
  <c r="BO118" i="14" a="1"/>
  <c r="BO118" i="14" s="1"/>
  <c r="AX118" i="14" a="1"/>
  <c r="AX118" i="14" s="1"/>
  <c r="AT118" i="14" a="1"/>
  <c r="AT118" i="14" s="1"/>
  <c r="BR118" i="14" a="1"/>
  <c r="BR118" i="14" s="1"/>
  <c r="BC118" i="14" a="1"/>
  <c r="BC118" i="14" s="1"/>
  <c r="AE118" i="14" a="1"/>
  <c r="AE118" i="14" s="1"/>
  <c r="AC118" i="14" a="1"/>
  <c r="AC118" i="14" s="1"/>
  <c r="AN118" i="14" a="1"/>
  <c r="AN118" i="14" s="1"/>
  <c r="BG118" i="14" a="1"/>
  <c r="BG118" i="14" s="1"/>
  <c r="AY118" i="14" a="1"/>
  <c r="AY118" i="14" s="1"/>
  <c r="BU118" i="14" a="1"/>
  <c r="BU118" i="14" s="1"/>
  <c r="AG118" i="14" a="1"/>
  <c r="AG118" i="14" s="1"/>
  <c r="AP118" i="14" a="1"/>
  <c r="AP118" i="14" s="1"/>
  <c r="AM118" i="14" a="1"/>
  <c r="AM118" i="14" s="1"/>
  <c r="BN118" i="14" a="1"/>
  <c r="BN118" i="14" s="1"/>
  <c r="AS118" i="14" a="1"/>
  <c r="AS118" i="14" s="1"/>
  <c r="AD118" i="14" a="1"/>
  <c r="AD118" i="14" s="1"/>
  <c r="AA118" i="14" a="1"/>
  <c r="AA118" i="14" s="1"/>
  <c r="AF118" i="14" a="1"/>
  <c r="AF118" i="14" s="1"/>
  <c r="R118" i="14" a="1"/>
  <c r="R118" i="14" s="1"/>
  <c r="AL118" i="1" s="1"/>
  <c r="N118" i="14" a="1"/>
  <c r="N118" i="14" s="1"/>
  <c r="BT118" i="14" a="1"/>
  <c r="BT118" i="14" s="1"/>
  <c r="BS118" i="14" a="1"/>
  <c r="BS118" i="14" s="1"/>
  <c r="BD118" i="14" a="1"/>
  <c r="BD118" i="14" s="1"/>
  <c r="P118" i="14" a="1"/>
  <c r="P118" i="14" s="1"/>
  <c r="T118" i="14" a="1"/>
  <c r="T118" i="14" s="1"/>
  <c r="BB118" i="14" a="1"/>
  <c r="BB118" i="14" s="1"/>
  <c r="V118" i="14" a="1"/>
  <c r="V118" i="14" s="1"/>
  <c r="BM118" i="14" a="1"/>
  <c r="BM118" i="14" s="1"/>
  <c r="AV118" i="14" a="1"/>
  <c r="AV118" i="14" s="1"/>
  <c r="BK118" i="14" a="1"/>
  <c r="BK118" i="14" s="1"/>
  <c r="BI118" i="14" a="1"/>
  <c r="BI118" i="14" s="1"/>
  <c r="BP118" i="14" a="1"/>
  <c r="BP118" i="14" s="1"/>
  <c r="AK118" i="14" a="1"/>
  <c r="AK118" i="14" s="1"/>
  <c r="BW118" i="14" a="1"/>
  <c r="BW118" i="14" s="1"/>
  <c r="BL118" i="14" a="1"/>
  <c r="BL118" i="14" s="1"/>
  <c r="BZ118" i="14" a="1"/>
  <c r="BZ118" i="14" s="1"/>
  <c r="BA118" i="14" a="1"/>
  <c r="BA118" i="14" s="1"/>
  <c r="BQ118" i="14" a="1"/>
  <c r="BQ118" i="14" s="1"/>
  <c r="BX118" i="14" a="1"/>
  <c r="BX118" i="14" s="1"/>
  <c r="AI118" i="14" a="1"/>
  <c r="AI118" i="14" s="1"/>
  <c r="BE118" i="14" a="1"/>
  <c r="BE118" i="14" s="1"/>
  <c r="AO118" i="14" a="1"/>
  <c r="AO118" i="14" s="1"/>
  <c r="BF118" i="14" a="1"/>
  <c r="BF118" i="14" s="1"/>
  <c r="W118" i="14" a="1"/>
  <c r="W118" i="14" s="1"/>
  <c r="AQ112" i="5"/>
  <c r="F115" i="5"/>
  <c r="B116" i="2"/>
  <c r="AH116" i="5"/>
  <c r="BU116" i="5"/>
  <c r="B116" i="1"/>
  <c r="BG116" i="1" s="1"/>
  <c r="BY118" i="11"/>
  <c r="K117" i="10"/>
  <c r="AA117" i="7"/>
  <c r="AF117" i="8" s="1"/>
  <c r="AV117" i="8" s="1"/>
  <c r="L117" i="11"/>
  <c r="J117" i="5"/>
  <c r="DC117" i="5" s="1"/>
  <c r="E116" i="10"/>
  <c r="G116" i="7"/>
  <c r="B116" i="10"/>
  <c r="D116" i="7"/>
  <c r="G117" i="5"/>
  <c r="I117" i="5"/>
  <c r="D116" i="10"/>
  <c r="F116" i="7"/>
  <c r="L117" i="5"/>
  <c r="G116" i="10"/>
  <c r="I116" i="7"/>
  <c r="B116" i="5"/>
  <c r="M117" i="5"/>
  <c r="H116" i="10"/>
  <c r="J116" i="7"/>
  <c r="K117" i="5"/>
  <c r="F116" i="10"/>
  <c r="H116" i="7"/>
  <c r="DD116" i="5"/>
  <c r="H117" i="5"/>
  <c r="C116" i="10"/>
  <c r="E116" i="7"/>
  <c r="CS111" i="8"/>
  <c r="D114" i="9"/>
  <c r="DH114" i="8"/>
  <c r="DI114" i="8" s="1"/>
  <c r="CK114" i="8"/>
  <c r="BW114" i="8"/>
  <c r="AC114" i="1" s="1"/>
  <c r="BI114" i="8"/>
  <c r="N113" i="7"/>
  <c r="B114" i="9"/>
  <c r="Y114" i="9" s="1"/>
  <c r="BH114" i="8"/>
  <c r="BU114" i="8" s="1"/>
  <c r="AH125" i="9"/>
  <c r="CI113" i="8"/>
  <c r="DA113" i="8" s="1"/>
  <c r="CC113" i="8"/>
  <c r="CV113" i="8" s="1"/>
  <c r="CW113" i="8" s="1"/>
  <c r="CH113" i="8"/>
  <c r="CZ113" i="8" s="1"/>
  <c r="CA113" i="8"/>
  <c r="CB113" i="8"/>
  <c r="CT113" i="8" s="1"/>
  <c r="BY113" i="8"/>
  <c r="BZ113" i="8"/>
  <c r="Y112" i="11"/>
  <c r="AH112" i="1" s="1"/>
  <c r="AB112" i="11"/>
  <c r="Q112" i="8" s="1"/>
  <c r="AD112" i="11"/>
  <c r="AI112" i="1" s="1"/>
  <c r="N113" i="11"/>
  <c r="AA112" i="11"/>
  <c r="AK112" i="1" s="1"/>
  <c r="AC112" i="11"/>
  <c r="U112" i="8" s="1"/>
  <c r="Z112" i="11"/>
  <c r="AE113" i="7"/>
  <c r="AF113" i="7" s="1"/>
  <c r="Q113" i="7"/>
  <c r="BT114" i="5"/>
  <c r="AI114" i="5"/>
  <c r="E114" i="1"/>
  <c r="AC114" i="8"/>
  <c r="BQ114" i="8" s="1"/>
  <c r="B114" i="7"/>
  <c r="AJ114" i="5"/>
  <c r="AP114" i="5" s="1"/>
  <c r="A114" i="10"/>
  <c r="AA114" i="10" s="1"/>
  <c r="X114" i="8"/>
  <c r="DD114" i="8" s="1"/>
  <c r="A114" i="11"/>
  <c r="CZ116" i="5"/>
  <c r="AB116" i="1"/>
  <c r="DI116" i="5"/>
  <c r="C116" i="5"/>
  <c r="DA115" i="5"/>
  <c r="DG115" i="5" s="1" a="1"/>
  <c r="DG115" i="5" s="1"/>
  <c r="AG125" i="9"/>
  <c r="AK125" i="9"/>
  <c r="N101" i="1"/>
  <c r="S118" i="2"/>
  <c r="N119" i="2"/>
  <c r="R119" i="2"/>
  <c r="Q118" i="2"/>
  <c r="J120" i="10"/>
  <c r="N120" i="5" s="1"/>
  <c r="P120" i="2"/>
  <c r="AO114" i="5" l="1"/>
  <c r="AM114" i="5"/>
  <c r="AN114" i="5"/>
  <c r="AV115" i="5"/>
  <c r="AW115" i="5"/>
  <c r="AG113" i="7"/>
  <c r="AI113" i="7" s="1"/>
  <c r="CL115" i="8"/>
  <c r="G120" i="8"/>
  <c r="CF119" i="8"/>
  <c r="O119" i="2"/>
  <c r="BJ119" i="5" a="1"/>
  <c r="BJ119" i="5" s="1"/>
  <c r="AM126" i="9"/>
  <c r="BR114" i="8"/>
  <c r="BS114" i="8"/>
  <c r="AD117" i="1"/>
  <c r="BQ119" i="5" a="1"/>
  <c r="BQ119" i="5" s="1"/>
  <c r="BF119" i="5" a="1"/>
  <c r="BF119" i="5" s="1"/>
  <c r="AE118" i="1" s="1"/>
  <c r="CW119" i="5"/>
  <c r="CQ119" i="5"/>
  <c r="CT119" i="5"/>
  <c r="CR119" i="5"/>
  <c r="CU119" i="5"/>
  <c r="CS119" i="5"/>
  <c r="CV119" i="5"/>
  <c r="AY119" i="5" a="1"/>
  <c r="AY119" i="5" s="1"/>
  <c r="BL119" i="5" a="1"/>
  <c r="BL119" i="5" s="1"/>
  <c r="BD119" i="5" a="1"/>
  <c r="BD119" i="5" s="1"/>
  <c r="BB119" i="5" a="1"/>
  <c r="BB119" i="5" s="1"/>
  <c r="BI119" i="5" a="1"/>
  <c r="BI119" i="5" s="1"/>
  <c r="BN119" i="5" a="1"/>
  <c r="BN119" i="5" s="1"/>
  <c r="BE119" i="5" a="1"/>
  <c r="BE119" i="5" s="1"/>
  <c r="BA119" i="5" a="1"/>
  <c r="BA119" i="5" s="1"/>
  <c r="AZ119" i="5" a="1"/>
  <c r="AZ119" i="5" s="1"/>
  <c r="BG119" i="5" a="1"/>
  <c r="BG119" i="5" s="1"/>
  <c r="BH119" i="5" a="1"/>
  <c r="BH119" i="5" s="1"/>
  <c r="BO119" i="5" a="1"/>
  <c r="BO119" i="5" s="1"/>
  <c r="BK119" i="5" a="1"/>
  <c r="BK119" i="5" s="1"/>
  <c r="BM119" i="5" a="1"/>
  <c r="BM119" i="5" s="1"/>
  <c r="BC119" i="5" a="1"/>
  <c r="BC119" i="5" s="1"/>
  <c r="V117" i="2"/>
  <c r="CS112" i="8"/>
  <c r="CX112" i="8"/>
  <c r="CY112" i="8" s="1"/>
  <c r="F122" i="8"/>
  <c r="BP118" i="5" a="1"/>
  <c r="BP118" i="5" s="1"/>
  <c r="J118" i="2" s="1"/>
  <c r="BH115" i="8"/>
  <c r="BU115" i="8" s="1"/>
  <c r="O123" i="1"/>
  <c r="CE113" i="8"/>
  <c r="CX113" i="8" s="1"/>
  <c r="CY113" i="8" s="1"/>
  <c r="BT114" i="8"/>
  <c r="BO114" i="8"/>
  <c r="BP114" i="8"/>
  <c r="BM114" i="8"/>
  <c r="BN114" i="8"/>
  <c r="BK114" i="8"/>
  <c r="BL114" i="8"/>
  <c r="BJ114" i="8"/>
  <c r="AC114" i="10"/>
  <c r="X114" i="10" s="1"/>
  <c r="AR114" i="5"/>
  <c r="AS118" i="5"/>
  <c r="AK118" i="11"/>
  <c r="DF117" i="5"/>
  <c r="AJ118" i="1"/>
  <c r="AH118" i="11"/>
  <c r="AM118" i="1"/>
  <c r="DB117" i="5"/>
  <c r="DE117" i="5"/>
  <c r="AF116" i="1"/>
  <c r="DH117" i="5"/>
  <c r="K120" i="11"/>
  <c r="A120" i="14"/>
  <c r="CA120" i="14" s="1"/>
  <c r="A120" i="8"/>
  <c r="A120" i="2"/>
  <c r="A120" i="5"/>
  <c r="A120" i="7"/>
  <c r="R120" i="7" s="1"/>
  <c r="A120" i="9"/>
  <c r="Y116" i="1"/>
  <c r="DJ117" i="5"/>
  <c r="AE119" i="8"/>
  <c r="AU119" i="8"/>
  <c r="BT119" i="14" a="1"/>
  <c r="BT119" i="14" s="1"/>
  <c r="AK119" i="14" a="1"/>
  <c r="AK119" i="14" s="1"/>
  <c r="BB119" i="14" a="1"/>
  <c r="BB119" i="14" s="1"/>
  <c r="AJ119" i="14" a="1"/>
  <c r="AJ119" i="14" s="1"/>
  <c r="T119" i="14" a="1"/>
  <c r="T119" i="14" s="1"/>
  <c r="AQ119" i="14" a="1"/>
  <c r="AQ119" i="14" s="1"/>
  <c r="BF119" i="14" a="1"/>
  <c r="BF119" i="14" s="1"/>
  <c r="AP119" i="14" a="1"/>
  <c r="AP119" i="14" s="1"/>
  <c r="AU119" i="14" a="1"/>
  <c r="AU119" i="14" s="1"/>
  <c r="BJ119" i="14" a="1"/>
  <c r="BJ119" i="14" s="1"/>
  <c r="V119" i="14" a="1"/>
  <c r="V119" i="14" s="1"/>
  <c r="BZ119" i="14" a="1"/>
  <c r="BZ119" i="14" s="1"/>
  <c r="BW119" i="14" a="1"/>
  <c r="BW119" i="14" s="1"/>
  <c r="AA119" i="14" a="1"/>
  <c r="AA119" i="14" s="1"/>
  <c r="Z119" i="14" a="1"/>
  <c r="Z119" i="14" s="1"/>
  <c r="BY119" i="14" a="1"/>
  <c r="BY119" i="14" s="1"/>
  <c r="AW119" i="14" a="1"/>
  <c r="AW119" i="14" s="1"/>
  <c r="BS119" i="14" a="1"/>
  <c r="BS119" i="14" s="1"/>
  <c r="AD119" i="14" a="1"/>
  <c r="AD119" i="14" s="1"/>
  <c r="N119" i="14" a="1"/>
  <c r="N119" i="14" s="1"/>
  <c r="BI119" i="14" a="1"/>
  <c r="BI119" i="14" s="1"/>
  <c r="BE119" i="14" a="1"/>
  <c r="BE119" i="14" s="1"/>
  <c r="AY119" i="14" a="1"/>
  <c r="AY119" i="14" s="1"/>
  <c r="BN119" i="14" a="1"/>
  <c r="BN119" i="14" s="1"/>
  <c r="M119" i="14" a="1"/>
  <c r="M119" i="14" s="1"/>
  <c r="AO119" i="14" a="1"/>
  <c r="AO119" i="14" s="1"/>
  <c r="AM119" i="14" a="1"/>
  <c r="AM119" i="14" s="1"/>
  <c r="BR119" i="14" a="1"/>
  <c r="BR119" i="14" s="1"/>
  <c r="AG119" i="14" a="1"/>
  <c r="AG119" i="14" s="1"/>
  <c r="P119" i="14" a="1"/>
  <c r="P119" i="14" s="1"/>
  <c r="BO119" i="14" a="1"/>
  <c r="BO119" i="14" s="1"/>
  <c r="Y119" i="14" a="1"/>
  <c r="Y119" i="14" s="1"/>
  <c r="AH119" i="14" a="1"/>
  <c r="AH119" i="14" s="1"/>
  <c r="BU119" i="14" a="1"/>
  <c r="BU119" i="14" s="1"/>
  <c r="AE119" i="14" a="1"/>
  <c r="AE119" i="14" s="1"/>
  <c r="O119" i="14" a="1"/>
  <c r="O119" i="14" s="1"/>
  <c r="AC119" i="14" a="1"/>
  <c r="AC119" i="14" s="1"/>
  <c r="BP119" i="14" a="1"/>
  <c r="BP119" i="14" s="1"/>
  <c r="BA119" i="14" a="1"/>
  <c r="BA119" i="14" s="1"/>
  <c r="AN119" i="14" a="1"/>
  <c r="AN119" i="14" s="1"/>
  <c r="S119" i="14" a="1"/>
  <c r="S119" i="14" s="1"/>
  <c r="AV119" i="14" a="1"/>
  <c r="AV119" i="14" s="1"/>
  <c r="BQ119" i="14" a="1"/>
  <c r="BQ119" i="14" s="1"/>
  <c r="X119" i="14" a="1"/>
  <c r="X119" i="14" s="1"/>
  <c r="BX119" i="14" a="1"/>
  <c r="BX119" i="14" s="1"/>
  <c r="AB119" i="14" a="1"/>
  <c r="AB119" i="14" s="1"/>
  <c r="AI119" i="14" a="1"/>
  <c r="AI119" i="14" s="1"/>
  <c r="BL119" i="14" a="1"/>
  <c r="BL119" i="14" s="1"/>
  <c r="BC119" i="14" a="1"/>
  <c r="BC119" i="14" s="1"/>
  <c r="BH119" i="14" a="1"/>
  <c r="BH119" i="14" s="1"/>
  <c r="W119" i="14" a="1"/>
  <c r="W119" i="14" s="1"/>
  <c r="AF119" i="14" a="1"/>
  <c r="AF119" i="14" s="1"/>
  <c r="AT119" i="14" a="1"/>
  <c r="AT119" i="14" s="1"/>
  <c r="BG119" i="14" a="1"/>
  <c r="BG119" i="14" s="1"/>
  <c r="AL119" i="14" a="1"/>
  <c r="AL119" i="14" s="1"/>
  <c r="AX119" i="14" a="1"/>
  <c r="AX119" i="14" s="1"/>
  <c r="BM119" i="14" a="1"/>
  <c r="BM119" i="14" s="1"/>
  <c r="U119" i="14" a="1"/>
  <c r="U119" i="14" s="1"/>
  <c r="BD119" i="14" a="1"/>
  <c r="BD119" i="14" s="1"/>
  <c r="BV119" i="14" a="1"/>
  <c r="BV119" i="14" s="1"/>
  <c r="Q119" i="14" a="1"/>
  <c r="Q119" i="14" s="1"/>
  <c r="AR119" i="14" a="1"/>
  <c r="AR119" i="14" s="1"/>
  <c r="R119" i="14" a="1"/>
  <c r="R119" i="14" s="1"/>
  <c r="AL119" i="1" s="1"/>
  <c r="BK119" i="14" a="1"/>
  <c r="BK119" i="14" s="1"/>
  <c r="AZ119" i="14" a="1"/>
  <c r="AZ119" i="14" s="1"/>
  <c r="AS119" i="14" a="1"/>
  <c r="AS119" i="14" s="1"/>
  <c r="W116" i="1"/>
  <c r="AI115" i="5"/>
  <c r="B115" i="7"/>
  <c r="AE115" i="7" s="1"/>
  <c r="AF115" i="7" s="1"/>
  <c r="A115" i="11"/>
  <c r="Y114" i="11" s="1"/>
  <c r="AH114" i="1" s="1"/>
  <c r="BW115" i="8"/>
  <c r="AJ115" i="5"/>
  <c r="AP115" i="5" s="1"/>
  <c r="CK115" i="8"/>
  <c r="E115" i="1"/>
  <c r="A115" i="10"/>
  <c r="AA115" i="10" s="1"/>
  <c r="AC115" i="8"/>
  <c r="BQ115" i="8" s="1"/>
  <c r="BT115" i="5"/>
  <c r="DH115" i="8"/>
  <c r="DI115" i="8" s="1"/>
  <c r="B115" i="9"/>
  <c r="Y115" i="9" s="1"/>
  <c r="BI115" i="8"/>
  <c r="X115" i="8"/>
  <c r="DD115" i="8" s="1"/>
  <c r="F116" i="5"/>
  <c r="B117" i="5"/>
  <c r="AH117" i="5"/>
  <c r="BU117" i="5"/>
  <c r="B117" i="1"/>
  <c r="BG117" i="1" s="1"/>
  <c r="B117" i="2"/>
  <c r="BY119" i="11"/>
  <c r="K118" i="10"/>
  <c r="AA118" i="7"/>
  <c r="AF118" i="8" s="1"/>
  <c r="AV118" i="8" s="1"/>
  <c r="L118" i="11"/>
  <c r="M118" i="5"/>
  <c r="H117" i="10"/>
  <c r="J117" i="7"/>
  <c r="I118" i="5"/>
  <c r="D117" i="10"/>
  <c r="F117" i="7"/>
  <c r="H118" i="5"/>
  <c r="C117" i="10"/>
  <c r="E117" i="7"/>
  <c r="B117" i="10"/>
  <c r="G118" i="5"/>
  <c r="D117" i="7"/>
  <c r="K118" i="5"/>
  <c r="F117" i="10"/>
  <c r="H117" i="7"/>
  <c r="DD117" i="5"/>
  <c r="L118" i="5"/>
  <c r="G117" i="10"/>
  <c r="I117" i="7"/>
  <c r="J118" i="5"/>
  <c r="DC118" i="5" s="1"/>
  <c r="E117" i="10"/>
  <c r="G117" i="7"/>
  <c r="CQ113" i="8"/>
  <c r="CU113" i="8" s="1"/>
  <c r="D115" i="9"/>
  <c r="BX114" i="8"/>
  <c r="CD114" i="8" s="1"/>
  <c r="N114" i="7"/>
  <c r="AH126" i="9"/>
  <c r="AQ113" i="5"/>
  <c r="DB113" i="8"/>
  <c r="CR113" i="8"/>
  <c r="CI114" i="8"/>
  <c r="DA114" i="8" s="1"/>
  <c r="B113" i="14"/>
  <c r="CH114" i="8"/>
  <c r="CZ114" i="8" s="1"/>
  <c r="BZ114" i="8"/>
  <c r="CA114" i="8"/>
  <c r="CB114" i="8"/>
  <c r="CT114" i="8" s="1"/>
  <c r="BY114" i="8"/>
  <c r="CC114" i="8"/>
  <c r="CV114" i="8" s="1"/>
  <c r="CW114" i="8" s="1"/>
  <c r="AE114" i="7"/>
  <c r="AF114" i="7" s="1"/>
  <c r="Q114" i="7"/>
  <c r="AC113" i="11"/>
  <c r="U113" i="8" s="1"/>
  <c r="Y113" i="11"/>
  <c r="AH113" i="1" s="1"/>
  <c r="AD113" i="11"/>
  <c r="AI113" i="1" s="1"/>
  <c r="Z113" i="11"/>
  <c r="AB113" i="11"/>
  <c r="Q113" i="8" s="1"/>
  <c r="N114" i="11"/>
  <c r="AA113" i="11"/>
  <c r="AK113" i="1" s="1"/>
  <c r="CZ117" i="5"/>
  <c r="C117" i="5"/>
  <c r="DA116" i="5"/>
  <c r="DG116" i="5" s="1" a="1"/>
  <c r="DG116" i="5" s="1"/>
  <c r="AB117" i="1"/>
  <c r="DI117" i="5"/>
  <c r="AG126" i="9"/>
  <c r="AK126" i="9"/>
  <c r="N102" i="1"/>
  <c r="S119" i="2"/>
  <c r="N120" i="2"/>
  <c r="R120" i="2"/>
  <c r="Q119" i="2"/>
  <c r="P121" i="2"/>
  <c r="J121" i="10"/>
  <c r="N121" i="5" s="1"/>
  <c r="AO115" i="5" l="1"/>
  <c r="AM115" i="5"/>
  <c r="AN115" i="5"/>
  <c r="AR115" i="5" s="1"/>
  <c r="AV116" i="5"/>
  <c r="AW116" i="5"/>
  <c r="AG115" i="7"/>
  <c r="AG114" i="7"/>
  <c r="AI114" i="7" s="1"/>
  <c r="CL116" i="8"/>
  <c r="CC115" i="8"/>
  <c r="CV115" i="8" s="1"/>
  <c r="CW115" i="8" s="1"/>
  <c r="AC115" i="1"/>
  <c r="G121" i="8"/>
  <c r="CF120" i="8"/>
  <c r="O120" i="2"/>
  <c r="BI120" i="5" a="1"/>
  <c r="BI120" i="5" s="1"/>
  <c r="BB120" i="5" a="1"/>
  <c r="BB120" i="5" s="1"/>
  <c r="AM127" i="9"/>
  <c r="BR115" i="8"/>
  <c r="BS115" i="8"/>
  <c r="AD118" i="1"/>
  <c r="BD120" i="5" a="1"/>
  <c r="BD120" i="5" s="1"/>
  <c r="BC120" i="5" a="1"/>
  <c r="BC120" i="5" s="1"/>
  <c r="BM120" i="5" a="1"/>
  <c r="BM120" i="5" s="1"/>
  <c r="BK120" i="5" a="1"/>
  <c r="BK120" i="5" s="1"/>
  <c r="BO120" i="5" a="1"/>
  <c r="BO120" i="5" s="1"/>
  <c r="BH120" i="5" a="1"/>
  <c r="BH120" i="5" s="1"/>
  <c r="BG120" i="5" a="1"/>
  <c r="BG120" i="5" s="1"/>
  <c r="CQ120" i="5"/>
  <c r="CW120" i="5"/>
  <c r="CS120" i="5"/>
  <c r="CV120" i="5"/>
  <c r="CR120" i="5"/>
  <c r="CU120" i="5"/>
  <c r="CT120" i="5"/>
  <c r="AY120" i="5" a="1"/>
  <c r="AY120" i="5" s="1"/>
  <c r="BL120" i="5" a="1"/>
  <c r="BL120" i="5" s="1"/>
  <c r="AZ120" i="5" a="1"/>
  <c r="AZ120" i="5" s="1"/>
  <c r="BA120" i="5" a="1"/>
  <c r="BA120" i="5" s="1"/>
  <c r="BF120" i="5" a="1"/>
  <c r="BF120" i="5" s="1"/>
  <c r="AE119" i="1" s="1"/>
  <c r="BE120" i="5" a="1"/>
  <c r="BE120" i="5" s="1"/>
  <c r="BJ120" i="5" a="1"/>
  <c r="BJ120" i="5" s="1"/>
  <c r="BN120" i="5" a="1"/>
  <c r="BN120" i="5" s="1"/>
  <c r="BQ120" i="5" a="1"/>
  <c r="BQ120" i="5" s="1"/>
  <c r="V118" i="2"/>
  <c r="D116" i="9"/>
  <c r="BX115" i="8"/>
  <c r="CD115" i="8" s="1"/>
  <c r="F123" i="8"/>
  <c r="BT115" i="8"/>
  <c r="BP119" i="5" a="1"/>
  <c r="BP119" i="5" s="1"/>
  <c r="J119" i="2" s="1"/>
  <c r="O124" i="1"/>
  <c r="BO115" i="8"/>
  <c r="BP115" i="8"/>
  <c r="BM115" i="8"/>
  <c r="BN115" i="8"/>
  <c r="BK115" i="8"/>
  <c r="BL115" i="8"/>
  <c r="BJ115" i="8"/>
  <c r="AC115" i="10"/>
  <c r="X115" i="10" s="1"/>
  <c r="AS119" i="5"/>
  <c r="AK119" i="11"/>
  <c r="DE118" i="5"/>
  <c r="CK116" i="8"/>
  <c r="DB118" i="5"/>
  <c r="AM119" i="1"/>
  <c r="DF118" i="5"/>
  <c r="Y117" i="1"/>
  <c r="DJ118" i="5"/>
  <c r="AH119" i="11"/>
  <c r="W117" i="1"/>
  <c r="K121" i="11"/>
  <c r="A121" i="14"/>
  <c r="CA121" i="14" s="1"/>
  <c r="A121" i="8"/>
  <c r="A121" i="7"/>
  <c r="R121" i="7" s="1"/>
  <c r="A121" i="2"/>
  <c r="A121" i="5"/>
  <c r="A121" i="9"/>
  <c r="AU120" i="8"/>
  <c r="AE120" i="8"/>
  <c r="AJ119" i="1"/>
  <c r="BC120" i="14" a="1"/>
  <c r="BC120" i="14" s="1"/>
  <c r="BP120" i="14" a="1"/>
  <c r="BP120" i="14" s="1"/>
  <c r="N120" i="14" a="1"/>
  <c r="N120" i="14" s="1"/>
  <c r="AK120" i="14" a="1"/>
  <c r="AK120" i="14" s="1"/>
  <c r="AB120" i="14" a="1"/>
  <c r="AB120" i="14" s="1"/>
  <c r="S120" i="14" a="1"/>
  <c r="S120" i="14" s="1"/>
  <c r="P120" i="14" a="1"/>
  <c r="P120" i="14" s="1"/>
  <c r="BE120" i="14" a="1"/>
  <c r="BE120" i="14" s="1"/>
  <c r="AM120" i="14" a="1"/>
  <c r="AM120" i="14" s="1"/>
  <c r="AL120" i="14" a="1"/>
  <c r="AL120" i="14" s="1"/>
  <c r="AF120" i="14" a="1"/>
  <c r="AF120" i="14" s="1"/>
  <c r="BD120" i="14" a="1"/>
  <c r="BD120" i="14" s="1"/>
  <c r="AY120" i="14" a="1"/>
  <c r="AY120" i="14" s="1"/>
  <c r="AV120" i="14" a="1"/>
  <c r="AV120" i="14" s="1"/>
  <c r="BM120" i="14" a="1"/>
  <c r="BM120" i="14" s="1"/>
  <c r="BX120" i="14" a="1"/>
  <c r="BX120" i="14" s="1"/>
  <c r="AE120" i="14" a="1"/>
  <c r="AE120" i="14" s="1"/>
  <c r="V120" i="14" a="1"/>
  <c r="V120" i="14" s="1"/>
  <c r="BA120" i="14" a="1"/>
  <c r="BA120" i="14" s="1"/>
  <c r="AQ120" i="14" a="1"/>
  <c r="AQ120" i="14" s="1"/>
  <c r="AP120" i="14" a="1"/>
  <c r="AP120" i="14" s="1"/>
  <c r="M120" i="14" a="1"/>
  <c r="M120" i="14" s="1"/>
  <c r="BK120" i="14" a="1"/>
  <c r="BK120" i="14" s="1"/>
  <c r="BR120" i="14" a="1"/>
  <c r="BR120" i="14" s="1"/>
  <c r="BZ120" i="14" a="1"/>
  <c r="BZ120" i="14" s="1"/>
  <c r="BG120" i="14" a="1"/>
  <c r="BG120" i="14" s="1"/>
  <c r="Z120" i="14" a="1"/>
  <c r="Z120" i="14" s="1"/>
  <c r="AG120" i="14" a="1"/>
  <c r="AG120" i="14" s="1"/>
  <c r="AU120" i="14" a="1"/>
  <c r="AU120" i="14" s="1"/>
  <c r="AD120" i="14" a="1"/>
  <c r="AD120" i="14" s="1"/>
  <c r="BY120" i="14" a="1"/>
  <c r="BY120" i="14" s="1"/>
  <c r="AI120" i="14" a="1"/>
  <c r="AI120" i="14" s="1"/>
  <c r="R120" i="14" a="1"/>
  <c r="R120" i="14" s="1"/>
  <c r="AL120" i="1" s="1"/>
  <c r="AW120" i="14" a="1"/>
  <c r="AW120" i="14" s="1"/>
  <c r="O120" i="14" a="1"/>
  <c r="O120" i="14" s="1"/>
  <c r="BQ120" i="14" a="1"/>
  <c r="BQ120" i="14" s="1"/>
  <c r="AC120" i="14" a="1"/>
  <c r="AC120" i="14" s="1"/>
  <c r="AZ120" i="14" a="1"/>
  <c r="AZ120" i="14" s="1"/>
  <c r="BN120" i="14" a="1"/>
  <c r="BN120" i="14" s="1"/>
  <c r="AR120" i="14" a="1"/>
  <c r="AR120" i="14" s="1"/>
  <c r="BT120" i="14" a="1"/>
  <c r="BT120" i="14" s="1"/>
  <c r="W120" i="14" a="1"/>
  <c r="W120" i="14" s="1"/>
  <c r="BL120" i="14" a="1"/>
  <c r="BL120" i="14" s="1"/>
  <c r="X120" i="14" a="1"/>
  <c r="X120" i="14" s="1"/>
  <c r="AH120" i="14" a="1"/>
  <c r="AH120" i="14" s="1"/>
  <c r="BF120" i="14" a="1"/>
  <c r="BF120" i="14" s="1"/>
  <c r="Q120" i="14" a="1"/>
  <c r="Q120" i="14" s="1"/>
  <c r="BH120" i="14" a="1"/>
  <c r="BH120" i="14" s="1"/>
  <c r="AJ120" i="14" a="1"/>
  <c r="AJ120" i="14" s="1"/>
  <c r="BI120" i="14" a="1"/>
  <c r="BI120" i="14" s="1"/>
  <c r="BO120" i="14" a="1"/>
  <c r="BO120" i="14" s="1"/>
  <c r="BV120" i="14" a="1"/>
  <c r="BV120" i="14" s="1"/>
  <c r="AX120" i="14" a="1"/>
  <c r="AX120" i="14" s="1"/>
  <c r="AO120" i="14" a="1"/>
  <c r="AO120" i="14" s="1"/>
  <c r="AN120" i="14" a="1"/>
  <c r="AN120" i="14" s="1"/>
  <c r="BB120" i="14" a="1"/>
  <c r="BB120" i="14" s="1"/>
  <c r="AT120" i="14" a="1"/>
  <c r="AT120" i="14" s="1"/>
  <c r="AS120" i="14" a="1"/>
  <c r="AS120" i="14" s="1"/>
  <c r="T120" i="14" a="1"/>
  <c r="T120" i="14" s="1"/>
  <c r="BU120" i="14" a="1"/>
  <c r="BU120" i="14" s="1"/>
  <c r="BS120" i="14" a="1"/>
  <c r="BS120" i="14" s="1"/>
  <c r="BJ120" i="14" a="1"/>
  <c r="BJ120" i="14" s="1"/>
  <c r="U120" i="14" a="1"/>
  <c r="U120" i="14" s="1"/>
  <c r="BW120" i="14" a="1"/>
  <c r="BW120" i="14" s="1"/>
  <c r="AA120" i="14" a="1"/>
  <c r="AA120" i="14" s="1"/>
  <c r="Y120" i="14" a="1"/>
  <c r="Y120" i="14" s="1"/>
  <c r="AF117" i="1"/>
  <c r="DH118" i="5"/>
  <c r="B115" i="14"/>
  <c r="AC114" i="11"/>
  <c r="U114" i="8" s="1"/>
  <c r="Z114" i="11"/>
  <c r="AD114" i="11"/>
  <c r="AI114" i="1" s="1"/>
  <c r="N115" i="11"/>
  <c r="Q115" i="7"/>
  <c r="AA114" i="11"/>
  <c r="AK114" i="1" s="1"/>
  <c r="AB114" i="11"/>
  <c r="Q114" i="8" s="1"/>
  <c r="A116" i="10"/>
  <c r="AA116" i="10" s="1"/>
  <c r="N115" i="7"/>
  <c r="BI116" i="8"/>
  <c r="BY115" i="8"/>
  <c r="E116" i="1"/>
  <c r="A116" i="11"/>
  <c r="AC115" i="11" s="1"/>
  <c r="U115" i="8" s="1"/>
  <c r="CH115" i="8"/>
  <c r="CZ115" i="8" s="1"/>
  <c r="CI115" i="8"/>
  <c r="DA115" i="8" s="1"/>
  <c r="CB115" i="8"/>
  <c r="CT115" i="8" s="1"/>
  <c r="CA115" i="8"/>
  <c r="BZ115" i="8"/>
  <c r="DH116" i="8"/>
  <c r="DI116" i="8" s="1"/>
  <c r="X116" i="8"/>
  <c r="DD116" i="8" s="1"/>
  <c r="BH116" i="8"/>
  <c r="BU116" i="8" s="1"/>
  <c r="BW116" i="8"/>
  <c r="B116" i="7"/>
  <c r="AE116" i="7" s="1"/>
  <c r="AF116" i="7" s="1"/>
  <c r="AI116" i="5"/>
  <c r="BT116" i="5"/>
  <c r="B116" i="9"/>
  <c r="Y116" i="9" s="1"/>
  <c r="AC116" i="8"/>
  <c r="BQ116" i="8" s="1"/>
  <c r="AJ116" i="5"/>
  <c r="AP116" i="5" s="1"/>
  <c r="F117" i="5"/>
  <c r="B118" i="5"/>
  <c r="CS113" i="8"/>
  <c r="B118" i="2"/>
  <c r="B118" i="1"/>
  <c r="BG118" i="1" s="1"/>
  <c r="AH118" i="5"/>
  <c r="BU118" i="5"/>
  <c r="BY120" i="11"/>
  <c r="K119" i="10"/>
  <c r="AA119" i="7"/>
  <c r="AF119" i="8" s="1"/>
  <c r="AV119" i="8" s="1"/>
  <c r="L119" i="11"/>
  <c r="H119" i="5"/>
  <c r="C118" i="10"/>
  <c r="E118" i="7"/>
  <c r="J119" i="5"/>
  <c r="DC119" i="5" s="1"/>
  <c r="E118" i="10"/>
  <c r="G118" i="7"/>
  <c r="K119" i="5"/>
  <c r="F118" i="10"/>
  <c r="H118" i="7"/>
  <c r="DD118" i="5"/>
  <c r="G119" i="5"/>
  <c r="D118" i="7"/>
  <c r="B118" i="10"/>
  <c r="I119" i="5"/>
  <c r="D118" i="10"/>
  <c r="F118" i="7"/>
  <c r="L119" i="5"/>
  <c r="G118" i="10"/>
  <c r="I118" i="7"/>
  <c r="M119" i="5"/>
  <c r="H118" i="10"/>
  <c r="J118" i="7"/>
  <c r="CQ114" i="8"/>
  <c r="CU114" i="8" s="1"/>
  <c r="CE114" i="8"/>
  <c r="CX114" i="8" s="1"/>
  <c r="CY114" i="8" s="1"/>
  <c r="AH127" i="9"/>
  <c r="DB114" i="8"/>
  <c r="AQ114" i="5"/>
  <c r="CR114" i="8"/>
  <c r="B114" i="14"/>
  <c r="CZ118" i="5"/>
  <c r="AB118" i="1"/>
  <c r="DI118" i="5"/>
  <c r="DA117" i="5"/>
  <c r="DG117" i="5" s="1" a="1"/>
  <c r="DG117" i="5" s="1"/>
  <c r="AG127" i="9"/>
  <c r="AK127" i="9"/>
  <c r="N103" i="1"/>
  <c r="S120" i="2"/>
  <c r="N121" i="2"/>
  <c r="R121" i="2"/>
  <c r="Q120" i="2"/>
  <c r="J122" i="10"/>
  <c r="N122" i="5" s="1"/>
  <c r="P122" i="2"/>
  <c r="AI115" i="7" l="1"/>
  <c r="AO116" i="5"/>
  <c r="AM116" i="5"/>
  <c r="AN116" i="5"/>
  <c r="AV117" i="5"/>
  <c r="AW117" i="5"/>
  <c r="AG116" i="7"/>
  <c r="CL117" i="8"/>
  <c r="CC116" i="8"/>
  <c r="CV116" i="8" s="1"/>
  <c r="CW116" i="8" s="1"/>
  <c r="AC116" i="1"/>
  <c r="G122" i="8"/>
  <c r="CF121" i="8"/>
  <c r="O121" i="2"/>
  <c r="AM128" i="9"/>
  <c r="BR116" i="8"/>
  <c r="BS116" i="8"/>
  <c r="BQ121" i="5" a="1"/>
  <c r="BQ121" i="5" s="1"/>
  <c r="BN121" i="5" a="1"/>
  <c r="BN121" i="5" s="1"/>
  <c r="BG121" i="5" a="1"/>
  <c r="BG121" i="5" s="1"/>
  <c r="BJ121" i="5" a="1"/>
  <c r="BJ121" i="5" s="1"/>
  <c r="BH121" i="5" a="1"/>
  <c r="BH121" i="5" s="1"/>
  <c r="BE121" i="5" a="1"/>
  <c r="BE121" i="5" s="1"/>
  <c r="BO121" i="5" a="1"/>
  <c r="BO121" i="5" s="1"/>
  <c r="BF121" i="5" a="1"/>
  <c r="BF121" i="5" s="1"/>
  <c r="AE120" i="1" s="1"/>
  <c r="BK121" i="5" a="1"/>
  <c r="BK121" i="5" s="1"/>
  <c r="CQ121" i="5"/>
  <c r="CW121" i="5"/>
  <c r="CR121" i="5"/>
  <c r="CT121" i="5"/>
  <c r="CV121" i="5"/>
  <c r="CU121" i="5"/>
  <c r="CS121" i="5"/>
  <c r="AY121" i="5" a="1"/>
  <c r="AY121" i="5" s="1"/>
  <c r="BL121" i="5" a="1"/>
  <c r="BL121" i="5" s="1"/>
  <c r="BA121" i="5" a="1"/>
  <c r="BA121" i="5" s="1"/>
  <c r="BM121" i="5" a="1"/>
  <c r="BM121" i="5" s="1"/>
  <c r="AD119" i="1"/>
  <c r="BB121" i="5" a="1"/>
  <c r="BB121" i="5" s="1"/>
  <c r="AZ121" i="5" a="1"/>
  <c r="AZ121" i="5" s="1"/>
  <c r="BC121" i="5" a="1"/>
  <c r="BC121" i="5" s="1"/>
  <c r="BI121" i="5" a="1"/>
  <c r="BI121" i="5" s="1"/>
  <c r="BD121" i="5" a="1"/>
  <c r="BD121" i="5" s="1"/>
  <c r="CE115" i="8"/>
  <c r="CX115" i="8" s="1"/>
  <c r="CY115" i="8" s="1"/>
  <c r="V119" i="2"/>
  <c r="CQ115" i="8"/>
  <c r="CU115" i="8" s="1"/>
  <c r="F124" i="8"/>
  <c r="BP120" i="5" a="1"/>
  <c r="BP120" i="5" s="1"/>
  <c r="J120" i="2" s="1"/>
  <c r="DH117" i="8"/>
  <c r="DI117" i="8" s="1"/>
  <c r="O125" i="1"/>
  <c r="BX116" i="8"/>
  <c r="CE116" i="8" s="1"/>
  <c r="BT116" i="8"/>
  <c r="BO116" i="8"/>
  <c r="BP116" i="8"/>
  <c r="BM116" i="8"/>
  <c r="BN116" i="8"/>
  <c r="BK116" i="8"/>
  <c r="BL116" i="8"/>
  <c r="BJ116" i="8"/>
  <c r="AC116" i="10"/>
  <c r="X116" i="10" s="1"/>
  <c r="AR116" i="5"/>
  <c r="AK120" i="11"/>
  <c r="AS120" i="5"/>
  <c r="DE119" i="5"/>
  <c r="BH117" i="8"/>
  <c r="BU117" i="8" s="1"/>
  <c r="DF119" i="5"/>
  <c r="DB119" i="5"/>
  <c r="AF118" i="1"/>
  <c r="W118" i="1"/>
  <c r="K122" i="11"/>
  <c r="A122" i="14"/>
  <c r="CA122" i="14" s="1"/>
  <c r="A122" i="9"/>
  <c r="A122" i="7"/>
  <c r="R122" i="7" s="1"/>
  <c r="A122" i="2"/>
  <c r="A122" i="8"/>
  <c r="A122" i="5"/>
  <c r="DH119" i="5"/>
  <c r="AJ120" i="1"/>
  <c r="AU121" i="8"/>
  <c r="AE121" i="8"/>
  <c r="AH120" i="11"/>
  <c r="AV121" i="14" a="1"/>
  <c r="AV121" i="14" s="1"/>
  <c r="AL121" i="14" a="1"/>
  <c r="AL121" i="14" s="1"/>
  <c r="AS121" i="14" a="1"/>
  <c r="AS121" i="14" s="1"/>
  <c r="AZ121" i="14" a="1"/>
  <c r="AZ121" i="14" s="1"/>
  <c r="W121" i="14" a="1"/>
  <c r="W121" i="14" s="1"/>
  <c r="S121" i="14" a="1"/>
  <c r="S121" i="14" s="1"/>
  <c r="R121" i="14" a="1"/>
  <c r="R121" i="14" s="1"/>
  <c r="AL121" i="1" s="1"/>
  <c r="AG121" i="14" a="1"/>
  <c r="AG121" i="14" s="1"/>
  <c r="BR121" i="14" a="1"/>
  <c r="BR121" i="14" s="1"/>
  <c r="AD121" i="14" a="1"/>
  <c r="AD121" i="14" s="1"/>
  <c r="V121" i="14" a="1"/>
  <c r="V121" i="14" s="1"/>
  <c r="BA121" i="14" a="1"/>
  <c r="BA121" i="14" s="1"/>
  <c r="BX121" i="14" a="1"/>
  <c r="BX121" i="14" s="1"/>
  <c r="BM121" i="14" a="1"/>
  <c r="BM121" i="14" s="1"/>
  <c r="O121" i="14" a="1"/>
  <c r="O121" i="14" s="1"/>
  <c r="Q121" i="14" a="1"/>
  <c r="Q121" i="14" s="1"/>
  <c r="AT121" i="14" a="1"/>
  <c r="AT121" i="14" s="1"/>
  <c r="BD121" i="14" a="1"/>
  <c r="BD121" i="14" s="1"/>
  <c r="BK121" i="14" a="1"/>
  <c r="BK121" i="14" s="1"/>
  <c r="AA121" i="14" a="1"/>
  <c r="AA121" i="14" s="1"/>
  <c r="P121" i="14" a="1"/>
  <c r="P121" i="14" s="1"/>
  <c r="BE121" i="14" a="1"/>
  <c r="BE121" i="14" s="1"/>
  <c r="BV121" i="14" a="1"/>
  <c r="BV121" i="14" s="1"/>
  <c r="AO121" i="14" a="1"/>
  <c r="AO121" i="14" s="1"/>
  <c r="X121" i="14" a="1"/>
  <c r="X121" i="14" s="1"/>
  <c r="BQ121" i="14" a="1"/>
  <c r="BQ121" i="14" s="1"/>
  <c r="U121" i="14" a="1"/>
  <c r="U121" i="14" s="1"/>
  <c r="AB121" i="14" a="1"/>
  <c r="AB121" i="14" s="1"/>
  <c r="T121" i="14" a="1"/>
  <c r="T121" i="14" s="1"/>
  <c r="AP121" i="14" a="1"/>
  <c r="AP121" i="14" s="1"/>
  <c r="BF121" i="14" a="1"/>
  <c r="BF121" i="14" s="1"/>
  <c r="BU121" i="14" a="1"/>
  <c r="BU121" i="14" s="1"/>
  <c r="BB121" i="14" a="1"/>
  <c r="BB121" i="14" s="1"/>
  <c r="BG121" i="14" a="1"/>
  <c r="BG121" i="14" s="1"/>
  <c r="AY121" i="14" a="1"/>
  <c r="AY121" i="14" s="1"/>
  <c r="M121" i="14" a="1"/>
  <c r="M121" i="14" s="1"/>
  <c r="AE121" i="14" a="1"/>
  <c r="AE121" i="14" s="1"/>
  <c r="BP121" i="14" a="1"/>
  <c r="BP121" i="14" s="1"/>
  <c r="AW121" i="14" a="1"/>
  <c r="AW121" i="14" s="1"/>
  <c r="AQ121" i="14" a="1"/>
  <c r="AQ121" i="14" s="1"/>
  <c r="BS121" i="14" a="1"/>
  <c r="BS121" i="14" s="1"/>
  <c r="AC121" i="14" a="1"/>
  <c r="AC121" i="14" s="1"/>
  <c r="BC121" i="14" a="1"/>
  <c r="BC121" i="14" s="1"/>
  <c r="BN121" i="14" a="1"/>
  <c r="BN121" i="14" s="1"/>
  <c r="BW121" i="14" a="1"/>
  <c r="BW121" i="14" s="1"/>
  <c r="AM121" i="14" a="1"/>
  <c r="AM121" i="14" s="1"/>
  <c r="N121" i="14" a="1"/>
  <c r="N121" i="14" s="1"/>
  <c r="BI121" i="14" a="1"/>
  <c r="BI121" i="14" s="1"/>
  <c r="AU121" i="14" a="1"/>
  <c r="AU121" i="14" s="1"/>
  <c r="BL121" i="14" a="1"/>
  <c r="BL121" i="14" s="1"/>
  <c r="BT121" i="14" a="1"/>
  <c r="BT121" i="14" s="1"/>
  <c r="AK121" i="14" a="1"/>
  <c r="AK121" i="14" s="1"/>
  <c r="BH121" i="14" a="1"/>
  <c r="BH121" i="14" s="1"/>
  <c r="Z121" i="14" a="1"/>
  <c r="Z121" i="14" s="1"/>
  <c r="AI121" i="14" a="1"/>
  <c r="AI121" i="14" s="1"/>
  <c r="BY121" i="14" a="1"/>
  <c r="BY121" i="14" s="1"/>
  <c r="BZ121" i="14" a="1"/>
  <c r="BZ121" i="14" s="1"/>
  <c r="AX121" i="14" a="1"/>
  <c r="AX121" i="14" s="1"/>
  <c r="BO121" i="14" a="1"/>
  <c r="BO121" i="14" s="1"/>
  <c r="AR121" i="14" a="1"/>
  <c r="AR121" i="14" s="1"/>
  <c r="AF121" i="14" a="1"/>
  <c r="AF121" i="14" s="1"/>
  <c r="AH121" i="14" a="1"/>
  <c r="AH121" i="14" s="1"/>
  <c r="BJ121" i="14" a="1"/>
  <c r="BJ121" i="14" s="1"/>
  <c r="AJ121" i="14" a="1"/>
  <c r="AJ121" i="14" s="1"/>
  <c r="AN121" i="14" a="1"/>
  <c r="AN121" i="14" s="1"/>
  <c r="Y121" i="14" a="1"/>
  <c r="Y121" i="14" s="1"/>
  <c r="Y118" i="1"/>
  <c r="DJ119" i="5"/>
  <c r="AM120" i="1"/>
  <c r="AQ115" i="5"/>
  <c r="AD115" i="11"/>
  <c r="AI115" i="1" s="1"/>
  <c r="N116" i="11"/>
  <c r="AA115" i="11"/>
  <c r="AK115" i="1" s="1"/>
  <c r="AB115" i="11"/>
  <c r="Q115" i="8" s="1"/>
  <c r="Z115" i="11"/>
  <c r="BT117" i="5"/>
  <c r="Y115" i="11"/>
  <c r="AH115" i="1" s="1"/>
  <c r="CR115" i="8"/>
  <c r="AC117" i="8"/>
  <c r="BQ117" i="8" s="1"/>
  <c r="DB115" i="8"/>
  <c r="CI116" i="8"/>
  <c r="DA116" i="8" s="1"/>
  <c r="N116" i="7"/>
  <c r="B117" i="9"/>
  <c r="Y117" i="9" s="1"/>
  <c r="AI117" i="5"/>
  <c r="X117" i="8"/>
  <c r="DD117" i="8" s="1"/>
  <c r="E117" i="1"/>
  <c r="B117" i="7"/>
  <c r="AE117" i="7" s="1"/>
  <c r="AF117" i="7" s="1"/>
  <c r="A117" i="10"/>
  <c r="AA117" i="10" s="1"/>
  <c r="CS114" i="8"/>
  <c r="D117" i="9"/>
  <c r="B116" i="14"/>
  <c r="Q116" i="7"/>
  <c r="CB116" i="8"/>
  <c r="CT116" i="8" s="1"/>
  <c r="BW117" i="8"/>
  <c r="BI117" i="8"/>
  <c r="AJ117" i="5"/>
  <c r="AP117" i="5" s="1"/>
  <c r="A117" i="11"/>
  <c r="Z116" i="11" s="1"/>
  <c r="CK117" i="8"/>
  <c r="BY116" i="8"/>
  <c r="CA116" i="8"/>
  <c r="BZ116" i="8"/>
  <c r="CH116" i="8"/>
  <c r="CZ116" i="8" s="1"/>
  <c r="B119" i="2"/>
  <c r="B119" i="1"/>
  <c r="BG119" i="1" s="1"/>
  <c r="AH119" i="5"/>
  <c r="BU119" i="5"/>
  <c r="BY121" i="11"/>
  <c r="K120" i="10"/>
  <c r="AA120" i="7"/>
  <c r="AF120" i="8" s="1"/>
  <c r="AV120" i="8" s="1"/>
  <c r="L120" i="11"/>
  <c r="I120" i="5"/>
  <c r="D119" i="10"/>
  <c r="F119" i="7"/>
  <c r="K120" i="5"/>
  <c r="F119" i="10"/>
  <c r="H119" i="7"/>
  <c r="DD119" i="5"/>
  <c r="B119" i="5"/>
  <c r="M120" i="5"/>
  <c r="H119" i="10"/>
  <c r="J119" i="7"/>
  <c r="G120" i="5"/>
  <c r="D119" i="7"/>
  <c r="B119" i="10"/>
  <c r="J120" i="5"/>
  <c r="E119" i="10"/>
  <c r="G119" i="7"/>
  <c r="L120" i="5"/>
  <c r="G119" i="10"/>
  <c r="I119" i="7"/>
  <c r="H120" i="5"/>
  <c r="C119" i="10"/>
  <c r="E119" i="7"/>
  <c r="AH128" i="9"/>
  <c r="CZ119" i="5"/>
  <c r="C118" i="5"/>
  <c r="F118" i="5" s="1"/>
  <c r="C119" i="5"/>
  <c r="DA118" i="5"/>
  <c r="DG118" i="5" s="1" a="1"/>
  <c r="DG118" i="5" s="1"/>
  <c r="AB119" i="1"/>
  <c r="DI119" i="5"/>
  <c r="AG128" i="9"/>
  <c r="AK128" i="9"/>
  <c r="N104" i="1"/>
  <c r="S121" i="2"/>
  <c r="N122" i="2"/>
  <c r="R122" i="2"/>
  <c r="Q121" i="2"/>
  <c r="J123" i="10"/>
  <c r="N123" i="5" s="1"/>
  <c r="P123" i="2"/>
  <c r="AO117" i="5" l="1"/>
  <c r="AM117" i="5"/>
  <c r="AN117" i="5"/>
  <c r="AV118" i="5"/>
  <c r="AW118" i="5"/>
  <c r="AI116" i="7"/>
  <c r="AG117" i="7"/>
  <c r="CL118" i="8"/>
  <c r="BY117" i="8"/>
  <c r="CQ117" i="8" s="1"/>
  <c r="CU117" i="8" s="1"/>
  <c r="AC117" i="1"/>
  <c r="AD120" i="1"/>
  <c r="G123" i="8"/>
  <c r="CF122" i="8"/>
  <c r="O122" i="2"/>
  <c r="AM129" i="9"/>
  <c r="BR117" i="8"/>
  <c r="BS117" i="8"/>
  <c r="BD122" i="5" a="1"/>
  <c r="BD122" i="5" s="1"/>
  <c r="BI122" i="5" a="1"/>
  <c r="BI122" i="5" s="1"/>
  <c r="BK122" i="5" a="1"/>
  <c r="BK122" i="5" s="1"/>
  <c r="BC122" i="5" a="1"/>
  <c r="BC122" i="5" s="1"/>
  <c r="BF122" i="5" a="1"/>
  <c r="BF122" i="5" s="1"/>
  <c r="AE121" i="1" s="1"/>
  <c r="AZ122" i="5" a="1"/>
  <c r="AZ122" i="5" s="1"/>
  <c r="BB122" i="5" a="1"/>
  <c r="BB122" i="5" s="1"/>
  <c r="BO122" i="5" a="1"/>
  <c r="BO122" i="5" s="1"/>
  <c r="BE122" i="5" a="1"/>
  <c r="BE122" i="5" s="1"/>
  <c r="BM122" i="5" a="1"/>
  <c r="BM122" i="5" s="1"/>
  <c r="BH122" i="5" a="1"/>
  <c r="BH122" i="5" s="1"/>
  <c r="CS122" i="5"/>
  <c r="CQ122" i="5"/>
  <c r="CR122" i="5"/>
  <c r="CV122" i="5"/>
  <c r="CU122" i="5"/>
  <c r="CT122" i="5"/>
  <c r="CW122" i="5"/>
  <c r="AY122" i="5" a="1"/>
  <c r="AY122" i="5" s="1"/>
  <c r="BL122" i="5" a="1"/>
  <c r="BL122" i="5" s="1"/>
  <c r="BA122" i="5" a="1"/>
  <c r="BA122" i="5" s="1"/>
  <c r="BJ122" i="5" a="1"/>
  <c r="BJ122" i="5" s="1"/>
  <c r="BG122" i="5" a="1"/>
  <c r="BG122" i="5" s="1"/>
  <c r="BN122" i="5" a="1"/>
  <c r="BN122" i="5" s="1"/>
  <c r="BQ122" i="5" a="1"/>
  <c r="BQ122" i="5" s="1"/>
  <c r="V120" i="2"/>
  <c r="CS115" i="8"/>
  <c r="CI117" i="8"/>
  <c r="DA117" i="8" s="1"/>
  <c r="CQ116" i="8"/>
  <c r="CU116" i="8" s="1"/>
  <c r="F125" i="8"/>
  <c r="BP121" i="5" a="1"/>
  <c r="BP121" i="5" s="1"/>
  <c r="J121" i="2" s="1"/>
  <c r="O126" i="1"/>
  <c r="CD116" i="8"/>
  <c r="BX117" i="8"/>
  <c r="CD117" i="8" s="1"/>
  <c r="BT117" i="8"/>
  <c r="BO117" i="8"/>
  <c r="BP117" i="8"/>
  <c r="BM117" i="8"/>
  <c r="BN117" i="8"/>
  <c r="BK117" i="8"/>
  <c r="BL117" i="8"/>
  <c r="BJ117" i="8"/>
  <c r="AC117" i="10"/>
  <c r="X117" i="10" s="1"/>
  <c r="AR117" i="5"/>
  <c r="AK121" i="11"/>
  <c r="D118" i="9"/>
  <c r="AS121" i="5"/>
  <c r="DF120" i="5"/>
  <c r="DE120" i="5"/>
  <c r="DB120" i="5"/>
  <c r="AX122" i="14" a="1"/>
  <c r="AX122" i="14" s="1"/>
  <c r="X122" i="14" a="1"/>
  <c r="X122" i="14" s="1"/>
  <c r="BA122" i="14" a="1"/>
  <c r="BA122" i="14" s="1"/>
  <c r="P122" i="14" a="1"/>
  <c r="P122" i="14" s="1"/>
  <c r="BX122" i="14" a="1"/>
  <c r="BX122" i="14" s="1"/>
  <c r="BG122" i="14" a="1"/>
  <c r="BG122" i="14" s="1"/>
  <c r="BL122" i="14" a="1"/>
  <c r="BL122" i="14" s="1"/>
  <c r="M122" i="14" a="1"/>
  <c r="M122" i="14" s="1"/>
  <c r="BZ122" i="14" a="1"/>
  <c r="BZ122" i="14" s="1"/>
  <c r="BQ122" i="14" a="1"/>
  <c r="BQ122" i="14" s="1"/>
  <c r="W122" i="14" a="1"/>
  <c r="W122" i="14" s="1"/>
  <c r="AD122" i="14" a="1"/>
  <c r="AD122" i="14" s="1"/>
  <c r="BP122" i="14" a="1"/>
  <c r="BP122" i="14" s="1"/>
  <c r="AJ122" i="14" a="1"/>
  <c r="AJ122" i="14" s="1"/>
  <c r="AI122" i="14" a="1"/>
  <c r="AI122" i="14" s="1"/>
  <c r="R122" i="14" a="1"/>
  <c r="R122" i="14" s="1"/>
  <c r="AL122" i="1" s="1"/>
  <c r="BC122" i="14" a="1"/>
  <c r="BC122" i="14" s="1"/>
  <c r="BV122" i="14" a="1"/>
  <c r="BV122" i="14" s="1"/>
  <c r="AM122" i="14" a="1"/>
  <c r="AM122" i="14" s="1"/>
  <c r="AH122" i="14" a="1"/>
  <c r="AH122" i="14" s="1"/>
  <c r="AC122" i="14" a="1"/>
  <c r="AC122" i="14" s="1"/>
  <c r="AN122" i="14" a="1"/>
  <c r="AN122" i="14" s="1"/>
  <c r="BB122" i="14" a="1"/>
  <c r="BB122" i="14" s="1"/>
  <c r="S122" i="14" a="1"/>
  <c r="S122" i="14" s="1"/>
  <c r="BE122" i="14" a="1"/>
  <c r="BE122" i="14" s="1"/>
  <c r="BU122" i="14" a="1"/>
  <c r="BU122" i="14" s="1"/>
  <c r="BS122" i="14" a="1"/>
  <c r="BS122" i="14" s="1"/>
  <c r="AE122" i="14" a="1"/>
  <c r="AE122" i="14" s="1"/>
  <c r="AZ122" i="14" a="1"/>
  <c r="AZ122" i="14" s="1"/>
  <c r="T122" i="14" a="1"/>
  <c r="T122" i="14" s="1"/>
  <c r="BW122" i="14" a="1"/>
  <c r="BW122" i="14" s="1"/>
  <c r="AT122" i="14" a="1"/>
  <c r="AT122" i="14" s="1"/>
  <c r="AP122" i="14" a="1"/>
  <c r="AP122" i="14" s="1"/>
  <c r="AL122" i="14" a="1"/>
  <c r="AL122" i="14" s="1"/>
  <c r="BK122" i="14" a="1"/>
  <c r="BK122" i="14" s="1"/>
  <c r="BJ122" i="14" a="1"/>
  <c r="BJ122" i="14" s="1"/>
  <c r="AR122" i="14" a="1"/>
  <c r="AR122" i="14" s="1"/>
  <c r="AK122" i="14" a="1"/>
  <c r="AK122" i="14" s="1"/>
  <c r="V122" i="14" a="1"/>
  <c r="V122" i="14" s="1"/>
  <c r="AA122" i="14" a="1"/>
  <c r="AA122" i="14" s="1"/>
  <c r="AG122" i="14" a="1"/>
  <c r="AG122" i="14" s="1"/>
  <c r="BT122" i="14" a="1"/>
  <c r="BT122" i="14" s="1"/>
  <c r="BF122" i="14" a="1"/>
  <c r="BF122" i="14" s="1"/>
  <c r="BY122" i="14" a="1"/>
  <c r="BY122" i="14" s="1"/>
  <c r="Y122" i="14" a="1"/>
  <c r="Y122" i="14" s="1"/>
  <c r="AV122" i="14" a="1"/>
  <c r="AV122" i="14" s="1"/>
  <c r="Z122" i="14" a="1"/>
  <c r="Z122" i="14" s="1"/>
  <c r="N122" i="14" a="1"/>
  <c r="N122" i="14" s="1"/>
  <c r="AU122" i="14" a="1"/>
  <c r="AU122" i="14" s="1"/>
  <c r="BH122" i="14" a="1"/>
  <c r="BH122" i="14" s="1"/>
  <c r="AQ122" i="14" a="1"/>
  <c r="AQ122" i="14" s="1"/>
  <c r="BN122" i="14" a="1"/>
  <c r="BN122" i="14" s="1"/>
  <c r="BO122" i="14" a="1"/>
  <c r="BO122" i="14" s="1"/>
  <c r="BM122" i="14" a="1"/>
  <c r="BM122" i="14" s="1"/>
  <c r="BD122" i="14" a="1"/>
  <c r="BD122" i="14" s="1"/>
  <c r="AB122" i="14" a="1"/>
  <c r="AB122" i="14" s="1"/>
  <c r="AO122" i="14" a="1"/>
  <c r="AO122" i="14" s="1"/>
  <c r="BI122" i="14" a="1"/>
  <c r="BI122" i="14" s="1"/>
  <c r="AY122" i="14" a="1"/>
  <c r="AY122" i="14" s="1"/>
  <c r="AW122" i="14" a="1"/>
  <c r="AW122" i="14" s="1"/>
  <c r="U122" i="14" a="1"/>
  <c r="U122" i="14" s="1"/>
  <c r="AF122" i="14" a="1"/>
  <c r="AF122" i="14" s="1"/>
  <c r="BR122" i="14" a="1"/>
  <c r="BR122" i="14" s="1"/>
  <c r="Q122" i="14" a="1"/>
  <c r="Q122" i="14" s="1"/>
  <c r="O122" i="14" a="1"/>
  <c r="O122" i="14" s="1"/>
  <c r="AS122" i="14" a="1"/>
  <c r="AS122" i="14" s="1"/>
  <c r="DH120" i="5"/>
  <c r="W119" i="1"/>
  <c r="AM121" i="1"/>
  <c r="AJ121" i="1"/>
  <c r="AH121" i="11"/>
  <c r="AU122" i="8"/>
  <c r="AE122" i="8"/>
  <c r="K123" i="11"/>
  <c r="A123" i="14"/>
  <c r="CA123" i="14" s="1"/>
  <c r="A123" i="7"/>
  <c r="R123" i="7" s="1"/>
  <c r="A123" i="5"/>
  <c r="A123" i="9"/>
  <c r="A123" i="2"/>
  <c r="A123" i="8"/>
  <c r="Y119" i="1"/>
  <c r="DJ120" i="5"/>
  <c r="AF119" i="1"/>
  <c r="DB116" i="8"/>
  <c r="CA117" i="8"/>
  <c r="N117" i="7"/>
  <c r="AQ116" i="5"/>
  <c r="Q117" i="7"/>
  <c r="B117" i="14"/>
  <c r="BZ117" i="8"/>
  <c r="CC117" i="8"/>
  <c r="CV117" i="8" s="1"/>
  <c r="CW117" i="8" s="1"/>
  <c r="CB117" i="8"/>
  <c r="CT117" i="8" s="1"/>
  <c r="AB116" i="11"/>
  <c r="Q116" i="8" s="1"/>
  <c r="Y116" i="11"/>
  <c r="AH116" i="1" s="1"/>
  <c r="AD116" i="11"/>
  <c r="AI116" i="1" s="1"/>
  <c r="AC116" i="11"/>
  <c r="U116" i="8" s="1"/>
  <c r="CH117" i="8"/>
  <c r="CZ117" i="8" s="1"/>
  <c r="AA116" i="11"/>
  <c r="AK116" i="1" s="1"/>
  <c r="N117" i="11"/>
  <c r="F119" i="5"/>
  <c r="CR116" i="8"/>
  <c r="B120" i="5"/>
  <c r="DC120" i="5"/>
  <c r="BU120" i="5"/>
  <c r="B120" i="2"/>
  <c r="B120" i="1"/>
  <c r="BG120" i="1" s="1"/>
  <c r="AH120" i="5"/>
  <c r="BY122" i="11"/>
  <c r="K121" i="10"/>
  <c r="AA121" i="7"/>
  <c r="AF121" i="8" s="1"/>
  <c r="AV121" i="8" s="1"/>
  <c r="L121" i="11"/>
  <c r="H121" i="5"/>
  <c r="C120" i="10"/>
  <c r="E120" i="7"/>
  <c r="G121" i="5"/>
  <c r="D120" i="7"/>
  <c r="B120" i="10"/>
  <c r="L121" i="5"/>
  <c r="G120" i="10"/>
  <c r="I120" i="7"/>
  <c r="K121" i="5"/>
  <c r="F120" i="10"/>
  <c r="H120" i="7"/>
  <c r="DD120" i="5"/>
  <c r="M121" i="5"/>
  <c r="H120" i="10"/>
  <c r="J120" i="7"/>
  <c r="J121" i="5"/>
  <c r="DC121" i="5" s="1"/>
  <c r="E120" i="10"/>
  <c r="G120" i="7"/>
  <c r="I121" i="5"/>
  <c r="D120" i="10"/>
  <c r="F120" i="7"/>
  <c r="DH118" i="8"/>
  <c r="DI118" i="8" s="1"/>
  <c r="CK118" i="8"/>
  <c r="BW118" i="8"/>
  <c r="AC118" i="1" s="1"/>
  <c r="BH118" i="8"/>
  <c r="BU118" i="8" s="1"/>
  <c r="BI118" i="8"/>
  <c r="AH129" i="9"/>
  <c r="A118" i="10"/>
  <c r="AA118" i="10" s="1"/>
  <c r="B118" i="7"/>
  <c r="X118" i="8"/>
  <c r="DD118" i="8" s="1"/>
  <c r="E118" i="1"/>
  <c r="AJ118" i="5"/>
  <c r="AP118" i="5" s="1"/>
  <c r="B118" i="9"/>
  <c r="Y118" i="9" s="1"/>
  <c r="AI118" i="5"/>
  <c r="A118" i="11"/>
  <c r="AC118" i="8"/>
  <c r="BQ118" i="8" s="1"/>
  <c r="BT118" i="5"/>
  <c r="CZ120" i="5"/>
  <c r="AB120" i="1"/>
  <c r="DI120" i="5"/>
  <c r="DA119" i="5"/>
  <c r="DG119" i="5" s="1" a="1"/>
  <c r="DG119" i="5" s="1"/>
  <c r="AG129" i="9"/>
  <c r="AK129" i="9"/>
  <c r="N105" i="1"/>
  <c r="S122" i="2"/>
  <c r="N123" i="2"/>
  <c r="R123" i="2"/>
  <c r="Q122" i="2"/>
  <c r="P124" i="2"/>
  <c r="J124" i="10"/>
  <c r="N124" i="5" s="1"/>
  <c r="AO118" i="5" l="1"/>
  <c r="AM118" i="5"/>
  <c r="AN118" i="5"/>
  <c r="AI117" i="7"/>
  <c r="AV119" i="5"/>
  <c r="AW119" i="5"/>
  <c r="CL119" i="8"/>
  <c r="G124" i="8"/>
  <c r="CF123" i="8"/>
  <c r="O123" i="2"/>
  <c r="BH123" i="5" a="1"/>
  <c r="BH123" i="5" s="1"/>
  <c r="AM130" i="9"/>
  <c r="BR118" i="8"/>
  <c r="BS118" i="8"/>
  <c r="AD121" i="1"/>
  <c r="BM123" i="5" a="1"/>
  <c r="BM123" i="5" s="1"/>
  <c r="BQ123" i="5" a="1"/>
  <c r="BQ123" i="5" s="1"/>
  <c r="BE123" i="5" a="1"/>
  <c r="BE123" i="5" s="1"/>
  <c r="BN123" i="5" a="1"/>
  <c r="BN123" i="5" s="1"/>
  <c r="BO123" i="5" a="1"/>
  <c r="BO123" i="5" s="1"/>
  <c r="CR123" i="5"/>
  <c r="CU123" i="5"/>
  <c r="CS123" i="5"/>
  <c r="CQ123" i="5"/>
  <c r="CT123" i="5"/>
  <c r="CV123" i="5"/>
  <c r="CW123" i="5"/>
  <c r="AY123" i="5" a="1"/>
  <c r="AY123" i="5" s="1"/>
  <c r="BL123" i="5" a="1"/>
  <c r="BL123" i="5" s="1"/>
  <c r="BG123" i="5" a="1"/>
  <c r="BG123" i="5" s="1"/>
  <c r="BB123" i="5" a="1"/>
  <c r="BB123" i="5" s="1"/>
  <c r="BJ123" i="5" a="1"/>
  <c r="BJ123" i="5" s="1"/>
  <c r="AZ123" i="5" a="1"/>
  <c r="AZ123" i="5" s="1"/>
  <c r="BA123" i="5" a="1"/>
  <c r="BA123" i="5" s="1"/>
  <c r="BF123" i="5" a="1"/>
  <c r="BF123" i="5" s="1"/>
  <c r="AE122" i="1" s="1"/>
  <c r="BC123" i="5" a="1"/>
  <c r="BC123" i="5" s="1"/>
  <c r="BK123" i="5" a="1"/>
  <c r="BK123" i="5" s="1"/>
  <c r="BI123" i="5" a="1"/>
  <c r="BI123" i="5" s="1"/>
  <c r="BD123" i="5" a="1"/>
  <c r="BD123" i="5" s="1"/>
  <c r="V121" i="2"/>
  <c r="DB117" i="8"/>
  <c r="CS116" i="8"/>
  <c r="CX116" i="8"/>
  <c r="CY116" i="8" s="1"/>
  <c r="F126" i="8"/>
  <c r="BP122" i="5" a="1"/>
  <c r="BP122" i="5" s="1"/>
  <c r="J122" i="2" s="1"/>
  <c r="O127" i="1"/>
  <c r="CE117" i="8"/>
  <c r="CX117" i="8" s="1"/>
  <c r="CY117" i="8" s="1"/>
  <c r="BX118" i="8"/>
  <c r="CE118" i="8" s="1"/>
  <c r="BT118" i="8"/>
  <c r="BO118" i="8"/>
  <c r="BP118" i="8"/>
  <c r="BM118" i="8"/>
  <c r="BN118" i="8"/>
  <c r="BK118" i="8"/>
  <c r="BL118" i="8"/>
  <c r="BJ118" i="8"/>
  <c r="AC118" i="10"/>
  <c r="X118" i="10" s="1"/>
  <c r="AR118" i="5"/>
  <c r="AK122" i="11"/>
  <c r="AS122" i="5"/>
  <c r="DE121" i="5"/>
  <c r="DB121" i="5"/>
  <c r="CK119" i="8"/>
  <c r="AJ122" i="1"/>
  <c r="AF120" i="1"/>
  <c r="DH121" i="5"/>
  <c r="K124" i="11"/>
  <c r="A124" i="14"/>
  <c r="CA124" i="14" s="1"/>
  <c r="A124" i="7"/>
  <c r="R124" i="7" s="1"/>
  <c r="A124" i="5"/>
  <c r="A124" i="9"/>
  <c r="A124" i="2"/>
  <c r="A124" i="8"/>
  <c r="AU123" i="8"/>
  <c r="AE123" i="8"/>
  <c r="W120" i="1"/>
  <c r="AM122" i="1"/>
  <c r="Y120" i="1"/>
  <c r="DJ121" i="5"/>
  <c r="AH122" i="11"/>
  <c r="AU123" i="14" a="1"/>
  <c r="AU123" i="14" s="1"/>
  <c r="BB123" i="14" a="1"/>
  <c r="BB123" i="14" s="1"/>
  <c r="BJ123" i="14" a="1"/>
  <c r="BJ123" i="14" s="1"/>
  <c r="P123" i="14" a="1"/>
  <c r="P123" i="14" s="1"/>
  <c r="BN123" i="14" a="1"/>
  <c r="BN123" i="14" s="1"/>
  <c r="BG123" i="14" a="1"/>
  <c r="BG123" i="14" s="1"/>
  <c r="AX123" i="14" a="1"/>
  <c r="AX123" i="14" s="1"/>
  <c r="U123" i="14" a="1"/>
  <c r="U123" i="14" s="1"/>
  <c r="BC123" i="14" a="1"/>
  <c r="BC123" i="14" s="1"/>
  <c r="O123" i="14" a="1"/>
  <c r="O123" i="14" s="1"/>
  <c r="V123" i="14" a="1"/>
  <c r="V123" i="14" s="1"/>
  <c r="BI123" i="14" a="1"/>
  <c r="BI123" i="14" s="1"/>
  <c r="BO123" i="14" a="1"/>
  <c r="BO123" i="14" s="1"/>
  <c r="AY123" i="14" a="1"/>
  <c r="AY123" i="14" s="1"/>
  <c r="Z123" i="14" a="1"/>
  <c r="Z123" i="14" s="1"/>
  <c r="BQ123" i="14" a="1"/>
  <c r="BQ123" i="14" s="1"/>
  <c r="BY123" i="14" a="1"/>
  <c r="BY123" i="14" s="1"/>
  <c r="BS123" i="14" a="1"/>
  <c r="BS123" i="14" s="1"/>
  <c r="W123" i="14" a="1"/>
  <c r="W123" i="14" s="1"/>
  <c r="BL123" i="14" a="1"/>
  <c r="BL123" i="14" s="1"/>
  <c r="BZ123" i="14" a="1"/>
  <c r="BZ123" i="14" s="1"/>
  <c r="AI123" i="14" a="1"/>
  <c r="AI123" i="14" s="1"/>
  <c r="BE123" i="14" a="1"/>
  <c r="BE123" i="14" s="1"/>
  <c r="BT123" i="14" a="1"/>
  <c r="BT123" i="14" s="1"/>
  <c r="M123" i="14" a="1"/>
  <c r="M123" i="14" s="1"/>
  <c r="AJ123" i="14" a="1"/>
  <c r="AJ123" i="14" s="1"/>
  <c r="AM123" i="14" a="1"/>
  <c r="AM123" i="14" s="1"/>
  <c r="BM123" i="14" a="1"/>
  <c r="BM123" i="14" s="1"/>
  <c r="AV123" i="14" a="1"/>
  <c r="AV123" i="14" s="1"/>
  <c r="BX123" i="14" a="1"/>
  <c r="BX123" i="14" s="1"/>
  <c r="AO123" i="14" a="1"/>
  <c r="AO123" i="14" s="1"/>
  <c r="T123" i="14" a="1"/>
  <c r="T123" i="14" s="1"/>
  <c r="AG123" i="14" a="1"/>
  <c r="AG123" i="14" s="1"/>
  <c r="AW123" i="14" a="1"/>
  <c r="AW123" i="14" s="1"/>
  <c r="AF123" i="14" a="1"/>
  <c r="AF123" i="14" s="1"/>
  <c r="BH123" i="14" a="1"/>
  <c r="BH123" i="14" s="1"/>
  <c r="BW123" i="14" a="1"/>
  <c r="BW123" i="14" s="1"/>
  <c r="AP123" i="14" a="1"/>
  <c r="AP123" i="14" s="1"/>
  <c r="BD123" i="14" a="1"/>
  <c r="BD123" i="14" s="1"/>
  <c r="AZ123" i="14" a="1"/>
  <c r="AZ123" i="14" s="1"/>
  <c r="Q123" i="14" a="1"/>
  <c r="Q123" i="14" s="1"/>
  <c r="N123" i="14" a="1"/>
  <c r="N123" i="14" s="1"/>
  <c r="AS123" i="14" a="1"/>
  <c r="AS123" i="14" s="1"/>
  <c r="AB123" i="14" a="1"/>
  <c r="AB123" i="14" s="1"/>
  <c r="AQ123" i="14" a="1"/>
  <c r="AQ123" i="14" s="1"/>
  <c r="Y123" i="14" a="1"/>
  <c r="Y123" i="14" s="1"/>
  <c r="X123" i="14" a="1"/>
  <c r="X123" i="14" s="1"/>
  <c r="BP123" i="14" a="1"/>
  <c r="BP123" i="14" s="1"/>
  <c r="AR123" i="14" a="1"/>
  <c r="AR123" i="14" s="1"/>
  <c r="AN123" i="14" a="1"/>
  <c r="AN123" i="14" s="1"/>
  <c r="AE123" i="14" a="1"/>
  <c r="AE123" i="14" s="1"/>
  <c r="S123" i="14" a="1"/>
  <c r="S123" i="14" s="1"/>
  <c r="BA123" i="14" a="1"/>
  <c r="BA123" i="14" s="1"/>
  <c r="BR123" i="14" a="1"/>
  <c r="BR123" i="14" s="1"/>
  <c r="AA123" i="14" a="1"/>
  <c r="AA123" i="14" s="1"/>
  <c r="AL123" i="14" a="1"/>
  <c r="AL123" i="14" s="1"/>
  <c r="BV123" i="14" a="1"/>
  <c r="BV123" i="14" s="1"/>
  <c r="AT123" i="14" a="1"/>
  <c r="AT123" i="14" s="1"/>
  <c r="R123" i="14" a="1"/>
  <c r="R123" i="14" s="1"/>
  <c r="AL123" i="1" s="1"/>
  <c r="AD123" i="14" a="1"/>
  <c r="AD123" i="14" s="1"/>
  <c r="BF123" i="14" a="1"/>
  <c r="BF123" i="14" s="1"/>
  <c r="AC123" i="14" a="1"/>
  <c r="AC123" i="14" s="1"/>
  <c r="BU123" i="14" a="1"/>
  <c r="BU123" i="14" s="1"/>
  <c r="AH123" i="14" a="1"/>
  <c r="AH123" i="14" s="1"/>
  <c r="AK123" i="14" a="1"/>
  <c r="AK123" i="14" s="1"/>
  <c r="BK123" i="14" a="1"/>
  <c r="BK123" i="14" s="1"/>
  <c r="CR117" i="8"/>
  <c r="CS117" i="8" s="1"/>
  <c r="AQ117" i="5"/>
  <c r="BI119" i="8"/>
  <c r="A119" i="10"/>
  <c r="AA119" i="10" s="1"/>
  <c r="A119" i="11"/>
  <c r="N119" i="11" s="1"/>
  <c r="E119" i="1"/>
  <c r="AI119" i="5"/>
  <c r="B119" i="9"/>
  <c r="Y119" i="9" s="1"/>
  <c r="BW119" i="8"/>
  <c r="B119" i="7"/>
  <c r="AE119" i="7" s="1"/>
  <c r="AF119" i="7" s="1"/>
  <c r="AJ119" i="5"/>
  <c r="AP119" i="5" s="1"/>
  <c r="AC119" i="8"/>
  <c r="BQ119" i="8" s="1"/>
  <c r="BH119" i="8"/>
  <c r="BU119" i="8" s="1"/>
  <c r="DH119" i="8"/>
  <c r="DI119" i="8" s="1"/>
  <c r="X119" i="8"/>
  <c r="DD119" i="8" s="1"/>
  <c r="BT119" i="5"/>
  <c r="B121" i="5"/>
  <c r="DF121" i="5"/>
  <c r="B121" i="2"/>
  <c r="B121" i="1"/>
  <c r="BG121" i="1" s="1"/>
  <c r="AH121" i="5"/>
  <c r="BU121" i="5"/>
  <c r="BY123" i="11"/>
  <c r="K122" i="10"/>
  <c r="AA122" i="7"/>
  <c r="AF122" i="8" s="1"/>
  <c r="AV122" i="8" s="1"/>
  <c r="L122" i="11"/>
  <c r="M122" i="5"/>
  <c r="H121" i="10"/>
  <c r="J121" i="7"/>
  <c r="L122" i="5"/>
  <c r="G121" i="10"/>
  <c r="I121" i="7"/>
  <c r="I122" i="5"/>
  <c r="D121" i="10"/>
  <c r="F121" i="7"/>
  <c r="B121" i="10"/>
  <c r="G122" i="5"/>
  <c r="D121" i="7"/>
  <c r="J122" i="5"/>
  <c r="DC122" i="5" s="1"/>
  <c r="E121" i="10"/>
  <c r="G121" i="7"/>
  <c r="K122" i="5"/>
  <c r="F121" i="10"/>
  <c r="H121" i="7"/>
  <c r="DD121" i="5"/>
  <c r="H122" i="5"/>
  <c r="C121" i="10"/>
  <c r="E121" i="7"/>
  <c r="D119" i="9"/>
  <c r="N118" i="7"/>
  <c r="AH130" i="9"/>
  <c r="C120" i="5"/>
  <c r="F120" i="5" s="1"/>
  <c r="AC117" i="11"/>
  <c r="U117" i="8" s="1"/>
  <c r="AB117" i="11"/>
  <c r="Q117" i="8" s="1"/>
  <c r="AD117" i="11"/>
  <c r="AI117" i="1" s="1"/>
  <c r="AA117" i="11"/>
  <c r="AK117" i="1" s="1"/>
  <c r="N118" i="11"/>
  <c r="Z117" i="11"/>
  <c r="Y117" i="11"/>
  <c r="AH117" i="1" s="1"/>
  <c r="CI118" i="8"/>
  <c r="DA118" i="8" s="1"/>
  <c r="AE118" i="7"/>
  <c r="AF118" i="7" s="1"/>
  <c r="Q118" i="7"/>
  <c r="CZ121" i="5"/>
  <c r="BY118" i="8"/>
  <c r="BZ118" i="8"/>
  <c r="CH118" i="8"/>
  <c r="CZ118" i="8" s="1"/>
  <c r="CC118" i="8"/>
  <c r="CV118" i="8" s="1"/>
  <c r="CW118" i="8" s="1"/>
  <c r="CA118" i="8"/>
  <c r="CB118" i="8"/>
  <c r="CT118" i="8" s="1"/>
  <c r="DA120" i="5"/>
  <c r="DG120" i="5" s="1" a="1"/>
  <c r="DG120" i="5" s="1"/>
  <c r="AB121" i="1"/>
  <c r="DI121" i="5"/>
  <c r="AG130" i="9"/>
  <c r="AK130" i="9"/>
  <c r="N106" i="1"/>
  <c r="S123" i="2"/>
  <c r="N124" i="2"/>
  <c r="R124" i="2"/>
  <c r="Q123" i="2"/>
  <c r="J125" i="10"/>
  <c r="N125" i="5" s="1"/>
  <c r="P125" i="2"/>
  <c r="AO119" i="5" l="1"/>
  <c r="AM119" i="5"/>
  <c r="AN119" i="5"/>
  <c r="AV120" i="5"/>
  <c r="AW120" i="5"/>
  <c r="AG119" i="7"/>
  <c r="AG118" i="7"/>
  <c r="AI118" i="7" s="1"/>
  <c r="CL120" i="8"/>
  <c r="CB119" i="8"/>
  <c r="CT119" i="8" s="1"/>
  <c r="AC119" i="1"/>
  <c r="G125" i="8"/>
  <c r="CF124" i="8"/>
  <c r="O124" i="2"/>
  <c r="BI124" i="5" a="1"/>
  <c r="BI124" i="5" s="1"/>
  <c r="BG124" i="5" a="1"/>
  <c r="BG124" i="5" s="1"/>
  <c r="BK124" i="5" a="1"/>
  <c r="BK124" i="5" s="1"/>
  <c r="BC124" i="5" a="1"/>
  <c r="BC124" i="5" s="1"/>
  <c r="BO124" i="5" a="1"/>
  <c r="BO124" i="5" s="1"/>
  <c r="BD124" i="5" a="1"/>
  <c r="BD124" i="5" s="1"/>
  <c r="BF124" i="5" a="1"/>
  <c r="BF124" i="5" s="1"/>
  <c r="AE123" i="1" s="1"/>
  <c r="AM131" i="9"/>
  <c r="BR119" i="8"/>
  <c r="BS119" i="8"/>
  <c r="AD122" i="1"/>
  <c r="BA124" i="5" a="1"/>
  <c r="BA124" i="5" s="1"/>
  <c r="BN124" i="5" a="1"/>
  <c r="BN124" i="5" s="1"/>
  <c r="BE124" i="5" a="1"/>
  <c r="BE124" i="5" s="1"/>
  <c r="AZ124" i="5" a="1"/>
  <c r="AZ124" i="5" s="1"/>
  <c r="BQ124" i="5" a="1"/>
  <c r="BQ124" i="5" s="1"/>
  <c r="BJ124" i="5" a="1"/>
  <c r="BJ124" i="5" s="1"/>
  <c r="BM124" i="5" a="1"/>
  <c r="BM124" i="5" s="1"/>
  <c r="CS124" i="5"/>
  <c r="CT124" i="5"/>
  <c r="CV124" i="5"/>
  <c r="CQ124" i="5"/>
  <c r="CU124" i="5"/>
  <c r="CW124" i="5"/>
  <c r="CR124" i="5"/>
  <c r="AY124" i="5" a="1"/>
  <c r="AY124" i="5" s="1"/>
  <c r="BL124" i="5" a="1"/>
  <c r="BL124" i="5" s="1"/>
  <c r="BB124" i="5" a="1"/>
  <c r="BB124" i="5" s="1"/>
  <c r="BH124" i="5" a="1"/>
  <c r="BH124" i="5" s="1"/>
  <c r="V122" i="2"/>
  <c r="F127" i="8"/>
  <c r="BP123" i="5" a="1"/>
  <c r="BP123" i="5" s="1"/>
  <c r="J123" i="2" s="1"/>
  <c r="O128" i="1"/>
  <c r="CD118" i="8"/>
  <c r="AK123" i="11"/>
  <c r="BX119" i="8"/>
  <c r="CD119" i="8" s="1"/>
  <c r="BT119" i="8"/>
  <c r="BO119" i="8"/>
  <c r="BP119" i="8"/>
  <c r="BM119" i="8"/>
  <c r="BN119" i="8"/>
  <c r="BK119" i="8"/>
  <c r="BL119" i="8"/>
  <c r="BJ119" i="8"/>
  <c r="AC119" i="10"/>
  <c r="X119" i="10" s="1"/>
  <c r="AR119" i="5"/>
  <c r="AS123" i="5"/>
  <c r="DE122" i="5"/>
  <c r="DF122" i="5"/>
  <c r="DB122" i="5"/>
  <c r="AM123" i="1"/>
  <c r="AJ123" i="1"/>
  <c r="Y121" i="1"/>
  <c r="DJ122" i="5"/>
  <c r="AU124" i="8"/>
  <c r="AE124" i="8"/>
  <c r="DH122" i="5"/>
  <c r="AF121" i="1"/>
  <c r="K125" i="11"/>
  <c r="A125" i="14"/>
  <c r="CA125" i="14" s="1"/>
  <c r="A125" i="9"/>
  <c r="A125" i="8"/>
  <c r="A125" i="7"/>
  <c r="R125" i="7" s="1"/>
  <c r="A125" i="2"/>
  <c r="A125" i="5"/>
  <c r="AH123" i="11"/>
  <c r="BO124" i="14" a="1"/>
  <c r="BO124" i="14" s="1"/>
  <c r="AV124" i="14" a="1"/>
  <c r="AV124" i="14" s="1"/>
  <c r="N124" i="14" a="1"/>
  <c r="N124" i="14" s="1"/>
  <c r="BI124" i="14" a="1"/>
  <c r="BI124" i="14" s="1"/>
  <c r="AA124" i="14" a="1"/>
  <c r="AA124" i="14" s="1"/>
  <c r="BF124" i="14" a="1"/>
  <c r="BF124" i="14" s="1"/>
  <c r="X124" i="14" a="1"/>
  <c r="X124" i="14" s="1"/>
  <c r="BE124" i="14" a="1"/>
  <c r="BE124" i="14" s="1"/>
  <c r="BL124" i="14" a="1"/>
  <c r="BL124" i="14" s="1"/>
  <c r="P124" i="14" a="1"/>
  <c r="P124" i="14" s="1"/>
  <c r="BG124" i="14" a="1"/>
  <c r="BG124" i="14" s="1"/>
  <c r="V124" i="14" a="1"/>
  <c r="V124" i="14" s="1"/>
  <c r="AB124" i="14" a="1"/>
  <c r="AB124" i="14" s="1"/>
  <c r="AX124" i="14" a="1"/>
  <c r="AX124" i="14" s="1"/>
  <c r="AO124" i="14" a="1"/>
  <c r="AO124" i="14" s="1"/>
  <c r="T124" i="14" a="1"/>
  <c r="T124" i="14" s="1"/>
  <c r="BT124" i="14" a="1"/>
  <c r="BT124" i="14" s="1"/>
  <c r="BR124" i="14" a="1"/>
  <c r="BR124" i="14" s="1"/>
  <c r="AT124" i="14" a="1"/>
  <c r="AT124" i="14" s="1"/>
  <c r="AS124" i="14" a="1"/>
  <c r="AS124" i="14" s="1"/>
  <c r="BD124" i="14" a="1"/>
  <c r="BD124" i="14" s="1"/>
  <c r="AH124" i="14" a="1"/>
  <c r="AH124" i="14" s="1"/>
  <c r="AP124" i="14" a="1"/>
  <c r="AP124" i="14" s="1"/>
  <c r="Y124" i="14" a="1"/>
  <c r="Y124" i="14" s="1"/>
  <c r="AR124" i="14" a="1"/>
  <c r="AR124" i="14" s="1"/>
  <c r="AF124" i="14" a="1"/>
  <c r="AF124" i="14" s="1"/>
  <c r="O124" i="14" a="1"/>
  <c r="O124" i="14" s="1"/>
  <c r="U124" i="14" a="1"/>
  <c r="U124" i="14" s="1"/>
  <c r="BV124" i="14" a="1"/>
  <c r="BV124" i="14" s="1"/>
  <c r="BW124" i="14" a="1"/>
  <c r="BW124" i="14" s="1"/>
  <c r="R124" i="14" a="1"/>
  <c r="R124" i="14" s="1"/>
  <c r="AL124" i="1" s="1"/>
  <c r="AG124" i="14" a="1"/>
  <c r="AG124" i="14" s="1"/>
  <c r="AQ124" i="14" a="1"/>
  <c r="AQ124" i="14" s="1"/>
  <c r="BB124" i="14" a="1"/>
  <c r="BB124" i="14" s="1"/>
  <c r="AU124" i="14" a="1"/>
  <c r="AU124" i="14" s="1"/>
  <c r="AC124" i="14" a="1"/>
  <c r="AC124" i="14" s="1"/>
  <c r="BX124" i="14" a="1"/>
  <c r="BX124" i="14" s="1"/>
  <c r="AM124" i="14" a="1"/>
  <c r="AM124" i="14" s="1"/>
  <c r="M124" i="14" a="1"/>
  <c r="M124" i="14" s="1"/>
  <c r="AZ124" i="14" a="1"/>
  <c r="AZ124" i="14" s="1"/>
  <c r="S124" i="14" a="1"/>
  <c r="S124" i="14" s="1"/>
  <c r="BS124" i="14" a="1"/>
  <c r="BS124" i="14" s="1"/>
  <c r="AL124" i="14" a="1"/>
  <c r="AL124" i="14" s="1"/>
  <c r="BA124" i="14" a="1"/>
  <c r="BA124" i="14" s="1"/>
  <c r="BY124" i="14" a="1"/>
  <c r="BY124" i="14" s="1"/>
  <c r="BC124" i="14" a="1"/>
  <c r="BC124" i="14" s="1"/>
  <c r="BM124" i="14" a="1"/>
  <c r="BM124" i="14" s="1"/>
  <c r="Z124" i="14" a="1"/>
  <c r="Z124" i="14" s="1"/>
  <c r="AJ124" i="14" a="1"/>
  <c r="AJ124" i="14" s="1"/>
  <c r="BP124" i="14" a="1"/>
  <c r="BP124" i="14" s="1"/>
  <c r="BH124" i="14" a="1"/>
  <c r="BH124" i="14" s="1"/>
  <c r="AD124" i="14" a="1"/>
  <c r="AD124" i="14" s="1"/>
  <c r="AE124" i="14" a="1"/>
  <c r="AE124" i="14" s="1"/>
  <c r="AK124" i="14" a="1"/>
  <c r="AK124" i="14" s="1"/>
  <c r="AN124" i="14" a="1"/>
  <c r="AN124" i="14" s="1"/>
  <c r="AW124" i="14" a="1"/>
  <c r="AW124" i="14" s="1"/>
  <c r="BU124" i="14" a="1"/>
  <c r="BU124" i="14" s="1"/>
  <c r="AY124" i="14" a="1"/>
  <c r="AY124" i="14" s="1"/>
  <c r="BJ124" i="14" a="1"/>
  <c r="BJ124" i="14" s="1"/>
  <c r="BQ124" i="14" a="1"/>
  <c r="BQ124" i="14" s="1"/>
  <c r="BZ124" i="14" a="1"/>
  <c r="BZ124" i="14" s="1"/>
  <c r="BN124" i="14" a="1"/>
  <c r="BN124" i="14" s="1"/>
  <c r="BK124" i="14" a="1"/>
  <c r="BK124" i="14" s="1"/>
  <c r="AI124" i="14" a="1"/>
  <c r="AI124" i="14" s="1"/>
  <c r="W124" i="14" a="1"/>
  <c r="W124" i="14" s="1"/>
  <c r="Q124" i="14" a="1"/>
  <c r="Q124" i="14" s="1"/>
  <c r="W121" i="1"/>
  <c r="BY119" i="8"/>
  <c r="AD118" i="11"/>
  <c r="AI118" i="1" s="1"/>
  <c r="Z118" i="11"/>
  <c r="Y118" i="11"/>
  <c r="AH118" i="1" s="1"/>
  <c r="AC118" i="11"/>
  <c r="U118" i="8" s="1"/>
  <c r="AB118" i="11"/>
  <c r="Q118" i="8" s="1"/>
  <c r="B119" i="14"/>
  <c r="AA118" i="11"/>
  <c r="AK118" i="1" s="1"/>
  <c r="Q119" i="7"/>
  <c r="AI119" i="7" s="1"/>
  <c r="CA119" i="8"/>
  <c r="CC119" i="8"/>
  <c r="CV119" i="8" s="1"/>
  <c r="CW119" i="8" s="1"/>
  <c r="BZ119" i="8"/>
  <c r="CH119" i="8"/>
  <c r="CZ119" i="8" s="1"/>
  <c r="CI119" i="8"/>
  <c r="DA119" i="8" s="1"/>
  <c r="D120" i="9"/>
  <c r="N119" i="7"/>
  <c r="B122" i="5"/>
  <c r="B122" i="1"/>
  <c r="BG122" i="1" s="1"/>
  <c r="AH122" i="5"/>
  <c r="BU122" i="5"/>
  <c r="B122" i="2"/>
  <c r="BY124" i="11"/>
  <c r="K123" i="10"/>
  <c r="AA123" i="7"/>
  <c r="AF123" i="8" s="1"/>
  <c r="AV123" i="8" s="1"/>
  <c r="L123" i="11"/>
  <c r="J123" i="5"/>
  <c r="DC123" i="5" s="1"/>
  <c r="E122" i="10"/>
  <c r="G122" i="7"/>
  <c r="I123" i="5"/>
  <c r="D122" i="10"/>
  <c r="F122" i="7"/>
  <c r="H123" i="5"/>
  <c r="C122" i="10"/>
  <c r="E122" i="7"/>
  <c r="G123" i="5"/>
  <c r="D122" i="7"/>
  <c r="B122" i="10"/>
  <c r="L123" i="5"/>
  <c r="G122" i="10"/>
  <c r="I122" i="7"/>
  <c r="K123" i="5"/>
  <c r="F122" i="10"/>
  <c r="H122" i="7"/>
  <c r="DD122" i="5"/>
  <c r="M123" i="5"/>
  <c r="H122" i="10"/>
  <c r="J122" i="7"/>
  <c r="CQ118" i="8"/>
  <c r="CU118" i="8" s="1"/>
  <c r="DH120" i="8"/>
  <c r="DI120" i="8" s="1"/>
  <c r="CK120" i="8"/>
  <c r="BW120" i="8"/>
  <c r="AC120" i="1" s="1"/>
  <c r="BI120" i="8"/>
  <c r="B120" i="7"/>
  <c r="AE120" i="7" s="1"/>
  <c r="AF120" i="7" s="1"/>
  <c r="BH120" i="8"/>
  <c r="AH131" i="9"/>
  <c r="DB118" i="8"/>
  <c r="A120" i="11"/>
  <c r="AC119" i="11" s="1"/>
  <c r="U119" i="8" s="1"/>
  <c r="B120" i="9"/>
  <c r="Y120" i="9" s="1"/>
  <c r="E120" i="1"/>
  <c r="AC120" i="8"/>
  <c r="BQ120" i="8" s="1"/>
  <c r="AJ120" i="5"/>
  <c r="AP120" i="5" s="1"/>
  <c r="BT120" i="5"/>
  <c r="X120" i="8"/>
  <c r="DD120" i="8" s="1"/>
  <c r="AI120" i="5"/>
  <c r="A120" i="10"/>
  <c r="AA120" i="10" s="1"/>
  <c r="C121" i="5"/>
  <c r="F121" i="5" s="1"/>
  <c r="CR118" i="8"/>
  <c r="AQ118" i="5"/>
  <c r="B118" i="14"/>
  <c r="CZ122" i="5"/>
  <c r="AB122" i="1"/>
  <c r="DI122" i="5"/>
  <c r="DA121" i="5"/>
  <c r="DG121" i="5" s="1" a="1"/>
  <c r="DG121" i="5" s="1"/>
  <c r="AG131" i="9"/>
  <c r="AK131" i="9"/>
  <c r="N107" i="1"/>
  <c r="S124" i="2"/>
  <c r="N125" i="2"/>
  <c r="R125" i="2"/>
  <c r="Q124" i="2"/>
  <c r="P126" i="2"/>
  <c r="J126" i="10"/>
  <c r="N126" i="5" s="1"/>
  <c r="AO120" i="5" l="1"/>
  <c r="AM120" i="5"/>
  <c r="AN120" i="5"/>
  <c r="AR120" i="5" s="1"/>
  <c r="AV121" i="5"/>
  <c r="AW121" i="5"/>
  <c r="AG120" i="7"/>
  <c r="CL121" i="8"/>
  <c r="G126" i="8"/>
  <c r="CF125" i="8"/>
  <c r="O125" i="2"/>
  <c r="AZ125" i="5" a="1"/>
  <c r="AZ125" i="5" s="1"/>
  <c r="BM125" i="5" a="1"/>
  <c r="BM125" i="5" s="1"/>
  <c r="AM132" i="9"/>
  <c r="BR120" i="8"/>
  <c r="BS120" i="8"/>
  <c r="AD123" i="1"/>
  <c r="BJ125" i="5" a="1"/>
  <c r="BJ125" i="5" s="1"/>
  <c r="BQ125" i="5" a="1"/>
  <c r="BQ125" i="5" s="1"/>
  <c r="BE125" i="5" a="1"/>
  <c r="BE125" i="5" s="1"/>
  <c r="BH125" i="5" a="1"/>
  <c r="BH125" i="5" s="1"/>
  <c r="BN125" i="5" a="1"/>
  <c r="BN125" i="5" s="1"/>
  <c r="BB125" i="5" a="1"/>
  <c r="BB125" i="5" s="1"/>
  <c r="BA125" i="5" a="1"/>
  <c r="BA125" i="5" s="1"/>
  <c r="CQ125" i="5"/>
  <c r="CS125" i="5"/>
  <c r="CV125" i="5"/>
  <c r="CU125" i="5"/>
  <c r="CR125" i="5"/>
  <c r="CT125" i="5"/>
  <c r="CW125" i="5"/>
  <c r="AY125" i="5" a="1"/>
  <c r="AY125" i="5" s="1"/>
  <c r="BL125" i="5" a="1"/>
  <c r="BL125" i="5" s="1"/>
  <c r="BO125" i="5" a="1"/>
  <c r="BO125" i="5" s="1"/>
  <c r="BF125" i="5" a="1"/>
  <c r="BF125" i="5" s="1"/>
  <c r="AE124" i="1" s="1"/>
  <c r="BC125" i="5" a="1"/>
  <c r="BC125" i="5" s="1"/>
  <c r="BK125" i="5" a="1"/>
  <c r="BK125" i="5" s="1"/>
  <c r="BI125" i="5" a="1"/>
  <c r="BI125" i="5" s="1"/>
  <c r="BD125" i="5" a="1"/>
  <c r="BD125" i="5" s="1"/>
  <c r="BG125" i="5" a="1"/>
  <c r="BG125" i="5" s="1"/>
  <c r="V123" i="2"/>
  <c r="CX118" i="8"/>
  <c r="CY118" i="8" s="1"/>
  <c r="CQ119" i="8"/>
  <c r="CU119" i="8" s="1"/>
  <c r="F128" i="8"/>
  <c r="BP124" i="5" a="1"/>
  <c r="BP124" i="5" s="1"/>
  <c r="J124" i="2" s="1"/>
  <c r="O129" i="1"/>
  <c r="AK124" i="11"/>
  <c r="CE119" i="8"/>
  <c r="CX119" i="8" s="1"/>
  <c r="CY119" i="8" s="1"/>
  <c r="BT120" i="8"/>
  <c r="BU120" i="8"/>
  <c r="BO120" i="8"/>
  <c r="BP120" i="8"/>
  <c r="BM120" i="8"/>
  <c r="BN120" i="8"/>
  <c r="BK120" i="8"/>
  <c r="BL120" i="8"/>
  <c r="BJ120" i="8"/>
  <c r="AC120" i="10"/>
  <c r="X120" i="10" s="1"/>
  <c r="AS124" i="5"/>
  <c r="DE123" i="5"/>
  <c r="DF123" i="5"/>
  <c r="AJ124" i="1"/>
  <c r="AH124" i="11"/>
  <c r="AM124" i="1"/>
  <c r="W122" i="1"/>
  <c r="DB123" i="5"/>
  <c r="AF122" i="1"/>
  <c r="Y122" i="1"/>
  <c r="DJ123" i="5"/>
  <c r="AE125" i="8"/>
  <c r="AU125" i="8"/>
  <c r="K126" i="11"/>
  <c r="A126" i="14"/>
  <c r="CA126" i="14" s="1"/>
  <c r="A126" i="5"/>
  <c r="A126" i="9"/>
  <c r="A126" i="7"/>
  <c r="R126" i="7" s="1"/>
  <c r="A126" i="2"/>
  <c r="A126" i="8"/>
  <c r="DH123" i="5"/>
  <c r="R125" i="14" a="1"/>
  <c r="R125" i="14" s="1"/>
  <c r="AL125" i="1" s="1"/>
  <c r="AL125" i="14" a="1"/>
  <c r="AL125" i="14" s="1"/>
  <c r="BZ125" i="14" a="1"/>
  <c r="BZ125" i="14" s="1"/>
  <c r="AR125" i="14" a="1"/>
  <c r="AR125" i="14" s="1"/>
  <c r="N125" i="14" a="1"/>
  <c r="N125" i="14" s="1"/>
  <c r="BC125" i="14" a="1"/>
  <c r="BC125" i="14" s="1"/>
  <c r="BU125" i="14" a="1"/>
  <c r="BU125" i="14" s="1"/>
  <c r="Q125" i="14" a="1"/>
  <c r="Q125" i="14" s="1"/>
  <c r="AH125" i="14" a="1"/>
  <c r="AH125" i="14" s="1"/>
  <c r="BF125" i="14" a="1"/>
  <c r="BF125" i="14" s="1"/>
  <c r="O125" i="14" a="1"/>
  <c r="O125" i="14" s="1"/>
  <c r="AJ125" i="14" a="1"/>
  <c r="AJ125" i="14" s="1"/>
  <c r="P125" i="14" a="1"/>
  <c r="P125" i="14" s="1"/>
  <c r="AN125" i="14" a="1"/>
  <c r="AN125" i="14" s="1"/>
  <c r="BM125" i="14" a="1"/>
  <c r="BM125" i="14" s="1"/>
  <c r="AO125" i="14" a="1"/>
  <c r="AO125" i="14" s="1"/>
  <c r="BT125" i="14" a="1"/>
  <c r="BT125" i="14" s="1"/>
  <c r="BQ125" i="14" a="1"/>
  <c r="BQ125" i="14" s="1"/>
  <c r="AK125" i="14" a="1"/>
  <c r="AK125" i="14" s="1"/>
  <c r="BO125" i="14" a="1"/>
  <c r="BO125" i="14" s="1"/>
  <c r="BP125" i="14" a="1"/>
  <c r="BP125" i="14" s="1"/>
  <c r="AE125" i="14" a="1"/>
  <c r="AE125" i="14" s="1"/>
  <c r="AD125" i="14" a="1"/>
  <c r="AD125" i="14" s="1"/>
  <c r="BK125" i="14" a="1"/>
  <c r="BK125" i="14" s="1"/>
  <c r="AV125" i="14" a="1"/>
  <c r="AV125" i="14" s="1"/>
  <c r="Z125" i="14" a="1"/>
  <c r="Z125" i="14" s="1"/>
  <c r="AS125" i="14" a="1"/>
  <c r="AS125" i="14" s="1"/>
  <c r="AT125" i="14" a="1"/>
  <c r="AT125" i="14" s="1"/>
  <c r="W125" i="14" a="1"/>
  <c r="W125" i="14" s="1"/>
  <c r="BL125" i="14" a="1"/>
  <c r="BL125" i="14" s="1"/>
  <c r="AW125" i="14" a="1"/>
  <c r="AW125" i="14" s="1"/>
  <c r="M125" i="14" a="1"/>
  <c r="M125" i="14" s="1"/>
  <c r="AA125" i="14" a="1"/>
  <c r="AA125" i="14" s="1"/>
  <c r="BD125" i="14" a="1"/>
  <c r="BD125" i="14" s="1"/>
  <c r="BX125" i="14" a="1"/>
  <c r="BX125" i="14" s="1"/>
  <c r="AZ125" i="14" a="1"/>
  <c r="AZ125" i="14" s="1"/>
  <c r="BA125" i="14" a="1"/>
  <c r="BA125" i="14" s="1"/>
  <c r="AF125" i="14" a="1"/>
  <c r="AF125" i="14" s="1"/>
  <c r="BE125" i="14" a="1"/>
  <c r="BE125" i="14" s="1"/>
  <c r="AY125" i="14" a="1"/>
  <c r="AY125" i="14" s="1"/>
  <c r="AM125" i="14" a="1"/>
  <c r="AM125" i="14" s="1"/>
  <c r="BR125" i="14" a="1"/>
  <c r="BR125" i="14" s="1"/>
  <c r="AC125" i="14" a="1"/>
  <c r="AC125" i="14" s="1"/>
  <c r="BY125" i="14" a="1"/>
  <c r="BY125" i="14" s="1"/>
  <c r="AI125" i="14" a="1"/>
  <c r="AI125" i="14" s="1"/>
  <c r="BW125" i="14" a="1"/>
  <c r="BW125" i="14" s="1"/>
  <c r="BV125" i="14" a="1"/>
  <c r="BV125" i="14" s="1"/>
  <c r="S125" i="14" a="1"/>
  <c r="S125" i="14" s="1"/>
  <c r="AP125" i="14" a="1"/>
  <c r="AP125" i="14" s="1"/>
  <c r="BS125" i="14" a="1"/>
  <c r="BS125" i="14" s="1"/>
  <c r="BG125" i="14" a="1"/>
  <c r="BG125" i="14" s="1"/>
  <c r="AU125" i="14" a="1"/>
  <c r="AU125" i="14" s="1"/>
  <c r="U125" i="14" a="1"/>
  <c r="U125" i="14" s="1"/>
  <c r="BN125" i="14" a="1"/>
  <c r="BN125" i="14" s="1"/>
  <c r="AQ125" i="14" a="1"/>
  <c r="AQ125" i="14" s="1"/>
  <c r="V125" i="14" a="1"/>
  <c r="V125" i="14" s="1"/>
  <c r="AG125" i="14" a="1"/>
  <c r="AG125" i="14" s="1"/>
  <c r="BH125" i="14" a="1"/>
  <c r="BH125" i="14" s="1"/>
  <c r="AB125" i="14" a="1"/>
  <c r="AB125" i="14" s="1"/>
  <c r="T125" i="14" a="1"/>
  <c r="T125" i="14" s="1"/>
  <c r="BB125" i="14" a="1"/>
  <c r="BB125" i="14" s="1"/>
  <c r="Y125" i="14" a="1"/>
  <c r="Y125" i="14" s="1"/>
  <c r="AX125" i="14" a="1"/>
  <c r="AX125" i="14" s="1"/>
  <c r="BJ125" i="14" a="1"/>
  <c r="BJ125" i="14" s="1"/>
  <c r="X125" i="14" a="1"/>
  <c r="X125" i="14" s="1"/>
  <c r="BI125" i="14" a="1"/>
  <c r="BI125" i="14" s="1"/>
  <c r="CS118" i="8"/>
  <c r="CR119" i="8"/>
  <c r="AQ119" i="5"/>
  <c r="DB119" i="8"/>
  <c r="D121" i="9"/>
  <c r="B123" i="5"/>
  <c r="B123" i="2"/>
  <c r="B123" i="1"/>
  <c r="BG123" i="1" s="1"/>
  <c r="AH123" i="5"/>
  <c r="BU123" i="5"/>
  <c r="BY125" i="11"/>
  <c r="K124" i="10"/>
  <c r="AA124" i="7"/>
  <c r="AF124" i="8" s="1"/>
  <c r="AV124" i="8" s="1"/>
  <c r="L124" i="11"/>
  <c r="L124" i="5"/>
  <c r="G123" i="10"/>
  <c r="I123" i="7"/>
  <c r="H124" i="5"/>
  <c r="C123" i="10"/>
  <c r="E123" i="7"/>
  <c r="M124" i="5"/>
  <c r="H123" i="10"/>
  <c r="J123" i="7"/>
  <c r="B123" i="10"/>
  <c r="G124" i="5"/>
  <c r="D123" i="7"/>
  <c r="I124" i="5"/>
  <c r="D123" i="10"/>
  <c r="F123" i="7"/>
  <c r="K124" i="5"/>
  <c r="F123" i="10"/>
  <c r="H123" i="7"/>
  <c r="DD123" i="5"/>
  <c r="J124" i="5"/>
  <c r="DC124" i="5" s="1"/>
  <c r="E123" i="10"/>
  <c r="G123" i="7"/>
  <c r="BX120" i="8"/>
  <c r="CD120" i="8" s="1"/>
  <c r="DH121" i="8"/>
  <c r="DI121" i="8" s="1"/>
  <c r="Q120" i="7"/>
  <c r="CK121" i="8"/>
  <c r="BW121" i="8"/>
  <c r="AC121" i="1" s="1"/>
  <c r="BI121" i="8"/>
  <c r="N120" i="7"/>
  <c r="B121" i="7"/>
  <c r="AE121" i="7" s="1"/>
  <c r="AF121" i="7" s="1"/>
  <c r="BH121" i="8"/>
  <c r="BU121" i="8" s="1"/>
  <c r="AH132" i="9"/>
  <c r="B120" i="14"/>
  <c r="AD119" i="11"/>
  <c r="AI119" i="1" s="1"/>
  <c r="AB119" i="11"/>
  <c r="Q119" i="8" s="1"/>
  <c r="Z119" i="11"/>
  <c r="AA119" i="11"/>
  <c r="AK119" i="1" s="1"/>
  <c r="Y119" i="11"/>
  <c r="AH119" i="1" s="1"/>
  <c r="N120" i="11"/>
  <c r="AI121" i="5"/>
  <c r="CI120" i="8"/>
  <c r="DA120" i="8" s="1"/>
  <c r="X121" i="8"/>
  <c r="DD121" i="8" s="1"/>
  <c r="A121" i="10"/>
  <c r="AA121" i="10" s="1"/>
  <c r="CB120" i="8"/>
  <c r="CT120" i="8" s="1"/>
  <c r="BY120" i="8"/>
  <c r="CA120" i="8"/>
  <c r="BZ120" i="8"/>
  <c r="CC120" i="8"/>
  <c r="CV120" i="8" s="1"/>
  <c r="CW120" i="8" s="1"/>
  <c r="CH120" i="8"/>
  <c r="CZ120" i="8" s="1"/>
  <c r="B121" i="9"/>
  <c r="Y121" i="9" s="1"/>
  <c r="AC121" i="8"/>
  <c r="BQ121" i="8" s="1"/>
  <c r="AJ121" i="5"/>
  <c r="AP121" i="5" s="1"/>
  <c r="BT121" i="5"/>
  <c r="E121" i="1"/>
  <c r="A121" i="11"/>
  <c r="C122" i="5"/>
  <c r="F122" i="5" s="1"/>
  <c r="CZ123" i="5"/>
  <c r="DA122" i="5"/>
  <c r="DG122" i="5" s="1" a="1"/>
  <c r="DG122" i="5" s="1"/>
  <c r="AB123" i="1"/>
  <c r="DI123" i="5"/>
  <c r="AG132" i="9"/>
  <c r="AK132" i="9"/>
  <c r="N108" i="1"/>
  <c r="S125" i="2"/>
  <c r="N126" i="2"/>
  <c r="R126" i="2"/>
  <c r="Q125" i="2"/>
  <c r="P127" i="2"/>
  <c r="J127" i="10"/>
  <c r="N127" i="5" s="1"/>
  <c r="AO121" i="5" l="1"/>
  <c r="AM121" i="5"/>
  <c r="AN121" i="5"/>
  <c r="AV122" i="5"/>
  <c r="AW122" i="5"/>
  <c r="AI120" i="7"/>
  <c r="AG121" i="7"/>
  <c r="CL122" i="8"/>
  <c r="G127" i="8"/>
  <c r="CF126" i="8"/>
  <c r="O126" i="2"/>
  <c r="AM133" i="9"/>
  <c r="BR121" i="8"/>
  <c r="BS121" i="8"/>
  <c r="AD124" i="1"/>
  <c r="BG126" i="5" a="1"/>
  <c r="BG126" i="5" s="1"/>
  <c r="BD126" i="5" a="1"/>
  <c r="BD126" i="5" s="1"/>
  <c r="BA126" i="5" a="1"/>
  <c r="BA126" i="5" s="1"/>
  <c r="BI126" i="5" a="1"/>
  <c r="BI126" i="5" s="1"/>
  <c r="BB126" i="5" a="1"/>
  <c r="BB126" i="5" s="1"/>
  <c r="BK126" i="5" a="1"/>
  <c r="BK126" i="5" s="1"/>
  <c r="CW126" i="5"/>
  <c r="CU126" i="5"/>
  <c r="CV126" i="5"/>
  <c r="CT126" i="5"/>
  <c r="CQ126" i="5"/>
  <c r="CS126" i="5"/>
  <c r="CR126" i="5"/>
  <c r="AY126" i="5" a="1"/>
  <c r="AY126" i="5" s="1"/>
  <c r="BL126" i="5" a="1"/>
  <c r="BL126" i="5" s="1"/>
  <c r="AZ126" i="5" a="1"/>
  <c r="AZ126" i="5" s="1"/>
  <c r="BN126" i="5" a="1"/>
  <c r="BN126" i="5" s="1"/>
  <c r="BC126" i="5" a="1"/>
  <c r="BC126" i="5" s="1"/>
  <c r="BH126" i="5" a="1"/>
  <c r="BH126" i="5" s="1"/>
  <c r="BF126" i="5" a="1"/>
  <c r="BF126" i="5" s="1"/>
  <c r="AE125" i="1" s="1"/>
  <c r="BE126" i="5" a="1"/>
  <c r="BE126" i="5" s="1"/>
  <c r="BO126" i="5" a="1"/>
  <c r="BO126" i="5" s="1"/>
  <c r="BQ126" i="5" a="1"/>
  <c r="BQ126" i="5" s="1"/>
  <c r="BM126" i="5" a="1"/>
  <c r="BM126" i="5" s="1"/>
  <c r="BJ126" i="5" a="1"/>
  <c r="BJ126" i="5" s="1"/>
  <c r="CS119" i="8"/>
  <c r="V124" i="2"/>
  <c r="F129" i="8"/>
  <c r="BP125" i="5" a="1"/>
  <c r="BP125" i="5" s="1"/>
  <c r="J125" i="2" s="1"/>
  <c r="O130" i="1"/>
  <c r="AK125" i="11"/>
  <c r="BX121" i="8"/>
  <c r="CE121" i="8" s="1"/>
  <c r="BT121" i="8"/>
  <c r="BO121" i="8"/>
  <c r="BP121" i="8"/>
  <c r="BM121" i="8"/>
  <c r="BN121" i="8"/>
  <c r="BK121" i="8"/>
  <c r="BL121" i="8"/>
  <c r="BJ121" i="8"/>
  <c r="AC121" i="10"/>
  <c r="X121" i="10" s="1"/>
  <c r="AR121" i="5"/>
  <c r="AS125" i="5"/>
  <c r="DB124" i="5"/>
  <c r="DF124" i="5"/>
  <c r="DE124" i="5"/>
  <c r="AJ125" i="1"/>
  <c r="AF123" i="1"/>
  <c r="AE126" i="8"/>
  <c r="AU126" i="8"/>
  <c r="W123" i="1"/>
  <c r="Y123" i="1"/>
  <c r="DJ124" i="5"/>
  <c r="BC126" i="14" a="1"/>
  <c r="BC126" i="14" s="1"/>
  <c r="X126" i="14" a="1"/>
  <c r="X126" i="14" s="1"/>
  <c r="BM126" i="14" a="1"/>
  <c r="BM126" i="14" s="1"/>
  <c r="AZ126" i="14" a="1"/>
  <c r="AZ126" i="14" s="1"/>
  <c r="T126" i="14" a="1"/>
  <c r="T126" i="14" s="1"/>
  <c r="AA126" i="14" a="1"/>
  <c r="AA126" i="14" s="1"/>
  <c r="BI126" i="14" a="1"/>
  <c r="BI126" i="14" s="1"/>
  <c r="AX126" i="14" a="1"/>
  <c r="AX126" i="14" s="1"/>
  <c r="AW126" i="14" a="1"/>
  <c r="AW126" i="14" s="1"/>
  <c r="AM126" i="14" a="1"/>
  <c r="AM126" i="14" s="1"/>
  <c r="W126" i="14" a="1"/>
  <c r="W126" i="14" s="1"/>
  <c r="AT126" i="14" a="1"/>
  <c r="AT126" i="14" s="1"/>
  <c r="AR126" i="14" a="1"/>
  <c r="AR126" i="14" s="1"/>
  <c r="V126" i="14" a="1"/>
  <c r="V126" i="14" s="1"/>
  <c r="BQ126" i="14" a="1"/>
  <c r="BQ126" i="14" s="1"/>
  <c r="U126" i="14" a="1"/>
  <c r="U126" i="14" s="1"/>
  <c r="M126" i="14" a="1"/>
  <c r="M126" i="14" s="1"/>
  <c r="BU126" i="14" a="1"/>
  <c r="BU126" i="14" s="1"/>
  <c r="AE126" i="14" a="1"/>
  <c r="AE126" i="14" s="1"/>
  <c r="BF126" i="14" a="1"/>
  <c r="BF126" i="14" s="1"/>
  <c r="BD126" i="14" a="1"/>
  <c r="BD126" i="14" s="1"/>
  <c r="AS126" i="14" a="1"/>
  <c r="AS126" i="14" s="1"/>
  <c r="AJ126" i="14" a="1"/>
  <c r="AJ126" i="14" s="1"/>
  <c r="BJ126" i="14" a="1"/>
  <c r="BJ126" i="14" s="1"/>
  <c r="AD126" i="14" a="1"/>
  <c r="AD126" i="14" s="1"/>
  <c r="AC126" i="14" a="1"/>
  <c r="AC126" i="14" s="1"/>
  <c r="Q126" i="14" a="1"/>
  <c r="Q126" i="14" s="1"/>
  <c r="BK126" i="14" a="1"/>
  <c r="BK126" i="14" s="1"/>
  <c r="AK126" i="14" a="1"/>
  <c r="AK126" i="14" s="1"/>
  <c r="Y126" i="14" a="1"/>
  <c r="Y126" i="14" s="1"/>
  <c r="P126" i="14" a="1"/>
  <c r="P126" i="14" s="1"/>
  <c r="AB126" i="14" a="1"/>
  <c r="AB126" i="14" s="1"/>
  <c r="AI126" i="14" a="1"/>
  <c r="AI126" i="14" s="1"/>
  <c r="S126" i="14" a="1"/>
  <c r="S126" i="14" s="1"/>
  <c r="AL126" i="14" a="1"/>
  <c r="AL126" i="14" s="1"/>
  <c r="AU126" i="14" a="1"/>
  <c r="AU126" i="14" s="1"/>
  <c r="BE126" i="14" a="1"/>
  <c r="BE126" i="14" s="1"/>
  <c r="BZ126" i="14" a="1"/>
  <c r="BZ126" i="14" s="1"/>
  <c r="BR126" i="14" a="1"/>
  <c r="BR126" i="14" s="1"/>
  <c r="BX126" i="14" a="1"/>
  <c r="BX126" i="14" s="1"/>
  <c r="BA126" i="14" a="1"/>
  <c r="BA126" i="14" s="1"/>
  <c r="BV126" i="14" a="1"/>
  <c r="BV126" i="14" s="1"/>
  <c r="AV126" i="14" a="1"/>
  <c r="AV126" i="14" s="1"/>
  <c r="BT126" i="14" a="1"/>
  <c r="BT126" i="14" s="1"/>
  <c r="Z126" i="14" a="1"/>
  <c r="Z126" i="14" s="1"/>
  <c r="AH126" i="14" a="1"/>
  <c r="AH126" i="14" s="1"/>
  <c r="BB126" i="14" a="1"/>
  <c r="BB126" i="14" s="1"/>
  <c r="AQ126" i="14" a="1"/>
  <c r="AQ126" i="14" s="1"/>
  <c r="BP126" i="14" a="1"/>
  <c r="BP126" i="14" s="1"/>
  <c r="BO126" i="14" a="1"/>
  <c r="BO126" i="14" s="1"/>
  <c r="AP126" i="14" a="1"/>
  <c r="AP126" i="14" s="1"/>
  <c r="O126" i="14" a="1"/>
  <c r="O126" i="14" s="1"/>
  <c r="N126" i="14" a="1"/>
  <c r="N126" i="14" s="1"/>
  <c r="BY126" i="14" a="1"/>
  <c r="BY126" i="14" s="1"/>
  <c r="AG126" i="14" a="1"/>
  <c r="AG126" i="14" s="1"/>
  <c r="AY126" i="14" a="1"/>
  <c r="AY126" i="14" s="1"/>
  <c r="BW126" i="14" a="1"/>
  <c r="BW126" i="14" s="1"/>
  <c r="BH126" i="14" a="1"/>
  <c r="BH126" i="14" s="1"/>
  <c r="BS126" i="14" a="1"/>
  <c r="BS126" i="14" s="1"/>
  <c r="BL126" i="14" a="1"/>
  <c r="BL126" i="14" s="1"/>
  <c r="AN126" i="14" a="1"/>
  <c r="AN126" i="14" s="1"/>
  <c r="BG126" i="14" a="1"/>
  <c r="BG126" i="14" s="1"/>
  <c r="AF126" i="14" a="1"/>
  <c r="AF126" i="14" s="1"/>
  <c r="R126" i="14" a="1"/>
  <c r="R126" i="14" s="1"/>
  <c r="AL126" i="1" s="1"/>
  <c r="AO126" i="14" a="1"/>
  <c r="AO126" i="14" s="1"/>
  <c r="BN126" i="14" a="1"/>
  <c r="BN126" i="14" s="1"/>
  <c r="AH125" i="11"/>
  <c r="K127" i="11"/>
  <c r="A127" i="14"/>
  <c r="CA127" i="14" s="1"/>
  <c r="A127" i="5"/>
  <c r="A127" i="8"/>
  <c r="A127" i="9"/>
  <c r="A127" i="2"/>
  <c r="A127" i="7"/>
  <c r="R127" i="7" s="1"/>
  <c r="AM125" i="1"/>
  <c r="DH124" i="5"/>
  <c r="B124" i="5"/>
  <c r="B124" i="1"/>
  <c r="BG124" i="1" s="1"/>
  <c r="B124" i="2"/>
  <c r="AH124" i="5"/>
  <c r="BU124" i="5"/>
  <c r="BY126" i="11"/>
  <c r="AA125" i="7"/>
  <c r="AF125" i="8" s="1"/>
  <c r="AV125" i="8" s="1"/>
  <c r="K125" i="10"/>
  <c r="L125" i="11"/>
  <c r="M125" i="5"/>
  <c r="H124" i="10"/>
  <c r="J124" i="7"/>
  <c r="J125" i="5"/>
  <c r="DC125" i="5" s="1"/>
  <c r="E124" i="10"/>
  <c r="G124" i="7"/>
  <c r="I125" i="5"/>
  <c r="D124" i="10"/>
  <c r="F124" i="7"/>
  <c r="B124" i="10"/>
  <c r="G125" i="5"/>
  <c r="D124" i="7"/>
  <c r="H125" i="5"/>
  <c r="C124" i="10"/>
  <c r="E124" i="7"/>
  <c r="K125" i="5"/>
  <c r="F124" i="10"/>
  <c r="H124" i="7"/>
  <c r="DD124" i="5"/>
  <c r="L125" i="5"/>
  <c r="G124" i="10"/>
  <c r="I124" i="7"/>
  <c r="CQ120" i="8"/>
  <c r="CU120" i="8" s="1"/>
  <c r="D122" i="9"/>
  <c r="CE120" i="8"/>
  <c r="CX120" i="8" s="1"/>
  <c r="CY120" i="8" s="1"/>
  <c r="DH122" i="8"/>
  <c r="DI122" i="8" s="1"/>
  <c r="Q121" i="7"/>
  <c r="CK122" i="8"/>
  <c r="BW122" i="8"/>
  <c r="BI122" i="8"/>
  <c r="N121" i="7"/>
  <c r="BT122" i="5"/>
  <c r="BH122" i="8"/>
  <c r="BU122" i="8" s="1"/>
  <c r="AH133" i="9"/>
  <c r="B121" i="14"/>
  <c r="A122" i="10"/>
  <c r="AA122" i="10" s="1"/>
  <c r="DB120" i="8"/>
  <c r="E122" i="1"/>
  <c r="CR120" i="8"/>
  <c r="AI122" i="5"/>
  <c r="B122" i="9"/>
  <c r="Y122" i="9" s="1"/>
  <c r="AC122" i="8"/>
  <c r="BQ122" i="8" s="1"/>
  <c r="AJ122" i="5"/>
  <c r="AP122" i="5" s="1"/>
  <c r="A122" i="11"/>
  <c r="X122" i="8"/>
  <c r="DD122" i="8" s="1"/>
  <c r="B122" i="7"/>
  <c r="AQ120" i="5"/>
  <c r="CI121" i="8"/>
  <c r="DA121" i="8" s="1"/>
  <c r="CH121" i="8"/>
  <c r="CZ121" i="8" s="1"/>
  <c r="CA121" i="8"/>
  <c r="CB121" i="8"/>
  <c r="CT121" i="8" s="1"/>
  <c r="BY121" i="8"/>
  <c r="CC121" i="8"/>
  <c r="CV121" i="8" s="1"/>
  <c r="CW121" i="8" s="1"/>
  <c r="BZ121" i="8"/>
  <c r="AD120" i="11"/>
  <c r="AI120" i="1" s="1"/>
  <c r="AC120" i="11"/>
  <c r="U120" i="8" s="1"/>
  <c r="AA120" i="11"/>
  <c r="AK120" i="1" s="1"/>
  <c r="AB120" i="11"/>
  <c r="Q120" i="8" s="1"/>
  <c r="Y120" i="11"/>
  <c r="AH120" i="1" s="1"/>
  <c r="Z120" i="11"/>
  <c r="N121" i="11"/>
  <c r="C123" i="5"/>
  <c r="F123" i="5" s="1"/>
  <c r="CZ124" i="5"/>
  <c r="AB124" i="1"/>
  <c r="DI124" i="5"/>
  <c r="C124" i="5"/>
  <c r="DA123" i="5"/>
  <c r="DG123" i="5" s="1" a="1"/>
  <c r="DG123" i="5" s="1"/>
  <c r="AG133" i="9"/>
  <c r="AK133" i="9"/>
  <c r="N109" i="1"/>
  <c r="S126" i="2"/>
  <c r="N127" i="2"/>
  <c r="R127" i="2"/>
  <c r="Q126" i="2"/>
  <c r="J128" i="10"/>
  <c r="N128" i="5" s="1"/>
  <c r="P128" i="2"/>
  <c r="AO122" i="5" l="1"/>
  <c r="AM122" i="5"/>
  <c r="AN122" i="5"/>
  <c r="AI121" i="7"/>
  <c r="AV123" i="5"/>
  <c r="AW123" i="5"/>
  <c r="CL123" i="8"/>
  <c r="CH122" i="8"/>
  <c r="CZ122" i="8" s="1"/>
  <c r="AC122" i="1"/>
  <c r="G128" i="8"/>
  <c r="CF127" i="8"/>
  <c r="O127" i="2"/>
  <c r="AZ127" i="5" a="1"/>
  <c r="AZ127" i="5" s="1"/>
  <c r="AM134" i="9"/>
  <c r="BR122" i="8"/>
  <c r="BS122" i="8"/>
  <c r="AD125" i="1"/>
  <c r="BJ127" i="5" a="1"/>
  <c r="BJ127" i="5" s="1"/>
  <c r="BM127" i="5" a="1"/>
  <c r="BM127" i="5" s="1"/>
  <c r="BQ127" i="5" a="1"/>
  <c r="BQ127" i="5" s="1"/>
  <c r="BO127" i="5" a="1"/>
  <c r="BO127" i="5" s="1"/>
  <c r="BK127" i="5" a="1"/>
  <c r="BK127" i="5" s="1"/>
  <c r="BE127" i="5" a="1"/>
  <c r="BE127" i="5" s="1"/>
  <c r="BB127" i="5" a="1"/>
  <c r="BB127" i="5" s="1"/>
  <c r="BF127" i="5" a="1"/>
  <c r="BF127" i="5" s="1"/>
  <c r="AE126" i="1" s="1"/>
  <c r="BI127" i="5" a="1"/>
  <c r="BI127" i="5" s="1"/>
  <c r="CW127" i="5"/>
  <c r="CV127" i="5"/>
  <c r="CQ127" i="5"/>
  <c r="CU127" i="5"/>
  <c r="CT127" i="5"/>
  <c r="CR127" i="5"/>
  <c r="CS127" i="5"/>
  <c r="BL127" i="5" a="1"/>
  <c r="BL127" i="5" s="1"/>
  <c r="AY127" i="5" a="1"/>
  <c r="AY127" i="5" s="1"/>
  <c r="BH127" i="5" a="1"/>
  <c r="BH127" i="5" s="1"/>
  <c r="BA127" i="5" a="1"/>
  <c r="BA127" i="5" s="1"/>
  <c r="BC127" i="5" a="1"/>
  <c r="BC127" i="5" s="1"/>
  <c r="BD127" i="5" a="1"/>
  <c r="BD127" i="5" s="1"/>
  <c r="BN127" i="5" a="1"/>
  <c r="BN127" i="5" s="1"/>
  <c r="BG127" i="5" a="1"/>
  <c r="BG127" i="5" s="1"/>
  <c r="V125" i="2"/>
  <c r="F130" i="8"/>
  <c r="BP126" i="5" a="1"/>
  <c r="BP126" i="5" s="1"/>
  <c r="J126" i="2" s="1"/>
  <c r="AK126" i="11"/>
  <c r="O131" i="1"/>
  <c r="CD121" i="8"/>
  <c r="BT122" i="8"/>
  <c r="BO122" i="8"/>
  <c r="BP122" i="8"/>
  <c r="BM122" i="8"/>
  <c r="BN122" i="8"/>
  <c r="BK122" i="8"/>
  <c r="BL122" i="8"/>
  <c r="BJ122" i="8"/>
  <c r="AC122" i="10"/>
  <c r="X122" i="10" s="1"/>
  <c r="AR122" i="5"/>
  <c r="AS126" i="5"/>
  <c r="AH126" i="11"/>
  <c r="DE125" i="5"/>
  <c r="AM126" i="1"/>
  <c r="DF125" i="5"/>
  <c r="AE127" i="8"/>
  <c r="AU127" i="8"/>
  <c r="DH125" i="5"/>
  <c r="BA127" i="14" a="1"/>
  <c r="BA127" i="14" s="1"/>
  <c r="Z127" i="14" a="1"/>
  <c r="Z127" i="14" s="1"/>
  <c r="S127" i="14" a="1"/>
  <c r="S127" i="14" s="1"/>
  <c r="AE127" i="14" a="1"/>
  <c r="AE127" i="14" s="1"/>
  <c r="BV127" i="14" a="1"/>
  <c r="BV127" i="14" s="1"/>
  <c r="V127" i="14" a="1"/>
  <c r="V127" i="14" s="1"/>
  <c r="AV127" i="14" a="1"/>
  <c r="AV127" i="14" s="1"/>
  <c r="AU127" i="14" a="1"/>
  <c r="AU127" i="14" s="1"/>
  <c r="BG127" i="14" a="1"/>
  <c r="BG127" i="14" s="1"/>
  <c r="AN127" i="14" a="1"/>
  <c r="AN127" i="14" s="1"/>
  <c r="AM127" i="14" a="1"/>
  <c r="AM127" i="14" s="1"/>
  <c r="AX127" i="14" a="1"/>
  <c r="AX127" i="14" s="1"/>
  <c r="Y127" i="14" a="1"/>
  <c r="Y127" i="14" s="1"/>
  <c r="Q127" i="14" a="1"/>
  <c r="Q127" i="14" s="1"/>
  <c r="BU127" i="14" a="1"/>
  <c r="BU127" i="14" s="1"/>
  <c r="BH127" i="14" a="1"/>
  <c r="BH127" i="14" s="1"/>
  <c r="AO127" i="14" a="1"/>
  <c r="AO127" i="14" s="1"/>
  <c r="U127" i="14" a="1"/>
  <c r="U127" i="14" s="1"/>
  <c r="BM127" i="14" a="1"/>
  <c r="BM127" i="14" s="1"/>
  <c r="AF127" i="14" a="1"/>
  <c r="AF127" i="14" s="1"/>
  <c r="BW127" i="14" a="1"/>
  <c r="BW127" i="14" s="1"/>
  <c r="R127" i="14" a="1"/>
  <c r="R127" i="14" s="1"/>
  <c r="AL127" i="1" s="1"/>
  <c r="BP127" i="14" a="1"/>
  <c r="BP127" i="14" s="1"/>
  <c r="W127" i="14" a="1"/>
  <c r="W127" i="14" s="1"/>
  <c r="AC127" i="14" a="1"/>
  <c r="AC127" i="14" s="1"/>
  <c r="AS127" i="14" a="1"/>
  <c r="AS127" i="14" s="1"/>
  <c r="BF127" i="14" a="1"/>
  <c r="BF127" i="14" s="1"/>
  <c r="BX127" i="14" a="1"/>
  <c r="BX127" i="14" s="1"/>
  <c r="BK127" i="14" a="1"/>
  <c r="BK127" i="14" s="1"/>
  <c r="AQ127" i="14" a="1"/>
  <c r="AQ127" i="14" s="1"/>
  <c r="BC127" i="14" a="1"/>
  <c r="BC127" i="14" s="1"/>
  <c r="BO127" i="14" a="1"/>
  <c r="BO127" i="14" s="1"/>
  <c r="AH127" i="14" a="1"/>
  <c r="AH127" i="14" s="1"/>
  <c r="BY127" i="14" a="1"/>
  <c r="BY127" i="14" s="1"/>
  <c r="AZ127" i="14" a="1"/>
  <c r="AZ127" i="14" s="1"/>
  <c r="BR127" i="14" a="1"/>
  <c r="BR127" i="14" s="1"/>
  <c r="BE127" i="14" a="1"/>
  <c r="BE127" i="14" s="1"/>
  <c r="AK127" i="14" a="1"/>
  <c r="AK127" i="14" s="1"/>
  <c r="AW127" i="14" a="1"/>
  <c r="AW127" i="14" s="1"/>
  <c r="BI127" i="14" a="1"/>
  <c r="BI127" i="14" s="1"/>
  <c r="M127" i="14" a="1"/>
  <c r="M127" i="14" s="1"/>
  <c r="BT127" i="14" a="1"/>
  <c r="BT127" i="14" s="1"/>
  <c r="AG127" i="14" a="1"/>
  <c r="AG127" i="14" s="1"/>
  <c r="AY127" i="14" a="1"/>
  <c r="AY127" i="14" s="1"/>
  <c r="BQ127" i="14" a="1"/>
  <c r="BQ127" i="14" s="1"/>
  <c r="X127" i="14" a="1"/>
  <c r="X127" i="14" s="1"/>
  <c r="BZ127" i="14" a="1"/>
  <c r="BZ127" i="14" s="1"/>
  <c r="BB127" i="14" a="1"/>
  <c r="BB127" i="14" s="1"/>
  <c r="AB127" i="14" a="1"/>
  <c r="AB127" i="14" s="1"/>
  <c r="BS127" i="14" a="1"/>
  <c r="BS127" i="14" s="1"/>
  <c r="AD127" i="14" a="1"/>
  <c r="AD127" i="14" s="1"/>
  <c r="T127" i="14" a="1"/>
  <c r="T127" i="14" s="1"/>
  <c r="AP127" i="14" a="1"/>
  <c r="AP127" i="14" s="1"/>
  <c r="BL127" i="14" a="1"/>
  <c r="BL127" i="14" s="1"/>
  <c r="P127" i="14" a="1"/>
  <c r="P127" i="14" s="1"/>
  <c r="AL127" i="14" a="1"/>
  <c r="AL127" i="14" s="1"/>
  <c r="BN127" i="14" a="1"/>
  <c r="BN127" i="14" s="1"/>
  <c r="AR127" i="14" a="1"/>
  <c r="AR127" i="14" s="1"/>
  <c r="AI127" i="14" a="1"/>
  <c r="AI127" i="14" s="1"/>
  <c r="AT127" i="14" a="1"/>
  <c r="AT127" i="14" s="1"/>
  <c r="BJ127" i="14" a="1"/>
  <c r="BJ127" i="14" s="1"/>
  <c r="O127" i="14" a="1"/>
  <c r="O127" i="14" s="1"/>
  <c r="AA127" i="14" a="1"/>
  <c r="AA127" i="14" s="1"/>
  <c r="BD127" i="14" a="1"/>
  <c r="BD127" i="14" s="1"/>
  <c r="N127" i="14" a="1"/>
  <c r="N127" i="14" s="1"/>
  <c r="AJ127" i="14" a="1"/>
  <c r="AJ127" i="14" s="1"/>
  <c r="AF124" i="1"/>
  <c r="Y124" i="1"/>
  <c r="DJ125" i="5"/>
  <c r="AJ126" i="1"/>
  <c r="K128" i="11"/>
  <c r="A128" i="14"/>
  <c r="CA128" i="14" s="1"/>
  <c r="A128" i="8"/>
  <c r="A128" i="5"/>
  <c r="A128" i="7"/>
  <c r="R128" i="7" s="1"/>
  <c r="A128" i="9"/>
  <c r="A128" i="2"/>
  <c r="W124" i="1"/>
  <c r="F124" i="5"/>
  <c r="B125" i="2"/>
  <c r="B125" i="1"/>
  <c r="BG125" i="1" s="1"/>
  <c r="AH125" i="5"/>
  <c r="BU125" i="5"/>
  <c r="BY127" i="11"/>
  <c r="K126" i="10"/>
  <c r="AA126" i="7"/>
  <c r="AF126" i="8" s="1"/>
  <c r="AV126" i="8" s="1"/>
  <c r="L126" i="11"/>
  <c r="H126" i="5"/>
  <c r="C125" i="10"/>
  <c r="E125" i="7"/>
  <c r="I126" i="5"/>
  <c r="D125" i="10"/>
  <c r="F125" i="7"/>
  <c r="L126" i="5"/>
  <c r="G125" i="10"/>
  <c r="I125" i="7"/>
  <c r="G126" i="5"/>
  <c r="D125" i="7"/>
  <c r="B125" i="10"/>
  <c r="J126" i="5"/>
  <c r="DC126" i="5" s="1"/>
  <c r="E125" i="10"/>
  <c r="G125" i="7"/>
  <c r="DB125" i="5"/>
  <c r="K126" i="5"/>
  <c r="F125" i="10"/>
  <c r="H125" i="7"/>
  <c r="DD125" i="5"/>
  <c r="M126" i="5"/>
  <c r="H125" i="10"/>
  <c r="J125" i="7"/>
  <c r="B125" i="5"/>
  <c r="CS120" i="8"/>
  <c r="CQ121" i="8"/>
  <c r="CU121" i="8" s="1"/>
  <c r="D123" i="9"/>
  <c r="DH123" i="8"/>
  <c r="DI123" i="8" s="1"/>
  <c r="CK123" i="8"/>
  <c r="BW123" i="8"/>
  <c r="AC123" i="1" s="1"/>
  <c r="BX122" i="8"/>
  <c r="CE122" i="8" s="1"/>
  <c r="N122" i="7"/>
  <c r="BH123" i="8"/>
  <c r="BU123" i="8" s="1"/>
  <c r="BI123" i="8"/>
  <c r="AH134" i="9"/>
  <c r="AQ121" i="5"/>
  <c r="BZ122" i="8"/>
  <c r="BY122" i="8"/>
  <c r="CC122" i="8"/>
  <c r="CV122" i="8" s="1"/>
  <c r="CW122" i="8" s="1"/>
  <c r="CB122" i="8"/>
  <c r="CT122" i="8" s="1"/>
  <c r="CA122" i="8"/>
  <c r="CI122" i="8"/>
  <c r="DA122" i="8" s="1"/>
  <c r="AB121" i="11"/>
  <c r="Q121" i="8" s="1"/>
  <c r="N122" i="11"/>
  <c r="AC121" i="11"/>
  <c r="U121" i="8" s="1"/>
  <c r="AA121" i="11"/>
  <c r="AK121" i="1" s="1"/>
  <c r="Z121" i="11"/>
  <c r="Y121" i="11"/>
  <c r="AH121" i="1" s="1"/>
  <c r="AD121" i="11"/>
  <c r="AI121" i="1" s="1"/>
  <c r="AE122" i="7"/>
  <c r="AF122" i="7" s="1"/>
  <c r="Q122" i="7"/>
  <c r="DB121" i="8"/>
  <c r="CR121" i="8"/>
  <c r="A123" i="11"/>
  <c r="AC123" i="8"/>
  <c r="BQ123" i="8" s="1"/>
  <c r="BT123" i="5"/>
  <c r="A123" i="10"/>
  <c r="AA123" i="10" s="1"/>
  <c r="B123" i="7"/>
  <c r="AJ123" i="5"/>
  <c r="AP123" i="5" s="1"/>
  <c r="E123" i="1"/>
  <c r="AI123" i="5"/>
  <c r="B123" i="9"/>
  <c r="Y123" i="9" s="1"/>
  <c r="X123" i="8"/>
  <c r="DD123" i="8" s="1"/>
  <c r="CZ125" i="5"/>
  <c r="DA124" i="5"/>
  <c r="DG124" i="5" s="1" a="1"/>
  <c r="DG124" i="5" s="1"/>
  <c r="AB125" i="1"/>
  <c r="DI125" i="5"/>
  <c r="AG134" i="9"/>
  <c r="AK134" i="9"/>
  <c r="N110" i="1"/>
  <c r="S127" i="2"/>
  <c r="N128" i="2"/>
  <c r="R128" i="2"/>
  <c r="Q127" i="2"/>
  <c r="P129" i="2"/>
  <c r="J129" i="10"/>
  <c r="N129" i="5" s="1"/>
  <c r="AO123" i="5" l="1"/>
  <c r="AM123" i="5"/>
  <c r="AN123" i="5"/>
  <c r="AV124" i="5"/>
  <c r="AW124" i="5"/>
  <c r="AG122" i="7"/>
  <c r="AI122" i="7" s="1"/>
  <c r="CL124" i="8"/>
  <c r="DB122" i="8"/>
  <c r="G129" i="8"/>
  <c r="CF128" i="8"/>
  <c r="O128" i="2"/>
  <c r="AM135" i="9"/>
  <c r="BR123" i="8"/>
  <c r="BS123" i="8"/>
  <c r="CQ128" i="5"/>
  <c r="CR128" i="5"/>
  <c r="CW128" i="5"/>
  <c r="CU128" i="5"/>
  <c r="CV128" i="5"/>
  <c r="CT128" i="5"/>
  <c r="CS128" i="5"/>
  <c r="AY128" i="5" a="1"/>
  <c r="AY128" i="5" s="1"/>
  <c r="BL128" i="5" a="1"/>
  <c r="BL128" i="5" s="1"/>
  <c r="BG128" i="5" a="1"/>
  <c r="BG128" i="5" s="1"/>
  <c r="BI128" i="5" a="1"/>
  <c r="BI128" i="5" s="1"/>
  <c r="BN128" i="5" a="1"/>
  <c r="BN128" i="5" s="1"/>
  <c r="BF128" i="5" a="1"/>
  <c r="BF128" i="5" s="1"/>
  <c r="AE127" i="1" s="1"/>
  <c r="AD126" i="1"/>
  <c r="BB128" i="5" a="1"/>
  <c r="BB128" i="5" s="1"/>
  <c r="BD128" i="5" a="1"/>
  <c r="BD128" i="5" s="1"/>
  <c r="BE128" i="5" a="1"/>
  <c r="BE128" i="5" s="1"/>
  <c r="BC128" i="5" a="1"/>
  <c r="BC128" i="5" s="1"/>
  <c r="BK128" i="5" a="1"/>
  <c r="BK128" i="5" s="1"/>
  <c r="BA128" i="5" a="1"/>
  <c r="BA128" i="5" s="1"/>
  <c r="BO128" i="5" a="1"/>
  <c r="BO128" i="5" s="1"/>
  <c r="BH128" i="5" a="1"/>
  <c r="BH128" i="5" s="1"/>
  <c r="BQ128" i="5" a="1"/>
  <c r="BQ128" i="5" s="1"/>
  <c r="BM128" i="5" a="1"/>
  <c r="BM128" i="5" s="1"/>
  <c r="BJ128" i="5" a="1"/>
  <c r="BJ128" i="5" s="1"/>
  <c r="AZ128" i="5" a="1"/>
  <c r="AZ128" i="5" s="1"/>
  <c r="V126" i="2"/>
  <c r="CX121" i="8"/>
  <c r="CY121" i="8" s="1"/>
  <c r="F131" i="8"/>
  <c r="BP127" i="5" a="1"/>
  <c r="BP127" i="5" s="1"/>
  <c r="J127" i="2" s="1"/>
  <c r="AK127" i="11"/>
  <c r="E124" i="1"/>
  <c r="O132" i="1"/>
  <c r="BX123" i="8"/>
  <c r="CE123" i="8" s="1"/>
  <c r="BT123" i="8"/>
  <c r="BO123" i="8"/>
  <c r="BP123" i="8"/>
  <c r="BM123" i="8"/>
  <c r="BN123" i="8"/>
  <c r="BK123" i="8"/>
  <c r="BL123" i="8"/>
  <c r="BJ123" i="8"/>
  <c r="AR123" i="5"/>
  <c r="AC123" i="10"/>
  <c r="X123" i="10" s="1"/>
  <c r="AS127" i="5"/>
  <c r="AJ127" i="1"/>
  <c r="AH127" i="11"/>
  <c r="AM127" i="1"/>
  <c r="DF126" i="5"/>
  <c r="DE126" i="5"/>
  <c r="K129" i="11"/>
  <c r="A129" i="14"/>
  <c r="CA129" i="14" s="1"/>
  <c r="A129" i="8"/>
  <c r="A129" i="2"/>
  <c r="A129" i="9"/>
  <c r="A129" i="5"/>
  <c r="A129" i="7"/>
  <c r="R129" i="7" s="1"/>
  <c r="DB126" i="5"/>
  <c r="Y125" i="1"/>
  <c r="DJ126" i="5"/>
  <c r="DH126" i="5"/>
  <c r="AU128" i="8"/>
  <c r="AE128" i="8"/>
  <c r="BW128" i="14" a="1"/>
  <c r="BW128" i="14" s="1"/>
  <c r="BM128" i="14" a="1"/>
  <c r="BM128" i="14" s="1"/>
  <c r="P128" i="14" a="1"/>
  <c r="P128" i="14" s="1"/>
  <c r="BF128" i="14" a="1"/>
  <c r="BF128" i="14" s="1"/>
  <c r="BE128" i="14" a="1"/>
  <c r="BE128" i="14" s="1"/>
  <c r="BD128" i="14" a="1"/>
  <c r="BD128" i="14" s="1"/>
  <c r="AT128" i="14" a="1"/>
  <c r="AT128" i="14" s="1"/>
  <c r="BS128" i="14" a="1"/>
  <c r="BS128" i="14" s="1"/>
  <c r="U128" i="14" a="1"/>
  <c r="U128" i="14" s="1"/>
  <c r="Q128" i="14" a="1"/>
  <c r="Q128" i="14" s="1"/>
  <c r="BR128" i="14" a="1"/>
  <c r="BR128" i="14" s="1"/>
  <c r="AV128" i="14" a="1"/>
  <c r="AV128" i="14" s="1"/>
  <c r="AU128" i="14" a="1"/>
  <c r="AU128" i="14" s="1"/>
  <c r="O128" i="14" a="1"/>
  <c r="O128" i="14" s="1"/>
  <c r="AY128" i="14" a="1"/>
  <c r="AY128" i="14" s="1"/>
  <c r="BO128" i="14" a="1"/>
  <c r="BO128" i="14" s="1"/>
  <c r="AX128" i="14" a="1"/>
  <c r="AX128" i="14" s="1"/>
  <c r="BC128" i="14" a="1"/>
  <c r="BC128" i="14" s="1"/>
  <c r="AK128" i="14" a="1"/>
  <c r="AK128" i="14" s="1"/>
  <c r="BB128" i="14" a="1"/>
  <c r="BB128" i="14" s="1"/>
  <c r="BZ128" i="14" a="1"/>
  <c r="BZ128" i="14" s="1"/>
  <c r="AO128" i="14" a="1"/>
  <c r="AO128" i="14" s="1"/>
  <c r="AZ128" i="14" a="1"/>
  <c r="AZ128" i="14" s="1"/>
  <c r="BQ128" i="14" a="1"/>
  <c r="BQ128" i="14" s="1"/>
  <c r="AW128" i="14" a="1"/>
  <c r="AW128" i="14" s="1"/>
  <c r="BL128" i="14" a="1"/>
  <c r="BL128" i="14" s="1"/>
  <c r="AP128" i="14" a="1"/>
  <c r="AP128" i="14" s="1"/>
  <c r="BY128" i="14" a="1"/>
  <c r="BY128" i="14" s="1"/>
  <c r="BK128" i="14" a="1"/>
  <c r="BK128" i="14" s="1"/>
  <c r="AI128" i="14" a="1"/>
  <c r="AI128" i="14" s="1"/>
  <c r="M128" i="14" a="1"/>
  <c r="M128" i="14" s="1"/>
  <c r="AM128" i="14" a="1"/>
  <c r="AM128" i="14" s="1"/>
  <c r="AL128" i="14" a="1"/>
  <c r="AL128" i="14" s="1"/>
  <c r="AJ128" i="14" a="1"/>
  <c r="AJ128" i="14" s="1"/>
  <c r="AS128" i="14" a="1"/>
  <c r="AS128" i="14" s="1"/>
  <c r="S128" i="14" a="1"/>
  <c r="S128" i="14" s="1"/>
  <c r="BH128" i="14" a="1"/>
  <c r="BH128" i="14" s="1"/>
  <c r="BG128" i="14" a="1"/>
  <c r="BG128" i="14" s="1"/>
  <c r="AE128" i="14" a="1"/>
  <c r="AE128" i="14" s="1"/>
  <c r="AN128" i="14" a="1"/>
  <c r="AN128" i="14" s="1"/>
  <c r="BN128" i="14" a="1"/>
  <c r="BN128" i="14" s="1"/>
  <c r="AG128" i="14" a="1"/>
  <c r="AG128" i="14" s="1"/>
  <c r="AF128" i="14" a="1"/>
  <c r="AF128" i="14" s="1"/>
  <c r="BP128" i="14" a="1"/>
  <c r="BP128" i="14" s="1"/>
  <c r="BX128" i="14" a="1"/>
  <c r="BX128" i="14" s="1"/>
  <c r="AH128" i="14" a="1"/>
  <c r="AH128" i="14" s="1"/>
  <c r="BA128" i="14" a="1"/>
  <c r="BA128" i="14" s="1"/>
  <c r="AA128" i="14" a="1"/>
  <c r="AA128" i="14" s="1"/>
  <c r="Y128" i="14" a="1"/>
  <c r="Y128" i="14" s="1"/>
  <c r="AC128" i="14" a="1"/>
  <c r="AC128" i="14" s="1"/>
  <c r="W128" i="14" a="1"/>
  <c r="W128" i="14" s="1"/>
  <c r="BU128" i="14" a="1"/>
  <c r="BU128" i="14" s="1"/>
  <c r="BJ128" i="14" a="1"/>
  <c r="BJ128" i="14" s="1"/>
  <c r="BT128" i="14" a="1"/>
  <c r="BT128" i="14" s="1"/>
  <c r="AB128" i="14" a="1"/>
  <c r="AB128" i="14" s="1"/>
  <c r="Z128" i="14" a="1"/>
  <c r="Z128" i="14" s="1"/>
  <c r="AD128" i="14" a="1"/>
  <c r="AD128" i="14" s="1"/>
  <c r="BI128" i="14" a="1"/>
  <c r="BI128" i="14" s="1"/>
  <c r="V128" i="14" a="1"/>
  <c r="V128" i="14" s="1"/>
  <c r="BV128" i="14" a="1"/>
  <c r="BV128" i="14" s="1"/>
  <c r="T128" i="14" a="1"/>
  <c r="T128" i="14" s="1"/>
  <c r="R128" i="14" a="1"/>
  <c r="R128" i="14" s="1"/>
  <c r="AL128" i="1" s="1"/>
  <c r="AR128" i="14" a="1"/>
  <c r="AR128" i="14" s="1"/>
  <c r="AQ128" i="14" a="1"/>
  <c r="AQ128" i="14" s="1"/>
  <c r="N128" i="14" a="1"/>
  <c r="N128" i="14" s="1"/>
  <c r="X128" i="14" a="1"/>
  <c r="X128" i="14" s="1"/>
  <c r="AF125" i="1"/>
  <c r="W125" i="1"/>
  <c r="B124" i="7"/>
  <c r="AE124" i="7" s="1"/>
  <c r="AF124" i="7" s="1"/>
  <c r="AC124" i="8"/>
  <c r="BQ124" i="8" s="1"/>
  <c r="BT124" i="5"/>
  <c r="BW124" i="8"/>
  <c r="A124" i="11"/>
  <c r="N124" i="11" s="1"/>
  <c r="DH124" i="8"/>
  <c r="DI124" i="8" s="1"/>
  <c r="AI124" i="5"/>
  <c r="BI124" i="8"/>
  <c r="CK124" i="8"/>
  <c r="B124" i="9"/>
  <c r="Y124" i="9" s="1"/>
  <c r="BH124" i="8"/>
  <c r="BU124" i="8" s="1"/>
  <c r="X124" i="8"/>
  <c r="DD124" i="8" s="1"/>
  <c r="AJ124" i="5"/>
  <c r="AP124" i="5" s="1"/>
  <c r="A124" i="10"/>
  <c r="AA124" i="10" s="1"/>
  <c r="CS121" i="8"/>
  <c r="B126" i="5"/>
  <c r="B126" i="2"/>
  <c r="B126" i="1"/>
  <c r="BG126" i="1" s="1"/>
  <c r="AH126" i="5"/>
  <c r="BU126" i="5"/>
  <c r="BY128" i="11"/>
  <c r="K127" i="10"/>
  <c r="AA127" i="7"/>
  <c r="AF127" i="8" s="1"/>
  <c r="AV127" i="8" s="1"/>
  <c r="L127" i="11"/>
  <c r="M127" i="5"/>
  <c r="H126" i="10"/>
  <c r="J126" i="7"/>
  <c r="J127" i="5"/>
  <c r="DC127" i="5" s="1"/>
  <c r="E126" i="10"/>
  <c r="G126" i="7"/>
  <c r="L127" i="5"/>
  <c r="G126" i="10"/>
  <c r="I126" i="7"/>
  <c r="D126" i="7"/>
  <c r="G127" i="5"/>
  <c r="B126" i="10"/>
  <c r="I127" i="5"/>
  <c r="D126" i="10"/>
  <c r="F126" i="7"/>
  <c r="K127" i="5"/>
  <c r="F126" i="10"/>
  <c r="H126" i="7"/>
  <c r="DD126" i="5"/>
  <c r="H127" i="5"/>
  <c r="C126" i="10"/>
  <c r="E126" i="7"/>
  <c r="CQ122" i="8"/>
  <c r="CU122" i="8" s="1"/>
  <c r="D124" i="9"/>
  <c r="CD122" i="8"/>
  <c r="N123" i="7"/>
  <c r="AH135" i="9"/>
  <c r="AQ122" i="5"/>
  <c r="CR122" i="8"/>
  <c r="B122" i="14"/>
  <c r="C125" i="5"/>
  <c r="F125" i="5" s="1"/>
  <c r="Q123" i="7"/>
  <c r="AE123" i="7"/>
  <c r="AF123" i="7" s="1"/>
  <c r="CZ126" i="5"/>
  <c r="Y122" i="11"/>
  <c r="AH122" i="1" s="1"/>
  <c r="AC122" i="11"/>
  <c r="U122" i="8" s="1"/>
  <c r="N123" i="11"/>
  <c r="Z122" i="11"/>
  <c r="AD122" i="11"/>
  <c r="AI122" i="1" s="1"/>
  <c r="AB122" i="11"/>
  <c r="Q122" i="8" s="1"/>
  <c r="AA122" i="11"/>
  <c r="AK122" i="1" s="1"/>
  <c r="CI123" i="8"/>
  <c r="DA123" i="8" s="1"/>
  <c r="CC123" i="8"/>
  <c r="CV123" i="8" s="1"/>
  <c r="CW123" i="8" s="1"/>
  <c r="CH123" i="8"/>
  <c r="CZ123" i="8" s="1"/>
  <c r="CA123" i="8"/>
  <c r="CB123" i="8"/>
  <c r="CT123" i="8" s="1"/>
  <c r="BY123" i="8"/>
  <c r="BZ123" i="8"/>
  <c r="AB126" i="1"/>
  <c r="DI126" i="5"/>
  <c r="DA125" i="5"/>
  <c r="DG125" i="5" s="1" a="1"/>
  <c r="DG125" i="5" s="1"/>
  <c r="AG135" i="9"/>
  <c r="AK135" i="9"/>
  <c r="N111" i="1"/>
  <c r="S128" i="2"/>
  <c r="N129" i="2"/>
  <c r="R129" i="2"/>
  <c r="Q128" i="2"/>
  <c r="J130" i="10"/>
  <c r="N130" i="5" s="1"/>
  <c r="P130" i="2"/>
  <c r="AO124" i="5" l="1"/>
  <c r="AM124" i="5"/>
  <c r="AN124" i="5"/>
  <c r="AR124" i="5" s="1"/>
  <c r="AV125" i="5"/>
  <c r="AW125" i="5"/>
  <c r="AG123" i="7"/>
  <c r="AI123" i="7" s="1"/>
  <c r="AG124" i="7"/>
  <c r="CL125" i="8"/>
  <c r="BZ124" i="8"/>
  <c r="AC124" i="1"/>
  <c r="G130" i="8"/>
  <c r="CF129" i="8"/>
  <c r="O129" i="2"/>
  <c r="BN129" i="5" a="1"/>
  <c r="BN129" i="5" s="1"/>
  <c r="BB129" i="5" a="1"/>
  <c r="BB129" i="5" s="1"/>
  <c r="BI129" i="5" a="1"/>
  <c r="BI129" i="5" s="1"/>
  <c r="AM136" i="9"/>
  <c r="BR124" i="8"/>
  <c r="BS124" i="8"/>
  <c r="AD127" i="1"/>
  <c r="CQ129" i="5"/>
  <c r="CS129" i="5"/>
  <c r="CW129" i="5"/>
  <c r="CR129" i="5"/>
  <c r="CT129" i="5"/>
  <c r="CU129" i="5"/>
  <c r="CV129" i="5"/>
  <c r="AY129" i="5" a="1"/>
  <c r="AY129" i="5" s="1"/>
  <c r="BL129" i="5" a="1"/>
  <c r="BL129" i="5" s="1"/>
  <c r="BF129" i="5" a="1"/>
  <c r="BF129" i="5" s="1"/>
  <c r="AE128" i="1" s="1"/>
  <c r="AZ129" i="5" a="1"/>
  <c r="AZ129" i="5" s="1"/>
  <c r="BG129" i="5" a="1"/>
  <c r="BG129" i="5" s="1"/>
  <c r="BJ129" i="5" a="1"/>
  <c r="BJ129" i="5" s="1"/>
  <c r="BM129" i="5" a="1"/>
  <c r="BM129" i="5" s="1"/>
  <c r="BQ129" i="5" a="1"/>
  <c r="BQ129" i="5" s="1"/>
  <c r="BH129" i="5" a="1"/>
  <c r="BH129" i="5" s="1"/>
  <c r="BO129" i="5" a="1"/>
  <c r="BO129" i="5" s="1"/>
  <c r="BA129" i="5" a="1"/>
  <c r="BA129" i="5" s="1"/>
  <c r="BK129" i="5" a="1"/>
  <c r="BK129" i="5" s="1"/>
  <c r="BC129" i="5" a="1"/>
  <c r="BC129" i="5" s="1"/>
  <c r="BE129" i="5" a="1"/>
  <c r="BE129" i="5" s="1"/>
  <c r="BD129" i="5" a="1"/>
  <c r="BD129" i="5" s="1"/>
  <c r="V127" i="2"/>
  <c r="CX122" i="8"/>
  <c r="CY122" i="8" s="1"/>
  <c r="F132" i="8"/>
  <c r="AK128" i="11"/>
  <c r="BP128" i="5" a="1"/>
  <c r="BP128" i="5" s="1"/>
  <c r="J128" i="2" s="1"/>
  <c r="O133" i="1"/>
  <c r="CD123" i="8"/>
  <c r="BT124" i="8"/>
  <c r="BO124" i="8"/>
  <c r="BP124" i="8"/>
  <c r="BM124" i="8"/>
  <c r="BN124" i="8"/>
  <c r="BK124" i="8"/>
  <c r="BL124" i="8"/>
  <c r="BJ124" i="8"/>
  <c r="AC124" i="10"/>
  <c r="X124" i="10" s="1"/>
  <c r="AS128" i="5"/>
  <c r="DF127" i="5"/>
  <c r="DB127" i="5"/>
  <c r="DE127" i="5"/>
  <c r="W126" i="1"/>
  <c r="AM128" i="1"/>
  <c r="AJ128" i="1"/>
  <c r="Y126" i="1"/>
  <c r="DJ127" i="5"/>
  <c r="AH128" i="11"/>
  <c r="AU129" i="8"/>
  <c r="AE129" i="8"/>
  <c r="K130" i="11"/>
  <c r="A130" i="14"/>
  <c r="CA130" i="14" s="1"/>
  <c r="A130" i="8"/>
  <c r="A130" i="2"/>
  <c r="A130" i="7"/>
  <c r="R130" i="7" s="1"/>
  <c r="A130" i="5"/>
  <c r="A130" i="9"/>
  <c r="AF126" i="1"/>
  <c r="AY129" i="14" a="1"/>
  <c r="AY129" i="14" s="1"/>
  <c r="BC129" i="14" a="1"/>
  <c r="BC129" i="14" s="1"/>
  <c r="BG129" i="14" a="1"/>
  <c r="BG129" i="14" s="1"/>
  <c r="BB129" i="14" a="1"/>
  <c r="BB129" i="14" s="1"/>
  <c r="BO129" i="14" a="1"/>
  <c r="BO129" i="14" s="1"/>
  <c r="AD129" i="14" a="1"/>
  <c r="AD129" i="14" s="1"/>
  <c r="BA129" i="14" a="1"/>
  <c r="BA129" i="14" s="1"/>
  <c r="AU129" i="14" a="1"/>
  <c r="AU129" i="14" s="1"/>
  <c r="S129" i="14" a="1"/>
  <c r="S129" i="14" s="1"/>
  <c r="AK129" i="14" a="1"/>
  <c r="AK129" i="14" s="1"/>
  <c r="AJ129" i="14" a="1"/>
  <c r="AJ129" i="14" s="1"/>
  <c r="BK129" i="14" a="1"/>
  <c r="BK129" i="14" s="1"/>
  <c r="AE129" i="14" a="1"/>
  <c r="AE129" i="14" s="1"/>
  <c r="U129" i="14" a="1"/>
  <c r="U129" i="14" s="1"/>
  <c r="T129" i="14" a="1"/>
  <c r="T129" i="14" s="1"/>
  <c r="BD129" i="14" a="1"/>
  <c r="BD129" i="14" s="1"/>
  <c r="BM129" i="14" a="1"/>
  <c r="BM129" i="14" s="1"/>
  <c r="Y129" i="14" a="1"/>
  <c r="Y129" i="14" s="1"/>
  <c r="BQ129" i="14" a="1"/>
  <c r="BQ129" i="14" s="1"/>
  <c r="AO129" i="14" a="1"/>
  <c r="AO129" i="14" s="1"/>
  <c r="AI129" i="14" a="1"/>
  <c r="AI129" i="14" s="1"/>
  <c r="AR129" i="14" a="1"/>
  <c r="AR129" i="14" s="1"/>
  <c r="AZ129" i="14" a="1"/>
  <c r="AZ129" i="14" s="1"/>
  <c r="AC129" i="14" a="1"/>
  <c r="AC129" i="14" s="1"/>
  <c r="BW129" i="14" a="1"/>
  <c r="BW129" i="14" s="1"/>
  <c r="AB129" i="14" a="1"/>
  <c r="AB129" i="14" s="1"/>
  <c r="BH129" i="14" a="1"/>
  <c r="BH129" i="14" s="1"/>
  <c r="W129" i="14" a="1"/>
  <c r="W129" i="14" s="1"/>
  <c r="AA129" i="14" a="1"/>
  <c r="AA129" i="14" s="1"/>
  <c r="Z129" i="14" a="1"/>
  <c r="Z129" i="14" s="1"/>
  <c r="BJ129" i="14" a="1"/>
  <c r="BJ129" i="14" s="1"/>
  <c r="AQ129" i="14" a="1"/>
  <c r="AQ129" i="14" s="1"/>
  <c r="X129" i="14" a="1"/>
  <c r="X129" i="14" s="1"/>
  <c r="BE129" i="14" a="1"/>
  <c r="BE129" i="14" s="1"/>
  <c r="R129" i="14" a="1"/>
  <c r="R129" i="14" s="1"/>
  <c r="AL129" i="1" s="1"/>
  <c r="Q129" i="14" a="1"/>
  <c r="Q129" i="14" s="1"/>
  <c r="BS129" i="14" a="1"/>
  <c r="BS129" i="14" s="1"/>
  <c r="AT129" i="14" a="1"/>
  <c r="AT129" i="14" s="1"/>
  <c r="BP129" i="14" a="1"/>
  <c r="BP129" i="14" s="1"/>
  <c r="BX129" i="14" a="1"/>
  <c r="BX129" i="14" s="1"/>
  <c r="AH129" i="14" a="1"/>
  <c r="AH129" i="14" s="1"/>
  <c r="AP129" i="14" a="1"/>
  <c r="AP129" i="14" s="1"/>
  <c r="BU129" i="14" a="1"/>
  <c r="BU129" i="14" s="1"/>
  <c r="AW129" i="14" a="1"/>
  <c r="AW129" i="14" s="1"/>
  <c r="AM129" i="14" a="1"/>
  <c r="AM129" i="14" s="1"/>
  <c r="BV129" i="14" a="1"/>
  <c r="BV129" i="14" s="1"/>
  <c r="AX129" i="14" a="1"/>
  <c r="AX129" i="14" s="1"/>
  <c r="V129" i="14" a="1"/>
  <c r="V129" i="14" s="1"/>
  <c r="AL129" i="14" a="1"/>
  <c r="AL129" i="14" s="1"/>
  <c r="AG129" i="14" a="1"/>
  <c r="AG129" i="14" s="1"/>
  <c r="BY129" i="14" a="1"/>
  <c r="BY129" i="14" s="1"/>
  <c r="BF129" i="14" a="1"/>
  <c r="BF129" i="14" s="1"/>
  <c r="BI129" i="14" a="1"/>
  <c r="BI129" i="14" s="1"/>
  <c r="BL129" i="14" a="1"/>
  <c r="BL129" i="14" s="1"/>
  <c r="BT129" i="14" a="1"/>
  <c r="BT129" i="14" s="1"/>
  <c r="AV129" i="14" a="1"/>
  <c r="AV129" i="14" s="1"/>
  <c r="O129" i="14" a="1"/>
  <c r="O129" i="14" s="1"/>
  <c r="AF129" i="14" a="1"/>
  <c r="AF129" i="14" s="1"/>
  <c r="AS129" i="14" a="1"/>
  <c r="AS129" i="14" s="1"/>
  <c r="P129" i="14" a="1"/>
  <c r="P129" i="14" s="1"/>
  <c r="M129" i="14" a="1"/>
  <c r="M129" i="14" s="1"/>
  <c r="N129" i="14" a="1"/>
  <c r="N129" i="14" s="1"/>
  <c r="BZ129" i="14" a="1"/>
  <c r="BZ129" i="14" s="1"/>
  <c r="AN129" i="14" a="1"/>
  <c r="AN129" i="14" s="1"/>
  <c r="BN129" i="14" a="1"/>
  <c r="BN129" i="14" s="1"/>
  <c r="BR129" i="14" a="1"/>
  <c r="BR129" i="14" s="1"/>
  <c r="DH127" i="5"/>
  <c r="N124" i="7"/>
  <c r="Z123" i="11"/>
  <c r="AC123" i="11"/>
  <c r="U123" i="8" s="1"/>
  <c r="B124" i="14"/>
  <c r="Q124" i="7"/>
  <c r="AD123" i="11"/>
  <c r="AI123" i="1" s="1"/>
  <c r="Y123" i="11"/>
  <c r="AH123" i="1" s="1"/>
  <c r="AB123" i="11"/>
  <c r="Q123" i="8" s="1"/>
  <c r="AA123" i="11"/>
  <c r="AK123" i="1" s="1"/>
  <c r="CA124" i="8"/>
  <c r="CI124" i="8"/>
  <c r="DA124" i="8" s="1"/>
  <c r="CC124" i="8"/>
  <c r="CV124" i="8" s="1"/>
  <c r="CW124" i="8" s="1"/>
  <c r="CH124" i="8"/>
  <c r="CZ124" i="8" s="1"/>
  <c r="CB124" i="8"/>
  <c r="CT124" i="8" s="1"/>
  <c r="BY124" i="8"/>
  <c r="BX124" i="8"/>
  <c r="CE124" i="8" s="1"/>
  <c r="D125" i="9"/>
  <c r="CS122" i="8"/>
  <c r="BU127" i="5"/>
  <c r="AH127" i="5"/>
  <c r="B127" i="2"/>
  <c r="B127" i="1"/>
  <c r="BG127" i="1" s="1"/>
  <c r="B127" i="5"/>
  <c r="BY129" i="11"/>
  <c r="K128" i="10"/>
  <c r="AA128" i="7"/>
  <c r="AF128" i="8" s="1"/>
  <c r="AV128" i="8" s="1"/>
  <c r="L128" i="11"/>
  <c r="L128" i="5"/>
  <c r="G127" i="10"/>
  <c r="I127" i="7"/>
  <c r="H128" i="5"/>
  <c r="C127" i="10"/>
  <c r="E127" i="7"/>
  <c r="I128" i="5"/>
  <c r="D127" i="10"/>
  <c r="F127" i="7"/>
  <c r="G128" i="5"/>
  <c r="D127" i="7"/>
  <c r="B127" i="10"/>
  <c r="J128" i="5"/>
  <c r="DC128" i="5" s="1"/>
  <c r="E127" i="10"/>
  <c r="G127" i="7"/>
  <c r="K128" i="5"/>
  <c r="F127" i="10"/>
  <c r="H127" i="7"/>
  <c r="DD127" i="5"/>
  <c r="M128" i="5"/>
  <c r="H127" i="10"/>
  <c r="J127" i="7"/>
  <c r="CQ123" i="8"/>
  <c r="CU123" i="8" s="1"/>
  <c r="DH125" i="8"/>
  <c r="DI125" i="8" s="1"/>
  <c r="CK125" i="8"/>
  <c r="BW125" i="8"/>
  <c r="AC125" i="1" s="1"/>
  <c r="BI125" i="8"/>
  <c r="AI125" i="5"/>
  <c r="BH125" i="8"/>
  <c r="BU125" i="8" s="1"/>
  <c r="AH136" i="9"/>
  <c r="AC125" i="8"/>
  <c r="BQ125" i="8" s="1"/>
  <c r="B125" i="9"/>
  <c r="Y125" i="9" s="1"/>
  <c r="E125" i="1"/>
  <c r="AJ125" i="5"/>
  <c r="AP125" i="5" s="1"/>
  <c r="B125" i="7"/>
  <c r="X125" i="8"/>
  <c r="DD125" i="8" s="1"/>
  <c r="BT125" i="5"/>
  <c r="AQ123" i="5"/>
  <c r="A125" i="11"/>
  <c r="A125" i="10"/>
  <c r="AA125" i="10" s="1"/>
  <c r="DB123" i="8"/>
  <c r="CZ127" i="5"/>
  <c r="CR123" i="8"/>
  <c r="C126" i="5"/>
  <c r="F126" i="5" s="1"/>
  <c r="B123" i="14"/>
  <c r="DA126" i="5"/>
  <c r="DG126" i="5" s="1" a="1"/>
  <c r="DG126" i="5" s="1"/>
  <c r="AB127" i="1"/>
  <c r="DI127" i="5"/>
  <c r="AG136" i="9"/>
  <c r="AK136" i="9"/>
  <c r="N112" i="1"/>
  <c r="S129" i="2"/>
  <c r="N130" i="2"/>
  <c r="R130" i="2"/>
  <c r="Q129" i="2"/>
  <c r="J131" i="10"/>
  <c r="N131" i="5" s="1"/>
  <c r="P131" i="2"/>
  <c r="AO125" i="5" l="1"/>
  <c r="AM125" i="5"/>
  <c r="AN125" i="5"/>
  <c r="AV126" i="5"/>
  <c r="AW126" i="5"/>
  <c r="AI124" i="7"/>
  <c r="CL126" i="8"/>
  <c r="CR124" i="8"/>
  <c r="G131" i="8"/>
  <c r="CF130" i="8"/>
  <c r="O130" i="2"/>
  <c r="BN130" i="5" a="1"/>
  <c r="BN130" i="5" s="1"/>
  <c r="AD128" i="1"/>
  <c r="BQ130" i="5" a="1"/>
  <c r="BQ130" i="5" s="1"/>
  <c r="BM130" i="5" a="1"/>
  <c r="BM130" i="5" s="1"/>
  <c r="BR125" i="8"/>
  <c r="BS125" i="8"/>
  <c r="BJ130" i="5" a="1"/>
  <c r="BJ130" i="5" s="1"/>
  <c r="BG130" i="5" a="1"/>
  <c r="BG130" i="5" s="1"/>
  <c r="AZ130" i="5" a="1"/>
  <c r="AZ130" i="5" s="1"/>
  <c r="BF130" i="5" a="1"/>
  <c r="BF130" i="5" s="1"/>
  <c r="AE129" i="1" s="1"/>
  <c r="BD130" i="5" a="1"/>
  <c r="BD130" i="5" s="1"/>
  <c r="BB130" i="5" a="1"/>
  <c r="BB130" i="5" s="1"/>
  <c r="BE130" i="5" a="1"/>
  <c r="BE130" i="5" s="1"/>
  <c r="BC130" i="5" a="1"/>
  <c r="BC130" i="5" s="1"/>
  <c r="CQ130" i="5"/>
  <c r="CR130" i="5"/>
  <c r="CS130" i="5"/>
  <c r="CU130" i="5"/>
  <c r="CT130" i="5"/>
  <c r="CW130" i="5"/>
  <c r="CV130" i="5"/>
  <c r="AY130" i="5" a="1"/>
  <c r="AY130" i="5" s="1"/>
  <c r="BL130" i="5" a="1"/>
  <c r="BL130" i="5" s="1"/>
  <c r="BK130" i="5" a="1"/>
  <c r="BK130" i="5" s="1"/>
  <c r="BI130" i="5" a="1"/>
  <c r="BI130" i="5" s="1"/>
  <c r="BA130" i="5" a="1"/>
  <c r="BA130" i="5" s="1"/>
  <c r="BO130" i="5" a="1"/>
  <c r="BO130" i="5" s="1"/>
  <c r="BH130" i="5" a="1"/>
  <c r="BH130" i="5" s="1"/>
  <c r="V128" i="2"/>
  <c r="AK129" i="11"/>
  <c r="CX123" i="8"/>
  <c r="CY123" i="8" s="1"/>
  <c r="CQ124" i="8"/>
  <c r="CU124" i="8" s="1"/>
  <c r="F133" i="8"/>
  <c r="BP129" i="5" a="1"/>
  <c r="BP129" i="5" s="1"/>
  <c r="J129" i="2" s="1"/>
  <c r="O134" i="1"/>
  <c r="BX125" i="8"/>
  <c r="CE125" i="8" s="1"/>
  <c r="BT125" i="8"/>
  <c r="BO125" i="8"/>
  <c r="BP125" i="8"/>
  <c r="BM125" i="8"/>
  <c r="BN125" i="8"/>
  <c r="BK125" i="8"/>
  <c r="BL125" i="8"/>
  <c r="BJ125" i="8"/>
  <c r="AC125" i="10"/>
  <c r="X125" i="10" s="1"/>
  <c r="AR125" i="5"/>
  <c r="AS129" i="5"/>
  <c r="DB128" i="5"/>
  <c r="AJ129" i="1"/>
  <c r="DE128" i="5"/>
  <c r="DF128" i="5"/>
  <c r="AF127" i="1"/>
  <c r="Y127" i="1"/>
  <c r="DJ128" i="5"/>
  <c r="K131" i="11"/>
  <c r="A131" i="14"/>
  <c r="CA131" i="14" s="1"/>
  <c r="A131" i="7"/>
  <c r="R131" i="7" s="1"/>
  <c r="A131" i="8"/>
  <c r="A131" i="2"/>
  <c r="A131" i="5"/>
  <c r="A131" i="9"/>
  <c r="DH128" i="5"/>
  <c r="AH129" i="11"/>
  <c r="AU130" i="8"/>
  <c r="AE130" i="8"/>
  <c r="AM129" i="1"/>
  <c r="BZ130" i="14" a="1"/>
  <c r="BZ130" i="14" s="1"/>
  <c r="AX130" i="14" a="1"/>
  <c r="AX130" i="14" s="1"/>
  <c r="AE130" i="14" a="1"/>
  <c r="AE130" i="14" s="1"/>
  <c r="BU130" i="14" a="1"/>
  <c r="BU130" i="14" s="1"/>
  <c r="BP130" i="14" a="1"/>
  <c r="BP130" i="14" s="1"/>
  <c r="AA130" i="14" a="1"/>
  <c r="AA130" i="14" s="1"/>
  <c r="BN130" i="14" a="1"/>
  <c r="BN130" i="14" s="1"/>
  <c r="BQ130" i="14" a="1"/>
  <c r="BQ130" i="14" s="1"/>
  <c r="AW130" i="14" a="1"/>
  <c r="AW130" i="14" s="1"/>
  <c r="Y130" i="14" a="1"/>
  <c r="Y130" i="14" s="1"/>
  <c r="BX130" i="14" a="1"/>
  <c r="BX130" i="14" s="1"/>
  <c r="BK130" i="14" a="1"/>
  <c r="BK130" i="14" s="1"/>
  <c r="AK130" i="14" a="1"/>
  <c r="AK130" i="14" s="1"/>
  <c r="N130" i="14" a="1"/>
  <c r="N130" i="14" s="1"/>
  <c r="BJ130" i="14" a="1"/>
  <c r="BJ130" i="14" s="1"/>
  <c r="AG130" i="14" a="1"/>
  <c r="AG130" i="14" s="1"/>
  <c r="Q130" i="14" a="1"/>
  <c r="Q130" i="14" s="1"/>
  <c r="AN130" i="14" a="1"/>
  <c r="AN130" i="14" s="1"/>
  <c r="BL130" i="14" a="1"/>
  <c r="BL130" i="14" s="1"/>
  <c r="AQ130" i="14" a="1"/>
  <c r="AQ130" i="14" s="1"/>
  <c r="BG130" i="14" a="1"/>
  <c r="BG130" i="14" s="1"/>
  <c r="AB130" i="14" a="1"/>
  <c r="AB130" i="14" s="1"/>
  <c r="BI130" i="14" a="1"/>
  <c r="BI130" i="14" s="1"/>
  <c r="BF130" i="14" a="1"/>
  <c r="BF130" i="14" s="1"/>
  <c r="BE130" i="14" a="1"/>
  <c r="BE130" i="14" s="1"/>
  <c r="BM130" i="14" a="1"/>
  <c r="BM130" i="14" s="1"/>
  <c r="P130" i="14" a="1"/>
  <c r="P130" i="14" s="1"/>
  <c r="AZ130" i="14" a="1"/>
  <c r="AZ130" i="14" s="1"/>
  <c r="AL130" i="14" a="1"/>
  <c r="AL130" i="14" s="1"/>
  <c r="W130" i="14" a="1"/>
  <c r="W130" i="14" s="1"/>
  <c r="BV130" i="14" a="1"/>
  <c r="BV130" i="14" s="1"/>
  <c r="AO130" i="14" a="1"/>
  <c r="AO130" i="14" s="1"/>
  <c r="BA130" i="14" a="1"/>
  <c r="BA130" i="14" s="1"/>
  <c r="AD130" i="14" a="1"/>
  <c r="AD130" i="14" s="1"/>
  <c r="BH130" i="14" a="1"/>
  <c r="BH130" i="14" s="1"/>
  <c r="BR130" i="14" a="1"/>
  <c r="BR130" i="14" s="1"/>
  <c r="BC130" i="14" a="1"/>
  <c r="BC130" i="14" s="1"/>
  <c r="BS130" i="14" a="1"/>
  <c r="BS130" i="14" s="1"/>
  <c r="AF130" i="14" a="1"/>
  <c r="AF130" i="14" s="1"/>
  <c r="AS130" i="14" a="1"/>
  <c r="AS130" i="14" s="1"/>
  <c r="BY130" i="14" a="1"/>
  <c r="BY130" i="14" s="1"/>
  <c r="U130" i="14" a="1"/>
  <c r="U130" i="14" s="1"/>
  <c r="AR130" i="14" a="1"/>
  <c r="AR130" i="14" s="1"/>
  <c r="AU130" i="14" a="1"/>
  <c r="AU130" i="14" s="1"/>
  <c r="AY130" i="14" a="1"/>
  <c r="AY130" i="14" s="1"/>
  <c r="BO130" i="14" a="1"/>
  <c r="BO130" i="14" s="1"/>
  <c r="BB130" i="14" a="1"/>
  <c r="BB130" i="14" s="1"/>
  <c r="AJ130" i="14" a="1"/>
  <c r="AJ130" i="14" s="1"/>
  <c r="AI130" i="14" a="1"/>
  <c r="AI130" i="14" s="1"/>
  <c r="BT130" i="14" a="1"/>
  <c r="BT130" i="14" s="1"/>
  <c r="BD130" i="14" a="1"/>
  <c r="BD130" i="14" s="1"/>
  <c r="AC130" i="14" a="1"/>
  <c r="AC130" i="14" s="1"/>
  <c r="AP130" i="14" a="1"/>
  <c r="AP130" i="14" s="1"/>
  <c r="S130" i="14" a="1"/>
  <c r="S130" i="14" s="1"/>
  <c r="AM130" i="14" a="1"/>
  <c r="AM130" i="14" s="1"/>
  <c r="AV130" i="14" a="1"/>
  <c r="AV130" i="14" s="1"/>
  <c r="T130" i="14" a="1"/>
  <c r="T130" i="14" s="1"/>
  <c r="R130" i="14" a="1"/>
  <c r="R130" i="14" s="1"/>
  <c r="AL130" i="1" s="1"/>
  <c r="BW130" i="14" a="1"/>
  <c r="BW130" i="14" s="1"/>
  <c r="V130" i="14" a="1"/>
  <c r="V130" i="14" s="1"/>
  <c r="X130" i="14" a="1"/>
  <c r="X130" i="14" s="1"/>
  <c r="Z130" i="14" a="1"/>
  <c r="Z130" i="14" s="1"/>
  <c r="M130" i="14" a="1"/>
  <c r="M130" i="14" s="1"/>
  <c r="AH130" i="14" a="1"/>
  <c r="AH130" i="14" s="1"/>
  <c r="O130" i="14" a="1"/>
  <c r="O130" i="14" s="1"/>
  <c r="AT130" i="14" a="1"/>
  <c r="AT130" i="14" s="1"/>
  <c r="W127" i="1"/>
  <c r="CD124" i="8"/>
  <c r="AQ124" i="5"/>
  <c r="DB124" i="8"/>
  <c r="CS123" i="8"/>
  <c r="BY130" i="11"/>
  <c r="K129" i="10"/>
  <c r="AA129" i="7"/>
  <c r="AF129" i="8" s="1"/>
  <c r="AV129" i="8" s="1"/>
  <c r="L129" i="11"/>
  <c r="B128" i="5"/>
  <c r="B128" i="2"/>
  <c r="B128" i="1"/>
  <c r="BG128" i="1" s="1"/>
  <c r="AH128" i="5"/>
  <c r="BU128" i="5"/>
  <c r="K129" i="5"/>
  <c r="F128" i="10"/>
  <c r="H128" i="7"/>
  <c r="DD128" i="5"/>
  <c r="I129" i="5"/>
  <c r="D128" i="10"/>
  <c r="F128" i="7"/>
  <c r="M129" i="5"/>
  <c r="H128" i="10"/>
  <c r="J128" i="7"/>
  <c r="J129" i="5"/>
  <c r="DC129" i="5" s="1"/>
  <c r="E128" i="10"/>
  <c r="G128" i="7"/>
  <c r="H129" i="5"/>
  <c r="C128" i="10"/>
  <c r="E128" i="7"/>
  <c r="D128" i="7"/>
  <c r="G129" i="5"/>
  <c r="B128" i="10"/>
  <c r="L129" i="5"/>
  <c r="G128" i="10"/>
  <c r="I128" i="7"/>
  <c r="D126" i="9"/>
  <c r="DH126" i="8"/>
  <c r="DI126" i="8" s="1"/>
  <c r="CK126" i="8"/>
  <c r="BW126" i="8"/>
  <c r="AC126" i="1" s="1"/>
  <c r="N125" i="7"/>
  <c r="BH126" i="8"/>
  <c r="BU126" i="8" s="1"/>
  <c r="BI126" i="8"/>
  <c r="Q125" i="7"/>
  <c r="AE125" i="7"/>
  <c r="AF125" i="7" s="1"/>
  <c r="CI125" i="8"/>
  <c r="DA125" i="8" s="1"/>
  <c r="CH125" i="8"/>
  <c r="CZ125" i="8" s="1"/>
  <c r="CA125" i="8"/>
  <c r="CB125" i="8"/>
  <c r="CT125" i="8" s="1"/>
  <c r="BY125" i="8"/>
  <c r="BZ125" i="8"/>
  <c r="CC125" i="8"/>
  <c r="CV125" i="8" s="1"/>
  <c r="CW125" i="8" s="1"/>
  <c r="AA124" i="11"/>
  <c r="AK124" i="1" s="1"/>
  <c r="N125" i="11"/>
  <c r="Z124" i="11"/>
  <c r="AC124" i="11"/>
  <c r="U124" i="8" s="1"/>
  <c r="AD124" i="11"/>
  <c r="AI124" i="1" s="1"/>
  <c r="AB124" i="11"/>
  <c r="Q124" i="8" s="1"/>
  <c r="Y124" i="11"/>
  <c r="AH124" i="1" s="1"/>
  <c r="A126" i="11"/>
  <c r="AC126" i="8"/>
  <c r="BQ126" i="8" s="1"/>
  <c r="BT126" i="5"/>
  <c r="A126" i="10"/>
  <c r="AA126" i="10" s="1"/>
  <c r="B126" i="7"/>
  <c r="E126" i="1"/>
  <c r="B126" i="9"/>
  <c r="Y126" i="9" s="1"/>
  <c r="X126" i="8"/>
  <c r="DD126" i="8" s="1"/>
  <c r="AJ126" i="5"/>
  <c r="AP126" i="5" s="1"/>
  <c r="AI126" i="5"/>
  <c r="C127" i="5"/>
  <c r="F127" i="5" s="1"/>
  <c r="CZ128" i="5"/>
  <c r="AB128" i="1"/>
  <c r="DI128" i="5"/>
  <c r="DA127" i="5"/>
  <c r="DG127" i="5" s="1" a="1"/>
  <c r="DG127" i="5" s="1"/>
  <c r="N113" i="1"/>
  <c r="S130" i="2"/>
  <c r="N131" i="2"/>
  <c r="R131" i="2"/>
  <c r="Q130" i="2"/>
  <c r="J132" i="10"/>
  <c r="N132" i="5" s="1"/>
  <c r="P132" i="2"/>
  <c r="AO126" i="5" l="1"/>
  <c r="AM126" i="5"/>
  <c r="AN126" i="5"/>
  <c r="AV127" i="5"/>
  <c r="AW127" i="5"/>
  <c r="AG125" i="7"/>
  <c r="AI125" i="7" s="1"/>
  <c r="CL127" i="8"/>
  <c r="G132" i="8"/>
  <c r="CF131" i="8"/>
  <c r="O131" i="2"/>
  <c r="AD129" i="1"/>
  <c r="BR126" i="8"/>
  <c r="BS126" i="8"/>
  <c r="BC131" i="5" a="1"/>
  <c r="BC131" i="5" s="1"/>
  <c r="BH131" i="5" a="1"/>
  <c r="BH131" i="5" s="1"/>
  <c r="BE131" i="5" a="1"/>
  <c r="BE131" i="5" s="1"/>
  <c r="CQ131" i="5"/>
  <c r="CT131" i="5"/>
  <c r="CS131" i="5"/>
  <c r="CV131" i="5"/>
  <c r="CW131" i="5"/>
  <c r="CR131" i="5"/>
  <c r="CU131" i="5"/>
  <c r="AY131" i="5" a="1"/>
  <c r="AY131" i="5" s="1"/>
  <c r="BL131" i="5" a="1"/>
  <c r="BL131" i="5" s="1"/>
  <c r="BO131" i="5" a="1"/>
  <c r="BO131" i="5" s="1"/>
  <c r="BQ131" i="5" a="1"/>
  <c r="BQ131" i="5" s="1"/>
  <c r="BA131" i="5" a="1"/>
  <c r="BA131" i="5" s="1"/>
  <c r="BB131" i="5" a="1"/>
  <c r="BB131" i="5" s="1"/>
  <c r="BI131" i="5" a="1"/>
  <c r="BI131" i="5" s="1"/>
  <c r="BD131" i="5" a="1"/>
  <c r="BD131" i="5" s="1"/>
  <c r="BK131" i="5" a="1"/>
  <c r="BK131" i="5" s="1"/>
  <c r="BF131" i="5" a="1"/>
  <c r="BF131" i="5" s="1"/>
  <c r="AE130" i="1" s="1"/>
  <c r="AZ131" i="5" a="1"/>
  <c r="AZ131" i="5" s="1"/>
  <c r="BG131" i="5" a="1"/>
  <c r="BG131" i="5" s="1"/>
  <c r="BJ131" i="5" a="1"/>
  <c r="BJ131" i="5" s="1"/>
  <c r="BM131" i="5" a="1"/>
  <c r="BM131" i="5" s="1"/>
  <c r="BN131" i="5" a="1"/>
  <c r="BN131" i="5" s="1"/>
  <c r="AK130" i="11"/>
  <c r="V129" i="2"/>
  <c r="CS124" i="8"/>
  <c r="F134" i="8"/>
  <c r="BP130" i="5" a="1"/>
  <c r="BP130" i="5" s="1"/>
  <c r="J130" i="2" s="1"/>
  <c r="O135" i="1"/>
  <c r="CD125" i="8"/>
  <c r="BT126" i="8"/>
  <c r="BO126" i="8"/>
  <c r="BP126" i="8"/>
  <c r="BM126" i="8"/>
  <c r="BN126" i="8"/>
  <c r="BK126" i="8"/>
  <c r="BL126" i="8"/>
  <c r="BJ126" i="8"/>
  <c r="AC126" i="10"/>
  <c r="X126" i="10" s="1"/>
  <c r="AR126" i="5"/>
  <c r="AS130" i="5"/>
  <c r="DE129" i="5"/>
  <c r="DB129" i="5"/>
  <c r="AH130" i="11"/>
  <c r="DH129" i="5"/>
  <c r="W128" i="1"/>
  <c r="AE131" i="8"/>
  <c r="AU131" i="8"/>
  <c r="AJ130" i="1"/>
  <c r="AM130" i="1"/>
  <c r="Y128" i="1"/>
  <c r="DJ129" i="5"/>
  <c r="S131" i="14" a="1"/>
  <c r="S131" i="14" s="1"/>
  <c r="BD131" i="14" a="1"/>
  <c r="BD131" i="14" s="1"/>
  <c r="AK131" i="14" a="1"/>
  <c r="AK131" i="14" s="1"/>
  <c r="BX131" i="14" a="1"/>
  <c r="BX131" i="14" s="1"/>
  <c r="P131" i="14" a="1"/>
  <c r="P131" i="14" s="1"/>
  <c r="AE131" i="14" a="1"/>
  <c r="AE131" i="14" s="1"/>
  <c r="BJ131" i="14" a="1"/>
  <c r="BJ131" i="14" s="1"/>
  <c r="BZ131" i="14" a="1"/>
  <c r="BZ131" i="14" s="1"/>
  <c r="AH131" i="14" a="1"/>
  <c r="AH131" i="14" s="1"/>
  <c r="AG131" i="14" a="1"/>
  <c r="AG131" i="14" s="1"/>
  <c r="Y131" i="14" a="1"/>
  <c r="Y131" i="14" s="1"/>
  <c r="BI131" i="14" a="1"/>
  <c r="BI131" i="14" s="1"/>
  <c r="AB131" i="14" a="1"/>
  <c r="AB131" i="14" s="1"/>
  <c r="BP131" i="14" a="1"/>
  <c r="BP131" i="14" s="1"/>
  <c r="BK131" i="14" a="1"/>
  <c r="BK131" i="14" s="1"/>
  <c r="AD131" i="14" a="1"/>
  <c r="AD131" i="14" s="1"/>
  <c r="AT131" i="14" a="1"/>
  <c r="AT131" i="14" s="1"/>
  <c r="M131" i="14" a="1"/>
  <c r="M131" i="14" s="1"/>
  <c r="BM131" i="14" a="1"/>
  <c r="BM131" i="14" s="1"/>
  <c r="BA131" i="14" a="1"/>
  <c r="BA131" i="14" s="1"/>
  <c r="Q131" i="14" a="1"/>
  <c r="Q131" i="14" s="1"/>
  <c r="BT131" i="14" a="1"/>
  <c r="BT131" i="14" s="1"/>
  <c r="BH131" i="14" a="1"/>
  <c r="BH131" i="14" s="1"/>
  <c r="AA131" i="14" a="1"/>
  <c r="AA131" i="14" s="1"/>
  <c r="BF131" i="14" a="1"/>
  <c r="BF131" i="14" s="1"/>
  <c r="N131" i="14" a="1"/>
  <c r="N131" i="14" s="1"/>
  <c r="BW131" i="14" a="1"/>
  <c r="BW131" i="14" s="1"/>
  <c r="BQ131" i="14" a="1"/>
  <c r="BQ131" i="14" s="1"/>
  <c r="BY131" i="14" a="1"/>
  <c r="BY131" i="14" s="1"/>
  <c r="X131" i="14" a="1"/>
  <c r="X131" i="14" s="1"/>
  <c r="AQ131" i="14" a="1"/>
  <c r="AQ131" i="14" s="1"/>
  <c r="BC131" i="14" a="1"/>
  <c r="BC131" i="14" s="1"/>
  <c r="Z131" i="14" a="1"/>
  <c r="Z131" i="14" s="1"/>
  <c r="BV131" i="14" a="1"/>
  <c r="BV131" i="14" s="1"/>
  <c r="AC131" i="14" a="1"/>
  <c r="AC131" i="14" s="1"/>
  <c r="AZ131" i="14" a="1"/>
  <c r="AZ131" i="14" s="1"/>
  <c r="AS131" i="14" a="1"/>
  <c r="AS131" i="14" s="1"/>
  <c r="AR131" i="14" a="1"/>
  <c r="AR131" i="14" s="1"/>
  <c r="AM131" i="14" a="1"/>
  <c r="AM131" i="14" s="1"/>
  <c r="O131" i="14" a="1"/>
  <c r="O131" i="14" s="1"/>
  <c r="BB131" i="14" a="1"/>
  <c r="BB131" i="14" s="1"/>
  <c r="AP131" i="14" a="1"/>
  <c r="AP131" i="14" s="1"/>
  <c r="BE131" i="14" a="1"/>
  <c r="BE131" i="14" s="1"/>
  <c r="U131" i="14" a="1"/>
  <c r="U131" i="14" s="1"/>
  <c r="AV131" i="14" a="1"/>
  <c r="AV131" i="14" s="1"/>
  <c r="AF131" i="14" a="1"/>
  <c r="AF131" i="14" s="1"/>
  <c r="AI131" i="14" a="1"/>
  <c r="AI131" i="14" s="1"/>
  <c r="BG131" i="14" a="1"/>
  <c r="BG131" i="14" s="1"/>
  <c r="AX131" i="14" a="1"/>
  <c r="AX131" i="14" s="1"/>
  <c r="BN131" i="14" a="1"/>
  <c r="BN131" i="14" s="1"/>
  <c r="BU131" i="14" a="1"/>
  <c r="BU131" i="14" s="1"/>
  <c r="BS131" i="14" a="1"/>
  <c r="BS131" i="14" s="1"/>
  <c r="AY131" i="14" a="1"/>
  <c r="AY131" i="14" s="1"/>
  <c r="AU131" i="14" a="1"/>
  <c r="AU131" i="14" s="1"/>
  <c r="AW131" i="14" a="1"/>
  <c r="AW131" i="14" s="1"/>
  <c r="W131" i="14" a="1"/>
  <c r="W131" i="14" s="1"/>
  <c r="BL131" i="14" a="1"/>
  <c r="BL131" i="14" s="1"/>
  <c r="V131" i="14" a="1"/>
  <c r="V131" i="14" s="1"/>
  <c r="AJ131" i="14" a="1"/>
  <c r="AJ131" i="14" s="1"/>
  <c r="R131" i="14" a="1"/>
  <c r="R131" i="14" s="1"/>
  <c r="AL131" i="1" s="1"/>
  <c r="AN131" i="14" a="1"/>
  <c r="AN131" i="14" s="1"/>
  <c r="BR131" i="14" a="1"/>
  <c r="BR131" i="14" s="1"/>
  <c r="AO131" i="14" a="1"/>
  <c r="AO131" i="14" s="1"/>
  <c r="T131" i="14" a="1"/>
  <c r="T131" i="14" s="1"/>
  <c r="BO131" i="14" a="1"/>
  <c r="BO131" i="14" s="1"/>
  <c r="AL131" i="14" a="1"/>
  <c r="AL131" i="14" s="1"/>
  <c r="AF128" i="1"/>
  <c r="K132" i="11"/>
  <c r="A132" i="14"/>
  <c r="CA132" i="14" s="1"/>
  <c r="A132" i="7"/>
  <c r="R132" i="7" s="1"/>
  <c r="A132" i="9"/>
  <c r="A132" i="2"/>
  <c r="A132" i="8"/>
  <c r="A132" i="5"/>
  <c r="CX124" i="8"/>
  <c r="CY124" i="8" s="1"/>
  <c r="BU129" i="5"/>
  <c r="AH129" i="5"/>
  <c r="B129" i="2"/>
  <c r="B129" i="1"/>
  <c r="BG129" i="1" s="1"/>
  <c r="BY131" i="11"/>
  <c r="AA130" i="7"/>
  <c r="AF130" i="8" s="1"/>
  <c r="AV130" i="8" s="1"/>
  <c r="K130" i="10"/>
  <c r="L130" i="11"/>
  <c r="M130" i="5"/>
  <c r="H129" i="10"/>
  <c r="J129" i="7"/>
  <c r="H130" i="5"/>
  <c r="C129" i="10"/>
  <c r="E129" i="7"/>
  <c r="L130" i="5"/>
  <c r="G129" i="10"/>
  <c r="I129" i="7"/>
  <c r="B129" i="5"/>
  <c r="I130" i="5"/>
  <c r="D129" i="10"/>
  <c r="F129" i="7"/>
  <c r="D129" i="7"/>
  <c r="G130" i="5"/>
  <c r="B129" i="10"/>
  <c r="J130" i="5"/>
  <c r="DC130" i="5" s="1"/>
  <c r="E129" i="10"/>
  <c r="G129" i="7"/>
  <c r="DF129" i="5"/>
  <c r="K130" i="5"/>
  <c r="F129" i="10"/>
  <c r="H129" i="7"/>
  <c r="DD129" i="5"/>
  <c r="CQ125" i="8"/>
  <c r="CU125" i="8" s="1"/>
  <c r="D127" i="9"/>
  <c r="DH127" i="8"/>
  <c r="DI127" i="8" s="1"/>
  <c r="CK127" i="8"/>
  <c r="BW127" i="8"/>
  <c r="AC127" i="1" s="1"/>
  <c r="AQ125" i="5"/>
  <c r="BX126" i="8"/>
  <c r="CE126" i="8" s="1"/>
  <c r="N126" i="7"/>
  <c r="BH127" i="8"/>
  <c r="BU127" i="8" s="1"/>
  <c r="BI127" i="8"/>
  <c r="B125" i="14"/>
  <c r="CR125" i="8"/>
  <c r="DB125" i="8"/>
  <c r="Q126" i="7"/>
  <c r="AE126" i="7"/>
  <c r="AF126" i="7" s="1"/>
  <c r="C128" i="5"/>
  <c r="F128" i="5" s="1"/>
  <c r="AC127" i="8"/>
  <c r="BQ127" i="8" s="1"/>
  <c r="BT127" i="5"/>
  <c r="A127" i="10"/>
  <c r="AA127" i="10" s="1"/>
  <c r="B127" i="7"/>
  <c r="X127" i="8"/>
  <c r="DD127" i="8" s="1"/>
  <c r="E127" i="1"/>
  <c r="AJ127" i="5"/>
  <c r="AP127" i="5" s="1"/>
  <c r="B127" i="9"/>
  <c r="Y127" i="9" s="1"/>
  <c r="AI127" i="5"/>
  <c r="A127" i="11"/>
  <c r="CC126" i="8"/>
  <c r="CV126" i="8" s="1"/>
  <c r="CW126" i="8" s="1"/>
  <c r="CH126" i="8"/>
  <c r="CZ126" i="8" s="1"/>
  <c r="CB126" i="8"/>
  <c r="CT126" i="8" s="1"/>
  <c r="CA126" i="8"/>
  <c r="BY126" i="8"/>
  <c r="BZ126" i="8"/>
  <c r="CZ129" i="5"/>
  <c r="N126" i="11"/>
  <c r="AB125" i="11"/>
  <c r="Q125" i="8" s="1"/>
  <c r="AA125" i="11"/>
  <c r="AK125" i="1" s="1"/>
  <c r="Y125" i="11"/>
  <c r="AH125" i="1" s="1"/>
  <c r="AD125" i="11"/>
  <c r="AI125" i="1" s="1"/>
  <c r="AC125" i="11"/>
  <c r="U125" i="8" s="1"/>
  <c r="Z125" i="11"/>
  <c r="CI126" i="8"/>
  <c r="DA126" i="8" s="1"/>
  <c r="DA128" i="5"/>
  <c r="DG128" i="5" s="1" a="1"/>
  <c r="DG128" i="5" s="1"/>
  <c r="AB129" i="1"/>
  <c r="DI129" i="5"/>
  <c r="N114" i="1"/>
  <c r="S131" i="2"/>
  <c r="N132" i="2"/>
  <c r="R132" i="2"/>
  <c r="Q131" i="2"/>
  <c r="P133" i="2"/>
  <c r="J133" i="10"/>
  <c r="N133" i="5" s="1"/>
  <c r="AO127" i="5" l="1"/>
  <c r="AM127" i="5"/>
  <c r="AN127" i="5"/>
  <c r="AR127" i="5" s="1"/>
  <c r="AV128" i="5"/>
  <c r="AW128" i="5"/>
  <c r="AG126" i="7"/>
  <c r="AI126" i="7" s="1"/>
  <c r="CL128" i="8"/>
  <c r="G133" i="8"/>
  <c r="CF132" i="8"/>
  <c r="O132" i="2"/>
  <c r="BB132" i="5" a="1"/>
  <c r="BB132" i="5" s="1"/>
  <c r="BA132" i="5" a="1"/>
  <c r="BA132" i="5" s="1"/>
  <c r="BR127" i="8"/>
  <c r="BS127" i="8"/>
  <c r="AD130" i="1"/>
  <c r="BQ132" i="5" a="1"/>
  <c r="BQ132" i="5" s="1"/>
  <c r="BO132" i="5" a="1"/>
  <c r="BO132" i="5" s="1"/>
  <c r="BN132" i="5" a="1"/>
  <c r="BN132" i="5" s="1"/>
  <c r="BM132" i="5" a="1"/>
  <c r="BM132" i="5" s="1"/>
  <c r="BJ132" i="5" a="1"/>
  <c r="BJ132" i="5" s="1"/>
  <c r="CU132" i="5"/>
  <c r="CS132" i="5"/>
  <c r="CT132" i="5"/>
  <c r="CR132" i="5"/>
  <c r="CW132" i="5"/>
  <c r="CQ132" i="5"/>
  <c r="CV132" i="5"/>
  <c r="AY132" i="5" a="1"/>
  <c r="AY132" i="5" s="1"/>
  <c r="BL132" i="5" a="1"/>
  <c r="BL132" i="5" s="1"/>
  <c r="BG132" i="5" a="1"/>
  <c r="BG132" i="5" s="1"/>
  <c r="AZ132" i="5" a="1"/>
  <c r="AZ132" i="5" s="1"/>
  <c r="BF132" i="5" a="1"/>
  <c r="BF132" i="5" s="1"/>
  <c r="AE131" i="1" s="1"/>
  <c r="BK132" i="5" a="1"/>
  <c r="BK132" i="5" s="1"/>
  <c r="BE132" i="5" a="1"/>
  <c r="BE132" i="5" s="1"/>
  <c r="BD132" i="5" a="1"/>
  <c r="BD132" i="5" s="1"/>
  <c r="BH132" i="5" a="1"/>
  <c r="BH132" i="5" s="1"/>
  <c r="BI132" i="5" a="1"/>
  <c r="BI132" i="5" s="1"/>
  <c r="BC132" i="5" a="1"/>
  <c r="BC132" i="5" s="1"/>
  <c r="V130" i="2"/>
  <c r="CX125" i="8"/>
  <c r="CY125" i="8" s="1"/>
  <c r="F135" i="8"/>
  <c r="BP131" i="5" a="1"/>
  <c r="BP131" i="5" s="1"/>
  <c r="J131" i="2" s="1"/>
  <c r="O136" i="1"/>
  <c r="BX127" i="8"/>
  <c r="CD127" i="8" s="1"/>
  <c r="BT127" i="8"/>
  <c r="BO127" i="8"/>
  <c r="BP127" i="8"/>
  <c r="BM127" i="8"/>
  <c r="BN127" i="8"/>
  <c r="BK127" i="8"/>
  <c r="BL127" i="8"/>
  <c r="BJ127" i="8"/>
  <c r="AC127" i="10"/>
  <c r="X127" i="10" s="1"/>
  <c r="AS131" i="5"/>
  <c r="AH131" i="11"/>
  <c r="DF130" i="5"/>
  <c r="AK131" i="11"/>
  <c r="DB130" i="5"/>
  <c r="AF129" i="1"/>
  <c r="Y129" i="1"/>
  <c r="DJ130" i="5"/>
  <c r="DE130" i="5"/>
  <c r="AU132" i="8"/>
  <c r="AE132" i="8"/>
  <c r="AJ131" i="1"/>
  <c r="AM131" i="1"/>
  <c r="W129" i="1"/>
  <c r="K133" i="11"/>
  <c r="A133" i="14"/>
  <c r="CA133" i="14" s="1"/>
  <c r="A133" i="9"/>
  <c r="A133" i="7"/>
  <c r="R133" i="7" s="1"/>
  <c r="A133" i="8"/>
  <c r="A133" i="2"/>
  <c r="A133" i="5"/>
  <c r="BH132" i="14" a="1"/>
  <c r="BH132" i="14" s="1"/>
  <c r="BK132" i="14" a="1"/>
  <c r="BK132" i="14" s="1"/>
  <c r="AU132" i="14" a="1"/>
  <c r="AU132" i="14" s="1"/>
  <c r="AX132" i="14" a="1"/>
  <c r="AX132" i="14" s="1"/>
  <c r="BR132" i="14" a="1"/>
  <c r="BR132" i="14" s="1"/>
  <c r="V132" i="14" a="1"/>
  <c r="V132" i="14" s="1"/>
  <c r="U132" i="14" a="1"/>
  <c r="U132" i="14" s="1"/>
  <c r="BU132" i="14" a="1"/>
  <c r="BU132" i="14" s="1"/>
  <c r="AV132" i="14" a="1"/>
  <c r="AV132" i="14" s="1"/>
  <c r="AE132" i="14" a="1"/>
  <c r="AE132" i="14" s="1"/>
  <c r="BW132" i="14" a="1"/>
  <c r="BW132" i="14" s="1"/>
  <c r="R132" i="14" a="1"/>
  <c r="R132" i="14" s="1"/>
  <c r="AL132" i="1" s="1"/>
  <c r="AL132" i="14" a="1"/>
  <c r="AL132" i="14" s="1"/>
  <c r="BJ132" i="14" a="1"/>
  <c r="BJ132" i="14" s="1"/>
  <c r="BD132" i="14" a="1"/>
  <c r="BD132" i="14" s="1"/>
  <c r="BQ132" i="14" a="1"/>
  <c r="BQ132" i="14" s="1"/>
  <c r="AZ132" i="14" a="1"/>
  <c r="AZ132" i="14" s="1"/>
  <c r="BC132" i="14" a="1"/>
  <c r="BC132" i="14" s="1"/>
  <c r="AI132" i="14" a="1"/>
  <c r="AI132" i="14" s="1"/>
  <c r="BZ132" i="14" a="1"/>
  <c r="BZ132" i="14" s="1"/>
  <c r="X132" i="14" a="1"/>
  <c r="X132" i="14" s="1"/>
  <c r="AD132" i="14" a="1"/>
  <c r="AD132" i="14" s="1"/>
  <c r="AW132" i="14" a="1"/>
  <c r="AW132" i="14" s="1"/>
  <c r="AK132" i="14" a="1"/>
  <c r="AK132" i="14" s="1"/>
  <c r="BP132" i="14" a="1"/>
  <c r="BP132" i="14" s="1"/>
  <c r="T132" i="14" a="1"/>
  <c r="T132" i="14" s="1"/>
  <c r="W132" i="14" a="1"/>
  <c r="W132" i="14" s="1"/>
  <c r="BS132" i="14" a="1"/>
  <c r="BS132" i="14" s="1"/>
  <c r="AT132" i="14" a="1"/>
  <c r="AT132" i="14" s="1"/>
  <c r="BN132" i="14" a="1"/>
  <c r="BN132" i="14" s="1"/>
  <c r="BI132" i="14" a="1"/>
  <c r="BI132" i="14" s="1"/>
  <c r="Q132" i="14" a="1"/>
  <c r="Q132" i="14" s="1"/>
  <c r="AG132" i="14" a="1"/>
  <c r="AG132" i="14" s="1"/>
  <c r="AJ132" i="14" a="1"/>
  <c r="AJ132" i="14" s="1"/>
  <c r="AF132" i="14" a="1"/>
  <c r="AF132" i="14" s="1"/>
  <c r="BO132" i="14" a="1"/>
  <c r="BO132" i="14" s="1"/>
  <c r="AQ132" i="14" a="1"/>
  <c r="AQ132" i="14" s="1"/>
  <c r="N132" i="14" a="1"/>
  <c r="N132" i="14" s="1"/>
  <c r="AH132" i="14" a="1"/>
  <c r="AH132" i="14" s="1"/>
  <c r="AC132" i="14" a="1"/>
  <c r="AC132" i="14" s="1"/>
  <c r="AS132" i="14" a="1"/>
  <c r="AS132" i="14" s="1"/>
  <c r="M132" i="14" a="1"/>
  <c r="M132" i="14" s="1"/>
  <c r="BM132" i="14" a="1"/>
  <c r="BM132" i="14" s="1"/>
  <c r="P132" i="14" a="1"/>
  <c r="P132" i="14" s="1"/>
  <c r="BG132" i="14" a="1"/>
  <c r="BG132" i="14" s="1"/>
  <c r="AA132" i="14" a="1"/>
  <c r="AA132" i="14" s="1"/>
  <c r="AP132" i="14" a="1"/>
  <c r="AP132" i="14" s="1"/>
  <c r="Z132" i="14" a="1"/>
  <c r="Z132" i="14" s="1"/>
  <c r="Y132" i="14" a="1"/>
  <c r="Y132" i="14" s="1"/>
  <c r="BY132" i="14" a="1"/>
  <c r="BY132" i="14" s="1"/>
  <c r="AB132" i="14" a="1"/>
  <c r="AB132" i="14" s="1"/>
  <c r="AR132" i="14" a="1"/>
  <c r="AR132" i="14" s="1"/>
  <c r="AY132" i="14" a="1"/>
  <c r="AY132" i="14" s="1"/>
  <c r="O132" i="14" a="1"/>
  <c r="O132" i="14" s="1"/>
  <c r="AN132" i="14" a="1"/>
  <c r="AN132" i="14" s="1"/>
  <c r="BB132" i="14" a="1"/>
  <c r="BB132" i="14" s="1"/>
  <c r="BA132" i="14" a="1"/>
  <c r="BA132" i="14" s="1"/>
  <c r="AO132" i="14" a="1"/>
  <c r="AO132" i="14" s="1"/>
  <c r="BX132" i="14" a="1"/>
  <c r="BX132" i="14" s="1"/>
  <c r="S132" i="14" a="1"/>
  <c r="S132" i="14" s="1"/>
  <c r="AM132" i="14" a="1"/>
  <c r="AM132" i="14" s="1"/>
  <c r="BV132" i="14" a="1"/>
  <c r="BV132" i="14" s="1"/>
  <c r="BF132" i="14" a="1"/>
  <c r="BF132" i="14" s="1"/>
  <c r="BE132" i="14" a="1"/>
  <c r="BE132" i="14" s="1"/>
  <c r="BT132" i="14" a="1"/>
  <c r="BT132" i="14" s="1"/>
  <c r="BL132" i="14" a="1"/>
  <c r="BL132" i="14" s="1"/>
  <c r="DH130" i="5"/>
  <c r="B130" i="1"/>
  <c r="BG130" i="1" s="1"/>
  <c r="AH130" i="5"/>
  <c r="BU130" i="5"/>
  <c r="B130" i="2"/>
  <c r="BY132" i="11"/>
  <c r="K131" i="10"/>
  <c r="AA131" i="7"/>
  <c r="AF131" i="8" s="1"/>
  <c r="AV131" i="8" s="1"/>
  <c r="L131" i="11"/>
  <c r="K131" i="5"/>
  <c r="F130" i="10"/>
  <c r="H130" i="7"/>
  <c r="DD130" i="5"/>
  <c r="L131" i="5"/>
  <c r="G130" i="10"/>
  <c r="I130" i="7"/>
  <c r="D130" i="7"/>
  <c r="G131" i="5"/>
  <c r="B130" i="10"/>
  <c r="B130" i="5"/>
  <c r="H131" i="5"/>
  <c r="C130" i="10"/>
  <c r="E130" i="7"/>
  <c r="I131" i="5"/>
  <c r="D130" i="10"/>
  <c r="F130" i="7"/>
  <c r="J131" i="5"/>
  <c r="DC131" i="5" s="1"/>
  <c r="E130" i="10"/>
  <c r="G130" i="7"/>
  <c r="M131" i="5"/>
  <c r="H130" i="10"/>
  <c r="J130" i="7"/>
  <c r="CS125" i="8"/>
  <c r="CQ126" i="8"/>
  <c r="CU126" i="8" s="1"/>
  <c r="D128" i="9"/>
  <c r="CD126" i="8"/>
  <c r="DH128" i="8"/>
  <c r="DI128" i="8" s="1"/>
  <c r="CK128" i="8"/>
  <c r="BW128" i="8"/>
  <c r="AC128" i="1" s="1"/>
  <c r="N127" i="7"/>
  <c r="BH128" i="8"/>
  <c r="BU128" i="8" s="1"/>
  <c r="BI128" i="8"/>
  <c r="CR126" i="8"/>
  <c r="DB126" i="8"/>
  <c r="C129" i="5"/>
  <c r="F129" i="5" s="1"/>
  <c r="AA126" i="11"/>
  <c r="AK126" i="1" s="1"/>
  <c r="Z126" i="11"/>
  <c r="AD126" i="11"/>
  <c r="AI126" i="1" s="1"/>
  <c r="AB126" i="11"/>
  <c r="Q126" i="8" s="1"/>
  <c r="AC126" i="11"/>
  <c r="U126" i="8" s="1"/>
  <c r="Y126" i="11"/>
  <c r="AH126" i="1" s="1"/>
  <c r="N127" i="11"/>
  <c r="CZ130" i="5"/>
  <c r="AI128" i="5"/>
  <c r="A128" i="11"/>
  <c r="AC128" i="8"/>
  <c r="BQ128" i="8" s="1"/>
  <c r="BT128" i="5"/>
  <c r="A128" i="10"/>
  <c r="AA128" i="10" s="1"/>
  <c r="B128" i="7"/>
  <c r="X128" i="8"/>
  <c r="DD128" i="8" s="1"/>
  <c r="E128" i="1"/>
  <c r="AJ128" i="5"/>
  <c r="AP128" i="5" s="1"/>
  <c r="B128" i="9"/>
  <c r="Y128" i="9" s="1"/>
  <c r="CI127" i="8"/>
  <c r="DA127" i="8" s="1"/>
  <c r="B126" i="14"/>
  <c r="AQ126" i="5"/>
  <c r="BY127" i="8"/>
  <c r="BZ127" i="8"/>
  <c r="CA127" i="8"/>
  <c r="CC127" i="8"/>
  <c r="CV127" i="8" s="1"/>
  <c r="CW127" i="8" s="1"/>
  <c r="CH127" i="8"/>
  <c r="CZ127" i="8" s="1"/>
  <c r="CB127" i="8"/>
  <c r="CT127" i="8" s="1"/>
  <c r="AE127" i="7"/>
  <c r="AF127" i="7" s="1"/>
  <c r="Q127" i="7"/>
  <c r="AB130" i="1"/>
  <c r="DI130" i="5"/>
  <c r="DA129" i="5"/>
  <c r="DG129" i="5" s="1" a="1"/>
  <c r="DG129" i="5" s="1"/>
  <c r="N115" i="1"/>
  <c r="S132" i="2"/>
  <c r="N133" i="2"/>
  <c r="R133" i="2"/>
  <c r="Q132" i="2"/>
  <c r="J134" i="10"/>
  <c r="N134" i="5" s="1"/>
  <c r="P134" i="2"/>
  <c r="AO128" i="5" l="1"/>
  <c r="AM128" i="5"/>
  <c r="AN128" i="5"/>
  <c r="AR128" i="5" s="1"/>
  <c r="AV129" i="5"/>
  <c r="AW129" i="5"/>
  <c r="AG127" i="7"/>
  <c r="AI127" i="7" s="1"/>
  <c r="CL129" i="8"/>
  <c r="G134" i="8"/>
  <c r="CF133" i="8"/>
  <c r="O133" i="2"/>
  <c r="BR128" i="8"/>
  <c r="BS128" i="8"/>
  <c r="AD131" i="1"/>
  <c r="BC133" i="5" a="1"/>
  <c r="BC133" i="5" s="1"/>
  <c r="BI133" i="5" a="1"/>
  <c r="BI133" i="5" s="1"/>
  <c r="BH133" i="5" a="1"/>
  <c r="BH133" i="5" s="1"/>
  <c r="BD133" i="5" a="1"/>
  <c r="BD133" i="5" s="1"/>
  <c r="BJ133" i="5" a="1"/>
  <c r="BJ133" i="5" s="1"/>
  <c r="BM133" i="5" a="1"/>
  <c r="BM133" i="5" s="1"/>
  <c r="CU133" i="5"/>
  <c r="CW133" i="5"/>
  <c r="CT133" i="5"/>
  <c r="CS133" i="5"/>
  <c r="CV133" i="5"/>
  <c r="CQ133" i="5"/>
  <c r="CR133" i="5"/>
  <c r="AY133" i="5" a="1"/>
  <c r="AY133" i="5" s="1"/>
  <c r="BL133" i="5" a="1"/>
  <c r="BL133" i="5" s="1"/>
  <c r="BE133" i="5" a="1"/>
  <c r="BE133" i="5" s="1"/>
  <c r="BN133" i="5" a="1"/>
  <c r="BN133" i="5" s="1"/>
  <c r="BK133" i="5" a="1"/>
  <c r="BK133" i="5" s="1"/>
  <c r="BA133" i="5" a="1"/>
  <c r="BA133" i="5" s="1"/>
  <c r="BF133" i="5" a="1"/>
  <c r="BF133" i="5" s="1"/>
  <c r="AE132" i="1" s="1"/>
  <c r="BO133" i="5" a="1"/>
  <c r="BO133" i="5" s="1"/>
  <c r="AZ133" i="5" a="1"/>
  <c r="AZ133" i="5" s="1"/>
  <c r="BB133" i="5" a="1"/>
  <c r="BB133" i="5" s="1"/>
  <c r="BG133" i="5" a="1"/>
  <c r="BG133" i="5" s="1"/>
  <c r="BQ133" i="5" a="1"/>
  <c r="BQ133" i="5" s="1"/>
  <c r="V131" i="2"/>
  <c r="CX126" i="8"/>
  <c r="CY126" i="8" s="1"/>
  <c r="F136" i="8"/>
  <c r="AE136" i="1" s="1"/>
  <c r="BP132" i="5" a="1"/>
  <c r="BP132" i="5" s="1"/>
  <c r="J132" i="2" s="1"/>
  <c r="CE127" i="8"/>
  <c r="CX127" i="8" s="1"/>
  <c r="CY127" i="8" s="1"/>
  <c r="BX128" i="8"/>
  <c r="CD128" i="8" s="1"/>
  <c r="BT128" i="8"/>
  <c r="BO128" i="8"/>
  <c r="BP128" i="8"/>
  <c r="BM128" i="8"/>
  <c r="BN128" i="8"/>
  <c r="BK128" i="8"/>
  <c r="BL128" i="8"/>
  <c r="BJ128" i="8"/>
  <c r="AC128" i="10"/>
  <c r="X128" i="10" s="1"/>
  <c r="AS132" i="5"/>
  <c r="AH132" i="11"/>
  <c r="DF131" i="5"/>
  <c r="AM132" i="1"/>
  <c r="K134" i="11"/>
  <c r="A134" i="14"/>
  <c r="CA134" i="14" s="1"/>
  <c r="A134" i="5"/>
  <c r="A134" i="9"/>
  <c r="A134" i="8"/>
  <c r="A134" i="7"/>
  <c r="R134" i="7" s="1"/>
  <c r="A134" i="2"/>
  <c r="DE131" i="5"/>
  <c r="DH131" i="5"/>
  <c r="AY133" i="14" a="1"/>
  <c r="AY133" i="14" s="1"/>
  <c r="AM133" i="14" a="1"/>
  <c r="AM133" i="14" s="1"/>
  <c r="BB133" i="14" a="1"/>
  <c r="BB133" i="14" s="1"/>
  <c r="Z133" i="14" a="1"/>
  <c r="Z133" i="14" s="1"/>
  <c r="Q133" i="14" a="1"/>
  <c r="Q133" i="14" s="1"/>
  <c r="AG133" i="14" a="1"/>
  <c r="AG133" i="14" s="1"/>
  <c r="AF133" i="14" a="1"/>
  <c r="AF133" i="14" s="1"/>
  <c r="P133" i="14" a="1"/>
  <c r="P133" i="14" s="1"/>
  <c r="BO133" i="14" a="1"/>
  <c r="BO133" i="14" s="1"/>
  <c r="BG133" i="14" a="1"/>
  <c r="BG133" i="14" s="1"/>
  <c r="V133" i="14" a="1"/>
  <c r="V133" i="14" s="1"/>
  <c r="AX133" i="14" a="1"/>
  <c r="AX133" i="14" s="1"/>
  <c r="BY133" i="14" a="1"/>
  <c r="BY133" i="14" s="1"/>
  <c r="BE133" i="14" a="1"/>
  <c r="BE133" i="14" s="1"/>
  <c r="BH133" i="14" a="1"/>
  <c r="BH133" i="14" s="1"/>
  <c r="BX133" i="14" a="1"/>
  <c r="BX133" i="14" s="1"/>
  <c r="BK133" i="14" a="1"/>
  <c r="BK133" i="14" s="1"/>
  <c r="AQ133" i="14" a="1"/>
  <c r="AQ133" i="14" s="1"/>
  <c r="AP133" i="14" a="1"/>
  <c r="AP133" i="14" s="1"/>
  <c r="N133" i="14" a="1"/>
  <c r="N133" i="14" s="1"/>
  <c r="AS133" i="14" a="1"/>
  <c r="AS133" i="14" s="1"/>
  <c r="Y133" i="14" a="1"/>
  <c r="Y133" i="14" s="1"/>
  <c r="AB133" i="14" a="1"/>
  <c r="AB133" i="14" s="1"/>
  <c r="AR133" i="14" a="1"/>
  <c r="AR133" i="14" s="1"/>
  <c r="S133" i="14" a="1"/>
  <c r="S133" i="14" s="1"/>
  <c r="AE133" i="14" a="1"/>
  <c r="AE133" i="14" s="1"/>
  <c r="BZ133" i="14" a="1"/>
  <c r="BZ133" i="14" s="1"/>
  <c r="BN133" i="14" a="1"/>
  <c r="BN133" i="14" s="1"/>
  <c r="BU133" i="14" a="1"/>
  <c r="BU133" i="14" s="1"/>
  <c r="BA133" i="14" a="1"/>
  <c r="BA133" i="14" s="1"/>
  <c r="BD133" i="14" a="1"/>
  <c r="BD133" i="14" s="1"/>
  <c r="BT133" i="14" a="1"/>
  <c r="BT133" i="14" s="1"/>
  <c r="AI133" i="14" a="1"/>
  <c r="AI133" i="14" s="1"/>
  <c r="O133" i="14" a="1"/>
  <c r="O133" i="14" s="1"/>
  <c r="AL133" i="14" a="1"/>
  <c r="AL133" i="14" s="1"/>
  <c r="AT133" i="14" a="1"/>
  <c r="AT133" i="14" s="1"/>
  <c r="AO133" i="14" a="1"/>
  <c r="AO133" i="14" s="1"/>
  <c r="U133" i="14" a="1"/>
  <c r="U133" i="14" s="1"/>
  <c r="X133" i="14" a="1"/>
  <c r="X133" i="14" s="1"/>
  <c r="BP133" i="14" a="1"/>
  <c r="BP133" i="14" s="1"/>
  <c r="BC133" i="14" a="1"/>
  <c r="BC133" i="14" s="1"/>
  <c r="BS133" i="14" a="1"/>
  <c r="BS133" i="14" s="1"/>
  <c r="BV133" i="14" a="1"/>
  <c r="BV133" i="14" s="1"/>
  <c r="R133" i="14" a="1"/>
  <c r="R133" i="14" s="1"/>
  <c r="AL133" i="1" s="1"/>
  <c r="BQ133" i="14" a="1"/>
  <c r="BQ133" i="14" s="1"/>
  <c r="BI133" i="14" a="1"/>
  <c r="BI133" i="14" s="1"/>
  <c r="AZ133" i="14" a="1"/>
  <c r="AZ133" i="14" s="1"/>
  <c r="AN133" i="14" a="1"/>
  <c r="AN133" i="14" s="1"/>
  <c r="AA133" i="14" a="1"/>
  <c r="AA133" i="14" s="1"/>
  <c r="AU133" i="14" a="1"/>
  <c r="AU133" i="14" s="1"/>
  <c r="BJ133" i="14" a="1"/>
  <c r="BJ133" i="14" s="1"/>
  <c r="AH133" i="14" a="1"/>
  <c r="AH133" i="14" s="1"/>
  <c r="BF133" i="14" a="1"/>
  <c r="BF133" i="14" s="1"/>
  <c r="AK133" i="14" a="1"/>
  <c r="AK133" i="14" s="1"/>
  <c r="AC133" i="14" a="1"/>
  <c r="AC133" i="14" s="1"/>
  <c r="T133" i="14" a="1"/>
  <c r="T133" i="14" s="1"/>
  <c r="AJ133" i="14" a="1"/>
  <c r="AJ133" i="14" s="1"/>
  <c r="AW133" i="14" a="1"/>
  <c r="AW133" i="14" s="1"/>
  <c r="BM133" i="14" a="1"/>
  <c r="BM133" i="14" s="1"/>
  <c r="BL133" i="14" a="1"/>
  <c r="BL133" i="14" s="1"/>
  <c r="AV133" i="14" a="1"/>
  <c r="AV133" i="14" s="1"/>
  <c r="W133" i="14" a="1"/>
  <c r="W133" i="14" s="1"/>
  <c r="M133" i="14" a="1"/>
  <c r="M133" i="14" s="1"/>
  <c r="BW133" i="14" a="1"/>
  <c r="BW133" i="14" s="1"/>
  <c r="AD133" i="14" a="1"/>
  <c r="AD133" i="14" s="1"/>
  <c r="BR133" i="14" a="1"/>
  <c r="BR133" i="14" s="1"/>
  <c r="Y130" i="1"/>
  <c r="DJ131" i="5"/>
  <c r="AK132" i="11"/>
  <c r="W130" i="1"/>
  <c r="AJ132" i="1"/>
  <c r="AF130" i="1"/>
  <c r="AE133" i="8"/>
  <c r="AU133" i="8"/>
  <c r="CS126" i="8"/>
  <c r="B131" i="2"/>
  <c r="B131" i="1"/>
  <c r="BG131" i="1" s="1"/>
  <c r="AH131" i="5"/>
  <c r="BU131" i="5"/>
  <c r="BY133" i="11"/>
  <c r="K132" i="10"/>
  <c r="AA132" i="7"/>
  <c r="AF132" i="8" s="1"/>
  <c r="AV132" i="8" s="1"/>
  <c r="L132" i="11"/>
  <c r="M132" i="5"/>
  <c r="H131" i="10"/>
  <c r="J131" i="7"/>
  <c r="H132" i="5"/>
  <c r="C131" i="10"/>
  <c r="E131" i="7"/>
  <c r="L132" i="5"/>
  <c r="G131" i="10"/>
  <c r="I131" i="7"/>
  <c r="I132" i="5"/>
  <c r="D131" i="10"/>
  <c r="F131" i="7"/>
  <c r="DB131" i="5"/>
  <c r="J132" i="5"/>
  <c r="DC132" i="5" s="1"/>
  <c r="E131" i="10"/>
  <c r="G131" i="7"/>
  <c r="B131" i="5"/>
  <c r="D131" i="7"/>
  <c r="B131" i="10"/>
  <c r="K132" i="5"/>
  <c r="F131" i="10"/>
  <c r="H131" i="7"/>
  <c r="DD131" i="5"/>
  <c r="CQ127" i="8"/>
  <c r="CU127" i="8" s="1"/>
  <c r="D129" i="9"/>
  <c r="DH129" i="8"/>
  <c r="DI129" i="8" s="1"/>
  <c r="CK129" i="8"/>
  <c r="BW129" i="8"/>
  <c r="AC129" i="1" s="1"/>
  <c r="N128" i="7"/>
  <c r="BH129" i="8"/>
  <c r="BU129" i="8" s="1"/>
  <c r="BI129" i="8"/>
  <c r="DB127" i="8"/>
  <c r="CR127" i="8"/>
  <c r="B127" i="14"/>
  <c r="CZ131" i="5"/>
  <c r="AB127" i="11"/>
  <c r="Q127" i="8" s="1"/>
  <c r="N128" i="11"/>
  <c r="AA127" i="11"/>
  <c r="AK127" i="1" s="1"/>
  <c r="Z127" i="11"/>
  <c r="AD127" i="11"/>
  <c r="AI127" i="1" s="1"/>
  <c r="AC127" i="11"/>
  <c r="U127" i="8" s="1"/>
  <c r="Y127" i="11"/>
  <c r="AH127" i="1" s="1"/>
  <c r="C130" i="5"/>
  <c r="F130" i="5" s="1"/>
  <c r="X129" i="8"/>
  <c r="DD129" i="8" s="1"/>
  <c r="B129" i="9"/>
  <c r="Y129" i="9" s="1"/>
  <c r="A129" i="10"/>
  <c r="AA129" i="10" s="1"/>
  <c r="AJ129" i="5"/>
  <c r="AP129" i="5" s="1"/>
  <c r="AI129" i="5"/>
  <c r="A129" i="11"/>
  <c r="AC129" i="8"/>
  <c r="BQ129" i="8" s="1"/>
  <c r="BT129" i="5"/>
  <c r="B129" i="7"/>
  <c r="E129" i="1"/>
  <c r="CC128" i="8"/>
  <c r="CV128" i="8" s="1"/>
  <c r="CW128" i="8" s="1"/>
  <c r="CH128" i="8"/>
  <c r="CZ128" i="8" s="1"/>
  <c r="CA128" i="8"/>
  <c r="CB128" i="8"/>
  <c r="CT128" i="8" s="1"/>
  <c r="BY128" i="8"/>
  <c r="BZ128" i="8"/>
  <c r="CI128" i="8"/>
  <c r="DA128" i="8" s="1"/>
  <c r="AQ127" i="5"/>
  <c r="Q128" i="7"/>
  <c r="AE128" i="7"/>
  <c r="AF128" i="7" s="1"/>
  <c r="DA130" i="5"/>
  <c r="DG130" i="5" s="1" a="1"/>
  <c r="DG130" i="5" s="1"/>
  <c r="AB131" i="1"/>
  <c r="DI131" i="5"/>
  <c r="N116" i="1"/>
  <c r="S133" i="2"/>
  <c r="N134" i="2"/>
  <c r="R134" i="2"/>
  <c r="Q133" i="2"/>
  <c r="P135" i="2"/>
  <c r="J135" i="10"/>
  <c r="N135" i="5" s="1"/>
  <c r="AO129" i="5" l="1"/>
  <c r="AM129" i="5"/>
  <c r="AN129" i="5"/>
  <c r="AR129" i="5" s="1"/>
  <c r="AV130" i="5"/>
  <c r="AW130" i="5"/>
  <c r="AG128" i="7"/>
  <c r="AI128" i="7" s="1"/>
  <c r="CL130" i="8"/>
  <c r="G135" i="8"/>
  <c r="CF134" i="8"/>
  <c r="O134" i="2"/>
  <c r="BR129" i="8"/>
  <c r="BS129" i="8"/>
  <c r="AD132" i="1"/>
  <c r="BQ134" i="5" a="1"/>
  <c r="BQ134" i="5" s="1"/>
  <c r="BG134" i="5" a="1"/>
  <c r="BG134" i="5" s="1"/>
  <c r="CS134" i="5"/>
  <c r="CU134" i="5"/>
  <c r="CV134" i="5"/>
  <c r="CW134" i="5"/>
  <c r="CQ134" i="5"/>
  <c r="CT134" i="5"/>
  <c r="CR134" i="5"/>
  <c r="AY134" i="5" a="1"/>
  <c r="AY134" i="5" s="1"/>
  <c r="BL134" i="5" a="1"/>
  <c r="BL134" i="5" s="1"/>
  <c r="BB134" i="5" a="1"/>
  <c r="BB134" i="5" s="1"/>
  <c r="AZ134" i="5" a="1"/>
  <c r="AZ134" i="5" s="1"/>
  <c r="BM134" i="5" a="1"/>
  <c r="BM134" i="5" s="1"/>
  <c r="BO134" i="5" a="1"/>
  <c r="BO134" i="5" s="1"/>
  <c r="BJ134" i="5" a="1"/>
  <c r="BJ134" i="5" s="1"/>
  <c r="BF134" i="5" a="1"/>
  <c r="BF134" i="5" s="1"/>
  <c r="AE133" i="1" s="1"/>
  <c r="BD134" i="5" a="1"/>
  <c r="BD134" i="5" s="1"/>
  <c r="BA134" i="5" a="1"/>
  <c r="BA134" i="5" s="1"/>
  <c r="BH134" i="5" a="1"/>
  <c r="BH134" i="5" s="1"/>
  <c r="BK134" i="5" a="1"/>
  <c r="BK134" i="5" s="1"/>
  <c r="BN134" i="5" a="1"/>
  <c r="BN134" i="5" s="1"/>
  <c r="BE134" i="5" a="1"/>
  <c r="BE134" i="5" s="1"/>
  <c r="BI134" i="5" a="1"/>
  <c r="BI134" i="5" s="1"/>
  <c r="BC134" i="5" a="1"/>
  <c r="BC134" i="5" s="1"/>
  <c r="BP133" i="5" a="1"/>
  <c r="BP133" i="5" s="1"/>
  <c r="J133" i="2" s="1"/>
  <c r="CE128" i="8"/>
  <c r="CX128" i="8" s="1"/>
  <c r="CY128" i="8" s="1"/>
  <c r="BX129" i="8"/>
  <c r="CE129" i="8" s="1"/>
  <c r="BT129" i="8"/>
  <c r="BO129" i="8"/>
  <c r="BP129" i="8"/>
  <c r="BM129" i="8"/>
  <c r="BN129" i="8"/>
  <c r="BK129" i="8"/>
  <c r="BL129" i="8"/>
  <c r="BJ129" i="8"/>
  <c r="AC129" i="10"/>
  <c r="X129" i="10" s="1"/>
  <c r="AH133" i="11"/>
  <c r="DE132" i="5"/>
  <c r="AK133" i="11"/>
  <c r="AM133" i="1"/>
  <c r="DB132" i="5"/>
  <c r="DF132" i="5"/>
  <c r="AE134" i="8"/>
  <c r="AU134" i="8"/>
  <c r="AT134" i="14" a="1"/>
  <c r="AT134" i="14" s="1"/>
  <c r="BR134" i="14" a="1"/>
  <c r="BR134" i="14" s="1"/>
  <c r="R134" i="14" a="1"/>
  <c r="R134" i="14" s="1"/>
  <c r="AL134" i="1" s="1"/>
  <c r="Q134" i="14" a="1"/>
  <c r="Q134" i="14" s="1"/>
  <c r="AO134" i="14" a="1"/>
  <c r="AO134" i="14" s="1"/>
  <c r="BT134" i="14" a="1"/>
  <c r="BT134" i="14" s="1"/>
  <c r="BK134" i="14" a="1"/>
  <c r="BK134" i="14" s="1"/>
  <c r="AU134" i="14" a="1"/>
  <c r="AU134" i="14" s="1"/>
  <c r="M134" i="14" a="1"/>
  <c r="M134" i="14" s="1"/>
  <c r="N134" i="14" a="1"/>
  <c r="N134" i="14" s="1"/>
  <c r="AD134" i="14" a="1"/>
  <c r="AD134" i="14" s="1"/>
  <c r="BZ134" i="14" a="1"/>
  <c r="BZ134" i="14" s="1"/>
  <c r="BI134" i="14" a="1"/>
  <c r="BI134" i="14" s="1"/>
  <c r="Y134" i="14" a="1"/>
  <c r="Y134" i="14" s="1"/>
  <c r="AJ134" i="14" a="1"/>
  <c r="AJ134" i="14" s="1"/>
  <c r="AE134" i="14" a="1"/>
  <c r="AE134" i="14" s="1"/>
  <c r="O134" i="14" a="1"/>
  <c r="O134" i="14" s="1"/>
  <c r="BV134" i="14" a="1"/>
  <c r="BV134" i="14" s="1"/>
  <c r="BB134" i="14" a="1"/>
  <c r="BB134" i="14" s="1"/>
  <c r="AH134" i="14" a="1"/>
  <c r="AH134" i="14" s="1"/>
  <c r="BA134" i="14" a="1"/>
  <c r="BA134" i="14" s="1"/>
  <c r="BD134" i="14" a="1"/>
  <c r="BD134" i="14" s="1"/>
  <c r="BL134" i="14" a="1"/>
  <c r="BL134" i="14" s="1"/>
  <c r="BG134" i="14" a="1"/>
  <c r="BG134" i="14" s="1"/>
  <c r="BW134" i="14" a="1"/>
  <c r="BW134" i="14" s="1"/>
  <c r="Z134" i="14" a="1"/>
  <c r="Z134" i="14" s="1"/>
  <c r="AX134" i="14" a="1"/>
  <c r="AX134" i="14" s="1"/>
  <c r="BM134" i="14" a="1"/>
  <c r="BM134" i="14" s="1"/>
  <c r="AW134" i="14" a="1"/>
  <c r="AW134" i="14" s="1"/>
  <c r="P134" i="14" a="1"/>
  <c r="P134" i="14" s="1"/>
  <c r="X134" i="14" a="1"/>
  <c r="X134" i="14" s="1"/>
  <c r="AA134" i="14" a="1"/>
  <c r="AA134" i="14" s="1"/>
  <c r="AQ134" i="14" a="1"/>
  <c r="AQ134" i="14" s="1"/>
  <c r="AP134" i="14" a="1"/>
  <c r="AP134" i="14" s="1"/>
  <c r="AL134" i="14" a="1"/>
  <c r="AL134" i="14" s="1"/>
  <c r="AG134" i="14" a="1"/>
  <c r="AG134" i="14" s="1"/>
  <c r="BY134" i="14" a="1"/>
  <c r="BY134" i="14" s="1"/>
  <c r="AZ134" i="14" a="1"/>
  <c r="AZ134" i="14" s="1"/>
  <c r="BH134" i="14" a="1"/>
  <c r="BH134" i="14" s="1"/>
  <c r="BC134" i="14" a="1"/>
  <c r="BC134" i="14" s="1"/>
  <c r="BS134" i="14" a="1"/>
  <c r="BS134" i="14" s="1"/>
  <c r="BF134" i="14" a="1"/>
  <c r="BF134" i="14" s="1"/>
  <c r="BN134" i="14" a="1"/>
  <c r="BN134" i="14" s="1"/>
  <c r="BE134" i="14" a="1"/>
  <c r="BE134" i="14" s="1"/>
  <c r="AK134" i="14" a="1"/>
  <c r="AK134" i="14" s="1"/>
  <c r="AV134" i="14" a="1"/>
  <c r="AV134" i="14" s="1"/>
  <c r="T134" i="14" a="1"/>
  <c r="T134" i="14" s="1"/>
  <c r="W134" i="14" a="1"/>
  <c r="W134" i="14" s="1"/>
  <c r="BO134" i="14" a="1"/>
  <c r="BO134" i="14" s="1"/>
  <c r="AN134" i="14" a="1"/>
  <c r="AN134" i="14" s="1"/>
  <c r="AC134" i="14" a="1"/>
  <c r="AC134" i="14" s="1"/>
  <c r="U134" i="14" a="1"/>
  <c r="U134" i="14" s="1"/>
  <c r="BU134" i="14" a="1"/>
  <c r="BU134" i="14" s="1"/>
  <c r="BX134" i="14" a="1"/>
  <c r="BX134" i="14" s="1"/>
  <c r="BP134" i="14" a="1"/>
  <c r="BP134" i="14" s="1"/>
  <c r="AY134" i="14" a="1"/>
  <c r="AY134" i="14" s="1"/>
  <c r="AM134" i="14" a="1"/>
  <c r="AM134" i="14" s="1"/>
  <c r="BQ134" i="14" a="1"/>
  <c r="BQ134" i="14" s="1"/>
  <c r="AS134" i="14" a="1"/>
  <c r="AS134" i="14" s="1"/>
  <c r="AR134" i="14" a="1"/>
  <c r="AR134" i="14" s="1"/>
  <c r="AB134" i="14" a="1"/>
  <c r="AB134" i="14" s="1"/>
  <c r="S134" i="14" a="1"/>
  <c r="S134" i="14" s="1"/>
  <c r="BJ134" i="14" a="1"/>
  <c r="BJ134" i="14" s="1"/>
  <c r="AI134" i="14" a="1"/>
  <c r="AI134" i="14" s="1"/>
  <c r="AF134" i="14" a="1"/>
  <c r="AF134" i="14" s="1"/>
  <c r="V134" i="14" a="1"/>
  <c r="V134" i="14" s="1"/>
  <c r="K135" i="11"/>
  <c r="A135" i="14"/>
  <c r="CA135" i="14" s="1"/>
  <c r="A135" i="5"/>
  <c r="A135" i="9"/>
  <c r="A135" i="7"/>
  <c r="R135" i="7" s="1"/>
  <c r="A135" i="8"/>
  <c r="A135" i="2"/>
  <c r="Y131" i="1"/>
  <c r="DJ132" i="5"/>
  <c r="DH132" i="5"/>
  <c r="AF131" i="1"/>
  <c r="W131" i="1"/>
  <c r="AJ133" i="1"/>
  <c r="CS127" i="8"/>
  <c r="BU132" i="5"/>
  <c r="AH132" i="5"/>
  <c r="B132" i="2"/>
  <c r="B132" i="1"/>
  <c r="BG132" i="1" s="1"/>
  <c r="BY134" i="11"/>
  <c r="K133" i="10"/>
  <c r="AA133" i="7"/>
  <c r="AF133" i="8" s="1"/>
  <c r="AV133" i="8" s="1"/>
  <c r="L133" i="11"/>
  <c r="L133" i="5"/>
  <c r="G132" i="10"/>
  <c r="I132" i="7"/>
  <c r="K133" i="5"/>
  <c r="F132" i="10"/>
  <c r="H132" i="7"/>
  <c r="DD132" i="5"/>
  <c r="J133" i="5"/>
  <c r="E132" i="10"/>
  <c r="G132" i="7"/>
  <c r="H133" i="5"/>
  <c r="C132" i="10"/>
  <c r="E132" i="7"/>
  <c r="I133" i="5"/>
  <c r="D132" i="10"/>
  <c r="F132" i="7"/>
  <c r="M133" i="5"/>
  <c r="H132" i="10"/>
  <c r="J132" i="7"/>
  <c r="CQ128" i="8"/>
  <c r="CU128" i="8" s="1"/>
  <c r="N136" i="2"/>
  <c r="D130" i="9"/>
  <c r="DH130" i="8"/>
  <c r="DI130" i="8" s="1"/>
  <c r="R136" i="2"/>
  <c r="CK130" i="8"/>
  <c r="BW130" i="8"/>
  <c r="AC130" i="1" s="1"/>
  <c r="N129" i="7"/>
  <c r="BH130" i="8"/>
  <c r="BU130" i="8" s="1"/>
  <c r="BI130" i="8"/>
  <c r="G132" i="5"/>
  <c r="X130" i="8"/>
  <c r="DD130" i="8" s="1"/>
  <c r="B130" i="9"/>
  <c r="Y130" i="9" s="1"/>
  <c r="AJ130" i="5"/>
  <c r="AP130" i="5" s="1"/>
  <c r="AI130" i="5"/>
  <c r="BT130" i="5"/>
  <c r="A130" i="11"/>
  <c r="AC130" i="8"/>
  <c r="BQ130" i="8" s="1"/>
  <c r="B130" i="7"/>
  <c r="A130" i="10"/>
  <c r="AA130" i="10" s="1"/>
  <c r="E130" i="1"/>
  <c r="DB128" i="8"/>
  <c r="AA128" i="11"/>
  <c r="AK128" i="1" s="1"/>
  <c r="AC128" i="11"/>
  <c r="U128" i="8" s="1"/>
  <c r="AB128" i="11"/>
  <c r="Q128" i="8" s="1"/>
  <c r="Y128" i="11"/>
  <c r="AH128" i="1" s="1"/>
  <c r="AD128" i="11"/>
  <c r="AI128" i="1" s="1"/>
  <c r="N129" i="11"/>
  <c r="Z128" i="11"/>
  <c r="CA129" i="8"/>
  <c r="CB129" i="8"/>
  <c r="CT129" i="8" s="1"/>
  <c r="BZ129" i="8"/>
  <c r="BY129" i="8"/>
  <c r="CH129" i="8"/>
  <c r="CZ129" i="8" s="1"/>
  <c r="CC129" i="8"/>
  <c r="CV129" i="8" s="1"/>
  <c r="CW129" i="8" s="1"/>
  <c r="C131" i="5"/>
  <c r="F131" i="5" s="1"/>
  <c r="CI129" i="8"/>
  <c r="DA129" i="8" s="1"/>
  <c r="B128" i="14"/>
  <c r="AQ128" i="5"/>
  <c r="CR128" i="8"/>
  <c r="AE129" i="7"/>
  <c r="AF129" i="7" s="1"/>
  <c r="Q129" i="7"/>
  <c r="AB132" i="1"/>
  <c r="DI132" i="5"/>
  <c r="DA131" i="5"/>
  <c r="DG131" i="5" s="1" a="1"/>
  <c r="DG131" i="5" s="1"/>
  <c r="N117" i="1"/>
  <c r="S134" i="2"/>
  <c r="N135" i="2"/>
  <c r="R135" i="2"/>
  <c r="Q134" i="2"/>
  <c r="J136" i="10"/>
  <c r="N136" i="5" s="1"/>
  <c r="P136" i="2"/>
  <c r="AO130" i="5" l="1"/>
  <c r="AM130" i="5"/>
  <c r="AN130" i="5"/>
  <c r="AV131" i="5"/>
  <c r="AW131" i="5"/>
  <c r="AG129" i="7"/>
  <c r="AI129" i="7" s="1"/>
  <c r="CL131" i="8"/>
  <c r="G136" i="8"/>
  <c r="CF135" i="8"/>
  <c r="O135" i="2"/>
  <c r="BJ135" i="5" a="1"/>
  <c r="BJ135" i="5" s="1"/>
  <c r="BO135" i="5" a="1"/>
  <c r="BO135" i="5" s="1"/>
  <c r="BR130" i="8"/>
  <c r="BS130" i="8"/>
  <c r="AD133" i="1"/>
  <c r="BM135" i="5" a="1"/>
  <c r="BM135" i="5" s="1"/>
  <c r="AZ135" i="5" a="1"/>
  <c r="AZ135" i="5" s="1"/>
  <c r="CQ135" i="5"/>
  <c r="CU135" i="5"/>
  <c r="CW135" i="5"/>
  <c r="CR135" i="5"/>
  <c r="CS135" i="5"/>
  <c r="CT135" i="5"/>
  <c r="CV135" i="5"/>
  <c r="AY135" i="5" a="1"/>
  <c r="AY135" i="5" s="1"/>
  <c r="BL135" i="5" a="1"/>
  <c r="BL135" i="5" s="1"/>
  <c r="BB135" i="5" a="1"/>
  <c r="BB135" i="5" s="1"/>
  <c r="BC135" i="5" a="1"/>
  <c r="BC135" i="5" s="1"/>
  <c r="BI135" i="5" a="1"/>
  <c r="BI135" i="5" s="1"/>
  <c r="BE135" i="5" a="1"/>
  <c r="BE135" i="5" s="1"/>
  <c r="BN135" i="5" a="1"/>
  <c r="BN135" i="5" s="1"/>
  <c r="BK135" i="5" a="1"/>
  <c r="BK135" i="5" s="1"/>
  <c r="BH135" i="5" a="1"/>
  <c r="BH135" i="5" s="1"/>
  <c r="BA135" i="5" a="1"/>
  <c r="BA135" i="5" s="1"/>
  <c r="BD135" i="5" a="1"/>
  <c r="BD135" i="5" s="1"/>
  <c r="BG135" i="5" a="1"/>
  <c r="BG135" i="5" s="1"/>
  <c r="BF135" i="5" a="1"/>
  <c r="BF135" i="5" s="1"/>
  <c r="AE134" i="1" s="1"/>
  <c r="BQ135" i="5" a="1"/>
  <c r="BQ135" i="5" s="1"/>
  <c r="AS133" i="5"/>
  <c r="V132" i="2"/>
  <c r="BP134" i="5" a="1"/>
  <c r="BP134" i="5" s="1"/>
  <c r="J134" i="2" s="1"/>
  <c r="CD129" i="8"/>
  <c r="BX130" i="8"/>
  <c r="CD130" i="8" s="1"/>
  <c r="BT130" i="8"/>
  <c r="BO130" i="8"/>
  <c r="BP130" i="8"/>
  <c r="BM130" i="8"/>
  <c r="BN130" i="8"/>
  <c r="BK130" i="8"/>
  <c r="BL130" i="8"/>
  <c r="BJ130" i="8"/>
  <c r="AC130" i="10"/>
  <c r="X130" i="10" s="1"/>
  <c r="AR130" i="5"/>
  <c r="AH134" i="11"/>
  <c r="AJ134" i="1"/>
  <c r="AK134" i="11"/>
  <c r="DH133" i="5"/>
  <c r="K136" i="11"/>
  <c r="A136" i="14"/>
  <c r="CA136" i="14" s="1"/>
  <c r="A136" i="8"/>
  <c r="A136" i="2"/>
  <c r="A136" i="9"/>
  <c r="A136" i="7"/>
  <c r="R136" i="7" s="1"/>
  <c r="A136" i="5"/>
  <c r="BE135" i="14" a="1"/>
  <c r="BE135" i="14" s="1"/>
  <c r="AC135" i="14" a="1"/>
  <c r="AC135" i="14" s="1"/>
  <c r="AF135" i="14" a="1"/>
  <c r="AF135" i="14" s="1"/>
  <c r="AB135" i="14" a="1"/>
  <c r="AB135" i="14" s="1"/>
  <c r="W135" i="14" a="1"/>
  <c r="W135" i="14" s="1"/>
  <c r="AM135" i="14" a="1"/>
  <c r="AM135" i="14" s="1"/>
  <c r="AD135" i="14" a="1"/>
  <c r="AD135" i="14" s="1"/>
  <c r="AT135" i="14" a="1"/>
  <c r="AT135" i="14" s="1"/>
  <c r="M135" i="14" a="1"/>
  <c r="M135" i="14" s="1"/>
  <c r="BI135" i="14" a="1"/>
  <c r="BI135" i="14" s="1"/>
  <c r="Y135" i="14" a="1"/>
  <c r="Y135" i="14" s="1"/>
  <c r="Q135" i="14" a="1"/>
  <c r="Q135" i="14" s="1"/>
  <c r="X135" i="14" a="1"/>
  <c r="X135" i="14" s="1"/>
  <c r="BP135" i="14" a="1"/>
  <c r="BP135" i="14" s="1"/>
  <c r="S135" i="14" a="1"/>
  <c r="S135" i="14" s="1"/>
  <c r="AE135" i="14" a="1"/>
  <c r="AE135" i="14" s="1"/>
  <c r="Z135" i="14" a="1"/>
  <c r="Z135" i="14" s="1"/>
  <c r="BV135" i="14" a="1"/>
  <c r="BV135" i="14" s="1"/>
  <c r="BQ135" i="14" a="1"/>
  <c r="BQ135" i="14" s="1"/>
  <c r="BA135" i="14" a="1"/>
  <c r="BA135" i="14" s="1"/>
  <c r="AG135" i="14" a="1"/>
  <c r="AG135" i="14" s="1"/>
  <c r="AN135" i="14" a="1"/>
  <c r="AN135" i="14" s="1"/>
  <c r="T135" i="14" a="1"/>
  <c r="T135" i="14" s="1"/>
  <c r="O135" i="14" a="1"/>
  <c r="O135" i="14" s="1"/>
  <c r="AA135" i="14" a="1"/>
  <c r="AA135" i="14" s="1"/>
  <c r="V135" i="14" a="1"/>
  <c r="V135" i="14" s="1"/>
  <c r="BR135" i="14" a="1"/>
  <c r="BR135" i="14" s="1"/>
  <c r="AW135" i="14" a="1"/>
  <c r="AW135" i="14" s="1"/>
  <c r="AS135" i="14" a="1"/>
  <c r="AS135" i="14" s="1"/>
  <c r="BX135" i="14" a="1"/>
  <c r="BX135" i="14" s="1"/>
  <c r="P135" i="14" a="1"/>
  <c r="P135" i="14" s="1"/>
  <c r="BW135" i="14" a="1"/>
  <c r="BW135" i="14" s="1"/>
  <c r="BO135" i="14" a="1"/>
  <c r="BO135" i="14" s="1"/>
  <c r="AX135" i="14" a="1"/>
  <c r="AX135" i="14" s="1"/>
  <c r="BN135" i="14" a="1"/>
  <c r="BN135" i="14" s="1"/>
  <c r="AK135" i="14" a="1"/>
  <c r="AK135" i="14" s="1"/>
  <c r="BU135" i="14" a="1"/>
  <c r="BU135" i="14" s="1"/>
  <c r="AJ135" i="14" a="1"/>
  <c r="AJ135" i="14" s="1"/>
  <c r="AV135" i="14" a="1"/>
  <c r="AV135" i="14" s="1"/>
  <c r="AQ135" i="14" a="1"/>
  <c r="AQ135" i="14" s="1"/>
  <c r="AI135" i="14" a="1"/>
  <c r="AI135" i="14" s="1"/>
  <c r="R135" i="14" a="1"/>
  <c r="R135" i="14" s="1"/>
  <c r="AL135" i="1" s="1"/>
  <c r="AL135" i="14" a="1"/>
  <c r="AL135" i="14" s="1"/>
  <c r="AO135" i="14" a="1"/>
  <c r="AO135" i="14" s="1"/>
  <c r="BM135" i="14" a="1"/>
  <c r="BM135" i="14" s="1"/>
  <c r="BL135" i="14" a="1"/>
  <c r="BL135" i="14" s="1"/>
  <c r="BT135" i="14" a="1"/>
  <c r="BT135" i="14" s="1"/>
  <c r="BC135" i="14" a="1"/>
  <c r="BC135" i="14" s="1"/>
  <c r="BS135" i="14" a="1"/>
  <c r="BS135" i="14" s="1"/>
  <c r="BJ135" i="14" a="1"/>
  <c r="BJ135" i="14" s="1"/>
  <c r="BZ135" i="14" a="1"/>
  <c r="BZ135" i="14" s="1"/>
  <c r="AH135" i="14" a="1"/>
  <c r="AH135" i="14" s="1"/>
  <c r="BY135" i="14" a="1"/>
  <c r="BY135" i="14" s="1"/>
  <c r="BG135" i="14" a="1"/>
  <c r="BG135" i="14" s="1"/>
  <c r="BD135" i="14" a="1"/>
  <c r="BD135" i="14" s="1"/>
  <c r="BF135" i="14" a="1"/>
  <c r="BF135" i="14" s="1"/>
  <c r="AR135" i="14" a="1"/>
  <c r="AR135" i="14" s="1"/>
  <c r="BB135" i="14" a="1"/>
  <c r="BB135" i="14" s="1"/>
  <c r="AZ135" i="14" a="1"/>
  <c r="AZ135" i="14" s="1"/>
  <c r="N135" i="14" a="1"/>
  <c r="N135" i="14" s="1"/>
  <c r="BH135" i="14" a="1"/>
  <c r="BH135" i="14" s="1"/>
  <c r="AP135" i="14" a="1"/>
  <c r="AP135" i="14" s="1"/>
  <c r="AY135" i="14" a="1"/>
  <c r="AY135" i="14" s="1"/>
  <c r="AU135" i="14" a="1"/>
  <c r="AU135" i="14" s="1"/>
  <c r="BK135" i="14" a="1"/>
  <c r="BK135" i="14" s="1"/>
  <c r="U135" i="14" a="1"/>
  <c r="U135" i="14" s="1"/>
  <c r="DB133" i="5"/>
  <c r="Y132" i="1"/>
  <c r="DJ133" i="5"/>
  <c r="W132" i="1"/>
  <c r="AE135" i="8"/>
  <c r="AU135" i="8"/>
  <c r="AM134" i="1"/>
  <c r="AF132" i="1"/>
  <c r="DF133" i="5"/>
  <c r="DE133" i="5"/>
  <c r="B133" i="2"/>
  <c r="BU133" i="5"/>
  <c r="B133" i="1"/>
  <c r="BG133" i="1" s="1"/>
  <c r="AH133" i="5"/>
  <c r="BY135" i="11"/>
  <c r="K134" i="10"/>
  <c r="AA134" i="7"/>
  <c r="AF134" i="8" s="1"/>
  <c r="AV134" i="8" s="1"/>
  <c r="L134" i="11"/>
  <c r="I134" i="5"/>
  <c r="D133" i="10"/>
  <c r="F133" i="7"/>
  <c r="J134" i="5"/>
  <c r="DC134" i="5" s="1"/>
  <c r="E133" i="10"/>
  <c r="G133" i="7"/>
  <c r="H134" i="5"/>
  <c r="C133" i="10"/>
  <c r="E133" i="7"/>
  <c r="K134" i="5"/>
  <c r="F133" i="10"/>
  <c r="H133" i="7"/>
  <c r="DD133" i="5"/>
  <c r="M134" i="5"/>
  <c r="H133" i="10"/>
  <c r="J133" i="7"/>
  <c r="DC133" i="5"/>
  <c r="L134" i="5"/>
  <c r="G133" i="10"/>
  <c r="I133" i="7"/>
  <c r="CS128" i="8"/>
  <c r="CQ129" i="8"/>
  <c r="CU129" i="8" s="1"/>
  <c r="D131" i="9"/>
  <c r="DH131" i="8"/>
  <c r="DI131" i="8" s="1"/>
  <c r="CK131" i="8"/>
  <c r="BW131" i="8"/>
  <c r="AC131" i="1" s="1"/>
  <c r="N130" i="7"/>
  <c r="BH131" i="8"/>
  <c r="BU131" i="8" s="1"/>
  <c r="BI131" i="8"/>
  <c r="CZ132" i="5"/>
  <c r="D132" i="7"/>
  <c r="B132" i="10"/>
  <c r="G133" i="5"/>
  <c r="B132" i="5"/>
  <c r="CR129" i="8"/>
  <c r="AQ129" i="5"/>
  <c r="CI130" i="8"/>
  <c r="DA130" i="8" s="1"/>
  <c r="B129" i="14"/>
  <c r="AE130" i="7"/>
  <c r="AF130" i="7" s="1"/>
  <c r="Q130" i="7"/>
  <c r="N130" i="11"/>
  <c r="AD129" i="11"/>
  <c r="AI129" i="1" s="1"/>
  <c r="Z129" i="11"/>
  <c r="AB129" i="11"/>
  <c r="Q129" i="8" s="1"/>
  <c r="AA129" i="11"/>
  <c r="AK129" i="1" s="1"/>
  <c r="AC129" i="11"/>
  <c r="U129" i="8" s="1"/>
  <c r="Y129" i="11"/>
  <c r="AH129" i="1" s="1"/>
  <c r="AC131" i="8"/>
  <c r="BQ131" i="8" s="1"/>
  <c r="B131" i="9"/>
  <c r="Y131" i="9" s="1"/>
  <c r="E131" i="1"/>
  <c r="A131" i="10"/>
  <c r="AA131" i="10" s="1"/>
  <c r="BT131" i="5"/>
  <c r="AJ131" i="5"/>
  <c r="AP131" i="5" s="1"/>
  <c r="X131" i="8"/>
  <c r="DD131" i="8" s="1"/>
  <c r="B131" i="7"/>
  <c r="AI131" i="5"/>
  <c r="A131" i="11"/>
  <c r="C132" i="5"/>
  <c r="BZ130" i="8"/>
  <c r="CC130" i="8"/>
  <c r="CV130" i="8" s="1"/>
  <c r="CW130" i="8" s="1"/>
  <c r="CH130" i="8"/>
  <c r="CZ130" i="8" s="1"/>
  <c r="CA130" i="8"/>
  <c r="BY130" i="8"/>
  <c r="CB130" i="8"/>
  <c r="CT130" i="8" s="1"/>
  <c r="DB129" i="8"/>
  <c r="DA132" i="5"/>
  <c r="AB133" i="1"/>
  <c r="DI133" i="5"/>
  <c r="N118" i="1"/>
  <c r="S135" i="2"/>
  <c r="S136" i="2"/>
  <c r="Q135" i="2"/>
  <c r="Q136" i="2"/>
  <c r="AO131" i="5" l="1"/>
  <c r="AM131" i="5"/>
  <c r="AN131" i="5"/>
  <c r="AG130" i="7"/>
  <c r="AI130" i="7" s="1"/>
  <c r="CF136" i="8"/>
  <c r="O136" i="2"/>
  <c r="BO136" i="5" a="1"/>
  <c r="BO136" i="5" s="1"/>
  <c r="BE136" i="5" a="1"/>
  <c r="BE136" i="5" s="1"/>
  <c r="BR131" i="8"/>
  <c r="BS131" i="8"/>
  <c r="AD134" i="1"/>
  <c r="BI136" i="5" a="1"/>
  <c r="BI136" i="5" s="1"/>
  <c r="BC136" i="5" a="1"/>
  <c r="BC136" i="5" s="1"/>
  <c r="BB136" i="5" a="1"/>
  <c r="BB136" i="5" s="1"/>
  <c r="BQ136" i="5" a="1"/>
  <c r="BQ136" i="5" s="1"/>
  <c r="BF136" i="5" a="1"/>
  <c r="BF136" i="5" s="1"/>
  <c r="AE135" i="1" s="1"/>
  <c r="CQ136" i="5"/>
  <c r="CW136" i="5"/>
  <c r="CS136" i="5"/>
  <c r="CV136" i="5"/>
  <c r="CR136" i="5"/>
  <c r="CU136" i="5"/>
  <c r="CT136" i="5"/>
  <c r="AY136" i="5" a="1"/>
  <c r="AY136" i="5" s="1"/>
  <c r="BL136" i="5" a="1"/>
  <c r="BL136" i="5" s="1"/>
  <c r="BG136" i="5" a="1"/>
  <c r="BG136" i="5" s="1"/>
  <c r="BD136" i="5" a="1"/>
  <c r="BD136" i="5" s="1"/>
  <c r="BA136" i="5" a="1"/>
  <c r="BA136" i="5" s="1"/>
  <c r="BH136" i="5" a="1"/>
  <c r="BH136" i="5" s="1"/>
  <c r="BJ136" i="5" a="1"/>
  <c r="BJ136" i="5" s="1"/>
  <c r="BK136" i="5" a="1"/>
  <c r="BK136" i="5" s="1"/>
  <c r="AZ136" i="5" a="1"/>
  <c r="AZ136" i="5" s="1"/>
  <c r="BN136" i="5" a="1"/>
  <c r="BN136" i="5" s="1"/>
  <c r="BM136" i="5" a="1"/>
  <c r="BM136" i="5" s="1"/>
  <c r="AS134" i="5"/>
  <c r="V133" i="2"/>
  <c r="CX129" i="8"/>
  <c r="CY129" i="8" s="1"/>
  <c r="BP135" i="5" a="1"/>
  <c r="BP135" i="5" s="1"/>
  <c r="J135" i="2" s="1"/>
  <c r="DG132" i="5" a="1"/>
  <c r="DG132" i="5" s="1"/>
  <c r="CE130" i="8"/>
  <c r="CX130" i="8" s="1"/>
  <c r="CY130" i="8" s="1"/>
  <c r="BT131" i="8"/>
  <c r="BO131" i="8"/>
  <c r="BP131" i="8"/>
  <c r="BM131" i="8"/>
  <c r="BN131" i="8"/>
  <c r="BK131" i="8"/>
  <c r="BL131" i="8"/>
  <c r="BJ131" i="8"/>
  <c r="AC131" i="10"/>
  <c r="X131" i="10" s="1"/>
  <c r="AR131" i="5"/>
  <c r="AH135" i="11"/>
  <c r="AJ135" i="1"/>
  <c r="DE134" i="5"/>
  <c r="W133" i="1"/>
  <c r="AU136" i="8"/>
  <c r="AE136" i="8"/>
  <c r="DF134" i="5"/>
  <c r="BH136" i="14" a="1"/>
  <c r="BH136" i="14" s="1"/>
  <c r="AJ136" i="14" a="1"/>
  <c r="AJ136" i="14" s="1"/>
  <c r="O136" i="14" a="1"/>
  <c r="O136" i="14" s="1"/>
  <c r="BS136" i="14" a="1"/>
  <c r="BS136" i="14" s="1"/>
  <c r="R136" i="14" a="1"/>
  <c r="R136" i="14" s="1"/>
  <c r="AL136" i="1" s="1"/>
  <c r="AL136" i="14" a="1"/>
  <c r="AL136" i="14" s="1"/>
  <c r="BI136" i="14" a="1"/>
  <c r="BI136" i="14" s="1"/>
  <c r="BY136" i="14" a="1"/>
  <c r="BY136" i="14" s="1"/>
  <c r="M136" i="14" a="1"/>
  <c r="M136" i="14" s="1"/>
  <c r="BD136" i="14" a="1"/>
  <c r="BD136" i="14" s="1"/>
  <c r="BK136" i="14" a="1"/>
  <c r="BK136" i="14" s="1"/>
  <c r="AY136" i="14" a="1"/>
  <c r="AY136" i="14" s="1"/>
  <c r="AN136" i="14" a="1"/>
  <c r="AN136" i="14" s="1"/>
  <c r="AV136" i="14" a="1"/>
  <c r="AV136" i="14" s="1"/>
  <c r="BJ136" i="14" a="1"/>
  <c r="BJ136" i="14" s="1"/>
  <c r="AC136" i="14" a="1"/>
  <c r="AC136" i="14" s="1"/>
  <c r="AS136" i="14" a="1"/>
  <c r="AS136" i="14" s="1"/>
  <c r="AB136" i="14" a="1"/>
  <c r="AB136" i="14" s="1"/>
  <c r="AE136" i="14" a="1"/>
  <c r="AE136" i="14" s="1"/>
  <c r="AU136" i="14" a="1"/>
  <c r="AU136" i="14" s="1"/>
  <c r="AD136" i="1" s="1"/>
  <c r="P136" i="14" a="1"/>
  <c r="P136" i="14" s="1"/>
  <c r="BZ136" i="14" a="1"/>
  <c r="BZ136" i="14" s="1"/>
  <c r="AD136" i="14" a="1"/>
  <c r="AD136" i="14" s="1"/>
  <c r="BE136" i="14" a="1"/>
  <c r="BE136" i="14" s="1"/>
  <c r="BU136" i="14" a="1"/>
  <c r="BU136" i="14" s="1"/>
  <c r="AZ136" i="14" a="1"/>
  <c r="AZ136" i="14" s="1"/>
  <c r="W136" i="14" a="1"/>
  <c r="W136" i="14" s="1"/>
  <c r="AI136" i="14" a="1"/>
  <c r="AI136" i="14" s="1"/>
  <c r="V136" i="14" a="1"/>
  <c r="V136" i="14" s="1"/>
  <c r="N136" i="14" a="1"/>
  <c r="N136" i="14" s="1"/>
  <c r="Z136" i="14" a="1"/>
  <c r="Z136" i="14" s="1"/>
  <c r="BA136" i="14" a="1"/>
  <c r="BA136" i="14" s="1"/>
  <c r="BQ136" i="14" a="1"/>
  <c r="BQ136" i="14" s="1"/>
  <c r="T136" i="14" a="1"/>
  <c r="T136" i="14" s="1"/>
  <c r="BW136" i="14" a="1"/>
  <c r="BW136" i="14" s="1"/>
  <c r="AT136" i="14" a="1"/>
  <c r="AT136" i="14" s="1"/>
  <c r="Y136" i="14" a="1"/>
  <c r="Y136" i="14" s="1"/>
  <c r="BX136" i="14" a="1"/>
  <c r="BX136" i="14" s="1"/>
  <c r="AQ136" i="14" a="1"/>
  <c r="AQ136" i="14" s="1"/>
  <c r="Y136" i="1" s="1"/>
  <c r="BV136" i="14" a="1"/>
  <c r="BV136" i="14" s="1"/>
  <c r="U136" i="14" a="1"/>
  <c r="U136" i="14" s="1"/>
  <c r="AR136" i="14" a="1"/>
  <c r="AR136" i="14" s="1"/>
  <c r="AM136" i="14" a="1"/>
  <c r="AM136" i="14" s="1"/>
  <c r="AP136" i="14" a="1"/>
  <c r="AP136" i="14" s="1"/>
  <c r="AW136" i="14" a="1"/>
  <c r="AW136" i="14" s="1"/>
  <c r="BP136" i="14" a="1"/>
  <c r="BP136" i="14" s="1"/>
  <c r="AA136" i="14" a="1"/>
  <c r="AA136" i="14" s="1"/>
  <c r="BR136" i="14" a="1"/>
  <c r="BR136" i="14" s="1"/>
  <c r="Q136" i="14" a="1"/>
  <c r="Q136" i="14" s="1"/>
  <c r="BC136" i="14" a="1"/>
  <c r="BC136" i="14" s="1"/>
  <c r="BB136" i="14" a="1"/>
  <c r="BB136" i="14" s="1"/>
  <c r="BF136" i="14" a="1"/>
  <c r="BF136" i="14" s="1"/>
  <c r="AO136" i="14" a="1"/>
  <c r="AO136" i="14" s="1"/>
  <c r="BO136" i="14" a="1"/>
  <c r="BO136" i="14" s="1"/>
  <c r="BT136" i="14" a="1"/>
  <c r="BT136" i="14" s="1"/>
  <c r="BN136" i="14" a="1"/>
  <c r="BN136" i="14" s="1"/>
  <c r="BM136" i="14" a="1"/>
  <c r="BM136" i="14" s="1"/>
  <c r="S136" i="14" a="1"/>
  <c r="S136" i="14" s="1"/>
  <c r="BL136" i="14" a="1"/>
  <c r="BL136" i="14" s="1"/>
  <c r="AH136" i="14" a="1"/>
  <c r="AH136" i="14" s="1"/>
  <c r="AK136" i="14" a="1"/>
  <c r="AK136" i="14" s="1"/>
  <c r="AF136" i="14" a="1"/>
  <c r="AF136" i="14" s="1"/>
  <c r="BG136" i="14" a="1"/>
  <c r="BG136" i="14" s="1"/>
  <c r="AX136" i="14" a="1"/>
  <c r="AX136" i="14" s="1"/>
  <c r="X136" i="14" a="1"/>
  <c r="X136" i="14" s="1"/>
  <c r="AG136" i="14" a="1"/>
  <c r="AG136" i="14" s="1"/>
  <c r="AM135" i="1"/>
  <c r="Y133" i="1"/>
  <c r="DJ134" i="5"/>
  <c r="D14" i="15"/>
  <c r="E14" i="15" s="1"/>
  <c r="D19" i="15"/>
  <c r="E19" i="15" s="1"/>
  <c r="D10" i="15"/>
  <c r="E10" i="15" s="1"/>
  <c r="D5" i="15"/>
  <c r="E5" i="15" s="1"/>
  <c r="D17" i="15"/>
  <c r="E17" i="15" s="1"/>
  <c r="D8" i="15"/>
  <c r="E8" i="15" s="1"/>
  <c r="D6" i="15"/>
  <c r="E6" i="15" s="1"/>
  <c r="D9" i="15"/>
  <c r="E9" i="15" s="1"/>
  <c r="D15" i="15"/>
  <c r="E15" i="15" s="1"/>
  <c r="D4" i="15"/>
  <c r="E4" i="15" s="1"/>
  <c r="D7" i="15"/>
  <c r="E7" i="15" s="1"/>
  <c r="D11" i="15"/>
  <c r="E11" i="15" s="1"/>
  <c r="D21" i="15"/>
  <c r="E21" i="15" s="1"/>
  <c r="D20" i="15"/>
  <c r="E20" i="15" s="1"/>
  <c r="D23" i="15"/>
  <c r="E23" i="15" s="1"/>
  <c r="D13" i="15"/>
  <c r="E13" i="15" s="1"/>
  <c r="D3" i="15"/>
  <c r="E3" i="15" s="1"/>
  <c r="D18" i="15"/>
  <c r="E18" i="15" s="1"/>
  <c r="D12" i="15"/>
  <c r="E12" i="15" s="1"/>
  <c r="D16" i="15"/>
  <c r="E16" i="15" s="1"/>
  <c r="D22" i="15"/>
  <c r="E22" i="15" s="1"/>
  <c r="AK135" i="11"/>
  <c r="AF133" i="1"/>
  <c r="DH134" i="5"/>
  <c r="DB134" i="5"/>
  <c r="BU134" i="5"/>
  <c r="AH134" i="5"/>
  <c r="B134" i="2"/>
  <c r="B134" i="1"/>
  <c r="BG134" i="1" s="1"/>
  <c r="BY136" i="11"/>
  <c r="K135" i="10"/>
  <c r="AA135" i="7"/>
  <c r="AF135" i="8" s="1"/>
  <c r="AV135" i="8" s="1"/>
  <c r="L135" i="11"/>
  <c r="H135" i="5"/>
  <c r="C134" i="10"/>
  <c r="E134" i="7"/>
  <c r="M135" i="5"/>
  <c r="H134" i="10"/>
  <c r="J134" i="7"/>
  <c r="J135" i="5"/>
  <c r="DC135" i="5" s="1"/>
  <c r="E134" i="10"/>
  <c r="G134" i="7"/>
  <c r="L135" i="5"/>
  <c r="G134" i="10"/>
  <c r="I134" i="7"/>
  <c r="K135" i="5"/>
  <c r="F134" i="10"/>
  <c r="H134" i="7"/>
  <c r="DD134" i="5"/>
  <c r="I135" i="5"/>
  <c r="D134" i="10"/>
  <c r="F134" i="7"/>
  <c r="CS129" i="8"/>
  <c r="CQ130" i="8"/>
  <c r="CU130" i="8" s="1"/>
  <c r="D132" i="9"/>
  <c r="BX131" i="8"/>
  <c r="CD131" i="8" s="1"/>
  <c r="N131" i="7"/>
  <c r="CZ133" i="5"/>
  <c r="F132" i="5"/>
  <c r="D133" i="7"/>
  <c r="B133" i="10"/>
  <c r="G134" i="5"/>
  <c r="B133" i="5"/>
  <c r="AQ130" i="5"/>
  <c r="DB130" i="8"/>
  <c r="CR130" i="8"/>
  <c r="C133" i="5"/>
  <c r="AE131" i="7"/>
  <c r="AF131" i="7" s="1"/>
  <c r="Q131" i="7"/>
  <c r="B130" i="14"/>
  <c r="CH131" i="8"/>
  <c r="CZ131" i="8" s="1"/>
  <c r="CA131" i="8"/>
  <c r="CB131" i="8"/>
  <c r="CT131" i="8" s="1"/>
  <c r="BY131" i="8"/>
  <c r="BZ131" i="8"/>
  <c r="CC131" i="8"/>
  <c r="CV131" i="8" s="1"/>
  <c r="CW131" i="8" s="1"/>
  <c r="AD130" i="11"/>
  <c r="AI130" i="1" s="1"/>
  <c r="AC130" i="11"/>
  <c r="U130" i="8" s="1"/>
  <c r="AB130" i="11"/>
  <c r="Q130" i="8" s="1"/>
  <c r="Y130" i="11"/>
  <c r="AH130" i="1" s="1"/>
  <c r="N131" i="11"/>
  <c r="Z130" i="11"/>
  <c r="AA130" i="11"/>
  <c r="AK130" i="1" s="1"/>
  <c r="CI131" i="8"/>
  <c r="DA131" i="8" s="1"/>
  <c r="AB134" i="1"/>
  <c r="DI134" i="5"/>
  <c r="DA133" i="5"/>
  <c r="N119" i="1"/>
  <c r="AV132" i="5" l="1"/>
  <c r="AW132" i="5"/>
  <c r="AG131" i="7"/>
  <c r="AI131" i="7" s="1"/>
  <c r="CL132" i="8"/>
  <c r="AD135" i="1"/>
  <c r="AS135" i="5"/>
  <c r="V134" i="2"/>
  <c r="BP136" i="5" a="1"/>
  <c r="BP136" i="5" s="1"/>
  <c r="J136" i="2" s="1"/>
  <c r="DG133" i="5" a="1"/>
  <c r="DG133" i="5" s="1"/>
  <c r="AH136" i="11"/>
  <c r="AK136" i="11"/>
  <c r="DF135" i="5"/>
  <c r="DE135" i="5"/>
  <c r="AM136" i="1"/>
  <c r="DB135" i="5"/>
  <c r="DH136" i="5"/>
  <c r="DH135" i="5"/>
  <c r="AF135" i="1"/>
  <c r="AF134" i="1"/>
  <c r="Y134" i="1"/>
  <c r="DJ135" i="5"/>
  <c r="W135" i="1"/>
  <c r="W134" i="1"/>
  <c r="AJ136" i="1"/>
  <c r="CS130" i="8"/>
  <c r="AH135" i="5"/>
  <c r="BU135" i="5"/>
  <c r="B135" i="2"/>
  <c r="B135" i="1"/>
  <c r="BG135" i="1" s="1"/>
  <c r="AA136" i="7"/>
  <c r="AF136" i="8" s="1"/>
  <c r="AV136" i="8" s="1"/>
  <c r="K136" i="10"/>
  <c r="L136" i="11"/>
  <c r="J136" i="5"/>
  <c r="DC136" i="5" s="1"/>
  <c r="E135" i="10"/>
  <c r="G135" i="7"/>
  <c r="K136" i="5"/>
  <c r="F135" i="10"/>
  <c r="H135" i="7"/>
  <c r="DD135" i="5"/>
  <c r="M136" i="5"/>
  <c r="H135" i="10"/>
  <c r="J135" i="7"/>
  <c r="I136" i="5"/>
  <c r="D135" i="10"/>
  <c r="F135" i="7"/>
  <c r="L136" i="5"/>
  <c r="G135" i="10"/>
  <c r="I135" i="7"/>
  <c r="H136" i="5"/>
  <c r="C135" i="10"/>
  <c r="E135" i="7"/>
  <c r="CQ131" i="8"/>
  <c r="CU131" i="8" s="1"/>
  <c r="DH132" i="8"/>
  <c r="DI132" i="8" s="1"/>
  <c r="CE131" i="8"/>
  <c r="CX131" i="8" s="1"/>
  <c r="CY131" i="8" s="1"/>
  <c r="CK132" i="8"/>
  <c r="BW132" i="8"/>
  <c r="BI132" i="8"/>
  <c r="BH132" i="8"/>
  <c r="BU132" i="8" s="1"/>
  <c r="B132" i="7"/>
  <c r="Q132" i="7" s="1"/>
  <c r="BT132" i="5"/>
  <c r="A132" i="11"/>
  <c r="AD131" i="11" s="1"/>
  <c r="AI131" i="1" s="1"/>
  <c r="AI132" i="5"/>
  <c r="X132" i="8"/>
  <c r="DD132" i="8" s="1"/>
  <c r="B132" i="9"/>
  <c r="Y132" i="9" s="1"/>
  <c r="A132" i="10"/>
  <c r="AA132" i="10" s="1"/>
  <c r="AJ132" i="5"/>
  <c r="AP132" i="5" s="1"/>
  <c r="AC132" i="8"/>
  <c r="BQ132" i="8" s="1"/>
  <c r="E132" i="1"/>
  <c r="F133" i="5"/>
  <c r="D134" i="7"/>
  <c r="B134" i="10"/>
  <c r="G135" i="5"/>
  <c r="B134" i="5"/>
  <c r="CZ134" i="5"/>
  <c r="CR131" i="8"/>
  <c r="AQ131" i="5"/>
  <c r="C134" i="5"/>
  <c r="B131" i="14"/>
  <c r="DB131" i="8"/>
  <c r="DA134" i="5"/>
  <c r="AB135" i="1"/>
  <c r="DI135" i="5"/>
  <c r="N120" i="1"/>
  <c r="W136" i="1"/>
  <c r="AO132" i="5" l="1"/>
  <c r="AM132" i="5"/>
  <c r="AN132" i="5"/>
  <c r="AR132" i="5" s="1"/>
  <c r="AV133" i="5"/>
  <c r="AW133" i="5"/>
  <c r="CL133" i="8"/>
  <c r="CC132" i="8"/>
  <c r="CV132" i="8" s="1"/>
  <c r="CW132" i="8" s="1"/>
  <c r="AC132" i="1"/>
  <c r="BR132" i="8"/>
  <c r="BS132" i="8"/>
  <c r="AS136" i="5"/>
  <c r="V135" i="2"/>
  <c r="DG134" i="5" a="1"/>
  <c r="DG134" i="5" s="1"/>
  <c r="BX132" i="8"/>
  <c r="CE132" i="8" s="1"/>
  <c r="BT132" i="8"/>
  <c r="BO132" i="8"/>
  <c r="BP132" i="8"/>
  <c r="BM132" i="8"/>
  <c r="BN132" i="8"/>
  <c r="BK132" i="8"/>
  <c r="BL132" i="8"/>
  <c r="BJ132" i="8"/>
  <c r="AC132" i="10"/>
  <c r="X132" i="10" s="1"/>
  <c r="DF136" i="5"/>
  <c r="DE136" i="5"/>
  <c r="Y135" i="1"/>
  <c r="DJ136" i="5"/>
  <c r="DB136" i="5"/>
  <c r="CS131" i="8"/>
  <c r="B136" i="2"/>
  <c r="AH136" i="5"/>
  <c r="BU136" i="5"/>
  <c r="B136" i="1"/>
  <c r="BG136" i="1" s="1"/>
  <c r="I136" i="7"/>
  <c r="G136" i="10"/>
  <c r="H136" i="7"/>
  <c r="F136" i="10"/>
  <c r="DD136" i="5"/>
  <c r="F136" i="7"/>
  <c r="D136" i="10"/>
  <c r="H136" i="10"/>
  <c r="J136" i="7"/>
  <c r="C136" i="10"/>
  <c r="E136" i="7"/>
  <c r="E136" i="10"/>
  <c r="G136" i="7"/>
  <c r="D133" i="9"/>
  <c r="CI132" i="8"/>
  <c r="DA132" i="8" s="1"/>
  <c r="DH133" i="8"/>
  <c r="DI133" i="8" s="1"/>
  <c r="CK133" i="8"/>
  <c r="BW133" i="8"/>
  <c r="BI133" i="8"/>
  <c r="N132" i="7"/>
  <c r="BH133" i="8"/>
  <c r="BU133" i="8" s="1"/>
  <c r="CZ135" i="5"/>
  <c r="AA131" i="11"/>
  <c r="AK131" i="1" s="1"/>
  <c r="Y131" i="11"/>
  <c r="AH131" i="1" s="1"/>
  <c r="AC131" i="11"/>
  <c r="U131" i="8" s="1"/>
  <c r="Z131" i="11"/>
  <c r="N132" i="11"/>
  <c r="AB131" i="11"/>
  <c r="Q131" i="8" s="1"/>
  <c r="A133" i="11"/>
  <c r="N133" i="11" s="1"/>
  <c r="B133" i="9"/>
  <c r="Y133" i="9" s="1"/>
  <c r="AI133" i="5"/>
  <c r="AJ133" i="5"/>
  <c r="AP133" i="5" s="1"/>
  <c r="AE132" i="7"/>
  <c r="AF132" i="7" s="1"/>
  <c r="BY132" i="8"/>
  <c r="BT133" i="5"/>
  <c r="E133" i="1"/>
  <c r="CB132" i="8"/>
  <c r="CT132" i="8" s="1"/>
  <c r="BZ132" i="8"/>
  <c r="CA132" i="8"/>
  <c r="CH132" i="8"/>
  <c r="CZ132" i="8" s="1"/>
  <c r="X133" i="8"/>
  <c r="DD133" i="8" s="1"/>
  <c r="AC133" i="8"/>
  <c r="BQ133" i="8" s="1"/>
  <c r="A133" i="10"/>
  <c r="AA133" i="10" s="1"/>
  <c r="B133" i="7"/>
  <c r="AE133" i="7" s="1"/>
  <c r="AF133" i="7" s="1"/>
  <c r="F134" i="5"/>
  <c r="B135" i="10"/>
  <c r="D135" i="7"/>
  <c r="G136" i="5"/>
  <c r="B135" i="5"/>
  <c r="C135" i="5"/>
  <c r="AB136" i="1"/>
  <c r="DI136" i="5"/>
  <c r="DA135" i="5"/>
  <c r="N121" i="1"/>
  <c r="AO133" i="5" l="1"/>
  <c r="AM133" i="5"/>
  <c r="AN133" i="5"/>
  <c r="AV134" i="5"/>
  <c r="AW134" i="5"/>
  <c r="AG133" i="7"/>
  <c r="AG132" i="7"/>
  <c r="AI132" i="7" s="1"/>
  <c r="CL134" i="8"/>
  <c r="CC133" i="8"/>
  <c r="CV133" i="8" s="1"/>
  <c r="CW133" i="8" s="1"/>
  <c r="AC133" i="1"/>
  <c r="BR133" i="8"/>
  <c r="BS133" i="8"/>
  <c r="CZ136" i="5"/>
  <c r="V136" i="2"/>
  <c r="CD132" i="8"/>
  <c r="DG135" i="5" a="1"/>
  <c r="DG135" i="5" s="1"/>
  <c r="BX133" i="8"/>
  <c r="CE133" i="8" s="1"/>
  <c r="BT133" i="8"/>
  <c r="BO133" i="8"/>
  <c r="BP133" i="8"/>
  <c r="BM133" i="8"/>
  <c r="BN133" i="8"/>
  <c r="BK133" i="8"/>
  <c r="BL133" i="8"/>
  <c r="BJ133" i="8"/>
  <c r="AC133" i="10"/>
  <c r="X133" i="10" s="1"/>
  <c r="CQ132" i="8"/>
  <c r="CU132" i="8" s="1"/>
  <c r="DB132" i="8"/>
  <c r="CI133" i="8"/>
  <c r="DA133" i="8" s="1"/>
  <c r="D134" i="9"/>
  <c r="DH134" i="8"/>
  <c r="DI134" i="8" s="1"/>
  <c r="CK134" i="8"/>
  <c r="BW134" i="8"/>
  <c r="BI134" i="8"/>
  <c r="N133" i="7"/>
  <c r="A134" i="10"/>
  <c r="AA134" i="10" s="1"/>
  <c r="BH134" i="8"/>
  <c r="BU134" i="8" s="1"/>
  <c r="BY133" i="8"/>
  <c r="CH133" i="8"/>
  <c r="CZ133" i="8" s="1"/>
  <c r="AQ132" i="5"/>
  <c r="CB133" i="8"/>
  <c r="CT133" i="8" s="1"/>
  <c r="CA133" i="8"/>
  <c r="BZ133" i="8"/>
  <c r="AA132" i="11"/>
  <c r="AK132" i="1" s="1"/>
  <c r="Z132" i="11"/>
  <c r="AD132" i="11"/>
  <c r="AI132" i="1" s="1"/>
  <c r="AC132" i="11"/>
  <c r="U132" i="8" s="1"/>
  <c r="Y132" i="11"/>
  <c r="AH132" i="1" s="1"/>
  <c r="AB132" i="11"/>
  <c r="Q132" i="8" s="1"/>
  <c r="A134" i="11"/>
  <c r="Y133" i="11" s="1"/>
  <c r="AH133" i="1" s="1"/>
  <c r="B132" i="14"/>
  <c r="E134" i="1"/>
  <c r="AJ134" i="5"/>
  <c r="AP134" i="5" s="1"/>
  <c r="CR132" i="8"/>
  <c r="AC134" i="8"/>
  <c r="BQ134" i="8" s="1"/>
  <c r="Q133" i="7"/>
  <c r="F135" i="5"/>
  <c r="AI134" i="5"/>
  <c r="BT134" i="5"/>
  <c r="B134" i="7"/>
  <c r="Q134" i="7" s="1"/>
  <c r="X134" i="8"/>
  <c r="DD134" i="8" s="1"/>
  <c r="B134" i="9"/>
  <c r="Y134" i="9" s="1"/>
  <c r="B136" i="5"/>
  <c r="B136" i="10"/>
  <c r="D136" i="7"/>
  <c r="C136" i="5"/>
  <c r="B133" i="14"/>
  <c r="DA136" i="5"/>
  <c r="N122" i="1"/>
  <c r="AR133" i="5" l="1"/>
  <c r="AO134" i="5"/>
  <c r="AM134" i="5"/>
  <c r="AN134" i="5"/>
  <c r="AR134" i="5" s="1"/>
  <c r="AV135" i="5"/>
  <c r="AW135" i="5"/>
  <c r="AI133" i="7"/>
  <c r="CL135" i="8"/>
  <c r="CC134" i="8"/>
  <c r="CV134" i="8" s="1"/>
  <c r="CW134" i="8" s="1"/>
  <c r="AC134" i="1"/>
  <c r="DG136" i="5" a="1"/>
  <c r="DG136" i="5" s="1"/>
  <c r="BR134" i="8"/>
  <c r="BS134" i="8"/>
  <c r="CX132" i="8"/>
  <c r="CY132" i="8" s="1"/>
  <c r="CD133" i="8"/>
  <c r="BX134" i="8"/>
  <c r="CD134" i="8" s="1"/>
  <c r="BT134" i="8"/>
  <c r="BO134" i="8"/>
  <c r="BP134" i="8"/>
  <c r="BM134" i="8"/>
  <c r="BN134" i="8"/>
  <c r="BK134" i="8"/>
  <c r="BL134" i="8"/>
  <c r="BJ134" i="8"/>
  <c r="AC134" i="10"/>
  <c r="X134" i="10" s="1"/>
  <c r="CS132" i="8"/>
  <c r="CQ133" i="8"/>
  <c r="CU133" i="8" s="1"/>
  <c r="DB133" i="8"/>
  <c r="D135" i="9"/>
  <c r="AQ133" i="5"/>
  <c r="DH135" i="8"/>
  <c r="DI135" i="8" s="1"/>
  <c r="CK135" i="8"/>
  <c r="BW135" i="8"/>
  <c r="BI135" i="8"/>
  <c r="N134" i="7"/>
  <c r="BH135" i="8"/>
  <c r="BU135" i="8" s="1"/>
  <c r="CR133" i="8"/>
  <c r="BZ134" i="8"/>
  <c r="AB133" i="11"/>
  <c r="Q133" i="8" s="1"/>
  <c r="N134" i="11"/>
  <c r="AA133" i="11"/>
  <c r="AK133" i="1" s="1"/>
  <c r="AC133" i="11"/>
  <c r="U133" i="8" s="1"/>
  <c r="Z133" i="11"/>
  <c r="AD133" i="11"/>
  <c r="AI133" i="1" s="1"/>
  <c r="CB134" i="8"/>
  <c r="CT134" i="8" s="1"/>
  <c r="AC135" i="8"/>
  <c r="BQ135" i="8" s="1"/>
  <c r="CA134" i="8"/>
  <c r="E135" i="1"/>
  <c r="B135" i="9"/>
  <c r="Y135" i="9" s="1"/>
  <c r="BY134" i="8"/>
  <c r="CH134" i="8"/>
  <c r="CZ134" i="8" s="1"/>
  <c r="X135" i="8"/>
  <c r="DD135" i="8" s="1"/>
  <c r="B135" i="7"/>
  <c r="Q135" i="7" s="1"/>
  <c r="AJ135" i="5"/>
  <c r="AP135" i="5" s="1"/>
  <c r="A135" i="11"/>
  <c r="Y134" i="11" s="1"/>
  <c r="AH134" i="1" s="1"/>
  <c r="BT135" i="5"/>
  <c r="A135" i="10"/>
  <c r="AA135" i="10" s="1"/>
  <c r="AI135" i="5"/>
  <c r="AE134" i="7"/>
  <c r="AF134" i="7" s="1"/>
  <c r="CI134" i="8"/>
  <c r="DA134" i="8" s="1"/>
  <c r="F136" i="5"/>
  <c r="AA1269" i="14"/>
  <c r="AA1270" i="14" s="1"/>
  <c r="N123" i="1"/>
  <c r="AO135" i="5" l="1"/>
  <c r="AM135" i="5"/>
  <c r="AN135" i="5"/>
  <c r="AR135" i="5" s="1"/>
  <c r="AV136" i="5"/>
  <c r="AW136" i="5"/>
  <c r="AG134" i="7"/>
  <c r="CL136" i="8"/>
  <c r="CB135" i="8"/>
  <c r="CT135" i="8" s="1"/>
  <c r="AC135" i="1"/>
  <c r="BR135" i="8"/>
  <c r="BS135" i="8"/>
  <c r="CE134" i="8"/>
  <c r="CX134" i="8" s="1"/>
  <c r="CY134" i="8" s="1"/>
  <c r="CX133" i="8"/>
  <c r="CY133" i="8" s="1"/>
  <c r="AI134" i="7"/>
  <c r="BX135" i="8"/>
  <c r="CD135" i="8" s="1"/>
  <c r="BT135" i="8"/>
  <c r="BO135" i="8"/>
  <c r="BP135" i="8"/>
  <c r="BM135" i="8"/>
  <c r="BN135" i="8"/>
  <c r="BK135" i="8"/>
  <c r="BL135" i="8"/>
  <c r="BJ135" i="8"/>
  <c r="AC135" i="10"/>
  <c r="X135" i="10" s="1"/>
  <c r="CS133" i="8"/>
  <c r="CQ134" i="8"/>
  <c r="CU134" i="8" s="1"/>
  <c r="BY135" i="8"/>
  <c r="D136" i="9"/>
  <c r="CA135" i="8"/>
  <c r="DH136" i="8"/>
  <c r="DI136" i="8" s="1"/>
  <c r="BZ135" i="8"/>
  <c r="CH135" i="8"/>
  <c r="CZ135" i="8" s="1"/>
  <c r="CK136" i="8"/>
  <c r="BW136" i="8"/>
  <c r="BI136" i="8"/>
  <c r="N135" i="7"/>
  <c r="CC135" i="8"/>
  <c r="CV135" i="8" s="1"/>
  <c r="CW135" i="8" s="1"/>
  <c r="BH136" i="8"/>
  <c r="BU136" i="8" s="1"/>
  <c r="B134" i="14"/>
  <c r="AQ134" i="5"/>
  <c r="AE135" i="7"/>
  <c r="AF135" i="7" s="1"/>
  <c r="E136" i="1"/>
  <c r="CR134" i="8"/>
  <c r="DB134" i="8"/>
  <c r="AC134" i="11"/>
  <c r="U134" i="8" s="1"/>
  <c r="N135" i="11"/>
  <c r="AB134" i="11"/>
  <c r="Q134" i="8" s="1"/>
  <c r="AA134" i="11"/>
  <c r="AK134" i="1" s="1"/>
  <c r="Z134" i="11"/>
  <c r="AD134" i="11"/>
  <c r="AI134" i="1" s="1"/>
  <c r="CI135" i="8"/>
  <c r="DA135" i="8" s="1"/>
  <c r="AJ136" i="5"/>
  <c r="AP136" i="5" s="1"/>
  <c r="A136" i="10"/>
  <c r="AA136" i="10" s="1"/>
  <c r="AC136" i="8"/>
  <c r="BQ136" i="8" s="1"/>
  <c r="X136" i="8"/>
  <c r="DD136" i="8" s="1"/>
  <c r="A136" i="11"/>
  <c r="AA135" i="11" s="1"/>
  <c r="AK135" i="1" s="1"/>
  <c r="AI136" i="5"/>
  <c r="B136" i="7"/>
  <c r="AE136" i="7" s="1"/>
  <c r="AF136" i="7" s="1"/>
  <c r="BT136" i="5"/>
  <c r="AB136" i="11" s="1"/>
  <c r="Q136" i="8" s="1"/>
  <c r="B136" i="9"/>
  <c r="Y136" i="9" s="1"/>
  <c r="AH10" i="7"/>
  <c r="AH11" i="7"/>
  <c r="AH12" i="7"/>
  <c r="AH5" i="7"/>
  <c r="AH13" i="7"/>
  <c r="AH6" i="7"/>
  <c r="AH14" i="7"/>
  <c r="AH7" i="7"/>
  <c r="AH15" i="7"/>
  <c r="AH8" i="7"/>
  <c r="AH16" i="7"/>
  <c r="AH17" i="7"/>
  <c r="AH18" i="7"/>
  <c r="AH9" i="7"/>
  <c r="AH19" i="7"/>
  <c r="AH20" i="7"/>
  <c r="AH21" i="7"/>
  <c r="AH22" i="7"/>
  <c r="AH27" i="7"/>
  <c r="AH24" i="7"/>
  <c r="AH25" i="7"/>
  <c r="AH28" i="7"/>
  <c r="AH23" i="7"/>
  <c r="AH29" i="7"/>
  <c r="AH30" i="7"/>
  <c r="AH31" i="7"/>
  <c r="AH32" i="7"/>
  <c r="AH33" i="7"/>
  <c r="AH35" i="7"/>
  <c r="AH36" i="7"/>
  <c r="AH37" i="7"/>
  <c r="AH38" i="7"/>
  <c r="AH39" i="7"/>
  <c r="AH26" i="7"/>
  <c r="AH40" i="7"/>
  <c r="AH41" i="7"/>
  <c r="AH34" i="7"/>
  <c r="AH42" i="7"/>
  <c r="AH43" i="7"/>
  <c r="AH60" i="7"/>
  <c r="AH61" i="7"/>
  <c r="AH62" i="7"/>
  <c r="AH63" i="7"/>
  <c r="AH70" i="7"/>
  <c r="AH71" i="7"/>
  <c r="AH72" i="7"/>
  <c r="AH73" i="7"/>
  <c r="AH74" i="7"/>
  <c r="AH64" i="7"/>
  <c r="AH75" i="7"/>
  <c r="AH65" i="7"/>
  <c r="AH66" i="7"/>
  <c r="AH67" i="7"/>
  <c r="AH68" i="7"/>
  <c r="AH76" i="7"/>
  <c r="AH69" i="7"/>
  <c r="AH84" i="7"/>
  <c r="AH79" i="7"/>
  <c r="AH85" i="7"/>
  <c r="AH77" i="7"/>
  <c r="AH86" i="7"/>
  <c r="AH94" i="7"/>
  <c r="AH87" i="7"/>
  <c r="AH95" i="7"/>
  <c r="AH80" i="7"/>
  <c r="AH88" i="7"/>
  <c r="AH81" i="7"/>
  <c r="AH89" i="7"/>
  <c r="AH82" i="7"/>
  <c r="AH90" i="7"/>
  <c r="AH98" i="7"/>
  <c r="AH78" i="7"/>
  <c r="AH83" i="7"/>
  <c r="AH91" i="7"/>
  <c r="AH101" i="7"/>
  <c r="AH109" i="7"/>
  <c r="AH93" i="7"/>
  <c r="AH102" i="7"/>
  <c r="AH110" i="7"/>
  <c r="AH103" i="7"/>
  <c r="AH111" i="7"/>
  <c r="AH92" i="7"/>
  <c r="AH104" i="7"/>
  <c r="AH112" i="7"/>
  <c r="AH97" i="7"/>
  <c r="AH105" i="7"/>
  <c r="AH113" i="7"/>
  <c r="AH96" i="7"/>
  <c r="AH99" i="7"/>
  <c r="AH106" i="7"/>
  <c r="AH107" i="7"/>
  <c r="AH115" i="7"/>
  <c r="AH100" i="7"/>
  <c r="AH108" i="7"/>
  <c r="AH118" i="7"/>
  <c r="AH114" i="7"/>
  <c r="AH119" i="7"/>
  <c r="AH117" i="7"/>
  <c r="AH116" i="7"/>
  <c r="AH120" i="7"/>
  <c r="N124" i="1"/>
  <c r="AO136" i="5" l="1"/>
  <c r="AM136" i="5"/>
  <c r="AN136" i="5"/>
  <c r="AR136" i="5" s="1"/>
  <c r="AG136" i="7"/>
  <c r="AG135" i="7"/>
  <c r="AI135" i="7" s="1"/>
  <c r="CA136" i="8"/>
  <c r="AC136" i="1"/>
  <c r="BR136" i="8"/>
  <c r="BS136" i="8"/>
  <c r="CE135" i="8"/>
  <c r="CX135" i="8" s="1"/>
  <c r="CY135" i="8" s="1"/>
  <c r="BX136" i="8"/>
  <c r="CD136" i="8" s="1"/>
  <c r="BT136" i="8"/>
  <c r="BO136" i="8"/>
  <c r="BP136" i="8"/>
  <c r="BM136" i="8"/>
  <c r="BN136" i="8"/>
  <c r="BK136" i="8"/>
  <c r="BL136" i="8"/>
  <c r="BJ136" i="8"/>
  <c r="AC136" i="10"/>
  <c r="X136" i="10" s="1"/>
  <c r="BY136" i="8"/>
  <c r="CS134" i="8"/>
  <c r="CQ135" i="8"/>
  <c r="CU135" i="8" s="1"/>
  <c r="CR135" i="8"/>
  <c r="CH136" i="8"/>
  <c r="CZ136" i="8" s="1"/>
  <c r="CC136" i="8"/>
  <c r="CV136" i="8" s="1"/>
  <c r="CW136" i="8" s="1"/>
  <c r="BZ136" i="8"/>
  <c r="DB135" i="8"/>
  <c r="CB136" i="8"/>
  <c r="CT136" i="8" s="1"/>
  <c r="N136" i="7"/>
  <c r="B135" i="14"/>
  <c r="AQ135" i="5"/>
  <c r="AA136" i="11"/>
  <c r="AK136" i="1" s="1"/>
  <c r="Y136" i="11"/>
  <c r="AH136" i="1" s="1"/>
  <c r="AC136" i="11"/>
  <c r="U136" i="8" s="1"/>
  <c r="AD136" i="11"/>
  <c r="AI136" i="1" s="1"/>
  <c r="Z136" i="11"/>
  <c r="Q136" i="7"/>
  <c r="CI136" i="8"/>
  <c r="DA136" i="8" s="1"/>
  <c r="Z135" i="11"/>
  <c r="AD135" i="11"/>
  <c r="AI135" i="1" s="1"/>
  <c r="AB135" i="11"/>
  <c r="Q135" i="8" s="1"/>
  <c r="Y135" i="11"/>
  <c r="AH135" i="1" s="1"/>
  <c r="AC135" i="11"/>
  <c r="U135" i="8" s="1"/>
  <c r="N136" i="11"/>
  <c r="B136" i="14"/>
  <c r="AI52" i="7"/>
  <c r="AH52" i="7"/>
  <c r="AI46" i="7"/>
  <c r="AH46" i="7"/>
  <c r="AI53" i="7"/>
  <c r="AH53" i="7"/>
  <c r="AI51" i="7"/>
  <c r="AH51" i="7"/>
  <c r="AI59" i="7"/>
  <c r="AH59" i="7"/>
  <c r="AI45" i="7"/>
  <c r="AH45" i="7"/>
  <c r="AI56" i="7"/>
  <c r="AH56" i="7"/>
  <c r="AI58" i="7"/>
  <c r="AH58" i="7"/>
  <c r="AI49" i="7"/>
  <c r="AH49" i="7"/>
  <c r="AI57" i="7"/>
  <c r="AH57" i="7"/>
  <c r="AI48" i="7"/>
  <c r="AH48" i="7"/>
  <c r="AH4" i="7"/>
  <c r="I65" i="4" s="1"/>
  <c r="AI54" i="7"/>
  <c r="AH54" i="7"/>
  <c r="AI55" i="7"/>
  <c r="AH55" i="7"/>
  <c r="AI44" i="7"/>
  <c r="AH44" i="7"/>
  <c r="AI50" i="7"/>
  <c r="AH50" i="7"/>
  <c r="AI47" i="7"/>
  <c r="AH47" i="7"/>
  <c r="N125" i="1"/>
  <c r="AH121" i="7"/>
  <c r="AI136" i="7" l="1"/>
  <c r="CR136" i="8"/>
  <c r="CQ136" i="8"/>
  <c r="CU136" i="8" s="1"/>
  <c r="CE136" i="8"/>
  <c r="CX136" i="8" s="1"/>
  <c r="CY136" i="8" s="1"/>
  <c r="CS135" i="8"/>
  <c r="DB136" i="8"/>
  <c r="AQ136" i="5"/>
  <c r="N126" i="1"/>
  <c r="AH122" i="7"/>
  <c r="CS136" i="8" l="1"/>
  <c r="AH123" i="7"/>
  <c r="N127" i="1"/>
  <c r="N128" i="1" l="1"/>
  <c r="AH124" i="7"/>
  <c r="AH125" i="7" l="1"/>
  <c r="N129" i="1"/>
  <c r="N130" i="1" l="1"/>
  <c r="AH126" i="7"/>
  <c r="AH127" i="7" l="1"/>
  <c r="N131" i="1"/>
  <c r="N132" i="1" l="1"/>
  <c r="AH128" i="7"/>
  <c r="AH129" i="7" l="1"/>
  <c r="N133" i="1"/>
  <c r="N134" i="1" l="1"/>
  <c r="AH130" i="7"/>
  <c r="N135" i="1" l="1"/>
  <c r="AH131" i="7"/>
  <c r="AH132" i="7" l="1"/>
  <c r="N136" i="1"/>
  <c r="AH133" i="7" l="1"/>
  <c r="AH134" i="7" l="1"/>
  <c r="AH135" i="7" l="1"/>
  <c r="AH136" i="7" l="1"/>
  <c r="AE1269" i="14" l="1"/>
  <c r="AE1270" i="14" s="1"/>
  <c r="AM1269" i="14" l="1"/>
  <c r="AM1270" i="14" s="1"/>
  <c r="AG1269" i="14" l="1"/>
  <c r="AG1270" i="14" s="1"/>
  <c r="BH63" i="1" l="1"/>
  <c r="BH64" i="1"/>
  <c r="Y1269" i="14"/>
  <c r="Y1270" i="14" s="1"/>
  <c r="AH1269" i="14"/>
  <c r="AH1270" i="14" s="1"/>
  <c r="BH4" i="1" l="1"/>
  <c r="AT5" i="8" l="1"/>
  <c r="AW5" i="1" s="1"/>
  <c r="AS5" i="8"/>
  <c r="AU5" i="1" l="1"/>
  <c r="X131" i="1"/>
  <c r="X127" i="1"/>
  <c r="X124" i="1"/>
  <c r="X97" i="1"/>
  <c r="X102" i="1"/>
  <c r="X98" i="1"/>
  <c r="X86" i="1"/>
  <c r="X74" i="1"/>
  <c r="X72" i="1"/>
  <c r="X67" i="1"/>
  <c r="X64" i="1"/>
  <c r="X45" i="1"/>
  <c r="X33" i="1"/>
  <c r="X34" i="1"/>
  <c r="X26" i="1"/>
  <c r="X17" i="1"/>
  <c r="X4" i="1"/>
  <c r="M5" i="1" s="1"/>
  <c r="F5" i="11" s="1"/>
  <c r="X119" i="1"/>
  <c r="X123" i="1"/>
  <c r="X112" i="1"/>
  <c r="X117" i="1"/>
  <c r="X106" i="1"/>
  <c r="X93" i="1"/>
  <c r="X90" i="1"/>
  <c r="X71" i="1"/>
  <c r="X61" i="1"/>
  <c r="X56" i="1"/>
  <c r="X42" i="1"/>
  <c r="X38" i="1"/>
  <c r="X41" i="1"/>
  <c r="X21" i="1"/>
  <c r="X24" i="1"/>
  <c r="X11" i="1"/>
  <c r="X134" i="1"/>
  <c r="X126" i="1"/>
  <c r="X130" i="1"/>
  <c r="X104" i="1"/>
  <c r="X109" i="1"/>
  <c r="X96" i="1"/>
  <c r="X85" i="1"/>
  <c r="X82" i="1"/>
  <c r="X62" i="1"/>
  <c r="X60" i="1"/>
  <c r="X63" i="1"/>
  <c r="X54" i="1"/>
  <c r="X37" i="1"/>
  <c r="X40" i="1"/>
  <c r="X20" i="1"/>
  <c r="X23" i="1"/>
  <c r="X10" i="1"/>
  <c r="AT4" i="8"/>
  <c r="AW4" i="1" s="1"/>
  <c r="X136" i="1"/>
  <c r="X118" i="1"/>
  <c r="X122" i="1"/>
  <c r="X94" i="1"/>
  <c r="X101" i="1"/>
  <c r="X88" i="1"/>
  <c r="X92" i="1"/>
  <c r="X79" i="1"/>
  <c r="X70" i="1"/>
  <c r="X59" i="1"/>
  <c r="X55" i="1"/>
  <c r="X46" i="1"/>
  <c r="X36" i="1"/>
  <c r="X30" i="1"/>
  <c r="X19" i="1"/>
  <c r="X15" i="1"/>
  <c r="X9" i="1"/>
  <c r="X128" i="1"/>
  <c r="X114" i="1"/>
  <c r="X129" i="1"/>
  <c r="X89" i="1"/>
  <c r="X108" i="1"/>
  <c r="X80" i="1"/>
  <c r="X84" i="1"/>
  <c r="X76" i="1"/>
  <c r="X77" i="1"/>
  <c r="X50" i="1"/>
  <c r="X53" i="1"/>
  <c r="X44" i="1"/>
  <c r="X32" i="1"/>
  <c r="X14" i="1"/>
  <c r="X16" i="1"/>
  <c r="X22" i="1"/>
  <c r="X8" i="1"/>
  <c r="X120" i="1"/>
  <c r="X133" i="1"/>
  <c r="X121" i="1"/>
  <c r="X111" i="1"/>
  <c r="X100" i="1"/>
  <c r="X78" i="1"/>
  <c r="X99" i="1"/>
  <c r="X81" i="1"/>
  <c r="X69" i="1"/>
  <c r="X58" i="1"/>
  <c r="X49" i="1"/>
  <c r="X52" i="1"/>
  <c r="X31" i="1"/>
  <c r="X29" i="1"/>
  <c r="X6" i="1"/>
  <c r="X13" i="1"/>
  <c r="X7" i="1"/>
  <c r="AS4" i="8"/>
  <c r="X116" i="1"/>
  <c r="X125" i="1"/>
  <c r="X113" i="1"/>
  <c r="X103" i="1"/>
  <c r="X115" i="1"/>
  <c r="X95" i="1"/>
  <c r="X91" i="1"/>
  <c r="X66" i="1"/>
  <c r="X68" i="1"/>
  <c r="X65" i="1"/>
  <c r="X48" i="1"/>
  <c r="X51" i="1"/>
  <c r="X43" i="1"/>
  <c r="X28" i="1"/>
  <c r="X18" i="1"/>
  <c r="X5" i="1"/>
  <c r="X135" i="1"/>
  <c r="X132" i="1"/>
  <c r="X105" i="1"/>
  <c r="X110" i="1"/>
  <c r="X107" i="1"/>
  <c r="X87" i="1"/>
  <c r="X83" i="1"/>
  <c r="X73" i="1"/>
  <c r="X75" i="1"/>
  <c r="X57" i="1"/>
  <c r="X47" i="1"/>
  <c r="X39" i="1"/>
  <c r="X35" i="1"/>
  <c r="X27" i="1"/>
  <c r="X25" i="1"/>
  <c r="X12" i="1"/>
  <c r="AT6" i="8"/>
  <c r="AW6" i="1" s="1"/>
  <c r="AS6" i="8"/>
  <c r="AU6" i="1" l="1"/>
  <c r="AU4" i="1"/>
  <c r="J4" i="1" s="1"/>
  <c r="M6" i="1"/>
  <c r="F6" i="11" s="1"/>
  <c r="Y5" i="10"/>
  <c r="AT5" i="1" s="1"/>
  <c r="Y13" i="10"/>
  <c r="Y6" i="10"/>
  <c r="AT6" i="1" s="1"/>
  <c r="Y7" i="10"/>
  <c r="Y8" i="10"/>
  <c r="Y9" i="10"/>
  <c r="Y10" i="10"/>
  <c r="Y11" i="10"/>
  <c r="Y20" i="10"/>
  <c r="Y14" i="10"/>
  <c r="Y21" i="10"/>
  <c r="Y22" i="10"/>
  <c r="Y23" i="10"/>
  <c r="Y15" i="10"/>
  <c r="Y16" i="10"/>
  <c r="Y17" i="10"/>
  <c r="Y18" i="10"/>
  <c r="Y19" i="10"/>
  <c r="Y30" i="10"/>
  <c r="Y4" i="10"/>
  <c r="Y12" i="10"/>
  <c r="Y31" i="10"/>
  <c r="Y32" i="10"/>
  <c r="Y25" i="10"/>
  <c r="Y26" i="10"/>
  <c r="Y27" i="10"/>
  <c r="Y28" i="10"/>
  <c r="Y38" i="10"/>
  <c r="Y39" i="10"/>
  <c r="Y29" i="10"/>
  <c r="Y40" i="10"/>
  <c r="Y24" i="10"/>
  <c r="Y41" i="10"/>
  <c r="Y33" i="10"/>
  <c r="Y34" i="10"/>
  <c r="Y42" i="10"/>
  <c r="Y35" i="10"/>
  <c r="Y43" i="10"/>
  <c r="Y36" i="10"/>
  <c r="Y37" i="10"/>
  <c r="Y49" i="10"/>
  <c r="Y50" i="10"/>
  <c r="Y44" i="10"/>
  <c r="Y52" i="10"/>
  <c r="Y45" i="10"/>
  <c r="Y46" i="10"/>
  <c r="Y47" i="10"/>
  <c r="Y51" i="10"/>
  <c r="Y61" i="10"/>
  <c r="Y62" i="10"/>
  <c r="Y55" i="10"/>
  <c r="Y63" i="10"/>
  <c r="Y48" i="10"/>
  <c r="Y56" i="10"/>
  <c r="Y64" i="10"/>
  <c r="Y57" i="10"/>
  <c r="Y65" i="10"/>
  <c r="Y53" i="10"/>
  <c r="Y54" i="10"/>
  <c r="Y58" i="10"/>
  <c r="Y59" i="10"/>
  <c r="Y73" i="10"/>
  <c r="Y67" i="10"/>
  <c r="Y75" i="10"/>
  <c r="Y68" i="10"/>
  <c r="Y66" i="10"/>
  <c r="Y69" i="10"/>
  <c r="Y70" i="10"/>
  <c r="Y60" i="10"/>
  <c r="Y71" i="10"/>
  <c r="Y72" i="10"/>
  <c r="Y79" i="10"/>
  <c r="Y80" i="10"/>
  <c r="Y88" i="10"/>
  <c r="Y81" i="10"/>
  <c r="Y89" i="10"/>
  <c r="Y97" i="10"/>
  <c r="Y76" i="10"/>
  <c r="Y82" i="10"/>
  <c r="Y90" i="10"/>
  <c r="Y83" i="10"/>
  <c r="Y91" i="10"/>
  <c r="Y84" i="10"/>
  <c r="Y77" i="10"/>
  <c r="Y85" i="10"/>
  <c r="Y93" i="10"/>
  <c r="Y74" i="10"/>
  <c r="Y78" i="10"/>
  <c r="Y86" i="10"/>
  <c r="Y94" i="10"/>
  <c r="Y87" i="10"/>
  <c r="Y96" i="10"/>
  <c r="Y104" i="10"/>
  <c r="Y92" i="10"/>
  <c r="Y105" i="10"/>
  <c r="Y113" i="10"/>
  <c r="Y106" i="10"/>
  <c r="Y95" i="10"/>
  <c r="Y99" i="10"/>
  <c r="Y107" i="10"/>
  <c r="Y115" i="10"/>
  <c r="Y100" i="10"/>
  <c r="Y108" i="10"/>
  <c r="Y116" i="10"/>
  <c r="Y101" i="10"/>
  <c r="Y109" i="10"/>
  <c r="Y98" i="10"/>
  <c r="Y102" i="10"/>
  <c r="Y110" i="10"/>
  <c r="Y103" i="10"/>
  <c r="Y119" i="10"/>
  <c r="Y127" i="10"/>
  <c r="Y135" i="10"/>
  <c r="Y120" i="10"/>
  <c r="Y128" i="10"/>
  <c r="Y117" i="10"/>
  <c r="Y121" i="10"/>
  <c r="Y129" i="10"/>
  <c r="Y122" i="10"/>
  <c r="Y130" i="10"/>
  <c r="Y123" i="10"/>
  <c r="Y131" i="10"/>
  <c r="Y112" i="10"/>
  <c r="Y124" i="10"/>
  <c r="Y111" i="10"/>
  <c r="Y114" i="10"/>
  <c r="Y125" i="10"/>
  <c r="Y133" i="10"/>
  <c r="Y118" i="10"/>
  <c r="Y126" i="10"/>
  <c r="Y134" i="10"/>
  <c r="Y132" i="10"/>
  <c r="Y136" i="10"/>
  <c r="L4" i="1"/>
  <c r="E4" i="11" s="1"/>
  <c r="AT7" i="8"/>
  <c r="AW7" i="1" s="1"/>
  <c r="AS7" i="8"/>
  <c r="I67" i="4" l="1"/>
  <c r="AQ4" i="1"/>
  <c r="AT4" i="1"/>
  <c r="H4" i="1" s="1"/>
  <c r="AL4" i="5"/>
  <c r="AU7" i="1"/>
  <c r="AT7" i="1"/>
  <c r="D4" i="11"/>
  <c r="M7" i="1"/>
  <c r="F7" i="11" s="1"/>
  <c r="BM4" i="1"/>
  <c r="L5" i="1"/>
  <c r="E5" i="11" s="1"/>
  <c r="AT8" i="8"/>
  <c r="AW8" i="1" s="1"/>
  <c r="AS8" i="8"/>
  <c r="AK4" i="5" l="1"/>
  <c r="V4" i="10"/>
  <c r="AU8" i="1"/>
  <c r="AT8" i="1"/>
  <c r="BK4" i="1"/>
  <c r="M8" i="1"/>
  <c r="F8" i="11" s="1"/>
  <c r="C4" i="11"/>
  <c r="AC4" i="7"/>
  <c r="AJ4" i="7" s="1"/>
  <c r="AQ4" i="8"/>
  <c r="BI4" i="1"/>
  <c r="L6" i="1"/>
  <c r="E6" i="11" s="1"/>
  <c r="BM5" i="1"/>
  <c r="AS9" i="8"/>
  <c r="AT9" i="8"/>
  <c r="AW9" i="1" s="1"/>
  <c r="AU9" i="1" l="1"/>
  <c r="AT9" i="1"/>
  <c r="M9" i="1"/>
  <c r="F9" i="11" s="1"/>
  <c r="L7" i="1"/>
  <c r="E7" i="11" s="1"/>
  <c r="BM6" i="1"/>
  <c r="AT10" i="8"/>
  <c r="AW10" i="1" s="1"/>
  <c r="AS10" i="8"/>
  <c r="AU10" i="1" l="1"/>
  <c r="AT10" i="1"/>
  <c r="M10" i="1"/>
  <c r="F10" i="11" s="1"/>
  <c r="BM7" i="1"/>
  <c r="L8" i="1"/>
  <c r="E8" i="11" s="1"/>
  <c r="AT11" i="8"/>
  <c r="AW11" i="1" s="1"/>
  <c r="AS11" i="8"/>
  <c r="AT11" i="1" l="1"/>
  <c r="AU11" i="1"/>
  <c r="M11" i="1"/>
  <c r="F11" i="11" s="1"/>
  <c r="BM8" i="1"/>
  <c r="L9" i="1"/>
  <c r="E9" i="11" s="1"/>
  <c r="AS12" i="8"/>
  <c r="AT12" i="8"/>
  <c r="AW12" i="1" s="1"/>
  <c r="AU12" i="1" l="1"/>
  <c r="AT12" i="1"/>
  <c r="M12" i="1"/>
  <c r="F12" i="11" s="1"/>
  <c r="BM9" i="1"/>
  <c r="L10" i="1"/>
  <c r="AS13" i="8"/>
  <c r="AT13" i="8"/>
  <c r="AW13" i="1" s="1"/>
  <c r="AU13" i="1" l="1"/>
  <c r="AT13" i="1"/>
  <c r="M13" i="1"/>
  <c r="F13" i="11" s="1"/>
  <c r="L11" i="1"/>
  <c r="E11" i="11" s="1"/>
  <c r="E10" i="11"/>
  <c r="BM10" i="1"/>
  <c r="AT14" i="8"/>
  <c r="AW14" i="1" s="1"/>
  <c r="AS14" i="8"/>
  <c r="AU14" i="1" l="1"/>
  <c r="AT14" i="1"/>
  <c r="M14" i="1"/>
  <c r="F14" i="11" s="1"/>
  <c r="L12" i="1"/>
  <c r="E12" i="11" s="1"/>
  <c r="BM11" i="1"/>
  <c r="AS15" i="8"/>
  <c r="AT15" i="8"/>
  <c r="AW15" i="1" s="1"/>
  <c r="AU15" i="1" l="1"/>
  <c r="AT15" i="1"/>
  <c r="M15" i="1"/>
  <c r="F15" i="11" s="1"/>
  <c r="BM12" i="1"/>
  <c r="L13" i="1"/>
  <c r="BM13" i="1" s="1"/>
  <c r="AT16" i="8"/>
  <c r="AW16" i="1" s="1"/>
  <c r="AS16" i="8"/>
  <c r="AU16" i="1" l="1"/>
  <c r="AT16" i="1"/>
  <c r="M16" i="1"/>
  <c r="F16" i="11" s="1"/>
  <c r="L14" i="1"/>
  <c r="BM14" i="1" s="1"/>
  <c r="E13" i="11"/>
  <c r="AS17" i="8"/>
  <c r="AT17" i="8"/>
  <c r="AW17" i="1" s="1"/>
  <c r="AU17" i="1" l="1"/>
  <c r="AT17" i="1"/>
  <c r="M17" i="1"/>
  <c r="F17" i="11" s="1"/>
  <c r="L15" i="1"/>
  <c r="E15" i="11" s="1"/>
  <c r="E14" i="11"/>
  <c r="AT18" i="8"/>
  <c r="AW18" i="1" s="1"/>
  <c r="AS18" i="8"/>
  <c r="AU18" i="1" l="1"/>
  <c r="AT18" i="1"/>
  <c r="M18" i="1"/>
  <c r="F18" i="11" s="1"/>
  <c r="L16" i="1"/>
  <c r="BM16" i="1" s="1"/>
  <c r="BM15" i="1"/>
  <c r="AS19" i="8"/>
  <c r="AT19" i="8"/>
  <c r="AW19" i="1" s="1"/>
  <c r="AU19" i="1" l="1"/>
  <c r="AT19" i="1"/>
  <c r="M19" i="1"/>
  <c r="F19" i="11" s="1"/>
  <c r="L17" i="1"/>
  <c r="E16" i="11"/>
  <c r="AT20" i="8"/>
  <c r="AW20" i="1" s="1"/>
  <c r="AS20" i="8"/>
  <c r="AU20" i="1" l="1"/>
  <c r="AT20" i="1"/>
  <c r="M20" i="1"/>
  <c r="F20" i="11" s="1"/>
  <c r="E17" i="11"/>
  <c r="L18" i="1"/>
  <c r="L19" i="1" s="1"/>
  <c r="BM17" i="1"/>
  <c r="AS21" i="8"/>
  <c r="AT21" i="8"/>
  <c r="AW21" i="1" s="1"/>
  <c r="AU21" i="1" l="1"/>
  <c r="AT21" i="1"/>
  <c r="M21" i="1"/>
  <c r="F21" i="11" s="1"/>
  <c r="E19" i="11"/>
  <c r="BM19" i="1"/>
  <c r="L20" i="1"/>
  <c r="E20" i="11" s="1"/>
  <c r="E18" i="11"/>
  <c r="BM18" i="1"/>
  <c r="AT22" i="8"/>
  <c r="AW22" i="1" s="1"/>
  <c r="AS22" i="8"/>
  <c r="AT22" i="1" l="1"/>
  <c r="AU22" i="1"/>
  <c r="M22" i="1"/>
  <c r="F22" i="11" s="1"/>
  <c r="BM20" i="1"/>
  <c r="L21" i="1"/>
  <c r="E21" i="11" s="1"/>
  <c r="AS23" i="8"/>
  <c r="AT23" i="8"/>
  <c r="AW23" i="1" s="1"/>
  <c r="AU23" i="1" l="1"/>
  <c r="AT23" i="1"/>
  <c r="M23" i="1"/>
  <c r="F23" i="11" s="1"/>
  <c r="BM21" i="1"/>
  <c r="L22" i="1"/>
  <c r="E22" i="11" s="1"/>
  <c r="AT24" i="8"/>
  <c r="AW24" i="1" s="1"/>
  <c r="AS24" i="8"/>
  <c r="AU24" i="1" l="1"/>
  <c r="AT24" i="1"/>
  <c r="M24" i="1"/>
  <c r="F24" i="11" s="1"/>
  <c r="BM22" i="1"/>
  <c r="L23" i="1"/>
  <c r="E23" i="11" s="1"/>
  <c r="AT25" i="8"/>
  <c r="AW25" i="1" s="1"/>
  <c r="AS25" i="8"/>
  <c r="AU25" i="1" l="1"/>
  <c r="AT25" i="1"/>
  <c r="M25" i="1"/>
  <c r="F25" i="11" s="1"/>
  <c r="L24" i="1"/>
  <c r="E24" i="11" s="1"/>
  <c r="BM23" i="1"/>
  <c r="AS26" i="8"/>
  <c r="AT26" i="8"/>
  <c r="AW26" i="1" s="1"/>
  <c r="AU26" i="1" l="1"/>
  <c r="AT26" i="1"/>
  <c r="M26" i="1"/>
  <c r="F26" i="11" s="1"/>
  <c r="L25" i="1"/>
  <c r="E25" i="11" s="1"/>
  <c r="BM24" i="1"/>
  <c r="AT27" i="8"/>
  <c r="AW27" i="1" s="1"/>
  <c r="AS27" i="8"/>
  <c r="AU27" i="1" l="1"/>
  <c r="AT27" i="1"/>
  <c r="M27" i="1"/>
  <c r="F27" i="11" s="1"/>
  <c r="L26" i="1"/>
  <c r="E26" i="11" s="1"/>
  <c r="BM25" i="1"/>
  <c r="AS28" i="8"/>
  <c r="AT28" i="8"/>
  <c r="AW28" i="1" s="1"/>
  <c r="AU28" i="1" l="1"/>
  <c r="AT28" i="1"/>
  <c r="M28" i="1"/>
  <c r="F28" i="11" s="1"/>
  <c r="BM26" i="1"/>
  <c r="L27" i="1"/>
  <c r="E27" i="11" s="1"/>
  <c r="AT29" i="8"/>
  <c r="AW29" i="1" s="1"/>
  <c r="AS29" i="8"/>
  <c r="AU29" i="1" l="1"/>
  <c r="AT29" i="1"/>
  <c r="M29" i="1"/>
  <c r="F29" i="11" s="1"/>
  <c r="L28" i="1"/>
  <c r="E28" i="11" s="1"/>
  <c r="BM27" i="1"/>
  <c r="AT30" i="8"/>
  <c r="AW30" i="1" s="1"/>
  <c r="AS30" i="8"/>
  <c r="AU30" i="1" l="1"/>
  <c r="AT30" i="1"/>
  <c r="M30" i="1"/>
  <c r="F30" i="11" s="1"/>
  <c r="L29" i="1"/>
  <c r="E29" i="11" s="1"/>
  <c r="BM28" i="1"/>
  <c r="AT31" i="8"/>
  <c r="AW31" i="1" s="1"/>
  <c r="AS31" i="8"/>
  <c r="AU31" i="1" l="1"/>
  <c r="AT31" i="1"/>
  <c r="M31" i="1"/>
  <c r="F31" i="11" s="1"/>
  <c r="L30" i="1"/>
  <c r="E30" i="11" s="1"/>
  <c r="BM29" i="1"/>
  <c r="AT32" i="8"/>
  <c r="AW32" i="1" s="1"/>
  <c r="AS32" i="8"/>
  <c r="M32" i="1" l="1"/>
  <c r="F32" i="11" s="1"/>
  <c r="AU32" i="1"/>
  <c r="AT32" i="1"/>
  <c r="L31" i="1"/>
  <c r="E31" i="11" s="1"/>
  <c r="BM30" i="1"/>
  <c r="AT33" i="8"/>
  <c r="AW33" i="1" s="1"/>
  <c r="AS33" i="8"/>
  <c r="M33" i="1" l="1"/>
  <c r="F33" i="11" s="1"/>
  <c r="AU33" i="1"/>
  <c r="AT33" i="1"/>
  <c r="L32" i="1"/>
  <c r="E32" i="11" s="1"/>
  <c r="BM31" i="1"/>
  <c r="AT34" i="8"/>
  <c r="AW34" i="1" s="1"/>
  <c r="AS34" i="8"/>
  <c r="M34" i="1" l="1"/>
  <c r="F34" i="11" s="1"/>
  <c r="AU34" i="1"/>
  <c r="AT34" i="1"/>
  <c r="L33" i="1"/>
  <c r="E33" i="11" s="1"/>
  <c r="BM32" i="1"/>
  <c r="AT35" i="8"/>
  <c r="AW35" i="1" s="1"/>
  <c r="AS35" i="8"/>
  <c r="M35" i="1" l="1"/>
  <c r="F35" i="11" s="1"/>
  <c r="AU35" i="1"/>
  <c r="AT35" i="1"/>
  <c r="L34" i="1"/>
  <c r="E34" i="11" s="1"/>
  <c r="BM33" i="1"/>
  <c r="AS36" i="8"/>
  <c r="AT36" i="8"/>
  <c r="AW36" i="1" s="1"/>
  <c r="M36" i="1" l="1"/>
  <c r="F36" i="11" s="1"/>
  <c r="AU36" i="1"/>
  <c r="AT36" i="1"/>
  <c r="L35" i="1"/>
  <c r="E35" i="11" s="1"/>
  <c r="BM34" i="1"/>
  <c r="AT37" i="8"/>
  <c r="AW37" i="1" s="1"/>
  <c r="AS37" i="8"/>
  <c r="M37" i="1" l="1"/>
  <c r="F37" i="11" s="1"/>
  <c r="AU37" i="1"/>
  <c r="AT37" i="1"/>
  <c r="L36" i="1"/>
  <c r="E36" i="11" s="1"/>
  <c r="BM35" i="1"/>
  <c r="AT38" i="8"/>
  <c r="AW38" i="1" s="1"/>
  <c r="AS38" i="8"/>
  <c r="M38" i="1" l="1"/>
  <c r="F38" i="11" s="1"/>
  <c r="AU38" i="1"/>
  <c r="AT38" i="1"/>
  <c r="BM36" i="1"/>
  <c r="L37" i="1"/>
  <c r="E37" i="11" s="1"/>
  <c r="AS39" i="8"/>
  <c r="AT39" i="8"/>
  <c r="AW39" i="1" s="1"/>
  <c r="M39" i="1" l="1"/>
  <c r="F39" i="11" s="1"/>
  <c r="AU39" i="1"/>
  <c r="AT39" i="1"/>
  <c r="BM37" i="1"/>
  <c r="L38" i="1"/>
  <c r="E38" i="11" s="1"/>
  <c r="AT40" i="8"/>
  <c r="AW40" i="1" s="1"/>
  <c r="AS40" i="8"/>
  <c r="I66" i="4" s="1"/>
  <c r="M40" i="1" l="1"/>
  <c r="AU40" i="1"/>
  <c r="L39" i="1"/>
  <c r="E39" i="11" s="1"/>
  <c r="AT40" i="1"/>
  <c r="BM38" i="1"/>
  <c r="AS41" i="8"/>
  <c r="AT41" i="8"/>
  <c r="AW41" i="1" s="1"/>
  <c r="F40" i="11" l="1"/>
  <c r="B68" i="4"/>
  <c r="M41" i="1"/>
  <c r="F41" i="11" s="1"/>
  <c r="L40" i="1"/>
  <c r="BM39" i="1"/>
  <c r="AU41" i="1"/>
  <c r="AT41" i="1"/>
  <c r="AT42" i="8"/>
  <c r="AW42" i="1" s="1"/>
  <c r="AS42" i="8"/>
  <c r="E40" i="11" l="1"/>
  <c r="B67" i="4"/>
  <c r="M42" i="1"/>
  <c r="F42" i="11" s="1"/>
  <c r="BM40" i="1"/>
  <c r="L41" i="1"/>
  <c r="E41" i="11" s="1"/>
  <c r="AU42" i="1"/>
  <c r="AT42" i="1"/>
  <c r="AT43" i="8"/>
  <c r="AW43" i="1" s="1"/>
  <c r="AS43" i="8"/>
  <c r="M43" i="1" l="1"/>
  <c r="F43" i="11" s="1"/>
  <c r="L42" i="1"/>
  <c r="E42" i="11" s="1"/>
  <c r="BM41" i="1"/>
  <c r="AU43" i="1"/>
  <c r="AT43" i="1"/>
  <c r="AT44" i="8"/>
  <c r="AW44" i="1" s="1"/>
  <c r="AS44" i="8"/>
  <c r="M44" i="1" l="1"/>
  <c r="F44" i="11" s="1"/>
  <c r="BM42" i="1"/>
  <c r="L43" i="1"/>
  <c r="E43" i="11" s="1"/>
  <c r="AU44" i="1"/>
  <c r="AT44" i="1"/>
  <c r="AT45" i="8"/>
  <c r="AW45" i="1" s="1"/>
  <c r="AS45" i="8"/>
  <c r="M45" i="1" l="1"/>
  <c r="F45" i="11" s="1"/>
  <c r="L44" i="1"/>
  <c r="E44" i="11" s="1"/>
  <c r="BM43" i="1"/>
  <c r="AU45" i="1"/>
  <c r="AT45" i="1"/>
  <c r="AT46" i="8"/>
  <c r="AW46" i="1" s="1"/>
  <c r="AS46" i="8"/>
  <c r="M46" i="1" l="1"/>
  <c r="F46" i="11" s="1"/>
  <c r="L45" i="1"/>
  <c r="E45" i="11" s="1"/>
  <c r="BM44" i="1"/>
  <c r="AU46" i="1"/>
  <c r="AT46" i="1"/>
  <c r="AS47" i="8"/>
  <c r="AT47" i="8"/>
  <c r="AW47" i="1" s="1"/>
  <c r="M47" i="1" l="1"/>
  <c r="F47" i="11" s="1"/>
  <c r="BM45" i="1"/>
  <c r="L46" i="1"/>
  <c r="E46" i="11" s="1"/>
  <c r="AT47" i="1"/>
  <c r="AU47" i="1"/>
  <c r="AS48" i="8"/>
  <c r="AT48" i="8"/>
  <c r="AW48" i="1" s="1"/>
  <c r="M48" i="1" l="1"/>
  <c r="F48" i="11" s="1"/>
  <c r="BM46" i="1"/>
  <c r="L47" i="1"/>
  <c r="E47" i="11" s="1"/>
  <c r="AU48" i="1"/>
  <c r="AT48" i="1"/>
  <c r="AT49" i="8"/>
  <c r="AW49" i="1" s="1"/>
  <c r="AS49" i="8"/>
  <c r="M49" i="1" l="1"/>
  <c r="F49" i="11" s="1"/>
  <c r="L48" i="1"/>
  <c r="E48" i="11" s="1"/>
  <c r="BM47" i="1"/>
  <c r="AU49" i="1"/>
  <c r="AT49" i="1"/>
  <c r="AS50" i="8"/>
  <c r="AT50" i="8"/>
  <c r="AW50" i="1" s="1"/>
  <c r="M50" i="1" l="1"/>
  <c r="F50" i="11" s="1"/>
  <c r="L49" i="1"/>
  <c r="E49" i="11" s="1"/>
  <c r="BM48" i="1"/>
  <c r="AU50" i="1"/>
  <c r="AT50" i="1"/>
  <c r="AT51" i="8"/>
  <c r="AW51" i="1" s="1"/>
  <c r="AS51" i="8"/>
  <c r="M51" i="1" l="1"/>
  <c r="F51" i="11" s="1"/>
  <c r="L50" i="1"/>
  <c r="E50" i="11" s="1"/>
  <c r="BM49" i="1"/>
  <c r="AU51" i="1"/>
  <c r="AT51" i="1"/>
  <c r="AS52" i="8"/>
  <c r="AT52" i="8"/>
  <c r="AW52" i="1" s="1"/>
  <c r="L51" i="1" l="1"/>
  <c r="E51" i="11" s="1"/>
  <c r="BM50" i="1"/>
  <c r="M52" i="1"/>
  <c r="AT52" i="1"/>
  <c r="AU52" i="1"/>
  <c r="AS53" i="8"/>
  <c r="AT53" i="8"/>
  <c r="AW53" i="1" s="1"/>
  <c r="F52" i="11" l="1"/>
  <c r="L52" i="1"/>
  <c r="BM51" i="1"/>
  <c r="M53" i="1"/>
  <c r="F53" i="11" s="1"/>
  <c r="AU53" i="1"/>
  <c r="AT53" i="1"/>
  <c r="AT54" i="8"/>
  <c r="AW54" i="1" s="1"/>
  <c r="AS54" i="8"/>
  <c r="E52" i="11" l="1"/>
  <c r="M54" i="1"/>
  <c r="F54" i="11" s="1"/>
  <c r="L53" i="1"/>
  <c r="E53" i="11" s="1"/>
  <c r="BM52" i="1"/>
  <c r="AU54" i="1"/>
  <c r="AT54" i="1"/>
  <c r="AS55" i="8"/>
  <c r="AT55" i="8"/>
  <c r="AW55" i="1" s="1"/>
  <c r="M55" i="1" l="1"/>
  <c r="F55" i="11" s="1"/>
  <c r="L54" i="1"/>
  <c r="E54" i="11" s="1"/>
  <c r="BM53" i="1"/>
  <c r="AU55" i="1"/>
  <c r="AT55" i="1"/>
  <c r="AS56" i="8"/>
  <c r="AT56" i="8"/>
  <c r="AW56" i="1" s="1"/>
  <c r="L55" i="1" l="1"/>
  <c r="E55" i="11" s="1"/>
  <c r="BM54" i="1"/>
  <c r="M56" i="1"/>
  <c r="F56" i="11" s="1"/>
  <c r="AU56" i="1"/>
  <c r="AT56" i="1"/>
  <c r="AT57" i="8"/>
  <c r="AW57" i="1" s="1"/>
  <c r="AS57" i="8"/>
  <c r="BM55" i="1" l="1"/>
  <c r="L56" i="1"/>
  <c r="E56" i="11" s="1"/>
  <c r="M57" i="1"/>
  <c r="F57" i="11" s="1"/>
  <c r="AU57" i="1"/>
  <c r="AT57" i="1"/>
  <c r="AS58" i="8"/>
  <c r="AT58" i="8"/>
  <c r="AW58" i="1" s="1"/>
  <c r="M58" i="1" l="1"/>
  <c r="F58" i="11" s="1"/>
  <c r="L57" i="1"/>
  <c r="E57" i="11" s="1"/>
  <c r="BM56" i="1"/>
  <c r="AU58" i="1"/>
  <c r="AT58" i="1"/>
  <c r="AS59" i="8"/>
  <c r="AT59" i="8"/>
  <c r="AW59" i="1" s="1"/>
  <c r="M59" i="1" l="1"/>
  <c r="F59" i="11" s="1"/>
  <c r="L58" i="1"/>
  <c r="E58" i="11" s="1"/>
  <c r="BM57" i="1"/>
  <c r="AT59" i="1"/>
  <c r="AU59" i="1"/>
  <c r="AT60" i="8"/>
  <c r="AW60" i="1" s="1"/>
  <c r="AS60" i="8"/>
  <c r="M60" i="1" l="1"/>
  <c r="F60" i="11" s="1"/>
  <c r="L59" i="1"/>
  <c r="E59" i="11" s="1"/>
  <c r="BM58" i="1"/>
  <c r="AU60" i="1"/>
  <c r="AT60" i="1"/>
  <c r="AS61" i="8"/>
  <c r="AT61" i="8"/>
  <c r="AW61" i="1" s="1"/>
  <c r="M61" i="1" l="1"/>
  <c r="F61" i="11" s="1"/>
  <c r="BM59" i="1"/>
  <c r="L60" i="1"/>
  <c r="E60" i="11" s="1"/>
  <c r="AU61" i="1"/>
  <c r="AT61" i="1"/>
  <c r="AT62" i="8"/>
  <c r="AW62" i="1" s="1"/>
  <c r="AS62" i="8"/>
  <c r="M62" i="1" l="1"/>
  <c r="F62" i="11" s="1"/>
  <c r="L61" i="1"/>
  <c r="E61" i="11" s="1"/>
  <c r="BM60" i="1"/>
  <c r="AU62" i="1"/>
  <c r="AT62" i="1"/>
  <c r="AS63" i="8"/>
  <c r="AT63" i="8"/>
  <c r="AW63" i="1" s="1"/>
  <c r="M63" i="1" l="1"/>
  <c r="F63" i="11" s="1"/>
  <c r="BM61" i="1"/>
  <c r="L62" i="1"/>
  <c r="E62" i="11" s="1"/>
  <c r="AU63" i="1"/>
  <c r="AT63" i="1"/>
  <c r="AS64" i="8"/>
  <c r="AT64" i="8"/>
  <c r="AW64" i="1" s="1"/>
  <c r="M64" i="1" l="1"/>
  <c r="F64" i="11" s="1"/>
  <c r="L63" i="1"/>
  <c r="E63" i="11" s="1"/>
  <c r="BM62" i="1"/>
  <c r="AU64" i="1"/>
  <c r="AT64" i="1"/>
  <c r="AT65" i="8"/>
  <c r="AW65" i="1" s="1"/>
  <c r="AS65" i="8"/>
  <c r="L64" i="1" l="1"/>
  <c r="E64" i="11" s="1"/>
  <c r="BM63" i="1"/>
  <c r="M65" i="1"/>
  <c r="F65" i="11" s="1"/>
  <c r="AU65" i="1"/>
  <c r="AT65" i="1"/>
  <c r="AT66" i="8"/>
  <c r="AW66" i="1" s="1"/>
  <c r="AS66" i="8"/>
  <c r="L65" i="1" l="1"/>
  <c r="E65" i="11" s="1"/>
  <c r="BM64" i="1"/>
  <c r="M66" i="1"/>
  <c r="F66" i="11" s="1"/>
  <c r="AU66" i="1"/>
  <c r="AT66" i="1"/>
  <c r="AT67" i="8"/>
  <c r="AW67" i="1" s="1"/>
  <c r="AS67" i="8"/>
  <c r="L66" i="1" l="1"/>
  <c r="E66" i="11" s="1"/>
  <c r="BM65" i="1"/>
  <c r="M67" i="1"/>
  <c r="F67" i="11" s="1"/>
  <c r="AU67" i="1"/>
  <c r="AT67" i="1"/>
  <c r="AT68" i="8"/>
  <c r="AW68" i="1" s="1"/>
  <c r="AS68" i="8"/>
  <c r="L67" i="1" l="1"/>
  <c r="E67" i="11" s="1"/>
  <c r="BM66" i="1"/>
  <c r="M68" i="1"/>
  <c r="F68" i="11" s="1"/>
  <c r="AU68" i="1"/>
  <c r="AT68" i="1"/>
  <c r="AT69" i="8"/>
  <c r="AW69" i="1" s="1"/>
  <c r="AS69" i="8"/>
  <c r="BM67" i="1" l="1"/>
  <c r="L68" i="1"/>
  <c r="E68" i="11" s="1"/>
  <c r="M69" i="1"/>
  <c r="F69" i="11" s="1"/>
  <c r="AU69" i="1"/>
  <c r="AT69" i="1"/>
  <c r="AT70" i="8"/>
  <c r="AW70" i="1" s="1"/>
  <c r="AS70" i="8"/>
  <c r="BM68" i="1" l="1"/>
  <c r="L69" i="1"/>
  <c r="E69" i="11" s="1"/>
  <c r="M70" i="1"/>
  <c r="F70" i="11" s="1"/>
  <c r="AU70" i="1"/>
  <c r="AT70" i="1"/>
  <c r="AT71" i="8"/>
  <c r="AW71" i="1" s="1"/>
  <c r="AS71" i="8"/>
  <c r="BM69" i="1" l="1"/>
  <c r="L70" i="1"/>
  <c r="E70" i="11" s="1"/>
  <c r="M71" i="1"/>
  <c r="F71" i="11" s="1"/>
  <c r="AU71" i="1"/>
  <c r="AT71" i="1"/>
  <c r="AT72" i="8"/>
  <c r="AW72" i="1" s="1"/>
  <c r="AS72" i="8"/>
  <c r="BM70" i="1" l="1"/>
  <c r="L71" i="1"/>
  <c r="E71" i="11" s="1"/>
  <c r="M72" i="1"/>
  <c r="F72" i="11" s="1"/>
  <c r="AU72" i="1"/>
  <c r="AT72" i="1"/>
  <c r="AS73" i="8"/>
  <c r="AT73" i="8"/>
  <c r="AW73" i="1" s="1"/>
  <c r="L72" i="1" l="1"/>
  <c r="E72" i="11" s="1"/>
  <c r="BM71" i="1"/>
  <c r="M73" i="1"/>
  <c r="F73" i="11" s="1"/>
  <c r="AT73" i="1"/>
  <c r="AU73" i="1"/>
  <c r="AS74" i="8"/>
  <c r="AT74" i="8"/>
  <c r="AW74" i="1" s="1"/>
  <c r="L73" i="1" l="1"/>
  <c r="E73" i="11" s="1"/>
  <c r="BM72" i="1"/>
  <c r="M74" i="1"/>
  <c r="F74" i="11" s="1"/>
  <c r="AT74" i="1"/>
  <c r="AU74" i="1"/>
  <c r="AT75" i="8"/>
  <c r="AW75" i="1" s="1"/>
  <c r="AS75" i="8"/>
  <c r="L74" i="1" l="1"/>
  <c r="E74" i="11" s="1"/>
  <c r="BM73" i="1"/>
  <c r="M75" i="1"/>
  <c r="F75" i="11" s="1"/>
  <c r="AU75" i="1"/>
  <c r="AT75" i="1"/>
  <c r="AT76" i="8"/>
  <c r="AW76" i="1" s="1"/>
  <c r="AS76" i="8"/>
  <c r="I69" i="4" s="1"/>
  <c r="L75" i="1" l="1"/>
  <c r="E75" i="11" s="1"/>
  <c r="BM74" i="1"/>
  <c r="M76" i="1"/>
  <c r="F76" i="11" s="1"/>
  <c r="AU76" i="1"/>
  <c r="AT76" i="1"/>
  <c r="AT77" i="8"/>
  <c r="AW77" i="1" s="1"/>
  <c r="AS77" i="8"/>
  <c r="L76" i="1" l="1"/>
  <c r="E76" i="11" s="1"/>
  <c r="BM75" i="1"/>
  <c r="M77" i="1"/>
  <c r="F77" i="11" s="1"/>
  <c r="AU77" i="1"/>
  <c r="AT77" i="1"/>
  <c r="AT78" i="8"/>
  <c r="AW78" i="1" s="1"/>
  <c r="AS78" i="8"/>
  <c r="L77" i="1" l="1"/>
  <c r="E77" i="11" s="1"/>
  <c r="BM76" i="1"/>
  <c r="M78" i="1"/>
  <c r="F78" i="11" s="1"/>
  <c r="AU78" i="1"/>
  <c r="AT78" i="1"/>
  <c r="AT79" i="8"/>
  <c r="AW79" i="1" s="1"/>
  <c r="AS79" i="8"/>
  <c r="L78" i="1" l="1"/>
  <c r="E78" i="11" s="1"/>
  <c r="BM77" i="1"/>
  <c r="M79" i="1"/>
  <c r="F79" i="11" s="1"/>
  <c r="AU79" i="1"/>
  <c r="AT79" i="1"/>
  <c r="AT80" i="8"/>
  <c r="AW80" i="1" s="1"/>
  <c r="AS80" i="8"/>
  <c r="BM78" i="1" l="1"/>
  <c r="L79" i="1"/>
  <c r="E79" i="11" s="1"/>
  <c r="M80" i="1"/>
  <c r="F80" i="11" s="1"/>
  <c r="AU80" i="1"/>
  <c r="AT80" i="1"/>
  <c r="AT81" i="8"/>
  <c r="AW81" i="1" s="1"/>
  <c r="AS81" i="8"/>
  <c r="L80" i="1" l="1"/>
  <c r="E80" i="11" s="1"/>
  <c r="BM79" i="1"/>
  <c r="M81" i="1"/>
  <c r="F81" i="11" s="1"/>
  <c r="AU81" i="1"/>
  <c r="AT81" i="1"/>
  <c r="AT82" i="8"/>
  <c r="AW82" i="1" s="1"/>
  <c r="AS82" i="8"/>
  <c r="L81" i="1" l="1"/>
  <c r="E81" i="11" s="1"/>
  <c r="BM80" i="1"/>
  <c r="M82" i="1"/>
  <c r="F82" i="11" s="1"/>
  <c r="AU82" i="1"/>
  <c r="AT82" i="1"/>
  <c r="AS83" i="8"/>
  <c r="AT83" i="8"/>
  <c r="AW83" i="1" s="1"/>
  <c r="BM81" i="1" l="1"/>
  <c r="L82" i="1"/>
  <c r="E82" i="11" s="1"/>
  <c r="M83" i="1"/>
  <c r="F83" i="11" s="1"/>
  <c r="AT83" i="1"/>
  <c r="AU83" i="1"/>
  <c r="AS84" i="8"/>
  <c r="AT84" i="8"/>
  <c r="AW84" i="1" s="1"/>
  <c r="BM82" i="1" l="1"/>
  <c r="L83" i="1"/>
  <c r="E83" i="11" s="1"/>
  <c r="M84" i="1"/>
  <c r="F84" i="11" s="1"/>
  <c r="AU84" i="1"/>
  <c r="AT84" i="1"/>
  <c r="AS85" i="8"/>
  <c r="AT85" i="8"/>
  <c r="AW85" i="1" s="1"/>
  <c r="L84" i="1" l="1"/>
  <c r="E84" i="11" s="1"/>
  <c r="BM83" i="1"/>
  <c r="M85" i="1"/>
  <c r="F85" i="11" s="1"/>
  <c r="AU85" i="1"/>
  <c r="AT85" i="1"/>
  <c r="AT86" i="8"/>
  <c r="AW86" i="1" s="1"/>
  <c r="AS86" i="8"/>
  <c r="L85" i="1" l="1"/>
  <c r="E85" i="11" s="1"/>
  <c r="BM84" i="1"/>
  <c r="M86" i="1"/>
  <c r="F86" i="11" s="1"/>
  <c r="AU86" i="1"/>
  <c r="AT86" i="1"/>
  <c r="AT87" i="8"/>
  <c r="AW87" i="1" s="1"/>
  <c r="AS87" i="8"/>
  <c r="P1269" i="14"/>
  <c r="P1270" i="14" s="1"/>
  <c r="L86" i="1" l="1"/>
  <c r="E86" i="11" s="1"/>
  <c r="BM85" i="1"/>
  <c r="M87" i="1"/>
  <c r="F87" i="11" s="1"/>
  <c r="AU87" i="1"/>
  <c r="AT87" i="1"/>
  <c r="O1269" i="14"/>
  <c r="O1270" i="14" s="1"/>
  <c r="AS88" i="8"/>
  <c r="AT88" i="8"/>
  <c r="AW88" i="1" s="1"/>
  <c r="AL1269" i="14"/>
  <c r="AL1270" i="14" s="1"/>
  <c r="L87" i="1" l="1"/>
  <c r="E87" i="11" s="1"/>
  <c r="BM86" i="1"/>
  <c r="M88" i="1"/>
  <c r="F88" i="11" s="1"/>
  <c r="AU88" i="1"/>
  <c r="AT88" i="1"/>
  <c r="AJ1269" i="14"/>
  <c r="AJ1270" i="14" s="1"/>
  <c r="AT89" i="8"/>
  <c r="AW89" i="1" s="1"/>
  <c r="AS89" i="8"/>
  <c r="L88" i="1" l="1"/>
  <c r="E88" i="11" s="1"/>
  <c r="BM87" i="1"/>
  <c r="M89" i="1"/>
  <c r="F89" i="11" s="1"/>
  <c r="AU89" i="1"/>
  <c r="AT89" i="1"/>
  <c r="AS90" i="8"/>
  <c r="AT90" i="8"/>
  <c r="AW90" i="1" s="1"/>
  <c r="BM88" i="1" l="1"/>
  <c r="L89" i="1"/>
  <c r="E89" i="11" s="1"/>
  <c r="M90" i="1"/>
  <c r="F90" i="11" s="1"/>
  <c r="AU90" i="1"/>
  <c r="AT90" i="1"/>
  <c r="AT91" i="8"/>
  <c r="AW91" i="1" s="1"/>
  <c r="AS91" i="8"/>
  <c r="BM89" i="1" l="1"/>
  <c r="L90" i="1"/>
  <c r="E90" i="11" s="1"/>
  <c r="M91" i="1"/>
  <c r="F91" i="11" s="1"/>
  <c r="AT91" i="1"/>
  <c r="AU91" i="1"/>
  <c r="AT92" i="8"/>
  <c r="AW92" i="1" s="1"/>
  <c r="AS92" i="8"/>
  <c r="L91" i="1" l="1"/>
  <c r="E91" i="11" s="1"/>
  <c r="BM90" i="1"/>
  <c r="M92" i="1"/>
  <c r="F92" i="11" s="1"/>
  <c r="AU92" i="1"/>
  <c r="AT92" i="1"/>
  <c r="AT93" i="8"/>
  <c r="AW93" i="1" s="1"/>
  <c r="AS93" i="8"/>
  <c r="BM91" i="1" l="1"/>
  <c r="L92" i="1"/>
  <c r="E92" i="11" s="1"/>
  <c r="M93" i="1"/>
  <c r="F93" i="11" s="1"/>
  <c r="AU93" i="1"/>
  <c r="AT93" i="1"/>
  <c r="AT94" i="8"/>
  <c r="AW94" i="1" s="1"/>
  <c r="AS94" i="8"/>
  <c r="L93" i="1" l="1"/>
  <c r="E93" i="11" s="1"/>
  <c r="BM92" i="1"/>
  <c r="M94" i="1"/>
  <c r="F94" i="11" s="1"/>
  <c r="AU94" i="1"/>
  <c r="AT94" i="1"/>
  <c r="AT95" i="8"/>
  <c r="AW95" i="1" s="1"/>
  <c r="AS95" i="8"/>
  <c r="L94" i="1" l="1"/>
  <c r="E94" i="11" s="1"/>
  <c r="BM93" i="1"/>
  <c r="M95" i="1"/>
  <c r="F95" i="11" s="1"/>
  <c r="AU95" i="1"/>
  <c r="AT95" i="1"/>
  <c r="AT96" i="8"/>
  <c r="AW96" i="1" s="1"/>
  <c r="AS96" i="8"/>
  <c r="BM94" i="1" l="1"/>
  <c r="L95" i="1"/>
  <c r="E95" i="11" s="1"/>
  <c r="M96" i="1"/>
  <c r="F96" i="11" s="1"/>
  <c r="AU96" i="1"/>
  <c r="AT96" i="1"/>
  <c r="AT97" i="8"/>
  <c r="AW97" i="1" s="1"/>
  <c r="AS97" i="8"/>
  <c r="L96" i="1" l="1"/>
  <c r="E96" i="11" s="1"/>
  <c r="BM95" i="1"/>
  <c r="M97" i="1"/>
  <c r="F97" i="11" s="1"/>
  <c r="AU97" i="1"/>
  <c r="AT97" i="1"/>
  <c r="AS98" i="8"/>
  <c r="AT98" i="8"/>
  <c r="AW98" i="1" s="1"/>
  <c r="L97" i="1" l="1"/>
  <c r="E97" i="11" s="1"/>
  <c r="BM96" i="1"/>
  <c r="M98" i="1"/>
  <c r="F98" i="11" s="1"/>
  <c r="AU98" i="1"/>
  <c r="AT98" i="1"/>
  <c r="AS99" i="8"/>
  <c r="AT99" i="8"/>
  <c r="AW99" i="1" s="1"/>
  <c r="BM97" i="1" l="1"/>
  <c r="L98" i="1"/>
  <c r="E98" i="11" s="1"/>
  <c r="M99" i="1"/>
  <c r="F99" i="11" s="1"/>
  <c r="AU99" i="1"/>
  <c r="AT99" i="1"/>
  <c r="AT100" i="8"/>
  <c r="AW100" i="1" s="1"/>
  <c r="AS100" i="8"/>
  <c r="L99" i="1" l="1"/>
  <c r="E99" i="11" s="1"/>
  <c r="BM98" i="1"/>
  <c r="M100" i="1"/>
  <c r="F100" i="11" s="1"/>
  <c r="AU100" i="1"/>
  <c r="AT100" i="1"/>
  <c r="AS101" i="8"/>
  <c r="AT101" i="8"/>
  <c r="AW101" i="1" s="1"/>
  <c r="BM99" i="1" l="1"/>
  <c r="L100" i="1"/>
  <c r="E100" i="11" s="1"/>
  <c r="M101" i="1"/>
  <c r="F101" i="11" s="1"/>
  <c r="AT101" i="1"/>
  <c r="AU101" i="1"/>
  <c r="AT102" i="8"/>
  <c r="AW102" i="1" s="1"/>
  <c r="AS102" i="8"/>
  <c r="L101" i="1" l="1"/>
  <c r="E101" i="11" s="1"/>
  <c r="BM100" i="1"/>
  <c r="M102" i="1"/>
  <c r="F102" i="11" s="1"/>
  <c r="AU102" i="1"/>
  <c r="AT102" i="1"/>
  <c r="AS103" i="8"/>
  <c r="AT103" i="8"/>
  <c r="AW103" i="1" s="1"/>
  <c r="L102" i="1" l="1"/>
  <c r="E102" i="11" s="1"/>
  <c r="BM101" i="1"/>
  <c r="M103" i="1"/>
  <c r="F103" i="11" s="1"/>
  <c r="AU103" i="1"/>
  <c r="AT103" i="1"/>
  <c r="AS104" i="8"/>
  <c r="AT104" i="8"/>
  <c r="AW104" i="1" s="1"/>
  <c r="L103" i="1" l="1"/>
  <c r="E103" i="11" s="1"/>
  <c r="BM102" i="1"/>
  <c r="M104" i="1"/>
  <c r="F104" i="11" s="1"/>
  <c r="AU104" i="1"/>
  <c r="AT104" i="1"/>
  <c r="AT105" i="8"/>
  <c r="AW105" i="1" s="1"/>
  <c r="AS105" i="8"/>
  <c r="L104" i="1" l="1"/>
  <c r="E104" i="11" s="1"/>
  <c r="BM103" i="1"/>
  <c r="M105" i="1"/>
  <c r="F105" i="11" s="1"/>
  <c r="AU105" i="1"/>
  <c r="AT105" i="1"/>
  <c r="AT106" i="8"/>
  <c r="AW106" i="1" s="1"/>
  <c r="AS106" i="8"/>
  <c r="L105" i="1" l="1"/>
  <c r="E105" i="11" s="1"/>
  <c r="BM104" i="1"/>
  <c r="M106" i="1"/>
  <c r="F106" i="11" s="1"/>
  <c r="AU106" i="1"/>
  <c r="AT106" i="1"/>
  <c r="AT107" i="8"/>
  <c r="AW107" i="1" s="1"/>
  <c r="AS107" i="8"/>
  <c r="L106" i="1" l="1"/>
  <c r="E106" i="11" s="1"/>
  <c r="BM105" i="1"/>
  <c r="M107" i="1"/>
  <c r="F107" i="11" s="1"/>
  <c r="AU107" i="1"/>
  <c r="AT107" i="1"/>
  <c r="AS108" i="8"/>
  <c r="AT108" i="8"/>
  <c r="AW108" i="1" s="1"/>
  <c r="L107" i="1" l="1"/>
  <c r="E107" i="11" s="1"/>
  <c r="BM106" i="1"/>
  <c r="M108" i="1"/>
  <c r="F108" i="11" s="1"/>
  <c r="AT108" i="1"/>
  <c r="AU108" i="1"/>
  <c r="AT109" i="8"/>
  <c r="AW109" i="1" s="1"/>
  <c r="AS109" i="8"/>
  <c r="BM107" i="1" l="1"/>
  <c r="L108" i="1"/>
  <c r="E108" i="11" s="1"/>
  <c r="M109" i="1"/>
  <c r="F109" i="11" s="1"/>
  <c r="AT109" i="1"/>
  <c r="AU109" i="1"/>
  <c r="AS110" i="8"/>
  <c r="AT110" i="8"/>
  <c r="AW110" i="1" s="1"/>
  <c r="L109" i="1" l="1"/>
  <c r="E109" i="11" s="1"/>
  <c r="BM108" i="1"/>
  <c r="M110" i="1"/>
  <c r="F110" i="11" s="1"/>
  <c r="AU110" i="1"/>
  <c r="AT110" i="1"/>
  <c r="AT111" i="8"/>
  <c r="AW111" i="1" s="1"/>
  <c r="AS111" i="8"/>
  <c r="L110" i="1" l="1"/>
  <c r="E110" i="11" s="1"/>
  <c r="BM109" i="1"/>
  <c r="M111" i="1"/>
  <c r="F111" i="11" s="1"/>
  <c r="AU111" i="1"/>
  <c r="AT111" i="1"/>
  <c r="AS112" i="8"/>
  <c r="AT112" i="8"/>
  <c r="AW112" i="1" s="1"/>
  <c r="L111" i="1" l="1"/>
  <c r="E111" i="11" s="1"/>
  <c r="BM110" i="1"/>
  <c r="M112" i="1"/>
  <c r="F112" i="11" s="1"/>
  <c r="AU112" i="1"/>
  <c r="AT112" i="1"/>
  <c r="AS113" i="8"/>
  <c r="AT113" i="8"/>
  <c r="AW113" i="1" s="1"/>
  <c r="L112" i="1" l="1"/>
  <c r="E112" i="11" s="1"/>
  <c r="BM111" i="1"/>
  <c r="M113" i="1"/>
  <c r="F113" i="11" s="1"/>
  <c r="AU113" i="1"/>
  <c r="AT113" i="1"/>
  <c r="AT114" i="8"/>
  <c r="AW114" i="1" s="1"/>
  <c r="AS114" i="8"/>
  <c r="L113" i="1" l="1"/>
  <c r="E113" i="11" s="1"/>
  <c r="BM112" i="1"/>
  <c r="M114" i="1"/>
  <c r="F114" i="11" s="1"/>
  <c r="AU114" i="1"/>
  <c r="AT114" i="1"/>
  <c r="AT115" i="8"/>
  <c r="AW115" i="1" s="1"/>
  <c r="AS115" i="8"/>
  <c r="L114" i="1" l="1"/>
  <c r="E114" i="11" s="1"/>
  <c r="BM113" i="1"/>
  <c r="M115" i="1"/>
  <c r="F115" i="11" s="1"/>
  <c r="AU115" i="1"/>
  <c r="AT115" i="1"/>
  <c r="AT116" i="8"/>
  <c r="AW116" i="1" s="1"/>
  <c r="AS116" i="8"/>
  <c r="BM114" i="1" l="1"/>
  <c r="L115" i="1"/>
  <c r="E115" i="11" s="1"/>
  <c r="M116" i="1"/>
  <c r="F116" i="11" s="1"/>
  <c r="AU116" i="1"/>
  <c r="AT116" i="1"/>
  <c r="AS117" i="8"/>
  <c r="AT117" i="8"/>
  <c r="AW117" i="1" s="1"/>
  <c r="L116" i="1" l="1"/>
  <c r="E116" i="11" s="1"/>
  <c r="BM115" i="1"/>
  <c r="M117" i="1"/>
  <c r="F117" i="11" s="1"/>
  <c r="AU117" i="1"/>
  <c r="AT117" i="1"/>
  <c r="AT118" i="8"/>
  <c r="AW118" i="1" s="1"/>
  <c r="AS118" i="8"/>
  <c r="L117" i="1" l="1"/>
  <c r="E117" i="11" s="1"/>
  <c r="BM116" i="1"/>
  <c r="M118" i="1"/>
  <c r="F118" i="11" s="1"/>
  <c r="AU118" i="1"/>
  <c r="AT118" i="1"/>
  <c r="AS119" i="8"/>
  <c r="AT119" i="8"/>
  <c r="AW119" i="1" s="1"/>
  <c r="BM117" i="1" l="1"/>
  <c r="L118" i="1"/>
  <c r="E118" i="11" s="1"/>
  <c r="M119" i="1"/>
  <c r="F119" i="11" s="1"/>
  <c r="AU119" i="1"/>
  <c r="AT119" i="1"/>
  <c r="AS120" i="8"/>
  <c r="AT120" i="8"/>
  <c r="AW120" i="1" s="1"/>
  <c r="L119" i="1" l="1"/>
  <c r="E119" i="11" s="1"/>
  <c r="BM118" i="1"/>
  <c r="M120" i="1"/>
  <c r="F120" i="11" s="1"/>
  <c r="AT120" i="1"/>
  <c r="AU120" i="1"/>
  <c r="AT121" i="8"/>
  <c r="AW121" i="1" s="1"/>
  <c r="AS121" i="8"/>
  <c r="L120" i="1" l="1"/>
  <c r="E120" i="11" s="1"/>
  <c r="BM119" i="1"/>
  <c r="M121" i="1"/>
  <c r="F121" i="11" s="1"/>
  <c r="AU121" i="1"/>
  <c r="AT121" i="1"/>
  <c r="AT122" i="8"/>
  <c r="AW122" i="1" s="1"/>
  <c r="AS122" i="8"/>
  <c r="L121" i="1" l="1"/>
  <c r="E121" i="11" s="1"/>
  <c r="BM120" i="1"/>
  <c r="M122" i="1"/>
  <c r="F122" i="11" s="1"/>
  <c r="AU122" i="1"/>
  <c r="AT122" i="1"/>
  <c r="AT123" i="8"/>
  <c r="AW123" i="1" s="1"/>
  <c r="AS123" i="8"/>
  <c r="L122" i="1" l="1"/>
  <c r="E122" i="11" s="1"/>
  <c r="BM121" i="1"/>
  <c r="M123" i="1"/>
  <c r="F123" i="11" s="1"/>
  <c r="AU123" i="1"/>
  <c r="AT123" i="1"/>
  <c r="AS124" i="8"/>
  <c r="AT124" i="8"/>
  <c r="AW124" i="1" s="1"/>
  <c r="L123" i="1" l="1"/>
  <c r="E123" i="11" s="1"/>
  <c r="BM122" i="1"/>
  <c r="M124" i="1"/>
  <c r="F124" i="11" s="1"/>
  <c r="AT124" i="1"/>
  <c r="AU124" i="1"/>
  <c r="AT125" i="8"/>
  <c r="AW125" i="1" s="1"/>
  <c r="AS125" i="8"/>
  <c r="L124" i="1" l="1"/>
  <c r="E124" i="11" s="1"/>
  <c r="BM123" i="1"/>
  <c r="M125" i="1"/>
  <c r="F125" i="11" s="1"/>
  <c r="AU125" i="1"/>
  <c r="AT125" i="1"/>
  <c r="AS126" i="8"/>
  <c r="AT126" i="8"/>
  <c r="AW126" i="1" s="1"/>
  <c r="BM124" i="1" l="1"/>
  <c r="L125" i="1"/>
  <c r="E125" i="11" s="1"/>
  <c r="M126" i="1"/>
  <c r="F126" i="11" s="1"/>
  <c r="AT126" i="1"/>
  <c r="AU126" i="1"/>
  <c r="AS127" i="8"/>
  <c r="AT127" i="8"/>
  <c r="AW127" i="1" s="1"/>
  <c r="L126" i="1" l="1"/>
  <c r="E126" i="11" s="1"/>
  <c r="BM125" i="1"/>
  <c r="M127" i="1"/>
  <c r="F127" i="11" s="1"/>
  <c r="AU127" i="1"/>
  <c r="AT127" i="1"/>
  <c r="AT128" i="8"/>
  <c r="AW128" i="1" s="1"/>
  <c r="AS128" i="8"/>
  <c r="BM126" i="1" l="1"/>
  <c r="L127" i="1"/>
  <c r="E127" i="11" s="1"/>
  <c r="M128" i="1"/>
  <c r="F128" i="11" s="1"/>
  <c r="AU128" i="1"/>
  <c r="AT128" i="1"/>
  <c r="AT129" i="8"/>
  <c r="AW129" i="1" s="1"/>
  <c r="AS129" i="8"/>
  <c r="BM127" i="1" l="1"/>
  <c r="L128" i="1"/>
  <c r="E128" i="11" s="1"/>
  <c r="M129" i="1"/>
  <c r="F129" i="11" s="1"/>
  <c r="AU129" i="1"/>
  <c r="AT129" i="1"/>
  <c r="AS130" i="8"/>
  <c r="AT130" i="8"/>
  <c r="AW130" i="1" s="1"/>
  <c r="L129" i="1" l="1"/>
  <c r="E129" i="11" s="1"/>
  <c r="BM128" i="1"/>
  <c r="M130" i="1"/>
  <c r="F130" i="11" s="1"/>
  <c r="AU130" i="1"/>
  <c r="AT130" i="1"/>
  <c r="AT131" i="8"/>
  <c r="AW131" i="1" s="1"/>
  <c r="AS131" i="8"/>
  <c r="BM129" i="1" l="1"/>
  <c r="L130" i="1"/>
  <c r="E130" i="11" s="1"/>
  <c r="M131" i="1"/>
  <c r="F131" i="11" s="1"/>
  <c r="AU131" i="1"/>
  <c r="AT131" i="1"/>
  <c r="AT132" i="8"/>
  <c r="AW132" i="1" s="1"/>
  <c r="AS132" i="8"/>
  <c r="L131" i="1" l="1"/>
  <c r="E131" i="11" s="1"/>
  <c r="BM130" i="1"/>
  <c r="M132" i="1"/>
  <c r="F132" i="11" s="1"/>
  <c r="AT132" i="1"/>
  <c r="AU132" i="1"/>
  <c r="AT133" i="8"/>
  <c r="AW133" i="1" s="1"/>
  <c r="AS133" i="8"/>
  <c r="L132" i="1" l="1"/>
  <c r="E132" i="11" s="1"/>
  <c r="BM131" i="1"/>
  <c r="M133" i="1"/>
  <c r="F133" i="11" s="1"/>
  <c r="AU133" i="1"/>
  <c r="AT133" i="1"/>
  <c r="AT134" i="8"/>
  <c r="AW134" i="1" s="1"/>
  <c r="AS134" i="8"/>
  <c r="BM132" i="1" l="1"/>
  <c r="L133" i="1"/>
  <c r="E133" i="11" s="1"/>
  <c r="M134" i="1"/>
  <c r="F134" i="11" s="1"/>
  <c r="AU134" i="1"/>
  <c r="AT134" i="1"/>
  <c r="AB1269" i="14"/>
  <c r="AB1270" i="14" s="1"/>
  <c r="AS135" i="8"/>
  <c r="AT135" i="8"/>
  <c r="AW135" i="1" s="1"/>
  <c r="L134" i="1" l="1"/>
  <c r="E134" i="11" s="1"/>
  <c r="BM133" i="1"/>
  <c r="M135" i="1"/>
  <c r="F135" i="11" s="1"/>
  <c r="AU135" i="1"/>
  <c r="AT135" i="1"/>
  <c r="AT136" i="8"/>
  <c r="AW136" i="1" s="1"/>
  <c r="AS136" i="8"/>
  <c r="L135" i="1" l="1"/>
  <c r="E135" i="11" s="1"/>
  <c r="BM134" i="1"/>
  <c r="M136" i="1"/>
  <c r="F136" i="11" s="1"/>
  <c r="AU136" i="1"/>
  <c r="AT136" i="1"/>
  <c r="AB110" i="2"/>
  <c r="AC110" i="2"/>
  <c r="AB120" i="2"/>
  <c r="AC120" i="2"/>
  <c r="AB116" i="2"/>
  <c r="AC116" i="2"/>
  <c r="AB86" i="2"/>
  <c r="AC86" i="2"/>
  <c r="AB105" i="2"/>
  <c r="AC105" i="2"/>
  <c r="AB84" i="2"/>
  <c r="AC84" i="2"/>
  <c r="AB96" i="2"/>
  <c r="AC96" i="2"/>
  <c r="AB69" i="2"/>
  <c r="AC69" i="2"/>
  <c r="AB72" i="2"/>
  <c r="AC72" i="2"/>
  <c r="AB62" i="2"/>
  <c r="AC62" i="2"/>
  <c r="AB46" i="2"/>
  <c r="AC46" i="2"/>
  <c r="AB35" i="2"/>
  <c r="AC35" i="2"/>
  <c r="AB37" i="2"/>
  <c r="AC37" i="2"/>
  <c r="AB32" i="2"/>
  <c r="AC32" i="2"/>
  <c r="AB21" i="2"/>
  <c r="AC21" i="2"/>
  <c r="AB8" i="2"/>
  <c r="AC8" i="2"/>
  <c r="R12" i="8"/>
  <c r="R13" i="8"/>
  <c r="R14" i="8"/>
  <c r="R19" i="8"/>
  <c r="R4" i="8"/>
  <c r="AB135" i="2"/>
  <c r="AC135" i="2"/>
  <c r="AB123" i="2"/>
  <c r="AC123" i="2"/>
  <c r="AB113" i="2"/>
  <c r="AC113" i="2"/>
  <c r="AB102" i="2"/>
  <c r="AC102" i="2"/>
  <c r="AB108" i="2"/>
  <c r="AC108" i="2"/>
  <c r="AB112" i="2"/>
  <c r="AC112" i="2"/>
  <c r="AB83" i="2"/>
  <c r="AC83" i="2"/>
  <c r="AB88" i="2"/>
  <c r="AC88" i="2"/>
  <c r="AB65" i="2"/>
  <c r="AC65" i="2"/>
  <c r="AB58" i="2"/>
  <c r="AC58" i="2"/>
  <c r="AB53" i="2"/>
  <c r="AC53" i="2"/>
  <c r="AB44" i="2"/>
  <c r="AC44" i="2"/>
  <c r="AB42" i="2"/>
  <c r="AC42" i="2"/>
  <c r="AB28" i="2"/>
  <c r="AC28" i="2"/>
  <c r="AB31" i="2"/>
  <c r="AC31" i="2"/>
  <c r="AB14" i="2"/>
  <c r="AC14" i="2"/>
  <c r="AB7" i="2"/>
  <c r="AC7" i="2"/>
  <c r="R18" i="8"/>
  <c r="R10" i="8"/>
  <c r="AB136" i="2"/>
  <c r="AC136" i="2"/>
  <c r="AB130" i="2"/>
  <c r="AC130" i="2"/>
  <c r="AB127" i="2"/>
  <c r="AC127" i="2"/>
  <c r="AB94" i="2"/>
  <c r="AC94" i="2"/>
  <c r="AB100" i="2"/>
  <c r="AC100" i="2"/>
  <c r="AB104" i="2"/>
  <c r="AC104" i="2"/>
  <c r="AB90" i="2"/>
  <c r="AC90" i="2"/>
  <c r="AB80" i="2"/>
  <c r="AC80" i="2"/>
  <c r="AB68" i="2"/>
  <c r="AC68" i="2"/>
  <c r="AB57" i="2"/>
  <c r="AC57" i="2"/>
  <c r="AB61" i="2"/>
  <c r="AC61" i="2"/>
  <c r="AB51" i="2"/>
  <c r="AC51" i="2"/>
  <c r="AB34" i="2"/>
  <c r="AC34" i="2"/>
  <c r="AB27" i="2"/>
  <c r="AC27" i="2"/>
  <c r="AB30" i="2"/>
  <c r="AC30" i="2"/>
  <c r="AB13" i="2"/>
  <c r="AC13" i="2"/>
  <c r="AB6" i="2"/>
  <c r="AC6" i="2"/>
  <c r="R17" i="8"/>
  <c r="R11" i="8"/>
  <c r="R9" i="8"/>
  <c r="AB131" i="2"/>
  <c r="AC131" i="2"/>
  <c r="AB122" i="2"/>
  <c r="AC122" i="2"/>
  <c r="AB119" i="2"/>
  <c r="AC119" i="2"/>
  <c r="AB109" i="2"/>
  <c r="AC109" i="2"/>
  <c r="AB115" i="2"/>
  <c r="AC115" i="2"/>
  <c r="AB97" i="2"/>
  <c r="AC97" i="2"/>
  <c r="AB82" i="2"/>
  <c r="AC82" i="2"/>
  <c r="AB78" i="2"/>
  <c r="AC78" i="2"/>
  <c r="AB75" i="2"/>
  <c r="AC75" i="2"/>
  <c r="AB52" i="2"/>
  <c r="AC52" i="2"/>
  <c r="AB60" i="2"/>
  <c r="AC60" i="2"/>
  <c r="AB50" i="2"/>
  <c r="AC50" i="2"/>
  <c r="AB41" i="2"/>
  <c r="AC41" i="2"/>
  <c r="AB24" i="2"/>
  <c r="AC24" i="2"/>
  <c r="AB29" i="2"/>
  <c r="AC29" i="2"/>
  <c r="AB20" i="2"/>
  <c r="AC20" i="2"/>
  <c r="AB5" i="2"/>
  <c r="AC5" i="2"/>
  <c r="R15" i="8"/>
  <c r="R8" i="8"/>
  <c r="AB133" i="2"/>
  <c r="AC133" i="2"/>
  <c r="AB129" i="2"/>
  <c r="AC129" i="2"/>
  <c r="AB117" i="2"/>
  <c r="AC117" i="2"/>
  <c r="AB101" i="2"/>
  <c r="AC101" i="2"/>
  <c r="AB107" i="2"/>
  <c r="AC107" i="2"/>
  <c r="AB103" i="2"/>
  <c r="AC103" i="2"/>
  <c r="AB79" i="2"/>
  <c r="AC79" i="2"/>
  <c r="AB76" i="2"/>
  <c r="AC76" i="2"/>
  <c r="AB67" i="2"/>
  <c r="AC67" i="2"/>
  <c r="AB64" i="2"/>
  <c r="AC64" i="2"/>
  <c r="AB54" i="2"/>
  <c r="AC54" i="2"/>
  <c r="AB49" i="2"/>
  <c r="AC49" i="2"/>
  <c r="AB40" i="2"/>
  <c r="AC40" i="2"/>
  <c r="AB26" i="2"/>
  <c r="AC26" i="2"/>
  <c r="AB23" i="2"/>
  <c r="AC23" i="2"/>
  <c r="AB19" i="2"/>
  <c r="AC19" i="2"/>
  <c r="AB12" i="2"/>
  <c r="AC12" i="2"/>
  <c r="R7" i="8"/>
  <c r="AB125" i="2"/>
  <c r="AC125" i="2"/>
  <c r="AB121" i="2"/>
  <c r="AC121" i="2"/>
  <c r="AB134" i="2"/>
  <c r="AC134" i="2"/>
  <c r="AB99" i="2"/>
  <c r="AC99" i="2"/>
  <c r="AB114" i="2"/>
  <c r="AC114" i="2"/>
  <c r="AB93" i="2"/>
  <c r="AC93" i="2"/>
  <c r="AB89" i="2"/>
  <c r="AC89" i="2"/>
  <c r="AB87" i="2"/>
  <c r="AC87" i="2"/>
  <c r="AB74" i="2"/>
  <c r="AC74" i="2"/>
  <c r="AB56" i="2"/>
  <c r="AC56" i="2"/>
  <c r="AB59" i="2"/>
  <c r="AC59" i="2"/>
  <c r="AB43" i="2"/>
  <c r="AC43" i="2"/>
  <c r="AB39" i="2"/>
  <c r="AC39" i="2"/>
  <c r="AB18" i="2"/>
  <c r="AC18" i="2"/>
  <c r="AB11" i="2"/>
  <c r="AC11" i="2"/>
  <c r="AB16" i="2"/>
  <c r="AC16" i="2"/>
  <c r="AV7" i="1"/>
  <c r="AV8" i="1"/>
  <c r="AV9" i="1"/>
  <c r="AV10" i="1"/>
  <c r="AV11" i="1"/>
  <c r="AV4" i="1"/>
  <c r="AV12" i="1"/>
  <c r="AV5" i="1"/>
  <c r="AV13" i="1"/>
  <c r="AV22" i="1"/>
  <c r="AV23" i="1"/>
  <c r="AV24" i="1"/>
  <c r="AV15" i="1"/>
  <c r="AV16" i="1"/>
  <c r="AV17" i="1"/>
  <c r="AV18" i="1"/>
  <c r="AV19" i="1"/>
  <c r="AV25" i="1"/>
  <c r="AV26" i="1"/>
  <c r="AV27" i="1"/>
  <c r="AV28" i="1"/>
  <c r="AV6" i="1"/>
  <c r="AV29" i="1"/>
  <c r="AV20" i="1"/>
  <c r="AV21" i="1"/>
  <c r="AV30" i="1"/>
  <c r="AV14" i="1"/>
  <c r="AV31" i="1"/>
  <c r="AV32" i="1"/>
  <c r="AV40" i="1"/>
  <c r="AV41" i="1"/>
  <c r="AV33" i="1"/>
  <c r="AV34" i="1"/>
  <c r="AV35" i="1"/>
  <c r="AV43" i="1"/>
  <c r="AV36" i="1"/>
  <c r="AV37" i="1"/>
  <c r="AV38" i="1"/>
  <c r="AV39" i="1"/>
  <c r="AV44" i="1"/>
  <c r="AV51" i="1"/>
  <c r="AV52" i="1"/>
  <c r="AV45" i="1"/>
  <c r="AV46" i="1"/>
  <c r="AV54" i="1"/>
  <c r="AV47" i="1"/>
  <c r="AV48" i="1"/>
  <c r="AV42" i="1"/>
  <c r="AV49" i="1"/>
  <c r="AV50" i="1"/>
  <c r="AV55" i="1"/>
  <c r="AV63" i="1"/>
  <c r="AV56" i="1"/>
  <c r="AV64" i="1"/>
  <c r="AV57" i="1"/>
  <c r="AV65" i="1"/>
  <c r="AV58" i="1"/>
  <c r="AV53" i="1"/>
  <c r="AV59" i="1"/>
  <c r="AV60" i="1"/>
  <c r="AV61" i="1"/>
  <c r="AV67" i="1"/>
  <c r="AV75" i="1"/>
  <c r="AV68" i="1"/>
  <c r="AV69" i="1"/>
  <c r="AV77" i="1"/>
  <c r="AV66" i="1"/>
  <c r="AV70" i="1"/>
  <c r="AV71" i="1"/>
  <c r="AV72" i="1"/>
  <c r="AV62" i="1"/>
  <c r="AV73" i="1"/>
  <c r="AV81" i="1"/>
  <c r="AV82" i="1"/>
  <c r="AV90" i="1"/>
  <c r="AV76" i="1"/>
  <c r="AV83" i="1"/>
  <c r="AV91" i="1"/>
  <c r="AV99" i="1"/>
  <c r="AV84" i="1"/>
  <c r="AV92" i="1"/>
  <c r="AV85" i="1"/>
  <c r="AV93" i="1"/>
  <c r="AV78" i="1"/>
  <c r="AV86" i="1"/>
  <c r="AV74" i="1"/>
  <c r="AV87" i="1"/>
  <c r="AV95" i="1"/>
  <c r="AV79" i="1"/>
  <c r="AV80" i="1"/>
  <c r="AV88" i="1"/>
  <c r="AV96" i="1"/>
  <c r="AV89" i="1"/>
  <c r="AV106" i="1"/>
  <c r="AV97" i="1"/>
  <c r="AV107" i="1"/>
  <c r="AV115" i="1"/>
  <c r="AV100" i="1"/>
  <c r="AV108" i="1"/>
  <c r="AV101" i="1"/>
  <c r="AV109" i="1"/>
  <c r="AV117" i="1"/>
  <c r="AV94" i="1"/>
  <c r="AV102" i="1"/>
  <c r="AV110" i="1"/>
  <c r="AV98" i="1"/>
  <c r="AV103" i="1"/>
  <c r="AV111" i="1"/>
  <c r="AV104" i="1"/>
  <c r="AV112" i="1"/>
  <c r="AV105" i="1"/>
  <c r="AV113" i="1"/>
  <c r="AV121" i="1"/>
  <c r="AV129" i="1"/>
  <c r="AV122" i="1"/>
  <c r="AV130" i="1"/>
  <c r="AV123" i="1"/>
  <c r="AV124" i="1"/>
  <c r="AV132" i="1"/>
  <c r="AV125" i="1"/>
  <c r="AV133" i="1"/>
  <c r="AV114" i="1"/>
  <c r="AV118" i="1"/>
  <c r="AV126" i="1"/>
  <c r="AV119" i="1"/>
  <c r="AV127" i="1"/>
  <c r="AV135" i="1"/>
  <c r="AV116" i="1"/>
  <c r="AV120" i="1"/>
  <c r="AV128" i="1"/>
  <c r="AV136" i="1"/>
  <c r="AV134" i="1"/>
  <c r="AV131" i="1"/>
  <c r="AB4" i="2"/>
  <c r="AC4" i="2"/>
  <c r="R20" i="8"/>
  <c r="R6" i="8"/>
  <c r="AB132" i="2"/>
  <c r="AC132" i="2"/>
  <c r="AB111" i="2"/>
  <c r="AC111" i="2"/>
  <c r="AB126" i="2"/>
  <c r="AC126" i="2"/>
  <c r="AB95" i="2"/>
  <c r="AC95" i="2"/>
  <c r="AB106" i="2"/>
  <c r="AC106" i="2"/>
  <c r="AB85" i="2"/>
  <c r="AC85" i="2"/>
  <c r="AB81" i="2"/>
  <c r="AC81" i="2"/>
  <c r="AB71" i="2"/>
  <c r="AC71" i="2"/>
  <c r="AB73" i="2"/>
  <c r="AC73" i="2"/>
  <c r="AB63" i="2"/>
  <c r="AC63" i="2"/>
  <c r="AB47" i="2"/>
  <c r="AC47" i="2"/>
  <c r="AB48" i="2"/>
  <c r="AC48" i="2"/>
  <c r="AB38" i="2"/>
  <c r="AC38" i="2"/>
  <c r="AB17" i="2"/>
  <c r="AC17" i="2"/>
  <c r="AB15" i="2"/>
  <c r="AC15" i="2"/>
  <c r="AB10" i="2"/>
  <c r="AC10" i="2"/>
  <c r="R16" i="8"/>
  <c r="R5" i="8"/>
  <c r="AB124" i="2"/>
  <c r="AC124" i="2"/>
  <c r="AB128" i="2"/>
  <c r="AC128" i="2"/>
  <c r="AB118" i="2"/>
  <c r="AC118" i="2"/>
  <c r="AB91" i="2"/>
  <c r="AC91" i="2"/>
  <c r="AB98" i="2"/>
  <c r="AC98" i="2"/>
  <c r="AB92" i="2"/>
  <c r="AC92" i="2"/>
  <c r="AB77" i="2"/>
  <c r="AC77" i="2"/>
  <c r="AB70" i="2"/>
  <c r="AC70" i="2"/>
  <c r="AB66" i="2"/>
  <c r="AC66" i="2"/>
  <c r="AB55" i="2"/>
  <c r="AC55" i="2"/>
  <c r="AB45" i="2"/>
  <c r="AC45" i="2"/>
  <c r="AB36" i="2"/>
  <c r="AC36" i="2"/>
  <c r="AB33" i="2"/>
  <c r="AC33" i="2"/>
  <c r="AB25" i="2"/>
  <c r="AC25" i="2"/>
  <c r="AB22" i="2"/>
  <c r="AC22" i="2"/>
  <c r="AB9" i="2"/>
  <c r="AC9" i="2"/>
  <c r="U4" i="2" l="1"/>
  <c r="B33" i="6"/>
  <c r="C4" i="2" s="1"/>
  <c r="H4" i="2" s="1"/>
  <c r="BM135" i="1"/>
  <c r="L136" i="1"/>
  <c r="E136" i="11" s="1"/>
  <c r="K4" i="1"/>
  <c r="AR4" i="8" s="1"/>
  <c r="F4" i="2" l="1"/>
  <c r="J4" i="11" s="1"/>
  <c r="P4" i="7" s="1"/>
  <c r="S4" i="8"/>
  <c r="V4" i="8" s="1"/>
  <c r="F4" i="1"/>
  <c r="I4" i="2"/>
  <c r="AA4" i="1" s="1"/>
  <c r="S4" i="1" s="1"/>
  <c r="H5" i="1" s="1"/>
  <c r="AK5" i="5" s="1"/>
  <c r="G4" i="2"/>
  <c r="BM136" i="1"/>
  <c r="AR4" i="1"/>
  <c r="V4" i="1" s="1"/>
  <c r="K5" i="1" s="1"/>
  <c r="AR5" i="1" s="1"/>
  <c r="V5" i="1" s="1"/>
  <c r="K6" i="1" s="1"/>
  <c r="AR6" i="1" s="1"/>
  <c r="C4" i="9"/>
  <c r="BL4" i="1"/>
  <c r="E41" i="4"/>
  <c r="E40" i="4"/>
  <c r="F4" i="9" l="1"/>
  <c r="AP4" i="1"/>
  <c r="T4" i="1" s="1"/>
  <c r="I5" i="1" s="1"/>
  <c r="AO5" i="1" s="1"/>
  <c r="T4" i="8"/>
  <c r="W4" i="8" s="1"/>
  <c r="O4" i="7"/>
  <c r="I4" i="11"/>
  <c r="AQ5" i="8"/>
  <c r="AC5" i="7"/>
  <c r="BI5" i="1"/>
  <c r="C5" i="11"/>
  <c r="V5" i="10"/>
  <c r="Z4" i="2"/>
  <c r="C4" i="8"/>
  <c r="C5" i="9"/>
  <c r="BL5" i="1"/>
  <c r="L24" i="11"/>
  <c r="AV24" i="8"/>
  <c r="L25" i="11"/>
  <c r="AV25" i="8"/>
  <c r="L27" i="11"/>
  <c r="AV27" i="8"/>
  <c r="L26" i="11"/>
  <c r="AV26" i="8"/>
  <c r="BL6" i="1"/>
  <c r="V6" i="1"/>
  <c r="K7" i="1" s="1"/>
  <c r="AR7" i="1" s="1"/>
  <c r="C6" i="9"/>
  <c r="E18" i="4"/>
  <c r="BJ5" i="1" l="1"/>
  <c r="AA5" i="8"/>
  <c r="Y4" i="2"/>
  <c r="X4" i="2" s="1"/>
  <c r="AH26" i="5"/>
  <c r="BU26" i="5"/>
  <c r="AH27" i="5"/>
  <c r="BU27" i="5"/>
  <c r="AH25" i="5"/>
  <c r="BU25" i="5"/>
  <c r="AH24" i="5"/>
  <c r="BU24" i="5"/>
  <c r="B25" i="2"/>
  <c r="B25" i="1"/>
  <c r="BG25" i="1" s="1"/>
  <c r="B27" i="2"/>
  <c r="B27" i="1"/>
  <c r="BG27" i="1" s="1"/>
  <c r="B26" i="2"/>
  <c r="B26" i="1"/>
  <c r="BG26" i="1" s="1"/>
  <c r="B24" i="2"/>
  <c r="B24" i="1"/>
  <c r="BG24" i="1" s="1"/>
  <c r="C7" i="9"/>
  <c r="V7" i="1"/>
  <c r="K8" i="1" s="1"/>
  <c r="AR8" i="1" s="1"/>
  <c r="BL7" i="1"/>
  <c r="B5" i="8" l="1"/>
  <c r="E5" i="2"/>
  <c r="L5" i="2" s="1"/>
  <c r="AB5" i="7"/>
  <c r="AJ5" i="7" s="1"/>
  <c r="AW5" i="8"/>
  <c r="H5" i="11"/>
  <c r="L28" i="11"/>
  <c r="AV28" i="8"/>
  <c r="C8" i="9"/>
  <c r="V8" i="1"/>
  <c r="K9" i="1" s="1"/>
  <c r="AR9" i="1" s="1"/>
  <c r="BL8" i="1"/>
  <c r="AH28" i="5" l="1"/>
  <c r="BU28" i="5"/>
  <c r="B28" i="2"/>
  <c r="B28" i="1"/>
  <c r="BG28" i="1" s="1"/>
  <c r="V9" i="1"/>
  <c r="K10" i="1" s="1"/>
  <c r="AR10" i="1" s="1"/>
  <c r="BL9" i="1"/>
  <c r="C9" i="9"/>
  <c r="C10" i="9" l="1"/>
  <c r="BL10" i="1"/>
  <c r="V10" i="1"/>
  <c r="K11" i="1" s="1"/>
  <c r="AR11" i="1" s="1"/>
  <c r="BL11" i="1" l="1"/>
  <c r="V11" i="1"/>
  <c r="K12" i="1" s="1"/>
  <c r="AR12" i="1" s="1"/>
  <c r="C11" i="9"/>
  <c r="V12" i="1" l="1"/>
  <c r="K13" i="1" s="1"/>
  <c r="AR13" i="1" s="1"/>
  <c r="C12" i="9"/>
  <c r="BL12" i="1"/>
  <c r="V13" i="1" l="1"/>
  <c r="K14" i="1" s="1"/>
  <c r="AR14" i="1" s="1"/>
  <c r="C13" i="9"/>
  <c r="BL13" i="1"/>
  <c r="C14" i="9" l="1"/>
  <c r="V14" i="1"/>
  <c r="K15" i="1" s="1"/>
  <c r="AR15" i="1" s="1"/>
  <c r="BL14" i="1"/>
  <c r="BL15" i="1" l="1"/>
  <c r="C15" i="9"/>
  <c r="V15" i="1"/>
  <c r="K16" i="1" s="1"/>
  <c r="AR16" i="1" s="1"/>
  <c r="V16" i="1" l="1"/>
  <c r="K17" i="1" s="1"/>
  <c r="AR17" i="1" s="1"/>
  <c r="C16" i="9"/>
  <c r="BL16" i="1"/>
  <c r="V17" i="1" l="1"/>
  <c r="K18" i="1" s="1"/>
  <c r="AR18" i="1" s="1"/>
  <c r="C17" i="9"/>
  <c r="BL17" i="1"/>
  <c r="V18" i="1" l="1"/>
  <c r="K19" i="1" s="1"/>
  <c r="AR19" i="1" s="1"/>
  <c r="BL18" i="1"/>
  <c r="C18" i="9"/>
  <c r="V19" i="1" l="1"/>
  <c r="K20" i="1" s="1"/>
  <c r="AR20" i="1" s="1"/>
  <c r="C19" i="9"/>
  <c r="BL19" i="1"/>
  <c r="V20" i="1" l="1"/>
  <c r="K21" i="1" s="1"/>
  <c r="AR21" i="1" s="1"/>
  <c r="C20" i="9"/>
  <c r="BL20" i="1"/>
  <c r="BL21" i="1" l="1"/>
  <c r="V21" i="1"/>
  <c r="K22" i="1" s="1"/>
  <c r="AR22" i="1" s="1"/>
  <c r="C21" i="9"/>
  <c r="V22" i="1" l="1"/>
  <c r="K23" i="1" s="1"/>
  <c r="AR23" i="1" s="1"/>
  <c r="C22" i="9"/>
  <c r="BL22" i="1"/>
  <c r="C23" i="9" l="1"/>
  <c r="V23" i="1"/>
  <c r="K24" i="1" s="1"/>
  <c r="AR24" i="1" s="1"/>
  <c r="BL23" i="1"/>
  <c r="BL24" i="1" l="1"/>
  <c r="V24" i="1"/>
  <c r="K25" i="1" s="1"/>
  <c r="AR25" i="1" s="1"/>
  <c r="C24" i="9"/>
  <c r="C25" i="9" l="1"/>
  <c r="V25" i="1"/>
  <c r="K26" i="1" s="1"/>
  <c r="AR26" i="1" s="1"/>
  <c r="BL25" i="1"/>
  <c r="V26" i="1" l="1"/>
  <c r="K27" i="1" s="1"/>
  <c r="AR27" i="1" s="1"/>
  <c r="C26" i="9"/>
  <c r="BL26" i="1"/>
  <c r="C27" i="9" l="1"/>
  <c r="BL27" i="1"/>
  <c r="V27" i="1"/>
  <c r="K28" i="1" s="1"/>
  <c r="AR28" i="1" s="1"/>
  <c r="BL28" i="1" l="1"/>
  <c r="C28" i="9"/>
  <c r="V28" i="1"/>
  <c r="K29" i="1" s="1"/>
  <c r="AR29" i="1" s="1"/>
  <c r="C29" i="9" l="1"/>
  <c r="V29" i="1"/>
  <c r="K30" i="1" s="1"/>
  <c r="AR30" i="1" s="1"/>
  <c r="BL29" i="1"/>
  <c r="V30" i="1" l="1"/>
  <c r="K31" i="1" s="1"/>
  <c r="AR31" i="1" s="1"/>
  <c r="C30" i="9"/>
  <c r="BL30" i="1"/>
  <c r="V31" i="1" l="1"/>
  <c r="K32" i="1" s="1"/>
  <c r="AR32" i="1" s="1"/>
  <c r="BL31" i="1"/>
  <c r="C31" i="9"/>
  <c r="C32" i="9" l="1"/>
  <c r="V32" i="1"/>
  <c r="K33" i="1" s="1"/>
  <c r="AR33" i="1" s="1"/>
  <c r="BL32" i="1"/>
  <c r="BL33" i="1" l="1"/>
  <c r="V33" i="1"/>
  <c r="K34" i="1" s="1"/>
  <c r="AR34" i="1" s="1"/>
  <c r="C33" i="9"/>
  <c r="V34" i="1" l="1"/>
  <c r="K35" i="1" s="1"/>
  <c r="AR35" i="1" s="1"/>
  <c r="C34" i="9"/>
  <c r="BL34" i="1"/>
  <c r="BL35" i="1" l="1"/>
  <c r="C35" i="9"/>
  <c r="V35" i="1"/>
  <c r="K36" i="1" s="1"/>
  <c r="AR36" i="1" s="1"/>
  <c r="V36" i="1" l="1"/>
  <c r="K37" i="1" s="1"/>
  <c r="AR37" i="1" s="1"/>
  <c r="C36" i="9"/>
  <c r="BL36" i="1"/>
  <c r="V37" i="1" l="1"/>
  <c r="K38" i="1" s="1"/>
  <c r="AR38" i="1" s="1"/>
  <c r="C37" i="9"/>
  <c r="BL37" i="1"/>
  <c r="BL38" i="1" l="1"/>
  <c r="V38" i="1"/>
  <c r="K39" i="1" s="1"/>
  <c r="AR39" i="1" s="1"/>
  <c r="C38" i="9"/>
  <c r="BL39" i="1" l="1"/>
  <c r="V39" i="1"/>
  <c r="K40" i="1" s="1"/>
  <c r="C39" i="9"/>
  <c r="AR40" i="1" l="1"/>
  <c r="V40" i="1" s="1"/>
  <c r="K41" i="1" s="1"/>
  <c r="AR41" i="1" s="1"/>
  <c r="B66" i="4"/>
  <c r="BL40" i="1"/>
  <c r="C40" i="9"/>
  <c r="BL41" i="1" l="1"/>
  <c r="C41" i="9"/>
  <c r="V41" i="1"/>
  <c r="K42" i="1" s="1"/>
  <c r="AR42" i="1" s="1"/>
  <c r="V42" i="1" l="1"/>
  <c r="K43" i="1" s="1"/>
  <c r="AR43" i="1" s="1"/>
  <c r="BL42" i="1"/>
  <c r="C42" i="9"/>
  <c r="C43" i="9" l="1"/>
  <c r="V43" i="1"/>
  <c r="K44" i="1" s="1"/>
  <c r="AR44" i="1" s="1"/>
  <c r="BL43" i="1"/>
  <c r="C44" i="9" l="1"/>
  <c r="BL44" i="1"/>
  <c r="V44" i="1"/>
  <c r="K45" i="1" s="1"/>
  <c r="AR45" i="1" s="1"/>
  <c r="C45" i="9" l="1"/>
  <c r="BL45" i="1"/>
  <c r="V45" i="1"/>
  <c r="K46" i="1" s="1"/>
  <c r="AR46" i="1" s="1"/>
  <c r="BL46" i="1" l="1"/>
  <c r="V46" i="1"/>
  <c r="K47" i="1" s="1"/>
  <c r="AR47" i="1" s="1"/>
  <c r="C46" i="9"/>
  <c r="V47" i="1" l="1"/>
  <c r="K48" i="1" s="1"/>
  <c r="AR48" i="1" s="1"/>
  <c r="BL47" i="1"/>
  <c r="C47" i="9"/>
  <c r="BL48" i="1" l="1"/>
  <c r="C48" i="9"/>
  <c r="V48" i="1"/>
  <c r="K49" i="1" s="1"/>
  <c r="AR49" i="1" s="1"/>
  <c r="V49" i="1" l="1"/>
  <c r="K50" i="1" s="1"/>
  <c r="AR50" i="1" s="1"/>
  <c r="C49" i="9"/>
  <c r="BL49" i="1"/>
  <c r="C50" i="9" l="1"/>
  <c r="BL50" i="1"/>
  <c r="V50" i="1"/>
  <c r="K51" i="1" s="1"/>
  <c r="AR51" i="1" s="1"/>
  <c r="BL51" i="1" l="1"/>
  <c r="V51" i="1"/>
  <c r="K52" i="1" s="1"/>
  <c r="C51" i="9"/>
  <c r="AR52" i="1" l="1"/>
  <c r="V52" i="1" s="1"/>
  <c r="K53" i="1" s="1"/>
  <c r="AR53" i="1" s="1"/>
  <c r="C52" i="9"/>
  <c r="BL52" i="1"/>
  <c r="V53" i="1" l="1"/>
  <c r="K54" i="1" s="1"/>
  <c r="AR54" i="1" s="1"/>
  <c r="BL53" i="1"/>
  <c r="C53" i="9"/>
  <c r="V54" i="1" l="1"/>
  <c r="K55" i="1" s="1"/>
  <c r="AR55" i="1" s="1"/>
  <c r="C54" i="9"/>
  <c r="BL54" i="1"/>
  <c r="C55" i="9" l="1"/>
  <c r="V55" i="1"/>
  <c r="K56" i="1" s="1"/>
  <c r="AR56" i="1" s="1"/>
  <c r="BL55" i="1"/>
  <c r="V56" i="1" l="1"/>
  <c r="K57" i="1" s="1"/>
  <c r="AR57" i="1" s="1"/>
  <c r="BL56" i="1"/>
  <c r="C56" i="9"/>
  <c r="V57" i="1" l="1"/>
  <c r="K58" i="1" s="1"/>
  <c r="AR58" i="1" s="1"/>
  <c r="BL57" i="1"/>
  <c r="C57" i="9"/>
  <c r="BL58" i="1" l="1"/>
  <c r="V58" i="1"/>
  <c r="K59" i="1" s="1"/>
  <c r="AR59" i="1" s="1"/>
  <c r="C58" i="9"/>
  <c r="BL59" i="1" l="1"/>
  <c r="C59" i="9"/>
  <c r="V59" i="1"/>
  <c r="K60" i="1" s="1"/>
  <c r="AR60" i="1" s="1"/>
  <c r="V60" i="1" l="1"/>
  <c r="K61" i="1" s="1"/>
  <c r="AR61" i="1" s="1"/>
  <c r="BL60" i="1"/>
  <c r="C60" i="9"/>
  <c r="C61" i="9" l="1"/>
  <c r="V61" i="1"/>
  <c r="K62" i="1" s="1"/>
  <c r="AR62" i="1" s="1"/>
  <c r="BL61" i="1"/>
  <c r="BL62" i="1" l="1"/>
  <c r="C62" i="9"/>
  <c r="V62" i="1"/>
  <c r="K63" i="1" s="1"/>
  <c r="AR63" i="1" s="1"/>
  <c r="C63" i="9" l="1"/>
  <c r="V63" i="1"/>
  <c r="K64" i="1" s="1"/>
  <c r="AR64" i="1" s="1"/>
  <c r="BL63" i="1"/>
  <c r="V64" i="1" l="1"/>
  <c r="K65" i="1" s="1"/>
  <c r="AR65" i="1" s="1"/>
  <c r="BL64" i="1"/>
  <c r="C64" i="9"/>
  <c r="BL65" i="1" l="1"/>
  <c r="C65" i="9"/>
  <c r="V65" i="1"/>
  <c r="K66" i="1" s="1"/>
  <c r="AR66" i="1" s="1"/>
  <c r="V66" i="1" l="1"/>
  <c r="K67" i="1" s="1"/>
  <c r="AR67" i="1" s="1"/>
  <c r="C66" i="9"/>
  <c r="BL66" i="1"/>
  <c r="V67" i="1" l="1"/>
  <c r="K68" i="1" s="1"/>
  <c r="AR68" i="1" s="1"/>
  <c r="BL67" i="1"/>
  <c r="C67" i="9"/>
  <c r="V68" i="1" l="1"/>
  <c r="K69" i="1" s="1"/>
  <c r="AR69" i="1" s="1"/>
  <c r="C68" i="9"/>
  <c r="BL68" i="1"/>
  <c r="V69" i="1" l="1"/>
  <c r="K70" i="1" s="1"/>
  <c r="AR70" i="1" s="1"/>
  <c r="C69" i="9"/>
  <c r="BL69" i="1"/>
  <c r="BL70" i="1" l="1"/>
  <c r="V70" i="1"/>
  <c r="K71" i="1" s="1"/>
  <c r="AR71" i="1" s="1"/>
  <c r="C70" i="9"/>
  <c r="C71" i="9" l="1"/>
  <c r="BL71" i="1"/>
  <c r="V71" i="1"/>
  <c r="K72" i="1" s="1"/>
  <c r="AR72" i="1" s="1"/>
  <c r="C72" i="9" l="1"/>
  <c r="BL72" i="1"/>
  <c r="V72" i="1"/>
  <c r="K73" i="1" s="1"/>
  <c r="AR73" i="1" s="1"/>
  <c r="V73" i="1" l="1"/>
  <c r="K74" i="1" s="1"/>
  <c r="AR74" i="1" s="1"/>
  <c r="BL73" i="1"/>
  <c r="C73" i="9"/>
  <c r="C74" i="9" l="1"/>
  <c r="BL74" i="1"/>
  <c r="V74" i="1"/>
  <c r="K75" i="1" s="1"/>
  <c r="AR75" i="1" s="1"/>
  <c r="V75" i="1" l="1"/>
  <c r="K76" i="1" s="1"/>
  <c r="AR76" i="1" s="1"/>
  <c r="BL75" i="1"/>
  <c r="C75" i="9"/>
  <c r="C76" i="9" l="1"/>
  <c r="BL76" i="1"/>
  <c r="V76" i="1"/>
  <c r="K77" i="1" s="1"/>
  <c r="AR77" i="1" s="1"/>
  <c r="C77" i="9" l="1"/>
  <c r="V77" i="1"/>
  <c r="K78" i="1" s="1"/>
  <c r="AR78" i="1" s="1"/>
  <c r="BL77" i="1"/>
  <c r="V78" i="1" l="1"/>
  <c r="K79" i="1" s="1"/>
  <c r="AR79" i="1" s="1"/>
  <c r="BL78" i="1"/>
  <c r="C78" i="9"/>
  <c r="V79" i="1" l="1"/>
  <c r="K80" i="1" s="1"/>
  <c r="AR80" i="1" s="1"/>
  <c r="BL79" i="1"/>
  <c r="C79" i="9"/>
  <c r="V80" i="1" l="1"/>
  <c r="K81" i="1" s="1"/>
  <c r="AR81" i="1" s="1"/>
  <c r="BL80" i="1"/>
  <c r="C80" i="9"/>
  <c r="V81" i="1" l="1"/>
  <c r="K82" i="1" s="1"/>
  <c r="AR82" i="1" s="1"/>
  <c r="C81" i="9"/>
  <c r="BL81" i="1"/>
  <c r="V82" i="1" l="1"/>
  <c r="K83" i="1" s="1"/>
  <c r="AR83" i="1" s="1"/>
  <c r="C82" i="9"/>
  <c r="BL82" i="1"/>
  <c r="BL83" i="1" l="1"/>
  <c r="C83" i="9"/>
  <c r="V83" i="1"/>
  <c r="K84" i="1" s="1"/>
  <c r="AR84" i="1" s="1"/>
  <c r="V84" i="1" l="1"/>
  <c r="K85" i="1" s="1"/>
  <c r="AR85" i="1" s="1"/>
  <c r="BL84" i="1"/>
  <c r="C84" i="9"/>
  <c r="C85" i="9" l="1"/>
  <c r="BL85" i="1"/>
  <c r="V85" i="1"/>
  <c r="K86" i="1" s="1"/>
  <c r="AR86" i="1" s="1"/>
  <c r="C86" i="9" l="1"/>
  <c r="BL86" i="1"/>
  <c r="V86" i="1"/>
  <c r="K87" i="1" s="1"/>
  <c r="AR87" i="1" s="1"/>
  <c r="V87" i="1" l="1"/>
  <c r="K88" i="1" s="1"/>
  <c r="AR88" i="1" s="1"/>
  <c r="C87" i="9"/>
  <c r="BL87" i="1"/>
  <c r="BL88" i="1" l="1"/>
  <c r="V88" i="1"/>
  <c r="K89" i="1" s="1"/>
  <c r="AR89" i="1" s="1"/>
  <c r="C88" i="9"/>
  <c r="BL89" i="1" l="1"/>
  <c r="C89" i="9"/>
  <c r="V89" i="1"/>
  <c r="K90" i="1" s="1"/>
  <c r="AR90" i="1" s="1"/>
  <c r="BL90" i="1" l="1"/>
  <c r="V90" i="1"/>
  <c r="K91" i="1" s="1"/>
  <c r="AR91" i="1" s="1"/>
  <c r="C90" i="9"/>
  <c r="V91" i="1" l="1"/>
  <c r="K92" i="1" s="1"/>
  <c r="AR92" i="1" s="1"/>
  <c r="C91" i="9"/>
  <c r="BL91" i="1"/>
  <c r="C92" i="9" l="1"/>
  <c r="V92" i="1"/>
  <c r="K93" i="1" s="1"/>
  <c r="AR93" i="1" s="1"/>
  <c r="BL92" i="1"/>
  <c r="BL93" i="1" l="1"/>
  <c r="C93" i="9"/>
  <c r="V93" i="1"/>
  <c r="K94" i="1" s="1"/>
  <c r="AR94" i="1" s="1"/>
  <c r="C94" i="9" l="1"/>
  <c r="V94" i="1"/>
  <c r="K95" i="1" s="1"/>
  <c r="AR95" i="1" s="1"/>
  <c r="BL94" i="1"/>
  <c r="C95" i="9" l="1"/>
  <c r="V95" i="1"/>
  <c r="K96" i="1" s="1"/>
  <c r="AR96" i="1" s="1"/>
  <c r="BL95" i="1"/>
  <c r="C96" i="9" l="1"/>
  <c r="BL96" i="1"/>
  <c r="V96" i="1"/>
  <c r="K97" i="1" s="1"/>
  <c r="AR97" i="1" s="1"/>
  <c r="BL97" i="1" l="1"/>
  <c r="C97" i="9"/>
  <c r="V97" i="1"/>
  <c r="K98" i="1" s="1"/>
  <c r="AR98" i="1" s="1"/>
  <c r="C98" i="9" l="1"/>
  <c r="BL98" i="1"/>
  <c r="V98" i="1"/>
  <c r="K99" i="1" s="1"/>
  <c r="AR99" i="1" s="1"/>
  <c r="V99" i="1" l="1"/>
  <c r="K100" i="1" s="1"/>
  <c r="AR100" i="1" s="1"/>
  <c r="C99" i="9"/>
  <c r="BL99" i="1"/>
  <c r="BL100" i="1" l="1"/>
  <c r="C100" i="9"/>
  <c r="V100" i="1"/>
  <c r="K101" i="1" s="1"/>
  <c r="AR101" i="1" s="1"/>
  <c r="V101" i="1" l="1"/>
  <c r="K102" i="1" s="1"/>
  <c r="AR102" i="1" s="1"/>
  <c r="C101" i="9"/>
  <c r="BL101" i="1"/>
  <c r="BL102" i="1" l="1"/>
  <c r="V102" i="1"/>
  <c r="K103" i="1" s="1"/>
  <c r="AR103" i="1" s="1"/>
  <c r="C102" i="9"/>
  <c r="V103" i="1" l="1"/>
  <c r="K104" i="1" s="1"/>
  <c r="AR104" i="1" s="1"/>
  <c r="C103" i="9"/>
  <c r="BL103" i="1"/>
  <c r="C104" i="9" l="1"/>
  <c r="V104" i="1"/>
  <c r="K105" i="1" s="1"/>
  <c r="AR105" i="1" s="1"/>
  <c r="BL104" i="1"/>
  <c r="BL105" i="1" l="1"/>
  <c r="V105" i="1"/>
  <c r="K106" i="1" s="1"/>
  <c r="AR106" i="1" s="1"/>
  <c r="C105" i="9"/>
  <c r="V106" i="1" l="1"/>
  <c r="K107" i="1" s="1"/>
  <c r="AR107" i="1" s="1"/>
  <c r="BL106" i="1"/>
  <c r="C106" i="9"/>
  <c r="C107" i="9" l="1"/>
  <c r="BL107" i="1"/>
  <c r="V107" i="1"/>
  <c r="K108" i="1" s="1"/>
  <c r="AR108" i="1" s="1"/>
  <c r="C108" i="9" l="1"/>
  <c r="V108" i="1"/>
  <c r="K109" i="1" s="1"/>
  <c r="AR109" i="1" s="1"/>
  <c r="BL108" i="1"/>
  <c r="BL109" i="1" l="1"/>
  <c r="V109" i="1"/>
  <c r="K110" i="1" s="1"/>
  <c r="AR110" i="1" s="1"/>
  <c r="C109" i="9"/>
  <c r="C110" i="9" l="1"/>
  <c r="BL110" i="1"/>
  <c r="V110" i="1"/>
  <c r="K111" i="1" s="1"/>
  <c r="AR111" i="1" s="1"/>
  <c r="BL111" i="1" l="1"/>
  <c r="C111" i="9"/>
  <c r="V111" i="1"/>
  <c r="K112" i="1" s="1"/>
  <c r="AR112" i="1" s="1"/>
  <c r="V112" i="1" l="1"/>
  <c r="K113" i="1" s="1"/>
  <c r="AR113" i="1" s="1"/>
  <c r="C112" i="9"/>
  <c r="BL112" i="1"/>
  <c r="V113" i="1" l="1"/>
  <c r="K114" i="1" s="1"/>
  <c r="AR114" i="1" s="1"/>
  <c r="BL113" i="1"/>
  <c r="C113" i="9"/>
  <c r="BL114" i="1" l="1"/>
  <c r="V114" i="1"/>
  <c r="K115" i="1" s="1"/>
  <c r="AR115" i="1" s="1"/>
  <c r="C114" i="9"/>
  <c r="C115" i="9" l="1"/>
  <c r="V115" i="1"/>
  <c r="K116" i="1" s="1"/>
  <c r="AR116" i="1" s="1"/>
  <c r="BL115" i="1"/>
  <c r="BL116" i="1" l="1"/>
  <c r="C116" i="9"/>
  <c r="V116" i="1"/>
  <c r="K117" i="1" s="1"/>
  <c r="AR117" i="1" s="1"/>
  <c r="C117" i="9" l="1"/>
  <c r="BL117" i="1"/>
  <c r="V117" i="1"/>
  <c r="K118" i="1" s="1"/>
  <c r="AR118" i="1" s="1"/>
  <c r="C118" i="9" l="1"/>
  <c r="V118" i="1"/>
  <c r="K119" i="1" s="1"/>
  <c r="AR119" i="1" s="1"/>
  <c r="BL118" i="1"/>
  <c r="V119" i="1" l="1"/>
  <c r="K120" i="1" s="1"/>
  <c r="AR120" i="1" s="1"/>
  <c r="BL119" i="1"/>
  <c r="C119" i="9"/>
  <c r="BL120" i="1" l="1"/>
  <c r="V120" i="1"/>
  <c r="K121" i="1" s="1"/>
  <c r="AR121" i="1" s="1"/>
  <c r="C120" i="9"/>
  <c r="V121" i="1" l="1"/>
  <c r="K122" i="1" s="1"/>
  <c r="AR122" i="1" s="1"/>
  <c r="BL121" i="1"/>
  <c r="C121" i="9"/>
  <c r="V122" i="1" l="1"/>
  <c r="K123" i="1" s="1"/>
  <c r="AR123" i="1" s="1"/>
  <c r="BL122" i="1"/>
  <c r="C122" i="9"/>
  <c r="V123" i="1" l="1"/>
  <c r="K124" i="1" s="1"/>
  <c r="AR124" i="1" s="1"/>
  <c r="C123" i="9"/>
  <c r="BL123" i="1"/>
  <c r="BL124" i="1" l="1"/>
  <c r="V124" i="1"/>
  <c r="K125" i="1" s="1"/>
  <c r="AR125" i="1" s="1"/>
  <c r="C124" i="9"/>
  <c r="V125" i="1" l="1"/>
  <c r="K126" i="1" s="1"/>
  <c r="AR126" i="1" s="1"/>
  <c r="C125" i="9"/>
  <c r="BL125" i="1"/>
  <c r="V126" i="1" l="1"/>
  <c r="K127" i="1" s="1"/>
  <c r="AR127" i="1" s="1"/>
  <c r="BL126" i="1"/>
  <c r="C126" i="9"/>
  <c r="C127" i="9" l="1"/>
  <c r="V127" i="1"/>
  <c r="K128" i="1" s="1"/>
  <c r="AR128" i="1" s="1"/>
  <c r="BL127" i="1"/>
  <c r="BL128" i="1" l="1"/>
  <c r="V128" i="1"/>
  <c r="K129" i="1" s="1"/>
  <c r="AR129" i="1" s="1"/>
  <c r="C128" i="9"/>
  <c r="V129" i="1" l="1"/>
  <c r="K130" i="1" s="1"/>
  <c r="AR130" i="1" s="1"/>
  <c r="BL129" i="1"/>
  <c r="C129" i="9"/>
  <c r="C130" i="9" l="1"/>
  <c r="V130" i="1"/>
  <c r="K131" i="1" s="1"/>
  <c r="AR131" i="1" s="1"/>
  <c r="BL130" i="1"/>
  <c r="BL131" i="1" l="1"/>
  <c r="C131" i="9"/>
  <c r="V131" i="1"/>
  <c r="K132" i="1" s="1"/>
  <c r="AR132" i="1" s="1"/>
  <c r="BL132" i="1" l="1"/>
  <c r="C132" i="9"/>
  <c r="V132" i="1"/>
  <c r="K133" i="1" s="1"/>
  <c r="AR133" i="1" s="1"/>
  <c r="V133" i="1" l="1"/>
  <c r="K134" i="1" s="1"/>
  <c r="AR134" i="1" s="1"/>
  <c r="BL133" i="1"/>
  <c r="C133" i="9"/>
  <c r="BL134" i="1" l="1"/>
  <c r="C134" i="9"/>
  <c r="V134" i="1"/>
  <c r="K135" i="1" s="1"/>
  <c r="AR135" i="1" s="1"/>
  <c r="V135" i="1" l="1"/>
  <c r="K136" i="1" s="1"/>
  <c r="AR136" i="1" s="1"/>
  <c r="C135" i="9"/>
  <c r="BL135" i="1"/>
  <c r="C136" i="9" l="1"/>
  <c r="BL136" i="1"/>
  <c r="V136" i="1"/>
  <c r="J64" i="4" l="1"/>
  <c r="J66" i="4" l="1"/>
  <c r="J68" i="4"/>
  <c r="J65" i="4"/>
  <c r="J67" i="4"/>
  <c r="L25" i="14" l="1"/>
  <c r="Q26" i="1" s="1"/>
  <c r="L84" i="14"/>
  <c r="Q85" i="1" s="1"/>
  <c r="L108" i="14"/>
  <c r="Q109" i="1" s="1"/>
  <c r="L44" i="14"/>
  <c r="Q45" i="1" s="1"/>
  <c r="L69" i="14"/>
  <c r="Q70" i="1" s="1"/>
  <c r="L106" i="14"/>
  <c r="Q107" i="1" s="1"/>
  <c r="L59" i="14"/>
  <c r="Q60" i="1" s="1"/>
  <c r="L19" i="14"/>
  <c r="Q20" i="1" s="1"/>
  <c r="L33" i="14"/>
  <c r="Q34" i="1" s="1"/>
  <c r="L93" i="14"/>
  <c r="Q94" i="1" s="1"/>
  <c r="L70" i="14"/>
  <c r="Q71" i="1" s="1"/>
  <c r="L134" i="14"/>
  <c r="Q135" i="1" s="1"/>
  <c r="L104" i="14"/>
  <c r="Q105" i="1" s="1"/>
  <c r="L79" i="14"/>
  <c r="Q80" i="1" s="1"/>
  <c r="L58" i="14"/>
  <c r="Q59" i="1" s="1"/>
  <c r="L52" i="14"/>
  <c r="Q53" i="1" s="1"/>
  <c r="L9" i="14"/>
  <c r="Q10" i="1" s="1"/>
  <c r="L88" i="14"/>
  <c r="Q89" i="1" s="1"/>
  <c r="L62" i="14"/>
  <c r="Q63" i="1" s="1"/>
  <c r="L132" i="14"/>
  <c r="Q133" i="1" s="1"/>
  <c r="L23" i="14"/>
  <c r="Q24" i="1" s="1"/>
  <c r="L60" i="14"/>
  <c r="Q61" i="1" s="1"/>
  <c r="L42" i="14"/>
  <c r="Q43" i="1" s="1"/>
  <c r="L37" i="14"/>
  <c r="Q38" i="1" s="1"/>
  <c r="L47" i="14"/>
  <c r="Q48" i="1" s="1"/>
  <c r="L34" i="14"/>
  <c r="Q35" i="1" s="1"/>
  <c r="L29" i="14"/>
  <c r="Q30" i="1" s="1"/>
  <c r="L124" i="14"/>
  <c r="Q125" i="1" s="1"/>
  <c r="L116" i="14"/>
  <c r="Q117" i="1" s="1"/>
  <c r="L15" i="14"/>
  <c r="Q16" i="1" s="1"/>
  <c r="L13" i="14"/>
  <c r="Q14" i="1" s="1"/>
  <c r="L109" i="14"/>
  <c r="Q110" i="1" s="1"/>
  <c r="L16" i="14"/>
  <c r="Q17" i="1" s="1"/>
  <c r="L74" i="14"/>
  <c r="Q75" i="1" s="1"/>
  <c r="L6" i="14"/>
  <c r="Q7" i="1" s="1"/>
  <c r="L30" i="14"/>
  <c r="Q31" i="1" s="1"/>
  <c r="L67" i="14"/>
  <c r="Q68" i="1" s="1"/>
  <c r="L65" i="14"/>
  <c r="Q66" i="1" s="1"/>
  <c r="L56" i="14"/>
  <c r="Q57" i="1" s="1"/>
  <c r="L110" i="14"/>
  <c r="Q111" i="1" s="1"/>
  <c r="L10" i="14"/>
  <c r="Q11" i="1" s="1"/>
  <c r="L18" i="14"/>
  <c r="Q19" i="1" s="1"/>
  <c r="L130" i="14"/>
  <c r="Q131" i="1" s="1"/>
  <c r="L115" i="14"/>
  <c r="Q116" i="1" s="1"/>
  <c r="L77" i="14"/>
  <c r="Q78" i="1" s="1"/>
  <c r="L107" i="14"/>
  <c r="Q108" i="1" s="1"/>
  <c r="L14" i="14"/>
  <c r="Q15" i="1" s="1"/>
  <c r="L100" i="14"/>
  <c r="Q101" i="1" s="1"/>
  <c r="L76" i="14"/>
  <c r="Q77" i="1" s="1"/>
  <c r="L68" i="14"/>
  <c r="Q69" i="1" s="1"/>
  <c r="L80" i="14"/>
  <c r="Q81" i="1" s="1"/>
  <c r="L43" i="14"/>
  <c r="Q44" i="1" s="1"/>
  <c r="L83" i="14"/>
  <c r="Q84" i="1" s="1"/>
  <c r="L131" i="14"/>
  <c r="Q132" i="1" s="1"/>
  <c r="L54" i="14"/>
  <c r="Q55" i="1" s="1"/>
  <c r="L113" i="14"/>
  <c r="Q114" i="1" s="1"/>
  <c r="L21" i="14"/>
  <c r="Q22" i="1" s="1"/>
  <c r="L12" i="14"/>
  <c r="Q13" i="1" s="1"/>
  <c r="L36" i="14"/>
  <c r="Q37" i="1" s="1"/>
  <c r="L57" i="14"/>
  <c r="Q58" i="1" s="1"/>
  <c r="L82" i="14"/>
  <c r="Q83" i="1" s="1"/>
  <c r="L121" i="14"/>
  <c r="Q122" i="1" s="1"/>
  <c r="L55" i="14"/>
  <c r="Q56" i="1" s="1"/>
  <c r="L96" i="14"/>
  <c r="Q97" i="1" s="1"/>
  <c r="L123" i="14"/>
  <c r="Q124" i="1" s="1"/>
  <c r="L119" i="14"/>
  <c r="Q120" i="1" s="1"/>
  <c r="L31" i="14"/>
  <c r="Q32" i="1" s="1"/>
  <c r="L22" i="14"/>
  <c r="Q23" i="1" s="1"/>
  <c r="L122" i="14"/>
  <c r="Q123" i="1" s="1"/>
  <c r="L133" i="14"/>
  <c r="Q134" i="1" s="1"/>
  <c r="L95" i="14"/>
  <c r="Q96" i="1" s="1"/>
  <c r="L48" i="14"/>
  <c r="Q49" i="1" s="1"/>
  <c r="L27" i="14"/>
  <c r="Q28" i="1" s="1"/>
  <c r="L101" i="14"/>
  <c r="Q102" i="1" s="1"/>
  <c r="L81" i="14"/>
  <c r="Q82" i="1" s="1"/>
  <c r="L136" i="14"/>
  <c r="L66" i="14"/>
  <c r="Q67" i="1" s="1"/>
  <c r="L114" i="14"/>
  <c r="Q115" i="1" s="1"/>
  <c r="L73" i="14"/>
  <c r="Q74" i="1" s="1"/>
  <c r="L38" i="14"/>
  <c r="Q39" i="1" s="1"/>
  <c r="L97" i="14"/>
  <c r="Q98" i="1" s="1"/>
  <c r="L50" i="14"/>
  <c r="Q51" i="1" s="1"/>
  <c r="L20" i="14"/>
  <c r="Q21" i="1" s="1"/>
  <c r="L86" i="14"/>
  <c r="Q87" i="1" s="1"/>
  <c r="L53" i="14"/>
  <c r="Q54" i="1" s="1"/>
  <c r="L63" i="14"/>
  <c r="Q64" i="1" s="1"/>
  <c r="L17" i="14"/>
  <c r="Q18" i="1" s="1"/>
  <c r="L92" i="14"/>
  <c r="Q93" i="1" s="1"/>
  <c r="L91" i="14"/>
  <c r="Q92" i="1" s="1"/>
  <c r="L127" i="14"/>
  <c r="Q128" i="1" s="1"/>
  <c r="L71" i="14"/>
  <c r="Q72" i="1" s="1"/>
  <c r="L28" i="14"/>
  <c r="Q29" i="1" s="1"/>
  <c r="L40" i="14"/>
  <c r="Q41" i="1" s="1"/>
  <c r="L24" i="14"/>
  <c r="Q25" i="1" s="1"/>
  <c r="L78" i="14"/>
  <c r="Q79" i="1" s="1"/>
  <c r="L87" i="14"/>
  <c r="Q88" i="1" s="1"/>
  <c r="L103" i="14"/>
  <c r="Q104" i="1" s="1"/>
  <c r="L129" i="14"/>
  <c r="Q130" i="1" s="1"/>
  <c r="L135" i="14"/>
  <c r="Q136" i="1" s="1"/>
  <c r="L41" i="14"/>
  <c r="Q42" i="1" s="1"/>
  <c r="L126" i="14"/>
  <c r="Q127" i="1" s="1"/>
  <c r="L61" i="14"/>
  <c r="Q62" i="1" s="1"/>
  <c r="U4" i="1"/>
  <c r="J5" i="1" s="1"/>
  <c r="L90" i="14"/>
  <c r="Q91" i="1" s="1"/>
  <c r="L5" i="14"/>
  <c r="Q6" i="1" s="1"/>
  <c r="L89" i="14"/>
  <c r="Q90" i="1" s="1"/>
  <c r="L64" i="14"/>
  <c r="Q65" i="1" s="1"/>
  <c r="L51" i="14"/>
  <c r="Q52" i="1" s="1"/>
  <c r="L98" i="14"/>
  <c r="Q99" i="1" s="1"/>
  <c r="L125" i="14"/>
  <c r="Q126" i="1" s="1"/>
  <c r="L75" i="14"/>
  <c r="Q76" i="1" s="1"/>
  <c r="L94" i="14"/>
  <c r="Q95" i="1" s="1"/>
  <c r="L111" i="14"/>
  <c r="Q112" i="1" s="1"/>
  <c r="L49" i="14"/>
  <c r="Q50" i="1" s="1"/>
  <c r="L112" i="14"/>
  <c r="Q113" i="1" s="1"/>
  <c r="L32" i="14"/>
  <c r="Q33" i="1" s="1"/>
  <c r="L99" i="14"/>
  <c r="Q100" i="1" s="1"/>
  <c r="L128" i="14"/>
  <c r="Q129" i="1" s="1"/>
  <c r="L85" i="14"/>
  <c r="Q86" i="1" s="1"/>
  <c r="L46" i="14"/>
  <c r="Q47" i="1" s="1"/>
  <c r="L118" i="14"/>
  <c r="Q119" i="1" s="1"/>
  <c r="L105" i="14"/>
  <c r="Q106" i="1" s="1"/>
  <c r="L39" i="14"/>
  <c r="Q40" i="1" s="1"/>
  <c r="L7" i="14"/>
  <c r="Q8" i="1" s="1"/>
  <c r="L35" i="14"/>
  <c r="Q36" i="1" s="1"/>
  <c r="L120" i="14"/>
  <c r="Q121" i="1" s="1"/>
  <c r="L102" i="14"/>
  <c r="Q103" i="1" s="1"/>
  <c r="L45" i="14"/>
  <c r="Q46" i="1" s="1"/>
  <c r="L117" i="14"/>
  <c r="Q118" i="1" s="1"/>
  <c r="L11" i="14"/>
  <c r="Q12" i="1" s="1"/>
  <c r="L26" i="14"/>
  <c r="Q27" i="1" s="1"/>
  <c r="L8" i="14"/>
  <c r="Q9" i="1" s="1"/>
  <c r="L4" i="14"/>
  <c r="Q5" i="1" s="1"/>
  <c r="L72" i="14"/>
  <c r="Q73" i="1" s="1"/>
  <c r="AQ5" i="1" l="1"/>
  <c r="U5" i="1" s="1"/>
  <c r="J6" i="1" s="1"/>
  <c r="D130" i="14"/>
  <c r="D29" i="14"/>
  <c r="D70" i="14"/>
  <c r="D7" i="14"/>
  <c r="D127" i="14"/>
  <c r="D101" i="14"/>
  <c r="D12" i="14"/>
  <c r="D18" i="14"/>
  <c r="D34" i="14"/>
  <c r="D93" i="14"/>
  <c r="D51" i="14"/>
  <c r="D5" i="14"/>
  <c r="D91" i="14"/>
  <c r="D27" i="14"/>
  <c r="D21" i="14"/>
  <c r="D10" i="14"/>
  <c r="D47" i="14"/>
  <c r="D33" i="14"/>
  <c r="D39" i="14"/>
  <c r="D90" i="14"/>
  <c r="D92" i="14"/>
  <c r="D48" i="14"/>
  <c r="D113" i="14"/>
  <c r="D110" i="14"/>
  <c r="D37" i="14"/>
  <c r="D19" i="14"/>
  <c r="D17" i="14"/>
  <c r="D95" i="14"/>
  <c r="D54" i="14"/>
  <c r="D56" i="14"/>
  <c r="D42" i="14"/>
  <c r="D59" i="14"/>
  <c r="D115" i="14"/>
  <c r="D63" i="14"/>
  <c r="D133" i="14"/>
  <c r="D131" i="14"/>
  <c r="D65" i="14"/>
  <c r="D60" i="14"/>
  <c r="D106" i="14"/>
  <c r="D81" i="14"/>
  <c r="D99" i="14"/>
  <c r="D126" i="14"/>
  <c r="D53" i="14"/>
  <c r="D122" i="14"/>
  <c r="D83" i="14"/>
  <c r="D67" i="14"/>
  <c r="D23" i="14"/>
  <c r="D69" i="14"/>
  <c r="D124" i="14"/>
  <c r="D72" i="14"/>
  <c r="D32" i="14"/>
  <c r="D41" i="14"/>
  <c r="D86" i="14"/>
  <c r="D22" i="14"/>
  <c r="D43" i="14"/>
  <c r="D30" i="14"/>
  <c r="D132" i="14"/>
  <c r="D44" i="14"/>
  <c r="D71" i="14"/>
  <c r="D8" i="14"/>
  <c r="D112" i="14"/>
  <c r="D135" i="14"/>
  <c r="D20" i="14"/>
  <c r="D31" i="14"/>
  <c r="D80" i="14"/>
  <c r="D6" i="14"/>
  <c r="D62" i="14"/>
  <c r="D108" i="14"/>
  <c r="D57" i="14"/>
  <c r="D85" i="14"/>
  <c r="D49" i="14"/>
  <c r="D129" i="14"/>
  <c r="D50" i="14"/>
  <c r="D119" i="14"/>
  <c r="D68" i="14"/>
  <c r="D74" i="14"/>
  <c r="D88" i="14"/>
  <c r="D84" i="14"/>
  <c r="D36" i="14"/>
  <c r="D117" i="14"/>
  <c r="D103" i="14"/>
  <c r="D97" i="14"/>
  <c r="D123" i="14"/>
  <c r="D76" i="14"/>
  <c r="D16" i="14"/>
  <c r="D9" i="14"/>
  <c r="D25" i="14"/>
  <c r="D136" i="14"/>
  <c r="D118" i="14"/>
  <c r="D11" i="14"/>
  <c r="D45" i="14"/>
  <c r="D94" i="14"/>
  <c r="D87" i="14"/>
  <c r="D38" i="14"/>
  <c r="D96" i="14"/>
  <c r="D100" i="14"/>
  <c r="D109" i="14"/>
  <c r="D52" i="14"/>
  <c r="D134" i="14"/>
  <c r="D46" i="14"/>
  <c r="D111" i="14"/>
  <c r="D78" i="14"/>
  <c r="D73" i="14"/>
  <c r="D55" i="14"/>
  <c r="D14" i="14"/>
  <c r="D13" i="14"/>
  <c r="D58" i="14"/>
  <c r="D28" i="14"/>
  <c r="D105" i="14"/>
  <c r="D26" i="14"/>
  <c r="D75" i="14"/>
  <c r="D125" i="14"/>
  <c r="D24" i="14"/>
  <c r="D114" i="14"/>
  <c r="D121" i="14"/>
  <c r="D107" i="14"/>
  <c r="D15" i="14"/>
  <c r="D79" i="14"/>
  <c r="D64" i="14"/>
  <c r="D128" i="14"/>
  <c r="D102" i="14"/>
  <c r="D120" i="14"/>
  <c r="D35" i="14"/>
  <c r="D98" i="14"/>
  <c r="D40" i="14"/>
  <c r="D66" i="14"/>
  <c r="D82" i="14"/>
  <c r="D77" i="14"/>
  <c r="D116" i="14"/>
  <c r="D104" i="14"/>
  <c r="K89" i="14"/>
  <c r="D89" i="14"/>
  <c r="K61" i="14"/>
  <c r="D61" i="14"/>
  <c r="D4" i="14"/>
  <c r="K26" i="14"/>
  <c r="AR5" i="8"/>
  <c r="K24" i="14"/>
  <c r="K51" i="14"/>
  <c r="AL5" i="5"/>
  <c r="K72" i="14"/>
  <c r="K108" i="14"/>
  <c r="K31" i="14"/>
  <c r="K45" i="14"/>
  <c r="K17" i="14"/>
  <c r="K38" i="14"/>
  <c r="K33" i="14"/>
  <c r="K34" i="14"/>
  <c r="K120" i="14"/>
  <c r="K4" i="14"/>
  <c r="P4" i="1" s="1"/>
  <c r="K5" i="14"/>
  <c r="K10" i="14"/>
  <c r="K85" i="14"/>
  <c r="K123" i="14"/>
  <c r="K76" i="14"/>
  <c r="K6" i="14"/>
  <c r="K7" i="14"/>
  <c r="K63" i="14"/>
  <c r="K111" i="14"/>
  <c r="K119" i="14"/>
  <c r="K135" i="14"/>
  <c r="K71" i="14"/>
  <c r="K66" i="14"/>
  <c r="K36" i="14"/>
  <c r="K23" i="14"/>
  <c r="K98" i="14"/>
  <c r="K131" i="14"/>
  <c r="K97" i="14"/>
  <c r="K43" i="14"/>
  <c r="K49" i="14"/>
  <c r="K101" i="14"/>
  <c r="K114" i="14"/>
  <c r="K14" i="14"/>
  <c r="K19" i="14"/>
  <c r="K30" i="14"/>
  <c r="K95" i="14"/>
  <c r="K37" i="14"/>
  <c r="K80" i="14"/>
  <c r="K78" i="14"/>
  <c r="K53" i="14"/>
  <c r="K60" i="14"/>
  <c r="K102" i="14"/>
  <c r="K81" i="14"/>
  <c r="K57" i="14"/>
  <c r="K109" i="14"/>
  <c r="K39" i="14"/>
  <c r="K48" i="14"/>
  <c r="K99" i="14"/>
  <c r="K28" i="14"/>
  <c r="K56" i="14"/>
  <c r="K91" i="14"/>
  <c r="K92" i="14"/>
  <c r="K64" i="14"/>
  <c r="K110" i="14"/>
  <c r="K128" i="14"/>
  <c r="K70" i="14"/>
  <c r="K68" i="14"/>
  <c r="K124" i="14"/>
  <c r="K11" i="14"/>
  <c r="K105" i="14"/>
  <c r="K125" i="14"/>
  <c r="K21" i="14"/>
  <c r="K133" i="14"/>
  <c r="K112" i="14"/>
  <c r="K16" i="14"/>
  <c r="K35" i="14"/>
  <c r="K118" i="14"/>
  <c r="K41" i="14"/>
  <c r="K82" i="14"/>
  <c r="K115" i="14"/>
  <c r="K29" i="14"/>
  <c r="K62" i="14"/>
  <c r="K134" i="14"/>
  <c r="K69" i="14"/>
  <c r="K130" i="14"/>
  <c r="K67" i="14"/>
  <c r="K88" i="14"/>
  <c r="K44" i="14"/>
  <c r="K8" i="14"/>
  <c r="K46" i="14"/>
  <c r="K93" i="14"/>
  <c r="K84" i="14"/>
  <c r="K13" i="14"/>
  <c r="K42" i="14"/>
  <c r="K58" i="14"/>
  <c r="K117" i="14"/>
  <c r="K126" i="14"/>
  <c r="K96" i="14"/>
  <c r="K25" i="14"/>
  <c r="K54" i="14"/>
  <c r="K79" i="14"/>
  <c r="K32" i="14"/>
  <c r="K122" i="14"/>
  <c r="K77" i="14"/>
  <c r="K132" i="14"/>
  <c r="K104" i="14"/>
  <c r="BK5" i="1"/>
  <c r="K103" i="14"/>
  <c r="K50" i="14"/>
  <c r="K65" i="14"/>
  <c r="K27" i="14"/>
  <c r="K47" i="14"/>
  <c r="K9" i="14"/>
  <c r="K12" i="14"/>
  <c r="K52" i="14"/>
  <c r="K94" i="14"/>
  <c r="K90" i="14"/>
  <c r="K40" i="14"/>
  <c r="K113" i="14"/>
  <c r="K86" i="14"/>
  <c r="K75" i="14"/>
  <c r="K129" i="14"/>
  <c r="K127" i="14"/>
  <c r="K73" i="14"/>
  <c r="K121" i="14"/>
  <c r="K100" i="14"/>
  <c r="K106" i="14"/>
  <c r="K136" i="14"/>
  <c r="K15" i="14"/>
  <c r="K59" i="14"/>
  <c r="K87" i="14"/>
  <c r="K22" i="14"/>
  <c r="K83" i="14"/>
  <c r="K18" i="14"/>
  <c r="K116" i="14"/>
  <c r="K107" i="14"/>
  <c r="K55" i="14"/>
  <c r="K74" i="14"/>
  <c r="K20" i="14"/>
  <c r="AQ6" i="1" l="1"/>
  <c r="P5" i="1"/>
  <c r="P6" i="1" s="1"/>
  <c r="P7" i="1" s="1"/>
  <c r="P8" i="1" s="1"/>
  <c r="P9" i="1" s="1"/>
  <c r="P10" i="1" s="1"/>
  <c r="P11" i="1" s="1"/>
  <c r="P12" i="1" s="1"/>
  <c r="P13" i="1" s="1"/>
  <c r="P14" i="1" s="1"/>
  <c r="P15" i="1" s="1"/>
  <c r="P16" i="1" s="1"/>
  <c r="P17" i="1" s="1"/>
  <c r="P18" i="1" s="1"/>
  <c r="P19" i="1" s="1"/>
  <c r="P20" i="1" s="1"/>
  <c r="P21" i="1" s="1"/>
  <c r="P22" i="1" s="1"/>
  <c r="P23" i="1" s="1"/>
  <c r="P24" i="1" s="1"/>
  <c r="P25" i="1" s="1"/>
  <c r="P26" i="1" s="1"/>
  <c r="P27" i="1" s="1"/>
  <c r="P28" i="1" s="1"/>
  <c r="P29" i="1" s="1"/>
  <c r="P30" i="1" s="1"/>
  <c r="P31" i="1" s="1"/>
  <c r="P32" i="1" s="1"/>
  <c r="P33" i="1" s="1"/>
  <c r="P34" i="1" s="1"/>
  <c r="P35" i="1" s="1"/>
  <c r="P36" i="1" s="1"/>
  <c r="P37" i="1" s="1"/>
  <c r="P38" i="1" s="1"/>
  <c r="P39" i="1" s="1"/>
  <c r="P40" i="1" s="1"/>
  <c r="P41" i="1" s="1"/>
  <c r="P42" i="1" s="1"/>
  <c r="P43" i="1" s="1"/>
  <c r="P44" i="1" s="1"/>
  <c r="P45" i="1" s="1"/>
  <c r="P46" i="1" s="1"/>
  <c r="P47" i="1" s="1"/>
  <c r="P48" i="1" s="1"/>
  <c r="P49" i="1" s="1"/>
  <c r="P50" i="1" s="1"/>
  <c r="P51" i="1" s="1"/>
  <c r="P52" i="1" s="1"/>
  <c r="P53" i="1" s="1"/>
  <c r="P54" i="1" s="1"/>
  <c r="P55" i="1" s="1"/>
  <c r="P56" i="1" s="1"/>
  <c r="P57" i="1" s="1"/>
  <c r="P58" i="1" s="1"/>
  <c r="P59" i="1" s="1"/>
  <c r="P60" i="1" s="1"/>
  <c r="P61" i="1" s="1"/>
  <c r="P62" i="1" s="1"/>
  <c r="P63" i="1" s="1"/>
  <c r="P64" i="1" s="1"/>
  <c r="P65" i="1" s="1"/>
  <c r="P66" i="1" s="1"/>
  <c r="P67" i="1" s="1"/>
  <c r="P68" i="1" s="1"/>
  <c r="P69" i="1" s="1"/>
  <c r="P70" i="1" s="1"/>
  <c r="P71" i="1" s="1"/>
  <c r="P72" i="1" s="1"/>
  <c r="P73" i="1" s="1"/>
  <c r="P74" i="1" s="1"/>
  <c r="P75" i="1" s="1"/>
  <c r="P76" i="1" s="1"/>
  <c r="P77" i="1" s="1"/>
  <c r="P78" i="1" s="1"/>
  <c r="P79" i="1" s="1"/>
  <c r="P80" i="1" s="1"/>
  <c r="P81" i="1" s="1"/>
  <c r="P82" i="1" s="1"/>
  <c r="P83" i="1" s="1"/>
  <c r="P84" i="1" s="1"/>
  <c r="P85" i="1" s="1"/>
  <c r="P86" i="1" s="1"/>
  <c r="P87" i="1" s="1"/>
  <c r="P88" i="1" s="1"/>
  <c r="P89" i="1" s="1"/>
  <c r="P90" i="1" s="1"/>
  <c r="P91" i="1" s="1"/>
  <c r="P92" i="1" s="1"/>
  <c r="P93" i="1" s="1"/>
  <c r="P94" i="1" s="1"/>
  <c r="P95" i="1" s="1"/>
  <c r="P96" i="1" s="1"/>
  <c r="P97" i="1" s="1"/>
  <c r="P98" i="1" s="1"/>
  <c r="P99" i="1" s="1"/>
  <c r="P100" i="1" s="1"/>
  <c r="P101" i="1" s="1"/>
  <c r="P102" i="1" s="1"/>
  <c r="P103" i="1" s="1"/>
  <c r="P104" i="1" s="1"/>
  <c r="P105" i="1" s="1"/>
  <c r="P106" i="1" s="1"/>
  <c r="P107" i="1" s="1"/>
  <c r="P108" i="1" s="1"/>
  <c r="P109" i="1" s="1"/>
  <c r="P110" i="1" s="1"/>
  <c r="P111" i="1" s="1"/>
  <c r="P112" i="1" s="1"/>
  <c r="P113" i="1" s="1"/>
  <c r="P114" i="1" s="1"/>
  <c r="P115" i="1" s="1"/>
  <c r="P116" i="1" s="1"/>
  <c r="P117" i="1" s="1"/>
  <c r="P118" i="1" s="1"/>
  <c r="P119" i="1" s="1"/>
  <c r="P120" i="1" s="1"/>
  <c r="P121" i="1" s="1"/>
  <c r="P122" i="1" s="1"/>
  <c r="P123" i="1" s="1"/>
  <c r="P124" i="1" s="1"/>
  <c r="P125" i="1" s="1"/>
  <c r="P126" i="1" s="1"/>
  <c r="P127" i="1" s="1"/>
  <c r="P128" i="1" s="1"/>
  <c r="P129" i="1" s="1"/>
  <c r="P130" i="1" s="1"/>
  <c r="P131" i="1" s="1"/>
  <c r="P132" i="1" s="1"/>
  <c r="P133" i="1" s="1"/>
  <c r="P134" i="1" s="1"/>
  <c r="P135" i="1" s="1"/>
  <c r="P136" i="1" s="1"/>
  <c r="AR6" i="8"/>
  <c r="AL6" i="5"/>
  <c r="BK6" i="1"/>
  <c r="D5" i="11"/>
  <c r="C4" i="14"/>
  <c r="U6" i="1" l="1"/>
  <c r="J7" i="1" s="1"/>
  <c r="D6" i="11"/>
  <c r="AQ7" i="1" l="1"/>
  <c r="U7" i="1" s="1"/>
  <c r="J8" i="1" s="1"/>
  <c r="AR7" i="8"/>
  <c r="AL7" i="5"/>
  <c r="D7" i="11"/>
  <c r="BK7" i="1"/>
  <c r="AQ8" i="1" l="1"/>
  <c r="U8" i="1" s="1"/>
  <c r="J9" i="1" s="1"/>
  <c r="AR8" i="8"/>
  <c r="AL8" i="5"/>
  <c r="BK8" i="1"/>
  <c r="D8" i="11"/>
  <c r="C5" i="14"/>
  <c r="AQ9" i="1" l="1"/>
  <c r="U9" i="1" s="1"/>
  <c r="J10" i="1" s="1"/>
  <c r="AR9" i="8"/>
  <c r="AL9" i="5"/>
  <c r="D9" i="11"/>
  <c r="BK9" i="1"/>
  <c r="C6" i="14"/>
  <c r="AQ10" i="1" l="1"/>
  <c r="U10" i="1" s="1"/>
  <c r="J11" i="1" s="1"/>
  <c r="AR10" i="8"/>
  <c r="AL10" i="5"/>
  <c r="BK10" i="1"/>
  <c r="D10" i="11"/>
  <c r="C7" i="14"/>
  <c r="AQ11" i="1" l="1"/>
  <c r="U11" i="1" s="1"/>
  <c r="J12" i="1" s="1"/>
  <c r="AR11" i="8"/>
  <c r="AL11" i="5"/>
  <c r="BK11" i="1"/>
  <c r="D11" i="11"/>
  <c r="C8" i="14"/>
  <c r="AQ12" i="1" l="1"/>
  <c r="AR12" i="8"/>
  <c r="AL12" i="5"/>
  <c r="C13" i="14"/>
  <c r="C9" i="14"/>
  <c r="U12" i="1" l="1"/>
  <c r="J13" i="1" s="1"/>
  <c r="BK12" i="1"/>
  <c r="D12" i="11"/>
  <c r="C14" i="14"/>
  <c r="C10" i="14"/>
  <c r="AQ13" i="1" l="1"/>
  <c r="AR13" i="8"/>
  <c r="AL13" i="5"/>
  <c r="C11" i="14"/>
  <c r="U13" i="1" l="1"/>
  <c r="J14" i="1" s="1"/>
  <c r="BK13" i="1"/>
  <c r="D13" i="11"/>
  <c r="C12" i="14"/>
  <c r="AQ14" i="1" l="1"/>
  <c r="U14" i="1" s="1"/>
  <c r="J15" i="1" s="1"/>
  <c r="AR14" i="8"/>
  <c r="AL14" i="5"/>
  <c r="BK14" i="1"/>
  <c r="D14" i="11"/>
  <c r="C16" i="14"/>
  <c r="AQ15" i="1" l="1"/>
  <c r="U15" i="1" s="1"/>
  <c r="J16" i="1" s="1"/>
  <c r="AR15" i="8"/>
  <c r="AL15" i="5"/>
  <c r="BK15" i="1"/>
  <c r="D15" i="11"/>
  <c r="C17" i="14"/>
  <c r="AQ16" i="1" l="1"/>
  <c r="AR16" i="8"/>
  <c r="AL16" i="5"/>
  <c r="C18" i="14"/>
  <c r="BK16" i="1" l="1"/>
  <c r="U16" i="1"/>
  <c r="J17" i="1" s="1"/>
  <c r="D16" i="11"/>
  <c r="C19" i="14"/>
  <c r="AQ17" i="1" l="1"/>
  <c r="AR17" i="8"/>
  <c r="AL17" i="5"/>
  <c r="C20" i="14"/>
  <c r="BK17" i="1" l="1"/>
  <c r="U17" i="1"/>
  <c r="J18" i="1" s="1"/>
  <c r="D17" i="11"/>
  <c r="C21" i="14"/>
  <c r="AQ18" i="1" l="1"/>
  <c r="AR18" i="8"/>
  <c r="AL18" i="5"/>
  <c r="C22" i="14"/>
  <c r="BK18" i="1" l="1"/>
  <c r="U18" i="1"/>
  <c r="J19" i="1" s="1"/>
  <c r="D18" i="11"/>
  <c r="C25" i="14"/>
  <c r="C23" i="14"/>
  <c r="AQ19" i="1" l="1"/>
  <c r="AR19" i="8"/>
  <c r="AL19" i="5"/>
  <c r="C24" i="14"/>
  <c r="U19" i="1" l="1"/>
  <c r="J20" i="1" s="1"/>
  <c r="BK19" i="1"/>
  <c r="D19" i="11"/>
  <c r="C27" i="14"/>
  <c r="AQ20" i="1" l="1"/>
  <c r="AR20" i="8"/>
  <c r="AL20" i="5"/>
  <c r="C28" i="14"/>
  <c r="BK20" i="1" l="1"/>
  <c r="U20" i="1"/>
  <c r="J21" i="1" s="1"/>
  <c r="D20" i="11"/>
  <c r="C29" i="14"/>
  <c r="AQ21" i="1" l="1"/>
  <c r="AR21" i="8"/>
  <c r="AL21" i="5"/>
  <c r="C30" i="14"/>
  <c r="U21" i="1" l="1"/>
  <c r="J22" i="1" s="1"/>
  <c r="BK21" i="1"/>
  <c r="D21" i="11"/>
  <c r="C31" i="14"/>
  <c r="AQ22" i="1" l="1"/>
  <c r="U22" i="1" s="1"/>
  <c r="J23" i="1" s="1"/>
  <c r="AR22" i="8"/>
  <c r="AL22" i="5"/>
  <c r="D22" i="11"/>
  <c r="BK22" i="1"/>
  <c r="C32" i="14"/>
  <c r="AQ23" i="1" l="1"/>
  <c r="AR23" i="8"/>
  <c r="AL23" i="5"/>
  <c r="C33" i="14"/>
  <c r="BK23" i="1" l="1"/>
  <c r="U23" i="1"/>
  <c r="J24" i="1" s="1"/>
  <c r="D23" i="11"/>
  <c r="C34" i="14"/>
  <c r="AQ24" i="1" l="1"/>
  <c r="AR24" i="8"/>
  <c r="AL24" i="5"/>
  <c r="C35" i="14"/>
  <c r="BK24" i="1" l="1"/>
  <c r="U24" i="1"/>
  <c r="J25" i="1" s="1"/>
  <c r="D24" i="11"/>
  <c r="AQ25" i="1" l="1"/>
  <c r="AR25" i="8"/>
  <c r="AL25" i="5"/>
  <c r="C37" i="14"/>
  <c r="BK25" i="1" l="1"/>
  <c r="U25" i="1"/>
  <c r="J26" i="1" s="1"/>
  <c r="D25" i="11"/>
  <c r="C38" i="14"/>
  <c r="AQ26" i="1" l="1"/>
  <c r="AR26" i="8"/>
  <c r="AL26" i="5"/>
  <c r="C39" i="14"/>
  <c r="BK26" i="1" l="1"/>
  <c r="U26" i="1"/>
  <c r="J27" i="1" s="1"/>
  <c r="D26" i="11"/>
  <c r="C40" i="14"/>
  <c r="AQ27" i="1" l="1"/>
  <c r="AR27" i="8"/>
  <c r="AL27" i="5"/>
  <c r="C41" i="14"/>
  <c r="U27" i="1" l="1"/>
  <c r="J28" i="1" s="1"/>
  <c r="BK27" i="1"/>
  <c r="D27" i="11"/>
  <c r="C42" i="14"/>
  <c r="AQ28" i="1" l="1"/>
  <c r="AR28" i="8"/>
  <c r="AL28" i="5"/>
  <c r="C43" i="14"/>
  <c r="U28" i="1" l="1"/>
  <c r="J29" i="1" s="1"/>
  <c r="BK28" i="1"/>
  <c r="D28" i="11"/>
  <c r="C44" i="14"/>
  <c r="AQ29" i="1" l="1"/>
  <c r="U29" i="1" s="1"/>
  <c r="J30" i="1" s="1"/>
  <c r="AR29" i="8"/>
  <c r="AL29" i="5"/>
  <c r="BK29" i="1"/>
  <c r="D29" i="11"/>
  <c r="C46" i="14"/>
  <c r="AQ30" i="1" l="1"/>
  <c r="AR30" i="8"/>
  <c r="AL30" i="5"/>
  <c r="C47" i="14"/>
  <c r="BK30" i="1" l="1"/>
  <c r="U30" i="1"/>
  <c r="J31" i="1" s="1"/>
  <c r="D30" i="11"/>
  <c r="C48" i="14"/>
  <c r="AQ31" i="1" l="1"/>
  <c r="AR31" i="8"/>
  <c r="AL31" i="5"/>
  <c r="C49" i="14"/>
  <c r="U31" i="1" l="1"/>
  <c r="J32" i="1" s="1"/>
  <c r="BK31" i="1"/>
  <c r="D31" i="11"/>
  <c r="C50" i="14"/>
  <c r="AQ32" i="1" l="1"/>
  <c r="AR32" i="8"/>
  <c r="AL32" i="5"/>
  <c r="C51" i="14"/>
  <c r="U32" i="1" l="1"/>
  <c r="J33" i="1" s="1"/>
  <c r="BK32" i="1"/>
  <c r="D32" i="11"/>
  <c r="C52" i="14"/>
  <c r="AQ33" i="1" l="1"/>
  <c r="U33" i="1" s="1"/>
  <c r="J34" i="1" s="1"/>
  <c r="AR33" i="8"/>
  <c r="AL33" i="5"/>
  <c r="BK33" i="1"/>
  <c r="D33" i="11"/>
  <c r="C54" i="14"/>
  <c r="AQ34" i="1" l="1"/>
  <c r="AR34" i="8"/>
  <c r="AL34" i="5"/>
  <c r="C55" i="14"/>
  <c r="U34" i="1" l="1"/>
  <c r="J35" i="1" s="1"/>
  <c r="BK34" i="1"/>
  <c r="D34" i="11"/>
  <c r="C56" i="14"/>
  <c r="AQ35" i="1" l="1"/>
  <c r="AR35" i="8"/>
  <c r="AL35" i="5"/>
  <c r="C57" i="14"/>
  <c r="U35" i="1" l="1"/>
  <c r="J36" i="1" s="1"/>
  <c r="BK35" i="1"/>
  <c r="D35" i="11"/>
  <c r="C58" i="14"/>
  <c r="AQ36" i="1" l="1"/>
  <c r="AR36" i="8"/>
  <c r="AL36" i="5"/>
  <c r="C59" i="14"/>
  <c r="U36" i="1" l="1"/>
  <c r="J37" i="1" s="1"/>
  <c r="BK36" i="1"/>
  <c r="D36" i="11"/>
  <c r="AQ37" i="1" l="1"/>
  <c r="AR37" i="8"/>
  <c r="AL37" i="5"/>
  <c r="C61" i="14"/>
  <c r="U37" i="1" l="1"/>
  <c r="J38" i="1" s="1"/>
  <c r="BK37" i="1"/>
  <c r="D37" i="11"/>
  <c r="C62" i="14"/>
  <c r="AQ38" i="1" l="1"/>
  <c r="AR38" i="8"/>
  <c r="AL38" i="5"/>
  <c r="C63" i="14"/>
  <c r="U38" i="1" l="1"/>
  <c r="J39" i="1" s="1"/>
  <c r="BK38" i="1"/>
  <c r="D38" i="11"/>
  <c r="C64" i="14"/>
  <c r="AQ39" i="1" l="1"/>
  <c r="AR39" i="8"/>
  <c r="AL39" i="5"/>
  <c r="C65" i="14"/>
  <c r="BK39" i="1" l="1"/>
  <c r="U39" i="1"/>
  <c r="J40" i="1" s="1"/>
  <c r="B65" i="4" s="1"/>
  <c r="D39" i="11"/>
  <c r="AQ40" i="1" l="1"/>
  <c r="AR40" i="8"/>
  <c r="AL40" i="5"/>
  <c r="C67" i="14"/>
  <c r="U40" i="1" l="1"/>
  <c r="J41" i="1" s="1"/>
  <c r="BK40" i="1"/>
  <c r="D40" i="11"/>
  <c r="C68" i="14"/>
  <c r="AQ41" i="1" l="1"/>
  <c r="AR41" i="8"/>
  <c r="AL41" i="5"/>
  <c r="C69" i="14"/>
  <c r="C15" i="14"/>
  <c r="BK41" i="1" l="1"/>
  <c r="U41" i="1"/>
  <c r="J42" i="1" s="1"/>
  <c r="D41" i="11"/>
  <c r="C70" i="14"/>
  <c r="C26" i="14"/>
  <c r="AQ42" i="1" l="1"/>
  <c r="AR42" i="8"/>
  <c r="AL42" i="5"/>
  <c r="C36" i="14"/>
  <c r="BK42" i="1" l="1"/>
  <c r="U42" i="1"/>
  <c r="J43" i="1" s="1"/>
  <c r="D42" i="11"/>
  <c r="C45" i="14"/>
  <c r="C72" i="14"/>
  <c r="AQ43" i="1" l="1"/>
  <c r="AR43" i="8"/>
  <c r="AL43" i="5"/>
  <c r="C73" i="14"/>
  <c r="C53" i="14"/>
  <c r="U43" i="1" l="1"/>
  <c r="J44" i="1" s="1"/>
  <c r="BK43" i="1"/>
  <c r="D43" i="11"/>
  <c r="C74" i="14"/>
  <c r="C60" i="14"/>
  <c r="AQ44" i="1" l="1"/>
  <c r="AR44" i="8"/>
  <c r="AL44" i="5"/>
  <c r="C66" i="14"/>
  <c r="U44" i="1" l="1"/>
  <c r="J45" i="1" s="1"/>
  <c r="BK44" i="1"/>
  <c r="D44" i="11"/>
  <c r="C76" i="14"/>
  <c r="C71" i="14"/>
  <c r="AQ45" i="1" l="1"/>
  <c r="AR45" i="8"/>
  <c r="AL45" i="5"/>
  <c r="C77" i="14"/>
  <c r="C75" i="14"/>
  <c r="U45" i="1" l="1"/>
  <c r="J46" i="1" s="1"/>
  <c r="BK45" i="1"/>
  <c r="D45" i="11"/>
  <c r="C78" i="14"/>
  <c r="AQ46" i="1" l="1"/>
  <c r="AR46" i="8"/>
  <c r="AL46" i="5"/>
  <c r="C79" i="14"/>
  <c r="BK46" i="1" l="1"/>
  <c r="U46" i="1"/>
  <c r="J47" i="1" s="1"/>
  <c r="D46" i="11"/>
  <c r="C80" i="14"/>
  <c r="AQ47" i="1" l="1"/>
  <c r="AR47" i="8"/>
  <c r="AL47" i="5"/>
  <c r="C81" i="14"/>
  <c r="U47" i="1" l="1"/>
  <c r="J48" i="1" s="1"/>
  <c r="BK47" i="1"/>
  <c r="D47" i="11"/>
  <c r="C82" i="14"/>
  <c r="AQ48" i="1" l="1"/>
  <c r="AR48" i="8"/>
  <c r="AL48" i="5"/>
  <c r="C83" i="14"/>
  <c r="U48" i="1" l="1"/>
  <c r="J49" i="1" s="1"/>
  <c r="BK48" i="1"/>
  <c r="D48" i="11"/>
  <c r="C84" i="14"/>
  <c r="AQ49" i="1" l="1"/>
  <c r="AR49" i="8"/>
  <c r="AL49" i="5"/>
  <c r="C85" i="14"/>
  <c r="U49" i="1" l="1"/>
  <c r="J50" i="1" s="1"/>
  <c r="BK49" i="1"/>
  <c r="D49" i="11"/>
  <c r="C86" i="14"/>
  <c r="AQ50" i="1" l="1"/>
  <c r="AR50" i="8"/>
  <c r="AL50" i="5"/>
  <c r="C87" i="14"/>
  <c r="BK50" i="1" l="1"/>
  <c r="U50" i="1"/>
  <c r="J51" i="1" s="1"/>
  <c r="D50" i="11"/>
  <c r="C88" i="14"/>
  <c r="AQ51" i="1" l="1"/>
  <c r="AR51" i="8"/>
  <c r="AL51" i="5"/>
  <c r="C89" i="14"/>
  <c r="BK51" i="1" l="1"/>
  <c r="U51" i="1"/>
  <c r="J52" i="1" s="1"/>
  <c r="D51" i="11"/>
  <c r="C90" i="14"/>
  <c r="AQ52" i="1" l="1"/>
  <c r="AR52" i="8"/>
  <c r="AL52" i="5"/>
  <c r="C91" i="14"/>
  <c r="U52" i="1" l="1"/>
  <c r="J53" i="1" s="1"/>
  <c r="BK52" i="1"/>
  <c r="D52" i="11"/>
  <c r="C92" i="14"/>
  <c r="AQ53" i="1" l="1"/>
  <c r="AR53" i="8"/>
  <c r="AL53" i="5"/>
  <c r="C93" i="14"/>
  <c r="U53" i="1" l="1"/>
  <c r="J54" i="1" s="1"/>
  <c r="BK53" i="1"/>
  <c r="D53" i="11"/>
  <c r="C94" i="14"/>
  <c r="AQ54" i="1" l="1"/>
  <c r="AR54" i="8"/>
  <c r="AL54" i="5"/>
  <c r="C95" i="14"/>
  <c r="BK54" i="1" l="1"/>
  <c r="U54" i="1"/>
  <c r="J55" i="1" s="1"/>
  <c r="D54" i="11"/>
  <c r="C96" i="14"/>
  <c r="AQ55" i="1" l="1"/>
  <c r="AR55" i="8"/>
  <c r="AL55" i="5"/>
  <c r="C97" i="14"/>
  <c r="BK55" i="1" l="1"/>
  <c r="U55" i="1"/>
  <c r="J56" i="1" s="1"/>
  <c r="D55" i="11"/>
  <c r="C98" i="14"/>
  <c r="AQ56" i="1" l="1"/>
  <c r="AR56" i="8"/>
  <c r="AL56" i="5"/>
  <c r="C99" i="14"/>
  <c r="BK56" i="1" l="1"/>
  <c r="U56" i="1"/>
  <c r="J57" i="1" s="1"/>
  <c r="D56" i="11"/>
  <c r="C100" i="14"/>
  <c r="AQ57" i="1" l="1"/>
  <c r="AR57" i="8"/>
  <c r="AL57" i="5"/>
  <c r="C101" i="14"/>
  <c r="U57" i="1" l="1"/>
  <c r="J58" i="1" s="1"/>
  <c r="BK57" i="1"/>
  <c r="D57" i="11"/>
  <c r="C102" i="14"/>
  <c r="AQ58" i="1" l="1"/>
  <c r="AR58" i="8"/>
  <c r="AL58" i="5"/>
  <c r="C103" i="14"/>
  <c r="U58" i="1" l="1"/>
  <c r="J59" i="1" s="1"/>
  <c r="BK58" i="1"/>
  <c r="D58" i="11"/>
  <c r="C104" i="14"/>
  <c r="AQ59" i="1" l="1"/>
  <c r="AR59" i="8"/>
  <c r="AL59" i="5"/>
  <c r="C105" i="14"/>
  <c r="U59" i="1" l="1"/>
  <c r="J60" i="1" s="1"/>
  <c r="BK59" i="1"/>
  <c r="D59" i="11"/>
  <c r="C106" i="14"/>
  <c r="AQ60" i="1" l="1"/>
  <c r="AR60" i="8"/>
  <c r="AL60" i="5"/>
  <c r="C107" i="14"/>
  <c r="U60" i="1" l="1"/>
  <c r="J61" i="1" s="1"/>
  <c r="BK60" i="1"/>
  <c r="D60" i="11"/>
  <c r="C108" i="14"/>
  <c r="AQ61" i="1" l="1"/>
  <c r="AR61" i="8"/>
  <c r="AL61" i="5"/>
  <c r="C109" i="14"/>
  <c r="BK61" i="1" l="1"/>
  <c r="U61" i="1"/>
  <c r="J62" i="1" s="1"/>
  <c r="D61" i="11"/>
  <c r="C110" i="14"/>
  <c r="AQ62" i="1" l="1"/>
  <c r="AR62" i="8"/>
  <c r="AL62" i="5"/>
  <c r="C111" i="14"/>
  <c r="U62" i="1" l="1"/>
  <c r="J63" i="1" s="1"/>
  <c r="BK62" i="1"/>
  <c r="D62" i="11"/>
  <c r="C112" i="14"/>
  <c r="AQ63" i="1" l="1"/>
  <c r="AR63" i="8"/>
  <c r="AL63" i="5"/>
  <c r="C113" i="14"/>
  <c r="BK63" i="1" l="1"/>
  <c r="U63" i="1"/>
  <c r="J64" i="1" s="1"/>
  <c r="D63" i="11"/>
  <c r="C114" i="14"/>
  <c r="AQ64" i="1" l="1"/>
  <c r="AR64" i="8"/>
  <c r="AL64" i="5"/>
  <c r="C115" i="14"/>
  <c r="BK64" i="1" l="1"/>
  <c r="U64" i="1"/>
  <c r="J65" i="1" s="1"/>
  <c r="D64" i="11"/>
  <c r="C116" i="14"/>
  <c r="AQ65" i="1" l="1"/>
  <c r="AR65" i="8"/>
  <c r="AL65" i="5"/>
  <c r="C117" i="14"/>
  <c r="U65" i="1" l="1"/>
  <c r="J66" i="1" s="1"/>
  <c r="BK65" i="1"/>
  <c r="D65" i="11"/>
  <c r="C118" i="14"/>
  <c r="AQ66" i="1" l="1"/>
  <c r="AR66" i="8"/>
  <c r="AL66" i="5"/>
  <c r="C119" i="14"/>
  <c r="U66" i="1" l="1"/>
  <c r="J67" i="1" s="1"/>
  <c r="BK66" i="1"/>
  <c r="D66" i="11"/>
  <c r="C120" i="14"/>
  <c r="AQ67" i="1" l="1"/>
  <c r="AR67" i="8"/>
  <c r="AL67" i="5"/>
  <c r="C121" i="14"/>
  <c r="U67" i="1" l="1"/>
  <c r="J68" i="1" s="1"/>
  <c r="BK67" i="1"/>
  <c r="D67" i="11"/>
  <c r="C122" i="14"/>
  <c r="AQ68" i="1" l="1"/>
  <c r="AR68" i="8"/>
  <c r="AL68" i="5"/>
  <c r="C123" i="14"/>
  <c r="U68" i="1" l="1"/>
  <c r="J69" i="1" s="1"/>
  <c r="BK68" i="1"/>
  <c r="D68" i="11"/>
  <c r="C124" i="14"/>
  <c r="AQ69" i="1" l="1"/>
  <c r="AR69" i="8"/>
  <c r="AL69" i="5"/>
  <c r="C125" i="14"/>
  <c r="U69" i="1" l="1"/>
  <c r="J70" i="1" s="1"/>
  <c r="BK69" i="1"/>
  <c r="D69" i="11"/>
  <c r="C126" i="14"/>
  <c r="AQ70" i="1" l="1"/>
  <c r="AR70" i="8"/>
  <c r="AL70" i="5"/>
  <c r="C127" i="14"/>
  <c r="U70" i="1" l="1"/>
  <c r="J71" i="1" s="1"/>
  <c r="BK70" i="1"/>
  <c r="D70" i="11"/>
  <c r="C128" i="14"/>
  <c r="AQ71" i="1" l="1"/>
  <c r="AR71" i="8"/>
  <c r="AL71" i="5"/>
  <c r="C129" i="14"/>
  <c r="U71" i="1" l="1"/>
  <c r="J72" i="1" s="1"/>
  <c r="BK71" i="1"/>
  <c r="D71" i="11"/>
  <c r="C130" i="14"/>
  <c r="AQ72" i="1" l="1"/>
  <c r="AR72" i="8"/>
  <c r="AL72" i="5"/>
  <c r="C131" i="14"/>
  <c r="U72" i="1" l="1"/>
  <c r="J73" i="1" s="1"/>
  <c r="BK72" i="1"/>
  <c r="D72" i="11"/>
  <c r="C132" i="14"/>
  <c r="AQ73" i="1" l="1"/>
  <c r="AR73" i="8"/>
  <c r="AL73" i="5"/>
  <c r="C133" i="14"/>
  <c r="U73" i="1" l="1"/>
  <c r="J74" i="1" s="1"/>
  <c r="BK73" i="1"/>
  <c r="D73" i="11"/>
  <c r="C134" i="14"/>
  <c r="AQ74" i="1" l="1"/>
  <c r="AR74" i="8"/>
  <c r="AL74" i="5"/>
  <c r="C136" i="14"/>
  <c r="C135" i="14"/>
  <c r="U74" i="1" l="1"/>
  <c r="J75" i="1" s="1"/>
  <c r="BK74" i="1"/>
  <c r="D74" i="11"/>
  <c r="AQ75" i="1" l="1"/>
  <c r="AR75" i="8"/>
  <c r="AL75" i="5"/>
  <c r="BK75" i="1" l="1"/>
  <c r="U75" i="1"/>
  <c r="J76" i="1" s="1"/>
  <c r="D75" i="11"/>
  <c r="AQ76" i="1" l="1"/>
  <c r="U76" i="1" s="1"/>
  <c r="J77" i="1" s="1"/>
  <c r="AR76" i="8"/>
  <c r="AL76" i="5"/>
  <c r="BK76" i="1"/>
  <c r="D76" i="11"/>
  <c r="AQ77" i="1" l="1"/>
  <c r="U77" i="1" s="1"/>
  <c r="J78" i="1" s="1"/>
  <c r="AR77" i="8"/>
  <c r="AL77" i="5"/>
  <c r="BK77" i="1"/>
  <c r="D77" i="11"/>
  <c r="AQ78" i="1" l="1"/>
  <c r="U78" i="1" s="1"/>
  <c r="J79" i="1" s="1"/>
  <c r="AR78" i="8"/>
  <c r="AL78" i="5"/>
  <c r="BK78" i="1"/>
  <c r="D78" i="11"/>
  <c r="AQ79" i="1" l="1"/>
  <c r="U79" i="1" s="1"/>
  <c r="J80" i="1" s="1"/>
  <c r="AR79" i="8"/>
  <c r="AL79" i="5"/>
  <c r="BK79" i="1"/>
  <c r="D79" i="11"/>
  <c r="AQ80" i="1" l="1"/>
  <c r="U80" i="1" s="1"/>
  <c r="J81" i="1" s="1"/>
  <c r="AR80" i="8"/>
  <c r="AL80" i="5"/>
  <c r="BK80" i="1"/>
  <c r="D80" i="11"/>
  <c r="AQ81" i="1" l="1"/>
  <c r="U81" i="1" s="1"/>
  <c r="J82" i="1" s="1"/>
  <c r="AR81" i="8"/>
  <c r="AL81" i="5"/>
  <c r="BK81" i="1"/>
  <c r="D81" i="11"/>
  <c r="AQ82" i="1" l="1"/>
  <c r="U82" i="1" s="1"/>
  <c r="J83" i="1" s="1"/>
  <c r="AR82" i="8"/>
  <c r="AL82" i="5"/>
  <c r="BK82" i="1"/>
  <c r="D82" i="11"/>
  <c r="AQ83" i="1" l="1"/>
  <c r="U83" i="1" s="1"/>
  <c r="J84" i="1" s="1"/>
  <c r="AR83" i="8"/>
  <c r="AL83" i="5"/>
  <c r="BK83" i="1"/>
  <c r="D83" i="11"/>
  <c r="AQ84" i="1" l="1"/>
  <c r="U84" i="1" s="1"/>
  <c r="J85" i="1" s="1"/>
  <c r="AR84" i="8"/>
  <c r="AL84" i="5"/>
  <c r="BK84" i="1"/>
  <c r="D84" i="11"/>
  <c r="AQ85" i="1" l="1"/>
  <c r="U85" i="1" s="1"/>
  <c r="J86" i="1" s="1"/>
  <c r="AR85" i="8"/>
  <c r="AL85" i="5"/>
  <c r="BK85" i="1"/>
  <c r="D85" i="11"/>
  <c r="AQ86" i="1" l="1"/>
  <c r="U86" i="1" s="1"/>
  <c r="J87" i="1" s="1"/>
  <c r="AR86" i="8"/>
  <c r="AL86" i="5"/>
  <c r="BK86" i="1"/>
  <c r="D86" i="11"/>
  <c r="AQ87" i="1" l="1"/>
  <c r="U87" i="1" s="1"/>
  <c r="J88" i="1" s="1"/>
  <c r="AR87" i="8"/>
  <c r="AL87" i="5"/>
  <c r="BK87" i="1"/>
  <c r="D87" i="11"/>
  <c r="AQ88" i="1" l="1"/>
  <c r="U88" i="1" s="1"/>
  <c r="J89" i="1" s="1"/>
  <c r="AR88" i="8"/>
  <c r="AL88" i="5"/>
  <c r="BK88" i="1"/>
  <c r="D88" i="11"/>
  <c r="AQ89" i="1" l="1"/>
  <c r="U89" i="1" s="1"/>
  <c r="J90" i="1" s="1"/>
  <c r="AR89" i="8"/>
  <c r="AL89" i="5"/>
  <c r="BK89" i="1"/>
  <c r="D89" i="11"/>
  <c r="AQ90" i="1" l="1"/>
  <c r="U90" i="1" s="1"/>
  <c r="J91" i="1" s="1"/>
  <c r="AR90" i="8"/>
  <c r="AL90" i="5"/>
  <c r="BK90" i="1"/>
  <c r="D90" i="11"/>
  <c r="AQ91" i="1" l="1"/>
  <c r="U91" i="1" s="1"/>
  <c r="J92" i="1" s="1"/>
  <c r="AR91" i="8"/>
  <c r="AL91" i="5"/>
  <c r="BK91" i="1"/>
  <c r="D91" i="11"/>
  <c r="AQ92" i="1" l="1"/>
  <c r="U92" i="1" s="1"/>
  <c r="J93" i="1" s="1"/>
  <c r="AR92" i="8"/>
  <c r="AL92" i="5"/>
  <c r="BK92" i="1"/>
  <c r="D92" i="11"/>
  <c r="AQ93" i="1" l="1"/>
  <c r="U93" i="1" s="1"/>
  <c r="J94" i="1" s="1"/>
  <c r="AR93" i="8"/>
  <c r="AL93" i="5"/>
  <c r="BK93" i="1"/>
  <c r="D93" i="11"/>
  <c r="AQ94" i="1" l="1"/>
  <c r="U94" i="1" s="1"/>
  <c r="J95" i="1" s="1"/>
  <c r="AR94" i="8"/>
  <c r="AL94" i="5"/>
  <c r="BK94" i="1"/>
  <c r="D94" i="11"/>
  <c r="AQ95" i="1" l="1"/>
  <c r="U95" i="1" s="1"/>
  <c r="J96" i="1" s="1"/>
  <c r="AR95" i="8"/>
  <c r="AL95" i="5"/>
  <c r="BK95" i="1"/>
  <c r="D95" i="11"/>
  <c r="AQ96" i="1" l="1"/>
  <c r="U96" i="1" s="1"/>
  <c r="J97" i="1" s="1"/>
  <c r="AR96" i="8"/>
  <c r="AL96" i="5"/>
  <c r="BK96" i="1"/>
  <c r="D96" i="11"/>
  <c r="AQ97" i="1" l="1"/>
  <c r="U97" i="1" s="1"/>
  <c r="J98" i="1" s="1"/>
  <c r="AR97" i="8"/>
  <c r="AL97" i="5"/>
  <c r="BK97" i="1"/>
  <c r="D97" i="11"/>
  <c r="AQ98" i="1" l="1"/>
  <c r="U98" i="1" s="1"/>
  <c r="J99" i="1" s="1"/>
  <c r="AR98" i="8"/>
  <c r="AL98" i="5"/>
  <c r="BK98" i="1"/>
  <c r="D98" i="11"/>
  <c r="AQ99" i="1" l="1"/>
  <c r="U99" i="1" s="1"/>
  <c r="J100" i="1" s="1"/>
  <c r="AR99" i="8"/>
  <c r="AL99" i="5"/>
  <c r="BK99" i="1"/>
  <c r="D99" i="11"/>
  <c r="AQ100" i="1" l="1"/>
  <c r="U100" i="1" s="1"/>
  <c r="J101" i="1" s="1"/>
  <c r="AR100" i="8"/>
  <c r="AL100" i="5"/>
  <c r="BK100" i="1"/>
  <c r="D100" i="11"/>
  <c r="AQ101" i="1" l="1"/>
  <c r="U101" i="1" s="1"/>
  <c r="J102" i="1" s="1"/>
  <c r="AR101" i="8"/>
  <c r="AL101" i="5"/>
  <c r="BK101" i="1"/>
  <c r="D101" i="11"/>
  <c r="AQ102" i="1" l="1"/>
  <c r="U102" i="1" s="1"/>
  <c r="J103" i="1" s="1"/>
  <c r="AR102" i="8"/>
  <c r="AL102" i="5"/>
  <c r="BK102" i="1"/>
  <c r="D102" i="11"/>
  <c r="AQ103" i="1" l="1"/>
  <c r="U103" i="1" s="1"/>
  <c r="J104" i="1" s="1"/>
  <c r="AR103" i="8"/>
  <c r="AL103" i="5"/>
  <c r="BK103" i="1"/>
  <c r="D103" i="11"/>
  <c r="AQ104" i="1" l="1"/>
  <c r="U104" i="1" s="1"/>
  <c r="J105" i="1" s="1"/>
  <c r="AR104" i="8"/>
  <c r="AL104" i="5"/>
  <c r="BK104" i="1"/>
  <c r="D104" i="11"/>
  <c r="AQ105" i="1" l="1"/>
  <c r="U105" i="1" s="1"/>
  <c r="J106" i="1" s="1"/>
  <c r="AR105" i="8"/>
  <c r="AL105" i="5"/>
  <c r="BK105" i="1"/>
  <c r="D105" i="11"/>
  <c r="AQ106" i="1" l="1"/>
  <c r="U106" i="1" s="1"/>
  <c r="J107" i="1" s="1"/>
  <c r="AR106" i="8"/>
  <c r="AL106" i="5"/>
  <c r="BK106" i="1"/>
  <c r="D106" i="11"/>
  <c r="AQ107" i="1" l="1"/>
  <c r="U107" i="1" s="1"/>
  <c r="J108" i="1" s="1"/>
  <c r="AR107" i="8"/>
  <c r="AL107" i="5"/>
  <c r="BK107" i="1"/>
  <c r="D107" i="11"/>
  <c r="AQ108" i="1" l="1"/>
  <c r="U108" i="1" s="1"/>
  <c r="J109" i="1" s="1"/>
  <c r="AR108" i="8"/>
  <c r="AL108" i="5"/>
  <c r="BK108" i="1"/>
  <c r="D108" i="11"/>
  <c r="AQ109" i="1" l="1"/>
  <c r="U109" i="1" s="1"/>
  <c r="J110" i="1" s="1"/>
  <c r="AR109" i="8"/>
  <c r="AL109" i="5"/>
  <c r="BK109" i="1"/>
  <c r="D109" i="11"/>
  <c r="AQ110" i="1" l="1"/>
  <c r="U110" i="1" s="1"/>
  <c r="J111" i="1" s="1"/>
  <c r="AR110" i="8"/>
  <c r="AL110" i="5"/>
  <c r="BK110" i="1"/>
  <c r="D110" i="11"/>
  <c r="AQ111" i="1" l="1"/>
  <c r="U111" i="1" s="1"/>
  <c r="J112" i="1" s="1"/>
  <c r="AR111" i="8"/>
  <c r="AL111" i="5"/>
  <c r="BK111" i="1"/>
  <c r="D111" i="11"/>
  <c r="AQ112" i="1" l="1"/>
  <c r="U112" i="1" s="1"/>
  <c r="J113" i="1" s="1"/>
  <c r="AR112" i="8"/>
  <c r="AL112" i="5"/>
  <c r="BK112" i="1"/>
  <c r="D112" i="11"/>
  <c r="AQ113" i="1" l="1"/>
  <c r="U113" i="1" s="1"/>
  <c r="J114" i="1" s="1"/>
  <c r="AR113" i="8"/>
  <c r="AL113" i="5"/>
  <c r="BK113" i="1"/>
  <c r="D113" i="11"/>
  <c r="AQ114" i="1" l="1"/>
  <c r="U114" i="1" s="1"/>
  <c r="J115" i="1" s="1"/>
  <c r="AR114" i="8"/>
  <c r="AL114" i="5"/>
  <c r="BK114" i="1"/>
  <c r="D114" i="11"/>
  <c r="AQ115" i="1" l="1"/>
  <c r="U115" i="1" s="1"/>
  <c r="J116" i="1" s="1"/>
  <c r="AR115" i="8"/>
  <c r="AL115" i="5"/>
  <c r="BK115" i="1"/>
  <c r="D115" i="11"/>
  <c r="AQ116" i="1" l="1"/>
  <c r="U116" i="1" s="1"/>
  <c r="J117" i="1" s="1"/>
  <c r="AR116" i="8"/>
  <c r="AL116" i="5"/>
  <c r="BK116" i="1"/>
  <c r="D116" i="11"/>
  <c r="AQ117" i="1" l="1"/>
  <c r="U117" i="1" s="1"/>
  <c r="J118" i="1" s="1"/>
  <c r="AR117" i="8"/>
  <c r="AL117" i="5"/>
  <c r="BK117" i="1"/>
  <c r="D117" i="11"/>
  <c r="AQ118" i="1" l="1"/>
  <c r="U118" i="1" s="1"/>
  <c r="J119" i="1" s="1"/>
  <c r="AR118" i="8"/>
  <c r="AL118" i="5"/>
  <c r="BK118" i="1"/>
  <c r="D118" i="11"/>
  <c r="AQ119" i="1" l="1"/>
  <c r="U119" i="1" s="1"/>
  <c r="J120" i="1" s="1"/>
  <c r="AR119" i="8"/>
  <c r="AL119" i="5"/>
  <c r="BK119" i="1"/>
  <c r="D119" i="11"/>
  <c r="AQ120" i="1" l="1"/>
  <c r="U120" i="1" s="1"/>
  <c r="J121" i="1" s="1"/>
  <c r="AR120" i="8"/>
  <c r="AL120" i="5"/>
  <c r="BK120" i="1"/>
  <c r="D120" i="11"/>
  <c r="AQ121" i="1" l="1"/>
  <c r="U121" i="1" s="1"/>
  <c r="J122" i="1" s="1"/>
  <c r="AR121" i="8"/>
  <c r="AL121" i="5"/>
  <c r="BK121" i="1"/>
  <c r="D121" i="11"/>
  <c r="AQ122" i="1" l="1"/>
  <c r="U122" i="1" s="1"/>
  <c r="J123" i="1" s="1"/>
  <c r="AR122" i="8"/>
  <c r="AL122" i="5"/>
  <c r="BK122" i="1"/>
  <c r="D122" i="11"/>
  <c r="AQ123" i="1" l="1"/>
  <c r="U123" i="1" s="1"/>
  <c r="J124" i="1" s="1"/>
  <c r="AR123" i="8"/>
  <c r="AL123" i="5"/>
  <c r="BK123" i="1"/>
  <c r="D123" i="11"/>
  <c r="AQ124" i="1" l="1"/>
  <c r="U124" i="1" s="1"/>
  <c r="J125" i="1" s="1"/>
  <c r="AR124" i="8"/>
  <c r="AL124" i="5"/>
  <c r="BK124" i="1"/>
  <c r="D124" i="11"/>
  <c r="AQ125" i="1" l="1"/>
  <c r="U125" i="1" s="1"/>
  <c r="J126" i="1" s="1"/>
  <c r="AR125" i="8"/>
  <c r="AL125" i="5"/>
  <c r="BK125" i="1"/>
  <c r="D125" i="11"/>
  <c r="AQ126" i="1" l="1"/>
  <c r="U126" i="1" s="1"/>
  <c r="J127" i="1" s="1"/>
  <c r="AR126" i="8"/>
  <c r="AL126" i="5"/>
  <c r="BK126" i="1"/>
  <c r="D126" i="11"/>
  <c r="AQ127" i="1" l="1"/>
  <c r="U127" i="1" s="1"/>
  <c r="J128" i="1" s="1"/>
  <c r="AR127" i="8"/>
  <c r="AL127" i="5"/>
  <c r="BK127" i="1"/>
  <c r="D127" i="11"/>
  <c r="AQ128" i="1" l="1"/>
  <c r="U128" i="1" s="1"/>
  <c r="J129" i="1" s="1"/>
  <c r="AR128" i="8"/>
  <c r="AL128" i="5"/>
  <c r="BK128" i="1"/>
  <c r="D128" i="11"/>
  <c r="AQ129" i="1" l="1"/>
  <c r="U129" i="1" s="1"/>
  <c r="J130" i="1" s="1"/>
  <c r="AR129" i="8"/>
  <c r="AL129" i="5"/>
  <c r="BK129" i="1"/>
  <c r="D129" i="11"/>
  <c r="AQ130" i="1" l="1"/>
  <c r="U130" i="1" s="1"/>
  <c r="J131" i="1" s="1"/>
  <c r="AR130" i="8"/>
  <c r="AL130" i="5"/>
  <c r="BK130" i="1"/>
  <c r="D130" i="11"/>
  <c r="AQ131" i="1" l="1"/>
  <c r="U131" i="1" s="1"/>
  <c r="J132" i="1" s="1"/>
  <c r="AR131" i="8"/>
  <c r="AL131" i="5"/>
  <c r="BK131" i="1"/>
  <c r="D131" i="11"/>
  <c r="AQ132" i="1" l="1"/>
  <c r="U132" i="1" s="1"/>
  <c r="J133" i="1" s="1"/>
  <c r="AR132" i="8"/>
  <c r="AL132" i="5"/>
  <c r="BK132" i="1"/>
  <c r="D132" i="11"/>
  <c r="AQ133" i="1" l="1"/>
  <c r="U133" i="1" s="1"/>
  <c r="J134" i="1" s="1"/>
  <c r="AR133" i="8"/>
  <c r="AL133" i="5"/>
  <c r="BK133" i="1"/>
  <c r="D133" i="11"/>
  <c r="AQ134" i="1" l="1"/>
  <c r="U134" i="1" s="1"/>
  <c r="J135" i="1" s="1"/>
  <c r="AR134" i="8"/>
  <c r="AL134" i="5"/>
  <c r="BK134" i="1"/>
  <c r="D134" i="11"/>
  <c r="AQ135" i="1" l="1"/>
  <c r="U135" i="1" s="1"/>
  <c r="J136" i="1" s="1"/>
  <c r="AR135" i="8"/>
  <c r="AL135" i="5"/>
  <c r="BK135" i="1"/>
  <c r="D135" i="11"/>
  <c r="AQ136" i="1" l="1"/>
  <c r="U136" i="1" s="1"/>
  <c r="AR136" i="8"/>
  <c r="AL136" i="5"/>
  <c r="BK136" i="1"/>
  <c r="D136" i="11"/>
  <c r="D5" i="2" l="1"/>
  <c r="U5" i="2" s="1"/>
  <c r="W4" i="2" l="1"/>
  <c r="C5" i="2" l="1"/>
  <c r="S5" i="8" s="1"/>
  <c r="H5" i="2" l="1"/>
  <c r="F5" i="2"/>
  <c r="G5" i="2" s="1"/>
  <c r="Z5" i="2" s="1"/>
  <c r="F5" i="1"/>
  <c r="I5" i="2"/>
  <c r="AA5" i="1" s="1"/>
  <c r="S5" i="1" s="1"/>
  <c r="H6" i="1" s="1"/>
  <c r="T5" i="8"/>
  <c r="W5" i="8" s="1"/>
  <c r="V5" i="8"/>
  <c r="AK6" i="5" l="1"/>
  <c r="J5" i="11"/>
  <c r="P5" i="7" s="1"/>
  <c r="AP5" i="1"/>
  <c r="T5" i="1" s="1"/>
  <c r="I6" i="1" s="1"/>
  <c r="AO6" i="1" s="1"/>
  <c r="AA6" i="8"/>
  <c r="B6" i="8" s="1"/>
  <c r="O5" i="7"/>
  <c r="I5" i="11"/>
  <c r="AC6" i="7"/>
  <c r="C6" i="11"/>
  <c r="V6" i="10"/>
  <c r="AQ6" i="8"/>
  <c r="BI6" i="1"/>
  <c r="C5" i="8"/>
  <c r="F5" i="9" l="1"/>
  <c r="BJ6" i="1"/>
  <c r="H6" i="11"/>
  <c r="AW6" i="8"/>
  <c r="E6" i="2"/>
  <c r="L6" i="2" s="1"/>
  <c r="AB6" i="7"/>
  <c r="AJ6" i="7" s="1"/>
  <c r="D6" i="2"/>
  <c r="U6" i="2" s="1"/>
  <c r="Y5" i="2"/>
  <c r="X5" i="2" s="1"/>
  <c r="W5" i="2" l="1"/>
  <c r="C6" i="2" l="1"/>
  <c r="S6" i="8" l="1"/>
  <c r="V6" i="8" s="1"/>
  <c r="I6" i="2"/>
  <c r="AA6" i="1" s="1"/>
  <c r="S6" i="1" s="1"/>
  <c r="H7" i="1" s="1"/>
  <c r="H6" i="2"/>
  <c r="F6" i="2"/>
  <c r="F6" i="1"/>
  <c r="AK7" i="5" l="1"/>
  <c r="T6" i="8"/>
  <c r="W6" i="8" s="1"/>
  <c r="AP6" i="1"/>
  <c r="T6" i="1" s="1"/>
  <c r="I7" i="1" s="1"/>
  <c r="G6" i="2"/>
  <c r="Z6" i="2" s="1"/>
  <c r="J6" i="11"/>
  <c r="P6" i="7" s="1"/>
  <c r="O6" i="7"/>
  <c r="I6" i="11"/>
  <c r="AQ7" i="8"/>
  <c r="V7" i="10"/>
  <c r="C7" i="11"/>
  <c r="BI7" i="1"/>
  <c r="AC7" i="7"/>
  <c r="F6" i="9" l="1"/>
  <c r="C6" i="8"/>
  <c r="AO7" i="1"/>
  <c r="BJ7" i="1"/>
  <c r="AA7" i="8"/>
  <c r="AB7" i="7" l="1"/>
  <c r="AJ7" i="7" s="1"/>
  <c r="AW7" i="8"/>
  <c r="B7" i="8"/>
  <c r="D7" i="2" s="1"/>
  <c r="E7" i="2"/>
  <c r="L7" i="2" s="1"/>
  <c r="H7" i="11"/>
  <c r="Y6" i="2"/>
  <c r="X6" i="2" s="1"/>
  <c r="U7" i="2" l="1"/>
  <c r="W6" i="2" s="1"/>
  <c r="C7" i="2" s="1"/>
  <c r="I7" i="2" l="1"/>
  <c r="AA7" i="1" s="1"/>
  <c r="S7" i="1" s="1"/>
  <c r="H8" i="1" s="1"/>
  <c r="S7" i="8"/>
  <c r="V7" i="8" s="1"/>
  <c r="F7" i="1"/>
  <c r="H7" i="2"/>
  <c r="F7" i="2"/>
  <c r="AP7" i="1" s="1"/>
  <c r="AK8" i="5" l="1"/>
  <c r="I7" i="11"/>
  <c r="V8" i="10"/>
  <c r="O7" i="7"/>
  <c r="C8" i="11"/>
  <c r="BI8" i="1"/>
  <c r="AQ8" i="8"/>
  <c r="AC8" i="7"/>
  <c r="T7" i="8"/>
  <c r="W7" i="8" s="1"/>
  <c r="T7" i="1"/>
  <c r="I8" i="1" s="1"/>
  <c r="AO8" i="1" s="1"/>
  <c r="J7" i="11"/>
  <c r="G7" i="2"/>
  <c r="Z7" i="2" s="1"/>
  <c r="AA8" i="8" l="1"/>
  <c r="C7" i="8"/>
  <c r="F7" i="9"/>
  <c r="P7" i="7"/>
  <c r="BJ8" i="1"/>
  <c r="Y7" i="2" l="1"/>
  <c r="X7" i="2" s="1"/>
  <c r="B8" i="8" l="1"/>
  <c r="D8" i="2" s="1"/>
  <c r="AB8" i="7"/>
  <c r="AJ8" i="7" s="1"/>
  <c r="AW8" i="8"/>
  <c r="H8" i="11"/>
  <c r="E8" i="2"/>
  <c r="L8" i="2" s="1"/>
  <c r="U8" i="2" l="1"/>
  <c r="W7" i="2" s="1"/>
  <c r="C8" i="2" l="1"/>
  <c r="I8" i="2" l="1"/>
  <c r="AA8" i="1" s="1"/>
  <c r="S8" i="1" s="1"/>
  <c r="H9" i="1" s="1"/>
  <c r="S8" i="8"/>
  <c r="T8" i="8" s="1"/>
  <c r="W8" i="8" s="1"/>
  <c r="F8" i="2"/>
  <c r="H8" i="2"/>
  <c r="F8" i="1"/>
  <c r="I8" i="11" l="1"/>
  <c r="O8" i="7"/>
  <c r="J8" i="11"/>
  <c r="AP8" i="1"/>
  <c r="T8" i="1" s="1"/>
  <c r="I9" i="1" s="1"/>
  <c r="AO9" i="1" s="1"/>
  <c r="G8" i="2"/>
  <c r="Z8" i="2" s="1"/>
  <c r="V8" i="8"/>
  <c r="C9" i="11"/>
  <c r="BI9" i="1"/>
  <c r="V9" i="10"/>
  <c r="AC9" i="7"/>
  <c r="AK9" i="5"/>
  <c r="AQ9" i="8"/>
  <c r="P8" i="7"/>
  <c r="F8" i="9"/>
  <c r="AO9" i="8" l="1"/>
  <c r="E21" i="8" s="1"/>
  <c r="C8" i="8"/>
  <c r="BJ9" i="1"/>
  <c r="Y8" i="2"/>
  <c r="X8" i="2" s="1"/>
  <c r="CG21" i="8" l="1"/>
  <c r="M21" i="2"/>
  <c r="DF21" i="8"/>
  <c r="G21" i="1" s="1"/>
  <c r="N21" i="8" s="1"/>
  <c r="AA9" i="8"/>
  <c r="H9" i="11" s="1"/>
  <c r="P21" i="8" l="1"/>
  <c r="R21" i="8" s="1"/>
  <c r="AB9" i="7"/>
  <c r="AJ9" i="7" s="1"/>
  <c r="AW9" i="8"/>
  <c r="B9" i="8"/>
  <c r="D9" i="2" s="1"/>
  <c r="E9" i="2"/>
  <c r="L9" i="2" s="1"/>
  <c r="U9" i="2" l="1"/>
  <c r="W8" i="2" s="1"/>
  <c r="C9" i="2" s="1"/>
  <c r="F9" i="2" l="1"/>
  <c r="AP9" i="1" s="1"/>
  <c r="T9" i="1" s="1"/>
  <c r="I10" i="1" s="1"/>
  <c r="AO10" i="1" s="1"/>
  <c r="S9" i="8"/>
  <c r="T9" i="8" s="1"/>
  <c r="W9" i="8" s="1"/>
  <c r="F9" i="1"/>
  <c r="I9" i="2"/>
  <c r="I9" i="11" s="1"/>
  <c r="H9" i="2"/>
  <c r="G9" i="2" l="1"/>
  <c r="Z9" i="2" s="1"/>
  <c r="J9" i="11"/>
  <c r="P9" i="7" s="1"/>
  <c r="O9" i="7"/>
  <c r="AA9" i="1"/>
  <c r="S9" i="1" s="1"/>
  <c r="H10" i="1" s="1"/>
  <c r="V9" i="8"/>
  <c r="BJ10" i="1"/>
  <c r="AQ10" i="8" l="1"/>
  <c r="AO10" i="8"/>
  <c r="E22" i="8" s="1"/>
  <c r="F9" i="9"/>
  <c r="C9" i="8"/>
  <c r="AK10" i="5"/>
  <c r="V10" i="10"/>
  <c r="C10" i="11"/>
  <c r="BI10" i="1"/>
  <c r="AC10" i="7"/>
  <c r="Y9" i="2"/>
  <c r="X9" i="2" s="1"/>
  <c r="M22" i="2" l="1"/>
  <c r="CG22" i="8"/>
  <c r="DF22" i="8"/>
  <c r="G22" i="1" s="1"/>
  <c r="N22" i="8" s="1"/>
  <c r="AA10" i="8"/>
  <c r="E10" i="2" s="1"/>
  <c r="L10" i="2" s="1"/>
  <c r="P22" i="8" l="1"/>
  <c r="R22" i="8" s="1"/>
  <c r="H10" i="11"/>
  <c r="AB10" i="7"/>
  <c r="AJ10" i="7" s="1"/>
  <c r="B10" i="8"/>
  <c r="D10" i="2" s="1"/>
  <c r="U10" i="2" s="1"/>
  <c r="W9" i="2" s="1"/>
  <c r="C10" i="2" s="1"/>
  <c r="AW10" i="8"/>
  <c r="I10" i="2" l="1"/>
  <c r="AA10" i="1" s="1"/>
  <c r="S10" i="1" s="1"/>
  <c r="H11" i="1" s="1"/>
  <c r="S10" i="8"/>
  <c r="V10" i="8" s="1"/>
  <c r="F10" i="1"/>
  <c r="F10" i="2"/>
  <c r="AP10" i="1" s="1"/>
  <c r="H10" i="2"/>
  <c r="BI11" i="1" l="1"/>
  <c r="O10" i="7"/>
  <c r="I10" i="11"/>
  <c r="AC11" i="7"/>
  <c r="V11" i="10"/>
  <c r="AK11" i="5"/>
  <c r="C11" i="11"/>
  <c r="AQ11" i="8"/>
  <c r="T10" i="8"/>
  <c r="W10" i="8" s="1"/>
  <c r="G10" i="2"/>
  <c r="Z10" i="2" s="1"/>
  <c r="AO11" i="8" s="1"/>
  <c r="E23" i="8" s="1"/>
  <c r="T10" i="1"/>
  <c r="I11" i="1" s="1"/>
  <c r="AO11" i="1" s="1"/>
  <c r="J10" i="11"/>
  <c r="M23" i="2" l="1"/>
  <c r="CG23" i="8"/>
  <c r="DF23" i="8"/>
  <c r="G23" i="1" s="1"/>
  <c r="N23" i="8" s="1"/>
  <c r="BJ11" i="1"/>
  <c r="P10" i="7"/>
  <c r="F10" i="9"/>
  <c r="C10" i="8"/>
  <c r="P23" i="8" l="1"/>
  <c r="R23" i="8" s="1"/>
  <c r="AA11" i="8"/>
  <c r="Y10" i="2"/>
  <c r="X10" i="2" s="1"/>
  <c r="H11" i="11" l="1"/>
  <c r="AB11" i="7"/>
  <c r="AJ11" i="7" s="1"/>
  <c r="AW11" i="8"/>
  <c r="E11" i="2"/>
  <c r="L11" i="2" s="1"/>
  <c r="B11" i="8"/>
  <c r="D11" i="2" s="1"/>
  <c r="U11" i="2" l="1"/>
  <c r="W10" i="2" s="1"/>
  <c r="C11" i="2" s="1"/>
  <c r="S11" i="8" s="1"/>
  <c r="T11" i="8" l="1"/>
  <c r="W11" i="8" s="1"/>
  <c r="F11" i="2"/>
  <c r="F11" i="1"/>
  <c r="I11" i="2"/>
  <c r="AA11" i="1" s="1"/>
  <c r="S11" i="1" s="1"/>
  <c r="H12" i="1" s="1"/>
  <c r="H11" i="2"/>
  <c r="AC12" i="7" l="1"/>
  <c r="AP11" i="1"/>
  <c r="T11" i="1" s="1"/>
  <c r="I12" i="1" s="1"/>
  <c r="G11" i="2"/>
  <c r="Z11" i="2" s="1"/>
  <c r="AO12" i="8" s="1"/>
  <c r="E24" i="8" s="1"/>
  <c r="J11" i="11"/>
  <c r="F11" i="9" s="1"/>
  <c r="I11" i="11"/>
  <c r="O11" i="7"/>
  <c r="V11" i="8"/>
  <c r="AK12" i="5"/>
  <c r="C12" i="11"/>
  <c r="BI12" i="1"/>
  <c r="AQ12" i="8"/>
  <c r="V12" i="10"/>
  <c r="M24" i="2" l="1"/>
  <c r="CG24" i="8"/>
  <c r="P24" i="8" s="1"/>
  <c r="R24" i="8" s="1"/>
  <c r="DF24" i="8"/>
  <c r="G24" i="1" s="1"/>
  <c r="N24" i="8" s="1"/>
  <c r="AO12" i="1"/>
  <c r="BJ12" i="1"/>
  <c r="C11" i="8"/>
  <c r="Y11" i="2"/>
  <c r="X11" i="2" s="1"/>
  <c r="P11" i="7"/>
  <c r="AA12" i="8" l="1"/>
  <c r="H12" i="11" s="1"/>
  <c r="AW12" i="8" l="1"/>
  <c r="E12" i="2"/>
  <c r="L12" i="2" s="1"/>
  <c r="B12" i="8"/>
  <c r="D12" i="2" s="1"/>
  <c r="U12" i="2" s="1"/>
  <c r="W11" i="2" s="1"/>
  <c r="C12" i="2" s="1"/>
  <c r="AB12" i="7"/>
  <c r="AJ12" i="7" s="1"/>
  <c r="S12" i="8" l="1"/>
  <c r="V12" i="8" s="1"/>
  <c r="H12" i="2"/>
  <c r="F12" i="2"/>
  <c r="AP12" i="1" s="1"/>
  <c r="T12" i="1" s="1"/>
  <c r="I13" i="1" s="1"/>
  <c r="AO13" i="1" s="1"/>
  <c r="F12" i="1"/>
  <c r="I12" i="2"/>
  <c r="I12" i="11" s="1"/>
  <c r="T12" i="8" l="1"/>
  <c r="W12" i="8" s="1"/>
  <c r="G12" i="2"/>
  <c r="Z12" i="2" s="1"/>
  <c r="J12" i="11"/>
  <c r="F12" i="9" s="1"/>
  <c r="AA12" i="1"/>
  <c r="S12" i="1" s="1"/>
  <c r="H13" i="1" s="1"/>
  <c r="O12" i="7"/>
  <c r="BJ13" i="1"/>
  <c r="AK13" i="5" l="1"/>
  <c r="AO13" i="8"/>
  <c r="E25" i="8" s="1"/>
  <c r="C12" i="8"/>
  <c r="P12" i="7"/>
  <c r="AQ13" i="8"/>
  <c r="V13" i="10"/>
  <c r="BI13" i="1"/>
  <c r="C13" i="11"/>
  <c r="AC13" i="7"/>
  <c r="Y12" i="2"/>
  <c r="X12" i="2" s="1"/>
  <c r="CG25" i="8" l="1"/>
  <c r="P25" i="8" s="1"/>
  <c r="R25" i="8" s="1"/>
  <c r="M25" i="2"/>
  <c r="DF25" i="8"/>
  <c r="G25" i="1" s="1"/>
  <c r="N25" i="8" s="1"/>
  <c r="AA13" i="8"/>
  <c r="H13" i="11" s="1"/>
  <c r="B13" i="8" l="1"/>
  <c r="D13" i="2" s="1"/>
  <c r="AB13" i="7"/>
  <c r="AJ13" i="7" s="1"/>
  <c r="E13" i="2"/>
  <c r="L13" i="2" s="1"/>
  <c r="AW13" i="8"/>
  <c r="U13" i="2" l="1"/>
  <c r="W12" i="2" s="1"/>
  <c r="C13" i="2" s="1"/>
  <c r="S13" i="8" s="1"/>
  <c r="T13" i="8" s="1"/>
  <c r="W13" i="8" s="1"/>
  <c r="F13" i="1" l="1"/>
  <c r="F13" i="2"/>
  <c r="AP13" i="1" s="1"/>
  <c r="T13" i="1" s="1"/>
  <c r="I14" i="1" s="1"/>
  <c r="AO14" i="1" s="1"/>
  <c r="H13" i="2"/>
  <c r="I13" i="2"/>
  <c r="AA13" i="1" s="1"/>
  <c r="S13" i="1" s="1"/>
  <c r="H14" i="1" s="1"/>
  <c r="V13" i="8"/>
  <c r="G13" i="2" l="1"/>
  <c r="Z13" i="2" s="1"/>
  <c r="AO14" i="8" s="1"/>
  <c r="E26" i="8" s="1"/>
  <c r="AQ14" i="8"/>
  <c r="J13" i="11"/>
  <c r="P13" i="7" s="1"/>
  <c r="O13" i="7"/>
  <c r="I13" i="11"/>
  <c r="BI14" i="1"/>
  <c r="V14" i="10"/>
  <c r="AK14" i="5"/>
  <c r="AC14" i="7"/>
  <c r="C14" i="11"/>
  <c r="BJ14" i="1"/>
  <c r="C13" i="8" l="1"/>
  <c r="AA14" i="8"/>
  <c r="DF26" i="8"/>
  <c r="G26" i="1" s="1"/>
  <c r="N26" i="8" s="1"/>
  <c r="CG26" i="8"/>
  <c r="P26" i="8" s="1"/>
  <c r="R26" i="8" s="1"/>
  <c r="M26" i="2"/>
  <c r="F13" i="9"/>
  <c r="Y13" i="2"/>
  <c r="X13" i="2" s="1"/>
  <c r="B14" i="8" l="1"/>
  <c r="D14" i="2" s="1"/>
  <c r="H14" i="11"/>
  <c r="AB14" i="7"/>
  <c r="AJ14" i="7" s="1"/>
  <c r="AW14" i="8"/>
  <c r="E14" i="2"/>
  <c r="L14" i="2" s="1"/>
  <c r="U14" i="2" l="1"/>
  <c r="W13" i="2" s="1"/>
  <c r="C14" i="2" l="1"/>
  <c r="S14" i="8" s="1"/>
  <c r="F14" i="1" l="1"/>
  <c r="H14" i="2"/>
  <c r="F14" i="2"/>
  <c r="AP14" i="1" s="1"/>
  <c r="I14" i="2"/>
  <c r="AA14" i="1" l="1"/>
  <c r="S14" i="1" s="1"/>
  <c r="H15" i="1" s="1"/>
  <c r="I14" i="11"/>
  <c r="O14" i="7"/>
  <c r="T14" i="8"/>
  <c r="W14" i="8" s="1"/>
  <c r="V14" i="8"/>
  <c r="T14" i="1"/>
  <c r="I15" i="1" s="1"/>
  <c r="AO15" i="1" s="1"/>
  <c r="J14" i="11"/>
  <c r="G14" i="2"/>
  <c r="Z14" i="2" s="1"/>
  <c r="AO15" i="8" s="1"/>
  <c r="E27" i="8" s="1"/>
  <c r="M27" i="2" l="1"/>
  <c r="CG27" i="8"/>
  <c r="P27" i="8" s="1"/>
  <c r="R27" i="8" s="1"/>
  <c r="DF27" i="8"/>
  <c r="G27" i="1" s="1"/>
  <c r="N27" i="8" s="1"/>
  <c r="AA15" i="8"/>
  <c r="BJ15" i="1"/>
  <c r="P14" i="7"/>
  <c r="F14" i="9"/>
  <c r="C14" i="8"/>
  <c r="AK15" i="5"/>
  <c r="AQ15" i="8"/>
  <c r="C15" i="11"/>
  <c r="BI15" i="1"/>
  <c r="V15" i="10"/>
  <c r="AC15" i="7"/>
  <c r="Y14" i="2" l="1"/>
  <c r="X14" i="2" s="1"/>
  <c r="AB15" i="7" l="1"/>
  <c r="AJ15" i="7" s="1"/>
  <c r="H15" i="11"/>
  <c r="B15" i="8"/>
  <c r="D15" i="2" s="1"/>
  <c r="AW15" i="8"/>
  <c r="E15" i="2"/>
  <c r="L15" i="2" s="1"/>
  <c r="U15" i="2" l="1"/>
  <c r="W14" i="2" s="1"/>
  <c r="C15" i="2" s="1"/>
  <c r="I15" i="2" l="1"/>
  <c r="AA15" i="1" s="1"/>
  <c r="S15" i="1" s="1"/>
  <c r="H16" i="1" s="1"/>
  <c r="S15" i="8"/>
  <c r="V15" i="8" s="1"/>
  <c r="H15" i="2"/>
  <c r="F15" i="2"/>
  <c r="F15" i="1"/>
  <c r="I15" i="11" l="1"/>
  <c r="O15" i="7"/>
  <c r="G15" i="2"/>
  <c r="Z15" i="2" s="1"/>
  <c r="AP15" i="1"/>
  <c r="T15" i="1" s="1"/>
  <c r="I16" i="1" s="1"/>
  <c r="AO16" i="1" s="1"/>
  <c r="T15" i="8"/>
  <c r="W15" i="8" s="1"/>
  <c r="J15" i="11"/>
  <c r="F15" i="9" s="1"/>
  <c r="V16" i="10"/>
  <c r="C16" i="11"/>
  <c r="AC16" i="7"/>
  <c r="AK16" i="5"/>
  <c r="AQ16" i="8"/>
  <c r="BI16" i="1"/>
  <c r="C15" i="8" l="1"/>
  <c r="P15" i="7"/>
  <c r="AO16" i="8"/>
  <c r="E28" i="8" s="1"/>
  <c r="BJ16" i="1"/>
  <c r="Y15" i="2"/>
  <c r="X15" i="2" s="1"/>
  <c r="M28" i="2" l="1"/>
  <c r="CG28" i="8"/>
  <c r="P28" i="8" s="1"/>
  <c r="R28" i="8" s="1"/>
  <c r="DF28" i="8"/>
  <c r="G28" i="1" s="1"/>
  <c r="N28" i="8" s="1"/>
  <c r="AA16" i="8"/>
  <c r="B16" i="8" s="1"/>
  <c r="D16" i="2" s="1"/>
  <c r="E16" i="2" l="1"/>
  <c r="L16" i="2" s="1"/>
  <c r="AW16" i="8"/>
  <c r="H16" i="11"/>
  <c r="AB16" i="7"/>
  <c r="AJ16" i="7" s="1"/>
  <c r="U16" i="2" l="1"/>
  <c r="W15" i="2" s="1"/>
  <c r="C16" i="2" s="1"/>
  <c r="S16" i="8" s="1"/>
  <c r="F16" i="2" l="1"/>
  <c r="AP16" i="1" s="1"/>
  <c r="H16" i="2"/>
  <c r="F16" i="1"/>
  <c r="I16" i="2"/>
  <c r="AA16" i="1" l="1"/>
  <c r="S16" i="1" s="1"/>
  <c r="H17" i="1" s="1"/>
  <c r="I16" i="11"/>
  <c r="O16" i="7"/>
  <c r="T16" i="8"/>
  <c r="W16" i="8" s="1"/>
  <c r="V16" i="8"/>
  <c r="J16" i="11"/>
  <c r="T16" i="1"/>
  <c r="I17" i="1" s="1"/>
  <c r="AO17" i="1" s="1"/>
  <c r="G16" i="2"/>
  <c r="Z16" i="2" s="1"/>
  <c r="AO17" i="8" s="1"/>
  <c r="E29" i="8" s="1"/>
  <c r="E30" i="8" l="1"/>
  <c r="M29" i="2"/>
  <c r="CG29" i="8"/>
  <c r="P29" i="8" s="1"/>
  <c r="R29" i="8" s="1"/>
  <c r="DF29" i="8"/>
  <c r="G29" i="1" s="1"/>
  <c r="N29" i="8" s="1"/>
  <c r="AA17" i="8"/>
  <c r="C16" i="8"/>
  <c r="BJ17" i="1"/>
  <c r="P16" i="7"/>
  <c r="F16" i="9"/>
  <c r="BI17" i="1"/>
  <c r="V17" i="10"/>
  <c r="AC17" i="7"/>
  <c r="AQ17" i="8"/>
  <c r="AK17" i="5"/>
  <c r="C17" i="11"/>
  <c r="E31" i="8" l="1"/>
  <c r="CG30" i="8"/>
  <c r="P30" i="8" s="1"/>
  <c r="R30" i="8" s="1"/>
  <c r="M30" i="2"/>
  <c r="DF30" i="8"/>
  <c r="G30" i="1" s="1"/>
  <c r="N30" i="8" s="1"/>
  <c r="B17" i="8"/>
  <c r="Y16" i="2"/>
  <c r="X16" i="2" s="1"/>
  <c r="E32" i="8" l="1"/>
  <c r="M31" i="2"/>
  <c r="CG31" i="8"/>
  <c r="P31" i="8" s="1"/>
  <c r="R31" i="8" s="1"/>
  <c r="DF31" i="8"/>
  <c r="G31" i="1" s="1"/>
  <c r="N31" i="8" s="1"/>
  <c r="D17" i="2"/>
  <c r="H17" i="11"/>
  <c r="AW17" i="8"/>
  <c r="E17" i="2"/>
  <c r="L17" i="2" s="1"/>
  <c r="AB17" i="7"/>
  <c r="AJ17" i="7" s="1"/>
  <c r="E33" i="8" l="1"/>
  <c r="CG32" i="8"/>
  <c r="P32" i="8" s="1"/>
  <c r="R32" i="8" s="1"/>
  <c r="M32" i="2"/>
  <c r="DF32" i="8"/>
  <c r="G32" i="1" s="1"/>
  <c r="N32" i="8" s="1"/>
  <c r="U17" i="2"/>
  <c r="W16" i="2" s="1"/>
  <c r="E34" i="8" l="1"/>
  <c r="M33" i="2"/>
  <c r="CG33" i="8"/>
  <c r="P33" i="8" s="1"/>
  <c r="R33" i="8" s="1"/>
  <c r="DF33" i="8"/>
  <c r="G33" i="1" s="1"/>
  <c r="N33" i="8" s="1"/>
  <c r="C17" i="2"/>
  <c r="S17" i="8" s="1"/>
  <c r="E35" i="8" l="1"/>
  <c r="M34" i="2"/>
  <c r="CG34" i="8"/>
  <c r="P34" i="8" s="1"/>
  <c r="R34" i="8" s="1"/>
  <c r="DF34" i="8"/>
  <c r="G34" i="1" s="1"/>
  <c r="N34" i="8" s="1"/>
  <c r="F17" i="1"/>
  <c r="I17" i="2"/>
  <c r="F17" i="2"/>
  <c r="AP17" i="1" s="1"/>
  <c r="H17" i="2"/>
  <c r="E36" i="8" l="1"/>
  <c r="CG35" i="8"/>
  <c r="P35" i="8" s="1"/>
  <c r="R35" i="8" s="1"/>
  <c r="M35" i="2"/>
  <c r="DF35" i="8"/>
  <c r="G35" i="1" s="1"/>
  <c r="N35" i="8" s="1"/>
  <c r="J17" i="11"/>
  <c r="T17" i="1"/>
  <c r="I18" i="1" s="1"/>
  <c r="AO18" i="1" s="1"/>
  <c r="G17" i="2"/>
  <c r="Z17" i="2" s="1"/>
  <c r="T17" i="8"/>
  <c r="W17" i="8" s="1"/>
  <c r="V17" i="8"/>
  <c r="AA17" i="1"/>
  <c r="S17" i="1" s="1"/>
  <c r="H18" i="1" s="1"/>
  <c r="I17" i="11"/>
  <c r="O17" i="7"/>
  <c r="E37" i="8" l="1"/>
  <c r="M36" i="2"/>
  <c r="CG36" i="8"/>
  <c r="P36" i="8" s="1"/>
  <c r="R36" i="8" s="1"/>
  <c r="DF36" i="8"/>
  <c r="G36" i="1" s="1"/>
  <c r="N36" i="8" s="1"/>
  <c r="AA18" i="8"/>
  <c r="V18" i="10"/>
  <c r="AC18" i="7"/>
  <c r="BI18" i="1"/>
  <c r="AK18" i="5"/>
  <c r="C18" i="11"/>
  <c r="AQ18" i="8"/>
  <c r="C17" i="8"/>
  <c r="BJ18" i="1"/>
  <c r="F17" i="9"/>
  <c r="P17" i="7"/>
  <c r="E38" i="8" l="1"/>
  <c r="CG37" i="8"/>
  <c r="P37" i="8" s="1"/>
  <c r="R37" i="8" s="1"/>
  <c r="M37" i="2"/>
  <c r="DF37" i="8"/>
  <c r="G37" i="1" s="1"/>
  <c r="N37" i="8" s="1"/>
  <c r="B18" i="8"/>
  <c r="Y17" i="2"/>
  <c r="X17" i="2" s="1"/>
  <c r="E39" i="8" l="1"/>
  <c r="CG38" i="8"/>
  <c r="P38" i="8" s="1"/>
  <c r="R38" i="8" s="1"/>
  <c r="M38" i="2"/>
  <c r="DF38" i="8"/>
  <c r="G38" i="1" s="1"/>
  <c r="N38" i="8" s="1"/>
  <c r="D18" i="2"/>
  <c r="E18" i="2"/>
  <c r="L18" i="2" s="1"/>
  <c r="AW18" i="8"/>
  <c r="H18" i="11"/>
  <c r="AB18" i="7"/>
  <c r="AJ18" i="7" s="1"/>
  <c r="E40" i="8" l="1"/>
  <c r="B39" i="4" s="1"/>
  <c r="C98" i="4" s="1"/>
  <c r="M39" i="2"/>
  <c r="CG39" i="8"/>
  <c r="P39" i="8" s="1"/>
  <c r="R39" i="8" s="1"/>
  <c r="DF39" i="8"/>
  <c r="G39" i="1" s="1"/>
  <c r="N39" i="8" s="1"/>
  <c r="U18" i="2"/>
  <c r="W17" i="2" s="1"/>
  <c r="E41" i="8" l="1"/>
  <c r="CG40" i="8"/>
  <c r="P40" i="8" s="1"/>
  <c r="R40" i="8" s="1"/>
  <c r="M40" i="2"/>
  <c r="DF40" i="8"/>
  <c r="G40" i="1" s="1"/>
  <c r="C18" i="2"/>
  <c r="S18" i="8" s="1"/>
  <c r="N40" i="8" l="1"/>
  <c r="B59" i="4"/>
  <c r="E42" i="8"/>
  <c r="M41" i="2"/>
  <c r="CG41" i="8"/>
  <c r="P41" i="8" s="1"/>
  <c r="R41" i="8" s="1"/>
  <c r="DF41" i="8"/>
  <c r="G41" i="1" s="1"/>
  <c r="N41" i="8" s="1"/>
  <c r="F18" i="2"/>
  <c r="AP18" i="1" s="1"/>
  <c r="I18" i="2"/>
  <c r="AA18" i="1" s="1"/>
  <c r="S18" i="1" s="1"/>
  <c r="H19" i="1" s="1"/>
  <c r="H18" i="2"/>
  <c r="F18" i="1"/>
  <c r="E43" i="8" l="1"/>
  <c r="CG42" i="8"/>
  <c r="P42" i="8" s="1"/>
  <c r="R42" i="8" s="1"/>
  <c r="M42" i="2"/>
  <c r="DF42" i="8"/>
  <c r="G42" i="1" s="1"/>
  <c r="N42" i="8" s="1"/>
  <c r="V18" i="8"/>
  <c r="T18" i="8"/>
  <c r="W18" i="8" s="1"/>
  <c r="V19" i="10"/>
  <c r="AC19" i="7"/>
  <c r="C19" i="11"/>
  <c r="AK19" i="5"/>
  <c r="AQ19" i="8"/>
  <c r="BI19" i="1"/>
  <c r="O18" i="7"/>
  <c r="I18" i="11"/>
  <c r="J18" i="11"/>
  <c r="T18" i="1"/>
  <c r="I19" i="1" s="1"/>
  <c r="AO19" i="1" s="1"/>
  <c r="G18" i="2"/>
  <c r="Z18" i="2" s="1"/>
  <c r="E44" i="8" l="1"/>
  <c r="M43" i="2"/>
  <c r="CG43" i="8"/>
  <c r="P43" i="8" s="1"/>
  <c r="R43" i="8" s="1"/>
  <c r="DF43" i="8"/>
  <c r="G43" i="1" s="1"/>
  <c r="N43" i="8" s="1"/>
  <c r="AA19" i="8"/>
  <c r="BJ19" i="1"/>
  <c r="C18" i="8"/>
  <c r="P18" i="7"/>
  <c r="F18" i="9"/>
  <c r="E45" i="8" l="1"/>
  <c r="CG44" i="8"/>
  <c r="P44" i="8" s="1"/>
  <c r="R44" i="8" s="1"/>
  <c r="M44" i="2"/>
  <c r="DF44" i="8"/>
  <c r="G44" i="1" s="1"/>
  <c r="N44" i="8" s="1"/>
  <c r="B19" i="8"/>
  <c r="Y18" i="2"/>
  <c r="X18" i="2" s="1"/>
  <c r="E46" i="8" l="1"/>
  <c r="CG45" i="8"/>
  <c r="P45" i="8" s="1"/>
  <c r="R45" i="8" s="1"/>
  <c r="M45" i="2"/>
  <c r="DF45" i="8"/>
  <c r="G45" i="1" s="1"/>
  <c r="N45" i="8" s="1"/>
  <c r="D19" i="2"/>
  <c r="H19" i="11"/>
  <c r="AB19" i="7"/>
  <c r="AJ19" i="7" s="1"/>
  <c r="E19" i="2"/>
  <c r="L19" i="2" s="1"/>
  <c r="AW19" i="8"/>
  <c r="E47" i="8" l="1"/>
  <c r="M46" i="2"/>
  <c r="CG46" i="8"/>
  <c r="P46" i="8" s="1"/>
  <c r="R46" i="8" s="1"/>
  <c r="DF46" i="8"/>
  <c r="G46" i="1" s="1"/>
  <c r="N46" i="8" s="1"/>
  <c r="U19" i="2"/>
  <c r="W18" i="2" s="1"/>
  <c r="E48" i="8" l="1"/>
  <c r="CG47" i="8"/>
  <c r="P47" i="8" s="1"/>
  <c r="R47" i="8" s="1"/>
  <c r="M47" i="2"/>
  <c r="DF47" i="8"/>
  <c r="G47" i="1" s="1"/>
  <c r="N47" i="8" s="1"/>
  <c r="C19" i="2"/>
  <c r="S19" i="8" s="1"/>
  <c r="E49" i="8" l="1"/>
  <c r="CG48" i="8"/>
  <c r="P48" i="8" s="1"/>
  <c r="R48" i="8" s="1"/>
  <c r="M48" i="2"/>
  <c r="DF48" i="8"/>
  <c r="G48" i="1" s="1"/>
  <c r="N48" i="8" s="1"/>
  <c r="H19" i="2"/>
  <c r="I19" i="2"/>
  <c r="F19" i="2"/>
  <c r="AP19" i="1" s="1"/>
  <c r="F19" i="1"/>
  <c r="E50" i="8" l="1"/>
  <c r="CG49" i="8"/>
  <c r="P49" i="8" s="1"/>
  <c r="R49" i="8" s="1"/>
  <c r="M49" i="2"/>
  <c r="DF49" i="8"/>
  <c r="G49" i="1" s="1"/>
  <c r="N49" i="8" s="1"/>
  <c r="I19" i="11"/>
  <c r="O19" i="7"/>
  <c r="T19" i="8"/>
  <c r="W19" i="8" s="1"/>
  <c r="V19" i="8"/>
  <c r="AA19" i="1"/>
  <c r="S19" i="1" s="1"/>
  <c r="H20" i="1" s="1"/>
  <c r="T19" i="1"/>
  <c r="I20" i="1" s="1"/>
  <c r="AO20" i="1" s="1"/>
  <c r="J19" i="11"/>
  <c r="G19" i="2"/>
  <c r="Z19" i="2" s="1"/>
  <c r="E51" i="8" l="1"/>
  <c r="M50" i="2"/>
  <c r="CG50" i="8"/>
  <c r="P50" i="8" s="1"/>
  <c r="R50" i="8" s="1"/>
  <c r="DF50" i="8"/>
  <c r="G50" i="1" s="1"/>
  <c r="N50" i="8" s="1"/>
  <c r="AA20" i="8"/>
  <c r="C19" i="8"/>
  <c r="F19" i="9"/>
  <c r="P19" i="7"/>
  <c r="AQ20" i="8"/>
  <c r="C20" i="11"/>
  <c r="AC20" i="7"/>
  <c r="AK20" i="5"/>
  <c r="BI20" i="1"/>
  <c r="V20" i="10"/>
  <c r="BJ20" i="1"/>
  <c r="E52" i="8" l="1"/>
  <c r="M51" i="2"/>
  <c r="CG51" i="8"/>
  <c r="P51" i="8" s="1"/>
  <c r="R51" i="8" s="1"/>
  <c r="DF51" i="8"/>
  <c r="G51" i="1" s="1"/>
  <c r="N51" i="8" s="1"/>
  <c r="B20" i="8"/>
  <c r="Y19" i="2"/>
  <c r="X19" i="2" s="1"/>
  <c r="E53" i="8" l="1"/>
  <c r="CG52" i="8"/>
  <c r="P52" i="8" s="1"/>
  <c r="R52" i="8" s="1"/>
  <c r="M52" i="2"/>
  <c r="DF52" i="8"/>
  <c r="G52" i="1" s="1"/>
  <c r="D20" i="2"/>
  <c r="H20" i="11"/>
  <c r="E20" i="2"/>
  <c r="L20" i="2" s="1"/>
  <c r="AW20" i="8"/>
  <c r="AB20" i="7"/>
  <c r="AJ20" i="7" s="1"/>
  <c r="N52" i="8" l="1"/>
  <c r="E54" i="8"/>
  <c r="M53" i="2"/>
  <c r="CG53" i="8"/>
  <c r="P53" i="8" s="1"/>
  <c r="R53" i="8" s="1"/>
  <c r="DF53" i="8"/>
  <c r="G53" i="1" s="1"/>
  <c r="N53" i="8" s="1"/>
  <c r="U20" i="2"/>
  <c r="W19" i="2" s="1"/>
  <c r="E55" i="8" l="1"/>
  <c r="M54" i="2"/>
  <c r="CG54" i="8"/>
  <c r="P54" i="8" s="1"/>
  <c r="R54" i="8" s="1"/>
  <c r="DF54" i="8"/>
  <c r="G54" i="1" s="1"/>
  <c r="N54" i="8" s="1"/>
  <c r="C20" i="2"/>
  <c r="S20" i="8" s="1"/>
  <c r="E56" i="8" l="1"/>
  <c r="CG55" i="8"/>
  <c r="P55" i="8" s="1"/>
  <c r="R55" i="8" s="1"/>
  <c r="M55" i="2"/>
  <c r="DF55" i="8"/>
  <c r="G55" i="1" s="1"/>
  <c r="N55" i="8" s="1"/>
  <c r="F20" i="2"/>
  <c r="AP20" i="1" s="1"/>
  <c r="H20" i="2"/>
  <c r="F20" i="1"/>
  <c r="I20" i="2"/>
  <c r="AA20" i="1" s="1"/>
  <c r="S20" i="1" s="1"/>
  <c r="H21" i="1" s="1"/>
  <c r="E57" i="8" l="1"/>
  <c r="M56" i="2"/>
  <c r="CG56" i="8"/>
  <c r="P56" i="8" s="1"/>
  <c r="R56" i="8" s="1"/>
  <c r="DF56" i="8"/>
  <c r="G56" i="1" s="1"/>
  <c r="N56" i="8" s="1"/>
  <c r="AC21" i="7"/>
  <c r="C21" i="11"/>
  <c r="AQ21" i="8"/>
  <c r="BI21" i="1"/>
  <c r="AK21" i="5"/>
  <c r="V21" i="10"/>
  <c r="T20" i="8"/>
  <c r="W20" i="8" s="1"/>
  <c r="V20" i="8"/>
  <c r="J20" i="11"/>
  <c r="T20" i="1"/>
  <c r="I21" i="1" s="1"/>
  <c r="AO21" i="1" s="1"/>
  <c r="G20" i="2"/>
  <c r="Z20" i="2" s="1"/>
  <c r="I20" i="11"/>
  <c r="O20" i="7"/>
  <c r="E58" i="8" l="1"/>
  <c r="M57" i="2"/>
  <c r="CG57" i="8"/>
  <c r="P57" i="8" s="1"/>
  <c r="R57" i="8" s="1"/>
  <c r="DF57" i="8"/>
  <c r="G57" i="1" s="1"/>
  <c r="N57" i="8" s="1"/>
  <c r="AA21" i="8"/>
  <c r="F20" i="9"/>
  <c r="P20" i="7"/>
  <c r="BJ21" i="1"/>
  <c r="C20" i="8"/>
  <c r="E59" i="8" l="1"/>
  <c r="CG58" i="8"/>
  <c r="P58" i="8" s="1"/>
  <c r="R58" i="8" s="1"/>
  <c r="M58" i="2"/>
  <c r="DF58" i="8"/>
  <c r="G58" i="1" s="1"/>
  <c r="N58" i="8" s="1"/>
  <c r="B21" i="8"/>
  <c r="Y20" i="2"/>
  <c r="X20" i="2" s="1"/>
  <c r="E60" i="8" l="1"/>
  <c r="CG59" i="8"/>
  <c r="P59" i="8" s="1"/>
  <c r="R59" i="8" s="1"/>
  <c r="M59" i="2"/>
  <c r="DF59" i="8"/>
  <c r="G59" i="1" s="1"/>
  <c r="N59" i="8" s="1"/>
  <c r="D21" i="2"/>
  <c r="AB21" i="7"/>
  <c r="AJ21" i="7" s="1"/>
  <c r="E21" i="2"/>
  <c r="L21" i="2" s="1"/>
  <c r="H21" i="11"/>
  <c r="AW21" i="8"/>
  <c r="E61" i="8" l="1"/>
  <c r="M60" i="2"/>
  <c r="CG60" i="8"/>
  <c r="P60" i="8" s="1"/>
  <c r="R60" i="8" s="1"/>
  <c r="DF60" i="8"/>
  <c r="G60" i="1" s="1"/>
  <c r="N60" i="8" s="1"/>
  <c r="U21" i="2"/>
  <c r="W20" i="2" s="1"/>
  <c r="E62" i="8" l="1"/>
  <c r="M61" i="2"/>
  <c r="CG61" i="8"/>
  <c r="P61" i="8" s="1"/>
  <c r="R61" i="8" s="1"/>
  <c r="DF61" i="8"/>
  <c r="G61" i="1" s="1"/>
  <c r="N61" i="8" s="1"/>
  <c r="C21" i="2"/>
  <c r="S21" i="8" s="1"/>
  <c r="E63" i="8" l="1"/>
  <c r="M62" i="2"/>
  <c r="CG62" i="8"/>
  <c r="P62" i="8" s="1"/>
  <c r="R62" i="8" s="1"/>
  <c r="DF62" i="8"/>
  <c r="G62" i="1" s="1"/>
  <c r="N62" i="8" s="1"/>
  <c r="F21" i="2"/>
  <c r="AP21" i="1" s="1"/>
  <c r="F21" i="1"/>
  <c r="H21" i="2"/>
  <c r="I21" i="2"/>
  <c r="M63" i="2" l="1"/>
  <c r="CG63" i="8"/>
  <c r="P63" i="8" s="1"/>
  <c r="R63" i="8" s="1"/>
  <c r="DF63" i="8"/>
  <c r="G63" i="1" s="1"/>
  <c r="N63" i="8" s="1"/>
  <c r="AA21" i="1"/>
  <c r="S21" i="1" s="1"/>
  <c r="H22" i="1" s="1"/>
  <c r="O21" i="7"/>
  <c r="I21" i="11"/>
  <c r="J21" i="11"/>
  <c r="T21" i="1"/>
  <c r="I22" i="1" s="1"/>
  <c r="AO22" i="1" s="1"/>
  <c r="G21" i="2"/>
  <c r="Z21" i="2" s="1"/>
  <c r="T21" i="8"/>
  <c r="W21" i="8" s="1"/>
  <c r="V21" i="8"/>
  <c r="AA22" i="8" l="1"/>
  <c r="C21" i="8"/>
  <c r="F21" i="9"/>
  <c r="P21" i="7"/>
  <c r="BJ22" i="1"/>
  <c r="V22" i="10"/>
  <c r="BI22" i="1"/>
  <c r="AC22" i="7"/>
  <c r="AQ22" i="8"/>
  <c r="C22" i="11"/>
  <c r="AK22" i="5"/>
  <c r="B22" i="8" l="1"/>
  <c r="Y21" i="2"/>
  <c r="X21" i="2" s="1"/>
  <c r="D22" i="2" l="1"/>
  <c r="E22" i="2"/>
  <c r="L22" i="2" s="1"/>
  <c r="H22" i="11"/>
  <c r="AB22" i="7"/>
  <c r="AJ22" i="7" s="1"/>
  <c r="AW22" i="8"/>
  <c r="U22" i="2" l="1"/>
  <c r="W21" i="2" s="1"/>
  <c r="C22" i="2" l="1"/>
  <c r="S22" i="8" s="1"/>
  <c r="H22" i="2" l="1"/>
  <c r="F22" i="1"/>
  <c r="I22" i="2"/>
  <c r="I22" i="11" s="1"/>
  <c r="V22" i="8"/>
  <c r="F22" i="2"/>
  <c r="G22" i="2" l="1"/>
  <c r="Z22" i="2" s="1"/>
  <c r="AA23" i="8" s="1"/>
  <c r="AP22" i="1"/>
  <c r="T22" i="1" s="1"/>
  <c r="I23" i="1" s="1"/>
  <c r="AO23" i="1" s="1"/>
  <c r="AA22" i="1"/>
  <c r="S22" i="1" s="1"/>
  <c r="H23" i="1" s="1"/>
  <c r="O22" i="7"/>
  <c r="T22" i="8"/>
  <c r="W22" i="8" s="1"/>
  <c r="J22" i="11"/>
  <c r="P22" i="7" s="1"/>
  <c r="C23" i="11" l="1"/>
  <c r="C22" i="8"/>
  <c r="F22" i="9"/>
  <c r="AC23" i="7"/>
  <c r="V23" i="10"/>
  <c r="AK23" i="5"/>
  <c r="BI23" i="1"/>
  <c r="AQ23" i="8"/>
  <c r="BJ23" i="1"/>
  <c r="B23" i="8"/>
  <c r="Y22" i="2"/>
  <c r="X22" i="2" s="1"/>
  <c r="D23" i="2" l="1"/>
  <c r="AB23" i="7"/>
  <c r="AJ23" i="7" s="1"/>
  <c r="AW23" i="8"/>
  <c r="E23" i="2"/>
  <c r="L23" i="2" s="1"/>
  <c r="H23" i="11"/>
  <c r="U23" i="2" l="1"/>
  <c r="W22" i="2" s="1"/>
  <c r="C23" i="2" l="1"/>
  <c r="S23" i="8" s="1"/>
  <c r="I23" i="2" l="1"/>
  <c r="AA23" i="1" s="1"/>
  <c r="S23" i="1" s="1"/>
  <c r="H24" i="1" s="1"/>
  <c r="H23" i="2"/>
  <c r="F23" i="1"/>
  <c r="F23" i="2"/>
  <c r="AP23" i="1" s="1"/>
  <c r="T23" i="1" l="1"/>
  <c r="I24" i="1" s="1"/>
  <c r="AO24" i="1" s="1"/>
  <c r="J23" i="11"/>
  <c r="G23" i="2"/>
  <c r="Z23" i="2" s="1"/>
  <c r="AQ24" i="8"/>
  <c r="AK24" i="5"/>
  <c r="AC24" i="7"/>
  <c r="V24" i="10"/>
  <c r="BI24" i="1"/>
  <c r="C24" i="11"/>
  <c r="O23" i="7"/>
  <c r="I23" i="11"/>
  <c r="V23" i="8"/>
  <c r="T23" i="8"/>
  <c r="W23" i="8" s="1"/>
  <c r="AA24" i="8" l="1"/>
  <c r="C23" i="8"/>
  <c r="F23" i="9"/>
  <c r="P23" i="7"/>
  <c r="BJ24" i="1"/>
  <c r="B24" i="8" l="1"/>
  <c r="Y23" i="2"/>
  <c r="X23" i="2" s="1"/>
  <c r="D24" i="2" l="1"/>
  <c r="H24" i="11"/>
  <c r="E24" i="2"/>
  <c r="L24" i="2" s="1"/>
  <c r="AW24" i="8"/>
  <c r="AB24" i="7"/>
  <c r="AJ24" i="7" s="1"/>
  <c r="U24" i="2" l="1"/>
  <c r="W23" i="2" s="1"/>
  <c r="C24" i="2" l="1"/>
  <c r="S24" i="8" s="1"/>
  <c r="H24" i="2" l="1"/>
  <c r="F24" i="1"/>
  <c r="F24" i="2"/>
  <c r="AP24" i="1" s="1"/>
  <c r="I24" i="2"/>
  <c r="AA24" i="1" s="1"/>
  <c r="S24" i="1" s="1"/>
  <c r="H25" i="1" s="1"/>
  <c r="AQ25" i="8" l="1"/>
  <c r="V25" i="10"/>
  <c r="AK25" i="5"/>
  <c r="BI25" i="1"/>
  <c r="AC25" i="7"/>
  <c r="C25" i="11"/>
  <c r="I24" i="11"/>
  <c r="O24" i="7"/>
  <c r="T24" i="1"/>
  <c r="I25" i="1" s="1"/>
  <c r="AO25" i="1" s="1"/>
  <c r="J24" i="11"/>
  <c r="G24" i="2"/>
  <c r="Z24" i="2" s="1"/>
  <c r="T24" i="8"/>
  <c r="W24" i="8" s="1"/>
  <c r="V24" i="8"/>
  <c r="AA25" i="8" l="1"/>
  <c r="BJ25" i="1"/>
  <c r="C24" i="8"/>
  <c r="P24" i="7"/>
  <c r="F24" i="9"/>
  <c r="Y24" i="2" l="1"/>
  <c r="X24" i="2" s="1"/>
  <c r="B25" i="8"/>
  <c r="D25" i="2" l="1"/>
  <c r="E25" i="2"/>
  <c r="L25" i="2" s="1"/>
  <c r="H25" i="11"/>
  <c r="AW25" i="8"/>
  <c r="AB25" i="7"/>
  <c r="AJ25" i="7" s="1"/>
  <c r="U25" i="2" l="1"/>
  <c r="W24" i="2" s="1"/>
  <c r="C25" i="2" l="1"/>
  <c r="S25" i="8" s="1"/>
  <c r="I25" i="2" l="1"/>
  <c r="AA25" i="1" s="1"/>
  <c r="S25" i="1" s="1"/>
  <c r="H26" i="1" s="1"/>
  <c r="H25" i="2"/>
  <c r="F25" i="2"/>
  <c r="AP25" i="1" s="1"/>
  <c r="F25" i="1"/>
  <c r="AQ26" i="8" l="1"/>
  <c r="V26" i="10"/>
  <c r="BI26" i="1"/>
  <c r="C26" i="11"/>
  <c r="AK26" i="5"/>
  <c r="AC26" i="7"/>
  <c r="V25" i="8"/>
  <c r="T25" i="8"/>
  <c r="W25" i="8" s="1"/>
  <c r="T25" i="1"/>
  <c r="I26" i="1" s="1"/>
  <c r="AO26" i="1" s="1"/>
  <c r="J25" i="11"/>
  <c r="G25" i="2"/>
  <c r="Z25" i="2" s="1"/>
  <c r="I25" i="11"/>
  <c r="O25" i="7"/>
  <c r="AA26" i="8" l="1"/>
  <c r="C25" i="8"/>
  <c r="P25" i="7"/>
  <c r="F25" i="9"/>
  <c r="BJ26" i="1"/>
  <c r="B26" i="8" l="1"/>
  <c r="Y25" i="2"/>
  <c r="X25" i="2" s="1"/>
  <c r="D26" i="2" l="1"/>
  <c r="AW26" i="8"/>
  <c r="AB26" i="7"/>
  <c r="AJ26" i="7" s="1"/>
  <c r="E26" i="2"/>
  <c r="L26" i="2" s="1"/>
  <c r="H26" i="11"/>
  <c r="U26" i="2" l="1"/>
  <c r="W25" i="2" s="1"/>
  <c r="C26" i="2" l="1"/>
  <c r="S26" i="8" s="1"/>
  <c r="F26" i="2" l="1"/>
  <c r="AP26" i="1" s="1"/>
  <c r="H26" i="2"/>
  <c r="F26" i="1"/>
  <c r="I26" i="2"/>
  <c r="AA26" i="1" s="1"/>
  <c r="S26" i="1" s="1"/>
  <c r="T26" i="1" l="1"/>
  <c r="I27" i="1" s="1"/>
  <c r="AO27" i="1" s="1"/>
  <c r="J26" i="11"/>
  <c r="G26" i="2"/>
  <c r="Z26" i="2" s="1"/>
  <c r="T26" i="8"/>
  <c r="W26" i="8" s="1"/>
  <c r="V26" i="8"/>
  <c r="I26" i="11"/>
  <c r="O26" i="7"/>
  <c r="AA27" i="8" l="1"/>
  <c r="P26" i="7"/>
  <c r="F26" i="9"/>
  <c r="BJ27" i="1"/>
  <c r="C26" i="8"/>
  <c r="B27" i="8" l="1"/>
  <c r="Y26" i="2"/>
  <c r="X26" i="2" s="1"/>
  <c r="D27" i="2" l="1"/>
  <c r="AB27" i="7"/>
  <c r="H27" i="11"/>
  <c r="AW27" i="8"/>
  <c r="E27" i="2"/>
  <c r="L27" i="2" s="1"/>
  <c r="U27" i="2" l="1"/>
  <c r="W26" i="2" s="1"/>
  <c r="C27" i="2" l="1"/>
  <c r="S27" i="8" s="1"/>
  <c r="H27" i="2" l="1"/>
  <c r="F27" i="2"/>
  <c r="AP27" i="1" s="1"/>
  <c r="F27" i="1"/>
  <c r="I27" i="2"/>
  <c r="AA27" i="1" s="1"/>
  <c r="S27" i="1" s="1"/>
  <c r="H27" i="1"/>
  <c r="H28" i="1" l="1"/>
  <c r="AC27" i="7"/>
  <c r="AJ27" i="7" s="1"/>
  <c r="C27" i="11"/>
  <c r="V27" i="10"/>
  <c r="AQ27" i="8"/>
  <c r="BI27" i="1"/>
  <c r="AK27" i="5"/>
  <c r="V27" i="8"/>
  <c r="T27" i="8"/>
  <c r="W27" i="8" s="1"/>
  <c r="I27" i="11"/>
  <c r="O27" i="7"/>
  <c r="T27" i="1"/>
  <c r="I28" i="1" s="1"/>
  <c r="AO28" i="1" s="1"/>
  <c r="J27" i="11"/>
  <c r="G27" i="2"/>
  <c r="Z27" i="2" s="1"/>
  <c r="I58" i="4" l="1"/>
  <c r="J58" i="4"/>
  <c r="C28" i="11"/>
  <c r="AA28" i="8"/>
  <c r="AC28" i="7"/>
  <c r="BI28" i="1"/>
  <c r="V28" i="10"/>
  <c r="AK28" i="5"/>
  <c r="AQ28" i="8"/>
  <c r="C27" i="8"/>
  <c r="P27" i="7"/>
  <c r="F27" i="9"/>
  <c r="BJ28" i="1"/>
  <c r="Y27" i="2" l="1"/>
  <c r="X27" i="2" s="1"/>
  <c r="B28" i="8"/>
  <c r="D28" i="2" l="1"/>
  <c r="E28" i="2"/>
  <c r="L28" i="2" s="1"/>
  <c r="H28" i="11"/>
  <c r="AB28" i="7"/>
  <c r="AJ28" i="7" s="1"/>
  <c r="AW28" i="8"/>
  <c r="U28" i="2" l="1"/>
  <c r="W27" i="2" s="1"/>
  <c r="C28" i="2" l="1"/>
  <c r="S28" i="8" s="1"/>
  <c r="F28" i="2" l="1"/>
  <c r="AP28" i="1" s="1"/>
  <c r="H28" i="2"/>
  <c r="F28" i="1"/>
  <c r="I28" i="2"/>
  <c r="AA28" i="1" l="1"/>
  <c r="S28" i="1" s="1"/>
  <c r="H29" i="1" s="1"/>
  <c r="I28" i="11"/>
  <c r="O28" i="7"/>
  <c r="V28" i="8"/>
  <c r="T28" i="8"/>
  <c r="W28" i="8" s="1"/>
  <c r="T28" i="1"/>
  <c r="I29" i="1" s="1"/>
  <c r="AO29" i="1" s="1"/>
  <c r="J28" i="11"/>
  <c r="G28" i="2"/>
  <c r="Z28" i="2" s="1"/>
  <c r="AA29" i="8" l="1"/>
  <c r="P28" i="7"/>
  <c r="F28" i="9"/>
  <c r="BJ29" i="1"/>
  <c r="C28" i="8"/>
  <c r="BI29" i="1"/>
  <c r="C29" i="11"/>
  <c r="V29" i="10"/>
  <c r="AQ29" i="8"/>
  <c r="AK29" i="5"/>
  <c r="AC29" i="7"/>
  <c r="B29" i="8" l="1"/>
  <c r="Y28" i="2"/>
  <c r="X28" i="2" s="1"/>
  <c r="D29" i="2" l="1"/>
  <c r="AB29" i="7"/>
  <c r="AJ29" i="7" s="1"/>
  <c r="H29" i="11"/>
  <c r="AW29" i="8"/>
  <c r="E29" i="2"/>
  <c r="L29" i="2" s="1"/>
  <c r="U29" i="2" l="1"/>
  <c r="W28" i="2" s="1"/>
  <c r="C29" i="2" l="1"/>
  <c r="S29" i="8" s="1"/>
  <c r="I29" i="2" l="1"/>
  <c r="AA29" i="1" s="1"/>
  <c r="S29" i="1" s="1"/>
  <c r="H30" i="1" s="1"/>
  <c r="F29" i="2"/>
  <c r="AP29" i="1" s="1"/>
  <c r="F29" i="1"/>
  <c r="H29" i="2"/>
  <c r="O29" i="7" l="1"/>
  <c r="I29" i="11"/>
  <c r="V29" i="8"/>
  <c r="T29" i="8"/>
  <c r="W29" i="8" s="1"/>
  <c r="BI30" i="1"/>
  <c r="AQ30" i="8"/>
  <c r="C30" i="11"/>
  <c r="AC30" i="7"/>
  <c r="AK30" i="5"/>
  <c r="V30" i="10"/>
  <c r="J29" i="11"/>
  <c r="T29" i="1"/>
  <c r="I30" i="1" s="1"/>
  <c r="AO30" i="1" s="1"/>
  <c r="G29" i="2"/>
  <c r="Z29" i="2" s="1"/>
  <c r="AA30" i="8" l="1"/>
  <c r="BJ30" i="1"/>
  <c r="C29" i="8"/>
  <c r="F29" i="9"/>
  <c r="P29" i="7"/>
  <c r="B30" i="8" l="1"/>
  <c r="Y29" i="2"/>
  <c r="X29" i="2" s="1"/>
  <c r="D30" i="2" l="1"/>
  <c r="H30" i="11"/>
  <c r="E30" i="2"/>
  <c r="L30" i="2" s="1"/>
  <c r="AW30" i="8"/>
  <c r="AB30" i="7"/>
  <c r="AJ30" i="7" s="1"/>
  <c r="U30" i="2" l="1"/>
  <c r="W29" i="2" s="1"/>
  <c r="C30" i="2" l="1"/>
  <c r="S30" i="8" s="1"/>
  <c r="H30" i="2" l="1"/>
  <c r="F30" i="2"/>
  <c r="AP30" i="1" s="1"/>
  <c r="F30" i="1"/>
  <c r="I30" i="2"/>
  <c r="AA30" i="1" l="1"/>
  <c r="S30" i="1" s="1"/>
  <c r="H31" i="1" s="1"/>
  <c r="O30" i="7"/>
  <c r="I30" i="11"/>
  <c r="T30" i="1"/>
  <c r="I31" i="1" s="1"/>
  <c r="AO31" i="1" s="1"/>
  <c r="J30" i="11"/>
  <c r="G30" i="2"/>
  <c r="Z30" i="2" s="1"/>
  <c r="V30" i="8"/>
  <c r="T30" i="8"/>
  <c r="W30" i="8" s="1"/>
  <c r="I59" i="4" l="1"/>
  <c r="J59" i="4"/>
  <c r="AA31" i="8"/>
  <c r="BJ31" i="1"/>
  <c r="F30" i="9"/>
  <c r="P30" i="7"/>
  <c r="C30" i="8"/>
  <c r="V31" i="10"/>
  <c r="C31" i="11"/>
  <c r="AK31" i="5"/>
  <c r="AQ31" i="8"/>
  <c r="BI31" i="1"/>
  <c r="AC31" i="7"/>
  <c r="B31" i="8" l="1"/>
  <c r="Y30" i="2"/>
  <c r="X30" i="2" s="1"/>
  <c r="D31" i="2" l="1"/>
  <c r="AB31" i="7"/>
  <c r="AJ31" i="7" s="1"/>
  <c r="AW31" i="8"/>
  <c r="H31" i="11"/>
  <c r="E31" i="2"/>
  <c r="L31" i="2" s="1"/>
  <c r="U31" i="2" l="1"/>
  <c r="W30" i="2" s="1"/>
  <c r="C31" i="2" l="1"/>
  <c r="S31" i="8" s="1"/>
  <c r="F31" i="1" l="1"/>
  <c r="I31" i="2"/>
  <c r="H31" i="2"/>
  <c r="F31" i="2"/>
  <c r="AP31" i="1" s="1"/>
  <c r="J31" i="11" l="1"/>
  <c r="T31" i="1"/>
  <c r="I32" i="1" s="1"/>
  <c r="AO32" i="1" s="1"/>
  <c r="G31" i="2"/>
  <c r="Z31" i="2" s="1"/>
  <c r="AA31" i="1"/>
  <c r="S31" i="1" s="1"/>
  <c r="H32" i="1" s="1"/>
  <c r="O31" i="7"/>
  <c r="I31" i="11"/>
  <c r="V31" i="8"/>
  <c r="T31" i="8"/>
  <c r="W31" i="8" s="1"/>
  <c r="AA32" i="8" l="1"/>
  <c r="C31" i="8"/>
  <c r="AQ32" i="8"/>
  <c r="C32" i="11"/>
  <c r="V32" i="10"/>
  <c r="AC32" i="7"/>
  <c r="BI32" i="1"/>
  <c r="AK32" i="5"/>
  <c r="BJ32" i="1"/>
  <c r="F31" i="9"/>
  <c r="P31" i="7"/>
  <c r="B32" i="8" l="1"/>
  <c r="Y31" i="2"/>
  <c r="X31" i="2" s="1"/>
  <c r="D32" i="2" l="1"/>
  <c r="AB32" i="7"/>
  <c r="AJ32" i="7" s="1"/>
  <c r="H32" i="11"/>
  <c r="E32" i="2"/>
  <c r="L32" i="2" s="1"/>
  <c r="AW32" i="8"/>
  <c r="U32" i="2" l="1"/>
  <c r="W31" i="2" s="1"/>
  <c r="C32" i="2" l="1"/>
  <c r="S32" i="8" s="1"/>
  <c r="H32" i="2" l="1"/>
  <c r="F32" i="2"/>
  <c r="AP32" i="1" s="1"/>
  <c r="F32" i="1"/>
  <c r="I32" i="2"/>
  <c r="V32" i="8" l="1"/>
  <c r="T32" i="8"/>
  <c r="W32" i="8" s="1"/>
  <c r="J32" i="11"/>
  <c r="T32" i="1"/>
  <c r="I33" i="1" s="1"/>
  <c r="AO33" i="1" s="1"/>
  <c r="G32" i="2"/>
  <c r="Z32" i="2" s="1"/>
  <c r="AA32" i="1"/>
  <c r="S32" i="1" s="1"/>
  <c r="H33" i="1" s="1"/>
  <c r="O32" i="7"/>
  <c r="I32" i="11"/>
  <c r="AA33" i="8" l="1"/>
  <c r="C32" i="8"/>
  <c r="BJ33" i="1"/>
  <c r="V33" i="10"/>
  <c r="BI33" i="1"/>
  <c r="C33" i="11"/>
  <c r="AK33" i="5"/>
  <c r="AC33" i="7"/>
  <c r="AQ33" i="8"/>
  <c r="P32" i="7"/>
  <c r="F32" i="9"/>
  <c r="B33" i="8" l="1"/>
  <c r="Y32" i="2"/>
  <c r="X32" i="2" s="1"/>
  <c r="D33" i="2" l="1"/>
  <c r="AB33" i="7"/>
  <c r="AJ33" i="7" s="1"/>
  <c r="E33" i="2"/>
  <c r="L33" i="2" s="1"/>
  <c r="H33" i="11"/>
  <c r="AW33" i="8"/>
  <c r="U33" i="2" l="1"/>
  <c r="W32" i="2" s="1"/>
  <c r="C33" i="2" l="1"/>
  <c r="S33" i="8" s="1"/>
  <c r="H33" i="2" l="1"/>
  <c r="F33" i="2"/>
  <c r="AP33" i="1" s="1"/>
  <c r="I33" i="2"/>
  <c r="F33" i="1"/>
  <c r="I33" i="11" l="1"/>
  <c r="O33" i="7"/>
  <c r="T33" i="8"/>
  <c r="W33" i="8" s="1"/>
  <c r="V33" i="8"/>
  <c r="AA33" i="1"/>
  <c r="S33" i="1" s="1"/>
  <c r="H34" i="1" s="1"/>
  <c r="T33" i="1"/>
  <c r="I34" i="1" s="1"/>
  <c r="AO34" i="1" s="1"/>
  <c r="J33" i="11"/>
  <c r="G33" i="2"/>
  <c r="Z33" i="2" s="1"/>
  <c r="AA34" i="8" l="1"/>
  <c r="BJ34" i="1"/>
  <c r="BI34" i="1"/>
  <c r="V34" i="10"/>
  <c r="AK34" i="5"/>
  <c r="AQ34" i="8"/>
  <c r="AC34" i="7"/>
  <c r="C34" i="11"/>
  <c r="C33" i="8"/>
  <c r="F33" i="9"/>
  <c r="P33" i="7"/>
  <c r="B34" i="8" l="1"/>
  <c r="Y33" i="2"/>
  <c r="X33" i="2" s="1"/>
  <c r="D34" i="2" l="1"/>
  <c r="AW34" i="8"/>
  <c r="H34" i="11"/>
  <c r="E34" i="2"/>
  <c r="L34" i="2" s="1"/>
  <c r="AB34" i="7"/>
  <c r="AJ34" i="7" s="1"/>
  <c r="U34" i="2" l="1"/>
  <c r="W33" i="2" s="1"/>
  <c r="C34" i="2" l="1"/>
  <c r="S34" i="8" s="1"/>
  <c r="I34" i="2" l="1"/>
  <c r="H34" i="2"/>
  <c r="F34" i="2"/>
  <c r="AP34" i="1" s="1"/>
  <c r="F34" i="1"/>
  <c r="T34" i="8" l="1"/>
  <c r="W34" i="8" s="1"/>
  <c r="V34" i="8"/>
  <c r="AA34" i="1"/>
  <c r="S34" i="1" s="1"/>
  <c r="H35" i="1" s="1"/>
  <c r="I34" i="11"/>
  <c r="O34" i="7"/>
  <c r="J34" i="11"/>
  <c r="T34" i="1"/>
  <c r="I35" i="1" s="1"/>
  <c r="AO35" i="1" s="1"/>
  <c r="G34" i="2"/>
  <c r="Z34" i="2" s="1"/>
  <c r="AA35" i="8" l="1"/>
  <c r="C34" i="8"/>
  <c r="P34" i="7"/>
  <c r="F34" i="9"/>
  <c r="BJ35" i="1"/>
  <c r="C35" i="11"/>
  <c r="AQ35" i="8"/>
  <c r="BI35" i="1"/>
  <c r="V35" i="10"/>
  <c r="AC35" i="7"/>
  <c r="AK35" i="5"/>
  <c r="B35" i="8" l="1"/>
  <c r="Y34" i="2"/>
  <c r="X34" i="2" s="1"/>
  <c r="D35" i="2" l="1"/>
  <c r="AW35" i="8"/>
  <c r="AB35" i="7"/>
  <c r="AJ35" i="7" s="1"/>
  <c r="E35" i="2"/>
  <c r="L35" i="2" s="1"/>
  <c r="H35" i="11"/>
  <c r="U35" i="2" l="1"/>
  <c r="W34" i="2" s="1"/>
  <c r="C35" i="2" l="1"/>
  <c r="S35" i="8" s="1"/>
  <c r="H35" i="2" l="1"/>
  <c r="F35" i="1"/>
  <c r="I35" i="2"/>
  <c r="F35" i="2"/>
  <c r="AP35" i="1" s="1"/>
  <c r="AA35" i="1" l="1"/>
  <c r="S35" i="1" s="1"/>
  <c r="H36" i="1" s="1"/>
  <c r="I35" i="11"/>
  <c r="O35" i="7"/>
  <c r="T35" i="1"/>
  <c r="I36" i="1" s="1"/>
  <c r="AO36" i="1" s="1"/>
  <c r="J35" i="11"/>
  <c r="G35" i="2"/>
  <c r="Z35" i="2" s="1"/>
  <c r="V35" i="8"/>
  <c r="T35" i="8"/>
  <c r="W35" i="8" s="1"/>
  <c r="AA36" i="8" l="1"/>
  <c r="BJ36" i="1"/>
  <c r="C35" i="8"/>
  <c r="P35" i="7"/>
  <c r="F35" i="9"/>
  <c r="AQ36" i="8"/>
  <c r="C36" i="11"/>
  <c r="AK36" i="5"/>
  <c r="BI36" i="1"/>
  <c r="V36" i="10"/>
  <c r="AC36" i="7"/>
  <c r="B36" i="8" l="1"/>
  <c r="Y35" i="2"/>
  <c r="X35" i="2" s="1"/>
  <c r="D36" i="2" l="1"/>
  <c r="E36" i="2"/>
  <c r="L36" i="2" s="1"/>
  <c r="AW36" i="8"/>
  <c r="H36" i="11"/>
  <c r="AB36" i="7"/>
  <c r="AJ36" i="7" s="1"/>
  <c r="U36" i="2" l="1"/>
  <c r="W35" i="2" s="1"/>
  <c r="C36" i="2" l="1"/>
  <c r="S36" i="8" s="1"/>
  <c r="H36" i="2" l="1"/>
  <c r="I36" i="2"/>
  <c r="F36" i="2"/>
  <c r="AP36" i="1" s="1"/>
  <c r="F36" i="1"/>
  <c r="T36" i="1" l="1"/>
  <c r="I37" i="1" s="1"/>
  <c r="AO37" i="1" s="1"/>
  <c r="J36" i="11"/>
  <c r="G36" i="2"/>
  <c r="Z36" i="2" s="1"/>
  <c r="V36" i="8"/>
  <c r="T36" i="8"/>
  <c r="W36" i="8" s="1"/>
  <c r="AA36" i="1"/>
  <c r="S36" i="1" s="1"/>
  <c r="H37" i="1" s="1"/>
  <c r="I36" i="11"/>
  <c r="O36" i="7"/>
  <c r="AA37" i="8" l="1"/>
  <c r="AK37" i="5"/>
  <c r="AQ37" i="8"/>
  <c r="C37" i="11"/>
  <c r="V37" i="10"/>
  <c r="AC37" i="7"/>
  <c r="BI37" i="1"/>
  <c r="C36" i="8"/>
  <c r="P36" i="7"/>
  <c r="F36" i="9"/>
  <c r="BJ37" i="1"/>
  <c r="B37" i="8" l="1"/>
  <c r="Y36" i="2"/>
  <c r="X36" i="2" s="1"/>
  <c r="D37" i="2" l="1"/>
  <c r="AW37" i="8"/>
  <c r="H37" i="11"/>
  <c r="AB37" i="7"/>
  <c r="AJ37" i="7" s="1"/>
  <c r="E37" i="2"/>
  <c r="L37" i="2" s="1"/>
  <c r="U37" i="2" l="1"/>
  <c r="W36" i="2" s="1"/>
  <c r="C37" i="2" l="1"/>
  <c r="S37" i="8" s="1"/>
  <c r="H37" i="2" l="1"/>
  <c r="I37" i="2"/>
  <c r="F37" i="2"/>
  <c r="AP37" i="1" s="1"/>
  <c r="F37" i="1"/>
  <c r="T37" i="1" l="1"/>
  <c r="I38" i="1" s="1"/>
  <c r="AO38" i="1" s="1"/>
  <c r="J37" i="11"/>
  <c r="G37" i="2"/>
  <c r="Z37" i="2" s="1"/>
  <c r="V37" i="8"/>
  <c r="T37" i="8"/>
  <c r="W37" i="8" s="1"/>
  <c r="AA37" i="1"/>
  <c r="S37" i="1" s="1"/>
  <c r="H38" i="1" s="1"/>
  <c r="I37" i="11"/>
  <c r="O37" i="7"/>
  <c r="AA38" i="8" l="1"/>
  <c r="V38" i="10"/>
  <c r="AQ38" i="8"/>
  <c r="AC38" i="7"/>
  <c r="C38" i="11"/>
  <c r="AK38" i="5"/>
  <c r="BI38" i="1"/>
  <c r="C37" i="8"/>
  <c r="P37" i="7"/>
  <c r="F37" i="9"/>
  <c r="BJ38" i="1"/>
  <c r="B38" i="8" l="1"/>
  <c r="Y37" i="2"/>
  <c r="X37" i="2" s="1"/>
  <c r="D38" i="2" l="1"/>
  <c r="AB38" i="7"/>
  <c r="AJ38" i="7" s="1"/>
  <c r="H38" i="11"/>
  <c r="AW38" i="8"/>
  <c r="E38" i="2"/>
  <c r="L38" i="2" s="1"/>
  <c r="U38" i="2" l="1"/>
  <c r="W37" i="2" s="1"/>
  <c r="C38" i="2" l="1"/>
  <c r="S38" i="8" s="1"/>
  <c r="F38" i="1" l="1"/>
  <c r="I38" i="2"/>
  <c r="F38" i="2"/>
  <c r="AP38" i="1" s="1"/>
  <c r="H38" i="2"/>
  <c r="J38" i="11" l="1"/>
  <c r="T38" i="1"/>
  <c r="I39" i="1" s="1"/>
  <c r="AO39" i="1" s="1"/>
  <c r="G38" i="2"/>
  <c r="Z38" i="2" s="1"/>
  <c r="T38" i="8"/>
  <c r="W38" i="8" s="1"/>
  <c r="V38" i="8"/>
  <c r="AA38" i="1"/>
  <c r="S38" i="1" s="1"/>
  <c r="H39" i="1" s="1"/>
  <c r="I38" i="11"/>
  <c r="O38" i="7"/>
  <c r="AA39" i="8" l="1"/>
  <c r="C38" i="8"/>
  <c r="BJ39" i="1"/>
  <c r="AQ39" i="8"/>
  <c r="AC39" i="7"/>
  <c r="V39" i="10"/>
  <c r="C39" i="11"/>
  <c r="AK39" i="5"/>
  <c r="BI39" i="1"/>
  <c r="P38" i="7"/>
  <c r="F38" i="9"/>
  <c r="B39" i="8" l="1"/>
  <c r="Y38" i="2"/>
  <c r="X38" i="2" s="1"/>
  <c r="D39" i="2" l="1"/>
  <c r="H39" i="11"/>
  <c r="AB39" i="7"/>
  <c r="AJ39" i="7" s="1"/>
  <c r="E39" i="2"/>
  <c r="L39" i="2" s="1"/>
  <c r="AW39" i="8"/>
  <c r="U39" i="2" l="1"/>
  <c r="W38" i="2" s="1"/>
  <c r="C39" i="2" l="1"/>
  <c r="S39" i="8" s="1"/>
  <c r="H39" i="2" l="1"/>
  <c r="F39" i="2"/>
  <c r="AP39" i="1" s="1"/>
  <c r="I39" i="2"/>
  <c r="F39" i="1"/>
  <c r="T39" i="8" l="1"/>
  <c r="W39" i="8" s="1"/>
  <c r="V39" i="8"/>
  <c r="J39" i="11"/>
  <c r="T39" i="1"/>
  <c r="I40" i="1" s="1"/>
  <c r="G39" i="2"/>
  <c r="Z39" i="2" s="1"/>
  <c r="AA39" i="1"/>
  <c r="S39" i="1" s="1"/>
  <c r="I39" i="11"/>
  <c r="O39" i="7"/>
  <c r="AO40" i="1" l="1"/>
  <c r="B64" i="4"/>
  <c r="AA40" i="8"/>
  <c r="F44" i="4" s="1"/>
  <c r="C39" i="8"/>
  <c r="BJ40" i="1"/>
  <c r="F39" i="9"/>
  <c r="P39" i="7"/>
  <c r="B40" i="8" l="1"/>
  <c r="Y39" i="2"/>
  <c r="X39" i="2" s="1"/>
  <c r="D40" i="2" l="1"/>
  <c r="E40" i="2"/>
  <c r="L40" i="2" s="1"/>
  <c r="H40" i="11"/>
  <c r="AW40" i="8"/>
  <c r="AB40" i="7"/>
  <c r="U40" i="2" l="1"/>
  <c r="W39" i="2" s="1"/>
  <c r="C40" i="2" l="1"/>
  <c r="B57" i="4" s="1"/>
  <c r="S40" i="8" l="1"/>
  <c r="H40" i="1"/>
  <c r="J60" i="4" s="1"/>
  <c r="I40" i="2"/>
  <c r="H40" i="2"/>
  <c r="F40" i="2"/>
  <c r="AP40" i="1" s="1"/>
  <c r="F40" i="1"/>
  <c r="B63" i="4" l="1"/>
  <c r="I60" i="4"/>
  <c r="C40" i="11"/>
  <c r="AQ40" i="8"/>
  <c r="AC40" i="7"/>
  <c r="AJ40" i="7" s="1"/>
  <c r="BI40" i="1"/>
  <c r="V40" i="10"/>
  <c r="AK40" i="5"/>
  <c r="O40" i="7"/>
  <c r="I40" i="11"/>
  <c r="T40" i="1"/>
  <c r="I41" i="1" s="1"/>
  <c r="AO41" i="1" s="1"/>
  <c r="J40" i="11"/>
  <c r="G40" i="2"/>
  <c r="Z40" i="2" s="1"/>
  <c r="AA40" i="1"/>
  <c r="S40" i="1" s="1"/>
  <c r="V40" i="8"/>
  <c r="T40" i="8"/>
  <c r="W40" i="8" s="1"/>
  <c r="H41" i="1" l="1"/>
  <c r="AC41" i="7" s="1"/>
  <c r="B62" i="4"/>
  <c r="AA41" i="8"/>
  <c r="BJ41" i="1"/>
  <c r="P40" i="7"/>
  <c r="F40" i="9"/>
  <c r="C40" i="8"/>
  <c r="AK41" i="5" l="1"/>
  <c r="BI41" i="1"/>
  <c r="AQ41" i="8"/>
  <c r="C41" i="11"/>
  <c r="V41" i="10"/>
  <c r="B41" i="8"/>
  <c r="Y40" i="2"/>
  <c r="X40" i="2" s="1"/>
  <c r="D41" i="2" l="1"/>
  <c r="E41" i="2"/>
  <c r="L41" i="2" s="1"/>
  <c r="AB41" i="7"/>
  <c r="AJ41" i="7" s="1"/>
  <c r="AW41" i="8"/>
  <c r="H41" i="11"/>
  <c r="U41" i="2" l="1"/>
  <c r="W40" i="2" s="1"/>
  <c r="C41" i="2" l="1"/>
  <c r="S41" i="8" s="1"/>
  <c r="F41" i="2" l="1"/>
  <c r="I41" i="2"/>
  <c r="O41" i="7" s="1"/>
  <c r="F41" i="1"/>
  <c r="H41" i="2"/>
  <c r="V41" i="8"/>
  <c r="T41" i="8"/>
  <c r="W41" i="8" s="1"/>
  <c r="G41" i="2" l="1"/>
  <c r="Z41" i="2" s="1"/>
  <c r="AA42" i="8" s="1"/>
  <c r="AP41" i="1"/>
  <c r="T41" i="1" s="1"/>
  <c r="I42" i="1" s="1"/>
  <c r="AO42" i="1" s="1"/>
  <c r="J41" i="11"/>
  <c r="P41" i="7" s="1"/>
  <c r="I41" i="11"/>
  <c r="AA41" i="1"/>
  <c r="S41" i="1" s="1"/>
  <c r="H42" i="1" s="1"/>
  <c r="AK42" i="5" l="1"/>
  <c r="C41" i="8"/>
  <c r="F41" i="9"/>
  <c r="BJ42" i="1"/>
  <c r="AC42" i="7"/>
  <c r="BI42" i="1"/>
  <c r="C42" i="11"/>
  <c r="AQ42" i="8"/>
  <c r="V42" i="10"/>
  <c r="B42" i="8"/>
  <c r="Y41" i="2"/>
  <c r="X41" i="2" s="1"/>
  <c r="D42" i="2" l="1"/>
  <c r="AB42" i="7"/>
  <c r="AJ42" i="7" s="1"/>
  <c r="AW42" i="8"/>
  <c r="E42" i="2"/>
  <c r="L42" i="2" s="1"/>
  <c r="H42" i="11"/>
  <c r="U42" i="2" l="1"/>
  <c r="W41" i="2" s="1"/>
  <c r="C42" i="2" l="1"/>
  <c r="S42" i="8" s="1"/>
  <c r="I42" i="2" l="1"/>
  <c r="F42" i="2"/>
  <c r="AP42" i="1" s="1"/>
  <c r="H42" i="2"/>
  <c r="F42" i="1"/>
  <c r="T42" i="1" l="1"/>
  <c r="I43" i="1" s="1"/>
  <c r="AO43" i="1" s="1"/>
  <c r="J42" i="11"/>
  <c r="G42" i="2"/>
  <c r="Z42" i="2" s="1"/>
  <c r="T42" i="8"/>
  <c r="W42" i="8" s="1"/>
  <c r="V42" i="8"/>
  <c r="AA42" i="1"/>
  <c r="S42" i="1" s="1"/>
  <c r="H43" i="1" s="1"/>
  <c r="O42" i="7"/>
  <c r="I42" i="11"/>
  <c r="AA43" i="8" l="1"/>
  <c r="C42" i="8"/>
  <c r="AC43" i="7"/>
  <c r="AK43" i="5"/>
  <c r="BI43" i="1"/>
  <c r="C43" i="11"/>
  <c r="AQ43" i="8"/>
  <c r="V43" i="10"/>
  <c r="P42" i="7"/>
  <c r="F42" i="9"/>
  <c r="BJ43" i="1"/>
  <c r="B43" i="8" l="1"/>
  <c r="Y42" i="2"/>
  <c r="X42" i="2" s="1"/>
  <c r="D43" i="2" l="1"/>
  <c r="H43" i="11"/>
  <c r="AW43" i="8"/>
  <c r="E43" i="2"/>
  <c r="L43" i="2" s="1"/>
  <c r="AB43" i="7"/>
  <c r="AJ43" i="7" s="1"/>
  <c r="U43" i="2" l="1"/>
  <c r="W42" i="2" s="1"/>
  <c r="C43" i="2" l="1"/>
  <c r="S43" i="8" s="1"/>
  <c r="I43" i="2" l="1"/>
  <c r="AA43" i="1" s="1"/>
  <c r="S43" i="1" s="1"/>
  <c r="H44" i="1" s="1"/>
  <c r="F43" i="2"/>
  <c r="AP43" i="1" s="1"/>
  <c r="F43" i="1"/>
  <c r="H43" i="2"/>
  <c r="AK44" i="5" l="1"/>
  <c r="BI44" i="1"/>
  <c r="C44" i="11"/>
  <c r="AQ44" i="8"/>
  <c r="V44" i="10"/>
  <c r="AC44" i="7"/>
  <c r="J43" i="11"/>
  <c r="T43" i="1"/>
  <c r="I44" i="1" s="1"/>
  <c r="AO44" i="1" s="1"/>
  <c r="G43" i="2"/>
  <c r="Z43" i="2" s="1"/>
  <c r="V43" i="8"/>
  <c r="T43" i="8"/>
  <c r="W43" i="8" s="1"/>
  <c r="I43" i="11"/>
  <c r="O43" i="7"/>
  <c r="AA44" i="8" l="1"/>
  <c r="P43" i="7"/>
  <c r="F43" i="9"/>
  <c r="BJ44" i="1"/>
  <c r="C43" i="8"/>
  <c r="B44" i="8" l="1"/>
  <c r="Y43" i="2"/>
  <c r="X43" i="2" s="1"/>
  <c r="D44" i="2" l="1"/>
  <c r="H44" i="11"/>
  <c r="E44" i="2"/>
  <c r="L44" i="2" s="1"/>
  <c r="AW44" i="8"/>
  <c r="AB44" i="7"/>
  <c r="AJ44" i="7" s="1"/>
  <c r="U44" i="2" l="1"/>
  <c r="W43" i="2" s="1"/>
  <c r="C44" i="2" l="1"/>
  <c r="S44" i="8" s="1"/>
  <c r="F44" i="1" l="1"/>
  <c r="I44" i="2"/>
  <c r="AA44" i="1" s="1"/>
  <c r="S44" i="1" s="1"/>
  <c r="H45" i="1" s="1"/>
  <c r="H44" i="2"/>
  <c r="F44" i="2"/>
  <c r="AP44" i="1" s="1"/>
  <c r="T44" i="1" l="1"/>
  <c r="I45" i="1" s="1"/>
  <c r="AO45" i="1" s="1"/>
  <c r="J44" i="11"/>
  <c r="G44" i="2"/>
  <c r="Z44" i="2" s="1"/>
  <c r="V44" i="8"/>
  <c r="T44" i="8"/>
  <c r="W44" i="8" s="1"/>
  <c r="AQ45" i="8"/>
  <c r="AC45" i="7"/>
  <c r="V45" i="10"/>
  <c r="C45" i="11"/>
  <c r="BI45" i="1"/>
  <c r="AK45" i="5"/>
  <c r="I44" i="11"/>
  <c r="O44" i="7"/>
  <c r="AA45" i="8" l="1"/>
  <c r="C44" i="8"/>
  <c r="P44" i="7"/>
  <c r="F44" i="9"/>
  <c r="BJ45" i="1"/>
  <c r="B45" i="8" l="1"/>
  <c r="Y44" i="2"/>
  <c r="X44" i="2" s="1"/>
  <c r="D45" i="2" l="1"/>
  <c r="AW45" i="8"/>
  <c r="H45" i="11"/>
  <c r="AB45" i="7"/>
  <c r="AJ45" i="7" s="1"/>
  <c r="E45" i="2"/>
  <c r="L45" i="2" s="1"/>
  <c r="U45" i="2" l="1"/>
  <c r="W44" i="2" s="1"/>
  <c r="C45" i="2" l="1"/>
  <c r="S45" i="8" s="1"/>
  <c r="H45" i="2" l="1"/>
  <c r="F45" i="1"/>
  <c r="F45" i="2"/>
  <c r="AP45" i="1" s="1"/>
  <c r="I45" i="2"/>
  <c r="T45" i="1" l="1"/>
  <c r="I46" i="1" s="1"/>
  <c r="AO46" i="1" s="1"/>
  <c r="J45" i="11"/>
  <c r="G45" i="2"/>
  <c r="Z45" i="2" s="1"/>
  <c r="I45" i="11"/>
  <c r="O45" i="7"/>
  <c r="T45" i="8"/>
  <c r="W45" i="8" s="1"/>
  <c r="V45" i="8"/>
  <c r="AA45" i="1"/>
  <c r="S45" i="1" s="1"/>
  <c r="H46" i="1" s="1"/>
  <c r="AA46" i="8" l="1"/>
  <c r="AQ46" i="8"/>
  <c r="BI46" i="1"/>
  <c r="AK46" i="5"/>
  <c r="V46" i="10"/>
  <c r="C46" i="11"/>
  <c r="AC46" i="7"/>
  <c r="C45" i="8"/>
  <c r="P45" i="7"/>
  <c r="F45" i="9"/>
  <c r="BJ46" i="1"/>
  <c r="B46" i="8" l="1"/>
  <c r="Y45" i="2"/>
  <c r="X45" i="2" s="1"/>
  <c r="D46" i="2" l="1"/>
  <c r="E46" i="2"/>
  <c r="L46" i="2" s="1"/>
  <c r="AW46" i="8"/>
  <c r="H46" i="11"/>
  <c r="AB46" i="7"/>
  <c r="AJ46" i="7" s="1"/>
  <c r="U46" i="2" l="1"/>
  <c r="W45" i="2" s="1"/>
  <c r="C46" i="2" l="1"/>
  <c r="S46" i="8" s="1"/>
  <c r="F46" i="1" l="1"/>
  <c r="F46" i="2"/>
  <c r="AP46" i="1" s="1"/>
  <c r="I46" i="2"/>
  <c r="AA46" i="1" s="1"/>
  <c r="S46" i="1" s="1"/>
  <c r="H47" i="1" s="1"/>
  <c r="H46" i="2"/>
  <c r="T46" i="8" l="1"/>
  <c r="W46" i="8" s="1"/>
  <c r="V46" i="8"/>
  <c r="AC47" i="7"/>
  <c r="C47" i="11"/>
  <c r="AQ47" i="8"/>
  <c r="AK47" i="5"/>
  <c r="BI47" i="1"/>
  <c r="V47" i="10"/>
  <c r="J46" i="11"/>
  <c r="T46" i="1"/>
  <c r="I47" i="1" s="1"/>
  <c r="AO47" i="1" s="1"/>
  <c r="G46" i="2"/>
  <c r="Z46" i="2" s="1"/>
  <c r="I46" i="11"/>
  <c r="O46" i="7"/>
  <c r="AA47" i="8" l="1"/>
  <c r="BJ47" i="1"/>
  <c r="C46" i="8"/>
  <c r="F46" i="9"/>
  <c r="P46" i="7"/>
  <c r="B47" i="8" l="1"/>
  <c r="Y46" i="2"/>
  <c r="X46" i="2" s="1"/>
  <c r="D47" i="2" l="1"/>
  <c r="H47" i="11"/>
  <c r="AB47" i="7"/>
  <c r="AJ47" i="7" s="1"/>
  <c r="AW47" i="8"/>
  <c r="E47" i="2"/>
  <c r="L47" i="2" s="1"/>
  <c r="U47" i="2" l="1"/>
  <c r="W46" i="2" s="1"/>
  <c r="C47" i="2" l="1"/>
  <c r="S47" i="8" s="1"/>
  <c r="I47" i="2" l="1"/>
  <c r="F47" i="2"/>
  <c r="AP47" i="1" s="1"/>
  <c r="F47" i="1"/>
  <c r="H47" i="2"/>
  <c r="V47" i="8" l="1"/>
  <c r="T47" i="8"/>
  <c r="W47" i="8" s="1"/>
  <c r="AA47" i="1"/>
  <c r="S47" i="1" s="1"/>
  <c r="H48" i="1" s="1"/>
  <c r="I47" i="11"/>
  <c r="O47" i="7"/>
  <c r="T47" i="1"/>
  <c r="I48" i="1" s="1"/>
  <c r="AO48" i="1" s="1"/>
  <c r="J47" i="11"/>
  <c r="G47" i="2"/>
  <c r="Z47" i="2" s="1"/>
  <c r="AA48" i="8" l="1"/>
  <c r="F47" i="9"/>
  <c r="P47" i="7"/>
  <c r="C47" i="8"/>
  <c r="BJ48" i="1"/>
  <c r="AK48" i="5"/>
  <c r="AC48" i="7"/>
  <c r="BI48" i="1"/>
  <c r="AQ48" i="8"/>
  <c r="C48" i="11"/>
  <c r="V48" i="10"/>
  <c r="B48" i="8" l="1"/>
  <c r="Y47" i="2"/>
  <c r="X47" i="2" s="1"/>
  <c r="D48" i="2" l="1"/>
  <c r="AW48" i="8"/>
  <c r="E48" i="2"/>
  <c r="L48" i="2" s="1"/>
  <c r="AB48" i="7"/>
  <c r="AJ48" i="7" s="1"/>
  <c r="H48" i="11"/>
  <c r="U48" i="2" l="1"/>
  <c r="W47" i="2" s="1"/>
  <c r="C48" i="2" l="1"/>
  <c r="S48" i="8" s="1"/>
  <c r="F48" i="1" l="1"/>
  <c r="I48" i="2"/>
  <c r="AA48" i="1" s="1"/>
  <c r="S48" i="1" s="1"/>
  <c r="H49" i="1" s="1"/>
  <c r="H48" i="2"/>
  <c r="F48" i="2"/>
  <c r="AP48" i="1" s="1"/>
  <c r="O48" i="7" l="1"/>
  <c r="I48" i="11"/>
  <c r="V48" i="8"/>
  <c r="T48" i="8"/>
  <c r="W48" i="8" s="1"/>
  <c r="J48" i="11"/>
  <c r="T48" i="1"/>
  <c r="I49" i="1" s="1"/>
  <c r="AO49" i="1" s="1"/>
  <c r="G48" i="2"/>
  <c r="Z48" i="2" s="1"/>
  <c r="C49" i="11"/>
  <c r="AK49" i="5"/>
  <c r="AC49" i="7"/>
  <c r="AQ49" i="8"/>
  <c r="V49" i="10"/>
  <c r="BI49" i="1"/>
  <c r="AA49" i="8" l="1"/>
  <c r="C48" i="8"/>
  <c r="F48" i="9"/>
  <c r="P48" i="7"/>
  <c r="BJ49" i="1"/>
  <c r="B49" i="8" l="1"/>
  <c r="Y48" i="2"/>
  <c r="X48" i="2" s="1"/>
  <c r="D49" i="2" l="1"/>
  <c r="H49" i="11"/>
  <c r="E49" i="2"/>
  <c r="L49" i="2" s="1"/>
  <c r="AB49" i="7"/>
  <c r="AJ49" i="7" s="1"/>
  <c r="AW49" i="8"/>
  <c r="U49" i="2" l="1"/>
  <c r="W48" i="2" s="1"/>
  <c r="C49" i="2" l="1"/>
  <c r="S49" i="8" s="1"/>
  <c r="F49" i="2" l="1"/>
  <c r="AP49" i="1" s="1"/>
  <c r="H49" i="2"/>
  <c r="F49" i="1"/>
  <c r="I49" i="2"/>
  <c r="AA49" i="1" l="1"/>
  <c r="S49" i="1" s="1"/>
  <c r="H50" i="1" s="1"/>
  <c r="O49" i="7"/>
  <c r="I49" i="11"/>
  <c r="J49" i="11"/>
  <c r="T49" i="1"/>
  <c r="I50" i="1" s="1"/>
  <c r="AO50" i="1" s="1"/>
  <c r="G49" i="2"/>
  <c r="Z49" i="2" s="1"/>
  <c r="V49" i="8"/>
  <c r="T49" i="8"/>
  <c r="W49" i="8" s="1"/>
  <c r="AA50" i="8" l="1"/>
  <c r="C49" i="8"/>
  <c r="BJ50" i="1"/>
  <c r="F49" i="9"/>
  <c r="P49" i="7"/>
  <c r="AC50" i="7"/>
  <c r="C50" i="11"/>
  <c r="BI50" i="1"/>
  <c r="AK50" i="5"/>
  <c r="AQ50" i="8"/>
  <c r="V50" i="10"/>
  <c r="B50" i="8" l="1"/>
  <c r="Y49" i="2"/>
  <c r="X49" i="2" s="1"/>
  <c r="D50" i="2" l="1"/>
  <c r="AW50" i="8"/>
  <c r="H50" i="11"/>
  <c r="E50" i="2"/>
  <c r="L50" i="2" s="1"/>
  <c r="AB50" i="7"/>
  <c r="AJ50" i="7" s="1"/>
  <c r="U50" i="2" l="1"/>
  <c r="W49" i="2" s="1"/>
  <c r="C50" i="2" l="1"/>
  <c r="S50" i="8" s="1"/>
  <c r="F50" i="2" l="1"/>
  <c r="AP50" i="1" s="1"/>
  <c r="I50" i="2"/>
  <c r="H50" i="2"/>
  <c r="F50" i="1"/>
  <c r="T50" i="8" l="1"/>
  <c r="W50" i="8" s="1"/>
  <c r="V50" i="8"/>
  <c r="AA50" i="1"/>
  <c r="S50" i="1" s="1"/>
  <c r="I50" i="11"/>
  <c r="O50" i="7"/>
  <c r="J50" i="11"/>
  <c r="T50" i="1"/>
  <c r="I51" i="1" s="1"/>
  <c r="AO51" i="1" s="1"/>
  <c r="G50" i="2"/>
  <c r="Z50" i="2" s="1"/>
  <c r="AA51" i="8" l="1"/>
  <c r="C50" i="8"/>
  <c r="BJ51" i="1"/>
  <c r="P50" i="7"/>
  <c r="F50" i="9"/>
  <c r="B51" i="8" l="1"/>
  <c r="Y50" i="2"/>
  <c r="X50" i="2" s="1"/>
  <c r="D51" i="2" l="1"/>
  <c r="AB51" i="7"/>
  <c r="H51" i="11"/>
  <c r="AW51" i="8"/>
  <c r="E51" i="2"/>
  <c r="L51" i="2" s="1"/>
  <c r="U51" i="2" l="1"/>
  <c r="W50" i="2" s="1"/>
  <c r="C51" i="2" l="1"/>
  <c r="S51" i="8" s="1"/>
  <c r="F51" i="2" l="1"/>
  <c r="AP51" i="1" s="1"/>
  <c r="I51" i="2"/>
  <c r="AA51" i="1" s="1"/>
  <c r="S51" i="1" s="1"/>
  <c r="H51" i="2"/>
  <c r="F51" i="1"/>
  <c r="H51" i="1"/>
  <c r="AK51" i="5" l="1"/>
  <c r="BI51" i="1"/>
  <c r="V51" i="10"/>
  <c r="AC51" i="7"/>
  <c r="AJ51" i="7" s="1"/>
  <c r="AQ51" i="8"/>
  <c r="C51" i="11"/>
  <c r="T51" i="8"/>
  <c r="W51" i="8" s="1"/>
  <c r="V51" i="8"/>
  <c r="O51" i="7"/>
  <c r="I51" i="11"/>
  <c r="J51" i="11"/>
  <c r="T51" i="1"/>
  <c r="I52" i="1" s="1"/>
  <c r="G51" i="2"/>
  <c r="Z51" i="2" s="1"/>
  <c r="AO52" i="1" l="1"/>
  <c r="E64" i="8"/>
  <c r="BJ52" i="1"/>
  <c r="F51" i="9"/>
  <c r="P51" i="7"/>
  <c r="C51" i="8"/>
  <c r="CG64" i="8" l="1"/>
  <c r="M64" i="2"/>
  <c r="DF64" i="8"/>
  <c r="G64" i="1" s="1"/>
  <c r="N64" i="8" s="1"/>
  <c r="AA52" i="8"/>
  <c r="Y51" i="2"/>
  <c r="X51" i="2" s="1"/>
  <c r="B52" i="8" l="1"/>
  <c r="D52" i="2" s="1"/>
  <c r="P64" i="8"/>
  <c r="R64" i="8" s="1"/>
  <c r="E52" i="2"/>
  <c r="L52" i="2" s="1"/>
  <c r="AB52" i="7"/>
  <c r="AW52" i="8"/>
  <c r="H52" i="11"/>
  <c r="U52" i="2" l="1"/>
  <c r="W51" i="2" s="1"/>
  <c r="C52" i="2" l="1"/>
  <c r="F52" i="1" l="1"/>
  <c r="S52" i="8"/>
  <c r="V52" i="8" s="1"/>
  <c r="H52" i="1"/>
  <c r="F52" i="2"/>
  <c r="H52" i="2"/>
  <c r="I52" i="2"/>
  <c r="AA52" i="1" s="1"/>
  <c r="S52" i="1" s="1"/>
  <c r="BI52" i="1" l="1"/>
  <c r="AP52" i="1"/>
  <c r="T52" i="1" s="1"/>
  <c r="I53" i="1" s="1"/>
  <c r="G52" i="2"/>
  <c r="Z52" i="2" s="1"/>
  <c r="H53" i="1"/>
  <c r="T52" i="8"/>
  <c r="W52" i="8" s="1"/>
  <c r="O52" i="7"/>
  <c r="J52" i="11"/>
  <c r="P52" i="7" s="1"/>
  <c r="I52" i="11"/>
  <c r="C52" i="11"/>
  <c r="AK52" i="5"/>
  <c r="V52" i="10"/>
  <c r="AQ52" i="8"/>
  <c r="AC52" i="7"/>
  <c r="AJ52" i="7" s="1"/>
  <c r="AQ53" i="8" l="1"/>
  <c r="AO53" i="1"/>
  <c r="BJ53" i="1"/>
  <c r="C52" i="8"/>
  <c r="C53" i="11"/>
  <c r="AK53" i="5"/>
  <c r="V53" i="10"/>
  <c r="BI53" i="1"/>
  <c r="AC53" i="7"/>
  <c r="F52" i="9"/>
  <c r="Y52" i="2"/>
  <c r="X52" i="2" s="1"/>
  <c r="E65" i="8" l="1"/>
  <c r="AA53" i="8"/>
  <c r="B53" i="8" s="1"/>
  <c r="D53" i="2" s="1"/>
  <c r="CG65" i="8" l="1"/>
  <c r="P65" i="8" s="1"/>
  <c r="DF65" i="8"/>
  <c r="G65" i="1" s="1"/>
  <c r="N65" i="8" s="1"/>
  <c r="M65" i="2"/>
  <c r="AB53" i="7"/>
  <c r="AJ53" i="7" s="1"/>
  <c r="AW53" i="8"/>
  <c r="E53" i="2"/>
  <c r="L53" i="2" s="1"/>
  <c r="H53" i="11"/>
  <c r="R65" i="8" l="1"/>
  <c r="U53" i="2"/>
  <c r="W52" i="2" s="1"/>
  <c r="C53" i="2" s="1"/>
  <c r="S53" i="8" s="1"/>
  <c r="F53" i="2" l="1"/>
  <c r="AP53" i="1" s="1"/>
  <c r="F53" i="1"/>
  <c r="I53" i="2"/>
  <c r="H53" i="2"/>
  <c r="T53" i="8" l="1"/>
  <c r="W53" i="8" s="1"/>
  <c r="V53" i="8"/>
  <c r="AA53" i="1"/>
  <c r="S53" i="1" s="1"/>
  <c r="H54" i="1" s="1"/>
  <c r="I53" i="11"/>
  <c r="O53" i="7"/>
  <c r="T53" i="1"/>
  <c r="I54" i="1" s="1"/>
  <c r="AO54" i="1" s="1"/>
  <c r="J53" i="11"/>
  <c r="G53" i="2"/>
  <c r="Z53" i="2" s="1"/>
  <c r="P53" i="7" l="1"/>
  <c r="F53" i="9"/>
  <c r="C54" i="11"/>
  <c r="AC54" i="7"/>
  <c r="AQ54" i="8"/>
  <c r="BI54" i="1"/>
  <c r="V54" i="10"/>
  <c r="AK54" i="5"/>
  <c r="C53" i="8"/>
  <c r="BJ54" i="1"/>
  <c r="E66" i="8" l="1"/>
  <c r="AA54" i="8"/>
  <c r="B54" i="8" s="1"/>
  <c r="Y53" i="2"/>
  <c r="X53" i="2" s="1"/>
  <c r="CG66" i="8" l="1"/>
  <c r="M66" i="2"/>
  <c r="DF66" i="8"/>
  <c r="G66" i="1" s="1"/>
  <c r="N66" i="8" s="1"/>
  <c r="D54" i="2"/>
  <c r="E54" i="2"/>
  <c r="L54" i="2" s="1"/>
  <c r="AW54" i="8"/>
  <c r="AB54" i="7"/>
  <c r="AJ54" i="7" s="1"/>
  <c r="H54" i="11"/>
  <c r="P66" i="8" l="1"/>
  <c r="R66" i="8" s="1"/>
  <c r="U54" i="2"/>
  <c r="W53" i="2" s="1"/>
  <c r="C54" i="2" l="1"/>
  <c r="S54" i="8" s="1"/>
  <c r="H54" i="2" l="1"/>
  <c r="I54" i="2"/>
  <c r="AA54" i="1" s="1"/>
  <c r="S54" i="1" s="1"/>
  <c r="H55" i="1" s="1"/>
  <c r="F54" i="2"/>
  <c r="AP54" i="1" s="1"/>
  <c r="F54" i="1"/>
  <c r="J54" i="11" l="1"/>
  <c r="T54" i="1"/>
  <c r="I55" i="1" s="1"/>
  <c r="AO55" i="1" s="1"/>
  <c r="G54" i="2"/>
  <c r="Z54" i="2" s="1"/>
  <c r="O54" i="7"/>
  <c r="I54" i="11"/>
  <c r="AQ55" i="8"/>
  <c r="AC55" i="7"/>
  <c r="C55" i="11"/>
  <c r="V55" i="10"/>
  <c r="AK55" i="5"/>
  <c r="BI55" i="1"/>
  <c r="T54" i="8"/>
  <c r="W54" i="8" s="1"/>
  <c r="V54" i="8"/>
  <c r="C54" i="8" l="1"/>
  <c r="BJ55" i="1"/>
  <c r="F54" i="9"/>
  <c r="P54" i="7"/>
  <c r="E67" i="8" l="1"/>
  <c r="AA55" i="8"/>
  <c r="B55" i="8" s="1"/>
  <c r="Y54" i="2"/>
  <c r="X54" i="2" s="1"/>
  <c r="CG67" i="8" l="1"/>
  <c r="M67" i="2"/>
  <c r="DF67" i="8"/>
  <c r="G67" i="1" s="1"/>
  <c r="N67" i="8" s="1"/>
  <c r="D55" i="2"/>
  <c r="AB55" i="7"/>
  <c r="AJ55" i="7" s="1"/>
  <c r="H55" i="11"/>
  <c r="E55" i="2"/>
  <c r="L55" i="2" s="1"/>
  <c r="AW55" i="8"/>
  <c r="P67" i="8" l="1"/>
  <c r="R67" i="8" s="1"/>
  <c r="U55" i="2"/>
  <c r="W54" i="2" s="1"/>
  <c r="C55" i="2" l="1"/>
  <c r="S55" i="8" s="1"/>
  <c r="I55" i="2" l="1"/>
  <c r="AA55" i="1" s="1"/>
  <c r="S55" i="1" s="1"/>
  <c r="H56" i="1" s="1"/>
  <c r="H55" i="2"/>
  <c r="F55" i="2"/>
  <c r="AP55" i="1" s="1"/>
  <c r="F55" i="1"/>
  <c r="T55" i="1" l="1"/>
  <c r="I56" i="1" s="1"/>
  <c r="AO56" i="1" s="1"/>
  <c r="J55" i="11"/>
  <c r="G55" i="2"/>
  <c r="Z55" i="2" s="1"/>
  <c r="AK56" i="5"/>
  <c r="AQ56" i="8"/>
  <c r="AC56" i="7"/>
  <c r="BI56" i="1"/>
  <c r="V56" i="10"/>
  <c r="C56" i="11"/>
  <c r="I55" i="11"/>
  <c r="O55" i="7"/>
  <c r="V55" i="8"/>
  <c r="T55" i="8"/>
  <c r="W55" i="8" s="1"/>
  <c r="C55" i="8" l="1"/>
  <c r="P55" i="7"/>
  <c r="F55" i="9"/>
  <c r="BJ56" i="1"/>
  <c r="E68" i="8" l="1"/>
  <c r="AA56" i="8"/>
  <c r="B56" i="8" s="1"/>
  <c r="Y55" i="2"/>
  <c r="X55" i="2" s="1"/>
  <c r="CG68" i="8" l="1"/>
  <c r="P68" i="8" s="1"/>
  <c r="M68" i="2"/>
  <c r="DF68" i="8"/>
  <c r="G68" i="1" s="1"/>
  <c r="N68" i="8" s="1"/>
  <c r="D56" i="2"/>
  <c r="E56" i="2"/>
  <c r="L56" i="2" s="1"/>
  <c r="AW56" i="8"/>
  <c r="H56" i="11"/>
  <c r="AB56" i="7"/>
  <c r="AJ56" i="7" s="1"/>
  <c r="R68" i="8" l="1"/>
  <c r="U56" i="2"/>
  <c r="W55" i="2" s="1"/>
  <c r="C56" i="2" l="1"/>
  <c r="S56" i="8" s="1"/>
  <c r="F56" i="1" l="1"/>
  <c r="F56" i="2"/>
  <c r="AP56" i="1" s="1"/>
  <c r="I56" i="2"/>
  <c r="H56" i="2"/>
  <c r="T56" i="8" l="1"/>
  <c r="W56" i="8" s="1"/>
  <c r="V56" i="8"/>
  <c r="J56" i="11"/>
  <c r="T56" i="1"/>
  <c r="I57" i="1" s="1"/>
  <c r="AO57" i="1" s="1"/>
  <c r="G56" i="2"/>
  <c r="Z56" i="2" s="1"/>
  <c r="AA56" i="1"/>
  <c r="S56" i="1" s="1"/>
  <c r="H57" i="1" s="1"/>
  <c r="O56" i="7"/>
  <c r="I56" i="11"/>
  <c r="BJ57" i="1" l="1"/>
  <c r="P56" i="7"/>
  <c r="F56" i="9"/>
  <c r="BI57" i="1"/>
  <c r="V57" i="10"/>
  <c r="AQ57" i="8"/>
  <c r="AK57" i="5"/>
  <c r="AC57" i="7"/>
  <c r="C57" i="11"/>
  <c r="C56" i="8"/>
  <c r="E69" i="8" l="1"/>
  <c r="AA57" i="8"/>
  <c r="B57" i="8" s="1"/>
  <c r="Y56" i="2"/>
  <c r="X56" i="2" s="1"/>
  <c r="CG69" i="8" l="1"/>
  <c r="DF69" i="8"/>
  <c r="G69" i="1" s="1"/>
  <c r="N69" i="8" s="1"/>
  <c r="M69" i="2"/>
  <c r="D57" i="2"/>
  <c r="AB57" i="7"/>
  <c r="AJ57" i="7" s="1"/>
  <c r="AW57" i="8"/>
  <c r="E57" i="2"/>
  <c r="L57" i="2" s="1"/>
  <c r="H57" i="11"/>
  <c r="P69" i="8" l="1"/>
  <c r="R69" i="8" s="1"/>
  <c r="U57" i="2"/>
  <c r="W56" i="2" s="1"/>
  <c r="C57" i="2" l="1"/>
  <c r="S57" i="8" s="1"/>
  <c r="H57" i="2" l="1"/>
  <c r="F57" i="2"/>
  <c r="AP57" i="1" s="1"/>
  <c r="I57" i="2"/>
  <c r="F57" i="1"/>
  <c r="T57" i="8" l="1"/>
  <c r="W57" i="8" s="1"/>
  <c r="V57" i="8"/>
  <c r="J57" i="11"/>
  <c r="T57" i="1"/>
  <c r="I58" i="1" s="1"/>
  <c r="AO58" i="1" s="1"/>
  <c r="G57" i="2"/>
  <c r="Z57" i="2" s="1"/>
  <c r="AA57" i="1"/>
  <c r="S57" i="1" s="1"/>
  <c r="H58" i="1" s="1"/>
  <c r="O57" i="7"/>
  <c r="I57" i="11"/>
  <c r="C58" i="11" l="1"/>
  <c r="AQ58" i="8"/>
  <c r="V58" i="10"/>
  <c r="BI58" i="1"/>
  <c r="AK58" i="5"/>
  <c r="AC58" i="7"/>
  <c r="C57" i="8"/>
  <c r="BJ58" i="1"/>
  <c r="F57" i="9"/>
  <c r="P57" i="7"/>
  <c r="E70" i="8" l="1"/>
  <c r="AA58" i="8"/>
  <c r="Y57" i="2"/>
  <c r="X57" i="2" s="1"/>
  <c r="M70" i="2" l="1"/>
  <c r="DF70" i="8"/>
  <c r="G70" i="1" s="1"/>
  <c r="N70" i="8" s="1"/>
  <c r="CG70" i="8"/>
  <c r="B58" i="8"/>
  <c r="D58" i="2" s="1"/>
  <c r="H58" i="11"/>
  <c r="AB58" i="7"/>
  <c r="AJ58" i="7" s="1"/>
  <c r="E58" i="2"/>
  <c r="L58" i="2" s="1"/>
  <c r="AW58" i="8"/>
  <c r="P70" i="8" l="1"/>
  <c r="R70" i="8" s="1"/>
  <c r="U58" i="2"/>
  <c r="W57" i="2" s="1"/>
  <c r="C58" i="2" l="1"/>
  <c r="S58" i="8" s="1"/>
  <c r="F58" i="1" l="1"/>
  <c r="H58" i="2"/>
  <c r="F58" i="2"/>
  <c r="AP58" i="1" s="1"/>
  <c r="I58" i="2"/>
  <c r="AA58" i="1" s="1"/>
  <c r="S58" i="1" s="1"/>
  <c r="H59" i="1" s="1"/>
  <c r="AK59" i="5" l="1"/>
  <c r="AC59" i="7"/>
  <c r="C59" i="11"/>
  <c r="AQ59" i="8"/>
  <c r="V59" i="10"/>
  <c r="BI59" i="1"/>
  <c r="I58" i="11"/>
  <c r="O58" i="7"/>
  <c r="J58" i="11"/>
  <c r="T58" i="1"/>
  <c r="I59" i="1" s="1"/>
  <c r="AO59" i="1" s="1"/>
  <c r="G58" i="2"/>
  <c r="Z58" i="2" s="1"/>
  <c r="T58" i="8"/>
  <c r="W58" i="8" s="1"/>
  <c r="V58" i="8"/>
  <c r="AA59" i="8" l="1"/>
  <c r="BJ59" i="1"/>
  <c r="C58" i="8"/>
  <c r="P58" i="7"/>
  <c r="F58" i="9"/>
  <c r="B59" i="8" l="1"/>
  <c r="Y58" i="2"/>
  <c r="X58" i="2" s="1"/>
  <c r="E59" i="2" l="1"/>
  <c r="L59" i="2" s="1"/>
  <c r="H59" i="11"/>
  <c r="AB59" i="7"/>
  <c r="AJ59" i="7" s="1"/>
  <c r="AW59" i="8"/>
  <c r="D59" i="2"/>
  <c r="U59" i="2" l="1"/>
  <c r="W58" i="2" s="1"/>
  <c r="C59" i="2" l="1"/>
  <c r="S59" i="8" s="1"/>
  <c r="F59" i="1" l="1"/>
  <c r="I59" i="2"/>
  <c r="AA59" i="1" s="1"/>
  <c r="S59" i="1" s="1"/>
  <c r="H60" i="1" s="1"/>
  <c r="H59" i="2"/>
  <c r="F59" i="2"/>
  <c r="AP59" i="1" s="1"/>
  <c r="T59" i="1" l="1"/>
  <c r="I60" i="1" s="1"/>
  <c r="AO60" i="1" s="1"/>
  <c r="J59" i="11"/>
  <c r="G59" i="2"/>
  <c r="Z59" i="2" s="1"/>
  <c r="V60" i="10"/>
  <c r="AC60" i="7"/>
  <c r="C60" i="11"/>
  <c r="BI60" i="1"/>
  <c r="AQ60" i="8"/>
  <c r="AK60" i="5"/>
  <c r="V59" i="8"/>
  <c r="T59" i="8"/>
  <c r="W59" i="8" s="1"/>
  <c r="I59" i="11"/>
  <c r="O59" i="7"/>
  <c r="C59" i="8" l="1"/>
  <c r="P59" i="7"/>
  <c r="F59" i="9"/>
  <c r="BJ60" i="1"/>
  <c r="E71" i="8" l="1"/>
  <c r="AA60" i="8"/>
  <c r="Y59" i="2"/>
  <c r="X59" i="2" s="1"/>
  <c r="CG71" i="8" l="1"/>
  <c r="P71" i="8" s="1"/>
  <c r="M71" i="2"/>
  <c r="DF71" i="8"/>
  <c r="G71" i="1" s="1"/>
  <c r="N71" i="8" s="1"/>
  <c r="B60" i="8"/>
  <c r="D60" i="2" s="1"/>
  <c r="H60" i="11"/>
  <c r="AW60" i="8"/>
  <c r="AB60" i="7"/>
  <c r="AJ60" i="7" s="1"/>
  <c r="E60" i="2"/>
  <c r="L60" i="2" s="1"/>
  <c r="R71" i="8" l="1"/>
  <c r="U60" i="2"/>
  <c r="W59" i="2" s="1"/>
  <c r="C60" i="2" l="1"/>
  <c r="S60" i="8" s="1"/>
  <c r="H60" i="2" l="1"/>
  <c r="F60" i="1"/>
  <c r="F60" i="2"/>
  <c r="AP60" i="1" s="1"/>
  <c r="I60" i="2"/>
  <c r="O60" i="7" l="1"/>
  <c r="AA60" i="1"/>
  <c r="S60" i="1" s="1"/>
  <c r="H61" i="1" s="1"/>
  <c r="I60" i="11"/>
  <c r="G60" i="2"/>
  <c r="Z60" i="2" s="1"/>
  <c r="J60" i="11"/>
  <c r="T60" i="1"/>
  <c r="I61" i="1" s="1"/>
  <c r="AO61" i="1" s="1"/>
  <c r="V60" i="8"/>
  <c r="T60" i="8"/>
  <c r="W60" i="8" s="1"/>
  <c r="AA61" i="8" l="1"/>
  <c r="BJ61" i="1"/>
  <c r="P60" i="7"/>
  <c r="F60" i="9"/>
  <c r="C60" i="8"/>
  <c r="C61" i="11"/>
  <c r="AQ61" i="8"/>
  <c r="AK61" i="5"/>
  <c r="BI61" i="1"/>
  <c r="AC61" i="7"/>
  <c r="V61" i="10"/>
  <c r="E72" i="8" l="1"/>
  <c r="Y60" i="2"/>
  <c r="X60" i="2" s="1"/>
  <c r="AW61" i="8" l="1"/>
  <c r="AB61" i="7"/>
  <c r="AJ61" i="7" s="1"/>
  <c r="H61" i="11"/>
  <c r="B61" i="8"/>
  <c r="D61" i="2" s="1"/>
  <c r="E61" i="2"/>
  <c r="L61" i="2" s="1"/>
  <c r="CG72" i="8"/>
  <c r="DF72" i="8"/>
  <c r="G72" i="1" s="1"/>
  <c r="N72" i="8" s="1"/>
  <c r="M72" i="2"/>
  <c r="P72" i="8" l="1"/>
  <c r="R72" i="8" s="1"/>
  <c r="U61" i="2"/>
  <c r="W60" i="2" s="1"/>
  <c r="C61" i="2" s="1"/>
  <c r="S61" i="8" s="1"/>
  <c r="I61" i="2" l="1"/>
  <c r="AA61" i="1" s="1"/>
  <c r="S61" i="1" s="1"/>
  <c r="H62" i="1" s="1"/>
  <c r="V61" i="8"/>
  <c r="F61" i="2"/>
  <c r="H61" i="2"/>
  <c r="F61" i="1"/>
  <c r="AC62" i="7" l="1"/>
  <c r="G61" i="2"/>
  <c r="Z61" i="2" s="1"/>
  <c r="AP61" i="1"/>
  <c r="T61" i="1" s="1"/>
  <c r="I62" i="1" s="1"/>
  <c r="AO62" i="1" s="1"/>
  <c r="J61" i="11"/>
  <c r="P61" i="7" s="1"/>
  <c r="O61" i="7"/>
  <c r="I61" i="11"/>
  <c r="AQ62" i="8"/>
  <c r="BI62" i="1"/>
  <c r="AK62" i="5"/>
  <c r="V62" i="10"/>
  <c r="C62" i="11"/>
  <c r="T61" i="8"/>
  <c r="W61" i="8" s="1"/>
  <c r="C61" i="8" l="1"/>
  <c r="F61" i="9"/>
  <c r="BJ62" i="1"/>
  <c r="E73" i="8"/>
  <c r="AA62" i="8"/>
  <c r="Y61" i="2"/>
  <c r="X61" i="2" s="1"/>
  <c r="M73" i="2" l="1"/>
  <c r="DF73" i="8"/>
  <c r="G73" i="1" s="1"/>
  <c r="N73" i="8" s="1"/>
  <c r="CG73" i="8"/>
  <c r="B62" i="8"/>
  <c r="D62" i="2" s="1"/>
  <c r="E62" i="2"/>
  <c r="L62" i="2" s="1"/>
  <c r="AB62" i="7"/>
  <c r="AJ62" i="7" s="1"/>
  <c r="AW62" i="8"/>
  <c r="H62" i="11"/>
  <c r="P73" i="8" l="1"/>
  <c r="R73" i="8" s="1"/>
  <c r="U62" i="2"/>
  <c r="W61" i="2" s="1"/>
  <c r="C62" i="2" l="1"/>
  <c r="S62" i="8" s="1"/>
  <c r="F62" i="2" l="1"/>
  <c r="AP62" i="1" s="1"/>
  <c r="I62" i="2"/>
  <c r="AA62" i="1" s="1"/>
  <c r="S62" i="1" s="1"/>
  <c r="H63" i="1" s="1"/>
  <c r="H62" i="2"/>
  <c r="F62" i="1"/>
  <c r="T62" i="8" l="1"/>
  <c r="W62" i="8" s="1"/>
  <c r="V62" i="8"/>
  <c r="I62" i="11"/>
  <c r="O62" i="7"/>
  <c r="AC63" i="7"/>
  <c r="V63" i="10"/>
  <c r="AK63" i="5"/>
  <c r="BI63" i="1"/>
  <c r="AQ63" i="8"/>
  <c r="C63" i="11"/>
  <c r="J62" i="11"/>
  <c r="T62" i="1"/>
  <c r="I63" i="1" s="1"/>
  <c r="AO63" i="1" s="1"/>
  <c r="G62" i="2"/>
  <c r="Z62" i="2" s="1"/>
  <c r="BJ63" i="1" l="1"/>
  <c r="P62" i="7"/>
  <c r="F62" i="9"/>
  <c r="C62" i="8"/>
  <c r="E74" i="8" l="1"/>
  <c r="AA63" i="8"/>
  <c r="Y62" i="2"/>
  <c r="X62" i="2" s="1"/>
  <c r="DF74" i="8" l="1"/>
  <c r="G74" i="1" s="1"/>
  <c r="N74" i="8" s="1"/>
  <c r="CG74" i="8"/>
  <c r="P74" i="8" s="1"/>
  <c r="M74" i="2"/>
  <c r="B63" i="8"/>
  <c r="D63" i="2" s="1"/>
  <c r="E63" i="2"/>
  <c r="L63" i="2" s="1"/>
  <c r="H63" i="11"/>
  <c r="AW63" i="8"/>
  <c r="AB63" i="7"/>
  <c r="AJ63" i="7" s="1"/>
  <c r="R74" i="8" l="1"/>
  <c r="U63" i="2"/>
  <c r="W62" i="2" s="1"/>
  <c r="C63" i="2" l="1"/>
  <c r="S63" i="8" s="1"/>
  <c r="F63" i="2" l="1"/>
  <c r="AP63" i="1" s="1"/>
  <c r="I63" i="2"/>
  <c r="AA63" i="1" s="1"/>
  <c r="S63" i="1" s="1"/>
  <c r="H64" i="1" s="1"/>
  <c r="F63" i="1"/>
  <c r="H63" i="2"/>
  <c r="J63" i="11" l="1"/>
  <c r="T63" i="1"/>
  <c r="I64" i="1" s="1"/>
  <c r="AO64" i="1" s="1"/>
  <c r="G63" i="2"/>
  <c r="Z63" i="2" s="1"/>
  <c r="C64" i="11"/>
  <c r="AQ64" i="8"/>
  <c r="V64" i="10"/>
  <c r="AK64" i="5"/>
  <c r="AC64" i="7"/>
  <c r="BI64" i="1"/>
  <c r="I63" i="11"/>
  <c r="O63" i="7"/>
  <c r="V63" i="8"/>
  <c r="T63" i="8"/>
  <c r="W63" i="8" s="1"/>
  <c r="BJ64" i="1" l="1"/>
  <c r="C63" i="8"/>
  <c r="P63" i="7"/>
  <c r="F63" i="9"/>
  <c r="E75" i="8" l="1"/>
  <c r="AA64" i="8"/>
  <c r="Y63" i="2"/>
  <c r="X63" i="2" s="1"/>
  <c r="CG75" i="8" l="1"/>
  <c r="P75" i="8" s="1"/>
  <c r="B64" i="8"/>
  <c r="D64" i="2" s="1"/>
  <c r="DF75" i="8"/>
  <c r="G75" i="1" s="1"/>
  <c r="N75" i="8" s="1"/>
  <c r="M75" i="2"/>
  <c r="E64" i="2"/>
  <c r="L64" i="2" s="1"/>
  <c r="AB64" i="7"/>
  <c r="AJ64" i="7" s="1"/>
  <c r="H64" i="11"/>
  <c r="M28" i="7"/>
  <c r="AW64" i="8"/>
  <c r="R75" i="8" l="1"/>
  <c r="U64" i="2"/>
  <c r="W63" i="2" s="1"/>
  <c r="C64" i="2" l="1"/>
  <c r="S64" i="8" s="1"/>
  <c r="F64" i="1" l="1"/>
  <c r="H64" i="2"/>
  <c r="I64" i="2"/>
  <c r="AA64" i="1" s="1"/>
  <c r="S64" i="1" s="1"/>
  <c r="H65" i="1" s="1"/>
  <c r="F64" i="2"/>
  <c r="AP64" i="1" s="1"/>
  <c r="C65" i="11" l="1"/>
  <c r="AK65" i="5"/>
  <c r="AQ65" i="8"/>
  <c r="V65" i="10"/>
  <c r="BI65" i="1"/>
  <c r="AC65" i="7"/>
  <c r="O64" i="7"/>
  <c r="I64" i="11"/>
  <c r="T64" i="8"/>
  <c r="W64" i="8" s="1"/>
  <c r="V64" i="8"/>
  <c r="T64" i="1"/>
  <c r="I65" i="1" s="1"/>
  <c r="AO65" i="1" s="1"/>
  <c r="J64" i="11"/>
  <c r="G64" i="2"/>
  <c r="Z64" i="2" s="1"/>
  <c r="F64" i="9" l="1"/>
  <c r="P64" i="7"/>
  <c r="C64" i="8"/>
  <c r="BJ65" i="1"/>
  <c r="E76" i="8" l="1"/>
  <c r="AA65" i="8"/>
  <c r="Y64" i="2"/>
  <c r="X64" i="2" s="1"/>
  <c r="DF76" i="8" l="1"/>
  <c r="G76" i="1" s="1"/>
  <c r="N76" i="8" s="1"/>
  <c r="CG76" i="8"/>
  <c r="M76" i="2"/>
  <c r="E77" i="8"/>
  <c r="B65" i="8"/>
  <c r="D65" i="2" s="1"/>
  <c r="H65" i="11"/>
  <c r="E65" i="2"/>
  <c r="L65" i="2" s="1"/>
  <c r="AB65" i="7"/>
  <c r="AJ65" i="7" s="1"/>
  <c r="AW65" i="8"/>
  <c r="U65" i="2" l="1"/>
  <c r="W64" i="2" s="1"/>
  <c r="C39" i="4"/>
  <c r="C93" i="4"/>
  <c r="C42" i="4" s="1"/>
  <c r="E42" i="4" s="1"/>
  <c r="P76" i="8"/>
  <c r="R76" i="8" s="1"/>
  <c r="F39" i="4"/>
  <c r="H39" i="4" s="1"/>
  <c r="H43" i="4" s="1"/>
  <c r="J52" i="4" s="1"/>
  <c r="DF77" i="8"/>
  <c r="G77" i="1" s="1"/>
  <c r="N77" i="8" s="1"/>
  <c r="CG77" i="8"/>
  <c r="M77" i="2"/>
  <c r="E78" i="8"/>
  <c r="B60" i="4" l="1"/>
  <c r="C43" i="4"/>
  <c r="I51" i="4" s="1"/>
  <c r="E39" i="4"/>
  <c r="E43" i="4" s="1"/>
  <c r="B61" i="4" s="1"/>
  <c r="P77" i="8"/>
  <c r="R77" i="8" s="1"/>
  <c r="F43" i="4"/>
  <c r="I52" i="4" s="1"/>
  <c r="M78" i="2"/>
  <c r="E79" i="8"/>
  <c r="DF78" i="8"/>
  <c r="G78" i="1" s="1"/>
  <c r="N78" i="8" s="1"/>
  <c r="CG78" i="8"/>
  <c r="C65" i="2"/>
  <c r="S65" i="8" s="1"/>
  <c r="J51" i="4" l="1"/>
  <c r="P78" i="8"/>
  <c r="R78" i="8" s="1"/>
  <c r="CG79" i="8"/>
  <c r="E80" i="8"/>
  <c r="M79" i="2"/>
  <c r="DF79" i="8"/>
  <c r="G79" i="1" s="1"/>
  <c r="N79" i="8" s="1"/>
  <c r="I65" i="2"/>
  <c r="AA65" i="1" s="1"/>
  <c r="S65" i="1" s="1"/>
  <c r="H66" i="1" s="1"/>
  <c r="F65" i="1"/>
  <c r="H65" i="2"/>
  <c r="F65" i="2"/>
  <c r="AP65" i="1" s="1"/>
  <c r="P79" i="8" l="1"/>
  <c r="R79" i="8" s="1"/>
  <c r="DF80" i="8"/>
  <c r="G80" i="1" s="1"/>
  <c r="N80" i="8" s="1"/>
  <c r="M80" i="2"/>
  <c r="CG80" i="8"/>
  <c r="E81" i="8"/>
  <c r="AC66" i="7"/>
  <c r="C66" i="11"/>
  <c r="V66" i="10"/>
  <c r="AK66" i="5"/>
  <c r="AQ66" i="8"/>
  <c r="BI66" i="1"/>
  <c r="T65" i="1"/>
  <c r="I66" i="1" s="1"/>
  <c r="AO66" i="1" s="1"/>
  <c r="J65" i="11"/>
  <c r="G65" i="2"/>
  <c r="Z65" i="2" s="1"/>
  <c r="T65" i="8"/>
  <c r="W65" i="8" s="1"/>
  <c r="V65" i="8"/>
  <c r="I65" i="11"/>
  <c r="O65" i="7"/>
  <c r="P80" i="8" l="1"/>
  <c r="R80" i="8" s="1"/>
  <c r="AA66" i="8"/>
  <c r="DF81" i="8"/>
  <c r="G81" i="1" s="1"/>
  <c r="N81" i="8" s="1"/>
  <c r="CG81" i="8"/>
  <c r="M81" i="2"/>
  <c r="E82" i="8"/>
  <c r="C65" i="8"/>
  <c r="BJ66" i="1"/>
  <c r="F65" i="9"/>
  <c r="P65" i="7"/>
  <c r="P81" i="8" l="1"/>
  <c r="R81" i="8" s="1"/>
  <c r="CG82" i="8"/>
  <c r="M82" i="2"/>
  <c r="DF82" i="8"/>
  <c r="G82" i="1" s="1"/>
  <c r="N82" i="8" s="1"/>
  <c r="Y65" i="2"/>
  <c r="X65" i="2" s="1"/>
  <c r="P82" i="8" l="1"/>
  <c r="R82" i="8" s="1"/>
  <c r="B66" i="8"/>
  <c r="D66" i="2" s="1"/>
  <c r="AB66" i="7"/>
  <c r="AJ66" i="7" s="1"/>
  <c r="H66" i="11"/>
  <c r="AW66" i="8"/>
  <c r="E66" i="2"/>
  <c r="L66" i="2" s="1"/>
  <c r="U66" i="2" l="1"/>
  <c r="W65" i="2" s="1"/>
  <c r="C66" i="2" l="1"/>
  <c r="S66" i="8" s="1"/>
  <c r="I66" i="2" l="1"/>
  <c r="AA66" i="1" s="1"/>
  <c r="S66" i="1" s="1"/>
  <c r="H67" i="1" s="1"/>
  <c r="F66" i="2"/>
  <c r="AP66" i="1" s="1"/>
  <c r="H66" i="2"/>
  <c r="F66" i="1"/>
  <c r="AC67" i="7" l="1"/>
  <c r="C67" i="11"/>
  <c r="BI67" i="1"/>
  <c r="V67" i="10"/>
  <c r="AK67" i="5"/>
  <c r="AQ67" i="8"/>
  <c r="M26" i="7" s="1"/>
  <c r="V66" i="8"/>
  <c r="T66" i="8"/>
  <c r="W66" i="8" s="1"/>
  <c r="T66" i="1"/>
  <c r="I67" i="1" s="1"/>
  <c r="AO67" i="1" s="1"/>
  <c r="J66" i="11"/>
  <c r="G66" i="2"/>
  <c r="Z66" i="2" s="1"/>
  <c r="O66" i="7"/>
  <c r="I66" i="11"/>
  <c r="AA67" i="8" l="1"/>
  <c r="C66" i="8"/>
  <c r="P66" i="7"/>
  <c r="F66" i="9"/>
  <c r="BJ67" i="1"/>
  <c r="Y66" i="2" l="1"/>
  <c r="X66" i="2" s="1"/>
  <c r="B67" i="8" l="1"/>
  <c r="D67" i="2" s="1"/>
  <c r="H67" i="11"/>
  <c r="E67" i="2"/>
  <c r="L67" i="2" s="1"/>
  <c r="AB67" i="7"/>
  <c r="AJ67" i="7" s="1"/>
  <c r="AW67" i="8"/>
  <c r="U67" i="2" l="1"/>
  <c r="W66" i="2" s="1"/>
  <c r="C67" i="2" l="1"/>
  <c r="S67" i="8" s="1"/>
  <c r="I67" i="2" l="1"/>
  <c r="AA67" i="1" s="1"/>
  <c r="S67" i="1" s="1"/>
  <c r="H68" i="1" s="1"/>
  <c r="H67" i="2"/>
  <c r="F67" i="2"/>
  <c r="AP67" i="1" s="1"/>
  <c r="F67" i="1"/>
  <c r="AK68" i="5" l="1"/>
  <c r="BI68" i="1"/>
  <c r="V68" i="10"/>
  <c r="C68" i="11"/>
  <c r="AQ68" i="8"/>
  <c r="AC68" i="7"/>
  <c r="T67" i="8"/>
  <c r="W67" i="8" s="1"/>
  <c r="V67" i="8"/>
  <c r="T67" i="1"/>
  <c r="I68" i="1" s="1"/>
  <c r="AO68" i="1" s="1"/>
  <c r="J67" i="11"/>
  <c r="G67" i="2"/>
  <c r="Z67" i="2" s="1"/>
  <c r="I67" i="11"/>
  <c r="O67" i="7"/>
  <c r="AA68" i="8" l="1"/>
  <c r="P67" i="7"/>
  <c r="F67" i="9"/>
  <c r="C67" i="8"/>
  <c r="BJ68" i="1"/>
  <c r="Y67" i="2" l="1"/>
  <c r="X67" i="2" s="1"/>
  <c r="B68" i="8" l="1"/>
  <c r="D68" i="2" s="1"/>
  <c r="H68" i="11"/>
  <c r="AB68" i="7"/>
  <c r="AJ68" i="7" s="1"/>
  <c r="AW68" i="8"/>
  <c r="E68" i="2"/>
  <c r="L68" i="2" s="1"/>
  <c r="U68" i="2" l="1"/>
  <c r="W67" i="2" s="1"/>
  <c r="C68" i="2" l="1"/>
  <c r="S68" i="8" s="1"/>
  <c r="I68" i="2" l="1"/>
  <c r="AA68" i="1" s="1"/>
  <c r="S68" i="1" s="1"/>
  <c r="H69" i="1" s="1"/>
  <c r="H68" i="2"/>
  <c r="F68" i="2"/>
  <c r="AP68" i="1" s="1"/>
  <c r="F68" i="1"/>
  <c r="V68" i="8" l="1"/>
  <c r="T68" i="8"/>
  <c r="W68" i="8" s="1"/>
  <c r="AC69" i="7"/>
  <c r="C69" i="11"/>
  <c r="AQ69" i="8"/>
  <c r="BI69" i="1"/>
  <c r="V69" i="10"/>
  <c r="AK69" i="5"/>
  <c r="T68" i="1"/>
  <c r="I69" i="1" s="1"/>
  <c r="AO69" i="1" s="1"/>
  <c r="J68" i="11"/>
  <c r="G68" i="2"/>
  <c r="Z68" i="2" s="1"/>
  <c r="I68" i="11"/>
  <c r="O68" i="7"/>
  <c r="AA69" i="8" l="1"/>
  <c r="BJ69" i="1"/>
  <c r="C68" i="8"/>
  <c r="P68" i="7"/>
  <c r="F68" i="9"/>
  <c r="Y68" i="2" l="1"/>
  <c r="X68" i="2" s="1"/>
  <c r="B69" i="8" l="1"/>
  <c r="D69" i="2" s="1"/>
  <c r="AB69" i="7"/>
  <c r="AJ69" i="7" s="1"/>
  <c r="AW69" i="8"/>
  <c r="H69" i="11"/>
  <c r="E69" i="2"/>
  <c r="L69" i="2" s="1"/>
  <c r="U69" i="2" l="1"/>
  <c r="W68" i="2" s="1"/>
  <c r="C69" i="2" l="1"/>
  <c r="S69" i="8" s="1"/>
  <c r="I69" i="2" l="1"/>
  <c r="AA69" i="1" s="1"/>
  <c r="S69" i="1" s="1"/>
  <c r="H70" i="1" s="1"/>
  <c r="H69" i="2"/>
  <c r="F69" i="1"/>
  <c r="F69" i="2"/>
  <c r="AP69" i="1" s="1"/>
  <c r="T69" i="1" l="1"/>
  <c r="I70" i="1" s="1"/>
  <c r="AO70" i="1" s="1"/>
  <c r="J69" i="11"/>
  <c r="G69" i="2"/>
  <c r="Z69" i="2" s="1"/>
  <c r="V69" i="8"/>
  <c r="T69" i="8"/>
  <c r="W69" i="8" s="1"/>
  <c r="AQ70" i="8"/>
  <c r="AK70" i="5"/>
  <c r="V70" i="10"/>
  <c r="C70" i="11"/>
  <c r="AC70" i="7"/>
  <c r="BI70" i="1"/>
  <c r="I69" i="11"/>
  <c r="O69" i="7"/>
  <c r="AA70" i="8" l="1"/>
  <c r="C69" i="8"/>
  <c r="P69" i="7"/>
  <c r="F69" i="9"/>
  <c r="BJ70" i="1"/>
  <c r="Y69" i="2" l="1"/>
  <c r="X69" i="2" s="1"/>
  <c r="B70" i="8" l="1"/>
  <c r="D70" i="2" s="1"/>
  <c r="H70" i="11"/>
  <c r="AW70" i="8"/>
  <c r="AB70" i="7"/>
  <c r="AJ70" i="7" s="1"/>
  <c r="E70" i="2"/>
  <c r="L70" i="2" s="1"/>
  <c r="U70" i="2" l="1"/>
  <c r="W69" i="2" s="1"/>
  <c r="C70" i="2" l="1"/>
  <c r="S70" i="8" s="1"/>
  <c r="F70" i="2" l="1"/>
  <c r="AP70" i="1" s="1"/>
  <c r="I70" i="2"/>
  <c r="F70" i="1"/>
  <c r="H70" i="2"/>
  <c r="T70" i="8" l="1"/>
  <c r="W70" i="8" s="1"/>
  <c r="V70" i="8"/>
  <c r="T70" i="1"/>
  <c r="I71" i="1" s="1"/>
  <c r="AO71" i="1" s="1"/>
  <c r="J70" i="11"/>
  <c r="G70" i="2"/>
  <c r="Z70" i="2" s="1"/>
  <c r="O70" i="7"/>
  <c r="I70" i="11"/>
  <c r="AA70" i="1"/>
  <c r="S70" i="1" s="1"/>
  <c r="H71" i="1" s="1"/>
  <c r="AA71" i="8" l="1"/>
  <c r="P70" i="7"/>
  <c r="F70" i="9"/>
  <c r="AC71" i="7"/>
  <c r="V71" i="10"/>
  <c r="AK71" i="5"/>
  <c r="BI71" i="1"/>
  <c r="AQ71" i="8"/>
  <c r="C71" i="11"/>
  <c r="C70" i="8"/>
  <c r="BJ71" i="1"/>
  <c r="Y70" i="2" l="1"/>
  <c r="X70" i="2" s="1"/>
  <c r="AW71" i="8" l="1"/>
  <c r="H71" i="11"/>
  <c r="AB71" i="7"/>
  <c r="AJ71" i="7" s="1"/>
  <c r="E71" i="2"/>
  <c r="L71" i="2" s="1"/>
  <c r="B71" i="8"/>
  <c r="D71" i="2" s="1"/>
  <c r="U71" i="2" l="1"/>
  <c r="W70" i="2" s="1"/>
  <c r="C71" i="2" l="1"/>
  <c r="S71" i="8" s="1"/>
  <c r="E83" i="8"/>
  <c r="DF83" i="8" l="1"/>
  <c r="G83" i="1" s="1"/>
  <c r="N83" i="8" s="1"/>
  <c r="M83" i="2"/>
  <c r="CG83" i="8"/>
  <c r="F71" i="1"/>
  <c r="H71" i="2"/>
  <c r="F71" i="2"/>
  <c r="AP71" i="1" s="1"/>
  <c r="I71" i="2"/>
  <c r="AA71" i="1" s="1"/>
  <c r="S71" i="1" s="1"/>
  <c r="H72" i="1" s="1"/>
  <c r="P83" i="8" l="1"/>
  <c r="R83" i="8" s="1"/>
  <c r="C72" i="11"/>
  <c r="BI72" i="1"/>
  <c r="AQ72" i="8"/>
  <c r="AC72" i="7"/>
  <c r="AK72" i="5"/>
  <c r="V72" i="10"/>
  <c r="V71" i="8"/>
  <c r="T71" i="8"/>
  <c r="W71" i="8" s="1"/>
  <c r="T71" i="1"/>
  <c r="I72" i="1" s="1"/>
  <c r="AO72" i="1" s="1"/>
  <c r="J71" i="11"/>
  <c r="G71" i="2"/>
  <c r="Z71" i="2" s="1"/>
  <c r="O71" i="7"/>
  <c r="I71" i="11"/>
  <c r="AA72" i="8" l="1"/>
  <c r="BJ72" i="1"/>
  <c r="C71" i="8"/>
  <c r="P71" i="7"/>
  <c r="F71" i="9"/>
  <c r="Y71" i="2" l="1"/>
  <c r="X71" i="2" s="1"/>
  <c r="E72" i="2" l="1"/>
  <c r="L72" i="2" s="1"/>
  <c r="H72" i="11"/>
  <c r="AW72" i="8"/>
  <c r="AB72" i="7"/>
  <c r="AJ72" i="7" s="1"/>
  <c r="B72" i="8"/>
  <c r="D72" i="2" s="1"/>
  <c r="U72" i="2" l="1"/>
  <c r="W71" i="2" s="1"/>
  <c r="E84" i="8" l="1"/>
  <c r="C72" i="2"/>
  <c r="S72" i="8" s="1"/>
  <c r="M84" i="2" l="1"/>
  <c r="CG84" i="8"/>
  <c r="DF84" i="8"/>
  <c r="G84" i="1" s="1"/>
  <c r="N84" i="8" s="1"/>
  <c r="F72" i="2"/>
  <c r="AP72" i="1" s="1"/>
  <c r="I72" i="2"/>
  <c r="AA72" i="1" s="1"/>
  <c r="S72" i="1" s="1"/>
  <c r="H73" i="1" s="1"/>
  <c r="F72" i="1"/>
  <c r="H72" i="2"/>
  <c r="P84" i="8" l="1"/>
  <c r="R84" i="8" s="1"/>
  <c r="AC73" i="7"/>
  <c r="AK73" i="5"/>
  <c r="C73" i="11"/>
  <c r="V73" i="10"/>
  <c r="BI73" i="1"/>
  <c r="AQ73" i="8"/>
  <c r="V72" i="8"/>
  <c r="T72" i="8"/>
  <c r="W72" i="8" s="1"/>
  <c r="O72" i="7"/>
  <c r="I72" i="11"/>
  <c r="T72" i="1"/>
  <c r="I73" i="1" s="1"/>
  <c r="AO73" i="1" s="1"/>
  <c r="J72" i="11"/>
  <c r="G72" i="2"/>
  <c r="Z72" i="2" s="1"/>
  <c r="AA73" i="8" l="1"/>
  <c r="P72" i="7"/>
  <c r="F72" i="9"/>
  <c r="BJ73" i="1"/>
  <c r="C72" i="8"/>
  <c r="Y72" i="2" l="1"/>
  <c r="X72" i="2" s="1"/>
  <c r="AB73" i="7" l="1"/>
  <c r="AJ73" i="7" s="1"/>
  <c r="AW73" i="8"/>
  <c r="E73" i="2"/>
  <c r="L73" i="2" s="1"/>
  <c r="H73" i="11"/>
  <c r="B73" i="8"/>
  <c r="D73" i="2" s="1"/>
  <c r="U73" i="2" s="1"/>
  <c r="W72" i="2" l="1"/>
  <c r="E85" i="8" l="1"/>
  <c r="C73" i="2"/>
  <c r="S73" i="8" s="1"/>
  <c r="M85" i="2" l="1"/>
  <c r="CG85" i="8"/>
  <c r="DF85" i="8"/>
  <c r="G85" i="1" s="1"/>
  <c r="N85" i="8" s="1"/>
  <c r="I73" i="2"/>
  <c r="AA73" i="1" s="1"/>
  <c r="S73" i="1" s="1"/>
  <c r="H74" i="1" s="1"/>
  <c r="F73" i="1"/>
  <c r="H73" i="2"/>
  <c r="F73" i="2"/>
  <c r="AP73" i="1" s="1"/>
  <c r="P85" i="8" l="1"/>
  <c r="R85" i="8" s="1"/>
  <c r="J73" i="11"/>
  <c r="T73" i="1"/>
  <c r="I74" i="1" s="1"/>
  <c r="AO74" i="1" s="1"/>
  <c r="G73" i="2"/>
  <c r="Z73" i="2" s="1"/>
  <c r="AQ74" i="8"/>
  <c r="AC74" i="7"/>
  <c r="C74" i="11"/>
  <c r="AK74" i="5"/>
  <c r="BI74" i="1"/>
  <c r="V74" i="10"/>
  <c r="T73" i="8"/>
  <c r="W73" i="8" s="1"/>
  <c r="V73" i="8"/>
  <c r="O73" i="7"/>
  <c r="I73" i="11"/>
  <c r="AA74" i="8" l="1"/>
  <c r="C73" i="8"/>
  <c r="BJ74" i="1"/>
  <c r="F73" i="9"/>
  <c r="P73" i="7"/>
  <c r="Y73" i="2" l="1"/>
  <c r="X73" i="2" s="1"/>
  <c r="E74" i="2" l="1"/>
  <c r="L74" i="2" s="1"/>
  <c r="AB74" i="7"/>
  <c r="AJ74" i="7" s="1"/>
  <c r="H74" i="11"/>
  <c r="AW74" i="8"/>
  <c r="B74" i="8"/>
  <c r="D74" i="2" s="1"/>
  <c r="U74" i="2" l="1"/>
  <c r="W73" i="2" s="1"/>
  <c r="E86" i="8" l="1"/>
  <c r="C74" i="2"/>
  <c r="S74" i="8" s="1"/>
  <c r="DF86" i="8" l="1"/>
  <c r="G86" i="1" s="1"/>
  <c r="N86" i="8" s="1"/>
  <c r="CG86" i="8"/>
  <c r="M86" i="2"/>
  <c r="F74" i="2"/>
  <c r="AP74" i="1" s="1"/>
  <c r="F74" i="1"/>
  <c r="I74" i="2"/>
  <c r="H74" i="2"/>
  <c r="P86" i="8" l="1"/>
  <c r="R86" i="8" s="1"/>
  <c r="T74" i="1"/>
  <c r="I75" i="1" s="1"/>
  <c r="AO75" i="1" s="1"/>
  <c r="J74" i="11"/>
  <c r="G74" i="2"/>
  <c r="Z74" i="2" s="1"/>
  <c r="I74" i="11"/>
  <c r="O74" i="7"/>
  <c r="AA74" i="1"/>
  <c r="S74" i="1" s="1"/>
  <c r="H75" i="1" s="1"/>
  <c r="V74" i="8"/>
  <c r="T74" i="8"/>
  <c r="W74" i="8" s="1"/>
  <c r="AA75" i="8" l="1"/>
  <c r="AC75" i="7"/>
  <c r="V75" i="10"/>
  <c r="BI75" i="1"/>
  <c r="C75" i="11"/>
  <c r="AK75" i="5"/>
  <c r="AQ75" i="8"/>
  <c r="C74" i="8"/>
  <c r="P74" i="7"/>
  <c r="F74" i="9"/>
  <c r="BJ75" i="1"/>
  <c r="Y74" i="2" l="1"/>
  <c r="X74" i="2" s="1"/>
  <c r="E75" i="2" l="1"/>
  <c r="L75" i="2" s="1"/>
  <c r="AB75" i="7"/>
  <c r="AJ75" i="7" s="1"/>
  <c r="AW75" i="8"/>
  <c r="H75" i="11"/>
  <c r="B75" i="8"/>
  <c r="D75" i="2" s="1"/>
  <c r="U75" i="2" s="1"/>
  <c r="W74" i="2" l="1"/>
  <c r="E87" i="8" l="1"/>
  <c r="C75" i="2"/>
  <c r="S75" i="8" s="1"/>
  <c r="M87" i="2" l="1"/>
  <c r="DF87" i="8"/>
  <c r="G87" i="1" s="1"/>
  <c r="N87" i="8" s="1"/>
  <c r="CG87" i="8"/>
  <c r="I75" i="2"/>
  <c r="AA75" i="1" s="1"/>
  <c r="S75" i="1" s="1"/>
  <c r="H76" i="1" s="1"/>
  <c r="H75" i="2"/>
  <c r="F75" i="2"/>
  <c r="AP75" i="1" s="1"/>
  <c r="F75" i="1"/>
  <c r="P87" i="8" l="1"/>
  <c r="R87" i="8" s="1"/>
  <c r="V76" i="10"/>
  <c r="AC76" i="7"/>
  <c r="AQ76" i="8"/>
  <c r="AK76" i="5"/>
  <c r="BI76" i="1"/>
  <c r="C76" i="11"/>
  <c r="T75" i="1"/>
  <c r="I76" i="1" s="1"/>
  <c r="AO76" i="1" s="1"/>
  <c r="J75" i="11"/>
  <c r="G75" i="2"/>
  <c r="Z75" i="2" s="1"/>
  <c r="V75" i="8"/>
  <c r="T75" i="8"/>
  <c r="W75" i="8" s="1"/>
  <c r="O75" i="7"/>
  <c r="I75" i="11"/>
  <c r="AA76" i="8" l="1"/>
  <c r="C75" i="8"/>
  <c r="F75" i="9"/>
  <c r="P75" i="7"/>
  <c r="BJ76" i="1"/>
  <c r="Y75" i="2" l="1"/>
  <c r="X75" i="2" s="1"/>
  <c r="E76" i="2" l="1"/>
  <c r="L76" i="2" s="1"/>
  <c r="H76" i="11"/>
  <c r="AW76" i="8"/>
  <c r="AB76" i="7"/>
  <c r="AJ76" i="7" s="1"/>
  <c r="B76" i="8"/>
  <c r="D76" i="2" s="1"/>
  <c r="U76" i="2" s="1"/>
  <c r="W75" i="2" l="1"/>
  <c r="H44" i="4"/>
  <c r="B44" i="4"/>
  <c r="B58" i="4" s="1"/>
  <c r="E88" i="8" l="1"/>
  <c r="C76" i="2"/>
  <c r="S76" i="8" s="1"/>
  <c r="DF88" i="8" l="1"/>
  <c r="G88" i="1" s="1"/>
  <c r="N88" i="8" s="1"/>
  <c r="M88" i="2"/>
  <c r="CG88" i="8"/>
  <c r="E89" i="8"/>
  <c r="F45" i="4"/>
  <c r="H76" i="2"/>
  <c r="F76" i="2"/>
  <c r="AP76" i="1" s="1"/>
  <c r="F76" i="1"/>
  <c r="I76" i="2"/>
  <c r="P88" i="8" l="1"/>
  <c r="R88" i="8" s="1"/>
  <c r="DF89" i="8"/>
  <c r="G89" i="1" s="1"/>
  <c r="N89" i="8" s="1"/>
  <c r="M89" i="2"/>
  <c r="CG89" i="8"/>
  <c r="E90" i="8"/>
  <c r="T76" i="8"/>
  <c r="W76" i="8" s="1"/>
  <c r="V76" i="8"/>
  <c r="I76" i="11"/>
  <c r="O76" i="7"/>
  <c r="AA76" i="1"/>
  <c r="S76" i="1" s="1"/>
  <c r="J76" i="11"/>
  <c r="T76" i="1"/>
  <c r="I77" i="1" s="1"/>
  <c r="AO77" i="1" s="1"/>
  <c r="G76" i="2"/>
  <c r="Z76" i="2" s="1"/>
  <c r="H45" i="4"/>
  <c r="H46" i="4" s="1"/>
  <c r="F46" i="4"/>
  <c r="P89" i="8" l="1"/>
  <c r="R89" i="8" s="1"/>
  <c r="AA77" i="8"/>
  <c r="DF90" i="8"/>
  <c r="G90" i="1" s="1"/>
  <c r="N90" i="8" s="1"/>
  <c r="M90" i="2"/>
  <c r="E91" i="8"/>
  <c r="CG90" i="8"/>
  <c r="C76" i="8"/>
  <c r="M27" i="7"/>
  <c r="H77" i="1"/>
  <c r="BJ77" i="1"/>
  <c r="P76" i="7"/>
  <c r="F76" i="9"/>
  <c r="P90" i="8" l="1"/>
  <c r="R90" i="8" s="1"/>
  <c r="DF91" i="8"/>
  <c r="G91" i="1" s="1"/>
  <c r="N91" i="8" s="1"/>
  <c r="M91" i="2"/>
  <c r="CG91" i="8"/>
  <c r="E92" i="8"/>
  <c r="AK77" i="5"/>
  <c r="BI77" i="1"/>
  <c r="V77" i="10"/>
  <c r="C77" i="11"/>
  <c r="AQ77" i="8"/>
  <c r="AC77" i="7"/>
  <c r="Y76" i="2"/>
  <c r="X76" i="2" s="1"/>
  <c r="P91" i="8" l="1"/>
  <c r="R91" i="8" s="1"/>
  <c r="M92" i="2"/>
  <c r="DF92" i="8"/>
  <c r="G92" i="1" s="1"/>
  <c r="N92" i="8" s="1"/>
  <c r="E93" i="8"/>
  <c r="CG92" i="8"/>
  <c r="H77" i="11"/>
  <c r="AB77" i="7"/>
  <c r="AJ77" i="7" s="1"/>
  <c r="E77" i="2"/>
  <c r="L77" i="2" s="1"/>
  <c r="AW77" i="8"/>
  <c r="B77" i="8"/>
  <c r="D77" i="2" s="1"/>
  <c r="U77" i="2" l="1"/>
  <c r="W76" i="2" s="1"/>
  <c r="P92" i="8"/>
  <c r="R92" i="8" s="1"/>
  <c r="DF93" i="8"/>
  <c r="G93" i="1" s="1"/>
  <c r="N93" i="8" s="1"/>
  <c r="CG93" i="8"/>
  <c r="M93" i="2"/>
  <c r="E94" i="8"/>
  <c r="P93" i="8" l="1"/>
  <c r="R93" i="8" s="1"/>
  <c r="DF94" i="8"/>
  <c r="G94" i="1" s="1"/>
  <c r="N94" i="8" s="1"/>
  <c r="E95" i="8"/>
  <c r="M94" i="2"/>
  <c r="CG94" i="8"/>
  <c r="C77" i="2"/>
  <c r="S77" i="8" s="1"/>
  <c r="P94" i="8" l="1"/>
  <c r="R94" i="8" s="1"/>
  <c r="DF95" i="8"/>
  <c r="G95" i="1" s="1"/>
  <c r="N95" i="8" s="1"/>
  <c r="CG95" i="8"/>
  <c r="M95" i="2"/>
  <c r="E96" i="8"/>
  <c r="I77" i="2"/>
  <c r="F77" i="1"/>
  <c r="H77" i="2"/>
  <c r="F77" i="2"/>
  <c r="AP77" i="1" s="1"/>
  <c r="P95" i="8" l="1"/>
  <c r="R95" i="8" s="1"/>
  <c r="M96" i="2"/>
  <c r="E97" i="8"/>
  <c r="DF96" i="8"/>
  <c r="G96" i="1" s="1"/>
  <c r="N96" i="8" s="1"/>
  <c r="CG96" i="8"/>
  <c r="J77" i="11"/>
  <c r="T77" i="1"/>
  <c r="I78" i="1" s="1"/>
  <c r="AO78" i="1" s="1"/>
  <c r="G77" i="2"/>
  <c r="Z77" i="2" s="1"/>
  <c r="I77" i="11"/>
  <c r="O77" i="7"/>
  <c r="V77" i="8"/>
  <c r="T77" i="8"/>
  <c r="W77" i="8" s="1"/>
  <c r="AA77" i="1"/>
  <c r="S77" i="1" s="1"/>
  <c r="H78" i="1" s="1"/>
  <c r="P96" i="8" l="1"/>
  <c r="R96" i="8" s="1"/>
  <c r="AA78" i="8"/>
  <c r="CG97" i="8"/>
  <c r="P97" i="8" s="1"/>
  <c r="E98" i="8"/>
  <c r="DF97" i="8"/>
  <c r="G97" i="1" s="1"/>
  <c r="N97" i="8" s="1"/>
  <c r="M97" i="2"/>
  <c r="AC78" i="7"/>
  <c r="AK78" i="5"/>
  <c r="V78" i="10"/>
  <c r="AQ78" i="8"/>
  <c r="BI78" i="1"/>
  <c r="C78" i="11"/>
  <c r="C77" i="8"/>
  <c r="BJ78" i="1"/>
  <c r="F77" i="9"/>
  <c r="P77" i="7"/>
  <c r="R97" i="8" l="1"/>
  <c r="CG98" i="8"/>
  <c r="DF98" i="8"/>
  <c r="G98" i="1" s="1"/>
  <c r="N98" i="8" s="1"/>
  <c r="M98" i="2"/>
  <c r="E99" i="8"/>
  <c r="Y77" i="2"/>
  <c r="X77" i="2" s="1"/>
  <c r="P98" i="8" l="1"/>
  <c r="R98" i="8" s="1"/>
  <c r="CG99" i="8"/>
  <c r="DF99" i="8"/>
  <c r="G99" i="1" s="1"/>
  <c r="N99" i="8" s="1"/>
  <c r="M99" i="2"/>
  <c r="E100" i="8"/>
  <c r="AB78" i="7"/>
  <c r="AJ78" i="7" s="1"/>
  <c r="E78" i="2"/>
  <c r="L78" i="2" s="1"/>
  <c r="H78" i="11"/>
  <c r="AW78" i="8"/>
  <c r="B78" i="8"/>
  <c r="D78" i="2" s="1"/>
  <c r="U78" i="2" s="1"/>
  <c r="P99" i="8" l="1"/>
  <c r="R99" i="8" s="1"/>
  <c r="M100" i="2"/>
  <c r="DF100" i="8"/>
  <c r="G100" i="1" s="1"/>
  <c r="N100" i="8" s="1"/>
  <c r="E101" i="8"/>
  <c r="CG100" i="8"/>
  <c r="W77" i="2"/>
  <c r="P100" i="8" l="1"/>
  <c r="R100" i="8" s="1"/>
  <c r="DF101" i="8"/>
  <c r="G101" i="1" s="1"/>
  <c r="N101" i="8" s="1"/>
  <c r="E102" i="8"/>
  <c r="CG101" i="8"/>
  <c r="M101" i="2"/>
  <c r="C78" i="2"/>
  <c r="S78" i="8" s="1"/>
  <c r="P101" i="8" l="1"/>
  <c r="R101" i="8" s="1"/>
  <c r="DF102" i="8"/>
  <c r="G102" i="1" s="1"/>
  <c r="N102" i="8" s="1"/>
  <c r="CG102" i="8"/>
  <c r="M102" i="2"/>
  <c r="E103" i="8"/>
  <c r="F78" i="2"/>
  <c r="AP78" i="1" s="1"/>
  <c r="I78" i="2"/>
  <c r="F78" i="1"/>
  <c r="H78" i="2"/>
  <c r="P102" i="8" l="1"/>
  <c r="R102" i="8" s="1"/>
  <c r="DF103" i="8"/>
  <c r="G103" i="1" s="1"/>
  <c r="N103" i="8" s="1"/>
  <c r="M103" i="2"/>
  <c r="E104" i="8"/>
  <c r="CG103" i="8"/>
  <c r="O78" i="7"/>
  <c r="I78" i="11"/>
  <c r="T78" i="8"/>
  <c r="W78" i="8" s="1"/>
  <c r="V78" i="8"/>
  <c r="J78" i="11"/>
  <c r="T78" i="1"/>
  <c r="I79" i="1" s="1"/>
  <c r="AO79" i="1" s="1"/>
  <c r="G78" i="2"/>
  <c r="Z78" i="2" s="1"/>
  <c r="AA78" i="1"/>
  <c r="S78" i="1" s="1"/>
  <c r="H79" i="1" s="1"/>
  <c r="P103" i="8" l="1"/>
  <c r="R103" i="8" s="1"/>
  <c r="AA79" i="8"/>
  <c r="DF104" i="8"/>
  <c r="G104" i="1" s="1"/>
  <c r="N104" i="8" s="1"/>
  <c r="CG104" i="8"/>
  <c r="E105" i="8"/>
  <c r="M104" i="2"/>
  <c r="BJ79" i="1"/>
  <c r="C79" i="11"/>
  <c r="AC79" i="7"/>
  <c r="V79" i="10"/>
  <c r="AK79" i="5"/>
  <c r="AQ79" i="8"/>
  <c r="BI79" i="1"/>
  <c r="F78" i="9"/>
  <c r="P78" i="7"/>
  <c r="C78" i="8"/>
  <c r="P104" i="8" l="1"/>
  <c r="R104" i="8" s="1"/>
  <c r="CG105" i="8"/>
  <c r="M105" i="2"/>
  <c r="DF105" i="8"/>
  <c r="G105" i="1" s="1"/>
  <c r="N105" i="8" s="1"/>
  <c r="E106" i="8"/>
  <c r="Y78" i="2"/>
  <c r="X78" i="2" s="1"/>
  <c r="P105" i="8" l="1"/>
  <c r="R105" i="8" s="1"/>
  <c r="M106" i="2"/>
  <c r="CG106" i="8"/>
  <c r="E107" i="8"/>
  <c r="DF106" i="8"/>
  <c r="G106" i="1" s="1"/>
  <c r="N106" i="8" s="1"/>
  <c r="E79" i="2"/>
  <c r="L79" i="2" s="1"/>
  <c r="AW79" i="8"/>
  <c r="H79" i="11"/>
  <c r="AB79" i="7"/>
  <c r="AJ79" i="7" s="1"/>
  <c r="B79" i="8"/>
  <c r="D79" i="2" s="1"/>
  <c r="U79" i="2" l="1"/>
  <c r="W78" i="2" s="1"/>
  <c r="P106" i="8"/>
  <c r="R106" i="8" s="1"/>
  <c r="E108" i="8"/>
  <c r="DF107" i="8"/>
  <c r="G107" i="1" s="1"/>
  <c r="N107" i="8" s="1"/>
  <c r="M107" i="2"/>
  <c r="CG107" i="8"/>
  <c r="P107" i="8" l="1"/>
  <c r="R107" i="8" s="1"/>
  <c r="DF108" i="8"/>
  <c r="G108" i="1" s="1"/>
  <c r="N108" i="8" s="1"/>
  <c r="CG108" i="8"/>
  <c r="M108" i="2"/>
  <c r="E109" i="8"/>
  <c r="C79" i="2"/>
  <c r="S79" i="8" s="1"/>
  <c r="P108" i="8" l="1"/>
  <c r="R108" i="8" s="1"/>
  <c r="DF109" i="8"/>
  <c r="G109" i="1" s="1"/>
  <c r="N109" i="8" s="1"/>
  <c r="M109" i="2"/>
  <c r="CG109" i="8"/>
  <c r="E110" i="8"/>
  <c r="F79" i="2"/>
  <c r="AP79" i="1" s="1"/>
  <c r="F79" i="1"/>
  <c r="H79" i="2"/>
  <c r="I79" i="2"/>
  <c r="AA79" i="1" s="1"/>
  <c r="S79" i="1" s="1"/>
  <c r="H80" i="1" s="1"/>
  <c r="P109" i="8" l="1"/>
  <c r="R109" i="8" s="1"/>
  <c r="M110" i="2"/>
  <c r="E111" i="8"/>
  <c r="DF110" i="8"/>
  <c r="G110" i="1" s="1"/>
  <c r="N110" i="8" s="1"/>
  <c r="CG110" i="8"/>
  <c r="AC80" i="7"/>
  <c r="C80" i="11"/>
  <c r="AQ80" i="8"/>
  <c r="AK80" i="5"/>
  <c r="V80" i="10"/>
  <c r="BI80" i="1"/>
  <c r="O79" i="7"/>
  <c r="I79" i="11"/>
  <c r="V79" i="8"/>
  <c r="T79" i="8"/>
  <c r="W79" i="8" s="1"/>
  <c r="T79" i="1"/>
  <c r="I80" i="1" s="1"/>
  <c r="AO80" i="1" s="1"/>
  <c r="J79" i="11"/>
  <c r="G79" i="2"/>
  <c r="Z79" i="2" s="1"/>
  <c r="P110" i="8" l="1"/>
  <c r="R110" i="8" s="1"/>
  <c r="AA80" i="8"/>
  <c r="DF111" i="8"/>
  <c r="G111" i="1" s="1"/>
  <c r="N111" i="8" s="1"/>
  <c r="M111" i="2"/>
  <c r="CG111" i="8"/>
  <c r="E112" i="8"/>
  <c r="BJ80" i="1"/>
  <c r="C79" i="8"/>
  <c r="F79" i="9"/>
  <c r="P79" i="7"/>
  <c r="P111" i="8" l="1"/>
  <c r="R111" i="8" s="1"/>
  <c r="CG112" i="8"/>
  <c r="P112" i="8" s="1"/>
  <c r="E113" i="8"/>
  <c r="M112" i="2"/>
  <c r="DF112" i="8"/>
  <c r="G112" i="1" s="1"/>
  <c r="N112" i="8" s="1"/>
  <c r="Y79" i="2"/>
  <c r="X79" i="2" s="1"/>
  <c r="R112" i="8" l="1"/>
  <c r="CG113" i="8"/>
  <c r="P113" i="8" s="1"/>
  <c r="R113" i="8" s="1"/>
  <c r="DF113" i="8"/>
  <c r="G113" i="1" s="1"/>
  <c r="N113" i="8" s="1"/>
  <c r="M113" i="2"/>
  <c r="E114" i="8"/>
  <c r="E80" i="2"/>
  <c r="L80" i="2" s="1"/>
  <c r="H80" i="11"/>
  <c r="AB80" i="7"/>
  <c r="AJ80" i="7" s="1"/>
  <c r="AW80" i="8"/>
  <c r="B80" i="8"/>
  <c r="D80" i="2" s="1"/>
  <c r="U80" i="2" l="1"/>
  <c r="W79" i="2" s="1"/>
  <c r="DF114" i="8"/>
  <c r="G114" i="1" s="1"/>
  <c r="N114" i="8" s="1"/>
  <c r="CG114" i="8"/>
  <c r="M114" i="2"/>
  <c r="E115" i="8"/>
  <c r="P114" i="8" l="1"/>
  <c r="R114" i="8" s="1"/>
  <c r="M115" i="2"/>
  <c r="E116" i="8"/>
  <c r="DF115" i="8"/>
  <c r="G115" i="1" s="1"/>
  <c r="N115" i="8" s="1"/>
  <c r="CG115" i="8"/>
  <c r="C80" i="2"/>
  <c r="S80" i="8" s="1"/>
  <c r="P115" i="8" l="1"/>
  <c r="R115" i="8" s="1"/>
  <c r="DF116" i="8"/>
  <c r="G116" i="1" s="1"/>
  <c r="N116" i="8" s="1"/>
  <c r="M116" i="2"/>
  <c r="CG116" i="8"/>
  <c r="E117" i="8"/>
  <c r="I80" i="2"/>
  <c r="AA80" i="1" s="1"/>
  <c r="S80" i="1" s="1"/>
  <c r="H81" i="1" s="1"/>
  <c r="F80" i="2"/>
  <c r="AP80" i="1" s="1"/>
  <c r="F80" i="1"/>
  <c r="H80" i="2"/>
  <c r="P116" i="8" l="1"/>
  <c r="R116" i="8" s="1"/>
  <c r="DF117" i="8"/>
  <c r="G117" i="1" s="1"/>
  <c r="N117" i="8" s="1"/>
  <c r="M117" i="2"/>
  <c r="E118" i="8"/>
  <c r="CG117" i="8"/>
  <c r="AQ81" i="8"/>
  <c r="AC81" i="7"/>
  <c r="V81" i="10"/>
  <c r="AK81" i="5"/>
  <c r="BI81" i="1"/>
  <c r="C81" i="11"/>
  <c r="T80" i="1"/>
  <c r="I81" i="1" s="1"/>
  <c r="AO81" i="1" s="1"/>
  <c r="J80" i="11"/>
  <c r="G80" i="2"/>
  <c r="Z80" i="2" s="1"/>
  <c r="I80" i="11"/>
  <c r="O80" i="7"/>
  <c r="V80" i="8"/>
  <c r="T80" i="8"/>
  <c r="W80" i="8" s="1"/>
  <c r="P117" i="8" l="1"/>
  <c r="R117" i="8" s="1"/>
  <c r="AA81" i="8"/>
  <c r="CG118" i="8"/>
  <c r="P118" i="8" s="1"/>
  <c r="DF118" i="8"/>
  <c r="G118" i="1" s="1"/>
  <c r="N118" i="8" s="1"/>
  <c r="M118" i="2"/>
  <c r="E119" i="8"/>
  <c r="C80" i="8"/>
  <c r="P80" i="7"/>
  <c r="F80" i="9"/>
  <c r="BJ81" i="1"/>
  <c r="R118" i="8" l="1"/>
  <c r="DF119" i="8"/>
  <c r="G119" i="1" s="1"/>
  <c r="N119" i="8" s="1"/>
  <c r="M119" i="2"/>
  <c r="CG119" i="8"/>
  <c r="E120" i="8"/>
  <c r="Y80" i="2"/>
  <c r="X80" i="2" s="1"/>
  <c r="P119" i="8" l="1"/>
  <c r="R119" i="8" s="1"/>
  <c r="DF120" i="8"/>
  <c r="G120" i="1" s="1"/>
  <c r="N120" i="8" s="1"/>
  <c r="E121" i="8"/>
  <c r="M120" i="2"/>
  <c r="CG120" i="8"/>
  <c r="E81" i="2"/>
  <c r="L81" i="2" s="1"/>
  <c r="H81" i="11"/>
  <c r="AW81" i="8"/>
  <c r="AB81" i="7"/>
  <c r="AJ81" i="7" s="1"/>
  <c r="B81" i="8"/>
  <c r="D81" i="2" s="1"/>
  <c r="U81" i="2" l="1"/>
  <c r="W80" i="2" s="1"/>
  <c r="P120" i="8"/>
  <c r="R120" i="8" s="1"/>
  <c r="DF121" i="8"/>
  <c r="G121" i="1" s="1"/>
  <c r="N121" i="8" s="1"/>
  <c r="M121" i="2"/>
  <c r="CG121" i="8"/>
  <c r="P121" i="8" s="1"/>
  <c r="E122" i="8"/>
  <c r="R121" i="8" l="1"/>
  <c r="CG122" i="8"/>
  <c r="DF122" i="8"/>
  <c r="G122" i="1" s="1"/>
  <c r="N122" i="8" s="1"/>
  <c r="M122" i="2"/>
  <c r="E123" i="8"/>
  <c r="C81" i="2"/>
  <c r="S81" i="8" s="1"/>
  <c r="P122" i="8" l="1"/>
  <c r="R122" i="8" s="1"/>
  <c r="DF123" i="8"/>
  <c r="G123" i="1" s="1"/>
  <c r="N123" i="8" s="1"/>
  <c r="M123" i="2"/>
  <c r="E124" i="8"/>
  <c r="CG123" i="8"/>
  <c r="I81" i="2"/>
  <c r="AA81" i="1" s="1"/>
  <c r="S81" i="1" s="1"/>
  <c r="H82" i="1" s="1"/>
  <c r="H81" i="2"/>
  <c r="F81" i="1"/>
  <c r="F81" i="2"/>
  <c r="AP81" i="1" s="1"/>
  <c r="P123" i="8" l="1"/>
  <c r="R123" i="8" s="1"/>
  <c r="M124" i="2"/>
  <c r="E125" i="8"/>
  <c r="DF124" i="8"/>
  <c r="G124" i="1" s="1"/>
  <c r="N124" i="8" s="1"/>
  <c r="CG124" i="8"/>
  <c r="J81" i="11"/>
  <c r="T81" i="1"/>
  <c r="I82" i="1" s="1"/>
  <c r="AO82" i="1" s="1"/>
  <c r="G81" i="2"/>
  <c r="Z81" i="2" s="1"/>
  <c r="V81" i="8"/>
  <c r="T81" i="8"/>
  <c r="W81" i="8" s="1"/>
  <c r="V82" i="10"/>
  <c r="AQ82" i="8"/>
  <c r="AC82" i="7"/>
  <c r="AK82" i="5"/>
  <c r="C82" i="11"/>
  <c r="BI82" i="1"/>
  <c r="O81" i="7"/>
  <c r="I81" i="11"/>
  <c r="P124" i="8" l="1"/>
  <c r="R124" i="8" s="1"/>
  <c r="AA82" i="8"/>
  <c r="DF125" i="8"/>
  <c r="G125" i="1" s="1"/>
  <c r="N125" i="8" s="1"/>
  <c r="CG125" i="8"/>
  <c r="M125" i="2"/>
  <c r="E126" i="8"/>
  <c r="C81" i="8"/>
  <c r="BJ82" i="1"/>
  <c r="F81" i="9"/>
  <c r="P81" i="7"/>
  <c r="P125" i="8" l="1"/>
  <c r="R125" i="8" s="1"/>
  <c r="CG126" i="8"/>
  <c r="DF126" i="8"/>
  <c r="G126" i="1" s="1"/>
  <c r="N126" i="8" s="1"/>
  <c r="M126" i="2"/>
  <c r="E127" i="8"/>
  <c r="Y81" i="2"/>
  <c r="X81" i="2" s="1"/>
  <c r="P126" i="8" l="1"/>
  <c r="R126" i="8" s="1"/>
  <c r="DF127" i="8"/>
  <c r="G127" i="1" s="1"/>
  <c r="N127" i="8" s="1"/>
  <c r="CG127" i="8"/>
  <c r="E128" i="8"/>
  <c r="M127" i="2"/>
  <c r="AW82" i="8"/>
  <c r="H82" i="11"/>
  <c r="E82" i="2"/>
  <c r="L82" i="2" s="1"/>
  <c r="AB82" i="7"/>
  <c r="AJ82" i="7" s="1"/>
  <c r="B82" i="8"/>
  <c r="D82" i="2" s="1"/>
  <c r="U82" i="2" l="1"/>
  <c r="W81" i="2" s="1"/>
  <c r="P127" i="8"/>
  <c r="R127" i="8" s="1"/>
  <c r="DF128" i="8"/>
  <c r="G128" i="1" s="1"/>
  <c r="N128" i="8" s="1"/>
  <c r="M128" i="2"/>
  <c r="CG128" i="8"/>
  <c r="E129" i="8"/>
  <c r="P128" i="8" l="1"/>
  <c r="R128" i="8" s="1"/>
  <c r="CG129" i="8"/>
  <c r="DF129" i="8"/>
  <c r="G129" i="1" s="1"/>
  <c r="N129" i="8" s="1"/>
  <c r="M129" i="2"/>
  <c r="E130" i="8"/>
  <c r="C82" i="2"/>
  <c r="S82" i="8" s="1"/>
  <c r="P129" i="8" l="1"/>
  <c r="R129" i="8" s="1"/>
  <c r="DF130" i="8"/>
  <c r="G130" i="1" s="1"/>
  <c r="N130" i="8" s="1"/>
  <c r="CG130" i="8"/>
  <c r="M130" i="2"/>
  <c r="E131" i="8"/>
  <c r="I82" i="2"/>
  <c r="AA82" i="1" s="1"/>
  <c r="S82" i="1" s="1"/>
  <c r="H83" i="1" s="1"/>
  <c r="F82" i="2"/>
  <c r="AP82" i="1" s="1"/>
  <c r="H82" i="2"/>
  <c r="F82" i="1"/>
  <c r="P130" i="8" l="1"/>
  <c r="R130" i="8" s="1"/>
  <c r="DF131" i="8"/>
  <c r="G131" i="1" s="1"/>
  <c r="N131" i="8" s="1"/>
  <c r="CG131" i="8"/>
  <c r="M131" i="2"/>
  <c r="E132" i="8"/>
  <c r="AQ83" i="8"/>
  <c r="AK83" i="5"/>
  <c r="AC83" i="7"/>
  <c r="V83" i="10"/>
  <c r="BI83" i="1"/>
  <c r="C83" i="11"/>
  <c r="J82" i="11"/>
  <c r="T82" i="1"/>
  <c r="I83" i="1" s="1"/>
  <c r="AO83" i="1" s="1"/>
  <c r="G82" i="2"/>
  <c r="Z82" i="2" s="1"/>
  <c r="O82" i="7"/>
  <c r="I82" i="11"/>
  <c r="V82" i="8"/>
  <c r="T82" i="8"/>
  <c r="W82" i="8" s="1"/>
  <c r="P131" i="8" l="1"/>
  <c r="R131" i="8" s="1"/>
  <c r="AA83" i="8"/>
  <c r="DF132" i="8"/>
  <c r="G132" i="1" s="1"/>
  <c r="N132" i="8" s="1"/>
  <c r="M132" i="2"/>
  <c r="CG132" i="8"/>
  <c r="E133" i="8"/>
  <c r="C82" i="8"/>
  <c r="BJ83" i="1"/>
  <c r="P82" i="7"/>
  <c r="F82" i="9"/>
  <c r="P132" i="8" l="1"/>
  <c r="R132" i="8" s="1"/>
  <c r="M133" i="2"/>
  <c r="CG133" i="8"/>
  <c r="DF133" i="8"/>
  <c r="G133" i="1" s="1"/>
  <c r="N133" i="8" s="1"/>
  <c r="E134" i="8"/>
  <c r="Y82" i="2"/>
  <c r="X82" i="2" s="1"/>
  <c r="P133" i="8" l="1"/>
  <c r="R133" i="8" s="1"/>
  <c r="DF134" i="8"/>
  <c r="G134" i="1" s="1"/>
  <c r="N134" i="8" s="1"/>
  <c r="CG134" i="8"/>
  <c r="M134" i="2"/>
  <c r="E135" i="8"/>
  <c r="AB83" i="7"/>
  <c r="AJ83" i="7" s="1"/>
  <c r="E83" i="2"/>
  <c r="L83" i="2" s="1"/>
  <c r="AW83" i="8"/>
  <c r="H83" i="11"/>
  <c r="B83" i="8"/>
  <c r="D83" i="2" s="1"/>
  <c r="U83" i="2" s="1"/>
  <c r="P134" i="8" l="1"/>
  <c r="R134" i="8" s="1"/>
  <c r="DF135" i="8"/>
  <c r="G135" i="1" s="1"/>
  <c r="N135" i="8" s="1"/>
  <c r="CG135" i="8"/>
  <c r="M135" i="2"/>
  <c r="E136" i="8"/>
  <c r="W82" i="2"/>
  <c r="P135" i="8" l="1"/>
  <c r="R135" i="8" s="1"/>
  <c r="DF136" i="8"/>
  <c r="G136" i="1" s="1"/>
  <c r="N136" i="8" s="1"/>
  <c r="AF139" i="8"/>
  <c r="CG136" i="8"/>
  <c r="M136" i="2"/>
  <c r="C83" i="2"/>
  <c r="S83" i="8" s="1"/>
  <c r="P136" i="8" l="1"/>
  <c r="R136" i="8" s="1"/>
  <c r="I83" i="2"/>
  <c r="F83" i="2"/>
  <c r="AP83" i="1" s="1"/>
  <c r="H83" i="2"/>
  <c r="F83" i="1"/>
  <c r="T83" i="1" l="1"/>
  <c r="I84" i="1" s="1"/>
  <c r="AO84" i="1" s="1"/>
  <c r="J83" i="11"/>
  <c r="G83" i="2"/>
  <c r="Z83" i="2" s="1"/>
  <c r="T83" i="8"/>
  <c r="W83" i="8" s="1"/>
  <c r="V83" i="8"/>
  <c r="I83" i="11"/>
  <c r="O83" i="7"/>
  <c r="AA83" i="1"/>
  <c r="S83" i="1" s="1"/>
  <c r="H84" i="1" s="1"/>
  <c r="AA84" i="8" l="1"/>
  <c r="C84" i="11"/>
  <c r="AK84" i="5"/>
  <c r="BI84" i="1"/>
  <c r="AC84" i="7"/>
  <c r="AQ84" i="8"/>
  <c r="V84" i="10"/>
  <c r="C83" i="8"/>
  <c r="P83" i="7"/>
  <c r="F83" i="9"/>
  <c r="BJ84" i="1"/>
  <c r="Y83" i="2" l="1"/>
  <c r="X83" i="2" s="1"/>
  <c r="E84" i="2" l="1"/>
  <c r="L84" i="2" s="1"/>
  <c r="H84" i="11"/>
  <c r="AW84" i="8"/>
  <c r="AB84" i="7"/>
  <c r="AJ84" i="7" s="1"/>
  <c r="B84" i="8"/>
  <c r="D84" i="2" s="1"/>
  <c r="U84" i="2" s="1"/>
  <c r="W83" i="2" l="1"/>
  <c r="C84" i="2" l="1"/>
  <c r="S84" i="8" s="1"/>
  <c r="F84" i="1" l="1"/>
  <c r="F84" i="2"/>
  <c r="AP84" i="1" s="1"/>
  <c r="H84" i="2"/>
  <c r="I84" i="2"/>
  <c r="O84" i="7" l="1"/>
  <c r="I84" i="11"/>
  <c r="AA84" i="1"/>
  <c r="S84" i="1" s="1"/>
  <c r="H85" i="1" s="1"/>
  <c r="V84" i="8"/>
  <c r="T84" i="8"/>
  <c r="W84" i="8" s="1"/>
  <c r="T84" i="1"/>
  <c r="I85" i="1" s="1"/>
  <c r="AO85" i="1" s="1"/>
  <c r="J84" i="11"/>
  <c r="G84" i="2"/>
  <c r="Z84" i="2" s="1"/>
  <c r="AA85" i="8" l="1"/>
  <c r="C84" i="8"/>
  <c r="P84" i="7"/>
  <c r="F84" i="9"/>
  <c r="BJ85" i="1"/>
  <c r="AC85" i="7"/>
  <c r="C85" i="11"/>
  <c r="BI85" i="1"/>
  <c r="V85" i="10"/>
  <c r="AQ85" i="8"/>
  <c r="AK85" i="5"/>
  <c r="Y84" i="2" l="1"/>
  <c r="X84" i="2" s="1"/>
  <c r="H85" i="11" l="1"/>
  <c r="AB85" i="7"/>
  <c r="AJ85" i="7" s="1"/>
  <c r="E85" i="2"/>
  <c r="L85" i="2" s="1"/>
  <c r="AW85" i="8"/>
  <c r="B85" i="8"/>
  <c r="D85" i="2" s="1"/>
  <c r="U85" i="2" s="1"/>
  <c r="W84" i="2" l="1"/>
  <c r="C85" i="2" l="1"/>
  <c r="S85" i="8" s="1"/>
  <c r="H85" i="2" l="1"/>
  <c r="F85" i="1"/>
  <c r="I85" i="2"/>
  <c r="F85" i="2"/>
  <c r="AP85" i="1" s="1"/>
  <c r="J85" i="11" l="1"/>
  <c r="T85" i="1"/>
  <c r="I86" i="1" s="1"/>
  <c r="AO86" i="1" s="1"/>
  <c r="G85" i="2"/>
  <c r="Z85" i="2" s="1"/>
  <c r="O85" i="7"/>
  <c r="I85" i="11"/>
  <c r="AA85" i="1"/>
  <c r="S85" i="1" s="1"/>
  <c r="H86" i="1" s="1"/>
  <c r="T85" i="8"/>
  <c r="W85" i="8" s="1"/>
  <c r="V85" i="8"/>
  <c r="AA86" i="8" l="1"/>
  <c r="BJ86" i="1"/>
  <c r="AQ86" i="8"/>
  <c r="AC86" i="7"/>
  <c r="C86" i="11"/>
  <c r="BI86" i="1"/>
  <c r="AK86" i="5"/>
  <c r="V86" i="10"/>
  <c r="C85" i="8"/>
  <c r="P85" i="7"/>
  <c r="F85" i="9"/>
  <c r="Y85" i="2" l="1"/>
  <c r="X85" i="2" s="1"/>
  <c r="AB86" i="7" l="1"/>
  <c r="AJ86" i="7" s="1"/>
  <c r="H86" i="11"/>
  <c r="E86" i="2"/>
  <c r="L86" i="2" s="1"/>
  <c r="AW86" i="8"/>
  <c r="B86" i="8"/>
  <c r="D86" i="2" s="1"/>
  <c r="U86" i="2" l="1"/>
  <c r="W85" i="2" s="1"/>
  <c r="C86" i="2" l="1"/>
  <c r="S86" i="8" s="1"/>
  <c r="I86" i="2" l="1"/>
  <c r="AA86" i="1" s="1"/>
  <c r="S86" i="1" s="1"/>
  <c r="H87" i="1" s="1"/>
  <c r="H86" i="2"/>
  <c r="F86" i="1"/>
  <c r="F86" i="2"/>
  <c r="AP86" i="1" s="1"/>
  <c r="T86" i="1" l="1"/>
  <c r="I87" i="1" s="1"/>
  <c r="AO87" i="1" s="1"/>
  <c r="J86" i="11"/>
  <c r="G86" i="2"/>
  <c r="Z86" i="2" s="1"/>
  <c r="AC87" i="7"/>
  <c r="AQ87" i="8"/>
  <c r="V87" i="10"/>
  <c r="AK87" i="5"/>
  <c r="BI87" i="1"/>
  <c r="C87" i="11"/>
  <c r="V86" i="8"/>
  <c r="T86" i="8"/>
  <c r="W86" i="8" s="1"/>
  <c r="O86" i="7"/>
  <c r="I86" i="11"/>
  <c r="AA87" i="8" l="1"/>
  <c r="C86" i="8"/>
  <c r="F86" i="9"/>
  <c r="P86" i="7"/>
  <c r="BJ87" i="1"/>
  <c r="Y86" i="2" l="1"/>
  <c r="X86" i="2" s="1"/>
  <c r="AW87" i="8" l="1"/>
  <c r="H87" i="11"/>
  <c r="AB87" i="7"/>
  <c r="AJ87" i="7" s="1"/>
  <c r="E87" i="2"/>
  <c r="L87" i="2" s="1"/>
  <c r="B87" i="8"/>
  <c r="D87" i="2" s="1"/>
  <c r="U87" i="2" s="1"/>
  <c r="W86" i="2" l="1"/>
  <c r="C87" i="2" l="1"/>
  <c r="S87" i="8" s="1"/>
  <c r="F87" i="2" l="1"/>
  <c r="AP87" i="1" s="1"/>
  <c r="I87" i="2"/>
  <c r="F87" i="1"/>
  <c r="H87" i="2"/>
  <c r="T87" i="8" l="1"/>
  <c r="W87" i="8" s="1"/>
  <c r="V87" i="8"/>
  <c r="T87" i="1"/>
  <c r="I88" i="1" s="1"/>
  <c r="AO88" i="1" s="1"/>
  <c r="J87" i="11"/>
  <c r="G87" i="2"/>
  <c r="Z87" i="2" s="1"/>
  <c r="I87" i="11"/>
  <c r="O87" i="7"/>
  <c r="AA87" i="1"/>
  <c r="S87" i="1" s="1"/>
  <c r="H88" i="1" s="1"/>
  <c r="AA88" i="8" l="1"/>
  <c r="BJ88" i="1"/>
  <c r="BI88" i="1"/>
  <c r="AC88" i="7"/>
  <c r="AQ88" i="8"/>
  <c r="V88" i="10"/>
  <c r="AK88" i="5"/>
  <c r="C88" i="11"/>
  <c r="C87" i="8"/>
  <c r="F87" i="9"/>
  <c r="P87" i="7"/>
  <c r="Y87" i="2" l="1"/>
  <c r="X87" i="2" s="1"/>
  <c r="E88" i="2" l="1"/>
  <c r="L88" i="2" s="1"/>
  <c r="AB88" i="7"/>
  <c r="AJ88" i="7" s="1"/>
  <c r="AW88" i="8"/>
  <c r="H88" i="11"/>
  <c r="B88" i="8"/>
  <c r="D88" i="2" s="1"/>
  <c r="U88" i="2" l="1"/>
  <c r="W87" i="2" s="1"/>
  <c r="C88" i="2" l="1"/>
  <c r="S88" i="8" s="1"/>
  <c r="F88" i="1" l="1"/>
  <c r="F88" i="2"/>
  <c r="AP88" i="1" s="1"/>
  <c r="H88" i="2"/>
  <c r="I88" i="2"/>
  <c r="V88" i="8" l="1"/>
  <c r="T88" i="8"/>
  <c r="W88" i="8" s="1"/>
  <c r="I88" i="11"/>
  <c r="O88" i="7"/>
  <c r="J88" i="11"/>
  <c r="T88" i="1"/>
  <c r="I89" i="1" s="1"/>
  <c r="AO89" i="1" s="1"/>
  <c r="G88" i="2"/>
  <c r="Z88" i="2" s="1"/>
  <c r="AA88" i="1"/>
  <c r="S88" i="1" s="1"/>
  <c r="H89" i="1" s="1"/>
  <c r="AA89" i="8" l="1"/>
  <c r="BJ89" i="1"/>
  <c r="BI89" i="1"/>
  <c r="V89" i="10"/>
  <c r="C89" i="11"/>
  <c r="AC89" i="7"/>
  <c r="AK89" i="5"/>
  <c r="AQ89" i="8"/>
  <c r="C88" i="8"/>
  <c r="P88" i="7"/>
  <c r="F88" i="9"/>
  <c r="Y88" i="2" l="1"/>
  <c r="X88" i="2" s="1"/>
  <c r="AW89" i="8" l="1"/>
  <c r="E89" i="2"/>
  <c r="L89" i="2" s="1"/>
  <c r="H89" i="11"/>
  <c r="AB89" i="7"/>
  <c r="AJ89" i="7" s="1"/>
  <c r="B89" i="8"/>
  <c r="D89" i="2" s="1"/>
  <c r="U89" i="2" s="1"/>
  <c r="W88" i="2" l="1"/>
  <c r="C89" i="2" l="1"/>
  <c r="S89" i="8" s="1"/>
  <c r="I89" i="2" l="1"/>
  <c r="AA89" i="1" s="1"/>
  <c r="S89" i="1" s="1"/>
  <c r="H90" i="1" s="1"/>
  <c r="F89" i="2"/>
  <c r="AP89" i="1" s="1"/>
  <c r="H89" i="2"/>
  <c r="F89" i="1"/>
  <c r="J89" i="11" l="1"/>
  <c r="T89" i="1"/>
  <c r="I90" i="1" s="1"/>
  <c r="AO90" i="1" s="1"/>
  <c r="G89" i="2"/>
  <c r="Z89" i="2" s="1"/>
  <c r="V90" i="10"/>
  <c r="C90" i="11"/>
  <c r="AK90" i="5"/>
  <c r="AC90" i="7"/>
  <c r="BI90" i="1"/>
  <c r="AQ90" i="8"/>
  <c r="I89" i="11"/>
  <c r="O89" i="7"/>
  <c r="T89" i="8"/>
  <c r="W89" i="8" s="1"/>
  <c r="V89" i="8"/>
  <c r="AA90" i="8" l="1"/>
  <c r="BJ90" i="1"/>
  <c r="C89" i="8"/>
  <c r="P89" i="7"/>
  <c r="F89" i="9"/>
  <c r="Y89" i="2" l="1"/>
  <c r="X89" i="2" s="1"/>
  <c r="E90" i="2" l="1"/>
  <c r="L90" i="2" s="1"/>
  <c r="AB90" i="7"/>
  <c r="AJ90" i="7" s="1"/>
  <c r="H90" i="11"/>
  <c r="AW90" i="8"/>
  <c r="B90" i="8"/>
  <c r="D90" i="2" s="1"/>
  <c r="U90" i="2" s="1"/>
  <c r="W89" i="2" l="1"/>
  <c r="C90" i="2" l="1"/>
  <c r="S90" i="8" s="1"/>
  <c r="F90" i="2" l="1"/>
  <c r="AP90" i="1" s="1"/>
  <c r="I90" i="2"/>
  <c r="AA90" i="1" s="1"/>
  <c r="S90" i="1" s="1"/>
  <c r="H91" i="1" s="1"/>
  <c r="F90" i="1"/>
  <c r="H90" i="2"/>
  <c r="AC91" i="7" l="1"/>
  <c r="AQ91" i="8"/>
  <c r="BI91" i="1"/>
  <c r="C91" i="11"/>
  <c r="V91" i="10"/>
  <c r="AK91" i="5"/>
  <c r="V90" i="8"/>
  <c r="T90" i="8"/>
  <c r="W90" i="8" s="1"/>
  <c r="O90" i="7"/>
  <c r="I90" i="11"/>
  <c r="J90" i="11"/>
  <c r="T90" i="1"/>
  <c r="I91" i="1" s="1"/>
  <c r="AO91" i="1" s="1"/>
  <c r="G90" i="2"/>
  <c r="Z90" i="2" s="1"/>
  <c r="AA91" i="8" l="1"/>
  <c r="BJ91" i="1"/>
  <c r="C90" i="8"/>
  <c r="F90" i="9"/>
  <c r="P90" i="7"/>
  <c r="Y90" i="2" l="1"/>
  <c r="X90" i="2" s="1"/>
  <c r="H91" i="11" l="1"/>
  <c r="AW91" i="8"/>
  <c r="AB91" i="7"/>
  <c r="AJ91" i="7" s="1"/>
  <c r="E91" i="2"/>
  <c r="L91" i="2" s="1"/>
  <c r="B91" i="8"/>
  <c r="D91" i="2" s="1"/>
  <c r="U91" i="2" s="1"/>
  <c r="W90" i="2" l="1"/>
  <c r="C91" i="2" l="1"/>
  <c r="S91" i="8" s="1"/>
  <c r="H91" i="2" l="1"/>
  <c r="F91" i="2"/>
  <c r="AP91" i="1" s="1"/>
  <c r="I91" i="2"/>
  <c r="F91" i="1"/>
  <c r="I91" i="11" l="1"/>
  <c r="O91" i="7"/>
  <c r="AA91" i="1"/>
  <c r="S91" i="1" s="1"/>
  <c r="H92" i="1" s="1"/>
  <c r="T91" i="8"/>
  <c r="W91" i="8" s="1"/>
  <c r="V91" i="8"/>
  <c r="T91" i="1"/>
  <c r="I92" i="1" s="1"/>
  <c r="AO92" i="1" s="1"/>
  <c r="J91" i="11"/>
  <c r="G91" i="2"/>
  <c r="Z91" i="2" s="1"/>
  <c r="AA92" i="8" l="1"/>
  <c r="C91" i="8"/>
  <c r="F91" i="9"/>
  <c r="P91" i="7"/>
  <c r="BJ92" i="1"/>
  <c r="C92" i="11"/>
  <c r="AQ92" i="8"/>
  <c r="AC92" i="7"/>
  <c r="V92" i="10"/>
  <c r="AK92" i="5"/>
  <c r="BI92" i="1"/>
  <c r="Y91" i="2" l="1"/>
  <c r="X91" i="2" s="1"/>
  <c r="E92" i="2" l="1"/>
  <c r="L92" i="2" s="1"/>
  <c r="AB92" i="7"/>
  <c r="AJ92" i="7" s="1"/>
  <c r="AW92" i="8"/>
  <c r="H92" i="11"/>
  <c r="B92" i="8"/>
  <c r="D92" i="2" s="1"/>
  <c r="U92" i="2" s="1"/>
  <c r="W91" i="2" l="1"/>
  <c r="C92" i="2" l="1"/>
  <c r="S92" i="8" s="1"/>
  <c r="I92" i="2" l="1"/>
  <c r="F92" i="1"/>
  <c r="H92" i="2"/>
  <c r="F92" i="2"/>
  <c r="AP92" i="1" s="1"/>
  <c r="T92" i="8" l="1"/>
  <c r="W92" i="8" s="1"/>
  <c r="V92" i="8"/>
  <c r="O92" i="7"/>
  <c r="I92" i="11"/>
  <c r="T92" i="1"/>
  <c r="I93" i="1" s="1"/>
  <c r="AO93" i="1" s="1"/>
  <c r="J92" i="11"/>
  <c r="G92" i="2"/>
  <c r="Z92" i="2" s="1"/>
  <c r="AA92" i="1"/>
  <c r="S92" i="1" s="1"/>
  <c r="H93" i="1" s="1"/>
  <c r="AA93" i="8" l="1"/>
  <c r="C93" i="11"/>
  <c r="AK93" i="5"/>
  <c r="AC93" i="7"/>
  <c r="AQ93" i="8"/>
  <c r="V93" i="10"/>
  <c r="BI93" i="1"/>
  <c r="C92" i="8"/>
  <c r="P92" i="7"/>
  <c r="F92" i="9"/>
  <c r="BJ93" i="1"/>
  <c r="Y92" i="2" l="1"/>
  <c r="X92" i="2" s="1"/>
  <c r="H93" i="11" l="1"/>
  <c r="AB93" i="7"/>
  <c r="AJ93" i="7" s="1"/>
  <c r="AW93" i="8"/>
  <c r="E93" i="2"/>
  <c r="L93" i="2" s="1"/>
  <c r="B93" i="8"/>
  <c r="D93" i="2" s="1"/>
  <c r="U93" i="2" l="1"/>
  <c r="W92" i="2" s="1"/>
  <c r="C93" i="2" l="1"/>
  <c r="S93" i="8" s="1"/>
  <c r="F93" i="1" l="1"/>
  <c r="H93" i="2"/>
  <c r="F93" i="2"/>
  <c r="AP93" i="1" s="1"/>
  <c r="I93" i="2"/>
  <c r="I93" i="11" l="1"/>
  <c r="O93" i="7"/>
  <c r="T93" i="8"/>
  <c r="W93" i="8" s="1"/>
  <c r="V93" i="8"/>
  <c r="J93" i="11"/>
  <c r="T93" i="1"/>
  <c r="I94" i="1" s="1"/>
  <c r="AO94" i="1" s="1"/>
  <c r="G93" i="2"/>
  <c r="Z93" i="2" s="1"/>
  <c r="AA93" i="1"/>
  <c r="S93" i="1" s="1"/>
  <c r="H94" i="1" s="1"/>
  <c r="AA94" i="8" l="1"/>
  <c r="P93" i="7"/>
  <c r="F93" i="9"/>
  <c r="AC94" i="7"/>
  <c r="AK94" i="5"/>
  <c r="C94" i="11"/>
  <c r="AQ94" i="8"/>
  <c r="V94" i="10"/>
  <c r="BI94" i="1"/>
  <c r="C93" i="8"/>
  <c r="BJ94" i="1"/>
  <c r="Y93" i="2" l="1"/>
  <c r="X93" i="2" s="1"/>
  <c r="E94" i="2" l="1"/>
  <c r="L94" i="2" s="1"/>
  <c r="H94" i="11"/>
  <c r="AW94" i="8"/>
  <c r="AB94" i="7"/>
  <c r="AJ94" i="7" s="1"/>
  <c r="B94" i="8"/>
  <c r="D94" i="2" s="1"/>
  <c r="U94" i="2" s="1"/>
  <c r="W93" i="2" l="1"/>
  <c r="C94" i="2" l="1"/>
  <c r="S94" i="8" s="1"/>
  <c r="F94" i="2" l="1"/>
  <c r="AP94" i="1" s="1"/>
  <c r="I94" i="2"/>
  <c r="AA94" i="1" s="1"/>
  <c r="S94" i="1" s="1"/>
  <c r="H95" i="1" s="1"/>
  <c r="F94" i="1"/>
  <c r="H94" i="2"/>
  <c r="BI95" i="1" l="1"/>
  <c r="V95" i="10"/>
  <c r="C95" i="11"/>
  <c r="AC95" i="7"/>
  <c r="AK95" i="5"/>
  <c r="AQ95" i="8"/>
  <c r="T94" i="8"/>
  <c r="W94" i="8" s="1"/>
  <c r="V94" i="8"/>
  <c r="I94" i="11"/>
  <c r="O94" i="7"/>
  <c r="T94" i="1"/>
  <c r="I95" i="1" s="1"/>
  <c r="AO95" i="1" s="1"/>
  <c r="J94" i="11"/>
  <c r="G94" i="2"/>
  <c r="Z94" i="2" s="1"/>
  <c r="AA95" i="8" l="1"/>
  <c r="BJ95" i="1"/>
  <c r="F94" i="9"/>
  <c r="P94" i="7"/>
  <c r="C94" i="8"/>
  <c r="Y94" i="2" l="1"/>
  <c r="X94" i="2" s="1"/>
  <c r="E95" i="2" l="1"/>
  <c r="L95" i="2" s="1"/>
  <c r="AW95" i="8"/>
  <c r="H95" i="11"/>
  <c r="AB95" i="7"/>
  <c r="AJ95" i="7" s="1"/>
  <c r="B95" i="8"/>
  <c r="D95" i="2" s="1"/>
  <c r="U95" i="2" s="1"/>
  <c r="W94" i="2" l="1"/>
  <c r="C95" i="2" l="1"/>
  <c r="S95" i="8" s="1"/>
  <c r="I95" i="2" l="1"/>
  <c r="F95" i="2"/>
  <c r="AP95" i="1" s="1"/>
  <c r="H95" i="2"/>
  <c r="F95" i="1"/>
  <c r="T95" i="1" l="1"/>
  <c r="I96" i="1" s="1"/>
  <c r="AO96" i="1" s="1"/>
  <c r="J95" i="11"/>
  <c r="G95" i="2"/>
  <c r="Z95" i="2" s="1"/>
  <c r="I95" i="11"/>
  <c r="O95" i="7"/>
  <c r="AA95" i="1"/>
  <c r="S95" i="1" s="1"/>
  <c r="H96" i="1" s="1"/>
  <c r="T95" i="8"/>
  <c r="W95" i="8" s="1"/>
  <c r="V95" i="8"/>
  <c r="AA96" i="8" l="1"/>
  <c r="AC96" i="7"/>
  <c r="AK96" i="5"/>
  <c r="AQ96" i="8"/>
  <c r="BI96" i="1"/>
  <c r="C96" i="11"/>
  <c r="V96" i="10"/>
  <c r="C95" i="8"/>
  <c r="F95" i="9"/>
  <c r="P95" i="7"/>
  <c r="BJ96" i="1"/>
  <c r="Y95" i="2" l="1"/>
  <c r="X95" i="2" s="1"/>
  <c r="AW96" i="8" l="1"/>
  <c r="AB96" i="7"/>
  <c r="AJ96" i="7" s="1"/>
  <c r="H96" i="11"/>
  <c r="E96" i="2"/>
  <c r="L96" i="2" s="1"/>
  <c r="B96" i="8"/>
  <c r="D96" i="2" s="1"/>
  <c r="U96" i="2" l="1"/>
  <c r="W95" i="2" s="1"/>
  <c r="C96" i="2" l="1"/>
  <c r="S96" i="8" s="1"/>
  <c r="I96" i="2" l="1"/>
  <c r="AA96" i="1" s="1"/>
  <c r="S96" i="1" s="1"/>
  <c r="H97" i="1" s="1"/>
  <c r="F96" i="1"/>
  <c r="H96" i="2"/>
  <c r="F96" i="2"/>
  <c r="AP96" i="1" s="1"/>
  <c r="J96" i="11" l="1"/>
  <c r="T96" i="1"/>
  <c r="I97" i="1" s="1"/>
  <c r="AO97" i="1" s="1"/>
  <c r="G96" i="2"/>
  <c r="Z96" i="2" s="1"/>
  <c r="AC97" i="7"/>
  <c r="V97" i="10"/>
  <c r="BI97" i="1"/>
  <c r="AK97" i="5"/>
  <c r="AQ97" i="8"/>
  <c r="C97" i="11"/>
  <c r="T96" i="8"/>
  <c r="W96" i="8" s="1"/>
  <c r="V96" i="8"/>
  <c r="I96" i="11"/>
  <c r="O96" i="7"/>
  <c r="AA97" i="8" l="1"/>
  <c r="BJ97" i="1"/>
  <c r="C96" i="8"/>
  <c r="P96" i="7"/>
  <c r="F96" i="9"/>
  <c r="Y96" i="2" l="1"/>
  <c r="X96" i="2" s="1"/>
  <c r="H97" i="11" l="1"/>
  <c r="E97" i="2"/>
  <c r="L97" i="2" s="1"/>
  <c r="AW97" i="8"/>
  <c r="AB97" i="7"/>
  <c r="AJ97" i="7" s="1"/>
  <c r="B97" i="8"/>
  <c r="D97" i="2" s="1"/>
  <c r="U97" i="2" s="1"/>
  <c r="W96" i="2" l="1"/>
  <c r="C97" i="2" l="1"/>
  <c r="S97" i="8" s="1"/>
  <c r="I97" i="2" l="1"/>
  <c r="AA97" i="1" s="1"/>
  <c r="S97" i="1" s="1"/>
  <c r="H98" i="1" s="1"/>
  <c r="H97" i="2"/>
  <c r="F97" i="1"/>
  <c r="F97" i="2"/>
  <c r="AP97" i="1" s="1"/>
  <c r="T97" i="1" l="1"/>
  <c r="I98" i="1" s="1"/>
  <c r="AO98" i="1" s="1"/>
  <c r="J97" i="11"/>
  <c r="G97" i="2"/>
  <c r="Z97" i="2" s="1"/>
  <c r="AC98" i="7"/>
  <c r="AK98" i="5"/>
  <c r="V98" i="10"/>
  <c r="AQ98" i="8"/>
  <c r="C98" i="11"/>
  <c r="BI98" i="1"/>
  <c r="T97" i="8"/>
  <c r="W97" i="8" s="1"/>
  <c r="V97" i="8"/>
  <c r="O97" i="7"/>
  <c r="I97" i="11"/>
  <c r="AA98" i="8" l="1"/>
  <c r="C97" i="8"/>
  <c r="F97" i="9"/>
  <c r="P97" i="7"/>
  <c r="BJ98" i="1"/>
  <c r="Y97" i="2" l="1"/>
  <c r="X97" i="2" s="1"/>
  <c r="E98" i="2" l="1"/>
  <c r="L98" i="2" s="1"/>
  <c r="H98" i="11"/>
  <c r="AW98" i="8"/>
  <c r="AB98" i="7"/>
  <c r="AJ98" i="7" s="1"/>
  <c r="B98" i="8"/>
  <c r="D98" i="2" s="1"/>
  <c r="U98" i="2" l="1"/>
  <c r="W97" i="2" s="1"/>
  <c r="C98" i="2" l="1"/>
  <c r="S98" i="8" s="1"/>
  <c r="F98" i="2" l="1"/>
  <c r="AP98" i="1" s="1"/>
  <c r="I98" i="2"/>
  <c r="AA98" i="1" s="1"/>
  <c r="S98" i="1" s="1"/>
  <c r="H99" i="1" s="1"/>
  <c r="F98" i="1"/>
  <c r="H98" i="2"/>
  <c r="V98" i="8" l="1"/>
  <c r="T98" i="8"/>
  <c r="W98" i="8" s="1"/>
  <c r="AC99" i="7"/>
  <c r="BI99" i="1"/>
  <c r="C99" i="11"/>
  <c r="AQ99" i="8"/>
  <c r="AK99" i="5"/>
  <c r="V99" i="10"/>
  <c r="I98" i="11"/>
  <c r="O98" i="7"/>
  <c r="T98" i="1"/>
  <c r="I99" i="1" s="1"/>
  <c r="AO99" i="1" s="1"/>
  <c r="J98" i="11"/>
  <c r="G98" i="2"/>
  <c r="Z98" i="2" s="1"/>
  <c r="AA99" i="8" l="1"/>
  <c r="BJ99" i="1"/>
  <c r="F98" i="9"/>
  <c r="P98" i="7"/>
  <c r="C98" i="8"/>
  <c r="Y98" i="2" l="1"/>
  <c r="X98" i="2" s="1"/>
  <c r="E99" i="2" l="1"/>
  <c r="L99" i="2" s="1"/>
  <c r="AB99" i="7"/>
  <c r="AJ99" i="7" s="1"/>
  <c r="H99" i="11"/>
  <c r="AW99" i="8"/>
  <c r="B99" i="8"/>
  <c r="D99" i="2" s="1"/>
  <c r="U99" i="2" l="1"/>
  <c r="W98" i="2" s="1"/>
  <c r="C99" i="2" l="1"/>
  <c r="S99" i="8" s="1"/>
  <c r="I99" i="2" l="1"/>
  <c r="AA99" i="1" s="1"/>
  <c r="S99" i="1" s="1"/>
  <c r="H100" i="1" s="1"/>
  <c r="F99" i="2"/>
  <c r="AP99" i="1" s="1"/>
  <c r="F99" i="1"/>
  <c r="H99" i="2"/>
  <c r="AC100" i="7" l="1"/>
  <c r="AK100" i="5"/>
  <c r="C100" i="11"/>
  <c r="V100" i="10"/>
  <c r="AQ100" i="8"/>
  <c r="BI100" i="1"/>
  <c r="T99" i="8"/>
  <c r="W99" i="8" s="1"/>
  <c r="V99" i="8"/>
  <c r="T99" i="1"/>
  <c r="I100" i="1" s="1"/>
  <c r="AO100" i="1" s="1"/>
  <c r="J99" i="11"/>
  <c r="G99" i="2"/>
  <c r="Z99" i="2" s="1"/>
  <c r="O99" i="7"/>
  <c r="I99" i="11"/>
  <c r="AA100" i="8" l="1"/>
  <c r="C99" i="8"/>
  <c r="BJ100" i="1"/>
  <c r="F99" i="9"/>
  <c r="P99" i="7"/>
  <c r="Y99" i="2" l="1"/>
  <c r="X99" i="2" s="1"/>
  <c r="E100" i="2" l="1"/>
  <c r="L100" i="2" s="1"/>
  <c r="H100" i="11"/>
  <c r="AB100" i="7"/>
  <c r="AJ100" i="7" s="1"/>
  <c r="AW100" i="8"/>
  <c r="B100" i="8"/>
  <c r="D100" i="2" s="1"/>
  <c r="U100" i="2" s="1"/>
  <c r="W99" i="2" l="1"/>
  <c r="C100" i="2" l="1"/>
  <c r="S100" i="8" s="1"/>
  <c r="F100" i="2" l="1"/>
  <c r="AP100" i="1" s="1"/>
  <c r="I100" i="2"/>
  <c r="AA100" i="1" s="1"/>
  <c r="S100" i="1" s="1"/>
  <c r="H101" i="1" s="1"/>
  <c r="F100" i="1"/>
  <c r="H100" i="2"/>
  <c r="AC101" i="7" l="1"/>
  <c r="BI101" i="1"/>
  <c r="AQ101" i="8"/>
  <c r="C101" i="11"/>
  <c r="V101" i="10"/>
  <c r="AK101" i="5"/>
  <c r="T100" i="8"/>
  <c r="W100" i="8" s="1"/>
  <c r="V100" i="8"/>
  <c r="J100" i="11"/>
  <c r="T100" i="1"/>
  <c r="I101" i="1" s="1"/>
  <c r="AO101" i="1" s="1"/>
  <c r="G100" i="2"/>
  <c r="Z100" i="2" s="1"/>
  <c r="O100" i="7"/>
  <c r="I100" i="11"/>
  <c r="AA101" i="8" l="1"/>
  <c r="BJ101" i="1"/>
  <c r="P100" i="7"/>
  <c r="F100" i="9"/>
  <c r="C100" i="8"/>
  <c r="Y100" i="2" l="1"/>
  <c r="X100" i="2" s="1"/>
  <c r="AW101" i="8" l="1"/>
  <c r="H101" i="11"/>
  <c r="AB101" i="7"/>
  <c r="AJ101" i="7" s="1"/>
  <c r="E101" i="2"/>
  <c r="L101" i="2" s="1"/>
  <c r="B101" i="8"/>
  <c r="D101" i="2" s="1"/>
  <c r="U101" i="2" l="1"/>
  <c r="W100" i="2" s="1"/>
  <c r="C101" i="2" l="1"/>
  <c r="S101" i="8" s="1"/>
  <c r="F101" i="1" l="1"/>
  <c r="I101" i="2"/>
  <c r="AA101" i="1" s="1"/>
  <c r="S101" i="1" s="1"/>
  <c r="H102" i="1" s="1"/>
  <c r="F101" i="2"/>
  <c r="AP101" i="1" s="1"/>
  <c r="H101" i="2"/>
  <c r="AC102" i="7" l="1"/>
  <c r="AQ102" i="8"/>
  <c r="V102" i="10"/>
  <c r="AK102" i="5"/>
  <c r="BI102" i="1"/>
  <c r="C102" i="11"/>
  <c r="T101" i="8"/>
  <c r="W101" i="8" s="1"/>
  <c r="V101" i="8"/>
  <c r="T101" i="1"/>
  <c r="I102" i="1" s="1"/>
  <c r="AO102" i="1" s="1"/>
  <c r="J101" i="11"/>
  <c r="G101" i="2"/>
  <c r="Z101" i="2" s="1"/>
  <c r="O101" i="7"/>
  <c r="I101" i="11"/>
  <c r="AA102" i="8" l="1"/>
  <c r="P101" i="7"/>
  <c r="F101" i="9"/>
  <c r="C101" i="8"/>
  <c r="BJ102" i="1"/>
  <c r="Y101" i="2" l="1"/>
  <c r="X101" i="2" s="1"/>
  <c r="AW102" i="8" l="1"/>
  <c r="AB102" i="7"/>
  <c r="AJ102" i="7" s="1"/>
  <c r="H102" i="11"/>
  <c r="E102" i="2"/>
  <c r="L102" i="2" s="1"/>
  <c r="B102" i="8"/>
  <c r="D102" i="2" s="1"/>
  <c r="U102" i="2" l="1"/>
  <c r="W101" i="2" s="1"/>
  <c r="C102" i="2" l="1"/>
  <c r="S102" i="8" s="1"/>
  <c r="I102" i="2" l="1"/>
  <c r="AA102" i="1" s="1"/>
  <c r="S102" i="1" s="1"/>
  <c r="H103" i="1" s="1"/>
  <c r="F102" i="2"/>
  <c r="AP102" i="1" s="1"/>
  <c r="H102" i="2"/>
  <c r="F102" i="1"/>
  <c r="V102" i="8" l="1"/>
  <c r="T102" i="8"/>
  <c r="W102" i="8" s="1"/>
  <c r="AC103" i="7"/>
  <c r="AK103" i="5"/>
  <c r="C103" i="11"/>
  <c r="AQ103" i="8"/>
  <c r="BI103" i="1"/>
  <c r="V103" i="10"/>
  <c r="J102" i="11"/>
  <c r="T102" i="1"/>
  <c r="I103" i="1" s="1"/>
  <c r="AO103" i="1" s="1"/>
  <c r="G102" i="2"/>
  <c r="Z102" i="2" s="1"/>
  <c r="O102" i="7"/>
  <c r="I102" i="11"/>
  <c r="AA103" i="8" l="1"/>
  <c r="C102" i="8"/>
  <c r="P102" i="7"/>
  <c r="F102" i="9"/>
  <c r="BJ103" i="1"/>
  <c r="Y102" i="2" l="1"/>
  <c r="X102" i="2" s="1"/>
  <c r="E103" i="2" l="1"/>
  <c r="L103" i="2" s="1"/>
  <c r="AW103" i="8"/>
  <c r="AB103" i="7"/>
  <c r="AJ103" i="7" s="1"/>
  <c r="H103" i="11"/>
  <c r="B103" i="8"/>
  <c r="D103" i="2" s="1"/>
  <c r="U103" i="2" l="1"/>
  <c r="W102" i="2" s="1"/>
  <c r="C103" i="2" l="1"/>
  <c r="S103" i="8" s="1"/>
  <c r="F103" i="1" l="1"/>
  <c r="H103" i="2"/>
  <c r="F103" i="2"/>
  <c r="AP103" i="1" s="1"/>
  <c r="I103" i="2"/>
  <c r="O103" i="7" l="1"/>
  <c r="I103" i="11"/>
  <c r="V103" i="8"/>
  <c r="T103" i="8"/>
  <c r="W103" i="8" s="1"/>
  <c r="T103" i="1"/>
  <c r="I104" i="1" s="1"/>
  <c r="AO104" i="1" s="1"/>
  <c r="J103" i="11"/>
  <c r="G103" i="2"/>
  <c r="Z103" i="2" s="1"/>
  <c r="AA103" i="1"/>
  <c r="S103" i="1" s="1"/>
  <c r="H104" i="1" s="1"/>
  <c r="AA104" i="8" l="1"/>
  <c r="C104" i="11"/>
  <c r="AC104" i="7"/>
  <c r="BI104" i="1"/>
  <c r="AK104" i="5"/>
  <c r="V104" i="10"/>
  <c r="AQ104" i="8"/>
  <c r="C103" i="8"/>
  <c r="P103" i="7"/>
  <c r="F103" i="9"/>
  <c r="BJ104" i="1"/>
  <c r="Y103" i="2" l="1"/>
  <c r="X103" i="2" s="1"/>
  <c r="E104" i="2" l="1"/>
  <c r="L104" i="2" s="1"/>
  <c r="AW104" i="8"/>
  <c r="H104" i="11"/>
  <c r="AB104" i="7"/>
  <c r="AJ104" i="7" s="1"/>
  <c r="B104" i="8"/>
  <c r="D104" i="2" s="1"/>
  <c r="U104" i="2" l="1"/>
  <c r="W103" i="2" s="1"/>
  <c r="C104" i="2" l="1"/>
  <c r="S104" i="8" s="1"/>
  <c r="F104" i="2" l="1"/>
  <c r="AP104" i="1" s="1"/>
  <c r="H104" i="2"/>
  <c r="F104" i="1"/>
  <c r="I104" i="2"/>
  <c r="I104" i="11" l="1"/>
  <c r="O104" i="7"/>
  <c r="J104" i="11"/>
  <c r="T104" i="1"/>
  <c r="I105" i="1" s="1"/>
  <c r="AO105" i="1" s="1"/>
  <c r="G104" i="2"/>
  <c r="Z104" i="2" s="1"/>
  <c r="AA104" i="1"/>
  <c r="S104" i="1" s="1"/>
  <c r="H105" i="1" s="1"/>
  <c r="V104" i="8"/>
  <c r="T104" i="8"/>
  <c r="W104" i="8" s="1"/>
  <c r="AA105" i="8" l="1"/>
  <c r="V105" i="10"/>
  <c r="AK105" i="5"/>
  <c r="BI105" i="1"/>
  <c r="AQ105" i="8"/>
  <c r="C105" i="11"/>
  <c r="AC105" i="7"/>
  <c r="C104" i="8"/>
  <c r="P104" i="7"/>
  <c r="F104" i="9"/>
  <c r="BJ105" i="1"/>
  <c r="Y104" i="2" l="1"/>
  <c r="X104" i="2" s="1"/>
  <c r="E105" i="2" l="1"/>
  <c r="L105" i="2" s="1"/>
  <c r="AB105" i="7"/>
  <c r="AJ105" i="7" s="1"/>
  <c r="H105" i="11"/>
  <c r="AW105" i="8"/>
  <c r="B105" i="8"/>
  <c r="D105" i="2" s="1"/>
  <c r="U105" i="2" l="1"/>
  <c r="W104" i="2" s="1"/>
  <c r="C105" i="2" l="1"/>
  <c r="S105" i="8" s="1"/>
  <c r="H105" i="2" l="1"/>
  <c r="F105" i="2"/>
  <c r="AP105" i="1" s="1"/>
  <c r="I105" i="2"/>
  <c r="AA105" i="1" s="1"/>
  <c r="S105" i="1" s="1"/>
  <c r="H106" i="1" s="1"/>
  <c r="F105" i="1"/>
  <c r="AK106" i="5" l="1"/>
  <c r="AC106" i="7"/>
  <c r="C106" i="11"/>
  <c r="V106" i="10"/>
  <c r="BI106" i="1"/>
  <c r="AQ106" i="8"/>
  <c r="O105" i="7"/>
  <c r="I105" i="11"/>
  <c r="T105" i="1"/>
  <c r="I106" i="1" s="1"/>
  <c r="AO106" i="1" s="1"/>
  <c r="J105" i="11"/>
  <c r="G105" i="2"/>
  <c r="Z105" i="2" s="1"/>
  <c r="T105" i="8"/>
  <c r="W105" i="8" s="1"/>
  <c r="V105" i="8"/>
  <c r="AA106" i="8" l="1"/>
  <c r="C105" i="8"/>
  <c r="BJ106" i="1"/>
  <c r="F105" i="9"/>
  <c r="P105" i="7"/>
  <c r="Y105" i="2" l="1"/>
  <c r="X105" i="2" s="1"/>
  <c r="E106" i="2" l="1"/>
  <c r="L106" i="2" s="1"/>
  <c r="H106" i="11"/>
  <c r="AW106" i="8"/>
  <c r="AB106" i="7"/>
  <c r="AJ106" i="7" s="1"/>
  <c r="B106" i="8"/>
  <c r="D106" i="2" s="1"/>
  <c r="U106" i="2" s="1"/>
  <c r="W105" i="2" l="1"/>
  <c r="C106" i="2" l="1"/>
  <c r="S106" i="8" s="1"/>
  <c r="I106" i="2" l="1"/>
  <c r="AA106" i="1" s="1"/>
  <c r="S106" i="1" s="1"/>
  <c r="H107" i="1" s="1"/>
  <c r="F106" i="1"/>
  <c r="H106" i="2"/>
  <c r="F106" i="2"/>
  <c r="AP106" i="1" s="1"/>
  <c r="T106" i="1" l="1"/>
  <c r="I107" i="1" s="1"/>
  <c r="AO107" i="1" s="1"/>
  <c r="J106" i="11"/>
  <c r="G106" i="2"/>
  <c r="Z106" i="2" s="1"/>
  <c r="AC107" i="7"/>
  <c r="AK107" i="5"/>
  <c r="AQ107" i="8"/>
  <c r="BI107" i="1"/>
  <c r="C107" i="11"/>
  <c r="V107" i="10"/>
  <c r="O106" i="7"/>
  <c r="I106" i="11"/>
  <c r="T106" i="8"/>
  <c r="W106" i="8" s="1"/>
  <c r="V106" i="8"/>
  <c r="AA107" i="8" l="1"/>
  <c r="C106" i="8"/>
  <c r="F106" i="9"/>
  <c r="P106" i="7"/>
  <c r="BJ107" i="1"/>
  <c r="Y106" i="2" l="1"/>
  <c r="X106" i="2" s="1"/>
  <c r="E107" i="2" l="1"/>
  <c r="L107" i="2" s="1"/>
  <c r="AB107" i="7"/>
  <c r="AJ107" i="7" s="1"/>
  <c r="AW107" i="8"/>
  <c r="H107" i="11"/>
  <c r="B107" i="8"/>
  <c r="D107" i="2" s="1"/>
  <c r="U107" i="2" l="1"/>
  <c r="W106" i="2" s="1"/>
  <c r="C107" i="2" l="1"/>
  <c r="S107" i="8" s="1"/>
  <c r="I107" i="2" l="1"/>
  <c r="F107" i="2"/>
  <c r="AP107" i="1" s="1"/>
  <c r="F107" i="1"/>
  <c r="H107" i="2"/>
  <c r="T107" i="1" l="1"/>
  <c r="I108" i="1" s="1"/>
  <c r="AO108" i="1" s="1"/>
  <c r="J107" i="11"/>
  <c r="G107" i="2"/>
  <c r="Z107" i="2" s="1"/>
  <c r="O107" i="7"/>
  <c r="I107" i="11"/>
  <c r="V107" i="8"/>
  <c r="T107" i="8"/>
  <c r="W107" i="8" s="1"/>
  <c r="AA107" i="1"/>
  <c r="S107" i="1" s="1"/>
  <c r="H108" i="1" s="1"/>
  <c r="AA108" i="8" l="1"/>
  <c r="AC108" i="7"/>
  <c r="V108" i="10"/>
  <c r="AK108" i="5"/>
  <c r="BI108" i="1"/>
  <c r="AQ108" i="8"/>
  <c r="C108" i="11"/>
  <c r="C107" i="8"/>
  <c r="P107" i="7"/>
  <c r="F107" i="9"/>
  <c r="BJ108" i="1"/>
  <c r="Y107" i="2" l="1"/>
  <c r="X107" i="2" s="1"/>
  <c r="E108" i="2" l="1"/>
  <c r="L108" i="2" s="1"/>
  <c r="H108" i="11"/>
  <c r="AW108" i="8"/>
  <c r="AB108" i="7"/>
  <c r="AJ108" i="7" s="1"/>
  <c r="B108" i="8"/>
  <c r="D108" i="2" s="1"/>
  <c r="U108" i="2" s="1"/>
  <c r="W107" i="2" l="1"/>
  <c r="C108" i="2" l="1"/>
  <c r="S108" i="8" s="1"/>
  <c r="F108" i="2" l="1"/>
  <c r="AP108" i="1" s="1"/>
  <c r="F108" i="1"/>
  <c r="H108" i="2"/>
  <c r="I108" i="2"/>
  <c r="AA108" i="1" s="1"/>
  <c r="S108" i="1" s="1"/>
  <c r="H109" i="1" s="1"/>
  <c r="BI109" i="1" l="1"/>
  <c r="C109" i="11"/>
  <c r="V109" i="10"/>
  <c r="AC109" i="7"/>
  <c r="AQ109" i="8"/>
  <c r="AK109" i="5"/>
  <c r="T108" i="1"/>
  <c r="I109" i="1" s="1"/>
  <c r="AO109" i="1" s="1"/>
  <c r="J108" i="11"/>
  <c r="G108" i="2"/>
  <c r="Z108" i="2" s="1"/>
  <c r="I108" i="11"/>
  <c r="O108" i="7"/>
  <c r="T108" i="8"/>
  <c r="W108" i="8" s="1"/>
  <c r="V108" i="8"/>
  <c r="AA109" i="8" l="1"/>
  <c r="C108" i="8"/>
  <c r="BJ109" i="1"/>
  <c r="P108" i="7"/>
  <c r="F108" i="9"/>
  <c r="Y108" i="2" l="1"/>
  <c r="X108" i="2" s="1"/>
  <c r="E109" i="2" l="1"/>
  <c r="L109" i="2" s="1"/>
  <c r="AW109" i="8"/>
  <c r="H109" i="11"/>
  <c r="AB109" i="7"/>
  <c r="AJ109" i="7" s="1"/>
  <c r="B109" i="8"/>
  <c r="D109" i="2" s="1"/>
  <c r="U109" i="2" l="1"/>
  <c r="W108" i="2" s="1"/>
  <c r="C109" i="2" l="1"/>
  <c r="S109" i="8" s="1"/>
  <c r="F109" i="2" l="1"/>
  <c r="AP109" i="1" s="1"/>
  <c r="I109" i="2"/>
  <c r="H109" i="2"/>
  <c r="F109" i="1"/>
  <c r="V109" i="8" l="1"/>
  <c r="T109" i="8"/>
  <c r="W109" i="8" s="1"/>
  <c r="J109" i="11"/>
  <c r="T109" i="1"/>
  <c r="I110" i="1" s="1"/>
  <c r="AO110" i="1" s="1"/>
  <c r="G109" i="2"/>
  <c r="Z109" i="2" s="1"/>
  <c r="I109" i="11"/>
  <c r="O109" i="7"/>
  <c r="AA109" i="1"/>
  <c r="S109" i="1" s="1"/>
  <c r="H110" i="1" s="1"/>
  <c r="AA110" i="8" l="1"/>
  <c r="C109" i="8"/>
  <c r="BJ110" i="1"/>
  <c r="C110" i="11"/>
  <c r="AQ110" i="8"/>
  <c r="AC110" i="7"/>
  <c r="AK110" i="5"/>
  <c r="BI110" i="1"/>
  <c r="V110" i="10"/>
  <c r="P109" i="7"/>
  <c r="F109" i="9"/>
  <c r="Y109" i="2" l="1"/>
  <c r="X109" i="2" s="1"/>
  <c r="AB110" i="7" l="1"/>
  <c r="AJ110" i="7" s="1"/>
  <c r="H110" i="11"/>
  <c r="AW110" i="8"/>
  <c r="E110" i="2"/>
  <c r="L110" i="2" s="1"/>
  <c r="B110" i="8"/>
  <c r="D110" i="2" s="1"/>
  <c r="U110" i="2" s="1"/>
  <c r="W109" i="2" l="1"/>
  <c r="C110" i="2" l="1"/>
  <c r="S110" i="8" s="1"/>
  <c r="I110" i="2" l="1"/>
  <c r="AA110" i="1" s="1"/>
  <c r="S110" i="1" s="1"/>
  <c r="H111" i="1" s="1"/>
  <c r="F110" i="2"/>
  <c r="AP110" i="1" s="1"/>
  <c r="H110" i="2"/>
  <c r="F110" i="1"/>
  <c r="J110" i="11" l="1"/>
  <c r="T110" i="1"/>
  <c r="I111" i="1" s="1"/>
  <c r="AO111" i="1" s="1"/>
  <c r="G110" i="2"/>
  <c r="Z110" i="2" s="1"/>
  <c r="BI111" i="1"/>
  <c r="AK111" i="5"/>
  <c r="AQ111" i="8"/>
  <c r="V111" i="10"/>
  <c r="AC111" i="7"/>
  <c r="C111" i="11"/>
  <c r="I110" i="11"/>
  <c r="O110" i="7"/>
  <c r="V110" i="8"/>
  <c r="T110" i="8"/>
  <c r="W110" i="8" s="1"/>
  <c r="AA111" i="8" l="1"/>
  <c r="BJ111" i="1"/>
  <c r="C110" i="8"/>
  <c r="P110" i="7"/>
  <c r="F110" i="9"/>
  <c r="Y110" i="2" l="1"/>
  <c r="X110" i="2" s="1"/>
  <c r="AB111" i="7" l="1"/>
  <c r="AJ111" i="7" s="1"/>
  <c r="AW111" i="8"/>
  <c r="E111" i="2"/>
  <c r="L111" i="2" s="1"/>
  <c r="H111" i="11"/>
  <c r="B111" i="8"/>
  <c r="D111" i="2" s="1"/>
  <c r="U111" i="2" l="1"/>
  <c r="W110" i="2" s="1"/>
  <c r="C111" i="2" l="1"/>
  <c r="S111" i="8" s="1"/>
  <c r="H111" i="2" l="1"/>
  <c r="F111" i="1"/>
  <c r="I111" i="2"/>
  <c r="F111" i="2"/>
  <c r="AP111" i="1" s="1"/>
  <c r="J111" i="11" l="1"/>
  <c r="T111" i="1"/>
  <c r="I112" i="1" s="1"/>
  <c r="AO112" i="1" s="1"/>
  <c r="G111" i="2"/>
  <c r="Z111" i="2" s="1"/>
  <c r="I111" i="11"/>
  <c r="O111" i="7"/>
  <c r="T111" i="8"/>
  <c r="W111" i="8" s="1"/>
  <c r="V111" i="8"/>
  <c r="AA111" i="1"/>
  <c r="S111" i="1" s="1"/>
  <c r="H112" i="1" s="1"/>
  <c r="AA112" i="8" l="1"/>
  <c r="BJ112" i="1"/>
  <c r="V112" i="10"/>
  <c r="BI112" i="1"/>
  <c r="AC112" i="7"/>
  <c r="AQ112" i="8"/>
  <c r="AK112" i="5"/>
  <c r="C112" i="11"/>
  <c r="C111" i="8"/>
  <c r="P111" i="7"/>
  <c r="F111" i="9"/>
  <c r="Y111" i="2" l="1"/>
  <c r="X111" i="2" s="1"/>
  <c r="H112" i="11" l="1"/>
  <c r="AW112" i="8"/>
  <c r="E112" i="2"/>
  <c r="L112" i="2" s="1"/>
  <c r="AB112" i="7"/>
  <c r="AJ112" i="7" s="1"/>
  <c r="B112" i="8"/>
  <c r="D112" i="2" s="1"/>
  <c r="U112" i="2" s="1"/>
  <c r="W111" i="2" l="1"/>
  <c r="C112" i="2" l="1"/>
  <c r="S112" i="8" s="1"/>
  <c r="F112" i="2" l="1"/>
  <c r="AP112" i="1" s="1"/>
  <c r="I112" i="2"/>
  <c r="H112" i="2"/>
  <c r="F112" i="1"/>
  <c r="J112" i="11" l="1"/>
  <c r="T112" i="1"/>
  <c r="I113" i="1" s="1"/>
  <c r="AO113" i="1" s="1"/>
  <c r="G112" i="2"/>
  <c r="Z112" i="2" s="1"/>
  <c r="V112" i="8"/>
  <c r="T112" i="8"/>
  <c r="W112" i="8" s="1"/>
  <c r="O112" i="7"/>
  <c r="I112" i="11"/>
  <c r="AA112" i="1"/>
  <c r="S112" i="1" s="1"/>
  <c r="H113" i="1" s="1"/>
  <c r="AA113" i="8" l="1"/>
  <c r="BJ113" i="1"/>
  <c r="AC113" i="7"/>
  <c r="BI113" i="1"/>
  <c r="AK113" i="5"/>
  <c r="V113" i="10"/>
  <c r="C113" i="11"/>
  <c r="AQ113" i="8"/>
  <c r="C112" i="8"/>
  <c r="P112" i="7"/>
  <c r="F112" i="9"/>
  <c r="Y112" i="2" l="1"/>
  <c r="X112" i="2" s="1"/>
  <c r="E113" i="2" l="1"/>
  <c r="L113" i="2" s="1"/>
  <c r="AB113" i="7"/>
  <c r="AJ113" i="7" s="1"/>
  <c r="H113" i="11"/>
  <c r="AW113" i="8"/>
  <c r="B113" i="8"/>
  <c r="D113" i="2" s="1"/>
  <c r="U113" i="2" s="1"/>
  <c r="W112" i="2" l="1"/>
  <c r="C113" i="2" l="1"/>
  <c r="S113" i="8" s="1"/>
  <c r="F113" i="2" l="1"/>
  <c r="AP113" i="1" s="1"/>
  <c r="F113" i="1"/>
  <c r="H113" i="2"/>
  <c r="I113" i="2"/>
  <c r="O113" i="7" l="1"/>
  <c r="I113" i="11"/>
  <c r="J113" i="11"/>
  <c r="T113" i="1"/>
  <c r="I114" i="1" s="1"/>
  <c r="AO114" i="1" s="1"/>
  <c r="G113" i="2"/>
  <c r="Z113" i="2" s="1"/>
  <c r="AA113" i="1"/>
  <c r="S113" i="1" s="1"/>
  <c r="H114" i="1" s="1"/>
  <c r="T113" i="8"/>
  <c r="W113" i="8" s="1"/>
  <c r="V113" i="8"/>
  <c r="AA114" i="8" l="1"/>
  <c r="AC114" i="7"/>
  <c r="V114" i="10"/>
  <c r="AQ114" i="8"/>
  <c r="BI114" i="1"/>
  <c r="C114" i="11"/>
  <c r="AK114" i="5"/>
  <c r="C113" i="8"/>
  <c r="BJ114" i="1"/>
  <c r="P113" i="7"/>
  <c r="F113" i="9"/>
  <c r="Y113" i="2" l="1"/>
  <c r="X113" i="2" s="1"/>
  <c r="E114" i="2" l="1"/>
  <c r="L114" i="2" s="1"/>
  <c r="H114" i="11"/>
  <c r="AW114" i="8"/>
  <c r="AB114" i="7"/>
  <c r="AJ114" i="7" s="1"/>
  <c r="B114" i="8"/>
  <c r="D114" i="2" s="1"/>
  <c r="U114" i="2" s="1"/>
  <c r="W113" i="2" l="1"/>
  <c r="C114" i="2" l="1"/>
  <c r="S114" i="8" s="1"/>
  <c r="H114" i="2" l="1"/>
  <c r="F114" i="1"/>
  <c r="F114" i="2"/>
  <c r="AP114" i="1" s="1"/>
  <c r="I114" i="2"/>
  <c r="AA114" i="1" s="1"/>
  <c r="S114" i="1" s="1"/>
  <c r="H115" i="1" s="1"/>
  <c r="AK115" i="5" l="1"/>
  <c r="AQ115" i="8"/>
  <c r="BI115" i="1"/>
  <c r="C115" i="11"/>
  <c r="AC115" i="7"/>
  <c r="V115" i="10"/>
  <c r="O114" i="7"/>
  <c r="I114" i="11"/>
  <c r="J114" i="11"/>
  <c r="T114" i="1"/>
  <c r="I115" i="1" s="1"/>
  <c r="AO115" i="1" s="1"/>
  <c r="G114" i="2"/>
  <c r="Z114" i="2" s="1"/>
  <c r="V114" i="8"/>
  <c r="T114" i="8"/>
  <c r="W114" i="8" s="1"/>
  <c r="AA115" i="8" l="1"/>
  <c r="BJ115" i="1"/>
  <c r="C114" i="8"/>
  <c r="P114" i="7"/>
  <c r="F114" i="9"/>
  <c r="Y114" i="2" l="1"/>
  <c r="X114" i="2" s="1"/>
  <c r="AB115" i="7" l="1"/>
  <c r="AJ115" i="7" s="1"/>
  <c r="H115" i="11"/>
  <c r="AW115" i="8"/>
  <c r="E115" i="2"/>
  <c r="L115" i="2" s="1"/>
  <c r="B115" i="8"/>
  <c r="D115" i="2" s="1"/>
  <c r="U115" i="2" l="1"/>
  <c r="W114" i="2" s="1"/>
  <c r="C115" i="2" l="1"/>
  <c r="S115" i="8" s="1"/>
  <c r="I115" i="2" l="1"/>
  <c r="AA115" i="1" s="1"/>
  <c r="S115" i="1" s="1"/>
  <c r="H116" i="1" s="1"/>
  <c r="H115" i="2"/>
  <c r="F115" i="1"/>
  <c r="F115" i="2"/>
  <c r="AP115" i="1" s="1"/>
  <c r="J115" i="11" l="1"/>
  <c r="T115" i="1"/>
  <c r="I116" i="1" s="1"/>
  <c r="AO116" i="1" s="1"/>
  <c r="G115" i="2"/>
  <c r="Z115" i="2" s="1"/>
  <c r="T115" i="8"/>
  <c r="W115" i="8" s="1"/>
  <c r="V115" i="8"/>
  <c r="AC116" i="7"/>
  <c r="AQ116" i="8"/>
  <c r="V116" i="10"/>
  <c r="BI116" i="1"/>
  <c r="AK116" i="5"/>
  <c r="C116" i="11"/>
  <c r="O115" i="7"/>
  <c r="I115" i="11"/>
  <c r="AA116" i="8" l="1"/>
  <c r="C115" i="8"/>
  <c r="BJ116" i="1"/>
  <c r="F115" i="9"/>
  <c r="P115" i="7"/>
  <c r="Y115" i="2" l="1"/>
  <c r="X115" i="2" s="1"/>
  <c r="H116" i="11" l="1"/>
  <c r="AB116" i="7"/>
  <c r="AJ116" i="7" s="1"/>
  <c r="AW116" i="8"/>
  <c r="E116" i="2"/>
  <c r="L116" i="2" s="1"/>
  <c r="B116" i="8"/>
  <c r="D116" i="2" s="1"/>
  <c r="U116" i="2" l="1"/>
  <c r="W115" i="2" s="1"/>
  <c r="C116" i="2" l="1"/>
  <c r="S116" i="8" s="1"/>
  <c r="F116" i="1" l="1"/>
  <c r="H116" i="2"/>
  <c r="I116" i="2"/>
  <c r="F116" i="2"/>
  <c r="AP116" i="1" s="1"/>
  <c r="J116" i="11" l="1"/>
  <c r="T116" i="1"/>
  <c r="I117" i="1" s="1"/>
  <c r="AO117" i="1" s="1"/>
  <c r="G116" i="2"/>
  <c r="Z116" i="2" s="1"/>
  <c r="I116" i="11"/>
  <c r="O116" i="7"/>
  <c r="V116" i="8"/>
  <c r="T116" i="8"/>
  <c r="W116" i="8" s="1"/>
  <c r="AA116" i="1"/>
  <c r="S116" i="1" s="1"/>
  <c r="H117" i="1" s="1"/>
  <c r="AA117" i="8" l="1"/>
  <c r="AC117" i="7"/>
  <c r="AQ117" i="8"/>
  <c r="AK117" i="5"/>
  <c r="BI117" i="1"/>
  <c r="C117" i="11"/>
  <c r="V117" i="10"/>
  <c r="C116" i="8"/>
  <c r="BJ117" i="1"/>
  <c r="F116" i="9"/>
  <c r="P116" i="7"/>
  <c r="Y116" i="2" l="1"/>
  <c r="X116" i="2" s="1"/>
  <c r="E117" i="2" l="1"/>
  <c r="L117" i="2" s="1"/>
  <c r="AB117" i="7"/>
  <c r="AJ117" i="7" s="1"/>
  <c r="H117" i="11"/>
  <c r="AW117" i="8"/>
  <c r="B117" i="8"/>
  <c r="D117" i="2" s="1"/>
  <c r="U117" i="2" l="1"/>
  <c r="W116" i="2" s="1"/>
  <c r="C117" i="2" l="1"/>
  <c r="S117" i="8" s="1"/>
  <c r="I117" i="2" l="1"/>
  <c r="AA117" i="1" s="1"/>
  <c r="S117" i="1" s="1"/>
  <c r="H118" i="1" s="1"/>
  <c r="F117" i="2"/>
  <c r="AP117" i="1" s="1"/>
  <c r="F117" i="1"/>
  <c r="H117" i="2"/>
  <c r="V118" i="10" l="1"/>
  <c r="AC118" i="7"/>
  <c r="C118" i="11"/>
  <c r="AK118" i="5"/>
  <c r="BI118" i="1"/>
  <c r="AQ118" i="8"/>
  <c r="V117" i="8"/>
  <c r="T117" i="8"/>
  <c r="W117" i="8" s="1"/>
  <c r="J117" i="11"/>
  <c r="T117" i="1"/>
  <c r="I118" i="1" s="1"/>
  <c r="AO118" i="1" s="1"/>
  <c r="G117" i="2"/>
  <c r="Z117" i="2" s="1"/>
  <c r="I117" i="11"/>
  <c r="O117" i="7"/>
  <c r="AA118" i="8" l="1"/>
  <c r="P117" i="7"/>
  <c r="F117" i="9"/>
  <c r="BJ118" i="1"/>
  <c r="C117" i="8"/>
  <c r="Y117" i="2" l="1"/>
  <c r="X117" i="2" s="1"/>
  <c r="E118" i="2" l="1"/>
  <c r="L118" i="2" s="1"/>
  <c r="AB118" i="7"/>
  <c r="AJ118" i="7" s="1"/>
  <c r="H118" i="11"/>
  <c r="AW118" i="8"/>
  <c r="B118" i="8"/>
  <c r="D118" i="2" s="1"/>
  <c r="U118" i="2" s="1"/>
  <c r="W117" i="2" l="1"/>
  <c r="C118" i="2" l="1"/>
  <c r="S118" i="8" s="1"/>
  <c r="I118" i="2" l="1"/>
  <c r="AA118" i="1" s="1"/>
  <c r="S118" i="1" s="1"/>
  <c r="H119" i="1" s="1"/>
  <c r="F118" i="2"/>
  <c r="AP118" i="1" s="1"/>
  <c r="F118" i="1"/>
  <c r="H118" i="2"/>
  <c r="T118" i="1" l="1"/>
  <c r="I119" i="1" s="1"/>
  <c r="AO119" i="1" s="1"/>
  <c r="J118" i="11"/>
  <c r="G118" i="2"/>
  <c r="Z118" i="2" s="1"/>
  <c r="C119" i="11"/>
  <c r="BI119" i="1"/>
  <c r="AC119" i="7"/>
  <c r="V119" i="10"/>
  <c r="AQ119" i="8"/>
  <c r="AK119" i="5"/>
  <c r="V118" i="8"/>
  <c r="T118" i="8"/>
  <c r="W118" i="8" s="1"/>
  <c r="O118" i="7"/>
  <c r="I118" i="11"/>
  <c r="AA119" i="8" l="1"/>
  <c r="C118" i="8"/>
  <c r="P118" i="7"/>
  <c r="F118" i="9"/>
  <c r="BJ119" i="1"/>
  <c r="Y118" i="2" l="1"/>
  <c r="X118" i="2" s="1"/>
  <c r="E119" i="2" l="1"/>
  <c r="L119" i="2" s="1"/>
  <c r="H119" i="11"/>
  <c r="AB119" i="7"/>
  <c r="AJ119" i="7" s="1"/>
  <c r="AW119" i="8"/>
  <c r="B119" i="8"/>
  <c r="D119" i="2" s="1"/>
  <c r="U119" i="2" l="1"/>
  <c r="W118" i="2" s="1"/>
  <c r="C119" i="2" l="1"/>
  <c r="S119" i="8" s="1"/>
  <c r="I119" i="2" l="1"/>
  <c r="AA119" i="1" s="1"/>
  <c r="S119" i="1" s="1"/>
  <c r="H120" i="1" s="1"/>
  <c r="F119" i="2"/>
  <c r="AP119" i="1" s="1"/>
  <c r="H119" i="2"/>
  <c r="F119" i="1"/>
  <c r="J119" i="11" l="1"/>
  <c r="T119" i="1"/>
  <c r="I120" i="1" s="1"/>
  <c r="AO120" i="1" s="1"/>
  <c r="G119" i="2"/>
  <c r="Z119" i="2" s="1"/>
  <c r="T119" i="8"/>
  <c r="W119" i="8" s="1"/>
  <c r="V119" i="8"/>
  <c r="AC120" i="7"/>
  <c r="BI120" i="1"/>
  <c r="V120" i="10"/>
  <c r="AQ120" i="8"/>
  <c r="C120" i="11"/>
  <c r="AK120" i="5"/>
  <c r="O119" i="7"/>
  <c r="I119" i="11"/>
  <c r="AA120" i="8" l="1"/>
  <c r="BJ120" i="1"/>
  <c r="C119" i="8"/>
  <c r="F119" i="9"/>
  <c r="P119" i="7"/>
  <c r="Y119" i="2" l="1"/>
  <c r="X119" i="2" s="1"/>
  <c r="E120" i="2" l="1"/>
  <c r="L120" i="2" s="1"/>
  <c r="AW120" i="8"/>
  <c r="AB120" i="7"/>
  <c r="AJ120" i="7" s="1"/>
  <c r="H120" i="11"/>
  <c r="B120" i="8"/>
  <c r="D120" i="2" s="1"/>
  <c r="U120" i="2" s="1"/>
  <c r="W119" i="2" l="1"/>
  <c r="C120" i="2" l="1"/>
  <c r="S120" i="8" s="1"/>
  <c r="I120" i="2" l="1"/>
  <c r="F120" i="2"/>
  <c r="AP120" i="1" s="1"/>
  <c r="F120" i="1"/>
  <c r="H120" i="2"/>
  <c r="V120" i="8" l="1"/>
  <c r="T120" i="8"/>
  <c r="W120" i="8" s="1"/>
  <c r="O120" i="7"/>
  <c r="I120" i="11"/>
  <c r="T120" i="1"/>
  <c r="I121" i="1" s="1"/>
  <c r="AO121" i="1" s="1"/>
  <c r="J120" i="11"/>
  <c r="G120" i="2"/>
  <c r="Z120" i="2" s="1"/>
  <c r="AA120" i="1"/>
  <c r="S120" i="1" s="1"/>
  <c r="H121" i="1" s="1"/>
  <c r="AA121" i="8" l="1"/>
  <c r="AC121" i="7"/>
  <c r="AQ121" i="8"/>
  <c r="BI121" i="1"/>
  <c r="C121" i="11"/>
  <c r="V121" i="10"/>
  <c r="AK121" i="5"/>
  <c r="P120" i="7"/>
  <c r="F120" i="9"/>
  <c r="C120" i="8"/>
  <c r="BJ121" i="1"/>
  <c r="Y120" i="2" l="1"/>
  <c r="X120" i="2" s="1"/>
  <c r="E121" i="2" l="1"/>
  <c r="L121" i="2" s="1"/>
  <c r="AW121" i="8"/>
  <c r="H121" i="11"/>
  <c r="AB121" i="7"/>
  <c r="AJ121" i="7" s="1"/>
  <c r="B121" i="8"/>
  <c r="D121" i="2" s="1"/>
  <c r="U121" i="2" l="1"/>
  <c r="W120" i="2" s="1"/>
  <c r="C121" i="2" l="1"/>
  <c r="S121" i="8" s="1"/>
  <c r="I121" i="2" l="1"/>
  <c r="F121" i="2"/>
  <c r="AP121" i="1" s="1"/>
  <c r="H121" i="2"/>
  <c r="F121" i="1"/>
  <c r="V121" i="8" l="1"/>
  <c r="T121" i="8"/>
  <c r="W121" i="8" s="1"/>
  <c r="T121" i="1"/>
  <c r="I122" i="1" s="1"/>
  <c r="AO122" i="1" s="1"/>
  <c r="J121" i="11"/>
  <c r="G121" i="2"/>
  <c r="Z121" i="2" s="1"/>
  <c r="O121" i="7"/>
  <c r="I121" i="11"/>
  <c r="AA121" i="1"/>
  <c r="S121" i="1" s="1"/>
  <c r="H122" i="1" s="1"/>
  <c r="AA122" i="8" l="1"/>
  <c r="AC122" i="7"/>
  <c r="AQ122" i="8"/>
  <c r="C122" i="11"/>
  <c r="AK122" i="5"/>
  <c r="V122" i="10"/>
  <c r="BI122" i="1"/>
  <c r="C121" i="8"/>
  <c r="P121" i="7"/>
  <c r="F121" i="9"/>
  <c r="BJ122" i="1"/>
  <c r="Y121" i="2" l="1"/>
  <c r="X121" i="2" s="1"/>
  <c r="E122" i="2" l="1"/>
  <c r="L122" i="2" s="1"/>
  <c r="AW122" i="8"/>
  <c r="H122" i="11"/>
  <c r="AB122" i="7"/>
  <c r="AJ122" i="7" s="1"/>
  <c r="B122" i="8"/>
  <c r="D122" i="2" s="1"/>
  <c r="U122" i="2" s="1"/>
  <c r="W121" i="2" l="1"/>
  <c r="C122" i="2" l="1"/>
  <c r="S122" i="8" s="1"/>
  <c r="I122" i="2" l="1"/>
  <c r="F122" i="1"/>
  <c r="H122" i="2"/>
  <c r="F122" i="2"/>
  <c r="AP122" i="1" s="1"/>
  <c r="T122" i="1" l="1"/>
  <c r="I123" i="1" s="1"/>
  <c r="AO123" i="1" s="1"/>
  <c r="J122" i="11"/>
  <c r="G122" i="2"/>
  <c r="Z122" i="2" s="1"/>
  <c r="V122" i="8"/>
  <c r="T122" i="8"/>
  <c r="W122" i="8" s="1"/>
  <c r="O122" i="7"/>
  <c r="I122" i="11"/>
  <c r="AA122" i="1"/>
  <c r="S122" i="1" s="1"/>
  <c r="H123" i="1" s="1"/>
  <c r="AA123" i="8" l="1"/>
  <c r="C122" i="8"/>
  <c r="AC123" i="7"/>
  <c r="AK123" i="5"/>
  <c r="C123" i="11"/>
  <c r="BI123" i="1"/>
  <c r="V123" i="10"/>
  <c r="AQ123" i="8"/>
  <c r="P122" i="7"/>
  <c r="F122" i="9"/>
  <c r="BJ123" i="1"/>
  <c r="Y122" i="2" l="1"/>
  <c r="X122" i="2" s="1"/>
  <c r="E123" i="2" l="1"/>
  <c r="L123" i="2" s="1"/>
  <c r="AW123" i="8"/>
  <c r="AB123" i="7"/>
  <c r="AJ123" i="7" s="1"/>
  <c r="H123" i="11"/>
  <c r="B123" i="8"/>
  <c r="D123" i="2" s="1"/>
  <c r="U123" i="2" l="1"/>
  <c r="W122" i="2" s="1"/>
  <c r="C123" i="2" l="1"/>
  <c r="S123" i="8" s="1"/>
  <c r="F123" i="2" l="1"/>
  <c r="AP123" i="1" s="1"/>
  <c r="I123" i="2"/>
  <c r="F123" i="1"/>
  <c r="H123" i="2"/>
  <c r="O123" i="7" l="1"/>
  <c r="I123" i="11"/>
  <c r="AA123" i="1"/>
  <c r="S123" i="1" s="1"/>
  <c r="H124" i="1" s="1"/>
  <c r="J123" i="11"/>
  <c r="T123" i="1"/>
  <c r="I124" i="1" s="1"/>
  <c r="AO124" i="1" s="1"/>
  <c r="G123" i="2"/>
  <c r="Z123" i="2" s="1"/>
  <c r="V123" i="8"/>
  <c r="T123" i="8"/>
  <c r="W123" i="8" s="1"/>
  <c r="AA124" i="8" l="1"/>
  <c r="BJ124" i="1"/>
  <c r="C123" i="8"/>
  <c r="F123" i="9"/>
  <c r="P123" i="7"/>
  <c r="AC124" i="7"/>
  <c r="BI124" i="1"/>
  <c r="V124" i="10"/>
  <c r="AK124" i="5"/>
  <c r="AQ124" i="8"/>
  <c r="C124" i="11"/>
  <c r="Y123" i="2" l="1"/>
  <c r="X123" i="2" s="1"/>
  <c r="E124" i="2" l="1"/>
  <c r="L124" i="2" s="1"/>
  <c r="H124" i="11"/>
  <c r="AW124" i="8"/>
  <c r="AB124" i="7"/>
  <c r="AJ124" i="7" s="1"/>
  <c r="B124" i="8"/>
  <c r="D124" i="2" s="1"/>
  <c r="U124" i="2" s="1"/>
  <c r="W123" i="2" l="1"/>
  <c r="C124" i="2" l="1"/>
  <c r="S124" i="8" s="1"/>
  <c r="F124" i="2" l="1"/>
  <c r="AP124" i="1" s="1"/>
  <c r="F124" i="1"/>
  <c r="H124" i="2"/>
  <c r="I124" i="2"/>
  <c r="I124" i="11" l="1"/>
  <c r="O124" i="7"/>
  <c r="AA124" i="1"/>
  <c r="S124" i="1" s="1"/>
  <c r="H125" i="1" s="1"/>
  <c r="J124" i="11"/>
  <c r="T124" i="1"/>
  <c r="I125" i="1" s="1"/>
  <c r="AO125" i="1" s="1"/>
  <c r="G124" i="2"/>
  <c r="Z124" i="2" s="1"/>
  <c r="T124" i="8"/>
  <c r="W124" i="8" s="1"/>
  <c r="V124" i="8"/>
  <c r="AA125" i="8" l="1"/>
  <c r="C124" i="8"/>
  <c r="BJ125" i="1"/>
  <c r="F124" i="9"/>
  <c r="P124" i="7"/>
  <c r="AC125" i="7"/>
  <c r="BI125" i="1"/>
  <c r="V125" i="10"/>
  <c r="C125" i="11"/>
  <c r="AQ125" i="8"/>
  <c r="AK125" i="5"/>
  <c r="Y124" i="2" l="1"/>
  <c r="X124" i="2" s="1"/>
  <c r="AW125" i="8" l="1"/>
  <c r="E125" i="2"/>
  <c r="L125" i="2" s="1"/>
  <c r="H125" i="11"/>
  <c r="AB125" i="7"/>
  <c r="AJ125" i="7" s="1"/>
  <c r="B125" i="8"/>
  <c r="D125" i="2" s="1"/>
  <c r="U125" i="2" l="1"/>
  <c r="W124" i="2" s="1"/>
  <c r="C125" i="2" l="1"/>
  <c r="S125" i="8" s="1"/>
  <c r="H125" i="2" l="1"/>
  <c r="F125" i="1"/>
  <c r="I125" i="2"/>
  <c r="F125" i="2"/>
  <c r="AP125" i="1" s="1"/>
  <c r="J125" i="11" l="1"/>
  <c r="T125" i="1"/>
  <c r="I126" i="1" s="1"/>
  <c r="AO126" i="1" s="1"/>
  <c r="G125" i="2"/>
  <c r="Z125" i="2" s="1"/>
  <c r="O125" i="7"/>
  <c r="I125" i="11"/>
  <c r="V125" i="8"/>
  <c r="T125" i="8"/>
  <c r="W125" i="8" s="1"/>
  <c r="AA125" i="1"/>
  <c r="S125" i="1" s="1"/>
  <c r="H126" i="1" s="1"/>
  <c r="AA126" i="8" l="1"/>
  <c r="AC126" i="7"/>
  <c r="AQ126" i="8"/>
  <c r="AK126" i="5"/>
  <c r="C126" i="11"/>
  <c r="V126" i="10"/>
  <c r="BI126" i="1"/>
  <c r="C125" i="8"/>
  <c r="BJ126" i="1"/>
  <c r="F125" i="9"/>
  <c r="P125" i="7"/>
  <c r="Y125" i="2" l="1"/>
  <c r="X125" i="2" s="1"/>
  <c r="AB126" i="7" l="1"/>
  <c r="AJ126" i="7" s="1"/>
  <c r="AW126" i="8"/>
  <c r="H126" i="11"/>
  <c r="E126" i="2"/>
  <c r="L126" i="2" s="1"/>
  <c r="B126" i="8"/>
  <c r="D126" i="2" s="1"/>
  <c r="U126" i="2" l="1"/>
  <c r="W125" i="2" s="1"/>
  <c r="C126" i="2" l="1"/>
  <c r="S126" i="8" s="1"/>
  <c r="F126" i="2" l="1"/>
  <c r="AP126" i="1" s="1"/>
  <c r="F126" i="1"/>
  <c r="H126" i="2"/>
  <c r="I126" i="2"/>
  <c r="V126" i="8" l="1"/>
  <c r="T126" i="8"/>
  <c r="W126" i="8" s="1"/>
  <c r="T126" i="1"/>
  <c r="I127" i="1" s="1"/>
  <c r="AO127" i="1" s="1"/>
  <c r="J126" i="11"/>
  <c r="G126" i="2"/>
  <c r="Z126" i="2" s="1"/>
  <c r="O126" i="7"/>
  <c r="I126" i="11"/>
  <c r="AA126" i="1"/>
  <c r="S126" i="1" s="1"/>
  <c r="H127" i="1" s="1"/>
  <c r="AA127" i="8" l="1"/>
  <c r="F126" i="9"/>
  <c r="P126" i="7"/>
  <c r="AK127" i="5"/>
  <c r="AC127" i="7"/>
  <c r="C127" i="11"/>
  <c r="AQ127" i="8"/>
  <c r="BI127" i="1"/>
  <c r="V127" i="10"/>
  <c r="C126" i="8"/>
  <c r="BJ127" i="1"/>
  <c r="Y126" i="2" l="1"/>
  <c r="X126" i="2" s="1"/>
  <c r="AB127" i="7" l="1"/>
  <c r="AJ127" i="7" s="1"/>
  <c r="H127" i="11"/>
  <c r="E127" i="2"/>
  <c r="L127" i="2" s="1"/>
  <c r="AW127" i="8"/>
  <c r="B127" i="8"/>
  <c r="D127" i="2" s="1"/>
  <c r="U127" i="2" l="1"/>
  <c r="W126" i="2" s="1"/>
  <c r="C127" i="2" l="1"/>
  <c r="S127" i="8" s="1"/>
  <c r="I127" i="2" l="1"/>
  <c r="AA127" i="1" s="1"/>
  <c r="S127" i="1" s="1"/>
  <c r="H128" i="1" s="1"/>
  <c r="F127" i="2"/>
  <c r="AP127" i="1" s="1"/>
  <c r="F127" i="1"/>
  <c r="H127" i="2"/>
  <c r="T127" i="8" l="1"/>
  <c r="W127" i="8" s="1"/>
  <c r="V127" i="8"/>
  <c r="J127" i="11"/>
  <c r="T127" i="1"/>
  <c r="I128" i="1" s="1"/>
  <c r="AO128" i="1" s="1"/>
  <c r="G127" i="2"/>
  <c r="Z127" i="2" s="1"/>
  <c r="AK128" i="5"/>
  <c r="BI128" i="1"/>
  <c r="AC128" i="7"/>
  <c r="C128" i="11"/>
  <c r="V128" i="10"/>
  <c r="AQ128" i="8"/>
  <c r="O127" i="7"/>
  <c r="I127" i="11"/>
  <c r="AA128" i="8" l="1"/>
  <c r="C127" i="8"/>
  <c r="BJ128" i="1"/>
  <c r="F127" i="9"/>
  <c r="P127" i="7"/>
  <c r="Y127" i="2" l="1"/>
  <c r="X127" i="2" s="1"/>
  <c r="AB128" i="7" l="1"/>
  <c r="AJ128" i="7" s="1"/>
  <c r="AW128" i="8"/>
  <c r="H128" i="11"/>
  <c r="E128" i="2"/>
  <c r="L128" i="2" s="1"/>
  <c r="B128" i="8"/>
  <c r="D128" i="2" s="1"/>
  <c r="U128" i="2" s="1"/>
  <c r="W127" i="2" l="1"/>
  <c r="C128" i="2" l="1"/>
  <c r="S128" i="8" s="1"/>
  <c r="F128" i="2" l="1"/>
  <c r="AP128" i="1" s="1"/>
  <c r="I128" i="2"/>
  <c r="AA128" i="1" s="1"/>
  <c r="S128" i="1" s="1"/>
  <c r="H129" i="1" s="1"/>
  <c r="F128" i="1"/>
  <c r="H128" i="2"/>
  <c r="AC129" i="7" l="1"/>
  <c r="V129" i="10"/>
  <c r="C129" i="11"/>
  <c r="AQ129" i="8"/>
  <c r="AK129" i="5"/>
  <c r="BI129" i="1"/>
  <c r="V128" i="8"/>
  <c r="T128" i="8"/>
  <c r="W128" i="8" s="1"/>
  <c r="J128" i="11"/>
  <c r="T128" i="1"/>
  <c r="I129" i="1" s="1"/>
  <c r="AO129" i="1" s="1"/>
  <c r="G128" i="2"/>
  <c r="Z128" i="2" s="1"/>
  <c r="I128" i="11"/>
  <c r="O128" i="7"/>
  <c r="AA129" i="8" l="1"/>
  <c r="BJ129" i="1"/>
  <c r="C128" i="8"/>
  <c r="P128" i="7"/>
  <c r="F128" i="9"/>
  <c r="Y128" i="2" l="1"/>
  <c r="X128" i="2" s="1"/>
  <c r="H129" i="11" l="1"/>
  <c r="AB129" i="7"/>
  <c r="AJ129" i="7" s="1"/>
  <c r="AW129" i="8"/>
  <c r="E129" i="2"/>
  <c r="L129" i="2" s="1"/>
  <c r="B129" i="8"/>
  <c r="D129" i="2" s="1"/>
  <c r="U129" i="2" l="1"/>
  <c r="W128" i="2" s="1"/>
  <c r="C129" i="2" l="1"/>
  <c r="S129" i="8" s="1"/>
  <c r="I129" i="2" l="1"/>
  <c r="AA129" i="1" s="1"/>
  <c r="S129" i="1" s="1"/>
  <c r="H130" i="1" s="1"/>
  <c r="F129" i="1"/>
  <c r="H129" i="2"/>
  <c r="F129" i="2"/>
  <c r="AP129" i="1" s="1"/>
  <c r="J129" i="11" l="1"/>
  <c r="T129" i="1"/>
  <c r="I130" i="1" s="1"/>
  <c r="AO130" i="1" s="1"/>
  <c r="G129" i="2"/>
  <c r="Z129" i="2" s="1"/>
  <c r="V129" i="8"/>
  <c r="T129" i="8"/>
  <c r="W129" i="8" s="1"/>
  <c r="AC130" i="7"/>
  <c r="V130" i="10"/>
  <c r="BI130" i="1"/>
  <c r="AK130" i="5"/>
  <c r="AQ130" i="8"/>
  <c r="C130" i="11"/>
  <c r="O129" i="7"/>
  <c r="I129" i="11"/>
  <c r="AA130" i="8" l="1"/>
  <c r="BJ130" i="1"/>
  <c r="C129" i="8"/>
  <c r="F129" i="9"/>
  <c r="P129" i="7"/>
  <c r="Y129" i="2" l="1"/>
  <c r="X129" i="2" s="1"/>
  <c r="E130" i="2" l="1"/>
  <c r="L130" i="2" s="1"/>
  <c r="H130" i="11"/>
  <c r="AW130" i="8"/>
  <c r="AB130" i="7"/>
  <c r="AJ130" i="7" s="1"/>
  <c r="B130" i="8"/>
  <c r="D130" i="2" s="1"/>
  <c r="U130" i="2" s="1"/>
  <c r="W129" i="2" l="1"/>
  <c r="C130" i="2" l="1"/>
  <c r="S130" i="8" s="1"/>
  <c r="I130" i="2" l="1"/>
  <c r="AA130" i="1" s="1"/>
  <c r="S130" i="1" s="1"/>
  <c r="H131" i="1" s="1"/>
  <c r="F130" i="2"/>
  <c r="AP130" i="1" s="1"/>
  <c r="H130" i="2"/>
  <c r="F130" i="1"/>
  <c r="V130" i="8" l="1"/>
  <c r="T130" i="8"/>
  <c r="W130" i="8" s="1"/>
  <c r="AC131" i="7"/>
  <c r="C131" i="11"/>
  <c r="BI131" i="1"/>
  <c r="AQ131" i="8"/>
  <c r="AK131" i="5"/>
  <c r="V131" i="10"/>
  <c r="T130" i="1"/>
  <c r="I131" i="1" s="1"/>
  <c r="AO131" i="1" s="1"/>
  <c r="J130" i="11"/>
  <c r="G130" i="2"/>
  <c r="Z130" i="2" s="1"/>
  <c r="O130" i="7"/>
  <c r="I130" i="11"/>
  <c r="AA131" i="8" l="1"/>
  <c r="F130" i="9"/>
  <c r="P130" i="7"/>
  <c r="C130" i="8"/>
  <c r="BJ131" i="1"/>
  <c r="Y130" i="2" l="1"/>
  <c r="X130" i="2" s="1"/>
  <c r="E131" i="2" l="1"/>
  <c r="L131" i="2" s="1"/>
  <c r="AW131" i="8"/>
  <c r="H131" i="11"/>
  <c r="AB131" i="7"/>
  <c r="AJ131" i="7" s="1"/>
  <c r="B131" i="8"/>
  <c r="D131" i="2" s="1"/>
  <c r="U131" i="2" l="1"/>
  <c r="W130" i="2" s="1"/>
  <c r="C131" i="2" l="1"/>
  <c r="S131" i="8" s="1"/>
  <c r="I131" i="2" l="1"/>
  <c r="AA131" i="1" s="1"/>
  <c r="S131" i="1" s="1"/>
  <c r="H132" i="1" s="1"/>
  <c r="F131" i="1"/>
  <c r="H131" i="2"/>
  <c r="F131" i="2"/>
  <c r="AP131" i="1" s="1"/>
  <c r="J131" i="11" l="1"/>
  <c r="T131" i="1"/>
  <c r="I132" i="1" s="1"/>
  <c r="AO132" i="1" s="1"/>
  <c r="G131" i="2"/>
  <c r="Z131" i="2" s="1"/>
  <c r="V131" i="8"/>
  <c r="T131" i="8"/>
  <c r="W131" i="8" s="1"/>
  <c r="BI132" i="1"/>
  <c r="AC132" i="7"/>
  <c r="V132" i="10"/>
  <c r="C132" i="11"/>
  <c r="AK132" i="5"/>
  <c r="AQ132" i="8"/>
  <c r="I131" i="11"/>
  <c r="O131" i="7"/>
  <c r="AA132" i="8" l="1"/>
  <c r="BJ132" i="1"/>
  <c r="C131" i="8"/>
  <c r="F131" i="9"/>
  <c r="P131" i="7"/>
  <c r="Y131" i="2" l="1"/>
  <c r="X131" i="2" s="1"/>
  <c r="AW132" i="8" l="1"/>
  <c r="AB132" i="7"/>
  <c r="AJ132" i="7" s="1"/>
  <c r="E132" i="2"/>
  <c r="L132" i="2" s="1"/>
  <c r="H132" i="11"/>
  <c r="B132" i="8"/>
  <c r="D132" i="2" s="1"/>
  <c r="U132" i="2" s="1"/>
  <c r="W131" i="2" l="1"/>
  <c r="C132" i="2" l="1"/>
  <c r="S132" i="8" s="1"/>
  <c r="I132" i="2" l="1"/>
  <c r="F132" i="2"/>
  <c r="AP132" i="1" s="1"/>
  <c r="F132" i="1"/>
  <c r="H132" i="2"/>
  <c r="V132" i="8" l="1"/>
  <c r="T132" i="8"/>
  <c r="W132" i="8" s="1"/>
  <c r="T132" i="1"/>
  <c r="I133" i="1" s="1"/>
  <c r="AO133" i="1" s="1"/>
  <c r="J132" i="11"/>
  <c r="G132" i="2"/>
  <c r="Z132" i="2" s="1"/>
  <c r="O132" i="7"/>
  <c r="I132" i="11"/>
  <c r="AA132" i="1"/>
  <c r="S132" i="1" s="1"/>
  <c r="H133" i="1" s="1"/>
  <c r="AA133" i="8" l="1"/>
  <c r="AC133" i="7"/>
  <c r="BI133" i="1"/>
  <c r="AK133" i="5"/>
  <c r="C133" i="11"/>
  <c r="V133" i="10"/>
  <c r="AQ133" i="8"/>
  <c r="C132" i="8"/>
  <c r="P132" i="7"/>
  <c r="F132" i="9"/>
  <c r="BJ133" i="1"/>
  <c r="Y132" i="2" l="1"/>
  <c r="X132" i="2" s="1"/>
  <c r="E133" i="2" l="1"/>
  <c r="L133" i="2" s="1"/>
  <c r="AB133" i="7"/>
  <c r="AJ133" i="7" s="1"/>
  <c r="H133" i="11"/>
  <c r="AW133" i="8"/>
  <c r="B133" i="8"/>
  <c r="D133" i="2" s="1"/>
  <c r="U133" i="2" l="1"/>
  <c r="W132" i="2" s="1"/>
  <c r="C133" i="2" l="1"/>
  <c r="S133" i="8" s="1"/>
  <c r="I133" i="2" l="1"/>
  <c r="AA133" i="1" s="1"/>
  <c r="S133" i="1" s="1"/>
  <c r="H134" i="1" s="1"/>
  <c r="F133" i="2"/>
  <c r="AP133" i="1" s="1"/>
  <c r="F133" i="1"/>
  <c r="H133" i="2"/>
  <c r="BI134" i="1" l="1"/>
  <c r="AQ134" i="8"/>
  <c r="V134" i="10"/>
  <c r="C134" i="11"/>
  <c r="AK134" i="5"/>
  <c r="AC134" i="7"/>
  <c r="J133" i="11"/>
  <c r="T133" i="1"/>
  <c r="I134" i="1" s="1"/>
  <c r="AO134" i="1" s="1"/>
  <c r="G133" i="2"/>
  <c r="Z133" i="2" s="1"/>
  <c r="V133" i="8"/>
  <c r="T133" i="8"/>
  <c r="W133" i="8" s="1"/>
  <c r="O133" i="7"/>
  <c r="I133" i="11"/>
  <c r="AA134" i="8" l="1"/>
  <c r="F133" i="9"/>
  <c r="P133" i="7"/>
  <c r="BJ134" i="1"/>
  <c r="C133" i="8"/>
  <c r="Y133" i="2" l="1"/>
  <c r="X133" i="2" s="1"/>
  <c r="E134" i="2" l="1"/>
  <c r="L134" i="2" s="1"/>
  <c r="AW134" i="8"/>
  <c r="H134" i="11"/>
  <c r="AB134" i="7"/>
  <c r="AJ134" i="7" s="1"/>
  <c r="B134" i="8"/>
  <c r="D134" i="2" s="1"/>
  <c r="U134" i="2" s="1"/>
  <c r="W133" i="2" l="1"/>
  <c r="C134" i="2" l="1"/>
  <c r="S134" i="8" s="1"/>
  <c r="H134" i="2" l="1"/>
  <c r="I134" i="2"/>
  <c r="F134" i="1"/>
  <c r="F134" i="2"/>
  <c r="AP134" i="1" s="1"/>
  <c r="T134" i="8" l="1"/>
  <c r="W134" i="8" s="1"/>
  <c r="V134" i="8"/>
  <c r="J134" i="11"/>
  <c r="T134" i="1"/>
  <c r="I135" i="1" s="1"/>
  <c r="AO135" i="1" s="1"/>
  <c r="G134" i="2"/>
  <c r="Z134" i="2" s="1"/>
  <c r="O134" i="7"/>
  <c r="I134" i="11"/>
  <c r="AA134" i="1"/>
  <c r="S134" i="1" s="1"/>
  <c r="H135" i="1" s="1"/>
  <c r="AA135" i="8" l="1"/>
  <c r="BJ135" i="1"/>
  <c r="C135" i="11"/>
  <c r="AC135" i="7"/>
  <c r="AK135" i="5"/>
  <c r="V135" i="10"/>
  <c r="AQ135" i="8"/>
  <c r="BI135" i="1"/>
  <c r="C134" i="8"/>
  <c r="P134" i="7"/>
  <c r="F134" i="9"/>
  <c r="Y134" i="2" l="1"/>
  <c r="X134" i="2" s="1"/>
  <c r="E135" i="2" l="1"/>
  <c r="L135" i="2" s="1"/>
  <c r="H135" i="11"/>
  <c r="AW135" i="8"/>
  <c r="AB135" i="7"/>
  <c r="AJ135" i="7" s="1"/>
  <c r="B135" i="8"/>
  <c r="D135" i="2" s="1"/>
  <c r="U135" i="2" s="1"/>
  <c r="W134" i="2" l="1"/>
  <c r="C135" i="2" l="1"/>
  <c r="S135" i="8" s="1"/>
  <c r="F135" i="2" l="1"/>
  <c r="AP135" i="1" s="1"/>
  <c r="I135" i="2"/>
  <c r="F135" i="1"/>
  <c r="H135" i="2"/>
  <c r="T135" i="8" l="1"/>
  <c r="W135" i="8" s="1"/>
  <c r="V135" i="8"/>
  <c r="O135" i="7"/>
  <c r="I135" i="11"/>
  <c r="AA135" i="1"/>
  <c r="S135" i="1" s="1"/>
  <c r="H136" i="1" s="1"/>
  <c r="T135" i="1"/>
  <c r="I136" i="1" s="1"/>
  <c r="AO136" i="1" s="1"/>
  <c r="J135" i="11"/>
  <c r="G135" i="2"/>
  <c r="Z135" i="2" s="1"/>
  <c r="AA136" i="8" l="1"/>
  <c r="C135" i="8"/>
  <c r="F135" i="9"/>
  <c r="P135" i="7"/>
  <c r="BJ136" i="1"/>
  <c r="V136" i="10"/>
  <c r="BI136" i="1"/>
  <c r="C136" i="11"/>
  <c r="AQ136" i="8"/>
  <c r="AK136" i="5"/>
  <c r="AC136" i="7"/>
  <c r="Y135" i="2" l="1"/>
  <c r="X135" i="2" s="1"/>
  <c r="E136" i="2" l="1"/>
  <c r="L136" i="2" s="1"/>
  <c r="AW136" i="8"/>
  <c r="AB136" i="7"/>
  <c r="AJ136" i="7" s="1"/>
  <c r="H136" i="11"/>
  <c r="B136" i="8"/>
  <c r="D136" i="2" s="1"/>
  <c r="U136" i="2" s="1"/>
  <c r="W135" i="2" l="1"/>
  <c r="C136" i="2" l="1"/>
  <c r="S136" i="8" s="1"/>
  <c r="F136" i="1" l="1"/>
  <c r="H136" i="2"/>
  <c r="I136" i="2"/>
  <c r="F136" i="2"/>
  <c r="AP136" i="1" s="1"/>
  <c r="O136" i="7" l="1"/>
  <c r="I136" i="11"/>
  <c r="AA136" i="1"/>
  <c r="S136" i="1" s="1"/>
  <c r="J136" i="11"/>
  <c r="T136" i="1"/>
  <c r="G136" i="2"/>
  <c r="Z136" i="2" s="1"/>
  <c r="T136" i="8"/>
  <c r="W136" i="8" s="1"/>
  <c r="V136" i="8"/>
  <c r="C136" i="8" l="1"/>
  <c r="P136" i="7"/>
  <c r="F136" i="9"/>
  <c r="Y136" i="2" l="1"/>
  <c r="X136" i="2" s="1"/>
  <c r="W136"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 Reign</author>
  </authors>
  <commentList>
    <comment ref="B18" authorId="0" shapeId="0" xr:uid="{00000000-0006-0000-0000-000002000000}">
      <text>
        <r>
          <rPr>
            <b/>
            <sz val="8"/>
            <color indexed="81"/>
            <rFont val="Tahoma"/>
            <family val="2"/>
          </rPr>
          <t>Only use this if you start after the round begins.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C3" authorId="0" shapeId="0" xr:uid="{00000000-0006-0000-0200-000001000000}">
      <text>
        <r>
          <rPr>
            <b/>
            <sz val="8"/>
            <color indexed="81"/>
            <rFont val="Tahoma"/>
            <family val="2"/>
          </rPr>
          <t>Taking these bonusses can only be done once per day before 11.59 PM SERVER TIME. But you can just cheat and take plat bonus every hour if you really want 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6" authorId="0" shapeId="0" xr:uid="{00000000-0006-0000-0400-000001000000}">
      <text>
        <r>
          <rPr>
            <b/>
            <sz val="8"/>
            <color indexed="81"/>
            <rFont val="Tahoma"/>
            <family val="2"/>
          </rPr>
          <t>Use this area to save values, in order to determine if a change you make results in better values. (Tip: You can make custom formula's to compare different stats)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L1" authorId="0" shapeId="0" xr:uid="{00000000-0006-0000-0600-000001000000}">
      <text>
        <r>
          <rPr>
            <b/>
            <sz val="8"/>
            <color indexed="81"/>
            <rFont val="Tahoma"/>
            <family val="2"/>
          </rPr>
          <t>see below for an example</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O1" authorId="0" shapeId="0" xr:uid="{00000000-0006-0000-0900-000001000000}">
      <text>
        <r>
          <rPr>
            <b/>
            <sz val="8"/>
            <color indexed="81"/>
            <rFont val="Tahoma"/>
            <family val="2"/>
          </rPr>
          <t>Note: In the Resource column, type the resource which you want to invest In the Part column, type which castle part you want to improve. Make sure your spelling is correct.</t>
        </r>
      </text>
    </comment>
    <comment ref="M3" authorId="0" shapeId="0" xr:uid="{00000000-0006-0000-0900-000002000000}">
      <text>
        <r>
          <rPr>
            <sz val="8"/>
            <color indexed="81"/>
            <rFont val="Tahoma"/>
            <family val="2"/>
          </rPr>
          <t xml:space="preserve">"1" means you have to login "0" means you can sleep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Yami</author>
    <author xml:space="preserve"> </author>
  </authors>
  <commentList>
    <comment ref="P16" authorId="0" shapeId="0" xr:uid="{00000000-0006-0000-0A00-000001000000}">
      <text>
        <r>
          <rPr>
            <b/>
            <sz val="9"/>
            <color indexed="81"/>
            <rFont val="Tahoma"/>
            <family val="2"/>
          </rPr>
          <t>Remember that all hours prior to Hour 1 display Hour 1 login information</t>
        </r>
      </text>
    </comment>
    <comment ref="I28" authorId="1" shapeId="0" xr:uid="{00000000-0006-0000-0A00-000002000000}">
      <text>
        <r>
          <rPr>
            <b/>
            <sz val="10"/>
            <color indexed="81"/>
            <rFont val="Tahoma"/>
            <family val="2"/>
          </rPr>
          <t>Leave blank or enter 72 for the OOP hour. Enter any other number between 0 and 132 to see that hour's Clearsight and Survey.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Blackreign</author>
  </authors>
  <commentList>
    <comment ref="I4" authorId="0" shapeId="0" xr:uid="{00000000-0006-0000-0C00-000001000000}">
      <text>
        <r>
          <rPr>
            <b/>
            <sz val="8"/>
            <color indexed="81"/>
            <rFont val="Tahoma"/>
            <family val="2"/>
          </rPr>
          <t>Don't think they are accurate anymore</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Timmer</author>
  </authors>
  <commentList>
    <comment ref="B3" authorId="0" shapeId="0" xr:uid="{00000000-0006-0000-0D00-000001000000}">
      <text>
        <r>
          <rPr>
            <b/>
            <sz val="8"/>
            <color indexed="81"/>
            <rFont val="Tahoma"/>
            <family val="2"/>
          </rPr>
          <t>works less accurate as size increases</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<sst xmlns="http://schemas.openxmlformats.org/spreadsheetml/2006/main" count="3095" uniqueCount="1166">
  <si>
    <t>Hour</t>
  </si>
  <si>
    <t>Land</t>
  </si>
  <si>
    <t>Platinum</t>
  </si>
  <si>
    <t>Ore</t>
  </si>
  <si>
    <t>Gems</t>
  </si>
  <si>
    <t>Food</t>
  </si>
  <si>
    <t>Plat/hr</t>
  </si>
  <si>
    <t>Lumber</t>
  </si>
  <si>
    <t>Lumber/hr</t>
  </si>
  <si>
    <t>Food/hr</t>
  </si>
  <si>
    <t>Ore/hr</t>
  </si>
  <si>
    <t>Gems/hr</t>
  </si>
  <si>
    <t>Mana</t>
  </si>
  <si>
    <t>Mana/hr</t>
  </si>
  <si>
    <t>Food decay</t>
  </si>
  <si>
    <t>Mana drain</t>
  </si>
  <si>
    <t>Lumber rot</t>
  </si>
  <si>
    <t>Status</t>
  </si>
  <si>
    <t>Changes</t>
  </si>
  <si>
    <t>Factors</t>
  </si>
  <si>
    <t>Food eaten</t>
  </si>
  <si>
    <t>Peasants</t>
  </si>
  <si>
    <t>Military</t>
  </si>
  <si>
    <t>Population</t>
  </si>
  <si>
    <t>Draftees</t>
  </si>
  <si>
    <t>Spies</t>
  </si>
  <si>
    <t>Wizards</t>
  </si>
  <si>
    <t>Archmages</t>
  </si>
  <si>
    <t>Race</t>
  </si>
  <si>
    <t>Troll</t>
  </si>
  <si>
    <t>Evil</t>
  </si>
  <si>
    <t>Offense</t>
  </si>
  <si>
    <t>Defense</t>
  </si>
  <si>
    <t>Cost</t>
  </si>
  <si>
    <t>Name</t>
  </si>
  <si>
    <t>Alignment</t>
  </si>
  <si>
    <t>Identification</t>
  </si>
  <si>
    <t>Bonuses</t>
  </si>
  <si>
    <t>Military Units</t>
  </si>
  <si>
    <t>Brute</t>
  </si>
  <si>
    <t>Ogre</t>
  </si>
  <si>
    <t>Basher</t>
  </si>
  <si>
    <t>Smasher</t>
  </si>
  <si>
    <t>Production Constants</t>
  </si>
  <si>
    <t>Alchemy</t>
  </si>
  <si>
    <t>Lumberyard</t>
  </si>
  <si>
    <t>Dock</t>
  </si>
  <si>
    <t>Oremine</t>
  </si>
  <si>
    <t>Diamondmine</t>
  </si>
  <si>
    <t>Building</t>
  </si>
  <si>
    <t>Boats/hr</t>
  </si>
  <si>
    <t>Farm</t>
  </si>
  <si>
    <t>Tower</t>
  </si>
  <si>
    <t>Buildings</t>
  </si>
  <si>
    <t>Barren</t>
  </si>
  <si>
    <t>Plains</t>
  </si>
  <si>
    <t>Construct</t>
  </si>
  <si>
    <t>Plat/acre</t>
  </si>
  <si>
    <t>Forest</t>
  </si>
  <si>
    <t>Hills</t>
  </si>
  <si>
    <t>Swamp</t>
  </si>
  <si>
    <t>Caverns</t>
  </si>
  <si>
    <t>Water</t>
  </si>
  <si>
    <t>Ly</t>
  </si>
  <si>
    <t>OM</t>
  </si>
  <si>
    <t>GN</t>
  </si>
  <si>
    <t>Fac</t>
  </si>
  <si>
    <t>GT</t>
  </si>
  <si>
    <t>Mas</t>
  </si>
  <si>
    <t>Smi</t>
  </si>
  <si>
    <t>Far</t>
  </si>
  <si>
    <t>Alc</t>
  </si>
  <si>
    <t>Hom</t>
  </si>
  <si>
    <t>Spy</t>
  </si>
  <si>
    <t>Tow</t>
  </si>
  <si>
    <t>DM</t>
  </si>
  <si>
    <t>Doc</t>
  </si>
  <si>
    <t>Resources</t>
  </si>
  <si>
    <t>Starting Resources</t>
  </si>
  <si>
    <t>Starting Barren Land</t>
  </si>
  <si>
    <t>Starting Buildings</t>
  </si>
  <si>
    <t xml:space="preserve">Lumber  </t>
  </si>
  <si>
    <t>Boats</t>
  </si>
  <si>
    <t>Starting Population</t>
  </si>
  <si>
    <t>Destroy</t>
  </si>
  <si>
    <t>Raw production</t>
  </si>
  <si>
    <t>Growth Factors</t>
  </si>
  <si>
    <t>Food Consumption</t>
  </si>
  <si>
    <t>Food/person</t>
  </si>
  <si>
    <t>Human</t>
  </si>
  <si>
    <t>Nomad</t>
  </si>
  <si>
    <t>Dwarf</t>
  </si>
  <si>
    <t>Wood Elf</t>
  </si>
  <si>
    <t>Halfling</t>
  </si>
  <si>
    <t>Gnome</t>
  </si>
  <si>
    <t>Merfolk</t>
  </si>
  <si>
    <t>Sylvan</t>
  </si>
  <si>
    <t>Goblin</t>
  </si>
  <si>
    <t>Good</t>
  </si>
  <si>
    <t>Dark Elf</t>
  </si>
  <si>
    <t>Undead</t>
  </si>
  <si>
    <t>Spirit</t>
  </si>
  <si>
    <t>Lycanthrope</t>
  </si>
  <si>
    <t>Kobold</t>
  </si>
  <si>
    <t>Lizardfolk</t>
  </si>
  <si>
    <t>Pop growth</t>
  </si>
  <si>
    <t>Plat prod</t>
  </si>
  <si>
    <t>Food prod</t>
  </si>
  <si>
    <t>Lumber prod</t>
  </si>
  <si>
    <t>Mana prod</t>
  </si>
  <si>
    <t>Ore prod</t>
  </si>
  <si>
    <t>Gem prod</t>
  </si>
  <si>
    <t>Food cons</t>
  </si>
  <si>
    <t>Spearman</t>
  </si>
  <si>
    <t>Archer</t>
  </si>
  <si>
    <t>Knight</t>
  </si>
  <si>
    <t>Cavalry</t>
  </si>
  <si>
    <t>Crossbowman</t>
  </si>
  <si>
    <t>Blademaster</t>
  </si>
  <si>
    <t>Soldier</t>
  </si>
  <si>
    <t>Miner</t>
  </si>
  <si>
    <t>Cleric</t>
  </si>
  <si>
    <t>Warrior</t>
  </si>
  <si>
    <t>Ranger</t>
  </si>
  <si>
    <t>Mystic</t>
  </si>
  <si>
    <t>Druid</t>
  </si>
  <si>
    <t>Slinger</t>
  </si>
  <si>
    <t>Defender</t>
  </si>
  <si>
    <t>Staff Master</t>
  </si>
  <si>
    <t>Master Thief</t>
  </si>
  <si>
    <t>Suicide Squad</t>
  </si>
  <si>
    <t>Tinker</t>
  </si>
  <si>
    <t>Rockapult</t>
  </si>
  <si>
    <t>Juggernaut</t>
  </si>
  <si>
    <t>Kraken</t>
  </si>
  <si>
    <t>Sirens</t>
  </si>
  <si>
    <t>Leviathan</t>
  </si>
  <si>
    <t>Satyr</t>
  </si>
  <si>
    <t>Sprite</t>
  </si>
  <si>
    <t>Dryad</t>
  </si>
  <si>
    <t>Centaur</t>
  </si>
  <si>
    <t>Raider</t>
  </si>
  <si>
    <t>Shaman</t>
  </si>
  <si>
    <t>Orc</t>
  </si>
  <si>
    <t>Wolf Rider</t>
  </si>
  <si>
    <t>Swordsman</t>
  </si>
  <si>
    <t>Gargoyle</t>
  </si>
  <si>
    <t>Adept</t>
  </si>
  <si>
    <t>Spirit Warrior</t>
  </si>
  <si>
    <t>Banshee</t>
  </si>
  <si>
    <t>Scavenger</t>
  </si>
  <si>
    <t>Ratman</t>
  </si>
  <si>
    <t>Werewolf</t>
  </si>
  <si>
    <t>Garou</t>
  </si>
  <si>
    <t>Underling</t>
  </si>
  <si>
    <t>Overlord</t>
  </si>
  <si>
    <t>Reptile</t>
  </si>
  <si>
    <t>Serpent</t>
  </si>
  <si>
    <t>Chameleon</t>
  </si>
  <si>
    <t>Lizardman</t>
  </si>
  <si>
    <t>Platinum prod</t>
  </si>
  <si>
    <t>Spy strength</t>
  </si>
  <si>
    <t>Wizard strength</t>
  </si>
  <si>
    <t>Max population</t>
  </si>
  <si>
    <t>Production Bonuses</t>
  </si>
  <si>
    <t>Tax</t>
  </si>
  <si>
    <t>Plat/person</t>
  </si>
  <si>
    <t>Growth</t>
  </si>
  <si>
    <t>Housing</t>
  </si>
  <si>
    <t>Non-Home</t>
  </si>
  <si>
    <t>Home</t>
  </si>
  <si>
    <t>Max pop</t>
  </si>
  <si>
    <t>Population bonuses</t>
  </si>
  <si>
    <t>Net Peasant</t>
  </si>
  <si>
    <t>Raw max</t>
  </si>
  <si>
    <t>Explore</t>
  </si>
  <si>
    <t>Mountains</t>
  </si>
  <si>
    <t>Draftees/acre</t>
  </si>
  <si>
    <t>Draftrate</t>
  </si>
  <si>
    <t>Set</t>
  </si>
  <si>
    <t>Train</t>
  </si>
  <si>
    <t>Wizard</t>
  </si>
  <si>
    <t>Archmage</t>
  </si>
  <si>
    <t>Smithies</t>
  </si>
  <si>
    <t>Expenses</t>
  </si>
  <si>
    <t>Release</t>
  </si>
  <si>
    <t>Total</t>
  </si>
  <si>
    <t>Military%</t>
  </si>
  <si>
    <t>Raw</t>
  </si>
  <si>
    <t>Facs</t>
  </si>
  <si>
    <t>Rezone</t>
  </si>
  <si>
    <t>RawCost</t>
  </si>
  <si>
    <t>Recources</t>
  </si>
  <si>
    <t>Ok?</t>
  </si>
  <si>
    <t>Wiz str</t>
  </si>
  <si>
    <t>Cast</t>
  </si>
  <si>
    <t>Gaia's Watch</t>
  </si>
  <si>
    <t>Mining Strength</t>
  </si>
  <si>
    <t>Ares Call</t>
  </si>
  <si>
    <t>Midas Touch</t>
  </si>
  <si>
    <t>Harmony</t>
  </si>
  <si>
    <t>Spell</t>
  </si>
  <si>
    <t>* Landsize</t>
  </si>
  <si>
    <t>Ares' Call</t>
  </si>
  <si>
    <t>Midas' Touch</t>
  </si>
  <si>
    <t>Active Spells</t>
  </si>
  <si>
    <t>Bonus</t>
  </si>
  <si>
    <t>Popgrowth</t>
  </si>
  <si>
    <t>Science</t>
  </si>
  <si>
    <t>Invested points</t>
  </si>
  <si>
    <t>Keep</t>
  </si>
  <si>
    <t>Towers</t>
  </si>
  <si>
    <t>Forges</t>
  </si>
  <si>
    <t>Walls</t>
  </si>
  <si>
    <t>Irrigation</t>
  </si>
  <si>
    <t>Invest</t>
  </si>
  <si>
    <t>Amount</t>
  </si>
  <si>
    <t>Investing</t>
  </si>
  <si>
    <t>Points to Science</t>
  </si>
  <si>
    <t>Points to Keep</t>
  </si>
  <si>
    <t>Points to Towers</t>
  </si>
  <si>
    <t>Points to Forges</t>
  </si>
  <si>
    <t>Points to Walls</t>
  </si>
  <si>
    <t>Points to Irrigation</t>
  </si>
  <si>
    <t>Employed</t>
  </si>
  <si>
    <t>Raw Birth</t>
  </si>
  <si>
    <t>Net max</t>
  </si>
  <si>
    <t>Modded</t>
  </si>
  <si>
    <t>Take</t>
  </si>
  <si>
    <t>OOP</t>
  </si>
  <si>
    <t>Networth</t>
  </si>
  <si>
    <t>WG's</t>
  </si>
  <si>
    <t>Modded Birth</t>
  </si>
  <si>
    <t>Waves</t>
  </si>
  <si>
    <t>Grabs</t>
  </si>
  <si>
    <t>Opponent</t>
  </si>
  <si>
    <t>Grab%</t>
  </si>
  <si>
    <t>Land Gain</t>
  </si>
  <si>
    <t>Min. networth*</t>
  </si>
  <si>
    <t>Troops</t>
  </si>
  <si>
    <t>estimation of</t>
  </si>
  <si>
    <t>land grabs</t>
  </si>
  <si>
    <t>Cavern</t>
  </si>
  <si>
    <t>Plain</t>
  </si>
  <si>
    <t>Hill</t>
  </si>
  <si>
    <t>Mountain</t>
  </si>
  <si>
    <t>(Replaces Mining Strength)</t>
  </si>
  <si>
    <t>Net production</t>
  </si>
  <si>
    <t>+ 1 wizard</t>
  </si>
  <si>
    <t>OPA</t>
  </si>
  <si>
    <t>DPA</t>
  </si>
  <si>
    <t>SPA</t>
  </si>
  <si>
    <t>Acres</t>
  </si>
  <si>
    <t>WPA</t>
  </si>
  <si>
    <t>Ratios</t>
  </si>
  <si>
    <t>Type</t>
  </si>
  <si>
    <t>Stats</t>
  </si>
  <si>
    <t>Home Land</t>
  </si>
  <si>
    <t>(Replaces Ares' Call)</t>
  </si>
  <si>
    <t>Plat/acre*</t>
  </si>
  <si>
    <t>Warsong (Sylvan)</t>
  </si>
  <si>
    <t>Frenzy (Halfling)</t>
  </si>
  <si>
    <t>Miner's Sight</t>
  </si>
  <si>
    <t>Employment</t>
  </si>
  <si>
    <t>OP</t>
  </si>
  <si>
    <t>DP</t>
  </si>
  <si>
    <t>Boats will carry</t>
  </si>
  <si>
    <t>Carry</t>
  </si>
  <si>
    <t>peasants</t>
  </si>
  <si>
    <t>Barren*</t>
  </si>
  <si>
    <t>*Note: Barren Land for Halflings, Dwarves, Goblins, Kobolds and Gnomes house 10 people, while the other race's Barren Land house only 5.</t>
  </si>
  <si>
    <t>Manacost</t>
  </si>
  <si>
    <t>Drafees</t>
  </si>
  <si>
    <t>incoming land</t>
  </si>
  <si>
    <t>incoming buildings</t>
  </si>
  <si>
    <t>Plat Expense</t>
  </si>
  <si>
    <t>Category</t>
  </si>
  <si>
    <t>Construction</t>
  </si>
  <si>
    <t>Exploration</t>
  </si>
  <si>
    <t>Improvements</t>
  </si>
  <si>
    <t>Info</t>
  </si>
  <si>
    <t>Races</t>
  </si>
  <si>
    <t>EG Range</t>
  </si>
  <si>
    <t>RG Range</t>
  </si>
  <si>
    <t>Attacker</t>
  </si>
  <si>
    <t>Target</t>
  </si>
  <si>
    <t>Special Bonuses</t>
  </si>
  <si>
    <t>Land related</t>
  </si>
  <si>
    <t>Unit related</t>
  </si>
  <si>
    <t>race</t>
  </si>
  <si>
    <t>unit</t>
  </si>
  <si>
    <t>defense</t>
  </si>
  <si>
    <t>offense</t>
  </si>
  <si>
    <t>Total Land (ex homes)</t>
  </si>
  <si>
    <t>Homes</t>
  </si>
  <si>
    <t>WG</t>
  </si>
  <si>
    <t>Special race bonuses</t>
  </si>
  <si>
    <t>Gaia's Blessing</t>
  </si>
  <si>
    <t>Explore Draftee Cost</t>
  </si>
  <si>
    <t>Some stats to keep track of</t>
  </si>
  <si>
    <t>Total acres</t>
  </si>
  <si>
    <t>Max Acres</t>
  </si>
  <si>
    <t>Rezone*</t>
  </si>
  <si>
    <t>Rezones 10 acres of mountain into forest</t>
  </si>
  <si>
    <t>*e.g.:</t>
  </si>
  <si>
    <t>Login</t>
  </si>
  <si>
    <t>Logins</t>
  </si>
  <si>
    <t>algorithm</t>
  </si>
  <si>
    <t>Servertime</t>
  </si>
  <si>
    <t>Time</t>
  </si>
  <si>
    <t>Special bonus networth</t>
  </si>
  <si>
    <t>Jobs</t>
  </si>
  <si>
    <t>Resource</t>
  </si>
  <si>
    <t>Part</t>
  </si>
  <si>
    <t>Current Hour</t>
  </si>
  <si>
    <t>Time:</t>
  </si>
  <si>
    <t>Login?</t>
  </si>
  <si>
    <t>Unit Names</t>
  </si>
  <si>
    <t>TimeZone</t>
  </si>
  <si>
    <t>Today</t>
  </si>
  <si>
    <t>Plat Bonus</t>
  </si>
  <si>
    <t>Date&amp;Time</t>
  </si>
  <si>
    <t>Hour 1:</t>
  </si>
  <si>
    <t>Pop</t>
  </si>
  <si>
    <t>Guard</t>
  </si>
  <si>
    <t>Set Guard</t>
  </si>
  <si>
    <t>Beasts</t>
  </si>
  <si>
    <t>Overlords</t>
  </si>
  <si>
    <t>Icekin</t>
  </si>
  <si>
    <t>Ice Beast</t>
  </si>
  <si>
    <t>Snow Witch</t>
  </si>
  <si>
    <t>Frost Mage</t>
  </si>
  <si>
    <t>Ice Elemental</t>
  </si>
  <si>
    <t>Blizzard</t>
  </si>
  <si>
    <t>Howling</t>
  </si>
  <si>
    <t>(replaces Ares' Call)</t>
  </si>
  <si>
    <t>Fire Spirit</t>
  </si>
  <si>
    <t>Flamewolf</t>
  </si>
  <si>
    <t>Phoenix</t>
  </si>
  <si>
    <t>Salamander</t>
  </si>
  <si>
    <t>Alchemists Flame</t>
  </si>
  <si>
    <t>platinum per alchemy</t>
  </si>
  <si>
    <t>Firewalker</t>
  </si>
  <si>
    <t>Barracks</t>
  </si>
  <si>
    <t>troops</t>
  </si>
  <si>
    <t>(don’t count as raw pop but as modded pop)</t>
  </si>
  <si>
    <t>Hav</t>
  </si>
  <si>
    <t>Forest Haven</t>
  </si>
  <si>
    <t>Bar</t>
  </si>
  <si>
    <t>Tem</t>
  </si>
  <si>
    <t>Prestige</t>
  </si>
  <si>
    <t>Shr</t>
  </si>
  <si>
    <t>FH's</t>
  </si>
  <si>
    <t xml:space="preserve"> </t>
  </si>
  <si>
    <t>Hobgoblin</t>
  </si>
  <si>
    <t>Savage</t>
  </si>
  <si>
    <t>Bone Breaker</t>
  </si>
  <si>
    <t>barren</t>
  </si>
  <si>
    <t>incoming</t>
  </si>
  <si>
    <t>waves:</t>
  </si>
  <si>
    <t>Sylvan / Goblin / Orc</t>
  </si>
  <si>
    <t>time</t>
  </si>
  <si>
    <t>Popul.</t>
  </si>
  <si>
    <t>Employm.</t>
  </si>
  <si>
    <t>Draftees 61</t>
  </si>
  <si>
    <t>acres OOP</t>
  </si>
  <si>
    <t>Income OOP</t>
  </si>
  <si>
    <t>Plat 63</t>
  </si>
  <si>
    <t>Old:</t>
  </si>
  <si>
    <t>Sch</t>
  </si>
  <si>
    <t>Techpoints</t>
  </si>
  <si>
    <t>Required</t>
  </si>
  <si>
    <t>Rough</t>
  </si>
  <si>
    <t>Voodoo Magi</t>
  </si>
  <si>
    <t>Number of Logins</t>
  </si>
  <si>
    <t>OOP Results</t>
  </si>
  <si>
    <t>Haven dp</t>
  </si>
  <si>
    <t>Homeland:</t>
  </si>
  <si>
    <t>Alignment:</t>
  </si>
  <si>
    <t>old info</t>
  </si>
  <si>
    <t>actual info</t>
  </si>
  <si>
    <t>Relative</t>
  </si>
  <si>
    <t>Without Training</t>
  </si>
  <si>
    <t>Production</t>
  </si>
  <si>
    <t>Master of Frugality</t>
  </si>
  <si>
    <t>Fruits of Labor</t>
  </si>
  <si>
    <t>Urban Mastery</t>
  </si>
  <si>
    <t>Treasure Hunt</t>
  </si>
  <si>
    <t>Conqueror's Crafts</t>
  </si>
  <si>
    <t>Enchanted Lands</t>
  </si>
  <si>
    <t>Tactical Battle</t>
  </si>
  <si>
    <t>Magical Weaponry</t>
  </si>
  <si>
    <t>Dark Artistry</t>
  </si>
  <si>
    <t>Techs</t>
  </si>
  <si>
    <t>food</t>
  </si>
  <si>
    <t>gems</t>
  </si>
  <si>
    <t>plat</t>
  </si>
  <si>
    <t>explore cost</t>
  </si>
  <si>
    <t>drafteecost</t>
  </si>
  <si>
    <t>construction cost</t>
  </si>
  <si>
    <t>rezoning cost</t>
  </si>
  <si>
    <t>population</t>
  </si>
  <si>
    <t>offensive casualties</t>
  </si>
  <si>
    <t>defensive casualties</t>
  </si>
  <si>
    <t>spylosses</t>
  </si>
  <si>
    <t>spycost</t>
  </si>
  <si>
    <t>spystr regen</t>
  </si>
  <si>
    <t>manacost</t>
  </si>
  <si>
    <t>wizard cost</t>
  </si>
  <si>
    <t>wizardstr regen</t>
  </si>
  <si>
    <t>training costs</t>
  </si>
  <si>
    <t>lumber/ore</t>
  </si>
  <si>
    <t>constr/rez cost</t>
  </si>
  <si>
    <t>mana</t>
  </si>
  <si>
    <t>casulaties</t>
  </si>
  <si>
    <t>wizardstr</t>
  </si>
  <si>
    <t>regen</t>
  </si>
  <si>
    <t>Forest Havens</t>
  </si>
  <si>
    <t>Draftee dp</t>
  </si>
  <si>
    <t>National Bank</t>
  </si>
  <si>
    <t>Imp</t>
  </si>
  <si>
    <t>Fiend</t>
  </si>
  <si>
    <t>Nightshade</t>
  </si>
  <si>
    <t>Lich</t>
  </si>
  <si>
    <t>Nightfall</t>
  </si>
  <si>
    <t>Issues:</t>
  </si>
  <si>
    <t>Assumptions:</t>
  </si>
  <si>
    <t>The explore cost function assumes you first explore, then take daily land bonus, when applicable.</t>
  </si>
  <si>
    <t>land</t>
  </si>
  <si>
    <t>spies</t>
  </si>
  <si>
    <t>dp mods</t>
  </si>
  <si>
    <t>number</t>
  </si>
  <si>
    <t>nw</t>
  </si>
  <si>
    <t>dp</t>
  </si>
  <si>
    <t>New:</t>
  </si>
  <si>
    <t>max</t>
  </si>
  <si>
    <t>% cost red</t>
  </si>
  <si>
    <t>Invest bonus</t>
  </si>
  <si>
    <t>*Min. networth = all land built, no military.</t>
  </si>
  <si>
    <t>Late dom creation: +resources per day</t>
  </si>
  <si>
    <t>def specs</t>
  </si>
  <si>
    <t>draftees</t>
  </si>
  <si>
    <t>opmods</t>
  </si>
  <si>
    <t>spy+wiz</t>
  </si>
  <si>
    <t>op</t>
  </si>
  <si>
    <t>Also, the sim assumes you dont cheat. That is: take platbonus twice a day, expend more plat than you have, etc.</t>
  </si>
  <si>
    <t>Start of the round</t>
  </si>
  <si>
    <t>The sim assumes your construction minus 20 land occurs before you take the landbonus.</t>
  </si>
  <si>
    <t>Getting started</t>
  </si>
  <si>
    <t>Welcome</t>
  </si>
  <si>
    <t>Destroying factories and building the acres the same hour does not use the right cost. It assumes old factory percentage for construction, people may want to destroy and rebuild them a few at a time.</t>
  </si>
  <si>
    <t>Masonries</t>
  </si>
  <si>
    <t>Factories</t>
  </si>
  <si>
    <t>% building red</t>
  </si>
  <si>
    <t>% rezone red</t>
  </si>
  <si>
    <t>Imps</t>
  </si>
  <si>
    <t>Maxima</t>
  </si>
  <si>
    <t>Walls/Forges</t>
  </si>
  <si>
    <t>Irrigation/Towers</t>
  </si>
  <si>
    <t>Modifier</t>
  </si>
  <si>
    <t>Variable Unit Powers</t>
  </si>
  <si>
    <t>Frostmage</t>
  </si>
  <si>
    <t>Max</t>
  </si>
  <si>
    <t>* raw WPA</t>
  </si>
  <si>
    <t>* prestige</t>
  </si>
  <si>
    <t>1 /</t>
  </si>
  <si>
    <t>forest</t>
  </si>
  <si>
    <t>mountain</t>
  </si>
  <si>
    <t>Minimum Cost</t>
  </si>
  <si>
    <t>per acre</t>
  </si>
  <si>
    <t>Log Hour:</t>
  </si>
  <si>
    <t>Draft</t>
  </si>
  <si>
    <t>Raw Defense</t>
  </si>
  <si>
    <t>Mod Defense</t>
  </si>
  <si>
    <t>Non Draft</t>
  </si>
  <si>
    <t>Wizard Guilds</t>
  </si>
  <si>
    <t>WGs</t>
  </si>
  <si>
    <t>additional</t>
  </si>
  <si>
    <t>Non-HomeRax</t>
  </si>
  <si>
    <t>FHs</t>
  </si>
  <si>
    <t>DP per peas</t>
  </si>
  <si>
    <t>% spy cost red</t>
  </si>
  <si>
    <t>% wiz cost red</t>
  </si>
  <si>
    <t>% spell cost red</t>
  </si>
  <si>
    <t>% imp bonus</t>
  </si>
  <si>
    <t>Race Bonuses</t>
  </si>
  <si>
    <t>Rezone Cost</t>
  </si>
  <si>
    <t>Construction Cost</t>
  </si>
  <si>
    <t>Troop Costs</t>
  </si>
  <si>
    <t>OP Plat</t>
  </si>
  <si>
    <t>OP Ore</t>
  </si>
  <si>
    <t>DP Plat</t>
  </si>
  <si>
    <t>DP Ore</t>
  </si>
  <si>
    <t>E1 Plat</t>
  </si>
  <si>
    <t>E1 Ore</t>
  </si>
  <si>
    <t>E2 Plat</t>
  </si>
  <si>
    <t>E2 Ore</t>
  </si>
  <si>
    <t>swamp</t>
  </si>
  <si>
    <t>Nox</t>
  </si>
  <si>
    <t>Starting days late</t>
  </si>
  <si>
    <t>Other</t>
  </si>
  <si>
    <t>Useless spell</t>
  </si>
  <si>
    <t>Start prestige</t>
  </si>
  <si>
    <t>food bonus</t>
  </si>
  <si>
    <t>pop multiplier</t>
  </si>
  <si>
    <t>offense bonus</t>
  </si>
  <si>
    <t>parameter</t>
  </si>
  <si>
    <t>Wg</t>
  </si>
  <si>
    <t>Land-DB</t>
  </si>
  <si>
    <t>% dp bonus</t>
  </si>
  <si>
    <t>% op bonus</t>
  </si>
  <si>
    <t>Raw cost per acre</t>
  </si>
  <si>
    <t>Total Cost</t>
  </si>
  <si>
    <t>-DB</t>
  </si>
  <si>
    <t>Cost per acre -DB</t>
  </si>
  <si>
    <t>Cost per acre DB</t>
  </si>
  <si>
    <t>DB</t>
  </si>
  <si>
    <t>build -db</t>
  </si>
  <si>
    <t>build db</t>
  </si>
  <si>
    <t>base</t>
  </si>
  <si>
    <t>elite1 op</t>
  </si>
  <si>
    <t>elite1 dp</t>
  </si>
  <si>
    <t>elite2 dp</t>
  </si>
  <si>
    <t>elite2 op</t>
  </si>
  <si>
    <t>Research</t>
  </si>
  <si>
    <t>(0=UTC)</t>
  </si>
  <si>
    <t>Harbor</t>
  </si>
  <si>
    <t>Mechanical Genius</t>
  </si>
  <si>
    <t>Miner's Sight (Dwarf)</t>
  </si>
  <si>
    <t>Mechanical Genius (Gnome)</t>
  </si>
  <si>
    <t>Rezone cost reduction</t>
  </si>
  <si>
    <t>New Food Production</t>
  </si>
  <si>
    <t>Farms</t>
  </si>
  <si>
    <t>Docks</t>
  </si>
  <si>
    <t>ForestHaven</t>
  </si>
  <si>
    <t>Dwarf/Gnome</t>
  </si>
  <si>
    <t>1-1</t>
  </si>
  <si>
    <t>+2.5% food production</t>
  </si>
  <si>
    <t>1-2</t>
  </si>
  <si>
    <t>1-3</t>
  </si>
  <si>
    <t>+5% lumber production</t>
  </si>
  <si>
    <t>1-4</t>
  </si>
  <si>
    <t>+7.5% food production, -7.5% fireball damage</t>
  </si>
  <si>
    <t>1-5</t>
  </si>
  <si>
    <t>1-6</t>
  </si>
  <si>
    <t>1-7</t>
  </si>
  <si>
    <t>1-8</t>
  </si>
  <si>
    <t>1-9</t>
  </si>
  <si>
    <t>-2.5% food consumption</t>
  </si>
  <si>
    <t>1-10</t>
  </si>
  <si>
    <t>-10% spell cost</t>
  </si>
  <si>
    <t>1-11</t>
  </si>
  <si>
    <t>2-1</t>
  </si>
  <si>
    <t>2-2</t>
  </si>
  <si>
    <t>2-3</t>
  </si>
  <si>
    <t>-5% construction platinum cost</t>
  </si>
  <si>
    <t>2-4</t>
  </si>
  <si>
    <t>2-5</t>
  </si>
  <si>
    <t>2-6</t>
  </si>
  <si>
    <t>+5% lumber production, +5% ore production</t>
  </si>
  <si>
    <t>2-7</t>
  </si>
  <si>
    <t>+1.5% max population</t>
  </si>
  <si>
    <t>2-8</t>
  </si>
  <si>
    <t>2-9</t>
  </si>
  <si>
    <t>2-10</t>
  </si>
  <si>
    <t>-2.5% construction platinum cost</t>
  </si>
  <si>
    <t>3-1</t>
  </si>
  <si>
    <t>+5% ore production</t>
  </si>
  <si>
    <t>3-2</t>
  </si>
  <si>
    <t>+2.5% gem production</t>
  </si>
  <si>
    <t>3-3</t>
  </si>
  <si>
    <t>3-4</t>
  </si>
  <si>
    <t>3-5</t>
  </si>
  <si>
    <t>3-6</t>
  </si>
  <si>
    <t>3-7</t>
  </si>
  <si>
    <t>3-8</t>
  </si>
  <si>
    <t>3-9</t>
  </si>
  <si>
    <t>-5% spy cost, -15% wizard cost</t>
  </si>
  <si>
    <t>4-1</t>
  </si>
  <si>
    <t>4-2</t>
  </si>
  <si>
    <t>4-3</t>
  </si>
  <si>
    <t>4-4</t>
  </si>
  <si>
    <t>4-5</t>
  </si>
  <si>
    <t>4-6</t>
  </si>
  <si>
    <t>-20% assassinate/disband damage</t>
  </si>
  <si>
    <t>4-7</t>
  </si>
  <si>
    <t>4-8</t>
  </si>
  <si>
    <t>5-1</t>
  </si>
  <si>
    <t>5-2</t>
  </si>
  <si>
    <t>5-3</t>
  </si>
  <si>
    <t>5-4</t>
  </si>
  <si>
    <t>5-5</t>
  </si>
  <si>
    <t>5-6</t>
  </si>
  <si>
    <t>5-7</t>
  </si>
  <si>
    <t>6-1</t>
  </si>
  <si>
    <t>6-2</t>
  </si>
  <si>
    <t>+2.5% gem production, -5% self spell cost</t>
  </si>
  <si>
    <t>6-3</t>
  </si>
  <si>
    <t>6-4</t>
  </si>
  <si>
    <t>-12.5% rezone cost</t>
  </si>
  <si>
    <t>6-5</t>
  </si>
  <si>
    <t>6-6</t>
  </si>
  <si>
    <t>7-1</t>
  </si>
  <si>
    <t>+30% investment bonus to harbor/towers</t>
  </si>
  <si>
    <t>7-2</t>
  </si>
  <si>
    <t>+5% prestige gains</t>
  </si>
  <si>
    <t>7-3</t>
  </si>
  <si>
    <t>7-4</t>
  </si>
  <si>
    <t>7-5</t>
  </si>
  <si>
    <t>+2 population per barren acre, -2.5% food consumption</t>
  </si>
  <si>
    <t>8-1</t>
  </si>
  <si>
    <t>8-2</t>
  </si>
  <si>
    <t>-7.5% casualties</t>
  </si>
  <si>
    <t>8-3</t>
  </si>
  <si>
    <t>+2 barracks housing</t>
  </si>
  <si>
    <t>8-4</t>
  </si>
  <si>
    <t>9-1</t>
  </si>
  <si>
    <t>-15% spy cost, -5% wizard cost</t>
  </si>
  <si>
    <t>9-2</t>
  </si>
  <si>
    <t>9-3</t>
  </si>
  <si>
    <t>10-1</t>
  </si>
  <si>
    <t>-7.5% rezone cost</t>
  </si>
  <si>
    <t>10-2</t>
  </si>
  <si>
    <t>11-1</t>
  </si>
  <si>
    <t>-5% casualties</t>
  </si>
  <si>
    <t>New Techs</t>
  </si>
  <si>
    <t>Fool's Gold affects lumber and ore</t>
  </si>
  <si>
    <t xml:space="preserve"> +2.5% offense, +7.5% wizard strength</t>
  </si>
  <si>
    <t xml:space="preserve"> -1% guard platinum penalty</t>
  </si>
  <si>
    <t xml:space="preserve"> +2.5% offense</t>
  </si>
  <si>
    <t xml:space="preserve"> food production</t>
  </si>
  <si>
    <t xml:space="preserve"> mana production</t>
  </si>
  <si>
    <t xml:space="preserve"> lumber production</t>
  </si>
  <si>
    <t xml:space="preserve"> platinum production</t>
  </si>
  <si>
    <t xml:space="preserve"> military training cost</t>
  </si>
  <si>
    <t xml:space="preserve"> explore platinum cost</t>
  </si>
  <si>
    <t xml:space="preserve"> spy losses</t>
  </si>
  <si>
    <t xml:space="preserve"> food consumption</t>
  </si>
  <si>
    <t xml:space="preserve"> spell cost</t>
  </si>
  <si>
    <t xml:space="preserve"> food decay, lumber rot, mana drain</t>
  </si>
  <si>
    <t xml:space="preserve"> exchange rates</t>
  </si>
  <si>
    <t xml:space="preserve"> construction platinum cost</t>
  </si>
  <si>
    <t xml:space="preserve"> theft losses</t>
  </si>
  <si>
    <t xml:space="preserve"> max population, -12.5</t>
  </si>
  <si>
    <t xml:space="preserve"> ore production</t>
  </si>
  <si>
    <t xml:space="preserve"> max population</t>
  </si>
  <si>
    <t xml:space="preserve"> gem production</t>
  </si>
  <si>
    <t xml:space="preserve"> lumber production, 5</t>
  </si>
  <si>
    <t xml:space="preserve"> refund when destroying buildings</t>
  </si>
  <si>
    <t xml:space="preserve"> wizard power</t>
  </si>
  <si>
    <t xml:space="preserve"> wizard cost</t>
  </si>
  <si>
    <t xml:space="preserve"> boat production</t>
  </si>
  <si>
    <t xml:space="preserve"> assassinate/disband damage</t>
  </si>
  <si>
    <t xml:space="preserve"> construction lumber cost</t>
  </si>
  <si>
    <t xml:space="preserve"> lightning bolt damage</t>
  </si>
  <si>
    <t xml:space="preserve"> wizard strength</t>
  </si>
  <si>
    <t xml:space="preserve"> guard platinum penalty</t>
  </si>
  <si>
    <t xml:space="preserve"> self spell cost</t>
  </si>
  <si>
    <t xml:space="preserve"> rezone cost</t>
  </si>
  <si>
    <t xml:space="preserve"> casualties</t>
  </si>
  <si>
    <t xml:space="preserve"> investment bonus to harbor/towers</t>
  </si>
  <si>
    <t xml:space="preserve"> prestige gains</t>
  </si>
  <si>
    <t xml:space="preserve"> offense</t>
  </si>
  <si>
    <t xml:space="preserve"> population growth</t>
  </si>
  <si>
    <t xml:space="preserve"> racial spell cost</t>
  </si>
  <si>
    <t xml:space="preserve"> resource theft, spy losses</t>
  </si>
  <si>
    <t>explore draftee cost</t>
  </si>
  <si>
    <t xml:space="preserve"> lumber production, ore production</t>
  </si>
  <si>
    <t>wiz/spy regen</t>
  </si>
  <si>
    <t>wiz regen</t>
  </si>
  <si>
    <t xml:space="preserve"> lumber rot</t>
  </si>
  <si>
    <t xml:space="preserve"> prestige gain</t>
  </si>
  <si>
    <t xml:space="preserve"> spy cost</t>
  </si>
  <si>
    <t>extra boat capacity</t>
  </si>
  <si>
    <t>barren pop</t>
  </si>
  <si>
    <t>spy regen</t>
  </si>
  <si>
    <t>extra barracks housing</t>
  </si>
  <si>
    <t>Tech</t>
  </si>
  <si>
    <t>Granaries</t>
  </si>
  <si>
    <t>Planar Emissaries</t>
  </si>
  <si>
    <t>Green Thumb</t>
  </si>
  <si>
    <t>Aquaponics</t>
  </si>
  <si>
    <t>Midas's Bargain</t>
  </si>
  <si>
    <t>Master of Efficiency</t>
  </si>
  <si>
    <t>Explorer's Instinct</t>
  </si>
  <si>
    <t>Sneaky Spies</t>
  </si>
  <si>
    <t>Frugal Foragers</t>
  </si>
  <si>
    <t>Mana Pools</t>
  </si>
  <si>
    <t>Surplus Management</t>
  </si>
  <si>
    <t>Banker's Friend</t>
  </si>
  <si>
    <t>Prefabrication</t>
  </si>
  <si>
    <t>Miser's Grasp</t>
  </si>
  <si>
    <t>Sleeper Agents</t>
  </si>
  <si>
    <t>Industrial Machinery</t>
  </si>
  <si>
    <t>Pastoral Planner</t>
  </si>
  <si>
    <t>Preservationist</t>
  </si>
  <si>
    <t>Explorer's Intuition</t>
  </si>
  <si>
    <t>Architect's Touch</t>
  </si>
  <si>
    <t>Miner's Spirit</t>
  </si>
  <si>
    <t>Ancient Mines</t>
  </si>
  <si>
    <t>Urg Smash Technique</t>
  </si>
  <si>
    <t>Dark Pact</t>
  </si>
  <si>
    <t>Explorer's Guile</t>
  </si>
  <si>
    <t>Arcane Bloodlines</t>
  </si>
  <si>
    <t>Shipwright's Ingenuity</t>
  </si>
  <si>
    <t>Trick of the Light</t>
  </si>
  <si>
    <t>Opulence</t>
  </si>
  <si>
    <t>Midas's Fountain</t>
  </si>
  <si>
    <t>Night Watch</t>
  </si>
  <si>
    <t>Architect's Flourish</t>
  </si>
  <si>
    <t>Wizard Nexus</t>
  </si>
  <si>
    <t>Lumberjack's Devotion</t>
  </si>
  <si>
    <t>Weather Manipulation</t>
  </si>
  <si>
    <t>Master of Resources</t>
  </si>
  <si>
    <t>Avatar of Ares</t>
  </si>
  <si>
    <t>Master of Discipline</t>
  </si>
  <si>
    <t>Visionary Expansionist</t>
  </si>
  <si>
    <t>Ross' Benevolence</t>
  </si>
  <si>
    <t>Urban Planner</t>
  </si>
  <si>
    <t>Jeweller's Delight</t>
  </si>
  <si>
    <t>Surveyor's Sense</t>
  </si>
  <si>
    <t>Siege Weaponry</t>
  </si>
  <si>
    <t>Survivalist Mentality</t>
  </si>
  <si>
    <t>Reinforced Bulwarks</t>
  </si>
  <si>
    <t>Military Culture</t>
  </si>
  <si>
    <t>Ares' Favor</t>
  </si>
  <si>
    <t>Rations</t>
  </si>
  <si>
    <t>Spy Network</t>
  </si>
  <si>
    <t>Battle Commanders</t>
  </si>
  <si>
    <t>Bunk Beds</t>
  </si>
  <si>
    <t>Public Baths</t>
  </si>
  <si>
    <t>Centralized Intelligence</t>
  </si>
  <si>
    <t>Carpenter's Knowhow</t>
  </si>
  <si>
    <t>Ancestral Knowledge</t>
  </si>
  <si>
    <t>Surveyor's Insight</t>
  </si>
  <si>
    <t>Battle Tactics</t>
  </si>
  <si>
    <t>+10% wonder damage from all sources</t>
  </si>
  <si>
    <t>-10% construction lumber cost</t>
  </si>
  <si>
    <t>-15% food decay, lumber rot, mana drain</t>
  </si>
  <si>
    <t>-2.5% explore platinum cost, -1 explore draftee cost</t>
  </si>
  <si>
    <t>-7.5% explore platinum cost, -2 explore draftee cost</t>
  </si>
  <si>
    <t>-1 hour duration on non-war blackop spells</t>
  </si>
  <si>
    <t>+7.5% prestige gain, -5% casualties</t>
  </si>
  <si>
    <t>+0.75% max population, -7.5% casualties</t>
  </si>
  <si>
    <t>Prestige bonus on Food Production is 60% more effective</t>
  </si>
  <si>
    <t>-10% food decay, lumber rot, mana drain</t>
  </si>
  <si>
    <t xml:space="preserve"> +15% exchange rates</t>
  </si>
  <si>
    <t>wonder damage</t>
  </si>
  <si>
    <t>construction lumber cost</t>
  </si>
  <si>
    <t>constr plat cost</t>
  </si>
  <si>
    <t>hour duration on non-war blackops</t>
  </si>
  <si>
    <t>max pop</t>
  </si>
  <si>
    <t>bonus prestige on food prod</t>
  </si>
  <si>
    <t>Secondary Resource</t>
  </si>
  <si>
    <t>+12.5% boat production</t>
  </si>
  <si>
    <t xml:space="preserve"> +30% population growth</t>
  </si>
  <si>
    <t xml:space="preserve"> -25% racial spell cost</t>
  </si>
  <si>
    <t>Max Explore</t>
  </si>
  <si>
    <t>Homeland_Type</t>
  </si>
  <si>
    <t>Unitname</t>
  </si>
  <si>
    <t>OffensePwr</t>
  </si>
  <si>
    <t>DefensePwr</t>
  </si>
  <si>
    <t>Platcost</t>
  </si>
  <si>
    <t>Orecost</t>
  </si>
  <si>
    <t>NA</t>
  </si>
  <si>
    <t>Unit 1</t>
  </si>
  <si>
    <t>Unit 2</t>
  </si>
  <si>
    <t>Unit 3</t>
  </si>
  <si>
    <t>Unit 4</t>
  </si>
  <si>
    <t>.</t>
  </si>
  <si>
    <t>..</t>
  </si>
  <si>
    <t>…</t>
  </si>
  <si>
    <t>....</t>
  </si>
  <si>
    <t>Column36</t>
  </si>
  <si>
    <t>Column37</t>
  </si>
  <si>
    <t>Column38</t>
  </si>
  <si>
    <t>Column46</t>
  </si>
  <si>
    <t>Column48</t>
  </si>
  <si>
    <t>Train Unit 1</t>
  </si>
  <si>
    <t>Train Unit 2</t>
  </si>
  <si>
    <t>Train Unit 3</t>
  </si>
  <si>
    <t>Train Unit 4</t>
  </si>
  <si>
    <t>Train Spies</t>
  </si>
  <si>
    <t>Train Wiz</t>
  </si>
  <si>
    <t>….</t>
  </si>
  <si>
    <t>…..</t>
  </si>
  <si>
    <t>…...</t>
  </si>
  <si>
    <t>Release Draft</t>
  </si>
  <si>
    <t>Release Unit 1</t>
  </si>
  <si>
    <t>Release Unit 2</t>
  </si>
  <si>
    <t>Release Unit 3</t>
  </si>
  <si>
    <t>Release Unit 4</t>
  </si>
  <si>
    <t>Release Spies</t>
  </si>
  <si>
    <t>Release Wizards</t>
  </si>
  <si>
    <t>Mods_Off</t>
  </si>
  <si>
    <t>Mods_Def</t>
  </si>
  <si>
    <t>Plat Cost</t>
  </si>
  <si>
    <t>Ch_Plain</t>
  </si>
  <si>
    <t>Ch_Forest</t>
  </si>
  <si>
    <t>Ch_Mountain</t>
  </si>
  <si>
    <t>Ch_Hill</t>
  </si>
  <si>
    <t>Ch_Swamp</t>
  </si>
  <si>
    <t>Ch_Cavern</t>
  </si>
  <si>
    <t>Ch_Water</t>
  </si>
  <si>
    <t>Homeland</t>
  </si>
  <si>
    <t>CPA Platinum -DB</t>
  </si>
  <si>
    <t>CPA Lumber -DB</t>
  </si>
  <si>
    <t>CPA Platinum DB</t>
  </si>
  <si>
    <t>CPA Lumber DB</t>
  </si>
  <si>
    <t>Facs -DB</t>
  </si>
  <si>
    <t>Facs DB</t>
  </si>
  <si>
    <t xml:space="preserve">RCPA Platinum </t>
  </si>
  <si>
    <t>RCPA Lumber</t>
  </si>
  <si>
    <t>Tot Hom</t>
  </si>
  <si>
    <t>Tot Alc</t>
  </si>
  <si>
    <t>Tot Farm</t>
  </si>
  <si>
    <t>Tot Smi</t>
  </si>
  <si>
    <t>Tot Mas</t>
  </si>
  <si>
    <t>Tot Ly</t>
  </si>
  <si>
    <t>Tot Hav</t>
  </si>
  <si>
    <t>Tot OM</t>
  </si>
  <si>
    <t>Tot GN</t>
  </si>
  <si>
    <t>Tot Fac</t>
  </si>
  <si>
    <t>Tot GT</t>
  </si>
  <si>
    <t>Tot Bar</t>
  </si>
  <si>
    <t>Tot Shr</t>
  </si>
  <si>
    <t>Tot Tow</t>
  </si>
  <si>
    <t>Tot Tem</t>
  </si>
  <si>
    <t>Tot WG</t>
  </si>
  <si>
    <t>Tot DM</t>
  </si>
  <si>
    <t>Tot Sch</t>
  </si>
  <si>
    <t>Tot Doc</t>
  </si>
  <si>
    <t>Raw Plat/hr</t>
  </si>
  <si>
    <t>Raw Food/hr</t>
  </si>
  <si>
    <t>Raw Lumber/hr</t>
  </si>
  <si>
    <t>Raw Mana/hr</t>
  </si>
  <si>
    <t>Raw Ore/hr</t>
  </si>
  <si>
    <t>Raw Gems/hr</t>
  </si>
  <si>
    <t>Bonus Plat/hr</t>
  </si>
  <si>
    <t>Bonus Food/hr</t>
  </si>
  <si>
    <t>Bonus Lumber/hr</t>
  </si>
  <si>
    <t>Bonus Mana/hr</t>
  </si>
  <si>
    <t>Bonux Ore/hr</t>
  </si>
  <si>
    <t>Bonus Gems/hr</t>
  </si>
  <si>
    <t>Expenses Platinum</t>
  </si>
  <si>
    <t>Expenses Lumber</t>
  </si>
  <si>
    <t>Expenses Mana</t>
  </si>
  <si>
    <t>Expenses Ore</t>
  </si>
  <si>
    <t>Expenses Gems</t>
  </si>
  <si>
    <t>Hour (2)</t>
  </si>
  <si>
    <t>Bank Plat</t>
  </si>
  <si>
    <t>Bank Lumber</t>
  </si>
  <si>
    <t>Bank Ore</t>
  </si>
  <si>
    <t>Bank Gems</t>
  </si>
  <si>
    <t>Time (2)</t>
  </si>
  <si>
    <t>Stats Platinum</t>
  </si>
  <si>
    <t>Stats Food</t>
  </si>
  <si>
    <t>Stats Lumber</t>
  </si>
  <si>
    <t>Stats Mana</t>
  </si>
  <si>
    <t>Stats Ore</t>
  </si>
  <si>
    <t>…....</t>
  </si>
  <si>
    <t>….....</t>
  </si>
  <si>
    <t>Draftees (2)</t>
  </si>
  <si>
    <t>Non Draft (mod)</t>
  </si>
  <si>
    <t>Draft (mod)</t>
  </si>
  <si>
    <t>Total Plain</t>
  </si>
  <si>
    <t>Total Forest</t>
  </si>
  <si>
    <t>Total Mountain</t>
  </si>
  <si>
    <t>Total Hill</t>
  </si>
  <si>
    <t>Total Swamp</t>
  </si>
  <si>
    <t>Total Cavern</t>
  </si>
  <si>
    <t>Total Water</t>
  </si>
  <si>
    <t>Column2</t>
  </si>
  <si>
    <t>Column3</t>
  </si>
  <si>
    <t>Column4</t>
  </si>
  <si>
    <t>Platinum (2)</t>
  </si>
  <si>
    <t>Land (2)</t>
  </si>
  <si>
    <t>Land Bonus</t>
  </si>
  <si>
    <t>Druid bonus</t>
  </si>
  <si>
    <t>Wood Elf bonus</t>
  </si>
  <si>
    <t>Dryad bonus</t>
  </si>
  <si>
    <t>Sylvan bonus</t>
  </si>
  <si>
    <t>Rockapult bonus</t>
  </si>
  <si>
    <t>Gnome bonus</t>
  </si>
  <si>
    <t>Adept bonus</t>
  </si>
  <si>
    <t>Dark Elf bonus</t>
  </si>
  <si>
    <t>Frost Mage bonus</t>
  </si>
  <si>
    <t>Ice Elemental bonus</t>
  </si>
  <si>
    <t>Icekin bonus</t>
  </si>
  <si>
    <t>Networth (2)</t>
  </si>
  <si>
    <t>Raw (2)</t>
  </si>
  <si>
    <t>Modded (2)</t>
  </si>
  <si>
    <t>Spie cost</t>
  </si>
  <si>
    <t>Wizzies cost</t>
  </si>
  <si>
    <t>AMs cost</t>
  </si>
  <si>
    <t>Platinum cost</t>
  </si>
  <si>
    <t>Dest Alc</t>
  </si>
  <si>
    <t>Dest Farm</t>
  </si>
  <si>
    <t>Dest Smi</t>
  </si>
  <si>
    <t>Dest Mas</t>
  </si>
  <si>
    <t>Dest Ly</t>
  </si>
  <si>
    <t>Dest Hav</t>
  </si>
  <si>
    <t>Dest OM</t>
  </si>
  <si>
    <t>Dest GN</t>
  </si>
  <si>
    <t>Dest Fac</t>
  </si>
  <si>
    <t>Dest GT</t>
  </si>
  <si>
    <t>Dest Bar</t>
  </si>
  <si>
    <t>Dest Shr</t>
  </si>
  <si>
    <t>Dest Tow</t>
  </si>
  <si>
    <t>Dest Tem</t>
  </si>
  <si>
    <t>Dest WG</t>
  </si>
  <si>
    <t>Dest DM</t>
  </si>
  <si>
    <t>Dest Sch</t>
  </si>
  <si>
    <t>Dest Doc</t>
  </si>
  <si>
    <t>Mana cost</t>
  </si>
  <si>
    <t>Wiz str cost</t>
  </si>
  <si>
    <t>Active Gaia's Watch</t>
  </si>
  <si>
    <t>Active Mining Strength</t>
  </si>
  <si>
    <t>Active Ares Call</t>
  </si>
  <si>
    <t>Active Midas Touch</t>
  </si>
  <si>
    <t>Active Harmony</t>
  </si>
  <si>
    <t>Active Warsong / Killing Rage / Bloodrage</t>
  </si>
  <si>
    <t>Active Nightfall</t>
  </si>
  <si>
    <t>Active Miner's Sight</t>
  </si>
  <si>
    <t>Active Mechanical Genius</t>
  </si>
  <si>
    <t>Active Gaia's Blessing</t>
  </si>
  <si>
    <t>Active Howling</t>
  </si>
  <si>
    <t>Active Alchemists Flame</t>
  </si>
  <si>
    <t>Number</t>
  </si>
  <si>
    <t>Sum of tech</t>
  </si>
  <si>
    <t>Σ Keep</t>
  </si>
  <si>
    <t>Σ Forges</t>
  </si>
  <si>
    <t>Σ Walls</t>
  </si>
  <si>
    <t>P1</t>
  </si>
  <si>
    <t>L1</t>
  </si>
  <si>
    <t>O1</t>
  </si>
  <si>
    <t>G1</t>
  </si>
  <si>
    <t>P2</t>
  </si>
  <si>
    <t>L2</t>
  </si>
  <si>
    <t>O2</t>
  </si>
  <si>
    <t>G2</t>
  </si>
  <si>
    <t>P3</t>
  </si>
  <si>
    <t>L3</t>
  </si>
  <si>
    <t>O3</t>
  </si>
  <si>
    <t>G3</t>
  </si>
  <si>
    <t>P4</t>
  </si>
  <si>
    <t>L4</t>
  </si>
  <si>
    <t>O4</t>
  </si>
  <si>
    <t>G4</t>
  </si>
  <si>
    <t>P5</t>
  </si>
  <si>
    <t>L5</t>
  </si>
  <si>
    <t>O5</t>
  </si>
  <si>
    <t>G5</t>
  </si>
  <si>
    <t>P6</t>
  </si>
  <si>
    <t>L6</t>
  </si>
  <si>
    <t>O6</t>
  </si>
  <si>
    <t>G6</t>
  </si>
  <si>
    <t>P7</t>
  </si>
  <si>
    <t>L7</t>
  </si>
  <si>
    <t>O7</t>
  </si>
  <si>
    <t>G7</t>
  </si>
  <si>
    <t>Land (3)</t>
  </si>
  <si>
    <t>Resource 2</t>
  </si>
  <si>
    <t>Amount 2</t>
  </si>
  <si>
    <t>Part 2</t>
  </si>
  <si>
    <t>Resource 3</t>
  </si>
  <si>
    <t>Amount 3</t>
  </si>
  <si>
    <t>Part 3</t>
  </si>
  <si>
    <t>Login (2)</t>
  </si>
  <si>
    <t>Real time</t>
  </si>
  <si>
    <t>Tech name</t>
  </si>
  <si>
    <t>Gains</t>
  </si>
  <si>
    <t>For relations in technologies see diagram below:</t>
  </si>
  <si>
    <t xml:space="preserve">    </t>
  </si>
  <si>
    <t xml:space="preserve">Homes: </t>
  </si>
  <si>
    <t xml:space="preserve">Farms: </t>
  </si>
  <si>
    <t xml:space="preserve">Shrines: </t>
  </si>
  <si>
    <t xml:space="preserve">Factories: </t>
  </si>
  <si>
    <t xml:space="preserve">Smithies: </t>
  </si>
  <si>
    <t xml:space="preserve">Ore Mines: </t>
  </si>
  <si>
    <t xml:space="preserve">Diamond Mines: </t>
  </si>
  <si>
    <t xml:space="preserve">Schools: </t>
  </si>
  <si>
    <t xml:space="preserve">Alchemies: </t>
  </si>
  <si>
    <t xml:space="preserve">Lumberyards: </t>
  </si>
  <si>
    <t xml:space="preserve">Towers: </t>
  </si>
  <si>
    <t xml:space="preserve">Docks: </t>
  </si>
  <si>
    <t xml:space="preserve">Masonries: </t>
  </si>
  <si>
    <t xml:space="preserve">Gryphon Nests: </t>
  </si>
  <si>
    <t>Barracks :</t>
  </si>
  <si>
    <t xml:space="preserve">Guard Towers: </t>
  </si>
  <si>
    <t xml:space="preserve">Wizard Guilds: </t>
  </si>
  <si>
    <t xml:space="preserve">Temples: </t>
  </si>
  <si>
    <t xml:space="preserve">Forest Havens: </t>
  </si>
  <si>
    <t xml:space="preserve">Barren Land: </t>
  </si>
  <si>
    <t xml:space="preserve">Incoming Buildings: </t>
  </si>
  <si>
    <t>Abbr</t>
  </si>
  <si>
    <t>Incoming</t>
  </si>
  <si>
    <t>Percent</t>
  </si>
  <si>
    <t>Hour first tech is activated</t>
  </si>
  <si>
    <t>Activate @ hour</t>
  </si>
  <si>
    <t>→</t>
  </si>
  <si>
    <t>Secondary recource</t>
  </si>
  <si>
    <t>Sec. rec. Cost</t>
  </si>
  <si>
    <t>Druid (dp)</t>
  </si>
  <si>
    <t>Druid (op)</t>
  </si>
  <si>
    <t>Mystic bonus</t>
  </si>
  <si>
    <t>DP Bonus</t>
  </si>
  <si>
    <t>DP Mod</t>
  </si>
  <si>
    <t>OP Mod</t>
  </si>
  <si>
    <t xml:space="preserve">   </t>
  </si>
  <si>
    <t xml:space="preserve"> Draftees</t>
  </si>
  <si>
    <t>Dest Hom</t>
  </si>
  <si>
    <t>Plains Explore</t>
  </si>
  <si>
    <t>Forest Explore</t>
  </si>
  <si>
    <t>Mountain Explore</t>
  </si>
  <si>
    <t>Hill Explore</t>
  </si>
  <si>
    <t>Swamp Explore</t>
  </si>
  <si>
    <t>Cavern Explore</t>
  </si>
  <si>
    <t>Water Explore</t>
  </si>
  <si>
    <t>Mountn</t>
  </si>
  <si>
    <t>Plains Rezone</t>
  </si>
  <si>
    <t>Forest Rezone</t>
  </si>
  <si>
    <t>Mountain Rezone</t>
  </si>
  <si>
    <t>Hill Rezone</t>
  </si>
  <si>
    <t>Swamp Rezone</t>
  </si>
  <si>
    <t>Cavern Rezone</t>
  </si>
  <si>
    <t>Water Rezone</t>
  </si>
  <si>
    <t>Draft Growth</t>
  </si>
  <si>
    <t>Total Plat Cost</t>
  </si>
  <si>
    <t>Total Lum Cost</t>
  </si>
  <si>
    <t>Σ Science</t>
  </si>
  <si>
    <t>…......</t>
  </si>
  <si>
    <t>….......</t>
  </si>
  <si>
    <t>…........</t>
  </si>
  <si>
    <t>…........2</t>
  </si>
  <si>
    <t>…..........</t>
  </si>
  <si>
    <t>Acknowledgements</t>
  </si>
  <si>
    <t>Exp Draft Cost</t>
  </si>
  <si>
    <t xml:space="preserve">Hour </t>
  </si>
  <si>
    <t xml:space="preserve">Hour  </t>
  </si>
  <si>
    <t xml:space="preserve">Time </t>
  </si>
  <si>
    <t xml:space="preserve">  </t>
  </si>
  <si>
    <t>Investments</t>
  </si>
  <si>
    <t>Global Caps</t>
  </si>
  <si>
    <t>+10% resource theft, -15% spy losses</t>
  </si>
  <si>
    <t>+1% max population, -7.5% spy losses</t>
  </si>
  <si>
    <t>+1.25 wizard refresh rate</t>
  </si>
  <si>
    <t>-1.75% military training cost</t>
  </si>
  <si>
    <t>+2.5% gem production, +7.5% ore production</t>
  </si>
  <si>
    <t>+2 raw mana production per tower for each war declaration</t>
  </si>
  <si>
    <t>+2.5% food production, -12.5% lightning bolt damage</t>
  </si>
  <si>
    <t>+1 spy/wizard strength regen</t>
  </si>
  <si>
    <t>+1.25 spy refresh rate</t>
  </si>
  <si>
    <t>Menace</t>
  </si>
  <si>
    <t>Reforestation</t>
  </si>
  <si>
    <t>Anti-Magic Sigils</t>
  </si>
  <si>
    <t>Wavehack's Expertise</t>
  </si>
  <si>
    <t>Field Surgery</t>
  </si>
  <si>
    <t>Tributary System</t>
  </si>
  <si>
    <t xml:space="preserve"> food production, -12.5</t>
  </si>
  <si>
    <t>Select the tech by typing in column F (Select tech). Type in the hour at which you want to manage that tech.</t>
  </si>
  <si>
    <t>Schools</t>
  </si>
  <si>
    <t>RP/school%</t>
  </si>
  <si>
    <t>Explore Cost</t>
  </si>
  <si>
    <t>Spellblade</t>
  </si>
  <si>
    <t>Adept-DP</t>
  </si>
  <si>
    <t>Lancer</t>
  </si>
  <si>
    <t>Horse Archer</t>
  </si>
  <si>
    <t>Disclaimer: The Spellblade costs 10 gems/unit. This cost is not included in the sim.</t>
  </si>
  <si>
    <t>Favorable Terrain</t>
  </si>
  <si>
    <t>Active Favorable Terrain</t>
  </si>
  <si>
    <t>Offense (max)</t>
  </si>
  <si>
    <t>Favorable Terrain Bonus</t>
  </si>
  <si>
    <r>
      <t xml:space="preserve">Hello and welcome to the OpenDominion Excel Simulator. Start by selecting your desired race from the dropdown menu in cell B14. On all the sheets you'll see </t>
    </r>
    <r>
      <rPr>
        <sz val="10"/>
        <color theme="9" tint="-0.249977111117893"/>
        <rFont val="Arial"/>
        <family val="2"/>
      </rPr>
      <t>orange</t>
    </r>
    <r>
      <rPr>
        <sz val="10"/>
        <color indexed="8"/>
        <rFont val="Arial"/>
        <family val="2"/>
      </rPr>
      <t xml:space="preserve"> boxes like the ones below. Try filling in some numbers and see how things change. Some sheets have off-colored highlighted rows between orange sections; this is just for highlighting purposes and can be interacted with all the same.</t>
    </r>
    <r>
      <rPr>
        <b/>
        <sz val="10"/>
        <color rgb="FF000000"/>
        <rFont val="Arial"/>
        <family val="2"/>
      </rPr>
      <t xml:space="preserve"> In general, do NOT mess with non-orange cells</t>
    </r>
    <r>
      <rPr>
        <sz val="10"/>
        <color indexed="8"/>
        <rFont val="Arial"/>
        <family val="2"/>
      </rPr>
      <t>. Make sure to check out all the sheets in the workbook. Row 4 represents hour 1, row 5 is hour 2, etc. When you want to "take" or "cast" something, like a daily bonus or spell, fill in a "1" in the appropriate field. Remember that for copy/pasting you'll want to use special paste-formulas or paste-values to not break the many interactions between cells. Happy simming! -Yami</t>
    </r>
  </si>
  <si>
    <t>Goblin / Orc/Hum</t>
  </si>
  <si>
    <t>Killing Rage / Bloodrage / Crusade</t>
  </si>
  <si>
    <t>Alchemist Frost</t>
  </si>
  <si>
    <t>Train AM</t>
  </si>
  <si>
    <t>Train AS</t>
  </si>
  <si>
    <t>Archspies</t>
  </si>
  <si>
    <t>Release AS</t>
  </si>
  <si>
    <t>Release AM</t>
  </si>
  <si>
    <t>ASs Cost</t>
  </si>
  <si>
    <t>Archspy</t>
  </si>
  <si>
    <t xml:space="preserve"> + 1 spy</t>
  </si>
  <si>
    <t>Active Alch Frost</t>
  </si>
  <si>
    <t>raw mana prod, +1.5 per war dec (max 5)</t>
  </si>
  <si>
    <t>def spy power</t>
  </si>
  <si>
    <t>-10% construction platinum cost</t>
  </si>
  <si>
    <t>+10% mana production. +5% wizard power</t>
  </si>
  <si>
    <t>-5% construction platinum cost, -2.5% explore platinum cost</t>
  </si>
  <si>
    <t>-20% lumber rot, -10% construction lumber cost, +2 population from barren land</t>
  </si>
  <si>
    <t>+2% platinum production</t>
  </si>
  <si>
    <t>+4% platinum production</t>
  </si>
  <si>
    <t>-20% theft losses, +10% defensive spy power</t>
  </si>
  <si>
    <t>+5% mana production</t>
  </si>
  <si>
    <t xml:space="preserve"> +7.5% lumber production, 25% discounted construction of destroyed acres</t>
  </si>
  <si>
    <t>-5% construction platinum cost, -10% construction lumber cost, +3 boat capacity</t>
  </si>
  <si>
    <t>Necromancer</t>
  </si>
  <si>
    <t>Tunneler</t>
  </si>
  <si>
    <t>Taskmaster</t>
  </si>
  <si>
    <t>FrostMage</t>
  </si>
  <si>
    <t>Merman</t>
  </si>
  <si>
    <t>Voodoo Mage</t>
  </si>
  <si>
    <r>
      <rPr>
        <b/>
        <sz val="10"/>
        <rFont val="Arial"/>
        <family val="2"/>
      </rPr>
      <t>Blackreign</t>
    </r>
    <r>
      <rPr>
        <sz val="10"/>
        <rFont val="Arial"/>
        <family val="2"/>
      </rPr>
      <t xml:space="preserve"> - The original creator of this sheet we all know and love
</t>
    </r>
    <r>
      <rPr>
        <b/>
        <sz val="10"/>
        <rFont val="Arial"/>
        <family val="2"/>
      </rPr>
      <t>Mickles</t>
    </r>
    <r>
      <rPr>
        <sz val="10"/>
        <rFont val="Arial"/>
        <family val="2"/>
      </rPr>
      <t xml:space="preserve"> - For adding LOG gen and allowing us to export strats without copying the entire workbook
</t>
    </r>
    <r>
      <rPr>
        <b/>
        <sz val="10"/>
        <rFont val="Arial"/>
        <family val="2"/>
      </rPr>
      <t xml:space="preserve">Thing Fish - </t>
    </r>
    <r>
      <rPr>
        <sz val="10"/>
        <rFont val="Arial"/>
        <family val="2"/>
      </rPr>
      <t>For taking the time to bring the excel sim into the 21st century with a complete conversion to tables</t>
    </r>
    <r>
      <rPr>
        <b/>
        <sz val="10"/>
        <rFont val="Arial"/>
        <family val="2"/>
      </rPr>
      <t xml:space="preserve">
AgFx &amp; Tidnab - </t>
    </r>
    <r>
      <rPr>
        <sz val="10"/>
        <rFont val="Arial"/>
        <family val="2"/>
      </rPr>
      <t>For adding Mac compatibility</t>
    </r>
  </si>
  <si>
    <t>Bonus Jobs</t>
  </si>
  <si>
    <t>+1% max population</t>
  </si>
  <si>
    <t>Spires</t>
  </si>
  <si>
    <t>Σ Spires</t>
  </si>
  <si>
    <t>Σ Harbor</t>
  </si>
  <si>
    <t>Zombie</t>
  </si>
  <si>
    <t>Crypt Lord</t>
  </si>
  <si>
    <t>Abomination</t>
  </si>
  <si>
    <t>Death and Decay</t>
  </si>
  <si>
    <t>Active DnD</t>
  </si>
  <si>
    <t>DnD_Zombies</t>
  </si>
  <si>
    <t>Vampire</t>
  </si>
  <si>
    <t>Dire Bat</t>
  </si>
  <si>
    <t>Ghoul</t>
  </si>
  <si>
    <t>Kindred</t>
  </si>
  <si>
    <t>Bloodreaver</t>
  </si>
  <si>
    <t>Deep Pockets</t>
  </si>
  <si>
    <t xml:space="preserve"> +15% resources gained from theft</t>
  </si>
  <si>
    <t>resources gained from theft</t>
  </si>
  <si>
    <t xml:space="preserve">  2</t>
  </si>
  <si>
    <t>Phantom</t>
  </si>
  <si>
    <t>Ghost</t>
  </si>
  <si>
    <t>Spectre</t>
  </si>
  <si>
    <t>Wisp</t>
  </si>
  <si>
    <t>Sentinel</t>
  </si>
  <si>
    <t>Variable Unit Production</t>
  </si>
  <si>
    <t>Homeland%</t>
  </si>
  <si>
    <t>Demon</t>
  </si>
  <si>
    <t>Succubus</t>
  </si>
  <si>
    <t>Abyssal Fiend</t>
  </si>
  <si>
    <t>Archdemon</t>
  </si>
  <si>
    <t>Demonic Pact</t>
  </si>
  <si>
    <t>food consumption</t>
  </si>
  <si>
    <t>Imp OP if paired with Archdemon</t>
  </si>
  <si>
    <t>Abyssal Enforcer</t>
  </si>
  <si>
    <t>Infernal Imp</t>
  </si>
  <si>
    <t xml:space="preserve">Draftees    </t>
  </si>
  <si>
    <t>Assassin</t>
  </si>
  <si>
    <t>Diamond Mine</t>
  </si>
  <si>
    <t>Factory</t>
  </si>
  <si>
    <t>Gryphon Nest</t>
  </si>
  <si>
    <t>Guard Tower</t>
  </si>
  <si>
    <t>Masonry</t>
  </si>
  <si>
    <t>Ore Mine</t>
  </si>
  <si>
    <t>School</t>
  </si>
  <si>
    <t>Shrine</t>
  </si>
  <si>
    <t>Smithy</t>
  </si>
  <si>
    <t>Temple</t>
  </si>
  <si>
    <t>Wizard Guild</t>
  </si>
  <si>
    <t>Starting Acres</t>
  </si>
  <si>
    <t>Instructions:</t>
  </si>
  <si>
    <t>Begin by building your starting acres</t>
  </si>
  <si>
    <t>right here on the Overview tab! The</t>
  </si>
  <si>
    <t>sim will automatically import your</t>
  </si>
  <si>
    <t>buildings to start hour 1.</t>
  </si>
  <si>
    <r>
      <t xml:space="preserve">Don't be alarmed by all the numbers, everything will become clear shortly. Above you can see columns, and on your left you see the rownumbers. Go to the construction tab and click on cell P4. Now fill in 40 and press enter. Now you have modified the sim to construct 40 alchemies on hour one. The row below this belongs to hour 2. Try out some stuff for yourself now. </t>
    </r>
    <r>
      <rPr>
        <b/>
        <sz val="10"/>
        <rFont val="Arial"/>
        <family val="2"/>
      </rPr>
      <t>Attention</t>
    </r>
    <r>
      <rPr>
        <sz val="10"/>
        <rFont val="Arial"/>
        <family val="2"/>
      </rPr>
      <t>: This is the QuickStart version of the sim. Quickstarts have only 36 total ticks of protection, begin at a higher acreage and have fewer actionable ticks. Only enter information in the proper orange-colored cells and grey-colored rows.</t>
    </r>
  </si>
  <si>
    <r>
      <t xml:space="preserve">You have </t>
    </r>
    <r>
      <rPr>
        <b/>
        <sz val="10"/>
        <rFont val="Arial"/>
        <family val="2"/>
      </rPr>
      <t>500</t>
    </r>
    <r>
      <rPr>
        <sz val="10"/>
        <rFont val="Arial"/>
        <family val="2"/>
      </rPr>
      <t xml:space="preserve"> starting acres to construct:</t>
    </r>
  </si>
  <si>
    <t>Infernal Command OP</t>
  </si>
  <si>
    <t>Infernal Command</t>
  </si>
  <si>
    <t>Active Infernal Command</t>
  </si>
  <si>
    <t>OD Round 47 QuickStart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</si>
</sst>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3">
    <numFmt numFmtId="164" formatCode="_-* #,##0.00_-;_-* #,##0.00\-;_-* &quot;-&quot;??_-;_-@_-"/>
    <numFmt numFmtId="165" formatCode="00000"/>
    <numFmt numFmtId="166" formatCode="0.0%"/>
    <numFmt numFmtId="167" formatCode="0.0"/>
    <numFmt numFmtId="168" formatCode="mm/dd/yy"/>
    <numFmt numFmtId="169" formatCode="0.000"/>
    <numFmt numFmtId="170" formatCode="m/d;@"/>
    <numFmt numFmtId="171" formatCode="dddd"/>
    <numFmt numFmtId="172" formatCode="_-* #,##0_-;_-* #,##0\-;_-* &quot;-&quot;??_-;_-@_-"/>
    <numFmt numFmtId="173" formatCode="h:mm;@"/>
    <numFmt numFmtId="174" formatCode="0;;"/>
    <numFmt numFmtId="175" formatCode="\→\ 0\ \→;;"/>
    <numFmt numFmtId="176" formatCode=";;;"/>
  </numFmts>
  <fonts count="39" x14ac:knownFonts="1">
    <font>
      <sz val="10"/>
      <name val="Arial"/>
    </font>
    <font>
      <sz val="10"/>
      <color theme="1"/>
      <name val="Arial"/>
      <family val="2"/>
    </font>
    <font>
      <sz val="10"/>
      <color theme="1"/>
      <name val="Arial"/>
      <family val="2"/>
    </font>
    <font>
      <sz val="10"/>
      <color theme="1"/>
      <name val="Arial"/>
      <family val="2"/>
    </font>
    <font>
      <sz val="10"/>
      <name val="Arial"/>
      <family val="2"/>
    </font>
    <font>
      <sz val="10"/>
      <name val="Arial"/>
      <family val="2"/>
    </font>
    <font>
      <b/>
      <sz val="10"/>
      <name val="Arial"/>
      <family val="2"/>
    </font>
    <font>
      <sz val="8"/>
      <color indexed="81"/>
      <name val="Tahoma"/>
      <family val="2"/>
    </font>
    <font>
      <b/>
      <sz val="8"/>
      <color indexed="81"/>
      <name val="Tahoma"/>
      <family val="2"/>
    </font>
    <font>
      <b/>
      <sz val="10"/>
      <color indexed="81"/>
      <name val="Tahoma"/>
      <family val="2"/>
    </font>
    <font>
      <b/>
      <sz val="9"/>
      <color indexed="81"/>
      <name val="Tahoma"/>
      <family val="2"/>
    </font>
    <font>
      <b/>
      <sz val="11"/>
      <name val="Calibri"/>
      <family val="2"/>
      <scheme val="minor"/>
    </font>
    <font>
      <sz val="11"/>
      <name val="Calibri"/>
      <family val="2"/>
      <scheme val="minor"/>
    </font>
    <font>
      <sz val="12"/>
      <name val="Calibri"/>
      <family val="2"/>
      <scheme val="minor"/>
    </font>
    <font>
      <sz val="10"/>
      <color rgb="FF000000"/>
      <name val="Arial"/>
      <family val="2"/>
    </font>
    <font>
      <sz val="14"/>
      <color rgb="FF000000"/>
      <name val="Arial"/>
      <family val="2"/>
    </font>
    <font>
      <b/>
      <sz val="10"/>
      <color theme="0"/>
      <name val="Arial"/>
      <family val="2"/>
    </font>
    <font>
      <sz val="10"/>
      <color theme="0"/>
      <name val="Arial"/>
      <family val="2"/>
    </font>
    <font>
      <b/>
      <sz val="12"/>
      <name val="Arial"/>
      <family val="2"/>
    </font>
    <font>
      <b/>
      <sz val="12"/>
      <color indexed="8"/>
      <name val="Arial"/>
      <family val="2"/>
    </font>
    <font>
      <sz val="10"/>
      <color indexed="8"/>
      <name val="Arial"/>
      <family val="2"/>
    </font>
    <font>
      <b/>
      <u/>
      <sz val="10"/>
      <name val="Arial"/>
      <family val="2"/>
    </font>
    <font>
      <sz val="10"/>
      <color indexed="9"/>
      <name val="Arial"/>
      <family val="2"/>
    </font>
    <font>
      <sz val="10"/>
      <color indexed="22"/>
      <name val="Arial"/>
      <family val="2"/>
    </font>
    <font>
      <b/>
      <sz val="10"/>
      <color theme="5" tint="-0.249977111117893"/>
      <name val="Arial"/>
      <family val="2"/>
    </font>
    <font>
      <b/>
      <sz val="10"/>
      <color indexed="22"/>
      <name val="Arial"/>
      <family val="2"/>
    </font>
    <font>
      <i/>
      <u/>
      <sz val="10"/>
      <color indexed="22"/>
      <name val="Arial"/>
      <family val="2"/>
    </font>
    <font>
      <u/>
      <sz val="10"/>
      <color indexed="22"/>
      <name val="Arial"/>
      <family val="2"/>
    </font>
    <font>
      <sz val="10"/>
      <color theme="0" tint="-0.34998626667073579"/>
      <name val="Arial"/>
      <family val="2"/>
    </font>
    <font>
      <b/>
      <sz val="18"/>
      <color indexed="8"/>
      <name val="Arial"/>
      <family val="2"/>
    </font>
    <font>
      <sz val="10"/>
      <color rgb="FFFF0000"/>
      <name val="Arial"/>
      <family val="2"/>
    </font>
    <font>
      <b/>
      <i/>
      <sz val="10"/>
      <name val="Arial"/>
      <family val="2"/>
    </font>
    <font>
      <u/>
      <sz val="10"/>
      <name val="Arial"/>
      <family val="2"/>
    </font>
    <font>
      <i/>
      <sz val="10"/>
      <name val="Arial"/>
      <family val="2"/>
    </font>
    <font>
      <b/>
      <i/>
      <strike/>
      <sz val="10"/>
      <name val="Arial"/>
      <family val="2"/>
    </font>
    <font>
      <b/>
      <strike/>
      <sz val="10"/>
      <name val="Arial"/>
      <family val="2"/>
    </font>
    <font>
      <sz val="10"/>
      <color theme="9" tint="-0.249977111117893"/>
      <name val="Arial"/>
      <family val="2"/>
    </font>
    <font>
      <b/>
      <sz val="10"/>
      <color rgb="FF000000"/>
      <name val="Arial"/>
      <family val="2"/>
    </font>
    <font>
      <sz val="10"/>
      <color theme="0" tint="-0.249977111117893"/>
      <name val="Arial"/>
      <family val="2"/>
    </font>
  </fonts>
  <fills count="38">
    <fill>
      <patternFill patternType="none"/>
    </fill>
    <fill>
      <patternFill patternType="gray125"/>
    </fill>
    <fill>
      <patternFill patternType="solid">
        <fgColor indexed="42"/>
        <bgColor indexed="64"/>
      </patternFill>
    </fill>
    <fill>
      <patternFill patternType="solid">
        <fgColor indexed="17"/>
        <bgColor indexed="64"/>
      </patternFill>
    </fill>
    <fill>
      <patternFill patternType="solid">
        <fgColor indexed="22"/>
        <bgColor indexed="64"/>
      </patternFill>
    </fill>
    <fill>
      <patternFill patternType="solid">
        <fgColor indexed="60"/>
        <bgColor indexed="64"/>
      </patternFill>
    </fill>
    <fill>
      <patternFill patternType="solid">
        <fgColor indexed="21"/>
        <bgColor indexed="64"/>
      </patternFill>
    </fill>
    <fill>
      <patternFill patternType="solid">
        <fgColor indexed="45"/>
        <bgColor indexed="64"/>
      </patternFill>
    </fill>
    <fill>
      <patternFill patternType="solid">
        <fgColor indexed="40"/>
        <bgColor indexed="64"/>
      </patternFill>
    </fill>
    <fill>
      <patternFill patternType="solid">
        <fgColor indexed="43"/>
        <bgColor indexed="64"/>
      </patternFill>
    </fill>
    <fill>
      <patternFill patternType="solid">
        <fgColor indexed="47"/>
        <bgColor indexed="64"/>
      </patternFill>
    </fill>
    <fill>
      <patternFill patternType="solid">
        <fgColor indexed="11"/>
        <bgColor indexed="64"/>
      </patternFill>
    </fill>
    <fill>
      <patternFill patternType="solid">
        <fgColor indexed="9"/>
        <bgColor indexed="64"/>
      </patternFill>
    </fill>
    <fill>
      <patternFill patternType="solid">
        <fgColor rgb="FFFFCC99"/>
        <bgColor indexed="64"/>
      </patternFill>
    </fill>
    <fill>
      <patternFill patternType="solid">
        <fgColor theme="0" tint="-4.9989318521683403E-2"/>
        <bgColor indexed="64"/>
      </patternFill>
    </fill>
    <fill>
      <patternFill patternType="solid">
        <fgColor theme="0" tint="-0.14996795556505021"/>
        <bgColor indexed="64"/>
      </patternFill>
    </fill>
    <fill>
      <patternFill patternType="solid">
        <fgColor theme="0" tint="-0.249977111117893"/>
        <bgColor indexed="64"/>
      </patternFill>
    </fill>
    <fill>
      <patternFill patternType="solid">
        <fgColor theme="1"/>
        <bgColor indexed="64"/>
      </patternFill>
    </fill>
    <fill>
      <patternFill patternType="solid">
        <fgColor theme="0" tint="-0.34998626667073579"/>
        <bgColor indexed="64"/>
      </patternFill>
    </fill>
    <fill>
      <patternFill patternType="solid">
        <fgColor rgb="FF00B050"/>
        <bgColor indexed="64"/>
      </patternFill>
    </fill>
    <fill>
      <patternFill patternType="solid">
        <fgColor rgb="FFFFC000"/>
        <bgColor indexed="64"/>
      </patternFill>
    </fill>
    <fill>
      <patternFill patternType="solid">
        <fgColor rgb="FF00B0F0"/>
        <bgColor indexed="64"/>
      </patternFill>
    </fill>
    <fill>
      <patternFill patternType="solid">
        <fgColor theme="7" tint="0.39997558519241921"/>
        <bgColor indexed="64"/>
      </patternFill>
    </fill>
    <fill>
      <patternFill patternType="solid">
        <fgColor theme="2" tint="-0.49998474074526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2" tint="-9.9978637043366805E-2"/>
        <bgColor indexed="64"/>
      </patternFill>
    </fill>
    <fill>
      <patternFill patternType="solid">
        <fgColor theme="0"/>
        <bgColor indexed="64"/>
      </patternFill>
    </fill>
    <fill>
      <patternFill patternType="solid">
        <fgColor rgb="FFFFFF00"/>
        <bgColor indexed="64"/>
      </patternFill>
    </fill>
    <fill>
      <patternFill patternType="solid">
        <fgColor theme="0" tint="-0.14999847407452621"/>
        <bgColor indexed="64"/>
      </patternFill>
    </fill>
    <fill>
      <patternFill patternType="solid">
        <fgColor theme="1" tint="0.24994659260841701"/>
        <bgColor indexed="64"/>
      </patternFill>
    </fill>
    <fill>
      <patternFill patternType="solid">
        <fgColor theme="1" tint="4.9989318521683403E-2"/>
        <bgColor indexed="64"/>
      </patternFill>
    </fill>
    <fill>
      <patternFill patternType="solid">
        <fgColor rgb="FFD9D9D9"/>
        <bgColor indexed="64"/>
      </patternFill>
    </fill>
    <fill>
      <patternFill patternType="solid">
        <fgColor rgb="FFC0C0C0"/>
        <bgColor indexed="64"/>
      </patternFill>
    </fill>
    <fill>
      <patternFill patternType="solid">
        <fgColor rgb="FFA83800"/>
        <bgColor indexed="64"/>
      </patternFill>
    </fill>
    <fill>
      <patternFill patternType="solid">
        <fgColor rgb="FF008080"/>
        <bgColor indexed="64"/>
      </patternFill>
    </fill>
    <fill>
      <patternFill patternType="solid">
        <fgColor rgb="FFBFBFBF"/>
        <bgColor indexed="64"/>
      </patternFill>
    </fill>
    <fill>
      <patternFill patternType="solid">
        <fgColor theme="1" tint="0.249977111117893"/>
        <bgColor indexed="64"/>
      </patternFill>
    </fill>
  </fills>
  <borders count="50">
    <border>
      <left/>
      <right/>
      <top/>
      <bottom/>
      <diagonal/>
    </border>
    <border>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ck">
        <color indexed="64"/>
      </bottom>
      <diagonal/>
    </border>
    <border>
      <left style="thin">
        <color indexed="64"/>
      </left>
      <right/>
      <top/>
      <bottom style="thick">
        <color indexed="64"/>
      </bottom>
      <diagonal/>
    </border>
    <border>
      <left/>
      <right/>
      <top/>
      <bottom style="thick">
        <color indexed="64"/>
      </bottom>
      <diagonal/>
    </border>
    <border>
      <left style="medium">
        <color indexed="64"/>
      </left>
      <right/>
      <top/>
      <bottom/>
      <diagonal/>
    </border>
    <border>
      <left style="thin">
        <color indexed="64"/>
      </left>
      <right style="thin">
        <color indexed="64"/>
      </right>
      <top style="thin">
        <color indexed="64"/>
      </top>
      <bottom/>
      <diagonal/>
    </border>
    <border>
      <left/>
      <right/>
      <top style="medium">
        <color indexed="64"/>
      </top>
      <bottom/>
      <diagonal/>
    </border>
    <border>
      <left style="thick">
        <color indexed="64"/>
      </left>
      <right/>
      <top/>
      <bottom/>
      <diagonal/>
    </border>
    <border>
      <left style="thick">
        <color indexed="64"/>
      </left>
      <right/>
      <top/>
      <bottom style="thin">
        <color indexed="64"/>
      </bottom>
      <diagonal/>
    </border>
    <border>
      <left style="thick">
        <color indexed="64"/>
      </left>
      <right/>
      <top style="thin">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right style="medium">
        <color indexed="64"/>
      </right>
      <top/>
      <bottom style="thin">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style="medium">
        <color indexed="64"/>
      </bottom>
      <diagonal/>
    </border>
    <border>
      <left/>
      <right/>
      <top style="medium">
        <color indexed="64"/>
      </top>
      <bottom style="thin">
        <color indexed="64"/>
      </bottom>
      <diagonal/>
    </border>
    <border>
      <left style="thick">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medium">
        <color indexed="64"/>
      </top>
      <bottom style="medium">
        <color indexed="64"/>
      </bottom>
      <diagonal/>
    </border>
    <border>
      <left/>
      <right/>
      <top style="thick">
        <color indexed="64"/>
      </top>
      <bottom/>
      <diagonal/>
    </border>
    <border>
      <left style="thin">
        <color indexed="64"/>
      </left>
      <right style="thin">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thick">
        <color indexed="64"/>
      </left>
      <right/>
      <top style="medium">
        <color indexed="64"/>
      </top>
      <bottom/>
      <diagonal/>
    </border>
    <border>
      <left style="medium">
        <color indexed="64"/>
      </left>
      <right/>
      <top style="thick">
        <color indexed="64"/>
      </top>
      <bottom/>
      <diagonal/>
    </border>
    <border>
      <left/>
      <right style="medium">
        <color indexed="64"/>
      </right>
      <top style="thick">
        <color indexed="64"/>
      </top>
      <bottom/>
      <diagonal/>
    </border>
    <border>
      <left style="thin">
        <color theme="0"/>
      </left>
      <right style="thin">
        <color theme="0"/>
      </right>
      <top/>
      <bottom/>
      <diagonal/>
    </border>
    <border>
      <left style="medium">
        <color theme="0"/>
      </left>
      <right style="thin">
        <color theme="0"/>
      </right>
      <top/>
      <bottom/>
      <diagonal/>
    </border>
    <border>
      <left style="thin">
        <color indexed="64"/>
      </left>
      <right style="thin">
        <color theme="0"/>
      </right>
      <top/>
      <bottom/>
      <diagonal/>
    </border>
    <border>
      <left style="thin">
        <color theme="0"/>
      </left>
      <right style="thin">
        <color indexed="64"/>
      </right>
      <top/>
      <bottom/>
      <diagonal/>
    </border>
    <border>
      <left style="thin">
        <color indexed="64"/>
      </left>
      <right style="thin">
        <color theme="0"/>
      </right>
      <top style="thin">
        <color indexed="64"/>
      </top>
      <bottom/>
      <diagonal/>
    </border>
    <border>
      <left style="thin">
        <color indexed="64"/>
      </left>
      <right style="thin">
        <color theme="0"/>
      </right>
      <top/>
      <bottom style="thin">
        <color indexed="64"/>
      </bottom>
      <diagonal/>
    </border>
    <border>
      <left style="thin">
        <color theme="0"/>
      </left>
      <right style="thin">
        <color indexed="64"/>
      </right>
      <top/>
      <bottom style="thin">
        <color indexed="64"/>
      </bottom>
      <diagonal/>
    </border>
    <border>
      <left style="thin">
        <color theme="0"/>
      </left>
      <right style="thin">
        <color indexed="64"/>
      </right>
      <top style="thin">
        <color indexed="64"/>
      </top>
      <bottom/>
      <diagonal/>
    </border>
  </borders>
  <cellStyleXfs count="7">
    <xf numFmtId="0" fontId="0" fillId="0" borderId="0"/>
    <xf numFmtId="164" fontId="4" fillId="0" borderId="0" applyFont="0" applyFill="0" applyBorder="0" applyAlignment="0" applyProtection="0"/>
    <xf numFmtId="9" fontId="4" fillId="0" borderId="0" applyFont="0" applyFill="0" applyBorder="0" applyAlignment="0" applyProtection="0"/>
    <xf numFmtId="0" fontId="5" fillId="0" borderId="0"/>
    <xf numFmtId="164" fontId="5" fillId="0" borderId="0" applyFont="0" applyFill="0" applyBorder="0" applyAlignment="0" applyProtection="0"/>
    <xf numFmtId="9" fontId="5" fillId="0" borderId="0" applyFont="0" applyFill="0" applyBorder="0" applyAlignment="0" applyProtection="0"/>
    <xf numFmtId="0" fontId="4" fillId="0" borderId="0"/>
  </cellStyleXfs>
  <cellXfs count="540">
    <xf numFmtId="0" fontId="0" fillId="0" borderId="0" xfId="0"/>
    <xf numFmtId="3" fontId="0" fillId="0" borderId="0" xfId="0" applyNumberFormat="1"/>
    <xf numFmtId="9" fontId="0" fillId="0" borderId="0" xfId="0" applyNumberFormat="1"/>
    <xf numFmtId="0" fontId="0" fillId="0" borderId="1" xfId="0" applyBorder="1"/>
    <xf numFmtId="0" fontId="0" fillId="0" borderId="2" xfId="0" applyBorder="1"/>
    <xf numFmtId="0" fontId="6" fillId="0" borderId="0" xfId="0" applyFont="1"/>
    <xf numFmtId="0" fontId="0" fillId="0" borderId="0" xfId="0" applyAlignment="1">
      <alignment horizontal="right"/>
    </xf>
    <xf numFmtId="0" fontId="0" fillId="0" borderId="4" xfId="0" applyBorder="1"/>
    <xf numFmtId="0" fontId="0" fillId="0" borderId="5" xfId="0" applyBorder="1"/>
    <xf numFmtId="0" fontId="0" fillId="0" borderId="7" xfId="0" applyBorder="1"/>
    <xf numFmtId="0" fontId="0" fillId="0" borderId="9" xfId="0" applyBorder="1"/>
    <xf numFmtId="0" fontId="0" fillId="0" borderId="8" xfId="0" applyBorder="1"/>
    <xf numFmtId="0" fontId="0" fillId="0" borderId="10" xfId="0" applyBorder="1"/>
    <xf numFmtId="1" fontId="0" fillId="0" borderId="4" xfId="0" applyNumberFormat="1" applyBorder="1"/>
    <xf numFmtId="0" fontId="6" fillId="0" borderId="7" xfId="0" applyFont="1" applyBorder="1"/>
    <xf numFmtId="166" fontId="0" fillId="0" borderId="0" xfId="2" applyNumberFormat="1" applyFont="1" applyBorder="1"/>
    <xf numFmtId="0" fontId="0" fillId="0" borderId="4" xfId="0" applyBorder="1" applyAlignment="1">
      <alignment horizontal="left"/>
    </xf>
    <xf numFmtId="0" fontId="0" fillId="0" borderId="18" xfId="0" applyBorder="1"/>
    <xf numFmtId="0" fontId="6" fillId="0" borderId="4" xfId="0" applyFont="1" applyBorder="1"/>
    <xf numFmtId="0" fontId="0" fillId="0" borderId="19" xfId="0" applyBorder="1"/>
    <xf numFmtId="0" fontId="0" fillId="0" borderId="20" xfId="0" applyBorder="1"/>
    <xf numFmtId="0" fontId="0" fillId="0" borderId="21" xfId="0" applyBorder="1"/>
    <xf numFmtId="0" fontId="0" fillId="10" borderId="23" xfId="0" applyFill="1" applyBorder="1"/>
    <xf numFmtId="9" fontId="0" fillId="10" borderId="24" xfId="0" applyNumberFormat="1" applyFill="1" applyBorder="1"/>
    <xf numFmtId="0" fontId="0" fillId="10" borderId="26" xfId="0" applyFill="1" applyBorder="1"/>
    <xf numFmtId="0" fontId="0" fillId="10" borderId="27" xfId="0" applyFill="1" applyBorder="1"/>
    <xf numFmtId="0" fontId="0" fillId="10" borderId="28" xfId="0" applyFill="1" applyBorder="1"/>
    <xf numFmtId="3" fontId="0" fillId="10" borderId="24" xfId="0" applyNumberFormat="1" applyFill="1" applyBorder="1"/>
    <xf numFmtId="0" fontId="6" fillId="0" borderId="0" xfId="0" applyFont="1" applyAlignment="1">
      <alignment horizontal="center"/>
    </xf>
    <xf numFmtId="166" fontId="0" fillId="0" borderId="0" xfId="0" applyNumberFormat="1"/>
    <xf numFmtId="3" fontId="0" fillId="10" borderId="34" xfId="0" applyNumberFormat="1" applyFill="1" applyBorder="1"/>
    <xf numFmtId="0" fontId="0" fillId="10" borderId="33" xfId="0" applyFill="1" applyBorder="1"/>
    <xf numFmtId="0" fontId="0" fillId="10" borderId="29" xfId="0" applyFill="1" applyBorder="1"/>
    <xf numFmtId="9" fontId="0" fillId="10" borderId="34" xfId="0" applyNumberFormat="1" applyFill="1" applyBorder="1"/>
    <xf numFmtId="10" fontId="0" fillId="10" borderId="34" xfId="0" applyNumberFormat="1" applyFill="1" applyBorder="1"/>
    <xf numFmtId="3" fontId="6" fillId="0" borderId="0" xfId="0" applyNumberFormat="1" applyFont="1"/>
    <xf numFmtId="9" fontId="0" fillId="10" borderId="29" xfId="0" applyNumberFormat="1" applyFill="1" applyBorder="1"/>
    <xf numFmtId="3" fontId="5" fillId="0" borderId="0" xfId="0" applyNumberFormat="1" applyFont="1"/>
    <xf numFmtId="167" fontId="0" fillId="0" borderId="0" xfId="0" applyNumberFormat="1"/>
    <xf numFmtId="0" fontId="6" fillId="13" borderId="12" xfId="0" applyFont="1" applyFill="1" applyBorder="1" applyAlignment="1">
      <alignment horizontal="center"/>
    </xf>
    <xf numFmtId="0" fontId="12" fillId="0" borderId="0" xfId="0" applyFont="1"/>
    <xf numFmtId="0" fontId="11" fillId="0" borderId="0" xfId="0" applyFont="1"/>
    <xf numFmtId="49" fontId="13" fillId="0" borderId="0" xfId="0" applyNumberFormat="1" applyFont="1" applyAlignment="1">
      <alignment horizontal="left" vertical="top"/>
    </xf>
    <xf numFmtId="10" fontId="12" fillId="0" borderId="0" xfId="2" applyNumberFormat="1" applyFont="1"/>
    <xf numFmtId="0" fontId="4" fillId="12" borderId="0" xfId="0" applyFont="1" applyFill="1"/>
    <xf numFmtId="0" fontId="4" fillId="0" borderId="0" xfId="0" applyFont="1"/>
    <xf numFmtId="3" fontId="4" fillId="12" borderId="0" xfId="0" applyNumberFormat="1" applyFont="1" applyFill="1"/>
    <xf numFmtId="0" fontId="6" fillId="0" borderId="2" xfId="0" applyFont="1" applyBorder="1"/>
    <xf numFmtId="0" fontId="22" fillId="0" borderId="2" xfId="2" applyNumberFormat="1" applyFont="1" applyFill="1" applyBorder="1" applyProtection="1">
      <protection hidden="1"/>
    </xf>
    <xf numFmtId="0" fontId="4" fillId="12" borderId="4" xfId="0" applyFont="1" applyFill="1" applyBorder="1"/>
    <xf numFmtId="0" fontId="6" fillId="12" borderId="0" xfId="0" applyFont="1" applyFill="1"/>
    <xf numFmtId="0" fontId="4" fillId="12" borderId="5" xfId="0" applyFont="1" applyFill="1" applyBorder="1"/>
    <xf numFmtId="0" fontId="4" fillId="12" borderId="1" xfId="0" applyFont="1" applyFill="1" applyBorder="1"/>
    <xf numFmtId="20" fontId="4" fillId="0" borderId="0" xfId="0" applyNumberFormat="1" applyFont="1" applyAlignment="1">
      <alignment horizontal="center"/>
    </xf>
    <xf numFmtId="9" fontId="4" fillId="0" borderId="0" xfId="2" applyFont="1" applyFill="1" applyBorder="1" applyProtection="1">
      <protection hidden="1"/>
    </xf>
    <xf numFmtId="14" fontId="4" fillId="0" borderId="36" xfId="0" applyNumberFormat="1" applyFont="1" applyBorder="1" applyAlignment="1">
      <alignment horizontal="center"/>
    </xf>
    <xf numFmtId="14" fontId="4" fillId="12" borderId="0" xfId="0" applyNumberFormat="1" applyFont="1" applyFill="1"/>
    <xf numFmtId="0" fontId="4" fillId="0" borderId="0" xfId="0" applyFont="1" applyAlignment="1">
      <alignment horizontal="center"/>
    </xf>
    <xf numFmtId="0" fontId="4" fillId="12" borderId="0" xfId="0" applyFont="1" applyFill="1" applyAlignment="1">
      <alignment shrinkToFit="1"/>
    </xf>
    <xf numFmtId="0" fontId="4" fillId="0" borderId="25" xfId="0" applyFont="1" applyBorder="1"/>
    <xf numFmtId="0" fontId="23" fillId="12" borderId="5" xfId="0" applyFont="1" applyFill="1" applyBorder="1"/>
    <xf numFmtId="3" fontId="4" fillId="0" borderId="0" xfId="0" applyNumberFormat="1" applyFont="1" applyAlignment="1">
      <alignment horizontal="center"/>
    </xf>
    <xf numFmtId="165" fontId="4" fillId="0" borderId="0" xfId="0" applyNumberFormat="1" applyFont="1" applyProtection="1">
      <protection hidden="1"/>
    </xf>
    <xf numFmtId="0" fontId="4" fillId="0" borderId="0" xfId="2" applyNumberFormat="1" applyFont="1" applyFill="1" applyBorder="1"/>
    <xf numFmtId="0" fontId="4" fillId="0" borderId="0" xfId="0" quotePrefix="1" applyFont="1" applyAlignment="1">
      <alignment horizontal="center"/>
    </xf>
    <xf numFmtId="165" fontId="4" fillId="12" borderId="0" xfId="0" applyNumberFormat="1" applyFont="1" applyFill="1" applyProtection="1">
      <protection hidden="1"/>
    </xf>
    <xf numFmtId="3" fontId="4" fillId="12" borderId="0" xfId="0" applyNumberFormat="1" applyFont="1" applyFill="1" applyAlignment="1">
      <alignment horizontal="right"/>
    </xf>
    <xf numFmtId="0" fontId="4" fillId="12" borderId="0" xfId="0" quotePrefix="1" applyFont="1" applyFill="1"/>
    <xf numFmtId="165" fontId="4" fillId="12" borderId="2" xfId="0" applyNumberFormat="1" applyFont="1" applyFill="1" applyBorder="1" applyProtection="1">
      <protection hidden="1"/>
    </xf>
    <xf numFmtId="0" fontId="4" fillId="12" borderId="2" xfId="0" applyFont="1" applyFill="1" applyBorder="1"/>
    <xf numFmtId="3" fontId="4" fillId="12" borderId="2" xfId="0" applyNumberFormat="1" applyFont="1" applyFill="1" applyBorder="1" applyAlignment="1">
      <alignment horizontal="right"/>
    </xf>
    <xf numFmtId="0" fontId="4" fillId="12" borderId="2" xfId="0" quotePrefix="1" applyFont="1" applyFill="1" applyBorder="1"/>
    <xf numFmtId="0" fontId="4" fillId="12" borderId="10" xfId="0" applyFont="1" applyFill="1" applyBorder="1"/>
    <xf numFmtId="0" fontId="4" fillId="0" borderId="2" xfId="0" applyFont="1" applyBorder="1"/>
    <xf numFmtId="0" fontId="23" fillId="12" borderId="10" xfId="0" applyFont="1" applyFill="1" applyBorder="1"/>
    <xf numFmtId="0" fontId="6" fillId="0" borderId="9" xfId="0" applyFont="1" applyBorder="1" applyAlignment="1">
      <alignment horizontal="center"/>
    </xf>
    <xf numFmtId="0" fontId="4" fillId="0" borderId="2" xfId="0" applyFont="1" applyBorder="1" applyAlignment="1">
      <alignment horizontal="center"/>
    </xf>
    <xf numFmtId="0" fontId="4" fillId="0" borderId="10" xfId="0" applyFont="1" applyBorder="1" applyAlignment="1">
      <alignment horizontal="center"/>
    </xf>
    <xf numFmtId="0" fontId="24" fillId="0" borderId="9" xfId="0" applyFont="1" applyBorder="1" applyAlignment="1">
      <alignment horizontal="left"/>
    </xf>
    <xf numFmtId="0" fontId="4" fillId="12" borderId="8" xfId="0" applyFont="1" applyFill="1" applyBorder="1"/>
    <xf numFmtId="0" fontId="4" fillId="0" borderId="1" xfId="0" applyFont="1" applyBorder="1"/>
    <xf numFmtId="0" fontId="4" fillId="0" borderId="8" xfId="0" applyFont="1" applyBorder="1" applyAlignment="1">
      <alignment horizontal="left"/>
    </xf>
    <xf numFmtId="0" fontId="4" fillId="0" borderId="7" xfId="0" applyFont="1" applyBorder="1" applyAlignment="1">
      <alignment horizontal="left"/>
    </xf>
    <xf numFmtId="0" fontId="4" fillId="0" borderId="1" xfId="0" applyFont="1" applyBorder="1" applyAlignment="1">
      <alignment horizontal="left"/>
    </xf>
    <xf numFmtId="0" fontId="4" fillId="0" borderId="3" xfId="0" applyFont="1" applyBorder="1" applyAlignment="1">
      <alignment horizontal="left"/>
    </xf>
    <xf numFmtId="3" fontId="4" fillId="0" borderId="8" xfId="0" applyNumberFormat="1" applyFont="1" applyBorder="1"/>
    <xf numFmtId="3" fontId="4" fillId="0" borderId="7" xfId="0" applyNumberFormat="1" applyFont="1" applyBorder="1"/>
    <xf numFmtId="10" fontId="4" fillId="0" borderId="1" xfId="2" applyNumberFormat="1" applyFont="1" applyBorder="1" applyAlignment="1">
      <alignment horizontal="center" vertical="center"/>
    </xf>
    <xf numFmtId="3" fontId="4" fillId="0" borderId="1" xfId="0" applyNumberFormat="1" applyFont="1" applyBorder="1"/>
    <xf numFmtId="0" fontId="4" fillId="0" borderId="4" xfId="0" applyFont="1" applyBorder="1" applyAlignment="1">
      <alignment horizontal="left"/>
    </xf>
    <xf numFmtId="165" fontId="4" fillId="0" borderId="0" xfId="0" applyNumberFormat="1" applyFont="1"/>
    <xf numFmtId="3" fontId="4" fillId="0" borderId="5" xfId="0" applyNumberFormat="1" applyFont="1" applyBorder="1"/>
    <xf numFmtId="3" fontId="4" fillId="0" borderId="4" xfId="0" applyNumberFormat="1" applyFont="1" applyBorder="1"/>
    <xf numFmtId="0" fontId="4" fillId="0" borderId="0" xfId="0" applyFont="1" applyAlignment="1">
      <alignment horizontal="center" vertical="center"/>
    </xf>
    <xf numFmtId="3" fontId="4" fillId="0" borderId="0" xfId="0" applyNumberFormat="1" applyFont="1"/>
    <xf numFmtId="3" fontId="4" fillId="0" borderId="14" xfId="0" applyNumberFormat="1" applyFont="1" applyBorder="1"/>
    <xf numFmtId="3" fontId="4" fillId="0" borderId="13" xfId="0" applyNumberFormat="1" applyFont="1" applyBorder="1"/>
    <xf numFmtId="3" fontId="4" fillId="0" borderId="15" xfId="0" applyNumberFormat="1" applyFont="1" applyBorder="1"/>
    <xf numFmtId="165" fontId="4" fillId="0" borderId="1" xfId="0" applyNumberFormat="1" applyFont="1" applyBorder="1"/>
    <xf numFmtId="3" fontId="6" fillId="0" borderId="4" xfId="0" applyNumberFormat="1" applyFont="1" applyBorder="1"/>
    <xf numFmtId="3" fontId="6" fillId="0" borderId="5" xfId="0" applyNumberFormat="1" applyFont="1" applyBorder="1"/>
    <xf numFmtId="0" fontId="4" fillId="0" borderId="4" xfId="0" applyFont="1" applyBorder="1"/>
    <xf numFmtId="0" fontId="4" fillId="0" borderId="5" xfId="0" applyFont="1" applyBorder="1"/>
    <xf numFmtId="0" fontId="4" fillId="0" borderId="14" xfId="0" applyFont="1" applyBorder="1"/>
    <xf numFmtId="0" fontId="4" fillId="0" borderId="13" xfId="0" applyFont="1" applyBorder="1"/>
    <xf numFmtId="49" fontId="3" fillId="15" borderId="46" xfId="0" applyNumberFormat="1" applyFont="1" applyFill="1" applyBorder="1"/>
    <xf numFmtId="9" fontId="6" fillId="0" borderId="2" xfId="2" applyFont="1" applyBorder="1"/>
    <xf numFmtId="0" fontId="4" fillId="0" borderId="4" xfId="0" applyFont="1" applyBorder="1" applyAlignment="1">
      <alignment horizontal="center"/>
    </xf>
    <xf numFmtId="49" fontId="4" fillId="0" borderId="0" xfId="0" applyNumberFormat="1" applyFont="1"/>
    <xf numFmtId="3" fontId="4" fillId="0" borderId="0" xfId="2" applyNumberFormat="1" applyFont="1" applyBorder="1"/>
    <xf numFmtId="166" fontId="4" fillId="0" borderId="0" xfId="2" applyNumberFormat="1" applyFont="1" applyBorder="1"/>
    <xf numFmtId="2" fontId="4" fillId="0" borderId="0" xfId="0" applyNumberFormat="1" applyFont="1" applyAlignment="1">
      <alignment horizontal="center"/>
    </xf>
    <xf numFmtId="49" fontId="3" fillId="14" borderId="47" xfId="0" applyNumberFormat="1" applyFont="1" applyFill="1" applyBorder="1"/>
    <xf numFmtId="0" fontId="16" fillId="30" borderId="0" xfId="0" applyFont="1" applyFill="1"/>
    <xf numFmtId="49" fontId="3" fillId="14" borderId="43" xfId="0" applyNumberFormat="1" applyFont="1" applyFill="1" applyBorder="1"/>
    <xf numFmtId="49" fontId="3" fillId="15" borderId="43" xfId="0" applyNumberFormat="1" applyFont="1" applyFill="1" applyBorder="1"/>
    <xf numFmtId="0" fontId="4" fillId="0" borderId="0" xfId="0" applyFont="1" applyAlignment="1">
      <alignment horizontal="left"/>
    </xf>
    <xf numFmtId="0" fontId="4" fillId="12" borderId="0" xfId="0" applyFont="1" applyFill="1" applyAlignment="1">
      <alignment horizontal="center"/>
    </xf>
    <xf numFmtId="166" fontId="4" fillId="0" borderId="0" xfId="0" applyNumberFormat="1" applyFont="1"/>
    <xf numFmtId="3" fontId="4" fillId="0" borderId="2" xfId="2" applyNumberFormat="1" applyFont="1" applyBorder="1"/>
    <xf numFmtId="166" fontId="4" fillId="0" borderId="2" xfId="2" applyNumberFormat="1" applyFont="1" applyBorder="1"/>
    <xf numFmtId="0" fontId="17" fillId="31" borderId="9" xfId="0" applyFont="1" applyFill="1" applyBorder="1"/>
    <xf numFmtId="3" fontId="17" fillId="31" borderId="2" xfId="0" applyNumberFormat="1" applyFont="1" applyFill="1" applyBorder="1"/>
    <xf numFmtId="166" fontId="6" fillId="0" borderId="0" xfId="2" applyNumberFormat="1" applyFont="1" applyFill="1" applyBorder="1"/>
    <xf numFmtId="0" fontId="23" fillId="0" borderId="0" xfId="0" applyFont="1"/>
    <xf numFmtId="0" fontId="26" fillId="0" borderId="0" xfId="0" applyFont="1"/>
    <xf numFmtId="0" fontId="23" fillId="0" borderId="0" xfId="0" applyFont="1" applyAlignment="1">
      <alignment horizontal="center"/>
    </xf>
    <xf numFmtId="0" fontId="27" fillId="0" borderId="0" xfId="0" applyFont="1"/>
    <xf numFmtId="2" fontId="23" fillId="0" borderId="0" xfId="0" applyNumberFormat="1" applyFont="1"/>
    <xf numFmtId="0" fontId="28" fillId="0" borderId="0" xfId="0" applyFont="1"/>
    <xf numFmtId="49" fontId="4" fillId="13" borderId="33" xfId="0" applyNumberFormat="1" applyFont="1" applyFill="1" applyBorder="1" applyAlignment="1">
      <alignment horizontal="center"/>
    </xf>
    <xf numFmtId="14" fontId="4" fillId="13" borderId="24" xfId="0" applyNumberFormat="1" applyFont="1" applyFill="1" applyBorder="1" applyAlignment="1">
      <alignment horizontal="center"/>
    </xf>
    <xf numFmtId="1" fontId="4" fillId="13" borderId="29" xfId="0" applyNumberFormat="1" applyFont="1" applyFill="1" applyBorder="1" applyAlignment="1">
      <alignment horizontal="center"/>
    </xf>
    <xf numFmtId="1" fontId="4" fillId="13" borderId="34" xfId="0" applyNumberFormat="1" applyFont="1" applyFill="1" applyBorder="1" applyAlignment="1">
      <alignment horizontal="center"/>
    </xf>
    <xf numFmtId="49" fontId="4" fillId="0" borderId="0" xfId="0" applyNumberFormat="1" applyFont="1" applyAlignment="1">
      <alignment horizontal="center"/>
    </xf>
    <xf numFmtId="49" fontId="6" fillId="0" borderId="0" xfId="0" applyNumberFormat="1" applyFont="1" applyAlignment="1">
      <alignment horizontal="center" vertical="top" wrapText="1"/>
    </xf>
    <xf numFmtId="49" fontId="4" fillId="0" borderId="0" xfId="0" applyNumberFormat="1" applyFont="1" applyAlignment="1">
      <alignment horizontal="center" wrapText="1"/>
    </xf>
    <xf numFmtId="0" fontId="4" fillId="16" borderId="0" xfId="0" applyFont="1" applyFill="1" applyAlignment="1">
      <alignment horizontal="center"/>
    </xf>
    <xf numFmtId="20" fontId="4" fillId="16" borderId="0" xfId="0" applyNumberFormat="1" applyFont="1" applyFill="1" applyAlignment="1">
      <alignment horizontal="center"/>
    </xf>
    <xf numFmtId="10" fontId="4" fillId="0" borderId="0" xfId="2" applyNumberFormat="1" applyFont="1" applyFill="1" applyBorder="1"/>
    <xf numFmtId="3" fontId="4" fillId="0" borderId="0" xfId="2" applyNumberFormat="1" applyFont="1" applyFill="1" applyBorder="1"/>
    <xf numFmtId="3" fontId="4" fillId="16" borderId="0" xfId="2" applyNumberFormat="1" applyFont="1" applyFill="1" applyBorder="1"/>
    <xf numFmtId="0" fontId="4" fillId="16" borderId="0" xfId="0" applyFont="1" applyFill="1"/>
    <xf numFmtId="9" fontId="4" fillId="0" borderId="0" xfId="2" applyFont="1" applyFill="1" applyBorder="1"/>
    <xf numFmtId="0" fontId="6" fillId="16" borderId="0" xfId="0" applyFont="1" applyFill="1" applyAlignment="1">
      <alignment horizontal="center"/>
    </xf>
    <xf numFmtId="20" fontId="6" fillId="16" borderId="0" xfId="0" applyNumberFormat="1" applyFont="1" applyFill="1" applyAlignment="1">
      <alignment horizontal="center"/>
    </xf>
    <xf numFmtId="10" fontId="6" fillId="0" borderId="0" xfId="2" applyNumberFormat="1" applyFont="1" applyFill="1" applyBorder="1"/>
    <xf numFmtId="3" fontId="6" fillId="0" borderId="0" xfId="2" applyNumberFormat="1" applyFont="1" applyFill="1" applyBorder="1"/>
    <xf numFmtId="3" fontId="6" fillId="0" borderId="0" xfId="0" applyNumberFormat="1" applyFont="1" applyAlignment="1">
      <alignment horizontal="center"/>
    </xf>
    <xf numFmtId="0" fontId="6" fillId="16" borderId="0" xfId="0" applyFont="1" applyFill="1"/>
    <xf numFmtId="9" fontId="6" fillId="0" borderId="0" xfId="2" applyFont="1" applyFill="1" applyBorder="1"/>
    <xf numFmtId="49" fontId="6" fillId="0" borderId="0" xfId="0" applyNumberFormat="1" applyFont="1" applyAlignment="1">
      <alignment horizontal="center" vertical="top"/>
    </xf>
    <xf numFmtId="20" fontId="4" fillId="16" borderId="0" xfId="0" applyNumberFormat="1" applyFont="1" applyFill="1"/>
    <xf numFmtId="3" fontId="4" fillId="13" borderId="0" xfId="0" applyNumberFormat="1" applyFont="1" applyFill="1" applyAlignment="1">
      <alignment horizontal="center"/>
    </xf>
    <xf numFmtId="3" fontId="4" fillId="16" borderId="0" xfId="0" applyNumberFormat="1" applyFont="1" applyFill="1"/>
    <xf numFmtId="4" fontId="4" fillId="0" borderId="0" xfId="0" applyNumberFormat="1" applyFont="1"/>
    <xf numFmtId="9" fontId="4" fillId="0" borderId="0" xfId="0" applyNumberFormat="1" applyFont="1"/>
    <xf numFmtId="10" fontId="4" fillId="0" borderId="0" xfId="0" applyNumberFormat="1" applyFont="1"/>
    <xf numFmtId="3" fontId="4" fillId="13" borderId="0" xfId="0" applyNumberFormat="1" applyFont="1" applyFill="1"/>
    <xf numFmtId="20" fontId="4" fillId="0" borderId="0" xfId="0" applyNumberFormat="1" applyFont="1"/>
    <xf numFmtId="20" fontId="6" fillId="16" borderId="0" xfId="0" applyNumberFormat="1" applyFont="1" applyFill="1"/>
    <xf numFmtId="3" fontId="6" fillId="13" borderId="0" xfId="0" applyNumberFormat="1" applyFont="1" applyFill="1" applyAlignment="1">
      <alignment horizontal="center"/>
    </xf>
    <xf numFmtId="3" fontId="6" fillId="16" borderId="0" xfId="0" applyNumberFormat="1" applyFont="1" applyFill="1"/>
    <xf numFmtId="4" fontId="6" fillId="0" borderId="0" xfId="0" applyNumberFormat="1" applyFont="1"/>
    <xf numFmtId="9" fontId="6" fillId="0" borderId="0" xfId="0" applyNumberFormat="1" applyFont="1"/>
    <xf numFmtId="10" fontId="6" fillId="0" borderId="0" xfId="0" applyNumberFormat="1" applyFont="1"/>
    <xf numFmtId="3" fontId="6" fillId="13" borderId="0" xfId="0" applyNumberFormat="1" applyFont="1" applyFill="1"/>
    <xf numFmtId="20" fontId="6" fillId="0" borderId="0" xfId="0" applyNumberFormat="1" applyFont="1"/>
    <xf numFmtId="0" fontId="4" fillId="0" borderId="0" xfId="0" quotePrefix="1" applyFont="1" applyAlignment="1">
      <alignment horizontal="left" vertical="top"/>
    </xf>
    <xf numFmtId="18" fontId="4" fillId="0" borderId="0" xfId="0" applyNumberFormat="1" applyFont="1"/>
    <xf numFmtId="49" fontId="6" fillId="0" borderId="4" xfId="0" applyNumberFormat="1" applyFont="1" applyBorder="1" applyAlignment="1">
      <alignment horizontal="center" vertical="top" wrapText="1"/>
    </xf>
    <xf numFmtId="49" fontId="6" fillId="0" borderId="0" xfId="0" applyNumberFormat="1" applyFont="1" applyAlignment="1">
      <alignment horizontal="left" vertical="top" wrapText="1"/>
    </xf>
    <xf numFmtId="49" fontId="6" fillId="0" borderId="5" xfId="0" applyNumberFormat="1" applyFont="1" applyBorder="1" applyAlignment="1">
      <alignment horizontal="center" vertical="top" wrapText="1"/>
    </xf>
    <xf numFmtId="0" fontId="6" fillId="0" borderId="0" xfId="0" applyFont="1" applyAlignment="1">
      <alignment horizontal="right"/>
    </xf>
    <xf numFmtId="0" fontId="6" fillId="0" borderId="0" xfId="0" quotePrefix="1" applyFont="1"/>
    <xf numFmtId="0" fontId="4" fillId="29" borderId="0" xfId="0" applyFont="1" applyFill="1" applyAlignment="1">
      <alignment horizontal="center"/>
    </xf>
    <xf numFmtId="3" fontId="4" fillId="0" borderId="0" xfId="0" applyNumberFormat="1" applyFont="1" applyAlignment="1">
      <alignment horizontal="right"/>
    </xf>
    <xf numFmtId="0" fontId="4" fillId="0" borderId="0" xfId="0" applyFont="1" applyAlignment="1">
      <alignment horizontal="right"/>
    </xf>
    <xf numFmtId="20" fontId="4" fillId="18" borderId="0" xfId="0" applyNumberFormat="1" applyFont="1" applyFill="1"/>
    <xf numFmtId="0" fontId="4" fillId="13" borderId="0" xfId="0" applyFont="1" applyFill="1"/>
    <xf numFmtId="10" fontId="4" fillId="0" borderId="0" xfId="2" applyNumberFormat="1" applyFont="1" applyBorder="1"/>
    <xf numFmtId="3" fontId="4" fillId="25" borderId="0" xfId="0" applyNumberFormat="1" applyFont="1" applyFill="1" applyAlignment="1">
      <alignment horizontal="center"/>
    </xf>
    <xf numFmtId="3" fontId="4" fillId="19" borderId="0" xfId="0" applyNumberFormat="1" applyFont="1" applyFill="1" applyAlignment="1">
      <alignment horizontal="center"/>
    </xf>
    <xf numFmtId="3" fontId="4" fillId="20" borderId="0" xfId="0" applyNumberFormat="1" applyFont="1" applyFill="1" applyAlignment="1">
      <alignment horizontal="center"/>
    </xf>
    <xf numFmtId="3" fontId="4" fillId="23" borderId="0" xfId="0" applyNumberFormat="1" applyFont="1" applyFill="1" applyAlignment="1">
      <alignment horizontal="center"/>
    </xf>
    <xf numFmtId="3" fontId="4" fillId="22" borderId="0" xfId="0" applyNumberFormat="1" applyFont="1" applyFill="1" applyAlignment="1">
      <alignment horizontal="center"/>
    </xf>
    <xf numFmtId="3" fontId="4" fillId="21" borderId="0" xfId="0" applyNumberFormat="1" applyFont="1" applyFill="1" applyAlignment="1">
      <alignment horizontal="center"/>
    </xf>
    <xf numFmtId="3" fontId="4" fillId="24" borderId="0" xfId="0" applyNumberFormat="1" applyFont="1" applyFill="1" applyAlignment="1">
      <alignment horizontal="center"/>
    </xf>
    <xf numFmtId="0" fontId="4" fillId="9" borderId="0" xfId="0" applyFont="1" applyFill="1" applyAlignment="1">
      <alignment horizontal="center"/>
    </xf>
    <xf numFmtId="0" fontId="4" fillId="24" borderId="0" xfId="0" applyFont="1" applyFill="1" applyAlignment="1">
      <alignment horizontal="center"/>
    </xf>
    <xf numFmtId="0" fontId="4" fillId="19" borderId="0" xfId="0" applyFont="1" applyFill="1" applyAlignment="1">
      <alignment horizontal="center"/>
    </xf>
    <xf numFmtId="0" fontId="4" fillId="22" borderId="0" xfId="0" applyFont="1" applyFill="1" applyAlignment="1">
      <alignment horizontal="center"/>
    </xf>
    <xf numFmtId="0" fontId="4" fillId="21" borderId="0" xfId="0" applyFont="1" applyFill="1" applyAlignment="1">
      <alignment horizontal="center"/>
    </xf>
    <xf numFmtId="0" fontId="6" fillId="29" borderId="0" xfId="0" applyFont="1" applyFill="1" applyAlignment="1">
      <alignment horizontal="center"/>
    </xf>
    <xf numFmtId="20" fontId="6" fillId="18" borderId="0" xfId="0" applyNumberFormat="1" applyFont="1" applyFill="1"/>
    <xf numFmtId="3" fontId="6" fillId="24" borderId="0" xfId="0" applyNumberFormat="1" applyFont="1" applyFill="1" applyAlignment="1">
      <alignment horizontal="center"/>
    </xf>
    <xf numFmtId="3" fontId="6" fillId="19" borderId="0" xfId="0" applyNumberFormat="1" applyFont="1" applyFill="1" applyAlignment="1">
      <alignment horizontal="center"/>
    </xf>
    <xf numFmtId="3" fontId="6" fillId="20" borderId="0" xfId="0" applyNumberFormat="1" applyFont="1" applyFill="1" applyAlignment="1">
      <alignment horizontal="center"/>
    </xf>
    <xf numFmtId="3" fontId="6" fillId="23" borderId="0" xfId="0" applyNumberFormat="1" applyFont="1" applyFill="1" applyAlignment="1">
      <alignment horizontal="center"/>
    </xf>
    <xf numFmtId="3" fontId="6" fillId="22" borderId="0" xfId="0" applyNumberFormat="1" applyFont="1" applyFill="1" applyAlignment="1">
      <alignment horizontal="center"/>
    </xf>
    <xf numFmtId="3" fontId="6" fillId="21" borderId="0" xfId="0" applyNumberFormat="1" applyFont="1" applyFill="1" applyAlignment="1">
      <alignment horizontal="center"/>
    </xf>
    <xf numFmtId="0" fontId="6" fillId="13" borderId="0" xfId="0" applyFont="1" applyFill="1"/>
    <xf numFmtId="20" fontId="4" fillId="11" borderId="0" xfId="0" applyNumberFormat="1" applyFont="1" applyFill="1" applyAlignment="1">
      <alignment horizontal="center"/>
    </xf>
    <xf numFmtId="0" fontId="6" fillId="24" borderId="0" xfId="0" applyFont="1" applyFill="1" applyAlignment="1">
      <alignment horizontal="center"/>
    </xf>
    <xf numFmtId="0" fontId="6" fillId="19" borderId="0" xfId="0" applyFont="1" applyFill="1" applyAlignment="1">
      <alignment horizontal="center"/>
    </xf>
    <xf numFmtId="0" fontId="6" fillId="22" borderId="0" xfId="0" applyFont="1" applyFill="1" applyAlignment="1">
      <alignment horizontal="center"/>
    </xf>
    <xf numFmtId="0" fontId="6" fillId="21" borderId="0" xfId="0" applyFont="1" applyFill="1" applyAlignment="1">
      <alignment horizontal="center"/>
    </xf>
    <xf numFmtId="3" fontId="6" fillId="25" borderId="0" xfId="0" applyNumberFormat="1" applyFont="1" applyFill="1" applyAlignment="1">
      <alignment horizontal="center"/>
    </xf>
    <xf numFmtId="0" fontId="6" fillId="27" borderId="0" xfId="0" applyFont="1" applyFill="1"/>
    <xf numFmtId="0" fontId="31" fillId="27" borderId="0" xfId="0" quotePrefix="1" applyFont="1" applyFill="1" applyAlignment="1">
      <alignment horizontal="center"/>
    </xf>
    <xf numFmtId="0" fontId="4" fillId="27" borderId="0" xfId="0" applyFont="1" applyFill="1"/>
    <xf numFmtId="49" fontId="6" fillId="27" borderId="0" xfId="0" applyNumberFormat="1" applyFont="1" applyFill="1" applyAlignment="1">
      <alignment horizontal="center" vertical="top"/>
    </xf>
    <xf numFmtId="49" fontId="31" fillId="0" borderId="0" xfId="0" applyNumberFormat="1" applyFont="1" applyAlignment="1">
      <alignment horizontal="center" vertical="top" wrapText="1"/>
    </xf>
    <xf numFmtId="49" fontId="6" fillId="0" borderId="0" xfId="0" applyNumberFormat="1" applyFont="1" applyAlignment="1">
      <alignment vertical="top" wrapText="1"/>
    </xf>
    <xf numFmtId="3" fontId="4" fillId="29" borderId="0" xfId="0" applyNumberFormat="1" applyFont="1" applyFill="1" applyAlignment="1">
      <alignment horizontal="center"/>
    </xf>
    <xf numFmtId="0" fontId="4" fillId="18" borderId="0" xfId="0" applyFont="1" applyFill="1"/>
    <xf numFmtId="3" fontId="4" fillId="26" borderId="0" xfId="0" applyNumberFormat="1" applyFont="1" applyFill="1" applyAlignment="1">
      <alignment horizontal="center"/>
    </xf>
    <xf numFmtId="10" fontId="4" fillId="0" borderId="0" xfId="2" applyNumberFormat="1" applyFont="1" applyBorder="1" applyAlignment="1">
      <alignment horizontal="center"/>
    </xf>
    <xf numFmtId="0" fontId="4" fillId="13" borderId="0" xfId="0" applyFont="1" applyFill="1" applyAlignment="1">
      <alignment horizontal="center"/>
    </xf>
    <xf numFmtId="3" fontId="4" fillId="27" borderId="0" xfId="2" applyNumberFormat="1" applyFont="1" applyFill="1" applyBorder="1" applyAlignment="1"/>
    <xf numFmtId="0" fontId="4" fillId="18" borderId="12" xfId="0" applyFont="1" applyFill="1" applyBorder="1"/>
    <xf numFmtId="0" fontId="4" fillId="28" borderId="12" xfId="0" applyFont="1" applyFill="1" applyBorder="1"/>
    <xf numFmtId="3" fontId="4" fillId="28" borderId="12" xfId="0" applyNumberFormat="1" applyFont="1" applyFill="1" applyBorder="1"/>
    <xf numFmtId="3" fontId="4" fillId="27" borderId="0" xfId="0" applyNumberFormat="1" applyFont="1" applyFill="1"/>
    <xf numFmtId="0" fontId="4" fillId="14" borderId="12" xfId="0" applyFont="1" applyFill="1" applyBorder="1"/>
    <xf numFmtId="3" fontId="4" fillId="14" borderId="12" xfId="0" applyNumberFormat="1" applyFont="1" applyFill="1" applyBorder="1"/>
    <xf numFmtId="3" fontId="4" fillId="14" borderId="12" xfId="2" applyNumberFormat="1" applyFont="1" applyFill="1" applyBorder="1" applyAlignment="1"/>
    <xf numFmtId="1" fontId="4" fillId="27" borderId="0" xfId="0" applyNumberFormat="1" applyFont="1" applyFill="1"/>
    <xf numFmtId="0" fontId="32" fillId="27" borderId="0" xfId="0" quotePrefix="1" applyFont="1" applyFill="1" applyAlignment="1">
      <alignment horizontal="center" vertical="center"/>
    </xf>
    <xf numFmtId="0" fontId="32" fillId="27" borderId="0" xfId="0" applyFont="1" applyFill="1" applyAlignment="1">
      <alignment horizontal="center"/>
    </xf>
    <xf numFmtId="3" fontId="6" fillId="29" borderId="0" xfId="0" applyNumberFormat="1" applyFont="1" applyFill="1" applyAlignment="1">
      <alignment horizontal="center"/>
    </xf>
    <xf numFmtId="0" fontId="6" fillId="18" borderId="0" xfId="0" applyFont="1" applyFill="1"/>
    <xf numFmtId="3" fontId="6" fillId="26" borderId="0" xfId="0" applyNumberFormat="1" applyFont="1" applyFill="1" applyAlignment="1">
      <alignment horizontal="center"/>
    </xf>
    <xf numFmtId="0" fontId="6" fillId="13" borderId="0" xfId="0" applyFont="1" applyFill="1" applyAlignment="1">
      <alignment horizontal="center"/>
    </xf>
    <xf numFmtId="9" fontId="4" fillId="0" borderId="0" xfId="2" applyFont="1" applyFill="1" applyBorder="1" applyAlignment="1"/>
    <xf numFmtId="0" fontId="6" fillId="0" borderId="0" xfId="0" quotePrefix="1" applyFont="1" applyAlignment="1">
      <alignment horizontal="left"/>
    </xf>
    <xf numFmtId="20" fontId="4" fillId="29" borderId="0" xfId="0" applyNumberFormat="1" applyFont="1" applyFill="1"/>
    <xf numFmtId="20" fontId="6" fillId="29" borderId="0" xfId="0" applyNumberFormat="1" applyFont="1" applyFill="1"/>
    <xf numFmtId="0" fontId="4" fillId="0" borderId="0" xfId="0" quotePrefix="1" applyFont="1" applyAlignment="1">
      <alignment horizontal="left"/>
    </xf>
    <xf numFmtId="0" fontId="4" fillId="10" borderId="0" xfId="0" applyFont="1" applyFill="1"/>
    <xf numFmtId="49" fontId="33" fillId="0" borderId="0" xfId="0" applyNumberFormat="1" applyFont="1" applyAlignment="1">
      <alignment horizontal="center"/>
    </xf>
    <xf numFmtId="49" fontId="6" fillId="0" borderId="0" xfId="0" applyNumberFormat="1" applyFont="1" applyAlignment="1">
      <alignment horizontal="center"/>
    </xf>
    <xf numFmtId="0" fontId="31" fillId="0" borderId="0" xfId="0" applyFont="1" applyAlignment="1">
      <alignment horizontal="center"/>
    </xf>
    <xf numFmtId="0" fontId="6" fillId="0" borderId="0" xfId="0" applyFont="1" applyAlignment="1">
      <alignment horizontal="center" vertical="top" wrapText="1"/>
    </xf>
    <xf numFmtId="172" fontId="6" fillId="0" borderId="0" xfId="1" applyNumberFormat="1" applyFont="1" applyFill="1" applyBorder="1" applyAlignment="1">
      <alignment horizontal="center" vertical="top" wrapText="1"/>
    </xf>
    <xf numFmtId="49" fontId="6" fillId="17" borderId="0" xfId="0" applyNumberFormat="1" applyFont="1" applyFill="1" applyAlignment="1">
      <alignment horizontal="center" vertical="top" wrapText="1"/>
    </xf>
    <xf numFmtId="3" fontId="4" fillId="16" borderId="0" xfId="0" applyNumberFormat="1" applyFont="1" applyFill="1" applyAlignment="1">
      <alignment horizontal="center"/>
    </xf>
    <xf numFmtId="1" fontId="4" fillId="0" borderId="0" xfId="0" applyNumberFormat="1" applyFont="1"/>
    <xf numFmtId="10" fontId="4" fillId="0" borderId="0" xfId="0" applyNumberFormat="1" applyFont="1" applyAlignment="1">
      <alignment horizontal="right"/>
    </xf>
    <xf numFmtId="172" fontId="4" fillId="0" borderId="0" xfId="1" applyNumberFormat="1" applyFont="1" applyBorder="1"/>
    <xf numFmtId="9" fontId="4" fillId="13" borderId="0" xfId="0" applyNumberFormat="1" applyFont="1" applyFill="1"/>
    <xf numFmtId="2" fontId="4" fillId="0" borderId="0" xfId="0" applyNumberFormat="1" applyFont="1"/>
    <xf numFmtId="0" fontId="4" fillId="14" borderId="0" xfId="0" applyFont="1" applyFill="1"/>
    <xf numFmtId="3" fontId="4" fillId="14" borderId="0" xfId="0" applyNumberFormat="1" applyFont="1" applyFill="1"/>
    <xf numFmtId="169" fontId="4" fillId="0" borderId="0" xfId="0" applyNumberFormat="1" applyFont="1"/>
    <xf numFmtId="9" fontId="4" fillId="0" borderId="0" xfId="2" applyFont="1" applyBorder="1"/>
    <xf numFmtId="0" fontId="4" fillId="16" borderId="0" xfId="0" quotePrefix="1" applyFont="1" applyFill="1" applyAlignment="1">
      <alignment horizontal="center"/>
    </xf>
    <xf numFmtId="3" fontId="4" fillId="16" borderId="0" xfId="0" quotePrefix="1" applyNumberFormat="1" applyFont="1" applyFill="1" applyAlignment="1">
      <alignment horizontal="center"/>
    </xf>
    <xf numFmtId="3" fontId="6" fillId="16" borderId="0" xfId="0" applyNumberFormat="1" applyFont="1" applyFill="1" applyAlignment="1">
      <alignment horizontal="center"/>
    </xf>
    <xf numFmtId="9" fontId="6" fillId="13" borderId="0" xfId="0" applyNumberFormat="1" applyFont="1" applyFill="1"/>
    <xf numFmtId="0" fontId="6" fillId="14" borderId="0" xfId="0" applyFont="1" applyFill="1"/>
    <xf numFmtId="3" fontId="6" fillId="14" borderId="0" xfId="0" applyNumberFormat="1" applyFont="1" applyFill="1"/>
    <xf numFmtId="0" fontId="34" fillId="0" borderId="0" xfId="0" applyFont="1" applyAlignment="1">
      <alignment horizontal="center"/>
    </xf>
    <xf numFmtId="49" fontId="35" fillId="0" borderId="0" xfId="0" applyNumberFormat="1" applyFont="1" applyAlignment="1">
      <alignment horizontal="center" vertical="top" wrapText="1"/>
    </xf>
    <xf numFmtId="49" fontId="4" fillId="0" borderId="0" xfId="0" applyNumberFormat="1" applyFont="1" applyAlignment="1">
      <alignment horizontal="center" vertical="top"/>
    </xf>
    <xf numFmtId="0" fontId="30" fillId="0" borderId="0" xfId="0" applyFont="1" applyAlignment="1">
      <alignment horizontal="center"/>
    </xf>
    <xf numFmtId="0" fontId="33" fillId="0" borderId="0" xfId="0" applyFont="1" applyAlignment="1">
      <alignment horizontal="center"/>
    </xf>
    <xf numFmtId="0" fontId="6" fillId="0" borderId="0" xfId="0" applyFont="1" applyAlignment="1">
      <alignment vertical="top" wrapText="1"/>
    </xf>
    <xf numFmtId="0" fontId="4" fillId="16" borderId="0" xfId="0" applyFont="1" applyFill="1" applyAlignment="1">
      <alignment horizontal="center" vertical="center"/>
    </xf>
    <xf numFmtId="0" fontId="4" fillId="16" borderId="0" xfId="0" applyFont="1" applyFill="1" applyAlignment="1">
      <alignment vertical="center"/>
    </xf>
    <xf numFmtId="3" fontId="4" fillId="0" borderId="0" xfId="0" applyNumberFormat="1" applyFont="1" applyAlignment="1">
      <alignment vertical="center"/>
    </xf>
    <xf numFmtId="3" fontId="4" fillId="16" borderId="0" xfId="0" applyNumberFormat="1" applyFont="1" applyFill="1" applyAlignment="1">
      <alignment vertical="center"/>
    </xf>
    <xf numFmtId="0" fontId="4" fillId="13" borderId="0" xfId="0" applyFont="1" applyFill="1" applyAlignment="1" applyProtection="1">
      <alignment horizontal="center" vertical="center"/>
      <protection locked="0"/>
    </xf>
    <xf numFmtId="49" fontId="4" fillId="27" borderId="0" xfId="0" applyNumberFormat="1" applyFont="1" applyFill="1" applyAlignment="1">
      <alignment vertical="center"/>
    </xf>
    <xf numFmtId="0" fontId="4" fillId="27" borderId="0" xfId="0" applyFont="1" applyFill="1" applyAlignment="1">
      <alignment vertical="center"/>
    </xf>
    <xf numFmtId="0" fontId="4" fillId="0" borderId="0" xfId="0" applyFont="1" applyAlignment="1">
      <alignment vertical="center"/>
    </xf>
    <xf numFmtId="174" fontId="4" fillId="0" borderId="0" xfId="0" applyNumberFormat="1" applyFont="1" applyAlignment="1">
      <alignment horizontal="center" vertical="center"/>
    </xf>
    <xf numFmtId="0" fontId="4" fillId="16" borderId="0" xfId="0" applyFont="1" applyFill="1" applyAlignment="1" applyProtection="1">
      <alignment horizontal="center" vertical="center"/>
      <protection locked="0"/>
    </xf>
    <xf numFmtId="49" fontId="4" fillId="16" borderId="0" xfId="0" applyNumberFormat="1" applyFont="1" applyFill="1" applyAlignment="1">
      <alignment vertical="center"/>
    </xf>
    <xf numFmtId="3" fontId="4" fillId="27" borderId="0" xfId="0" applyNumberFormat="1" applyFont="1" applyFill="1" applyAlignment="1">
      <alignment vertical="center"/>
    </xf>
    <xf numFmtId="0" fontId="4" fillId="27" borderId="0" xfId="0" applyFont="1" applyFill="1" applyAlignment="1" applyProtection="1">
      <alignment horizontal="center" vertical="center"/>
      <protection locked="0"/>
    </xf>
    <xf numFmtId="0" fontId="18" fillId="0" borderId="0" xfId="0" applyFont="1" applyAlignment="1">
      <alignment horizontal="center"/>
    </xf>
    <xf numFmtId="49" fontId="6" fillId="0" borderId="0" xfId="0" quotePrefix="1" applyNumberFormat="1" applyFont="1" applyAlignment="1">
      <alignment horizontal="center" vertical="top" wrapText="1"/>
    </xf>
    <xf numFmtId="0" fontId="4" fillId="29" borderId="0" xfId="2" applyNumberFormat="1" applyFont="1" applyFill="1" applyBorder="1" applyAlignment="1">
      <alignment horizontal="center"/>
    </xf>
    <xf numFmtId="20" fontId="4" fillId="29" borderId="0" xfId="2" applyNumberFormat="1" applyFont="1" applyFill="1" applyBorder="1" applyAlignment="1">
      <alignment horizontal="center"/>
    </xf>
    <xf numFmtId="49" fontId="4" fillId="13" borderId="0" xfId="0" applyNumberFormat="1" applyFont="1" applyFill="1" applyAlignment="1">
      <alignment horizontal="center"/>
    </xf>
    <xf numFmtId="175" fontId="4" fillId="13" borderId="0" xfId="0" applyNumberFormat="1" applyFont="1" applyFill="1" applyAlignment="1">
      <alignment horizontal="center"/>
    </xf>
    <xf numFmtId="10" fontId="4" fillId="0" borderId="0" xfId="0" applyNumberFormat="1" applyFont="1" applyAlignment="1">
      <alignment horizontal="center"/>
    </xf>
    <xf numFmtId="3" fontId="31" fillId="0" borderId="0" xfId="0" applyNumberFormat="1" applyFont="1" applyAlignment="1">
      <alignment horizontal="center"/>
    </xf>
    <xf numFmtId="20" fontId="31" fillId="0" borderId="0" xfId="0" applyNumberFormat="1" applyFont="1" applyAlignment="1">
      <alignment horizontal="right"/>
    </xf>
    <xf numFmtId="173" fontId="31" fillId="0" borderId="0" xfId="0" applyNumberFormat="1" applyFont="1" applyAlignment="1">
      <alignment horizontal="right"/>
    </xf>
    <xf numFmtId="170" fontId="4" fillId="0" borderId="0" xfId="0" applyNumberFormat="1" applyFont="1" applyAlignment="1">
      <alignment horizontal="right"/>
    </xf>
    <xf numFmtId="170" fontId="4" fillId="0" borderId="0" xfId="0" applyNumberFormat="1" applyFont="1"/>
    <xf numFmtId="20" fontId="4" fillId="0" borderId="0" xfId="0" applyNumberFormat="1" applyFont="1" applyAlignment="1">
      <alignment horizontal="right"/>
    </xf>
    <xf numFmtId="173" fontId="4" fillId="0" borderId="0" xfId="0" applyNumberFormat="1" applyFont="1" applyAlignment="1">
      <alignment horizontal="right"/>
    </xf>
    <xf numFmtId="14" fontId="4" fillId="0" borderId="0" xfId="0" applyNumberFormat="1" applyFont="1"/>
    <xf numFmtId="168" fontId="4" fillId="0" borderId="0" xfId="0" applyNumberFormat="1" applyFont="1"/>
    <xf numFmtId="171" fontId="4" fillId="0" borderId="0" xfId="0" applyNumberFormat="1" applyFont="1" applyAlignment="1">
      <alignment horizontal="center"/>
    </xf>
    <xf numFmtId="0" fontId="6" fillId="29" borderId="0" xfId="2" applyNumberFormat="1" applyFont="1" applyFill="1" applyBorder="1" applyAlignment="1">
      <alignment horizontal="center"/>
    </xf>
    <xf numFmtId="20" fontId="6" fillId="29" borderId="0" xfId="2" applyNumberFormat="1" applyFont="1" applyFill="1" applyBorder="1" applyAlignment="1">
      <alignment horizontal="center"/>
    </xf>
    <xf numFmtId="49" fontId="6" fillId="13" borderId="0" xfId="0" applyNumberFormat="1" applyFont="1" applyFill="1" applyAlignment="1">
      <alignment horizontal="center"/>
    </xf>
    <xf numFmtId="175" fontId="6" fillId="13" borderId="0" xfId="0" applyNumberFormat="1" applyFont="1" applyFill="1" applyAlignment="1">
      <alignment horizontal="center"/>
    </xf>
    <xf numFmtId="0" fontId="6" fillId="0" borderId="19" xfId="0" applyFont="1" applyBorder="1"/>
    <xf numFmtId="0" fontId="4" fillId="0" borderId="19" xfId="0" applyFont="1" applyBorder="1"/>
    <xf numFmtId="1" fontId="4" fillId="0" borderId="0" xfId="2" applyNumberFormat="1" applyFont="1" applyAlignment="1">
      <alignment horizontal="right"/>
    </xf>
    <xf numFmtId="9" fontId="4" fillId="0" borderId="0" xfId="2" applyFont="1" applyAlignment="1">
      <alignment horizontal="right"/>
    </xf>
    <xf numFmtId="1" fontId="4" fillId="0" borderId="0" xfId="2" applyNumberFormat="1" applyFont="1"/>
    <xf numFmtId="0" fontId="4" fillId="2" borderId="0" xfId="0" applyFont="1" applyFill="1"/>
    <xf numFmtId="0" fontId="4" fillId="3" borderId="0" xfId="0" applyFont="1" applyFill="1"/>
    <xf numFmtId="0" fontId="4" fillId="4" borderId="0" xfId="0" applyFont="1" applyFill="1"/>
    <xf numFmtId="49" fontId="4" fillId="5" borderId="0" xfId="0" applyNumberFormat="1" applyFont="1" applyFill="1" applyAlignment="1">
      <alignment horizontal="center"/>
    </xf>
    <xf numFmtId="0" fontId="4" fillId="5" borderId="0" xfId="0" applyFont="1" applyFill="1"/>
    <xf numFmtId="0" fontId="4" fillId="6" borderId="0" xfId="0" applyFont="1" applyFill="1"/>
    <xf numFmtId="0" fontId="4" fillId="7" borderId="0" xfId="0" applyFont="1" applyFill="1"/>
    <xf numFmtId="0" fontId="4" fillId="8" borderId="0" xfId="0" applyFont="1" applyFill="1"/>
    <xf numFmtId="0" fontId="4" fillId="2" borderId="19" xfId="0" applyFont="1" applyFill="1" applyBorder="1"/>
    <xf numFmtId="9" fontId="4" fillId="0" borderId="0" xfId="2" applyFont="1"/>
    <xf numFmtId="49" fontId="4" fillId="0" borderId="19" xfId="0" applyNumberFormat="1" applyFont="1" applyBorder="1"/>
    <xf numFmtId="0" fontId="4" fillId="0" borderId="0" xfId="0" quotePrefix="1" applyFont="1"/>
    <xf numFmtId="166" fontId="4" fillId="0" borderId="0" xfId="0" applyNumberFormat="1" applyFont="1" applyAlignment="1">
      <alignment horizontal="right"/>
    </xf>
    <xf numFmtId="166" fontId="4" fillId="0" borderId="0" xfId="2" applyNumberFormat="1" applyFont="1" applyAlignment="1">
      <alignment horizontal="right"/>
    </xf>
    <xf numFmtId="0" fontId="6" fillId="0" borderId="0" xfId="0" applyFont="1" applyAlignment="1">
      <alignment vertical="center"/>
    </xf>
    <xf numFmtId="0" fontId="6" fillId="0" borderId="0" xfId="0" applyFont="1" applyAlignment="1">
      <alignment horizontal="center" vertical="center"/>
    </xf>
    <xf numFmtId="9" fontId="6" fillId="0" borderId="0" xfId="2" applyFont="1" applyBorder="1" applyAlignment="1">
      <alignment vertical="center"/>
    </xf>
    <xf numFmtId="9" fontId="4" fillId="0" borderId="0" xfId="2" applyFont="1" applyBorder="1" applyAlignment="1">
      <alignment vertical="center"/>
    </xf>
    <xf numFmtId="0" fontId="6" fillId="0" borderId="0" xfId="0" applyFont="1" applyAlignment="1">
      <alignment horizontal="right" vertical="center"/>
    </xf>
    <xf numFmtId="0" fontId="4" fillId="0" borderId="5" xfId="0" applyFont="1" applyBorder="1" applyAlignment="1">
      <alignment vertical="center"/>
    </xf>
    <xf numFmtId="0" fontId="4" fillId="0" borderId="4" xfId="0" applyFont="1" applyBorder="1" applyAlignment="1">
      <alignment vertical="center"/>
    </xf>
    <xf numFmtId="166" fontId="4" fillId="0" borderId="0" xfId="0" applyNumberFormat="1" applyFont="1" applyAlignment="1">
      <alignment horizontal="center" vertical="center"/>
    </xf>
    <xf numFmtId="9" fontId="4" fillId="0" borderId="0" xfId="0" applyNumberFormat="1" applyFont="1" applyAlignment="1">
      <alignment horizontal="center" vertical="center"/>
    </xf>
    <xf numFmtId="9" fontId="4" fillId="0" borderId="0" xfId="2" applyFont="1" applyBorder="1" applyAlignment="1">
      <alignment horizontal="center" vertical="center"/>
    </xf>
    <xf numFmtId="0" fontId="4" fillId="0" borderId="5" xfId="0" applyFont="1" applyBorder="1" applyAlignment="1">
      <alignment horizontal="center" vertical="center"/>
    </xf>
    <xf numFmtId="0" fontId="4" fillId="0" borderId="1" xfId="0" applyFont="1" applyBorder="1" applyAlignment="1">
      <alignment vertical="center"/>
    </xf>
    <xf numFmtId="0" fontId="4" fillId="0" borderId="9" xfId="0" applyFont="1" applyBorder="1" applyAlignment="1">
      <alignment vertical="center"/>
    </xf>
    <xf numFmtId="0" fontId="4" fillId="0" borderId="2" xfId="0" applyFont="1" applyBorder="1" applyAlignment="1">
      <alignment horizontal="center" vertical="center"/>
    </xf>
    <xf numFmtId="0" fontId="4" fillId="0" borderId="2" xfId="0" applyFont="1" applyBorder="1" applyAlignment="1">
      <alignment vertical="center"/>
    </xf>
    <xf numFmtId="166" fontId="4" fillId="0" borderId="2" xfId="0" applyNumberFormat="1" applyFont="1" applyBorder="1" applyAlignment="1">
      <alignment horizontal="center" vertical="center"/>
    </xf>
    <xf numFmtId="9" fontId="4" fillId="0" borderId="2" xfId="0" applyNumberFormat="1" applyFont="1" applyBorder="1" applyAlignment="1">
      <alignment horizontal="center" vertical="center"/>
    </xf>
    <xf numFmtId="9" fontId="4" fillId="0" borderId="2" xfId="2" applyFont="1" applyBorder="1" applyAlignment="1">
      <alignment horizontal="center" vertical="center"/>
    </xf>
    <xf numFmtId="0" fontId="4" fillId="0" borderId="10" xfId="0" applyFont="1" applyBorder="1" applyAlignment="1">
      <alignment horizontal="center" vertical="center"/>
    </xf>
    <xf numFmtId="0" fontId="4" fillId="0" borderId="8" xfId="0" applyFont="1" applyBorder="1" applyAlignment="1">
      <alignment vertical="center"/>
    </xf>
    <xf numFmtId="0" fontId="4" fillId="0" borderId="7" xfId="0" applyFont="1" applyBorder="1" applyAlignment="1">
      <alignment vertical="center"/>
    </xf>
    <xf numFmtId="0" fontId="4" fillId="0" borderId="1" xfId="0" applyFont="1" applyBorder="1" applyAlignment="1">
      <alignment horizontal="center" vertical="center"/>
    </xf>
    <xf numFmtId="166" fontId="4" fillId="0" borderId="1" xfId="0" applyNumberFormat="1" applyFont="1" applyBorder="1" applyAlignment="1">
      <alignment horizontal="center" vertical="center"/>
    </xf>
    <xf numFmtId="9" fontId="4" fillId="0" borderId="1" xfId="0" applyNumberFormat="1" applyFont="1" applyBorder="1" applyAlignment="1">
      <alignment horizontal="center" vertical="center"/>
    </xf>
    <xf numFmtId="0" fontId="4" fillId="0" borderId="10" xfId="0" applyFont="1" applyBorder="1" applyAlignment="1">
      <alignment vertical="center"/>
    </xf>
    <xf numFmtId="0" fontId="4" fillId="0" borderId="17" xfId="0" applyFont="1" applyBorder="1" applyAlignment="1">
      <alignment vertical="center"/>
    </xf>
    <xf numFmtId="0" fontId="4" fillId="0" borderId="6" xfId="0" quotePrefix="1" applyFont="1" applyBorder="1" applyAlignment="1">
      <alignment vertical="center"/>
    </xf>
    <xf numFmtId="0" fontId="4" fillId="0" borderId="11" xfId="0" quotePrefix="1" applyFont="1" applyBorder="1" applyAlignment="1">
      <alignment vertical="center"/>
    </xf>
    <xf numFmtId="9" fontId="4" fillId="0" borderId="5" xfId="0" applyNumberFormat="1" applyFont="1" applyBorder="1" applyAlignment="1">
      <alignment horizontal="center" vertical="center"/>
    </xf>
    <xf numFmtId="0" fontId="4" fillId="0" borderId="19" xfId="0" applyFont="1" applyBorder="1" applyAlignment="1">
      <alignment vertical="center"/>
    </xf>
    <xf numFmtId="9" fontId="4" fillId="0" borderId="0" xfId="2" applyFont="1" applyAlignment="1">
      <alignment horizontal="center" vertical="center"/>
    </xf>
    <xf numFmtId="0" fontId="4" fillId="0" borderId="0" xfId="0" quotePrefix="1" applyFont="1" applyAlignment="1">
      <alignment vertical="center"/>
    </xf>
    <xf numFmtId="9" fontId="4" fillId="0" borderId="0" xfId="0" applyNumberFormat="1" applyFont="1" applyAlignment="1">
      <alignment vertical="center"/>
    </xf>
    <xf numFmtId="9" fontId="4" fillId="0" borderId="0" xfId="2" applyFont="1" applyAlignment="1">
      <alignment vertical="center"/>
    </xf>
    <xf numFmtId="49" fontId="4" fillId="0" borderId="2" xfId="0" applyNumberFormat="1" applyFont="1" applyBorder="1"/>
    <xf numFmtId="0" fontId="4" fillId="32" borderId="0" xfId="0" applyFont="1" applyFill="1" applyAlignment="1">
      <alignment horizontal="center"/>
    </xf>
    <xf numFmtId="3" fontId="4" fillId="32" borderId="0" xfId="0" applyNumberFormat="1" applyFont="1" applyFill="1" applyAlignment="1">
      <alignment horizontal="center"/>
    </xf>
    <xf numFmtId="3" fontId="6" fillId="32" borderId="0" xfId="0" applyNumberFormat="1" applyFont="1" applyFill="1" applyAlignment="1">
      <alignment horizontal="center"/>
    </xf>
    <xf numFmtId="3" fontId="4" fillId="33" borderId="0" xfId="0" applyNumberFormat="1" applyFont="1" applyFill="1" applyAlignment="1">
      <alignment horizontal="center"/>
    </xf>
    <xf numFmtId="3" fontId="6" fillId="33" borderId="0" xfId="0" applyNumberFormat="1" applyFont="1" applyFill="1" applyAlignment="1">
      <alignment horizontal="center"/>
    </xf>
    <xf numFmtId="0" fontId="4" fillId="33" borderId="0" xfId="0" applyFont="1" applyFill="1" applyAlignment="1">
      <alignment horizontal="center"/>
    </xf>
    <xf numFmtId="0" fontId="6" fillId="33" borderId="0" xfId="0" applyFont="1" applyFill="1" applyAlignment="1">
      <alignment horizontal="center"/>
    </xf>
    <xf numFmtId="3" fontId="4" fillId="34" borderId="0" xfId="0" applyNumberFormat="1" applyFont="1" applyFill="1" applyAlignment="1">
      <alignment horizontal="center"/>
    </xf>
    <xf numFmtId="3" fontId="6" fillId="34" borderId="0" xfId="0" applyNumberFormat="1" applyFont="1" applyFill="1" applyAlignment="1">
      <alignment horizontal="center"/>
    </xf>
    <xf numFmtId="0" fontId="4" fillId="34" borderId="0" xfId="0" applyFont="1" applyFill="1" applyAlignment="1">
      <alignment horizontal="center"/>
    </xf>
    <xf numFmtId="0" fontId="6" fillId="34" borderId="0" xfId="0" applyFont="1" applyFill="1" applyAlignment="1">
      <alignment horizontal="center"/>
    </xf>
    <xf numFmtId="3" fontId="4" fillId="35" borderId="0" xfId="0" applyNumberFormat="1" applyFont="1" applyFill="1" applyAlignment="1">
      <alignment horizontal="center"/>
    </xf>
    <xf numFmtId="3" fontId="6" fillId="35" borderId="0" xfId="0" applyNumberFormat="1" applyFont="1" applyFill="1" applyAlignment="1">
      <alignment horizontal="center"/>
    </xf>
    <xf numFmtId="0" fontId="4" fillId="35" borderId="0" xfId="0" applyFont="1" applyFill="1" applyAlignment="1">
      <alignment horizontal="center"/>
    </xf>
    <xf numFmtId="0" fontId="6" fillId="35" borderId="0" xfId="0" applyFont="1" applyFill="1" applyAlignment="1">
      <alignment horizontal="center"/>
    </xf>
    <xf numFmtId="0" fontId="32" fillId="27" borderId="7" xfId="0" applyFont="1" applyFill="1" applyBorder="1" applyAlignment="1">
      <alignment horizontal="right"/>
    </xf>
    <xf numFmtId="0" fontId="32" fillId="27" borderId="8" xfId="0" quotePrefix="1" applyFont="1" applyFill="1" applyBorder="1" applyAlignment="1">
      <alignment horizontal="center" vertical="center"/>
    </xf>
    <xf numFmtId="0" fontId="4" fillId="27" borderId="4" xfId="0" applyFont="1" applyFill="1" applyBorder="1"/>
    <xf numFmtId="0" fontId="4" fillId="27" borderId="5" xfId="0" applyFont="1" applyFill="1" applyBorder="1"/>
    <xf numFmtId="0" fontId="4" fillId="27" borderId="9" xfId="0" applyFont="1" applyFill="1" applyBorder="1"/>
    <xf numFmtId="0" fontId="4" fillId="27" borderId="10" xfId="0" applyFont="1" applyFill="1" applyBorder="1"/>
    <xf numFmtId="176" fontId="4" fillId="0" borderId="0" xfId="0" applyNumberFormat="1" applyFont="1" applyAlignment="1">
      <alignment horizontal="center" vertical="center"/>
    </xf>
    <xf numFmtId="3" fontId="2" fillId="15" borderId="42" xfId="0" applyNumberFormat="1" applyFont="1" applyFill="1" applyBorder="1"/>
    <xf numFmtId="3" fontId="2" fillId="15" borderId="42" xfId="2" applyNumberFormat="1" applyFont="1" applyFill="1" applyBorder="1"/>
    <xf numFmtId="3" fontId="2" fillId="24" borderId="42" xfId="0" applyNumberFormat="1" applyFont="1" applyFill="1" applyBorder="1" applyAlignment="1">
      <alignment horizontal="center"/>
    </xf>
    <xf numFmtId="3" fontId="2" fillId="19" borderId="42" xfId="0" applyNumberFormat="1" applyFont="1" applyFill="1" applyBorder="1" applyAlignment="1">
      <alignment horizontal="center"/>
    </xf>
    <xf numFmtId="3" fontId="2" fillId="33" borderId="42" xfId="0" applyNumberFormat="1" applyFont="1" applyFill="1" applyBorder="1" applyAlignment="1">
      <alignment horizontal="center"/>
    </xf>
    <xf numFmtId="3" fontId="2" fillId="34" borderId="42" xfId="0" applyNumberFormat="1" applyFont="1" applyFill="1" applyBorder="1" applyAlignment="1">
      <alignment horizontal="center"/>
    </xf>
    <xf numFmtId="3" fontId="2" fillId="35" borderId="42" xfId="0" applyNumberFormat="1" applyFont="1" applyFill="1" applyBorder="1" applyAlignment="1">
      <alignment horizontal="center"/>
    </xf>
    <xf numFmtId="3" fontId="2" fillId="22" borderId="42" xfId="0" applyNumberFormat="1" applyFont="1" applyFill="1" applyBorder="1" applyAlignment="1">
      <alignment horizontal="center"/>
    </xf>
    <xf numFmtId="3" fontId="2" fillId="21" borderId="42" xfId="0" applyNumberFormat="1" applyFont="1" applyFill="1" applyBorder="1" applyAlignment="1">
      <alignment horizontal="center"/>
    </xf>
    <xf numFmtId="0" fontId="2" fillId="15" borderId="42" xfId="0" applyFont="1" applyFill="1" applyBorder="1"/>
    <xf numFmtId="0" fontId="2" fillId="9" borderId="42" xfId="0" applyFont="1" applyFill="1" applyBorder="1" applyAlignment="1">
      <alignment horizontal="center"/>
    </xf>
    <xf numFmtId="0" fontId="2" fillId="24" borderId="42" xfId="0" applyFont="1" applyFill="1" applyBorder="1" applyAlignment="1">
      <alignment horizontal="center"/>
    </xf>
    <xf numFmtId="0" fontId="2" fillId="19" borderId="42" xfId="0" applyFont="1" applyFill="1" applyBorder="1" applyAlignment="1">
      <alignment horizontal="center"/>
    </xf>
    <xf numFmtId="0" fontId="2" fillId="33" borderId="42" xfId="0" applyFont="1" applyFill="1" applyBorder="1" applyAlignment="1">
      <alignment horizontal="center"/>
    </xf>
    <xf numFmtId="0" fontId="2" fillId="34" borderId="42" xfId="0" applyFont="1" applyFill="1" applyBorder="1" applyAlignment="1">
      <alignment horizontal="center"/>
    </xf>
    <xf numFmtId="0" fontId="2" fillId="35" borderId="42" xfId="0" applyFont="1" applyFill="1" applyBorder="1" applyAlignment="1">
      <alignment horizontal="center"/>
    </xf>
    <xf numFmtId="0" fontId="2" fillId="22" borderId="42" xfId="0" applyFont="1" applyFill="1" applyBorder="1" applyAlignment="1">
      <alignment horizontal="center"/>
    </xf>
    <xf numFmtId="0" fontId="2" fillId="15" borderId="0" xfId="0" applyFont="1" applyFill="1"/>
    <xf numFmtId="3" fontId="2" fillId="15" borderId="0" xfId="0" applyNumberFormat="1" applyFont="1" applyFill="1"/>
    <xf numFmtId="9" fontId="2" fillId="15" borderId="42" xfId="0" applyNumberFormat="1" applyFont="1" applyFill="1" applyBorder="1"/>
    <xf numFmtId="0" fontId="2" fillId="15" borderId="42" xfId="0" applyFont="1" applyFill="1" applyBorder="1" applyAlignment="1">
      <alignment horizontal="center"/>
    </xf>
    <xf numFmtId="3" fontId="17" fillId="30" borderId="0" xfId="0" applyNumberFormat="1" applyFont="1" applyFill="1"/>
    <xf numFmtId="3" fontId="3" fillId="14" borderId="42" xfId="0" applyNumberFormat="1" applyFont="1" applyFill="1" applyBorder="1"/>
    <xf numFmtId="3" fontId="3" fillId="15" borderId="42" xfId="0" applyNumberFormat="1" applyFont="1" applyFill="1" applyBorder="1"/>
    <xf numFmtId="3" fontId="3" fillId="15" borderId="49" xfId="0" applyNumberFormat="1" applyFont="1" applyFill="1" applyBorder="1"/>
    <xf numFmtId="3" fontId="3" fillId="14" borderId="48" xfId="0" applyNumberFormat="1" applyFont="1" applyFill="1" applyBorder="1"/>
    <xf numFmtId="49" fontId="6" fillId="0" borderId="22" xfId="0" applyNumberFormat="1" applyFont="1" applyBorder="1" applyAlignment="1">
      <alignment horizontal="center" vertical="top" wrapText="1"/>
    </xf>
    <xf numFmtId="0" fontId="4" fillId="13" borderId="22" xfId="0" applyFont="1" applyFill="1" applyBorder="1" applyAlignment="1">
      <alignment horizontal="center"/>
    </xf>
    <xf numFmtId="0" fontId="6" fillId="13" borderId="22" xfId="0" applyFont="1" applyFill="1" applyBorder="1" applyAlignment="1">
      <alignment horizontal="center"/>
    </xf>
    <xf numFmtId="10" fontId="0" fillId="0" borderId="0" xfId="0" applyNumberFormat="1"/>
    <xf numFmtId="166" fontId="4" fillId="0" borderId="0" xfId="2" applyNumberFormat="1" applyFont="1" applyBorder="1" applyAlignment="1">
      <alignment horizontal="center" vertical="center"/>
    </xf>
    <xf numFmtId="0" fontId="6" fillId="0" borderId="0" xfId="0" applyFont="1" applyAlignment="1">
      <alignment horizontal="center" vertical="center" textRotation="90"/>
    </xf>
    <xf numFmtId="0" fontId="6" fillId="0" borderId="0" xfId="2" applyNumberFormat="1" applyFont="1" applyBorder="1" applyAlignment="1">
      <alignment horizontal="center" vertical="center" textRotation="90"/>
    </xf>
    <xf numFmtId="49" fontId="6" fillId="0" borderId="32" xfId="0" applyNumberFormat="1" applyFont="1" applyBorder="1" applyAlignment="1">
      <alignment horizontal="center" vertical="top" wrapText="1"/>
    </xf>
    <xf numFmtId="0" fontId="4" fillId="15" borderId="0" xfId="0" applyFont="1" applyFill="1" applyAlignment="1">
      <alignment horizontal="center"/>
    </xf>
    <xf numFmtId="0" fontId="38" fillId="0" borderId="0" xfId="0" applyFont="1"/>
    <xf numFmtId="0" fontId="4" fillId="0" borderId="0" xfId="0" applyFont="1" applyProtection="1">
      <protection hidden="1"/>
    </xf>
    <xf numFmtId="3" fontId="3" fillId="14" borderId="45" xfId="0" applyNumberFormat="1" applyFont="1" applyFill="1" applyBorder="1"/>
    <xf numFmtId="49" fontId="3" fillId="15" borderId="44" xfId="0" applyNumberFormat="1" applyFont="1" applyFill="1" applyBorder="1"/>
    <xf numFmtId="3" fontId="3" fillId="15" borderId="45" xfId="0" applyNumberFormat="1" applyFont="1" applyFill="1" applyBorder="1"/>
    <xf numFmtId="166" fontId="4" fillId="0" borderId="5" xfId="0" applyNumberFormat="1" applyFont="1" applyBorder="1" applyAlignment="1">
      <alignment horizontal="center" vertical="center"/>
    </xf>
    <xf numFmtId="166" fontId="6" fillId="0" borderId="0" xfId="0" applyNumberFormat="1" applyFont="1"/>
    <xf numFmtId="0" fontId="4" fillId="36" borderId="0" xfId="0" applyFont="1" applyFill="1"/>
    <xf numFmtId="0" fontId="6" fillId="36" borderId="0" xfId="0" applyFont="1" applyFill="1"/>
    <xf numFmtId="0" fontId="16" fillId="37" borderId="0" xfId="0" applyFont="1" applyFill="1"/>
    <xf numFmtId="0" fontId="17" fillId="27" borderId="0" xfId="0" applyFont="1" applyFill="1"/>
    <xf numFmtId="1" fontId="4" fillId="0" borderId="19" xfId="0" applyNumberFormat="1" applyFont="1" applyBorder="1"/>
    <xf numFmtId="3" fontId="6" fillId="16" borderId="0" xfId="2" applyNumberFormat="1" applyFont="1" applyFill="1" applyBorder="1"/>
    <xf numFmtId="3" fontId="4" fillId="11" borderId="0" xfId="0" applyNumberFormat="1" applyFont="1" applyFill="1" applyAlignment="1">
      <alignment horizontal="right"/>
    </xf>
    <xf numFmtId="0" fontId="4" fillId="11" borderId="0" xfId="0" applyFont="1" applyFill="1" applyAlignment="1">
      <alignment horizontal="right"/>
    </xf>
    <xf numFmtId="3" fontId="4" fillId="11" borderId="0" xfId="0" applyNumberFormat="1" applyFont="1" applyFill="1" applyAlignment="1">
      <alignment horizontal="center"/>
    </xf>
    <xf numFmtId="10" fontId="4" fillId="11" borderId="0" xfId="2" applyNumberFormat="1" applyFont="1" applyFill="1" applyBorder="1"/>
    <xf numFmtId="3" fontId="4" fillId="11" borderId="0" xfId="0" applyNumberFormat="1" applyFont="1" applyFill="1"/>
    <xf numFmtId="0" fontId="4" fillId="11" borderId="0" xfId="0" applyFont="1" applyFill="1" applyAlignment="1">
      <alignment horizontal="center"/>
    </xf>
    <xf numFmtId="20" fontId="4" fillId="11" borderId="0" xfId="0" applyNumberFormat="1" applyFont="1" applyFill="1"/>
    <xf numFmtId="0" fontId="4" fillId="11" borderId="0" xfId="0" applyFont="1" applyFill="1"/>
    <xf numFmtId="3" fontId="6" fillId="0" borderId="0" xfId="0" applyNumberFormat="1" applyFont="1" applyAlignment="1">
      <alignment horizontal="right"/>
    </xf>
    <xf numFmtId="20" fontId="6" fillId="0" borderId="0" xfId="0" applyNumberFormat="1" applyFont="1" applyAlignment="1">
      <alignment horizontal="center"/>
    </xf>
    <xf numFmtId="10" fontId="6" fillId="0" borderId="0" xfId="2" applyNumberFormat="1" applyFont="1" applyBorder="1"/>
    <xf numFmtId="0" fontId="6" fillId="9" borderId="0" xfId="0" applyFont="1" applyFill="1" applyAlignment="1">
      <alignment horizontal="center"/>
    </xf>
    <xf numFmtId="10" fontId="4" fillId="11" borderId="0" xfId="2" applyNumberFormat="1" applyFont="1" applyFill="1" applyBorder="1" applyAlignment="1">
      <alignment horizontal="center"/>
    </xf>
    <xf numFmtId="10" fontId="6" fillId="0" borderId="0" xfId="2" applyNumberFormat="1" applyFont="1" applyBorder="1" applyAlignment="1">
      <alignment horizontal="center"/>
    </xf>
    <xf numFmtId="10" fontId="4" fillId="11" borderId="0" xfId="0" applyNumberFormat="1" applyFont="1" applyFill="1"/>
    <xf numFmtId="1" fontId="4" fillId="11" borderId="0" xfId="0" applyNumberFormat="1" applyFont="1" applyFill="1"/>
    <xf numFmtId="10" fontId="4" fillId="11" borderId="0" xfId="0" applyNumberFormat="1" applyFont="1" applyFill="1" applyAlignment="1">
      <alignment horizontal="right"/>
    </xf>
    <xf numFmtId="172" fontId="4" fillId="11" borderId="0" xfId="1" applyNumberFormat="1" applyFont="1" applyFill="1" applyBorder="1"/>
    <xf numFmtId="9" fontId="4" fillId="11" borderId="0" xfId="2" applyFont="1" applyFill="1" applyBorder="1"/>
    <xf numFmtId="2" fontId="4" fillId="11" borderId="0" xfId="0" applyNumberFormat="1" applyFont="1" applyFill="1"/>
    <xf numFmtId="4" fontId="4" fillId="11" borderId="0" xfId="0" applyNumberFormat="1" applyFont="1" applyFill="1"/>
    <xf numFmtId="169" fontId="4" fillId="11" borderId="0" xfId="0" applyNumberFormat="1" applyFont="1" applyFill="1"/>
    <xf numFmtId="1" fontId="6" fillId="0" borderId="0" xfId="0" applyNumberFormat="1" applyFont="1"/>
    <xf numFmtId="10" fontId="6" fillId="0" borderId="0" xfId="0" applyNumberFormat="1" applyFont="1" applyAlignment="1">
      <alignment horizontal="right"/>
    </xf>
    <xf numFmtId="172" fontId="6" fillId="0" borderId="0" xfId="1" applyNumberFormat="1" applyFont="1" applyBorder="1"/>
    <xf numFmtId="9" fontId="6" fillId="0" borderId="0" xfId="2" applyFont="1" applyBorder="1"/>
    <xf numFmtId="2" fontId="6" fillId="0" borderId="0" xfId="0" applyNumberFormat="1" applyFont="1"/>
    <xf numFmtId="169" fontId="6" fillId="0" borderId="0" xfId="0" applyNumberFormat="1" applyFont="1"/>
    <xf numFmtId="9" fontId="4" fillId="11" borderId="0" xfId="0" applyNumberFormat="1" applyFont="1" applyFill="1"/>
    <xf numFmtId="10" fontId="4" fillId="11" borderId="0" xfId="0" applyNumberFormat="1" applyFont="1" applyFill="1" applyAlignment="1">
      <alignment horizontal="center"/>
    </xf>
    <xf numFmtId="20" fontId="4" fillId="11" borderId="0" xfId="0" applyNumberFormat="1" applyFont="1" applyFill="1" applyAlignment="1">
      <alignment horizontal="right"/>
    </xf>
    <xf numFmtId="173" fontId="4" fillId="11" borderId="0" xfId="0" applyNumberFormat="1" applyFont="1" applyFill="1" applyAlignment="1">
      <alignment horizontal="right"/>
    </xf>
    <xf numFmtId="10" fontId="6" fillId="0" borderId="0" xfId="0" applyNumberFormat="1" applyFont="1" applyAlignment="1">
      <alignment horizontal="center"/>
    </xf>
    <xf numFmtId="20" fontId="6" fillId="0" borderId="0" xfId="0" applyNumberFormat="1" applyFont="1" applyAlignment="1">
      <alignment horizontal="right"/>
    </xf>
    <xf numFmtId="173" fontId="6" fillId="0" borderId="0" xfId="0" applyNumberFormat="1" applyFont="1" applyAlignment="1">
      <alignment horizontal="right"/>
    </xf>
    <xf numFmtId="170" fontId="6" fillId="0" borderId="0" xfId="0" applyNumberFormat="1" applyFont="1"/>
    <xf numFmtId="3" fontId="6" fillId="0" borderId="2" xfId="0" applyNumberFormat="1" applyFont="1" applyBorder="1"/>
    <xf numFmtId="49" fontId="1" fillId="14" borderId="44" xfId="0" applyNumberFormat="1" applyFont="1" applyFill="1" applyBorder="1"/>
    <xf numFmtId="0" fontId="4" fillId="12" borderId="0" xfId="0" applyFont="1" applyFill="1" applyAlignment="1">
      <alignment vertical="top" wrapText="1"/>
    </xf>
    <xf numFmtId="0" fontId="4" fillId="12" borderId="0" xfId="0" applyFont="1" applyFill="1" applyAlignment="1">
      <alignment wrapText="1"/>
    </xf>
    <xf numFmtId="1" fontId="4" fillId="27" borderId="0" xfId="0" applyNumberFormat="1" applyFont="1" applyFill="1" applyAlignment="1">
      <alignment horizontal="center"/>
    </xf>
    <xf numFmtId="0" fontId="4" fillId="0" borderId="0" xfId="0" applyFont="1" applyAlignment="1">
      <alignment wrapText="1"/>
    </xf>
    <xf numFmtId="0" fontId="4" fillId="0" borderId="0" xfId="0" applyFont="1" applyAlignment="1">
      <alignment vertical="top" wrapText="1"/>
    </xf>
    <xf numFmtId="9" fontId="4" fillId="27" borderId="0" xfId="2" applyFont="1" applyFill="1" applyBorder="1" applyProtection="1">
      <protection hidden="1"/>
    </xf>
    <xf numFmtId="0" fontId="4" fillId="27" borderId="2" xfId="0" applyFont="1" applyFill="1" applyBorder="1"/>
    <xf numFmtId="9" fontId="4" fillId="27" borderId="2" xfId="2" applyFont="1" applyFill="1" applyBorder="1" applyProtection="1">
      <protection hidden="1"/>
    </xf>
    <xf numFmtId="0" fontId="4" fillId="13" borderId="12" xfId="0" applyFont="1" applyFill="1" applyBorder="1"/>
    <xf numFmtId="0" fontId="4" fillId="13" borderId="12" xfId="0" applyFont="1" applyFill="1" applyBorder="1" applyAlignment="1">
      <alignment vertical="top" wrapText="1"/>
    </xf>
    <xf numFmtId="0" fontId="4" fillId="13" borderId="11" xfId="0" applyFont="1" applyFill="1" applyBorder="1"/>
    <xf numFmtId="0" fontId="6" fillId="27" borderId="2" xfId="0" applyFont="1" applyFill="1" applyBorder="1"/>
    <xf numFmtId="0" fontId="6" fillId="12" borderId="2" xfId="0" applyFont="1" applyFill="1" applyBorder="1"/>
    <xf numFmtId="0" fontId="4" fillId="27" borderId="0" xfId="0" applyFont="1" applyFill="1" applyAlignment="1">
      <alignment horizontal="left" indent="1"/>
    </xf>
    <xf numFmtId="0" fontId="6" fillId="27" borderId="0" xfId="0" applyFont="1" applyFill="1" applyAlignment="1">
      <alignment horizontal="left" indent="1"/>
    </xf>
    <xf numFmtId="0" fontId="32" fillId="27" borderId="0" xfId="0" applyFont="1" applyFill="1" applyAlignment="1">
      <alignment horizontal="right"/>
    </xf>
    <xf numFmtId="0" fontId="4" fillId="0" borderId="22" xfId="0" applyFont="1" applyBorder="1" applyAlignment="1">
      <alignment horizontal="center"/>
    </xf>
    <xf numFmtId="175" fontId="4" fillId="0" borderId="0" xfId="0" applyNumberFormat="1" applyFont="1" applyAlignment="1">
      <alignment horizontal="center"/>
    </xf>
    <xf numFmtId="0" fontId="25" fillId="0" borderId="0" xfId="0" applyFont="1"/>
    <xf numFmtId="0" fontId="23" fillId="0" borderId="0" xfId="0" applyFont="1"/>
    <xf numFmtId="0" fontId="4" fillId="12" borderId="0" xfId="0" applyFont="1" applyFill="1"/>
    <xf numFmtId="0" fontId="4" fillId="12" borderId="0" xfId="0" applyFont="1" applyFill="1" applyAlignment="1">
      <alignment vertical="top" wrapText="1"/>
    </xf>
    <xf numFmtId="0" fontId="4" fillId="0" borderId="0" xfId="0" applyFont="1"/>
    <xf numFmtId="0" fontId="4" fillId="0" borderId="5" xfId="0" applyFont="1" applyBorder="1"/>
    <xf numFmtId="0" fontId="18" fillId="2" borderId="0" xfId="0" applyFont="1" applyFill="1" applyAlignment="1">
      <alignment horizontal="center"/>
    </xf>
    <xf numFmtId="0" fontId="18" fillId="2" borderId="22" xfId="0" applyFont="1" applyFill="1" applyBorder="1" applyAlignment="1">
      <alignment horizontal="center"/>
    </xf>
    <xf numFmtId="0" fontId="19" fillId="2" borderId="39" xfId="0" applyFont="1" applyFill="1" applyBorder="1" applyAlignment="1">
      <alignment horizontal="center" vertical="top"/>
    </xf>
    <xf numFmtId="0" fontId="19" fillId="2" borderId="18" xfId="0" applyFont="1" applyFill="1" applyBorder="1" applyAlignment="1">
      <alignment horizontal="center" vertical="top"/>
    </xf>
    <xf numFmtId="0" fontId="19" fillId="2" borderId="28" xfId="0" applyFont="1" applyFill="1" applyBorder="1" applyAlignment="1">
      <alignment horizontal="center" vertical="top"/>
    </xf>
    <xf numFmtId="0" fontId="4" fillId="2" borderId="19" xfId="0" applyFont="1" applyFill="1" applyBorder="1" applyAlignment="1">
      <alignment horizontal="left" vertical="justify" wrapText="1"/>
    </xf>
    <xf numFmtId="0" fontId="4" fillId="2" borderId="0" xfId="0" applyFont="1" applyFill="1" applyAlignment="1">
      <alignment horizontal="left" vertical="justify" wrapText="1"/>
    </xf>
    <xf numFmtId="0" fontId="6" fillId="12" borderId="40" xfId="0" applyFont="1" applyFill="1" applyBorder="1"/>
    <xf numFmtId="0" fontId="4" fillId="12" borderId="35" xfId="0" applyFont="1" applyFill="1" applyBorder="1"/>
    <xf numFmtId="0" fontId="4" fillId="12" borderId="41" xfId="0" applyFont="1" applyFill="1" applyBorder="1"/>
    <xf numFmtId="0" fontId="29" fillId="0" borderId="27" xfId="0" applyFont="1" applyBorder="1" applyAlignment="1">
      <alignment horizontal="center" vertical="center" wrapText="1"/>
    </xf>
    <xf numFmtId="0" fontId="29" fillId="0" borderId="18" xfId="0" applyFont="1" applyBorder="1" applyAlignment="1">
      <alignment horizontal="center" vertical="center" wrapText="1"/>
    </xf>
    <xf numFmtId="0" fontId="29" fillId="0" borderId="28" xfId="0" applyFont="1" applyBorder="1" applyAlignment="1">
      <alignment horizontal="center" vertical="center" wrapText="1"/>
    </xf>
    <xf numFmtId="0" fontId="29" fillId="0" borderId="16" xfId="0" applyFont="1" applyBorder="1" applyAlignment="1">
      <alignment horizontal="center" vertical="center" wrapText="1"/>
    </xf>
    <xf numFmtId="0" fontId="29" fillId="0" borderId="0" xfId="0" applyFont="1" applyAlignment="1">
      <alignment horizontal="center" vertical="center" wrapText="1"/>
    </xf>
    <xf numFmtId="0" fontId="29" fillId="0" borderId="22" xfId="0" applyFont="1" applyBorder="1" applyAlignment="1">
      <alignment horizontal="center" vertical="center" wrapText="1"/>
    </xf>
    <xf numFmtId="0" fontId="29" fillId="0" borderId="37" xfId="0" applyFont="1" applyBorder="1" applyAlignment="1">
      <alignment horizontal="center" vertical="center" wrapText="1"/>
    </xf>
    <xf numFmtId="0" fontId="29" fillId="0" borderId="32" xfId="0" applyFont="1" applyBorder="1" applyAlignment="1">
      <alignment horizontal="center" vertical="center" wrapText="1"/>
    </xf>
    <xf numFmtId="0" fontId="29" fillId="0" borderId="38" xfId="0" applyFont="1" applyBorder="1" applyAlignment="1">
      <alignment horizontal="center" vertical="center" wrapText="1"/>
    </xf>
    <xf numFmtId="0" fontId="4" fillId="12" borderId="0" xfId="0" applyFont="1" applyFill="1" applyAlignment="1">
      <alignment wrapText="1"/>
    </xf>
    <xf numFmtId="0" fontId="4" fillId="12" borderId="5" xfId="0" applyFont="1" applyFill="1" applyBorder="1" applyAlignment="1">
      <alignment wrapText="1"/>
    </xf>
    <xf numFmtId="0" fontId="4" fillId="12" borderId="5" xfId="0" applyFont="1" applyFill="1" applyBorder="1" applyAlignment="1">
      <alignment vertical="top" wrapText="1"/>
    </xf>
    <xf numFmtId="0" fontId="21" fillId="12" borderId="0" xfId="0" applyFont="1" applyFill="1"/>
    <xf numFmtId="0" fontId="4" fillId="0" borderId="2" xfId="0" applyFont="1" applyBorder="1"/>
    <xf numFmtId="0" fontId="4" fillId="12" borderId="16" xfId="0" applyFont="1" applyFill="1" applyBorder="1" applyAlignment="1">
      <alignment vertical="center" wrapText="1"/>
    </xf>
    <xf numFmtId="0" fontId="4" fillId="12" borderId="0" xfId="0" applyFont="1" applyFill="1" applyAlignment="1">
      <alignment vertical="center" wrapText="1"/>
    </xf>
    <xf numFmtId="0" fontId="4" fillId="12" borderId="22" xfId="0" applyFont="1" applyFill="1" applyBorder="1" applyAlignment="1">
      <alignment vertical="center" wrapText="1"/>
    </xf>
    <xf numFmtId="0" fontId="4" fillId="12" borderId="16" xfId="0" applyFont="1" applyFill="1" applyBorder="1" applyAlignment="1">
      <alignment vertical="center"/>
    </xf>
    <xf numFmtId="0" fontId="4" fillId="12" borderId="0" xfId="0" applyFont="1" applyFill="1" applyAlignment="1">
      <alignment vertical="center"/>
    </xf>
    <xf numFmtId="0" fontId="4" fillId="12" borderId="22" xfId="0" applyFont="1" applyFill="1" applyBorder="1" applyAlignment="1">
      <alignment vertical="center"/>
    </xf>
    <xf numFmtId="0" fontId="4" fillId="12" borderId="37" xfId="0" applyFont="1" applyFill="1" applyBorder="1" applyAlignment="1">
      <alignment vertical="center"/>
    </xf>
    <xf numFmtId="0" fontId="4" fillId="12" borderId="32" xfId="0" applyFont="1" applyFill="1" applyBorder="1" applyAlignment="1">
      <alignment vertical="center"/>
    </xf>
    <xf numFmtId="0" fontId="4" fillId="12" borderId="38" xfId="0" applyFont="1" applyFill="1" applyBorder="1" applyAlignment="1">
      <alignment vertical="center"/>
    </xf>
    <xf numFmtId="0" fontId="21" fillId="12" borderId="30" xfId="0" applyFont="1" applyFill="1" applyBorder="1"/>
    <xf numFmtId="0" fontId="4" fillId="0" borderId="18" xfId="0" applyFont="1" applyBorder="1"/>
    <xf numFmtId="0" fontId="4" fillId="0" borderId="30" xfId="0" applyFont="1" applyBorder="1"/>
    <xf numFmtId="0" fontId="20" fillId="2" borderId="19" xfId="0" applyFont="1" applyFill="1" applyBorder="1" applyAlignment="1">
      <alignment vertical="center" wrapText="1"/>
    </xf>
    <xf numFmtId="0" fontId="20" fillId="2" borderId="0" xfId="0" applyFont="1" applyFill="1" applyAlignment="1">
      <alignment vertical="center" wrapText="1"/>
    </xf>
    <xf numFmtId="0" fontId="20" fillId="2" borderId="22" xfId="0" applyFont="1" applyFill="1" applyBorder="1" applyAlignment="1">
      <alignment vertical="center" wrapText="1"/>
    </xf>
    <xf numFmtId="0" fontId="20" fillId="2" borderId="31" xfId="0" applyFont="1" applyFill="1" applyBorder="1" applyAlignment="1">
      <alignment vertical="center" wrapText="1"/>
    </xf>
    <xf numFmtId="0" fontId="20" fillId="2" borderId="32" xfId="0" applyFont="1" applyFill="1" applyBorder="1" applyAlignment="1">
      <alignment vertical="center" wrapText="1"/>
    </xf>
    <xf numFmtId="0" fontId="20" fillId="2" borderId="38" xfId="0" applyFont="1" applyFill="1" applyBorder="1" applyAlignment="1">
      <alignment vertical="center" wrapText="1"/>
    </xf>
    <xf numFmtId="0" fontId="6" fillId="0" borderId="0" xfId="0" applyFont="1" applyAlignment="1">
      <alignment horizontal="left"/>
    </xf>
    <xf numFmtId="0" fontId="6" fillId="0" borderId="0" xfId="0" applyFont="1" applyAlignment="1">
      <alignment horizontal="center"/>
    </xf>
    <xf numFmtId="0" fontId="4" fillId="0" borderId="0" xfId="0" applyFont="1" applyAlignment="1">
      <alignment horizontal="center"/>
    </xf>
    <xf numFmtId="0" fontId="6" fillId="0" borderId="0" xfId="0" applyFont="1"/>
    <xf numFmtId="0" fontId="31" fillId="0" borderId="0" xfId="0" quotePrefix="1" applyFont="1" applyAlignment="1">
      <alignment horizontal="center"/>
    </xf>
    <xf numFmtId="0" fontId="4" fillId="0" borderId="0" xfId="0" quotePrefix="1" applyFont="1" applyAlignment="1">
      <alignment horizontal="left"/>
    </xf>
    <xf numFmtId="49" fontId="6" fillId="0" borderId="0" xfId="0" applyNumberFormat="1" applyFont="1" applyAlignment="1">
      <alignment horizontal="center"/>
    </xf>
    <xf numFmtId="0" fontId="31" fillId="0" borderId="0" xfId="0" applyFont="1" applyAlignment="1">
      <alignment horizontal="center" wrapText="1"/>
    </xf>
    <xf numFmtId="0" fontId="0" fillId="0" borderId="2" xfId="0" applyBorder="1"/>
    <xf numFmtId="0" fontId="0" fillId="0" borderId="10" xfId="0" applyBorder="1"/>
  </cellXfs>
  <cellStyles count="7">
    <cellStyle name="Comma" xfId="1" builtinId="3"/>
    <cellStyle name="Comma 2" xfId="4" xr:uid="{00000000-0005-0000-0000-000001000000}"/>
    <cellStyle name="Normal" xfId="0" builtinId="0"/>
    <cellStyle name="Normal 2" xfId="3" xr:uid="{00000000-0005-0000-0000-000003000000}"/>
    <cellStyle name="Normal 3" xfId="6" xr:uid="{B7CCE572-DB9C-489C-B49C-744204B0CEC3}"/>
    <cellStyle name="Percent" xfId="2" builtinId="5"/>
    <cellStyle name="Percent 2" xfId="5" xr:uid="{00000000-0005-0000-0000-000005000000}"/>
  </cellStyles>
  <dxfs count="1026">
    <dxf>
      <font>
        <b val="0"/>
        <i val="0"/>
        <strike val="0"/>
        <condense val="0"/>
        <extend val="0"/>
        <outline val="0"/>
        <shadow val="0"/>
        <u val="none"/>
        <vertAlign val="baseline"/>
        <sz val="10"/>
        <color auto="1"/>
        <name val="Arial"/>
        <family val="2"/>
        <scheme val="none"/>
      </font>
      <numFmt numFmtId="3" formatCode="#,##0"/>
    </dxf>
    <dxf>
      <fill>
        <patternFill>
          <bgColor indexed="10"/>
        </patternFill>
      </fill>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general"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left/>
        <right style="thin">
          <color indexed="64"/>
        </right>
        <top/>
        <bottom/>
        <vertical/>
        <horizontal/>
      </border>
    </dxf>
    <dxf>
      <font>
        <strike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3"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66" formatCode="0.0%"/>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style="thin">
          <color indexed="64"/>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border diagonalUp="0" diagonalDown="0" outline="0">
        <left/>
        <right style="thin">
          <color indexed="64"/>
        </right>
        <top/>
        <bottom/>
      </border>
    </dxf>
    <dxf>
      <font>
        <strike val="0"/>
        <outline val="0"/>
        <shadow val="0"/>
        <u val="none"/>
        <vertAlign val="baseline"/>
        <sz val="10"/>
        <color auto="1"/>
        <name val="Arial"/>
        <family val="2"/>
        <scheme val="none"/>
      </font>
      <alignment vertical="center"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alignment vertical="center" textRotation="0" wrapText="0" indent="0" justifyLastLine="0" shrinkToFit="0" readingOrder="0"/>
    </dxf>
    <dxf>
      <font>
        <b/>
        <i val="0"/>
        <strike val="0"/>
        <condense val="0"/>
        <extend val="0"/>
        <outline val="0"/>
        <shadow val="0"/>
        <u val="none"/>
        <vertAlign val="baseline"/>
        <sz val="10"/>
        <color auto="1"/>
        <name val="Arial"/>
        <family val="2"/>
        <scheme val="none"/>
      </font>
      <alignment vertical="center" textRotation="0" wrapText="0" indent="0" justifyLastLine="0" shrinkToFit="0" readingOrder="0"/>
    </dxf>
    <dxf>
      <fill>
        <patternFill>
          <bgColor indexed="29"/>
        </patternFill>
      </fill>
    </dxf>
    <dxf>
      <font>
        <strike val="0"/>
        <outline val="0"/>
        <shadow val="0"/>
        <u val="none"/>
        <vertAlign val="baseline"/>
        <sz val="11"/>
        <color auto="1"/>
        <name val="Calibri"/>
        <family val="2"/>
        <scheme val="minor"/>
      </font>
      <numFmt numFmtId="14" formatCode="0.00%"/>
    </dxf>
    <dxf>
      <font>
        <strike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strike val="0"/>
        <outline val="0"/>
        <shadow val="0"/>
        <u val="none"/>
        <vertAlign val="baseline"/>
        <sz val="11"/>
        <color auto="1"/>
        <name val="Calibri"/>
        <family val="2"/>
        <scheme val="minor"/>
      </font>
    </dxf>
    <dxf>
      <font>
        <b/>
        <strike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3" formatCode="h:mm;@"/>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177" formatCode="hh:mm"/>
      <alignment horizontal="right"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numFmt numFmtId="14" formatCode="0.00%"/>
      <alignment horizont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175" formatCode="\→\ 0\ \→;;"/>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0" formatCode="@"/>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ont>
        <condense val="0"/>
        <extend val="0"/>
        <color indexed="9"/>
      </font>
    </dxf>
    <dxf>
      <font>
        <b val="0"/>
        <i val="0"/>
        <condense val="0"/>
        <extend val="0"/>
        <color indexed="10"/>
      </font>
      <fill>
        <patternFill>
          <bgColor indexed="10"/>
        </patternFill>
      </fill>
    </dxf>
    <dxf>
      <fill>
        <patternFill>
          <bgColor theme="0" tint="-0.24994659260841701"/>
        </patternFill>
      </fill>
      <border>
        <bottom style="thin">
          <color auto="1"/>
        </bottom>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condense val="0"/>
        <extend val="0"/>
        <color indexed="11"/>
      </font>
    </dxf>
    <dxf>
      <font>
        <b val="0"/>
        <i val="0"/>
        <condense val="0"/>
        <extend val="0"/>
        <color auto="1"/>
      </font>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174" formatCode="0;;"/>
      <alignment horizontal="center"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center" vertical="center"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30" formatCode="@"/>
      <fill>
        <patternFill>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none">
          <fgColor indexed="64"/>
          <bgColor theme="0" tint="-0.249977111117893"/>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protection locked="1" hidden="0"/>
    </dxf>
    <dxf>
      <font>
        <strike val="0"/>
        <outline val="0"/>
        <shadow val="0"/>
        <u val="none"/>
        <vertAlign val="baseline"/>
        <sz val="10"/>
        <color auto="1"/>
        <name val="Arial"/>
        <family val="2"/>
        <scheme val="none"/>
      </font>
      <numFmt numFmtId="3" formatCode="#,##0"/>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vertical="center"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center" textRotation="0" wrapText="0" indent="0" justifyLastLine="0" shrinkToFit="0" readingOrder="0"/>
    </dxf>
    <dxf>
      <font>
        <strike val="0"/>
        <outline val="0"/>
        <shadow val="0"/>
        <u val="none"/>
        <vertAlign val="baseline"/>
        <sz val="10"/>
        <color auto="1"/>
        <name val="Arial"/>
        <family val="2"/>
        <scheme val="none"/>
      </font>
      <alignment vertical="center" textRotation="0" wrapText="0" indent="0" justifyLastLine="0" shrinkToFit="0" readingOrder="0"/>
    </dxf>
    <dxf>
      <font>
        <b/>
        <strike val="0"/>
        <outline val="0"/>
        <shadow val="0"/>
        <u val="none"/>
        <vertAlign val="baseline"/>
        <sz val="10"/>
        <color auto="1"/>
        <name val="Arial"/>
        <family val="2"/>
        <scheme val="none"/>
      </font>
      <alignment horizontal="general" vertical="top" textRotation="0" wrapText="1"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fill>
        <patternFill patternType="none">
          <fgColor indexed="64"/>
          <bgColor indexed="65"/>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fill>
        <patternFill>
          <fgColor indexed="64"/>
          <bgColor theme="0" tint="-0.249977111117893"/>
        </patternFill>
      </fill>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border diagonalUp="0" diagonalDown="0">
        <left/>
        <right style="medium">
          <color indexed="64"/>
        </right>
        <top/>
        <bottom/>
        <vertical/>
        <horizontal/>
      </border>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77" formatCode="hh:mm"/>
    </dxf>
    <dxf>
      <font>
        <outline val="0"/>
        <shadow val="0"/>
        <u val="none"/>
        <vertAlign val="baseline"/>
        <sz val="10"/>
        <color auto="1"/>
        <name val="Arial"/>
        <family val="2"/>
        <scheme val="none"/>
      </font>
      <numFmt numFmtId="13" formatCode="0%"/>
    </dxf>
    <dxf>
      <font>
        <outline val="0"/>
        <shadow val="0"/>
        <u val="none"/>
        <vertAlign val="baseline"/>
        <sz val="10"/>
        <color auto="1"/>
        <name val="Arial"/>
        <family val="2"/>
        <scheme val="none"/>
      </font>
      <numFmt numFmtId="3" formatCode="#,##0"/>
    </dxf>
    <dxf>
      <font>
        <outline val="0"/>
        <shadow val="0"/>
        <u val="none"/>
        <vertAlign val="baseline"/>
        <sz val="10"/>
        <color auto="1"/>
        <name val="Arial"/>
        <family val="2"/>
        <scheme val="none"/>
      </font>
      <numFmt numFmtId="3" formatCode="#,##0"/>
      <fill>
        <patternFill patternType="solid">
          <fgColor indexed="64"/>
          <bgColor theme="0" tint="-0.249977111117893"/>
        </patternFill>
      </fill>
    </dxf>
    <dxf>
      <font>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outline val="0"/>
        <shadow val="0"/>
        <u val="none"/>
        <vertAlign val="baseline"/>
        <sz val="10"/>
        <color auto="1"/>
        <name val="Arial"/>
        <family val="2"/>
        <scheme val="none"/>
      </font>
      <numFmt numFmtId="30" formatCode="@"/>
      <alignment horizontal="center" vertical="bottom" textRotation="0" wrapText="0" indent="0" justifyLastLine="0" shrinkToFit="0" readingOrder="0"/>
    </dxf>
    <dxf>
      <border outline="0">
        <bottom style="medium">
          <color indexed="64"/>
        </bottom>
      </border>
    </dxf>
    <dxf>
      <font>
        <b/>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ABF8F"/>
        </patternFill>
      </fill>
    </dxf>
    <dxf>
      <fill>
        <patternFill>
          <bgColor rgb="FFFF8080"/>
        </patternFill>
      </fill>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numFmt numFmtId="169" formatCode="0.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13" formatCode="0%"/>
      <fill>
        <patternFill patternType="none">
          <fgColor indexed="64"/>
          <bgColor auto="1"/>
        </patternFill>
      </fill>
    </dxf>
    <dxf>
      <font>
        <strike val="0"/>
        <outline val="0"/>
        <shadow val="0"/>
        <u val="none"/>
        <vertAlign val="baseline"/>
        <sz val="10"/>
        <color auto="1"/>
        <name val="Arial"/>
        <family val="2"/>
        <scheme val="none"/>
      </font>
      <numFmt numFmtId="3" formatCode="#,##0"/>
      <fill>
        <patternFill>
          <fgColor indexed="64"/>
          <bgColor theme="0" tint="-4.9989318521683403E-2"/>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4" formatCode="#,##0.0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strike val="0"/>
        <outline val="0"/>
        <shadow val="0"/>
        <u val="none"/>
        <vertAlign val="baseline"/>
        <sz val="10"/>
        <color auto="1"/>
        <name val="Arial"/>
        <family val="2"/>
        <scheme val="none"/>
      </font>
      <fill>
        <patternFill>
          <fgColor indexed="64"/>
          <bgColor theme="0" tint="-4.9989318521683403E-2"/>
        </patternFill>
      </fill>
    </dxf>
    <dxf>
      <font>
        <b val="0"/>
        <i val="0"/>
        <strike val="0"/>
        <condense val="0"/>
        <extend val="0"/>
        <outline val="0"/>
        <shadow val="0"/>
        <u val="none"/>
        <vertAlign val="baseline"/>
        <sz val="10"/>
        <color auto="1"/>
        <name val="Arial"/>
        <family val="2"/>
        <scheme val="none"/>
      </font>
      <numFmt numFmtId="2" formatCode="0.00"/>
    </dxf>
    <dxf>
      <font>
        <b val="0"/>
        <i val="0"/>
        <strike val="0"/>
        <condense val="0"/>
        <extend val="0"/>
        <outline val="0"/>
        <shadow val="0"/>
        <u val="none"/>
        <vertAlign val="baseline"/>
        <sz val="10"/>
        <color auto="1"/>
        <name val="Arial"/>
        <family val="2"/>
        <scheme val="none"/>
      </font>
      <numFmt numFmtId="2" formatCode="0.00"/>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0" formatCode="General"/>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2"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numFmt numFmtId="14" formatCode="0.00%"/>
      <fill>
        <patternFill patternType="none">
          <fgColor indexed="64"/>
          <bgColor indexed="65"/>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177" formatCode="hh:mm"/>
      <fill>
        <patternFill>
          <fgColor indexed="64"/>
          <bgColor theme="0" tint="-0.249977111117893"/>
        </patternFill>
      </fill>
    </dxf>
    <dxf>
      <font>
        <strike val="0"/>
        <outline val="0"/>
        <shadow val="0"/>
        <u val="none"/>
        <vertAlign val="baseline"/>
        <sz val="10"/>
        <color auto="1"/>
        <name val="Arial"/>
        <family val="2"/>
        <scheme val="none"/>
      </font>
      <numFmt numFmtId="0" formatCode="General"/>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BFBFBF"/>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numFmt numFmtId="177" formatCode="hh:mm"/>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numFmt numFmtId="13" formatCode="0%"/>
      <fill>
        <patternFill patternType="solid">
          <fgColor indexed="64"/>
          <bgColor rgb="FFFFCC99"/>
        </patternFill>
      </fill>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72" formatCode="_-* #,##0_-;_-* #,##0\-;_-* &quot;-&quot;??_-;_-@_-"/>
    </dxf>
    <dxf>
      <font>
        <b val="0"/>
        <i val="0"/>
        <strike val="0"/>
        <condense val="0"/>
        <extend val="0"/>
        <outline val="0"/>
        <shadow val="0"/>
        <u val="none"/>
        <vertAlign val="baseline"/>
        <sz val="10"/>
        <color auto="1"/>
        <name val="Arial"/>
        <family val="2"/>
        <scheme val="none"/>
      </font>
      <numFmt numFmtId="14" formatCode="0.00%"/>
      <alignment horizontal="righ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 formatCode="0"/>
    </dxf>
    <dxf>
      <font>
        <b val="0"/>
        <i val="0"/>
        <strike val="0"/>
        <condense val="0"/>
        <extend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1"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theme="5" tint="0.59996337778862885"/>
        </patternFill>
      </fill>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strike val="0"/>
        <outline val="0"/>
        <shadow val="0"/>
        <u val="none"/>
        <vertAlign val="baseline"/>
        <sz val="10"/>
        <color auto="1"/>
        <name val="Arial"/>
        <family val="2"/>
        <scheme val="none"/>
      </font>
      <numFmt numFmtId="14" formatCode="0.0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34998626667073579"/>
        </patternFill>
      </fill>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strike val="0"/>
        <outline val="0"/>
        <shadow val="0"/>
        <u val="none"/>
        <vertAlign val="baseline"/>
        <sz val="10"/>
        <color auto="1"/>
        <name val="Arial"/>
        <family val="2"/>
        <scheme val="none"/>
      </font>
      <numFmt numFmtId="177" formatCode="hh:mm"/>
      <fill>
        <patternFill>
          <fgColor indexed="64"/>
          <bgColor theme="0" tint="-0.14999847407452621"/>
        </patternFill>
      </fill>
    </dxf>
    <dxf>
      <font>
        <strike val="0"/>
        <outline val="0"/>
        <shadow val="0"/>
        <u val="none"/>
        <vertAlign val="baseline"/>
        <sz val="10"/>
        <color auto="1"/>
        <name val="Arial"/>
        <family val="2"/>
        <scheme val="none"/>
      </font>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patternType="solid">
          <fgColor indexed="64"/>
          <bgColor theme="0" tint="-0.34998626667073579"/>
        </patternFill>
      </fill>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fgColor indexed="64"/>
          <bgColor theme="0" tint="-0.14999847407452621"/>
        </patternFill>
      </fill>
      <alignment horizontal="center" vertical="bottom" textRotation="0" wrapText="0" indent="0" justifyLastLine="0" shrinkToFit="0" readingOrder="0"/>
    </dxf>
    <dxf>
      <border outline="0">
        <bottom style="thin">
          <color indexed="64"/>
        </bottom>
      </border>
    </dxf>
    <dxf>
      <font>
        <strike val="0"/>
        <outline val="0"/>
        <shadow val="0"/>
        <u val="none"/>
        <vertAlign val="baseline"/>
        <sz val="10"/>
        <color auto="1"/>
        <name val="Arial"/>
        <family val="2"/>
        <scheme val="none"/>
      </font>
      <numFmt numFmtId="30" formatCode="@"/>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ont>
        <color theme="0"/>
      </font>
      <fill>
        <patternFill>
          <bgColor rgb="FFFF0000"/>
        </patternFill>
      </fill>
    </dxf>
    <dxf>
      <font>
        <condense val="0"/>
        <extend val="0"/>
        <color indexed="11"/>
      </font>
    </dxf>
    <dxf>
      <fill>
        <patternFill>
          <bgColor rgb="FFA6A6A6"/>
        </patternFill>
      </fill>
      <border>
        <bottom style="thin">
          <color auto="1"/>
        </bottom>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ill>
        <patternFill>
          <bgColor indexed="29"/>
        </patternFill>
      </fill>
    </dxf>
    <dxf>
      <font>
        <b/>
        <i val="0"/>
        <condense val="0"/>
        <extend val="0"/>
        <color indexed="9"/>
      </font>
      <fill>
        <patternFill>
          <bgColor indexed="10"/>
        </patternFill>
      </fill>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numFmt numFmtId="3" formatCode="#,##0"/>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0" formatCode="General"/>
    </dxf>
    <dxf>
      <font>
        <strike val="0"/>
        <outline val="0"/>
        <shadow val="0"/>
        <vertAlign val="baseline"/>
        <sz val="10"/>
        <color auto="1"/>
        <name val="Arial"/>
        <family val="2"/>
        <scheme val="none"/>
      </font>
      <fill>
        <patternFill>
          <fgColor indexed="64"/>
          <bgColor theme="0" tint="-0.34998626667073579"/>
        </patternFill>
      </fill>
    </dxf>
    <dxf>
      <font>
        <strike val="0"/>
        <outline val="0"/>
        <shadow val="0"/>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vertAlign val="baseline"/>
        <sz val="10"/>
        <color auto="1"/>
        <name val="Arial"/>
        <family val="2"/>
        <scheme val="none"/>
      </font>
      <numFmt numFmtId="177" formatCode="hh:mm"/>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dxf>
    <dxf>
      <font>
        <strike val="0"/>
        <outline val="0"/>
        <shadow val="0"/>
        <vertAlign val="baseline"/>
        <sz val="10"/>
        <color auto="1"/>
        <name val="Arial"/>
        <family val="2"/>
        <scheme val="none"/>
      </font>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fgColor indexed="64"/>
          <bgColor theme="0" tint="-0.14999847407452621"/>
        </patternFill>
      </fill>
      <alignment horizontal="center" textRotation="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4" formatCode="0.00%"/>
      <alignment horizontal="center" vertical="bottom"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fill>
        <patternFill>
          <fgColor indexed="64"/>
          <bgColor theme="0"/>
        </patternFill>
      </fill>
      <alignment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F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7" tint="0.399975585192419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808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A8380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C0C0C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rgb="FF00B050"/>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3" formatCode="#,##0"/>
      <fill>
        <patternFill patternType="solid">
          <fgColor indexed="64"/>
          <bgColor theme="2" tint="-9.9978637043366805E-2"/>
        </patternFill>
      </fill>
      <alignment horizontal="center" vertical="bottom" textRotation="0" wrapText="0" indent="0" justifyLastLine="0" shrinkToFit="0" readingOrder="0"/>
    </dxf>
    <dxf>
      <font>
        <strike val="0"/>
        <outline val="0"/>
        <shadow val="0"/>
        <vertAlign val="baseline"/>
        <sz val="10"/>
        <color auto="1"/>
        <name val="Arial"/>
        <family val="2"/>
        <scheme val="none"/>
      </font>
      <fill>
        <patternFill patternType="solid">
          <fgColor indexed="64"/>
          <bgColor theme="0" tint="-0.34998626667073579"/>
        </patternFill>
      </fill>
    </dxf>
    <dxf>
      <font>
        <strike val="0"/>
        <outline val="0"/>
        <shadow val="0"/>
        <vertAlign val="baseline"/>
        <sz val="10"/>
        <color auto="1"/>
        <name val="Arial"/>
        <family val="2"/>
        <scheme val="none"/>
      </font>
      <numFmt numFmtId="3" formatCode="#,##0"/>
      <fill>
        <patternFill patternType="solid">
          <fgColor indexed="64"/>
          <bgColor theme="0" tint="-0.14999847407452621"/>
        </patternFill>
      </fill>
      <alignment horizontal="center" vertical="bottom" textRotation="0" wrapText="0" indent="0" justifyLastLine="0" shrinkToFit="0" readingOrder="0"/>
    </dxf>
    <dxf>
      <font>
        <strike val="0"/>
        <outline val="0"/>
        <shadow val="0"/>
        <vertAlign val="baseline"/>
        <sz val="10"/>
        <color auto="1"/>
        <name val="Arial"/>
        <family val="2"/>
        <scheme val="none"/>
      </font>
      <numFmt numFmtId="0" formatCode="General"/>
      <fill>
        <patternFill patternType="solid">
          <fgColor indexed="64"/>
          <bgColor theme="0" tint="-0.14999847407452621"/>
        </patternFill>
      </fill>
      <alignment horizontal="center" vertical="bottom" textRotation="0" wrapText="0" indent="0" justifyLastLine="0" shrinkToFit="0" readingOrder="0"/>
    </dxf>
    <dxf>
      <border outline="0">
        <left style="thick">
          <color indexed="64"/>
        </left>
      </border>
    </dxf>
    <dxf>
      <font>
        <strike val="0"/>
        <outline val="0"/>
        <shadow val="0"/>
        <vertAlign val="baseline"/>
        <sz val="10"/>
        <color auto="1"/>
        <name val="Arial"/>
        <family val="2"/>
        <scheme val="none"/>
      </font>
      <numFmt numFmtId="30" formatCode="@"/>
    </dxf>
    <dxf>
      <font>
        <b/>
        <strike val="0"/>
        <outline val="0"/>
        <shadow val="0"/>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ill>
        <patternFill>
          <bgColor indexed="29"/>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condense val="0"/>
        <extend val="0"/>
        <color indexed="50"/>
      </font>
    </dxf>
    <dxf>
      <font>
        <b val="0"/>
        <i val="0"/>
        <condense val="0"/>
        <extend val="0"/>
        <color indexed="10"/>
      </font>
      <fill>
        <patternFill patternType="none">
          <bgColor indexed="65"/>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2" tint="-0.499984740745262"/>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FFC0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177" formatCode="hh:mm"/>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dxf>
    <dxf>
      <font>
        <strike val="0"/>
        <outline val="0"/>
        <shadow val="0"/>
        <u val="none"/>
        <vertAlign val="baseline"/>
        <sz val="10"/>
        <color auto="1"/>
        <name val="Arial"/>
        <family val="2"/>
        <scheme val="none"/>
      </font>
      <numFmt numFmtId="3" formatCode="#,##0"/>
      <fill>
        <patternFill patternType="none">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7" tint="0.3999755851924192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808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A8380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C0C0C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rgb="FF00B050"/>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theme="6" tint="0.59999389629810485"/>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indexed="43"/>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patternType="solid">
          <fgColor indexed="64"/>
          <bgColor indexed="4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fill>
        <patternFill patternType="solid">
          <fgColor indexed="64"/>
          <bgColor theme="0" tint="-0.249977111117893"/>
        </patternFill>
      </fill>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numFmt numFmtId="0" formatCode="General"/>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FFCC99"/>
        </patternFill>
      </fill>
    </dxf>
    <dxf>
      <font>
        <strike val="0"/>
        <outline val="0"/>
        <shadow val="0"/>
        <u val="none"/>
        <vertAlign val="baseline"/>
        <sz val="10"/>
        <color auto="1"/>
        <name val="Arial"/>
        <family val="2"/>
        <scheme val="none"/>
      </font>
      <fill>
        <patternFill patternType="solid">
          <fgColor indexed="64"/>
          <bgColor rgb="FFFFCC99"/>
        </patternFill>
      </fill>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D9D9D9"/>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F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F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7" tint="0.399975585192419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7" tint="0.39997558519241921"/>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2" tint="-0.499984740745262"/>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808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FFC00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A8380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fill>
        <patternFill patternType="solid">
          <fgColor indexed="64"/>
          <bgColor rgb="FFC0C0C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rgb="FF00B050"/>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rgb="FF00B050"/>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6" tint="0.59999389629810485"/>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fill>
        <patternFill patternType="solid">
          <fgColor indexed="64"/>
          <bgColor theme="6" tint="0.59999389629810485"/>
        </patternFill>
      </fill>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textRotation="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34998626667073579"/>
        </patternFill>
      </fill>
    </dxf>
    <dxf>
      <font>
        <strike val="0"/>
        <outline val="0"/>
        <shadow val="0"/>
        <u val="none"/>
        <vertAlign val="baseline"/>
        <sz val="10"/>
        <color auto="1"/>
        <name val="Arial"/>
        <family val="2"/>
        <scheme val="none"/>
      </font>
      <numFmt numFmtId="177" formatCode="hh:mm"/>
      <fill>
        <patternFill patternType="solid">
          <fgColor indexed="64"/>
          <bgColor theme="0" tint="-0.34998626667073579"/>
        </patternFill>
      </fill>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0" formatCode="General"/>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alignment horizontal="right"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solid">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0" formatCode="General"/>
      <fill>
        <patternFill>
          <fgColor indexed="64"/>
          <bgColor theme="0" tint="-0.14999847407452621"/>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border outline="0">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vertical/>
        <horizontal/>
      </border>
    </dxf>
    <dxf>
      <font>
        <b/>
        <i val="0"/>
        <condense val="0"/>
        <extend val="0"/>
        <color indexed="9"/>
      </font>
      <fill>
        <patternFill>
          <bgColor indexed="10"/>
        </patternFill>
      </fill>
    </dxf>
    <dxf>
      <fill>
        <patternFill>
          <bgColor rgb="FFFF8080"/>
        </patternFill>
      </fill>
    </dxf>
    <dxf>
      <fill>
        <patternFill>
          <bgColor theme="0" tint="-0.34998626667073579"/>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ill>
        <patternFill>
          <bgColor indexed="10"/>
        </patternFill>
      </fill>
    </dxf>
    <dxf>
      <font>
        <b/>
        <i val="0"/>
        <condense val="0"/>
        <extend val="0"/>
        <color indexed="9"/>
      </font>
      <fill>
        <patternFill>
          <bgColor indexed="10"/>
        </patternFill>
      </fill>
    </dxf>
    <dxf>
      <fill>
        <patternFill>
          <bgColor indexed="10"/>
        </patternFill>
      </fill>
    </dxf>
    <dxf>
      <fill>
        <patternFill>
          <bgColor indexed="29"/>
        </patternFill>
      </fill>
    </dxf>
    <dxf>
      <font>
        <b/>
        <i val="0"/>
        <condense val="0"/>
        <extend val="0"/>
        <color indexed="9"/>
      </font>
      <fill>
        <patternFill>
          <bgColor indexed="10"/>
        </patternFill>
      </fill>
    </dxf>
    <dxf>
      <fill>
        <patternFill>
          <bgColor indexed="10"/>
        </patternFill>
      </fill>
    </dxf>
    <dxf>
      <fill>
        <patternFill>
          <bgColor indexed="10"/>
        </patternFill>
      </fill>
    </dxf>
    <dxf>
      <fill>
        <patternFill>
          <bgColor indexed="10"/>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0" formatCode="General"/>
    </dxf>
    <dxf>
      <font>
        <b val="0"/>
        <i val="0"/>
        <strike val="0"/>
        <condense val="0"/>
        <extend val="0"/>
        <outline val="0"/>
        <shadow val="0"/>
        <u val="none"/>
        <vertAlign val="baseline"/>
        <sz val="10"/>
        <color auto="1"/>
        <name val="Arial"/>
        <family val="2"/>
        <scheme val="none"/>
      </font>
      <numFmt numFmtId="177" formatCode="hh:mm"/>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dxf>
    <dxf>
      <font>
        <strike val="0"/>
        <outline val="0"/>
        <shadow val="0"/>
        <u val="none"/>
        <vertAlign val="baseline"/>
        <sz val="10"/>
        <color auto="1"/>
        <name val="Arial"/>
        <family val="2"/>
        <scheme val="none"/>
      </font>
      <numFmt numFmtId="0" formatCode="Genera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strike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3" formatCode="0%"/>
    </dxf>
    <dxf>
      <font>
        <b val="0"/>
        <i val="0"/>
        <strike val="0"/>
        <condense val="0"/>
        <extend val="0"/>
        <outline val="0"/>
        <shadow val="0"/>
        <u val="none"/>
        <vertAlign val="baseline"/>
        <sz val="10"/>
        <color auto="1"/>
        <name val="Arial"/>
        <family val="2"/>
        <scheme val="none"/>
      </font>
      <numFmt numFmtId="14" formatCode="0.00%"/>
    </dxf>
    <dxf>
      <font>
        <b val="0"/>
        <i val="0"/>
        <strike val="0"/>
        <condense val="0"/>
        <extend val="0"/>
        <outline val="0"/>
        <shadow val="0"/>
        <u val="none"/>
        <vertAlign val="baseline"/>
        <sz val="10"/>
        <color auto="1"/>
        <name val="Arial"/>
        <family val="2"/>
        <scheme val="none"/>
      </font>
      <numFmt numFmtId="13" formatCode="0%"/>
    </dxf>
    <dxf>
      <font>
        <strike val="0"/>
        <outline val="0"/>
        <shadow val="0"/>
        <u val="none"/>
        <vertAlign val="baseline"/>
        <sz val="10"/>
        <color auto="1"/>
        <name val="Arial"/>
        <family val="2"/>
        <scheme val="none"/>
      </font>
      <fill>
        <patternFill>
          <fgColor indexed="64"/>
          <bgColor theme="0" tint="-0.249977111117893"/>
        </patternFill>
      </fill>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4" formatCode="#,##0.0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fill>
        <patternFill>
          <fgColor indexed="64"/>
          <bgColor theme="0" tint="-0.249977111117893"/>
        </patternFill>
      </fill>
    </dxf>
    <dxf>
      <font>
        <b val="0"/>
        <i val="0"/>
        <strike val="0"/>
        <condense val="0"/>
        <extend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dxf>
    <dxf>
      <font>
        <strike val="0"/>
        <outline val="0"/>
        <shadow val="0"/>
        <u val="none"/>
        <vertAlign val="baseline"/>
        <sz val="10"/>
        <color auto="1"/>
        <name val="Arial"/>
        <family val="2"/>
        <scheme val="none"/>
      </font>
      <numFmt numFmtId="3" formatCode="#,##0"/>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solid">
          <fgColor indexed="64"/>
          <bgColor rgb="FFFFCC99"/>
        </patternFill>
      </fill>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dxf>
    <dxf>
      <font>
        <strike val="0"/>
        <outline val="0"/>
        <shadow val="0"/>
        <u val="none"/>
        <vertAlign val="baseline"/>
        <sz val="10"/>
        <color auto="1"/>
        <name val="Arial"/>
        <family val="2"/>
        <scheme val="none"/>
      </font>
      <fill>
        <patternFill patternType="solid">
          <fgColor indexed="64"/>
          <bgColor theme="0" tint="-0.249977111117893"/>
        </patternFill>
      </fill>
      <alignment horizontal="center" vertical="bottom" textRotation="0" wrapText="0" indent="0" justifyLastLine="0" shrinkToFit="0" readingOrder="0"/>
    </dxf>
    <dxf>
      <border outline="0">
        <left style="thick">
          <color indexed="64"/>
        </left>
        <bottom style="thin">
          <color indexed="64"/>
        </bottom>
      </border>
    </dxf>
    <dxf>
      <font>
        <strike val="0"/>
        <outline val="0"/>
        <shadow val="0"/>
        <u val="none"/>
        <vertAlign val="baseline"/>
        <sz val="10"/>
        <color auto="1"/>
        <name val="Arial"/>
        <family val="2"/>
        <scheme val="none"/>
      </font>
      <numFmt numFmtId="30" formatCode="@"/>
    </dxf>
    <dxf>
      <border outline="0">
        <bottom style="medium">
          <color indexed="64"/>
        </bottom>
      </border>
    </dxf>
    <dxf>
      <font>
        <b/>
        <strike val="0"/>
        <outline val="0"/>
        <shadow val="0"/>
        <u val="none"/>
        <vertAlign val="baseline"/>
        <sz val="10"/>
        <color auto="1"/>
        <name val="Arial"/>
        <family val="2"/>
        <scheme val="none"/>
      </font>
      <numFmt numFmtId="30" formatCode="@"/>
      <alignment horizontal="center" vertical="top" textRotation="0" wrapText="1" indent="0" justifyLastLine="0" shrinkToFit="0" readingOrder="0"/>
    </dxf>
    <dxf>
      <fill>
        <patternFill>
          <bgColor rgb="FFFF8080"/>
        </patternFill>
      </fill>
    </dxf>
    <dxf>
      <fill>
        <patternFill>
          <bgColor theme="3" tint="0.79998168889431442"/>
        </patternFill>
      </fill>
      <border>
        <bottom style="thin">
          <color auto="1"/>
        </bottom>
        <vertical/>
        <horizontal/>
      </border>
    </dxf>
    <dxf>
      <fill>
        <patternFill>
          <bgColor rgb="FF00FF00"/>
        </patternFill>
      </fill>
      <border>
        <left style="dashDot">
          <color theme="6" tint="-0.499984740745262"/>
        </left>
        <right style="dashDot">
          <color theme="6" tint="-0.499984740745262"/>
        </right>
        <top style="dashDot">
          <color theme="6" tint="-0.499984740745262"/>
        </top>
        <bottom style="dashDot">
          <color theme="6" tint="-0.499984740745262"/>
        </bottom>
        <vertical/>
        <horizontal/>
      </border>
    </dxf>
    <dxf>
      <font>
        <b/>
        <i val="0"/>
        <condense val="0"/>
        <extend val="0"/>
        <color indexed="9"/>
      </font>
      <fill>
        <patternFill>
          <bgColor indexed="10"/>
        </patternFill>
      </fill>
    </dxf>
    <dxf>
      <font>
        <b/>
        <i val="0"/>
        <condense val="0"/>
        <extend val="0"/>
        <color indexed="9"/>
      </font>
      <fill>
        <patternFill>
          <bgColor indexed="10"/>
        </patternFill>
      </fill>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1"/>
        <color auto="1"/>
        <name val="Calibri"/>
        <family val="2"/>
        <scheme val="minor"/>
      </font>
      <numFmt numFmtId="14" formatCode="0.00%"/>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solid">
          <fgColor indexed="64"/>
          <bgColor theme="0" tint="-0.249977111117893"/>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numFmt numFmtId="0" formatCode="General"/>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4" formatCode="0.0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strike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3" formatCode="#,##0"/>
      <fill>
        <patternFill patternType="none">
          <fgColor indexed="64"/>
          <bgColor auto="1"/>
        </patternFill>
      </fill>
    </dxf>
    <dxf>
      <font>
        <b val="0"/>
        <i val="0"/>
        <strike val="0"/>
        <condense val="0"/>
        <extend val="0"/>
        <outline val="0"/>
        <shadow val="0"/>
        <u val="none"/>
        <vertAlign val="baseline"/>
        <sz val="11"/>
        <color auto="1"/>
        <name val="Calibri"/>
        <family val="2"/>
        <scheme val="minor"/>
      </font>
      <fill>
        <patternFill patternType="none">
          <fgColor indexed="64"/>
          <bgColor indexed="65"/>
        </patternFill>
      </fill>
      <border diagonalUp="0" diagonalDown="0" outline="0">
        <left/>
        <right/>
        <top/>
        <bottom/>
      </border>
    </dxf>
    <dxf>
      <font>
        <b val="0"/>
        <i val="0"/>
        <strike val="0"/>
        <condense val="0"/>
        <extend val="0"/>
        <outline val="0"/>
        <shadow val="0"/>
        <u val="none"/>
        <vertAlign val="baseline"/>
        <sz val="10"/>
        <color auto="1"/>
        <name val="Arial"/>
        <family val="2"/>
        <scheme val="none"/>
      </font>
      <numFmt numFmtId="177" formatCode="hh:mm"/>
      <fill>
        <patternFill patternType="solid">
          <fgColor indexed="64"/>
          <bgColor theme="0" tint="-0.249977111117893"/>
        </patternFill>
      </fill>
      <alignment horizontal="center" vertical="bottom" textRotation="0" wrapText="0" indent="0" justifyLastLine="0" shrinkToFit="0" readingOrder="0"/>
    </dxf>
    <dxf>
      <font>
        <b val="0"/>
        <i val="0"/>
        <strike val="0"/>
        <condense val="0"/>
        <extend val="0"/>
        <outline val="0"/>
        <shadow val="0"/>
        <u val="none"/>
        <vertAlign val="baseline"/>
        <sz val="11"/>
        <color auto="1"/>
        <name val="Calibri"/>
        <family val="2"/>
        <scheme val="minor"/>
      </font>
      <fill>
        <patternFill patternType="none">
          <fgColor indexed="64"/>
          <bgColor indexed="65"/>
        </patternFill>
      </fill>
      <alignment horizontal="center" vertical="bottom" textRotation="0" wrapText="0" indent="0" justifyLastLine="0" shrinkToFit="0" readingOrder="0"/>
      <border diagonalUp="0" diagonalDown="0" outline="0">
        <left/>
        <right/>
        <top/>
        <bottom/>
      </border>
    </dxf>
    <dxf>
      <font>
        <strike val="0"/>
        <outline val="0"/>
        <shadow val="0"/>
        <u val="none"/>
        <vertAlign val="baseline"/>
        <sz val="10"/>
        <color auto="1"/>
        <name val="Arial"/>
        <family val="2"/>
        <scheme val="none"/>
      </font>
      <numFmt numFmtId="0" formatCode="General"/>
      <fill>
        <patternFill patternType="solid">
          <fgColor indexed="64"/>
          <bgColor theme="0" tint="-0.249977111117893"/>
        </patternFill>
      </fill>
      <alignment horizontal="center" vertical="bottom" textRotation="0" wrapText="0" indent="0" justifyLastLine="0" shrinkToFit="0" readingOrder="0"/>
    </dxf>
    <dxf>
      <font>
        <strike val="0"/>
        <outline val="0"/>
        <shadow val="0"/>
        <u val="none"/>
        <vertAlign val="baseline"/>
        <sz val="10"/>
        <name val="Arial"/>
        <family val="2"/>
        <scheme val="none"/>
      </font>
      <numFmt numFmtId="30" formatCode="@"/>
    </dxf>
    <dxf>
      <font>
        <strike val="0"/>
        <outline val="0"/>
        <shadow val="0"/>
        <u val="none"/>
        <vertAlign val="baseline"/>
        <sz val="10"/>
        <color auto="1"/>
        <name val="Arial"/>
        <family val="2"/>
        <scheme val="none"/>
      </font>
      <numFmt numFmtId="30" formatCode="@"/>
      <fill>
        <patternFill patternType="none">
          <fgColor indexed="64"/>
          <bgColor auto="1"/>
        </patternFill>
      </fill>
    </dxf>
    <dxf>
      <font>
        <b/>
        <strike val="0"/>
        <outline val="0"/>
        <shadow val="0"/>
        <u val="none"/>
        <vertAlign val="baseline"/>
        <sz val="10"/>
        <color auto="1"/>
        <name val="Arial"/>
        <family val="2"/>
        <scheme val="none"/>
      </font>
      <numFmt numFmtId="30" formatCode="@"/>
      <fill>
        <patternFill patternType="none">
          <fgColor indexed="64"/>
          <bgColor auto="1"/>
        </patternFill>
      </fill>
      <alignment horizontal="center" vertical="top" textRotation="0" wrapText="1" indent="0" justifyLastLine="0" shrinkToFit="0" readingOrder="0"/>
    </dxf>
    <dxf>
      <fill>
        <patternFill>
          <bgColor rgb="FFFF8080"/>
        </patternFill>
      </fill>
    </dxf>
    <dxf>
      <fill>
        <patternFill>
          <bgColor rgb="FFA6A6A6"/>
        </patternFill>
      </fill>
      <border>
        <bottom style="thin">
          <color auto="1"/>
        </bottom>
        <vertical/>
        <horizontal/>
      </border>
    </dxf>
    <dxf>
      <fill>
        <patternFill>
          <bgColor rgb="FF00FF00"/>
        </patternFill>
      </fill>
      <border>
        <left style="dashDot">
          <color auto="1"/>
        </left>
        <right style="dashDot">
          <color auto="1"/>
        </right>
        <top style="dashDot">
          <color auto="1"/>
        </top>
        <bottom style="dashDot">
          <color auto="1"/>
        </bottom>
      </border>
    </dxf>
    <dxf>
      <font>
        <b/>
        <i val="0"/>
        <condense val="0"/>
        <extend val="0"/>
        <color indexed="9"/>
      </font>
      <fill>
        <patternFill>
          <bgColor indexed="10"/>
        </patternFill>
      </fill>
    </dxf>
    <dxf>
      <fill>
        <patternFill>
          <bgColor indexed="29"/>
        </patternFill>
      </fill>
    </dxf>
    <dxf>
      <font>
        <b/>
        <i val="0"/>
        <condense val="0"/>
        <extend val="0"/>
        <color indexed="9"/>
      </font>
      <fill>
        <patternFill>
          <bgColor indexed="10"/>
        </patternFill>
      </fill>
    </dxf>
    <dxf>
      <font>
        <b val="0"/>
        <i val="0"/>
        <strike val="0"/>
        <condense val="0"/>
        <extend val="0"/>
        <outline val="0"/>
        <shadow val="0"/>
        <u val="none"/>
        <vertAlign val="baseline"/>
        <sz val="10"/>
        <color auto="1"/>
        <name val="Arial"/>
        <family val="2"/>
        <scheme val="none"/>
      </font>
      <fill>
        <patternFill patternType="solid">
          <fgColor indexed="64"/>
          <bgColor rgb="FFFFCC99"/>
        </patternFill>
      </fill>
      <border diagonalUp="0" diagonalDown="0">
        <left style="thin">
          <color indexed="64"/>
        </left>
        <right style="thin">
          <color indexed="64"/>
        </right>
        <top style="thin">
          <color indexed="64"/>
        </top>
        <bottom style="thin">
          <color indexed="64"/>
        </bottom>
        <vertical/>
        <horizontal style="thin">
          <color indexed="64"/>
        </horizontal>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b/>
        <i val="0"/>
        <strike val="0"/>
        <condense val="0"/>
        <extend val="0"/>
        <outline val="0"/>
        <shadow val="0"/>
        <u val="none"/>
        <vertAlign val="baseline"/>
        <sz val="10"/>
        <color auto="1"/>
        <name val="Arial"/>
        <family val="2"/>
        <scheme val="none"/>
      </font>
      <fill>
        <patternFill patternType="none">
          <fgColor indexed="64"/>
          <bgColor indexed="65"/>
        </patternFill>
      </fill>
      <alignment horizontal="general" vertical="bottom" textRotation="0" wrapText="0" indent="0" justifyLastLine="0" shrinkToFit="0" readingOrder="0"/>
    </dxf>
    <dxf>
      <font>
        <strike val="0"/>
        <outline val="0"/>
        <shadow val="0"/>
        <vertAlign val="baseline"/>
        <sz val="10"/>
        <name val="Arial"/>
        <family val="2"/>
        <scheme val="none"/>
      </font>
    </dxf>
    <dxf>
      <font>
        <strike val="0"/>
        <outline val="0"/>
        <shadow val="0"/>
        <vertAlign val="baseline"/>
        <sz val="10"/>
        <name val="Arial"/>
        <family val="2"/>
        <scheme val="none"/>
      </font>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numFmt numFmtId="3" formatCode="#,##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numFmt numFmtId="2" formatCode="0.00"/>
      <alignment horizontal="center"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dxf>
    <dxf>
      <border outline="0">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border diagonalUp="0" diagonalDown="0" outline="0">
        <left style="thin">
          <color indexed="64"/>
        </left>
        <right/>
        <top/>
        <bottom/>
      </border>
    </dxf>
    <dxf>
      <font>
        <strike val="0"/>
        <outline val="0"/>
        <shadow val="0"/>
        <vertAlign val="baseline"/>
        <sz val="10"/>
        <name val="Arial"/>
        <family val="2"/>
        <scheme val="none"/>
      </font>
      <border outline="0">
        <right style="thin">
          <color indexed="64"/>
        </right>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0" readingOrder="0"/>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right style="thin">
          <color indexed="64"/>
        </right>
        <top/>
        <bottom/>
      </border>
    </dxf>
    <dxf>
      <font>
        <b val="0"/>
        <i val="0"/>
        <strike val="0"/>
        <condense val="0"/>
        <extend val="0"/>
        <outline val="0"/>
        <shadow val="0"/>
        <u val="none"/>
        <vertAlign val="baseline"/>
        <sz val="10"/>
        <color auto="1"/>
        <name val="Arial"/>
        <family val="2"/>
        <scheme val="none"/>
      </font>
      <fill>
        <patternFill patternType="none">
          <fgColor indexed="64"/>
          <bgColor indexed="65"/>
        </patternFill>
      </fill>
    </dxf>
    <dxf>
      <font>
        <b val="0"/>
        <i val="0"/>
        <strike val="0"/>
        <condense val="0"/>
        <extend val="0"/>
        <outline val="0"/>
        <shadow val="0"/>
        <u val="none"/>
        <vertAlign val="baseline"/>
        <sz val="10"/>
        <color auto="1"/>
        <name val="Arial"/>
        <family val="2"/>
        <scheme val="none"/>
      </font>
      <fill>
        <patternFill patternType="none">
          <fgColor indexed="64"/>
          <bgColor indexed="65"/>
        </patternFill>
      </fill>
      <border diagonalUp="0" diagonalDown="0" outline="0">
        <left style="thin">
          <color indexed="64"/>
        </left>
        <right/>
        <top/>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border diagonalUp="0" diagonalDown="0" outline="0">
        <left style="thin">
          <color indexed="64"/>
        </left>
        <right/>
        <top/>
        <bottom/>
      </border>
    </dxf>
    <dxf>
      <border outline="0">
        <right style="thin">
          <color indexed="64"/>
        </right>
        <top style="thin">
          <color indexed="64"/>
        </top>
        <bottom style="thin">
          <color indexed="64"/>
        </bottom>
      </border>
    </dxf>
    <dxf>
      <font>
        <strike val="0"/>
        <outline val="0"/>
        <shadow val="0"/>
        <vertAlign val="baseline"/>
        <sz val="10"/>
        <name val="Arial"/>
        <family val="2"/>
        <scheme val="none"/>
      </font>
    </dxf>
    <dxf>
      <font>
        <b val="0"/>
        <i val="0"/>
        <strike val="0"/>
        <condense val="0"/>
        <extend val="0"/>
        <outline val="0"/>
        <shadow val="0"/>
        <u val="none"/>
        <vertAlign val="baseline"/>
        <sz val="10"/>
        <color auto="1"/>
        <name val="Arial"/>
        <family val="2"/>
        <scheme val="none"/>
      </font>
      <alignment horizontal="center"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13" formatCode="0%"/>
      <fill>
        <patternFill patternType="none">
          <fgColor indexed="64"/>
          <bgColor auto="1"/>
        </patternFill>
      </fill>
      <protection locked="1" hidden="1"/>
    </dxf>
    <dxf>
      <font>
        <b val="0"/>
        <i val="0"/>
        <strike val="0"/>
        <condense val="0"/>
        <extend val="0"/>
        <outline val="0"/>
        <shadow val="0"/>
        <u val="none"/>
        <vertAlign val="baseline"/>
        <sz val="10"/>
        <color auto="1"/>
        <name val="Arial"/>
        <family val="2"/>
        <scheme val="none"/>
      </font>
      <fill>
        <patternFill patternType="none">
          <fgColor indexed="64"/>
          <bgColor auto="1"/>
        </patternFill>
      </fill>
    </dxf>
    <dxf>
      <border outline="0">
        <left style="thin">
          <color indexed="64"/>
        </left>
        <right style="thin">
          <color indexed="64"/>
        </right>
        <top style="thin">
          <color indexed="64"/>
        </top>
        <bottom style="thin">
          <color indexed="64"/>
        </bottom>
      </border>
    </dxf>
    <dxf>
      <font>
        <strike val="0"/>
        <outline val="0"/>
        <shadow val="0"/>
        <vertAlign val="baseline"/>
        <sz val="10"/>
        <name val="Arial"/>
        <family val="2"/>
        <scheme val="none"/>
      </font>
      <fill>
        <patternFill patternType="none">
          <fgColor indexed="64"/>
          <bgColor auto="1"/>
        </patternFill>
      </fill>
    </dxf>
    <dxf>
      <border outline="0">
        <bottom style="thin">
          <color indexed="64"/>
        </bottom>
      </border>
    </dxf>
    <dxf>
      <font>
        <strike val="0"/>
        <outline val="0"/>
        <shadow val="0"/>
        <vertAlign val="baseline"/>
        <sz val="10"/>
        <name val="Arial"/>
        <family val="2"/>
        <scheme val="none"/>
      </font>
      <fill>
        <patternFill patternType="none">
          <fgColor indexed="64"/>
          <bgColor auto="1"/>
        </patternFill>
      </fill>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strike val="0"/>
        <outline val="0"/>
        <shadow val="0"/>
        <vertAlign val="baseline"/>
        <sz val="10"/>
        <name val="Arial"/>
        <family val="2"/>
        <scheme val="none"/>
      </font>
      <numFmt numFmtId="3" formatCode="#,##0"/>
      <alignment horizontal="center" vertical="bottom" textRotation="0" wrapText="0" indent="0" justifyLastLine="0" shrinkToFit="0" readingOrder="0"/>
    </dxf>
    <dxf>
      <font>
        <b/>
        <i val="0"/>
        <strike val="0"/>
        <condense val="0"/>
        <extend val="0"/>
        <outline val="0"/>
        <shadow val="0"/>
        <u val="none"/>
        <vertAlign val="baseline"/>
        <sz val="10"/>
        <color auto="1"/>
        <name val="Arial"/>
        <family val="2"/>
        <scheme val="none"/>
      </font>
      <alignment horizontal="left" vertical="bottom" textRotation="0" wrapText="0" indent="0" justifyLastLine="0" shrinkToFit="0" readingOrder="0"/>
    </dxf>
    <dxf>
      <font>
        <b val="0"/>
        <i val="0"/>
        <strike val="0"/>
        <condense val="0"/>
        <extend val="0"/>
        <outline val="0"/>
        <shadow val="0"/>
        <u val="none"/>
        <vertAlign val="baseline"/>
        <sz val="10"/>
        <color auto="1"/>
        <name val="Arial"/>
        <family val="2"/>
        <scheme val="none"/>
      </font>
      <numFmt numFmtId="0" formatCode="General"/>
      <protection locked="1" hidden="1"/>
    </dxf>
    <dxf>
      <font>
        <b/>
        <i val="0"/>
        <strike val="0"/>
        <condense val="0"/>
        <extend val="0"/>
        <outline val="0"/>
        <shadow val="0"/>
        <u val="none"/>
        <vertAlign val="baseline"/>
        <sz val="10"/>
        <color auto="1"/>
        <name val="Arial"/>
        <family val="2"/>
        <scheme val="none"/>
      </font>
    </dxf>
    <dxf>
      <font>
        <strike val="0"/>
        <outline val="0"/>
        <shadow val="0"/>
        <vertAlign val="baseline"/>
        <sz val="10"/>
        <name val="Arial"/>
        <family val="2"/>
        <scheme val="none"/>
      </font>
    </dxf>
    <dxf>
      <font>
        <b/>
        <i val="0"/>
        <strike val="0"/>
        <condense val="0"/>
        <extend val="0"/>
        <outline val="0"/>
        <shadow val="0"/>
        <u val="none"/>
        <vertAlign val="baseline"/>
        <sz val="10"/>
        <color auto="1"/>
        <name val="Arial"/>
        <family val="2"/>
        <scheme val="none"/>
      </font>
      <alignment horizontal="right" vertical="bottom" textRotation="0" wrapText="0" indent="0" justifyLastLine="0" shrinkToFit="0" readingOrder="0"/>
    </dxf>
    <dxf>
      <fill>
        <patternFill>
          <bgColor rgb="FF92D050"/>
        </patternFill>
      </fill>
    </dxf>
    <dxf>
      <font>
        <color theme="0"/>
      </font>
      <fill>
        <patternFill>
          <bgColor rgb="FFFF0000"/>
        </patternFill>
      </fill>
    </dxf>
    <dxf>
      <font>
        <color theme="0"/>
      </font>
      <fill>
        <patternFill>
          <bgColor rgb="FFFF0000"/>
        </patternFill>
      </fill>
    </dxf>
    <dxf>
      <font>
        <color theme="0"/>
      </font>
      <fill>
        <patternFill>
          <bgColor rgb="FFFF0000"/>
        </patternFill>
      </fill>
    </dxf>
    <dxf>
      <font>
        <color auto="1"/>
      </font>
    </dxf>
    <dxf>
      <font>
        <color theme="0"/>
      </font>
    </dxf>
    <dxf>
      <font>
        <color theme="0" tint="-0.14996795556505021"/>
      </font>
    </dxf>
    <dxf>
      <font>
        <color theme="0" tint="-4.9989318521683403E-2"/>
      </font>
    </dxf>
    <dxf>
      <font>
        <b/>
        <i val="0"/>
        <condense val="0"/>
        <extend val="0"/>
        <color indexed="10"/>
      </font>
      <fill>
        <patternFill>
          <bgColor indexed="13"/>
        </patternFill>
      </fill>
    </dxf>
    <dxf>
      <font>
        <b/>
        <i/>
        <strike val="0"/>
        <condense val="0"/>
        <extend val="0"/>
        <color indexed="13"/>
      </font>
      <fill>
        <patternFill>
          <bgColor indexed="10"/>
        </patternFill>
      </fill>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AE81DB"/>
        </patternFill>
      </fill>
      <border diagonalUp="0" diagonalDown="0">
        <left/>
        <right/>
        <top/>
        <bottom/>
        <vertical/>
        <horizontal/>
      </border>
    </dxf>
    <dxf>
      <font>
        <color theme="0"/>
      </font>
      <fill>
        <patternFill>
          <bgColor rgb="FF552583"/>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9" tint="-0.499984740745262"/>
        </patternFill>
      </fill>
      <border diagonalUp="0" diagonalDown="0">
        <left/>
        <right/>
        <top/>
        <bottom/>
        <vertical/>
        <horizontal/>
      </border>
    </dxf>
    <dxf>
      <font>
        <color theme="0"/>
      </font>
      <fill>
        <patternFill>
          <bgColor theme="9"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8" tint="-0.499984740745262"/>
        </patternFill>
      </fill>
      <border diagonalUp="0" diagonalDown="0">
        <left/>
        <right/>
        <top/>
        <bottom/>
        <vertical/>
        <horizontal/>
      </border>
    </dxf>
    <dxf>
      <font>
        <color theme="0"/>
      </font>
      <fill>
        <patternFill>
          <bgColor theme="8"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0.499984740745262"/>
        </patternFill>
      </fill>
      <border diagonalUp="0" diagonalDown="0">
        <left/>
        <right/>
        <top/>
        <bottom/>
        <vertical/>
        <horizontal/>
      </border>
    </dxf>
    <dxf>
      <font>
        <color theme="0"/>
      </font>
      <fill>
        <patternFill>
          <bgColor theme="0" tint="-0.499984740745262"/>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1" tint="4.9989318521683403E-2"/>
        </patternFill>
      </fill>
      <border diagonalUp="0" diagonalDown="0">
        <left/>
        <right/>
        <top/>
        <bottom/>
        <vertical/>
        <horizontal/>
      </border>
    </dxf>
    <dxf>
      <font>
        <color theme="0"/>
      </font>
      <fill>
        <patternFill>
          <bgColor theme="1"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6" tint="-0.499984740745262"/>
        </patternFill>
      </fill>
      <border diagonalUp="0" diagonalDown="0">
        <left/>
        <right/>
        <top/>
        <bottom/>
        <vertical/>
        <horizontal/>
      </border>
    </dxf>
    <dxf>
      <font>
        <color theme="0"/>
      </font>
      <fill>
        <patternFill>
          <bgColor theme="6"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rgb="FF002060"/>
        </patternFill>
      </fill>
      <border diagonalUp="0" diagonalDown="0">
        <left/>
        <right/>
        <top/>
        <bottom/>
        <vertical/>
        <horizontal/>
      </border>
    </dxf>
    <dxf>
      <font>
        <color theme="0"/>
      </font>
      <fill>
        <patternFill>
          <bgColor rgb="FF0070C0"/>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
      <fill>
        <patternFill patternType="solid">
          <fgColor theme="0" tint="-0.14999847407452621"/>
          <bgColor theme="0" tint="-0.14999847407452621"/>
        </patternFill>
      </fill>
    </dxf>
    <dxf>
      <fill>
        <patternFill>
          <bgColor theme="0" tint="-4.9989318521683403E-2"/>
        </patternFill>
      </fill>
    </dxf>
    <dxf>
      <fill>
        <patternFill>
          <bgColor theme="0" tint="-0.14996795556505021"/>
        </patternFill>
      </fill>
    </dxf>
    <dxf>
      <font>
        <b/>
        <color theme="1"/>
      </font>
    </dxf>
    <dxf>
      <font>
        <b/>
        <color theme="1"/>
      </font>
    </dxf>
    <dxf>
      <font>
        <color theme="0"/>
      </font>
      <fill>
        <patternFill>
          <bgColor theme="5" tint="-0.499984740745262"/>
        </patternFill>
      </fill>
      <border diagonalUp="0" diagonalDown="0">
        <left/>
        <right/>
        <top/>
        <bottom/>
        <vertical/>
        <horizontal/>
      </border>
    </dxf>
    <dxf>
      <font>
        <color theme="0"/>
      </font>
      <fill>
        <patternFill>
          <bgColor theme="5" tint="-0.24994659260841701"/>
        </patternFill>
      </fill>
      <border diagonalUp="0" diagonalDown="0">
        <left/>
        <right/>
        <top/>
        <bottom/>
        <vertical/>
        <horizontal/>
      </border>
    </dxf>
    <dxf>
      <font>
        <color theme="1"/>
      </font>
      <border>
        <left style="medium">
          <color theme="0"/>
        </left>
        <right style="medium">
          <color theme="0"/>
        </right>
        <top style="thick">
          <color theme="0" tint="-0.499984740745262"/>
        </top>
        <bottom style="thick">
          <color theme="0" tint="-0.499984740745262"/>
        </bottom>
        <vertical style="thin">
          <color theme="0"/>
        </vertical>
        <horizontal/>
      </border>
    </dxf>
  </dxfs>
  <tableStyles count="8" defaultTableStyle="TableStyleMedium2" defaultPivotStyle="PivotStyleLight16">
    <tableStyle name="TableStyleLight1 2" pivot="0" count="8" xr9:uid="{9235B262-44C0-4999-89C5-D4115293D04E}">
      <tableStyleElement type="wholeTable" dxfId="1025"/>
      <tableStyleElement type="headerRow" dxfId="1024"/>
      <tableStyleElement type="totalRow" dxfId="1023"/>
      <tableStyleElement type="firstColumn" dxfId="1022"/>
      <tableStyleElement type="lastColumn" dxfId="1021"/>
      <tableStyleElement type="firstRowStripe" dxfId="1020"/>
      <tableStyleElement type="secondRowStripe" dxfId="1019"/>
      <tableStyleElement type="firstColumnStripe" dxfId="1018"/>
    </tableStyle>
    <tableStyle name="TableStyleLight1 3" pivot="0" count="8" xr9:uid="{40048D91-B7B4-48AD-ADA3-F7B5F24E3A0B}">
      <tableStyleElement type="wholeTable" dxfId="1017"/>
      <tableStyleElement type="headerRow" dxfId="1016"/>
      <tableStyleElement type="totalRow" dxfId="1015"/>
      <tableStyleElement type="firstColumn" dxfId="1014"/>
      <tableStyleElement type="lastColumn" dxfId="1013"/>
      <tableStyleElement type="firstRowStripe" dxfId="1012"/>
      <tableStyleElement type="secondRowStripe" dxfId="1011"/>
      <tableStyleElement type="firstColumnStripe" dxfId="1010"/>
    </tableStyle>
    <tableStyle name="TableStyleLight1 3 2" pivot="0" count="8" xr9:uid="{C5C8B11A-65E1-47E8-8B6A-A638EA763C9D}">
      <tableStyleElement type="wholeTable" dxfId="1009"/>
      <tableStyleElement type="headerRow" dxfId="1008"/>
      <tableStyleElement type="totalRow" dxfId="1007"/>
      <tableStyleElement type="firstColumn" dxfId="1006"/>
      <tableStyleElement type="lastColumn" dxfId="1005"/>
      <tableStyleElement type="firstRowStripe" dxfId="1004"/>
      <tableStyleElement type="secondRowStripe" dxfId="1003"/>
      <tableStyleElement type="firstColumnStripe" dxfId="1002"/>
    </tableStyle>
    <tableStyle name="TableStyleLight1 4" pivot="0" count="8" xr9:uid="{879439EA-876F-405F-B69E-85273FF10F93}">
      <tableStyleElement type="wholeTable" dxfId="1001"/>
      <tableStyleElement type="headerRow" dxfId="1000"/>
      <tableStyleElement type="totalRow" dxfId="999"/>
      <tableStyleElement type="firstColumn" dxfId="998"/>
      <tableStyleElement type="lastColumn" dxfId="997"/>
      <tableStyleElement type="firstRowStripe" dxfId="996"/>
      <tableStyleElement type="secondRowStripe" dxfId="995"/>
      <tableStyleElement type="firstColumnStripe" dxfId="994"/>
    </tableStyle>
    <tableStyle name="TableStyleLight1 4 2" pivot="0" count="8" xr9:uid="{A2A787F1-3FC0-4774-93F6-6F67EEF4DC05}">
      <tableStyleElement type="wholeTable" dxfId="993"/>
      <tableStyleElement type="headerRow" dxfId="992"/>
      <tableStyleElement type="totalRow" dxfId="991"/>
      <tableStyleElement type="firstColumn" dxfId="990"/>
      <tableStyleElement type="lastColumn" dxfId="989"/>
      <tableStyleElement type="firstRowStripe" dxfId="988"/>
      <tableStyleElement type="secondRowStripe" dxfId="987"/>
      <tableStyleElement type="firstColumnStripe" dxfId="986"/>
    </tableStyle>
    <tableStyle name="TableStyleLight1 5" pivot="0" count="8" xr9:uid="{CB689928-D93B-4088-A9C6-560B4B9C5E75}">
      <tableStyleElement type="wholeTable" dxfId="985"/>
      <tableStyleElement type="headerRow" dxfId="984"/>
      <tableStyleElement type="totalRow" dxfId="983"/>
      <tableStyleElement type="firstColumn" dxfId="982"/>
      <tableStyleElement type="lastColumn" dxfId="981"/>
      <tableStyleElement type="firstRowStripe" dxfId="980"/>
      <tableStyleElement type="secondRowStripe" dxfId="979"/>
      <tableStyleElement type="firstColumnStripe" dxfId="978"/>
    </tableStyle>
    <tableStyle name="TableStyleLight1 5 2" pivot="0" count="8" xr9:uid="{7B8F54C5-86FC-4F37-89FD-016FBCC24E05}">
      <tableStyleElement type="wholeTable" dxfId="977"/>
      <tableStyleElement type="headerRow" dxfId="976"/>
      <tableStyleElement type="totalRow" dxfId="975"/>
      <tableStyleElement type="firstColumn" dxfId="974"/>
      <tableStyleElement type="lastColumn" dxfId="973"/>
      <tableStyleElement type="firstRowStripe" dxfId="972"/>
      <tableStyleElement type="secondRowStripe" dxfId="971"/>
      <tableStyleElement type="firstColumnStripe" dxfId="970"/>
    </tableStyle>
    <tableStyle name="TableStyleLight1 5 2 2" pivot="0" count="8" xr9:uid="{03577705-4D4B-4BC8-BE21-E9B4AACE52E1}">
      <tableStyleElement type="wholeTable" dxfId="969"/>
      <tableStyleElement type="headerRow" dxfId="968"/>
      <tableStyleElement type="totalRow" dxfId="967"/>
      <tableStyleElement type="firstColumn" dxfId="966"/>
      <tableStyleElement type="lastColumn" dxfId="965"/>
      <tableStyleElement type="firstRowStripe" dxfId="964"/>
      <tableStyleElement type="secondRowStripe" dxfId="963"/>
      <tableStyleElement type="firstColumnStripe" dxfId="962"/>
    </tableStyle>
  </tableStyles>
  <colors>
    <mruColors>
      <color rgb="FFFFCC99"/>
      <color rgb="FFFABF8F"/>
      <color rgb="FFF9B073"/>
      <color rgb="FFBFBFBF"/>
      <color rgb="FF552583"/>
      <color rgb="FFAE81DB"/>
      <color rgb="FFA83800"/>
      <color rgb="FFE64D00"/>
      <color rgb="FFB43C00"/>
      <color rgb="FF99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285750</xdr:colOff>
          <xdr:row>14</xdr:row>
          <xdr:rowOff>171450</xdr:rowOff>
        </xdr:from>
        <xdr:to>
          <xdr:col>6</xdr:col>
          <xdr:colOff>523875</xdr:colOff>
          <xdr:row>16</xdr:row>
          <xdr:rowOff>123825</xdr:rowOff>
        </xdr:to>
        <xdr:sp macro="" textlink="">
          <xdr:nvSpPr>
            <xdr:cNvPr id="3088" name="Button 16" hidden="1">
              <a:extLst>
                <a:ext uri="{63B3BB69-23CF-44E3-9099-C40C66FF867C}">
                  <a14:compatExt spid="_x0000_s3088"/>
                </a:ext>
                <a:ext uri="{FF2B5EF4-FFF2-40B4-BE49-F238E27FC236}">
                  <a16:creationId xmlns:a16="http://schemas.microsoft.com/office/drawing/2014/main" id="{00000000-0008-0000-0000-0000100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sim</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6</xdr:col>
      <xdr:colOff>19050</xdr:colOff>
      <xdr:row>82</xdr:row>
      <xdr:rowOff>78440</xdr:rowOff>
    </xdr:from>
    <xdr:to>
      <xdr:col>9</xdr:col>
      <xdr:colOff>55261</xdr:colOff>
      <xdr:row>125</xdr:row>
      <xdr:rowOff>24092</xdr:rowOff>
    </xdr:to>
    <xdr:pic>
      <xdr:nvPicPr>
        <xdr:cNvPr id="35032" name="Picture 1">
          <a:extLst>
            <a:ext uri="{FF2B5EF4-FFF2-40B4-BE49-F238E27FC236}">
              <a16:creationId xmlns:a16="http://schemas.microsoft.com/office/drawing/2014/main" id="{00000000-0008-0000-0800-0000D88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05225" y="16099490"/>
          <a:ext cx="6789436" cy="66915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13</xdr:col>
          <xdr:colOff>552450</xdr:colOff>
          <xdr:row>2</xdr:row>
          <xdr:rowOff>9525</xdr:rowOff>
        </xdr:from>
        <xdr:to>
          <xdr:col>16</xdr:col>
          <xdr:colOff>133350</xdr:colOff>
          <xdr:row>4</xdr:row>
          <xdr:rowOff>0</xdr:rowOff>
        </xdr:to>
        <xdr:sp macro="" textlink="">
          <xdr:nvSpPr>
            <xdr:cNvPr id="7170" name="Button 2" hidden="1">
              <a:extLst>
                <a:ext uri="{63B3BB69-23CF-44E3-9099-C40C66FF867C}">
                  <a14:compatExt spid="_x0000_s7170"/>
                </a:ext>
                <a:ext uri="{FF2B5EF4-FFF2-40B4-BE49-F238E27FC236}">
                  <a16:creationId xmlns:a16="http://schemas.microsoft.com/office/drawing/2014/main" id="{00000000-0008-0000-0A00-000002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5</xdr:row>
          <xdr:rowOff>9525</xdr:rowOff>
        </xdr:from>
        <xdr:to>
          <xdr:col>16</xdr:col>
          <xdr:colOff>133350</xdr:colOff>
          <xdr:row>7</xdr:row>
          <xdr:rowOff>0</xdr:rowOff>
        </xdr:to>
        <xdr:sp macro="" textlink="">
          <xdr:nvSpPr>
            <xdr:cNvPr id="7171" name="Button 3" hidden="1">
              <a:extLst>
                <a:ext uri="{63B3BB69-23CF-44E3-9099-C40C66FF867C}">
                  <a14:compatExt spid="_x0000_s7171"/>
                </a:ext>
                <a:ext uri="{FF2B5EF4-FFF2-40B4-BE49-F238E27FC236}">
                  <a16:creationId xmlns:a16="http://schemas.microsoft.com/office/drawing/2014/main" id="{00000000-0008-0000-0A00-00000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Log</a:t>
              </a:r>
            </a:p>
            <a:p>
              <a:pPr algn="ctr" rtl="0">
                <a:defRPr sz="1000"/>
              </a:pPr>
              <a:r>
                <a:rPr lang="en-US" sz="1400" b="0" i="0" u="none" strike="noStrike" baseline="0">
                  <a:solidFill>
                    <a:srgbClr val="000000"/>
                  </a:solidFill>
                  <a:latin typeface="Arial"/>
                  <a:cs typeface="Arial"/>
                </a:rPr>
                <a:t>Copy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552450</xdr:colOff>
          <xdr:row>8</xdr:row>
          <xdr:rowOff>95250</xdr:rowOff>
        </xdr:from>
        <xdr:to>
          <xdr:col>16</xdr:col>
          <xdr:colOff>133350</xdr:colOff>
          <xdr:row>10</xdr:row>
          <xdr:rowOff>76200</xdr:rowOff>
        </xdr:to>
        <xdr:sp macro="" textlink="">
          <xdr:nvSpPr>
            <xdr:cNvPr id="7172" name="Button 4" hidden="1">
              <a:extLst>
                <a:ext uri="{63B3BB69-23CF-44E3-9099-C40C66FF867C}">
                  <a14:compatExt spid="_x0000_s7172"/>
                </a:ext>
                <a:ext uri="{FF2B5EF4-FFF2-40B4-BE49-F238E27FC236}">
                  <a16:creationId xmlns:a16="http://schemas.microsoft.com/office/drawing/2014/main" id="{00000000-0008-0000-0A00-000004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Log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542925</xdr:colOff>
          <xdr:row>11</xdr:row>
          <xdr:rowOff>114300</xdr:rowOff>
        </xdr:from>
        <xdr:to>
          <xdr:col>16</xdr:col>
          <xdr:colOff>133350</xdr:colOff>
          <xdr:row>13</xdr:row>
          <xdr:rowOff>95250</xdr:rowOff>
        </xdr:to>
        <xdr:sp macro="" textlink="">
          <xdr:nvSpPr>
            <xdr:cNvPr id="7173" name="Button 5" hidden="1">
              <a:extLst>
                <a:ext uri="{63B3BB69-23CF-44E3-9099-C40C66FF867C}">
                  <a14:compatExt spid="_x0000_s7173"/>
                </a:ext>
                <a:ext uri="{FF2B5EF4-FFF2-40B4-BE49-F238E27FC236}">
                  <a16:creationId xmlns:a16="http://schemas.microsoft.com/office/drawing/2014/main" id="{00000000-0008-0000-0A00-000005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TODO Current HR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29</xdr:row>
          <xdr:rowOff>47625</xdr:rowOff>
        </xdr:from>
        <xdr:to>
          <xdr:col>9</xdr:col>
          <xdr:colOff>133350</xdr:colOff>
          <xdr:row>31</xdr:row>
          <xdr:rowOff>38100</xdr:rowOff>
        </xdr:to>
        <xdr:sp macro="" textlink="">
          <xdr:nvSpPr>
            <xdr:cNvPr id="7193" name="Button 25" hidden="1">
              <a:extLst>
                <a:ext uri="{63B3BB69-23CF-44E3-9099-C40C66FF867C}">
                  <a14:compatExt spid="_x0000_s7193"/>
                </a:ext>
                <a:ext uri="{FF2B5EF4-FFF2-40B4-BE49-F238E27FC236}">
                  <a16:creationId xmlns:a16="http://schemas.microsoft.com/office/drawing/2014/main" id="{00000000-0008-0000-0A00-000019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Generate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32</xdr:row>
          <xdr:rowOff>95250</xdr:rowOff>
        </xdr:from>
        <xdr:to>
          <xdr:col>9</xdr:col>
          <xdr:colOff>133350</xdr:colOff>
          <xdr:row>34</xdr:row>
          <xdr:rowOff>76200</xdr:rowOff>
        </xdr:to>
        <xdr:sp macro="" textlink="">
          <xdr:nvSpPr>
            <xdr:cNvPr id="7194" name="Button 26" hidden="1">
              <a:extLst>
                <a:ext uri="{63B3BB69-23CF-44E3-9099-C40C66FF867C}">
                  <a14:compatExt spid="_x0000_s7194"/>
                </a:ext>
                <a:ext uri="{FF2B5EF4-FFF2-40B4-BE49-F238E27FC236}">
                  <a16:creationId xmlns:a16="http://schemas.microsoft.com/office/drawing/2014/main" id="{00000000-0008-0000-0A00-00001A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Copy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771525</xdr:colOff>
          <xdr:row>35</xdr:row>
          <xdr:rowOff>133350</xdr:rowOff>
        </xdr:from>
        <xdr:to>
          <xdr:col>9</xdr:col>
          <xdr:colOff>133350</xdr:colOff>
          <xdr:row>37</xdr:row>
          <xdr:rowOff>133350</xdr:rowOff>
        </xdr:to>
        <xdr:sp macro="" textlink="">
          <xdr:nvSpPr>
            <xdr:cNvPr id="7195" name="Button 27" hidden="1">
              <a:extLst>
                <a:ext uri="{63B3BB69-23CF-44E3-9099-C40C66FF867C}">
                  <a14:compatExt spid="_x0000_s7195"/>
                </a:ext>
                <a:ext uri="{FF2B5EF4-FFF2-40B4-BE49-F238E27FC236}">
                  <a16:creationId xmlns:a16="http://schemas.microsoft.com/office/drawing/2014/main" id="{00000000-0008-0000-0A00-00001B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Clear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504825</xdr:colOff>
          <xdr:row>16</xdr:row>
          <xdr:rowOff>123825</xdr:rowOff>
        </xdr:from>
        <xdr:to>
          <xdr:col>16</xdr:col>
          <xdr:colOff>95250</xdr:colOff>
          <xdr:row>18</xdr:row>
          <xdr:rowOff>104775</xdr:rowOff>
        </xdr:to>
        <xdr:sp macro="" textlink="">
          <xdr:nvSpPr>
            <xdr:cNvPr id="7203" name="Button 35" hidden="1">
              <a:extLst>
                <a:ext uri="{63B3BB69-23CF-44E3-9099-C40C66FF867C}">
                  <a14:compatExt spid="_x0000_s7203"/>
                </a:ext>
                <a:ext uri="{FF2B5EF4-FFF2-40B4-BE49-F238E27FC236}">
                  <a16:creationId xmlns:a16="http://schemas.microsoft.com/office/drawing/2014/main" id="{00000000-0008-0000-0A00-0000231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400" b="0" i="0" u="none" strike="noStrike" baseline="0">
                  <a:solidFill>
                    <a:srgbClr val="000000"/>
                  </a:solidFill>
                  <a:latin typeface="Arial"/>
                  <a:cs typeface="Arial"/>
                </a:rPr>
                <a:t>Advance Tick</a:t>
              </a:r>
            </a:p>
          </xdr:txBody>
        </xdr:sp>
        <xdr:clientData fPrintsWithSheet="0"/>
      </xdr:twoCellAnchor>
    </mc:Choice>
    <mc:Fallback/>
  </mc:AlternateContent>
  <xdr:oneCellAnchor>
    <xdr:from>
      <xdr:col>0</xdr:col>
      <xdr:colOff>156883</xdr:colOff>
      <xdr:row>0</xdr:row>
      <xdr:rowOff>100853</xdr:rowOff>
    </xdr:from>
    <xdr:ext cx="9711764" cy="3496237"/>
    <xdr:sp macro="" textlink="">
      <xdr:nvSpPr>
        <xdr:cNvPr id="2" name="bork">
          <a:extLst>
            <a:ext uri="{FF2B5EF4-FFF2-40B4-BE49-F238E27FC236}">
              <a16:creationId xmlns:a16="http://schemas.microsoft.com/office/drawing/2014/main" id="{00000000-0008-0000-0A00-000002000000}"/>
            </a:ext>
          </a:extLst>
        </xdr:cNvPr>
        <xdr:cNvSpPr txBox="1"/>
      </xdr:nvSpPr>
      <xdr:spPr>
        <a:xfrm>
          <a:off x="156883" y="100853"/>
          <a:ext cx="9711764" cy="3496237"/>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oneCellAnchor>
    <xdr:from>
      <xdr:col>0</xdr:col>
      <xdr:colOff>179295</xdr:colOff>
      <xdr:row>24</xdr:row>
      <xdr:rowOff>67236</xdr:rowOff>
    </xdr:from>
    <xdr:ext cx="4695264" cy="6645088"/>
    <xdr:sp macro="" textlink="">
      <xdr:nvSpPr>
        <xdr:cNvPr id="3" name="bork2">
          <a:extLst>
            <a:ext uri="{FF2B5EF4-FFF2-40B4-BE49-F238E27FC236}">
              <a16:creationId xmlns:a16="http://schemas.microsoft.com/office/drawing/2014/main" id="{00000000-0008-0000-0A00-000003000000}"/>
            </a:ext>
          </a:extLst>
        </xdr:cNvPr>
        <xdr:cNvSpPr txBox="1"/>
      </xdr:nvSpPr>
      <xdr:spPr>
        <a:xfrm>
          <a:off x="179295" y="3832412"/>
          <a:ext cx="4695264" cy="6645088"/>
        </a:xfrm>
        <a:prstGeom prst="rect">
          <a:avLst/>
        </a:prstGeom>
        <a:solidFill>
          <a:srgbClr val="92D050"/>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endParaRPr lang="en-GB" sz="1100"/>
        </a:p>
      </xdr:txBody>
    </xdr:sp>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0000000}" name="TblUnits" displayName="TblUnits" ref="A22:F29" headerRowCount="0" totalsRowShown="0" headerRowDxfId="951" dataDxfId="950">
  <tableColumns count="6">
    <tableColumn id="1" xr3:uid="{00000000-0010-0000-0000-000001000000}" name="Unit Names" headerRowDxfId="949" dataDxfId="948">
      <calculatedColumnFormula>_xlfn.SINGLE(INDEX(TblRaces[],MATCH(race,TblRaces[Race],0),4))</calculatedColumnFormula>
    </tableColumn>
    <tableColumn id="2" xr3:uid="{00000000-0010-0000-0000-000002000000}" name="Offense" headerRowDxfId="947" dataDxfId="946">
      <calculatedColumnFormula>_xlfn.IFNA(INDEX(TblRaces[],MATCH(TblUnits[[#This Row],[Unit Names]],TblRaces[Unitname],0),5),"")</calculatedColumnFormula>
    </tableColumn>
    <tableColumn id="3" xr3:uid="{00000000-0010-0000-0000-000003000000}" name="Defense" headerRowDxfId="945" dataDxfId="944">
      <calculatedColumnFormula>_xlfn.IFNA(INDEX(TblRaces[],MATCH(TblUnits[[#This Row],[Unit Names]],TblRaces[Unitname],0),6),"")</calculatedColumnFormula>
    </tableColumn>
    <tableColumn id="4" xr3:uid="{00000000-0010-0000-0000-000004000000}" name="Platinum" headerRowDxfId="943" dataDxfId="942">
      <calculatedColumnFormula>_xlfn.IFNA(INDEX(TblRaces[],MATCH(TblUnits[[#This Row],[Unit Names]],TblRaces[Unitname],0),7),"")</calculatedColumnFormula>
    </tableColumn>
    <tableColumn id="5" xr3:uid="{00000000-0010-0000-0000-000005000000}" name="Ore" headerRowDxfId="941" dataDxfId="940">
      <calculatedColumnFormula>_xlfn.IFNA(INDEX(TblRaces[],MATCH(TblUnits[[#This Row],[Unit Names]],TblRaces[Unitname],0),8),"")</calculatedColumnFormula>
    </tableColumn>
    <tableColumn id="6" xr3:uid="{00000000-0010-0000-0000-000006000000}" name="Networth" headerRowDxfId="939" dataDxfId="938">
      <calculatedColumnFormula>_xlfn.IFNA(INDEX(TblRaces[],MATCH(TblUnits[[#This Row],[Unit Names]],TblRaces[Unitname],0),9),"")</calculatedColumnFormula>
    </tableColumn>
  </tableColumns>
  <tableStyleInfo name="TableStyleLight1 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E08E030-1D56-4E11-9476-F6CE6904D113}" name="Table4" displayName="Table4" ref="H15:I33" totalsRowShown="0" headerRowDxfId="937" dataDxfId="935" headerRowBorderDxfId="936" tableBorderDxfId="934">
  <autoFilter ref="H15:I33" xr:uid="{6EDA5300-DB26-4799-A5D1-5432AC102827}">
    <filterColumn colId="0" hiddenButton="1"/>
    <filterColumn colId="1" hiddenButton="1"/>
  </autoFilter>
  <tableColumns count="2">
    <tableColumn id="1" xr3:uid="{C93253AD-A598-462C-985D-E538FB5404AF}" name="Race Bonuses" dataDxfId="933"/>
    <tableColumn id="2" xr3:uid="{7301230A-1354-4459-BA19-9D8AE9608978}" name="Bonus" dataDxfId="932" dataCellStyle="Percent">
      <calculatedColumnFormula>INDEX(TblRaces[[Max population]:[Explore Cost]],MATCH(race,TblRaces[Race],0),MATCH(Table4[[#This Row],[Race Bonuses]],TblRaces[[#Headers],[Max population]:[Explore Cost]],0))</calculatedColumnFormula>
    </tableColumn>
  </tableColumns>
  <tableStyleInfo name="TableStyleLight1 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CB169326-74BF-40FD-A80B-DE01820A761C}" name="Table13" displayName="Table13" ref="A37:I46" totalsRowShown="0" headerRowDxfId="931" dataDxfId="930" tableBorderDxfId="929">
  <autoFilter ref="A37:I46" xr:uid="{C3A39447-C2B5-4A90-A3CB-70F361C4F72C}">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autoFilter>
  <tableColumns count="9">
    <tableColumn id="1" xr3:uid="{50AFF99A-6DA2-4DB1-B5D1-DAFB7C08B070}" name="Military" dataDxfId="928"/>
    <tableColumn id="2" xr3:uid="{F7BA9D3F-F979-435F-AF55-B8562C7F08C8}" name=" " dataDxfId="927"/>
    <tableColumn id="3" xr3:uid="{C661B1D0-1EAD-42B7-889A-9265EA75CB1D}" name="Offense" dataDxfId="926"/>
    <tableColumn id="4" xr3:uid="{594F8FE6-285D-432D-AB90-DE26655C8963}" name="Bonus" dataDxfId="925"/>
    <tableColumn id="5" xr3:uid="{1A4EBEB0-1016-4D5D-920D-08D8AD7AFC97}" name="OP Mod" dataDxfId="924"/>
    <tableColumn id="6" xr3:uid="{0A455978-2417-4AD7-8969-95433ADAC6F4}" name="Defense" dataDxfId="923"/>
    <tableColumn id="7" xr3:uid="{3C4FEC10-2BEB-4EC0-AA98-F67CC8DBE5B5}" name="DP Bonus" dataDxfId="922"/>
    <tableColumn id="8" xr3:uid="{9CE669CC-5E7B-4E7B-8FFE-265EB626E935}" name="DP Mod" dataDxfId="921"/>
    <tableColumn id="9" xr3:uid="{7DE0C022-18E9-48B5-8835-9B63E8CC1CDF}" name="." dataDxfId="920"/>
  </tableColumns>
  <tableStyleInfo name="TableStyleLight1 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4CE9B1E-922B-4FEF-93BA-68A1F515055B}" name="Table16" displayName="Table16" ref="H50:J54" totalsRowShown="0" headerRowDxfId="919" dataDxfId="917" headerRowBorderDxfId="918" tableBorderDxfId="916">
  <autoFilter ref="H50:J54" xr:uid="{86CCA094-2F84-4D6A-BB34-AED37B4839D4}">
    <filterColumn colId="0" hiddenButton="1"/>
    <filterColumn colId="1" hiddenButton="1"/>
    <filterColumn colId="2" hiddenButton="1"/>
  </autoFilter>
  <tableColumns count="3">
    <tableColumn id="1" xr3:uid="{E0152EC7-4145-4063-BAB4-B6301A014F4B}" name="Type" dataDxfId="915"/>
    <tableColumn id="2" xr3:uid="{FAE1A1FE-F8EC-48F0-A8AF-ADF4B1F44E93}" name="Raw" dataDxfId="914"/>
    <tableColumn id="3" xr3:uid="{AFD4C97E-F124-4CC9-8087-32A6EB65C3D5}" name="Modded" dataDxfId="913"/>
  </tableColumns>
  <tableStyleInfo name="TableStyleLight1 4"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13D7E5F8-834C-4A56-B604-1AF7816DB08B}" name="Table17" displayName="Table17" ref="H57:J60" totalsRowShown="0" headerRowDxfId="912" dataDxfId="910" headerRowBorderDxfId="911" tableBorderDxfId="909">
  <autoFilter ref="H57:J60" xr:uid="{4A95BFF0-5AE4-4064-BA31-9F687E8E34BD}">
    <filterColumn colId="0" hiddenButton="1"/>
    <filterColumn colId="1" hiddenButton="1"/>
    <filterColumn colId="2" hiddenButton="1"/>
  </autoFilter>
  <tableColumns count="3">
    <tableColumn id="1" xr3:uid="{ACCDFB1C-E1AE-4F10-BB67-59F2B9780D01}" name="Hour" dataDxfId="908"/>
    <tableColumn id="2" xr3:uid="{277A266C-0AEF-4864-99C7-1E807FF68978}" name="Amount" dataDxfId="907"/>
    <tableColumn id="3" xr3:uid="{DD724D20-8039-4E15-A45D-F535D999ED97}" name="Without Training" dataDxfId="906"/>
  </tableColumns>
  <tableStyleInfo name="TableStyleLight1 4"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96A142F6-EF55-47D2-8DE5-D829FA04BA9B}" name="Table18" displayName="Table18" ref="H63:J69" totalsRowCount="1" headerRowDxfId="905" dataDxfId="904" totalsRowDxfId="902" tableBorderDxfId="903">
  <autoFilter ref="H63:J68" xr:uid="{13B108AF-8DE7-4C40-ADC0-028C2974A351}">
    <filterColumn colId="0" hiddenButton="1"/>
    <filterColumn colId="1" hiddenButton="1"/>
    <filterColumn colId="2" hiddenButton="1"/>
  </autoFilter>
  <tableColumns count="3">
    <tableColumn id="1" xr3:uid="{8261FD65-21D7-4A57-8AAA-9B9005764242}" name="Category" totalsRowLabel="Total" dataDxfId="901" totalsRowDxfId="900"/>
    <tableColumn id="2" xr3:uid="{739DBC51-BC77-4631-B107-088DC25245EB}" name="Amount" totalsRowFunction="sum" dataDxfId="899" totalsRowDxfId="898"/>
    <tableColumn id="3" xr3:uid="{41BF49B0-731E-480A-A25D-802B4380182E}" name="Relative" totalsRowFunction="custom" totalsRowDxfId="897" totalsRowCellStyle="Percent">
      <calculatedColumnFormula>IFERROR(Table18[[#This Row],[Amount]]/Table18[[#Totals],[Amount]],0)</calculatedColumnFormula>
      <totalsRowFormula>1</totalsRowFormula>
    </tableColumn>
  </tableColumns>
  <tableStyleInfo name="TableStyleLight1 4"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BD348AA1-7BB7-4A40-BA06-30D9BC88D9C5}" name="Table19" displayName="Table19" ref="D49:F72" totalsRowShown="0" headerRowDxfId="896" dataDxfId="895" tableBorderDxfId="894">
  <autoFilter ref="D49:F72" xr:uid="{6C8ACB43-975F-416A-A510-CF883452891C}">
    <filterColumn colId="0" hiddenButton="1"/>
    <filterColumn colId="1" hiddenButton="1"/>
    <filterColumn colId="2" hiddenButton="1"/>
  </autoFilter>
  <tableColumns count="3">
    <tableColumn id="1" xr3:uid="{97F6A0D7-4C71-45E8-A9DA-F3DBEC3693D1}" name="Acres" dataDxfId="893"/>
    <tableColumn id="2" xr3:uid="{70370623-AE12-4AC1-B3BC-5FA6F33097E0}" name=" " dataDxfId="892"/>
    <tableColumn id="3" xr3:uid="{76F2AA18-B160-4225-A8AB-03D1370169AB}" name="   " dataDxfId="891"/>
  </tableColumns>
  <tableStyleInfo name="TableStyleLight1 4"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A82E3D6B-A517-4697-995E-C5922864A7C4}" name="Table21" displayName="Table21" ref="D14:E18" totalsRowShown="0" headerRowDxfId="890" dataDxfId="888" headerRowBorderDxfId="889" tableBorderDxfId="887">
  <autoFilter ref="D14:E18" xr:uid="{AF658822-94AE-4FD8-9D6D-E660E1B5C629}">
    <filterColumn colId="0" hiddenButton="1"/>
    <filterColumn colId="1" hiddenButton="1"/>
  </autoFilter>
  <tableColumns count="2">
    <tableColumn id="1" xr3:uid="{EFD90BA2-CBAC-4BDB-9434-40FB9C2485F4}" name="Date&amp;Time" dataDxfId="886"/>
    <tableColumn id="2" xr3:uid="{CCEF9A0F-7383-4941-A440-9E2452942487}" name="." dataDxfId="885"/>
  </tableColumns>
  <tableStyleInfo name="TableStyleLight1 4"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D133DF78-1AE9-48BB-91CA-D0AE4B36CC49}" name="Table20" displayName="Table20" ref="K15:L34" totalsRowShown="0" headerRowDxfId="884" dataDxfId="883" tableBorderDxfId="882">
  <autoFilter ref="K15:L34" xr:uid="{D133DF78-1AE9-48BB-91CA-D0AE4B36CC49}">
    <filterColumn colId="0" hiddenButton="1"/>
    <filterColumn colId="1" hiddenButton="1"/>
  </autoFilter>
  <tableColumns count="2">
    <tableColumn id="1" xr3:uid="{3C9ED756-1E7B-43BC-9693-67AD91370593}" name="Building" dataDxfId="881"/>
    <tableColumn id="2" xr3:uid="{1A5D6F48-D49E-4549-A12C-3D6329B8F5BF}" name="Amount" dataDxfId="880"/>
  </tableColumns>
  <tableStyleInfo name="TableStyleLight1 4"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2D4E77CB-596E-4D34-A158-F6AA1DB6F9F6}" name="TblPop" displayName="TblPop" ref="A3:AC136" headerRowDxfId="873" dataDxfId="872" totalsRowDxfId="871">
  <autoFilter ref="A3:AC136" xr:uid="{6E722A66-B4C8-41A0-8AAD-A9286EDC4B73}">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33E5D491-2F13-4647-8973-D8A17F630B09}" name="Hour" totalsRowLabel="Total" dataDxfId="870" totalsRowDxfId="869">
      <calculatedColumnFormula>TblRezone[[#This Row],[Hour]]</calculatedColumnFormula>
    </tableColumn>
    <tableColumn id="2" xr3:uid="{7657952B-D9DB-46FC-BD8D-612DECDC04FD}" name="Time" dataDxfId="868" totalsRowDxfId="867">
      <calculatedColumnFormula>TblImps[[#This Row],[Time]]</calculatedColumnFormula>
    </tableColumn>
    <tableColumn id="3" xr3:uid="{767542B9-4E58-42E2-85BA-5C1DB6108363}" name="Peasants" dataDxfId="866">
      <calculatedColumnFormula>OFFSET(TblPop[[#This Row],[Peasants]],-1,0)+OFFSET(TblPop[[#This Row],[Net Peasant]],-1,0)+TblMili[[#This Row],[Release Draft]]</calculatedColumnFormula>
    </tableColumn>
    <tableColumn id="4" xr3:uid="{F5DC2705-5767-4AD0-A2E0-E36086D164C0}" name="Military" dataDxfId="865" totalsRowDxfId="864">
      <calculatedColumnFormula>TblMili[[#This Row],[Military]]</calculatedColumnFormula>
    </tableColumn>
    <tableColumn id="5" xr3:uid="{57E397CE-6C2C-48AE-9B2E-52E14099EAFC}" name="Draftees" dataDxfId="863" totalsRowDxfId="862">
      <calculatedColumnFormula>TblMili[[#This Row],[Draftees]]</calculatedColumnFormula>
    </tableColumn>
    <tableColumn id="6" xr3:uid="{7339086D-8AEE-45A5-B78D-EA6FDBA34E10}" name="Total" dataDxfId="861" totalsRowDxfId="860">
      <calculatedColumnFormula>TblPop[[#This Row],[Peasants]]+TblPop[[#This Row],[Military]]</calculatedColumnFormula>
    </tableColumn>
    <tableColumn id="7" xr3:uid="{75D92B6D-F4CA-42F7-80B3-4BF8A336E69C}" name="Military%" dataDxfId="859" totalsRowDxfId="858" dataCellStyle="Percent">
      <calculatedColumnFormula>TblPop[[#This Row],[Military]]/TblPop[[#This Row],[Total]]</calculatedColumnFormula>
    </tableColumn>
    <tableColumn id="8" xr3:uid="{257C6438-3205-4A45-9F91-ACD066CD59E8}" name="Employed" dataDxfId="857" totalsRowDxfId="856" dataCellStyle="Percent">
      <calculatedColumnFormula>MIN(TblPop[[#This Row],[Peasants]],TblPop[[#This Row],[Jobs]])</calculatedColumnFormula>
    </tableColumn>
    <tableColumn id="9" xr3:uid="{B05B6937-2C12-476B-B555-2A8ED6FF34EF}" name="Employment" dataDxfId="855" totalsRowDxfId="854" dataCellStyle="Percent">
      <calculatedColumnFormula>MIN(OFFSET(TblPop[[#This Row],[Jobs]],1,0)/TblPop[[#This Row],[Peasants]],1)</calculatedColumnFormula>
    </tableColumn>
    <tableColumn id="10" xr3:uid="{AD7F9BB7-A630-4BBB-AFEA-37B907196778}" name="Jobs" dataDxfId="853" totalsRowDxfId="852" dataCellStyle="Percent">
      <calculatedColumnFormula>SUM(TblConstr[[#This Row],[Tot Alc]:[Tot GT]],TblConstr[[#This Row],[Tot Shr]:[Tot Doc]],TblConstr[[#This Row],[Dest Alc]:[Dest GT]],TblConstr[[#This Row],[Dest Shr]:[Dest Doc]])*building_employment + TblConstr[[#This Row],[Tot Fac]]*bonus_jobs_facts</calculatedColumnFormula>
    </tableColumn>
    <tableColumn id="30" xr3:uid="{D3118B5E-6207-429C-86CC-ECDE266201B7}" name="." dataDxfId="851" totalsRowDxfId="850" dataCellStyle="Percent"/>
    <tableColumn id="12" xr3:uid="{2EEFBFF9-40A4-412F-8FEC-C2F4799A06E6}" name=" Draftees" dataDxfId="849" totalsRowDxfId="848">
      <calculatedColumnFormula>TblPop[[#This Row],[Draftees]]</calculatedColumnFormula>
    </tableColumn>
    <tableColumn id="13" xr3:uid="{43729A62-E847-4DBB-BC42-62B1FB3DA7A5}" name="Unit 1" dataDxfId="847" totalsRowDxfId="846">
      <calculatedColumnFormula>TblMili[[#This Row],[Unit 1]]</calculatedColumnFormula>
    </tableColumn>
    <tableColumn id="14" xr3:uid="{C7A024F4-2376-4871-897D-90BEBEBC78B7}" name="Unit 2" dataDxfId="845" totalsRowDxfId="844">
      <calculatedColumnFormula>TblMili[[#This Row],[Unit 2]]</calculatedColumnFormula>
    </tableColumn>
    <tableColumn id="15" xr3:uid="{93EC8730-4D26-4E19-ADAA-3ED5C943F257}" name="Unit 3" dataDxfId="843" totalsRowDxfId="842">
      <calculatedColumnFormula>TblMili[[#This Row],[Unit 3]]</calculatedColumnFormula>
    </tableColumn>
    <tableColumn id="16" xr3:uid="{1A382ACC-9ED2-4A5E-BEE3-781B1DBCF186}" name="Unit 4" dataDxfId="841" totalsRowDxfId="840">
      <calculatedColumnFormula>TblMili[[#This Row],[Unit 4]]</calculatedColumnFormula>
    </tableColumn>
    <tableColumn id="17" xr3:uid="{491D1C19-D1B1-48C7-8FC6-BE77B7CD2635}" name="Spies" dataDxfId="839" totalsRowDxfId="838">
      <calculatedColumnFormula>TblMili[[#This Row],[Spies]]</calculatedColumnFormula>
    </tableColumn>
    <tableColumn id="18" xr3:uid="{1AF95FC5-21CD-41AC-A69F-CF5E9AF4AB85}" name="Wizards" dataDxfId="837" totalsRowDxfId="836">
      <calculatedColumnFormula>TblMili[[#This Row],[Wizards]]</calculatedColumnFormula>
    </tableColumn>
    <tableColumn id="19" xr3:uid="{C157D21E-FD58-4F24-A070-1819A7E2DA97}" name="Archmage" dataDxfId="835" totalsRowDxfId="834">
      <calculatedColumnFormula>TblMili[[#This Row],[Archmages]]</calculatedColumnFormula>
    </tableColumn>
    <tableColumn id="20" xr3:uid="{6BBFB632-E92F-4F29-AE3D-534C8288C615}" name=".." dataDxfId="833" totalsRowDxfId="832"/>
    <tableColumn id="21" xr3:uid="{59CAD00B-A8EE-455B-A015-E17ADF56A7B2}" name="Net max" dataDxfId="831" totalsRowDxfId="830">
      <calculatedColumnFormula>ROUND(TblPop[[#This Row],[Raw max]]*(1+OFFSET(TblPop[[#This Row],[Max pop]],-1,0)),0)+MIN(TblPop[[#This Row],[Military]]-TblPop[[#This Row],[Draftees]]-SUM(TblMili[[#This Row],[Train Unit 1]:[Train AM]]),(barracks_size + tech_8_3*TblTech[[#This Row],[8-3]])*TblConstr[[#This Row],[Tot Bar]])</calculatedColumnFormula>
    </tableColumn>
    <tableColumn id="22" xr3:uid="{B78869DE-CFE3-4F3A-B8C6-9B9A53295B32}" name="Raw max" dataDxfId="829" totalsRowDxfId="828">
      <calculatedColumnFormula>(TblConstr[[#This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calculatedColumnFormula>
    </tableColumn>
    <tableColumn id="23" xr3:uid="{E05E123C-5C6C-45A2-BA36-3FDA5A2F7628}" name="Net Peasant" dataDxfId="827" totalsRowDxfId="826">
      <calculatedColumnFormula>MAX(-5%*TblPop[[#This Row],[Peasants]]-TblPop[[#This Row],[Draft Growth]],MIN(OFFSET(TblPop[[#This Row],[Net max]],1,0)-TblPop[[#This Row],[Peasants]]-TblPop[[#This Row],[Military]]-TblPop[[#This Row],[Draft Growth]],TblPop[[#This Row],[Modded Birth]]-TblPop[[#This Row],[Draft Growth]]))</calculatedColumnFormula>
    </tableColumn>
    <tableColumn id="24" xr3:uid="{69A77D1F-DF6D-41DC-8B94-E503BC9544A8}" name="Modded Birth" dataDxfId="825" totalsRowDxfId="824">
      <calculatedColumnFormula>ROUND(TblPop[[#This Row],[Raw Birth]]*(1+TblPop[[#This Row],[Growth]]),0)</calculatedColumnFormula>
    </tableColumn>
    <tableColumn id="25" xr3:uid="{26E60E7F-6DA3-49EF-99E8-26A0DAD2D630}" name="Raw Birth" dataDxfId="823" totalsRowDxfId="822">
      <calculatedColumnFormula>(TblPop[[#This Row],[Peasants]]-TblPop[[#This Row],[Draft Growth]])*raw_pop_growth</calculatedColumnFormula>
    </tableColumn>
    <tableColumn id="26" xr3:uid="{6E1274BE-772F-4747-A295-D51601B4FE11}" name="Draft Growth" dataDxfId="821">
      <calculatedColumnFormula>ROUND(IF(TblPop[[#This Row],[Military%]]&lt;TblMili[[#This Row],[Draftrate]],ROUND(TblPop[[#This Row],[Peasants]]*Constants!$B$55,0), 0) * IF(AND(TblMagic[[#This Row],[Active DnD]]&lt;=12,TblMagic[[#This Row],[Active DnD]]&gt;6),1.6,1),0)</calculatedColumnFormula>
    </tableColumn>
    <tableColumn id="27" xr3:uid="{858CE2A0-AC9E-46FE-9A70-AED1578889CB}" name="...." dataDxfId="820" totalsRowDxfId="819"/>
    <tableColumn id="28" xr3:uid="{B271B9C7-94D1-498F-9FBB-69DF5F1BCE3F}" name="Growth" dataDxfId="818" totalsRowDxfId="817" dataCellStyle="Percent">
      <calculatedColumnFormula>Overview!$I$17 + IF(Magic!AF4&gt;0,Constants!$F$78) + ROUND(6*(Construction!BM5+Construction!CK4)/IF(Explore!S5&gt;0,Construction!F5-20,Construction!F5),4) + tech_6_5_2*Techs!BJ4 + tech_8_4*Techs!BT4</calculatedColumnFormula>
    </tableColumn>
    <tableColumn id="29" xr3:uid="{4E692113-E2CA-4AEB-9E48-68D7C08F24E9}" name="Max pop" totalsRowFunction="sum" dataDxfId="816" totalsRowDxfId="815" dataCellStyle="Percent">
      <calculatedColumnFormula>(Overview!$I$16 + Imps!Z4+ tech_2_5*Techs!AB4 + tech_3_6*Techs!AM4 + tech_6_1*Techs!BJ4 + tech_6_5*Techs!BF4 + tech_7_3_2*Techs!BN4) * (1 + Production!O4/100*prestige_pop_multiplier) + Production!O4/100*prestige_pop_multiplier</calculatedColumnFormula>
    </tableColumn>
  </tableColumns>
  <tableStyleInfo name="TableStyleLight1 4 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57C3F5EE-F814-4B91-B6F1-64FC6D2B1E4D}" name="TblProd" displayName="TblProd" ref="A3:BM136" totalsRowShown="0" headerRowDxfId="806" dataDxfId="804" headerRowBorderDxfId="805" tableBorderDxfId="803">
  <autoFilter ref="A3:BM136" xr:uid="{B967943F-5F5A-4418-BFCF-10E8F60E7278}">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autoFilter>
  <tableColumns count="65">
    <tableColumn id="1" xr3:uid="{F0003D81-3DDD-4382-994C-29520DDBE2C8}" name="Hour" dataDxfId="802"/>
    <tableColumn id="2" xr3:uid="{A509F8BB-FCD1-4951-8F3F-2AE2B32FB91D}" name="Time" dataDxfId="801">
      <calculatedColumnFormula>TblImps[[#This Row],[Time]]</calculatedColumnFormula>
    </tableColumn>
    <tableColumn id="3" xr3:uid="{BD173BCD-6C73-484D-BDFC-2CBFE8B32234}" name="Plat Bonus" dataDxfId="800"/>
    <tableColumn id="4" xr3:uid="{9A9B3DEC-EBEC-4801-BF4F-F90BBBCDF331}" name="." dataDxfId="799"/>
    <tableColumn id="5" xr3:uid="{6F9B5905-FA1D-4099-B9CC-6BE237355D58}" name="Land" dataDxfId="798">
      <calculatedColumnFormula>TblConstr[[#This Row],[Land]]</calculatedColumnFormula>
    </tableColumn>
    <tableColumn id="6" xr3:uid="{5ADA8DA4-36DC-4D4F-AE4E-76BDD26AF270}" name="Peasants" dataDxfId="797">
      <calculatedColumnFormula>TblPop[[#This Row],[Peasants]]</calculatedColumnFormula>
    </tableColumn>
    <tableColumn id="7" xr3:uid="{EE7F0FC7-4D30-4144-88EE-9A05AD7BF609}" name="Networth" dataDxfId="796">
      <calculatedColumnFormula>TblMili[[#This Row],[Networth (2)]]</calculatedColumnFormula>
    </tableColumn>
    <tableColumn id="8" xr3:uid="{F7B8E7A7-7AD4-4D83-8297-946670C39E55}" name="Platinum" dataDxfId="795">
      <calculatedColumnFormula>OFFSET(TblProd[[#This Row],[Platinum]],-1,0)+OFFSET(TblProd[[#This Row],[Plat/hr]],-1,0) - TblProd[[#This Row],[Expenses Platinum]] + IF(TblProd[[#This Row],[Plat Bonus]],TblPop[[#This Row],[Peasants]]*4) + SUM(TblConstr[[#This Row],[Dest Hom]:[Dest Doc]])*TblConstr[[#This Row],[CPA Platinum -DB]]*tech_3_3_2*TblTech[[#This Row],[3-3]]</calculatedColumnFormula>
    </tableColumn>
    <tableColumn id="9" xr3:uid="{9F230D6A-7D1C-4829-94C6-F3F4AE40850B}" name="Food" dataDxfId="794">
      <calculatedColumnFormula>OFFSET(TblProd[[#This Row],[Food]],-1,0)+OFFSET(TblProd[[#This Row],[Food/hr]],-1,0)+ROUNDUP((TblConstr[[#This Row],[Farms]]*80+TblConstr[[#This Row],[Docks]]*35)*(1+OFFSET(TblProd[[#This Row],[Bonus Food/hr]],-1,0)),0)</calculatedColumnFormula>
    </tableColumn>
    <tableColumn id="10" xr3:uid="{AAFADDC7-CC4A-40FE-BF80-8C4306762061}" name="Lumber" dataDxfId="793">
      <calculatedColumnFormula>OFFSET(TblProd[[#This Row],[Lumber]],-1,0)+OFFSET(TblProd[[#This Row],[Lumber/hr]],-1,0) - TblProd[[#This Row],[Expenses Lumber]] + SUM(TblConstr[[#This Row],[Dest Hom]:[Dest Doc]])*TblConstr[[#This Row],[CPA Lumber -DB]]*tech_3_3_2*TblTech[[#This Row],[3-3]]</calculatedColumnFormula>
    </tableColumn>
    <tableColumn id="11" xr3:uid="{8445762B-3413-433A-A203-5888C54E226D}" name="Mana" dataDxfId="792">
      <calculatedColumnFormula>OFFSET(TblProd[[#This Row],[Mana]],-1,0)+OFFSET(TblProd[[#This Row],[Mana/hr]],-1,0)- TblProd[[#This Row],[Expenses Mana]]</calculatedColumnFormula>
    </tableColumn>
    <tableColumn id="12" xr3:uid="{C80C4246-7273-429F-BE79-86B1B4181061}" name="Ore" dataDxfId="791">
      <calculatedColumnFormula>OFFSET(TblProd[[#This Row],[Ore]],-1,0)+OFFSET(TblProd[[#This Row],[Ore/hr]],-1,0) -TblProd[[#This Row],[Expenses Ore]]</calculatedColumnFormula>
    </tableColumn>
    <tableColumn id="13" xr3:uid="{4174B9D9-5881-42F2-A514-2A7372C2B486}" name="Gems" dataDxfId="790">
      <calculatedColumnFormula>OFFSET(TblProd[[#This Row],[Gems]],-1,0)+OFFSET(TblProd[[#This Row],[Gems/hr]],-1,0) - TblProd[[#This Row],[Expenses Gems]]</calculatedColumnFormula>
    </tableColumn>
    <tableColumn id="14" xr3:uid="{C9DF5508-173B-4E9B-BD32-3313FC0AECA9}" name="Boats" dataDxfId="789">
      <calculatedColumnFormula>OFFSET(TblProd[[#This Row],[Boats]],-1,0)+OFFSET(TblProd[[#This Row],[Boats/hr]],-1,0)</calculatedColumnFormula>
    </tableColumn>
    <tableColumn id="15" xr3:uid="{C2EE37F5-4C79-4BD9-BE97-5B3BBB490CD3}" name="Prestige" dataDxfId="788">
      <calculatedColumnFormula>OFFSET(TblProd[[#This Row],[Prestige]],-1,0)</calculatedColumnFormula>
    </tableColumn>
    <tableColumn id="16" xr3:uid="{5EEA2772-71AB-4FF8-BF5F-D1D5B4044943}" name="Techpoints" dataDxfId="787">
      <calculatedColumnFormula>ROUNDDOWN(OFFSET(TblProd[[#This Row],[Techpoints]],-1,0)+(1+research_bonus)*(26*MIN((TblConstr[[#This Row],[Tot Sch]]/(TblProd[[#This Row],[Land]]-TblExplore[[#This Row],[Land Bonus]]*20))*100,40))-TblProd[[#This Row],[Required]]*TblTech[[#This Row],[…]],0) + IF(TblProd[[#This Row],[Plat Bonus]]&lt;&gt;"",750,0)</calculatedColumnFormula>
    </tableColumn>
    <tableColumn id="17" xr3:uid="{227E4531-FD9F-457E-92D0-6CAB65420DF2}" name="Required" dataDxfId="786">
      <calculatedColumnFormula>MAX(_xlfn.CEILING.MATH(TblProd[[#This Row],[Land]]*2.5+IFERROR(OFFSET(TblTech[[#This Row],[Sum of tech]],-1,0)*50,0)),3750)</calculatedColumnFormula>
    </tableColumn>
    <tableColumn id="18" xr3:uid="{BC60D6AE-146D-440E-93B9-050DE2CAED7A}" name=".." dataDxfId="785"/>
    <tableColumn id="19" xr3:uid="{F7A6187F-1DDE-45C0-B221-8BA0937C4E35}" name="Plat/hr" dataDxfId="784">
      <calculatedColumnFormula>ROUNDDOWN(TblProd[[#This Row],[Raw Plat/hr]]*(1+TblProd[[#This Row],[Bonus Plat/hr]]),0)</calculatedColumnFormula>
    </tableColumn>
    <tableColumn id="20" xr3:uid="{EBA5F35A-607A-475E-9357-98AF551D44A6}" name="Food/hr" dataDxfId="783">
      <calculatedColumnFormula>ROUND(TblProd[[#This Row],[Raw Food/hr]]*(1+TblProd[[#This Row],[Bonus Food/hr]])-TblProd[[#This Row],[Food decay]]-TblProd[[#This Row],[Food eaten]],0)</calculatedColumnFormula>
    </tableColumn>
    <tableColumn id="21" xr3:uid="{D75AA2A6-F107-4144-8A7D-4BE575236288}" name="Lumber/hr" dataDxfId="782">
      <calculatedColumnFormula>ROUND(TblProd[[#This Row],[Raw Lumber/hr]]*(1+TblProd[[#This Row],[Bonus Lumber/hr]])-TblProd[[#This Row],[Lumber rot]],0)</calculatedColumnFormula>
    </tableColumn>
    <tableColumn id="22" xr3:uid="{4AA82FE8-7AD6-4F9E-B8A1-627CE2E70CE0}" name="Mana/hr" dataDxfId="781">
      <calculatedColumnFormula>ROUND(TblProd[[#This Row],[Raw Mana/hr]]*(1+TblProd[[#This Row],[Bonus Mana/hr]])-TblProd[[#This Row],[Mana drain]],0)</calculatedColumnFormula>
    </tableColumn>
    <tableColumn id="23" xr3:uid="{86A49F4B-CDA3-4B61-B4D9-8830178E715E}" name="Ore/hr" dataDxfId="780">
      <calculatedColumnFormula>ROUNDDOWN(TblProd[[#This Row],[Raw Ore/hr]]*(1+TblProd[[#This Row],[Bonux Ore/hr]]),0)</calculatedColumnFormula>
    </tableColumn>
    <tableColumn id="24" xr3:uid="{F7C3BCF1-3F12-4405-8E19-ED1B9D20D049}" name="Gems/hr" dataDxfId="779">
      <calculatedColumnFormula>ROUNDDOWN(TblProd[[#This Row],[Raw Gems/hr]]*(1+TblProd[[#This Row],[Bonus Gems/hr]]),0)</calculatedColumnFormula>
    </tableColumn>
    <tableColumn id="25" xr3:uid="{E754A630-9007-4F8A-A8B7-C56609E09275}" name="Boats/hr" dataDxfId="778">
      <calculatedColumnFormula>OFFSET(TblConstr[[#This Row],[Tot Doc]],1,0)*dock_boats_hr * (1 + tech_4_1*TblTech[[#This Row],[4-1]])</calculatedColumnFormula>
    </tableColumn>
    <tableColumn id="26" xr3:uid="{8666710D-F3A4-4016-AA32-8D95B9BFFE3D}" name="…" dataDxfId="777"/>
    <tableColumn id="27" xr3:uid="{BE5DAA3C-8D26-4E0F-87D4-E9FE3E149040}" name="Raw Plat/hr" dataDxfId="776">
      <calculatedColumnFormula>TblPop[[#This Row],[Peasants]]*tax*TblPop[[#This Row],[Employment]] + (Construction!AZ5+Construction!BX5)*(alch_plat+(Magic!AN4&gt;0)*alchemist_flame_bonus)</calculatedColumnFormula>
    </tableColumn>
    <tableColumn id="28" xr3:uid="{72437831-3C94-4E01-9B66-637CE9F1FC37}" name="Raw Food/hr" dataDxfId="775">
      <calculatedColumnFormula>TblConstr[[#This Row],[Tot Farm]]*farm_food + TblConstr[[#This Row],[Tot Doc]]*dock_food</calculatedColumnFormula>
    </tableColumn>
    <tableColumn id="29" xr3:uid="{6327048A-17B4-47F0-A6D6-4DF606F8872E}" name="Raw Lumber/hr" dataDxfId="774">
      <calculatedColumnFormula>TblConstr[[#This Row],[Tot Ly]]*ly_lumber + TblConstr[[#This Row],[Tot Hav]]*fh_lumber + IF(race="Wood Elf",TblMili[[#This Row],[Unit 2]]*MIN(TblMili[[#This Row],[Homeland%]]/wisp_bonus,wisp_cap),0)</calculatedColumnFormula>
    </tableColumn>
    <tableColumn id="30" xr3:uid="{9564EF02-956D-4988-B195-94F7CC0C966B}" name="Raw Mana/hr" dataDxfId="773">
      <calculatedColumnFormula>OFFSET(TblConstr[[#This Row],[Tot Tow]],1,0)*(tower_mana + tech_4_5*TblTech[[#This Row],[4-5]]) + OFFSET(TblConstr[[#This Row],[Tot WG]],1,0)*wg_mana_prod</calculatedColumnFormula>
    </tableColumn>
    <tableColumn id="31" xr3:uid="{1FCC3E78-11E8-4286-A9C0-F9F5FA32B54A}" name="Raw Ore/hr" dataDxfId="772">
      <calculatedColumnFormula>OFFSET(TblConstr[[#This Row],[Tot OM]],1,0)*om_ore+IF(race="Dwarf",TblMili[[#This Row],[Unit 2]]*0.5,0)</calculatedColumnFormula>
    </tableColumn>
    <tableColumn id="32" xr3:uid="{8AFDB340-E76D-4906-8F67-515703AD5439}" name="Raw Gems/hr" dataDxfId="771">
      <calculatedColumnFormula>OFFSET(TblConstr[[#This Row],[Tot DM]],1,0)*dm_gems</calculatedColumnFormula>
    </tableColumn>
    <tableColumn id="33" xr3:uid="{E86B471A-FB4B-478C-B269-80AA28A99240}" name="...." dataDxfId="770"/>
    <tableColumn id="34" xr3:uid="{9F134F8D-9272-4F13-BEA1-036303BDF806}" name="Bonus Plat/hr" dataDxfId="769">
      <calculatedColumnFormula>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calculatedColumnFormula>
    </tableColumn>
    <tableColumn id="35" xr3:uid="{0A74905A-22DA-45CD-93B1-A04E404DA171}" name="Bonus Food/hr" dataDxfId="768">
      <calculatedColumnFormula>(1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calculatedColumnFormula>
    </tableColumn>
    <tableColumn id="36" xr3:uid="{D7C6D362-C2F2-4FAA-BEE2-F66465927464}" name="Bonus Lumber/hr" dataDxfId="767">
      <calculatedColumnFormula>race_lumber_bonus+ IF(TblMagic[[#This Row],[Active Gaia''s Blessing]]&gt;0,gaias_blessing_lumber)+ tech_1_3*TblTech[[#This Row],[1-3]] + tech_1_6*TblTech[[#This Row],[1-6]] + tech_3_3*TblTech[[#This Row],[3-3]]</calculatedColumnFormula>
    </tableColumn>
    <tableColumn id="37" xr3:uid="{272C59C6-420A-47C1-B609-E577C345449D}" name="Bonus Mana/hr" dataDxfId="766">
      <calculatedColumnFormula>race_mana_bonus+ 0 + TblImps[[#This Row],[Spires]] + tech_1_2*TblTech[[#This Row],[1-2]] + tech_3_4*TblTech[[#This Row],[3-4]]</calculatedColumnFormula>
    </tableColumn>
    <tableColumn id="38" xr3:uid="{86499F2E-9498-4D5B-8626-C51CB440415E}" name="Bonux Ore/hr" dataDxfId="765">
      <calculatedColumnFormula>race_ore_bonus + IF(TblMagic[[#This Row],[Active Miner''s Sight]]&gt;0,miners_sight_bonus,IF(TblMagic[[#This Row],[Active Mining Strength]]&gt;0,mining_strength_bonus)) +  tech_1_6*TblTech[[#This Row],[1-6]]</calculatedColumnFormula>
    </tableColumn>
    <tableColumn id="39" xr3:uid="{B43BAD1C-3443-40C1-A373-F31863DA0CA7}" name="Bonus Gems/hr" dataDxfId="764">
      <calculatedColumnFormula>race_gem_bonus+ tech_3_2*TblTech[[#This Row],[3-2]] + tech_4_3*TblTech[[#This Row],[4-3]] + tech_6_2*TblTech[[#This Row],[6-2]]</calculatedColumnFormula>
    </tableColumn>
    <tableColumn id="40" xr3:uid="{13CEE817-130E-4D49-8EA9-E724A91FD06F}" name="…." dataDxfId="763"/>
    <tableColumn id="41" xr3:uid="{6AD9C25C-A77A-4288-B914-DEAB151F3EBD}" name="Food decay" dataDxfId="762">
      <calculatedColumnFormula>TblProd[[#This Row],[Food]]*food_decay * (1 + tech_2_1*TblTech[[#This Row],[2-1]] + tech_2_8*TblTech[[#This Row],[2-8]] + IF(AND(TblMagic[[#This Row],[Active DnD]]&lt;12,TblMagic[[#This Row],[Active DnD]]&gt;5),1,0))</calculatedColumnFormula>
    </tableColumn>
    <tableColumn id="42" xr3:uid="{B67A5DCA-7223-49B6-A0AC-BE56416DEAB6}" name="Food eaten" dataDxfId="761">
      <calculatedColumnFormula>(1+race_food_consumption)*TblPop[[#This Row],[Total]]*food_per_person*(1+tech_1_10*TblTech[[#This Row],[1-10]]+tech_7_5*TblTech[[#This Row],[7-5]] + IF(TblMagic[[#This Row],[Active Infernal Command]]&gt;0,demonic_pact_food_cons,0))</calculatedColumnFormula>
    </tableColumn>
    <tableColumn id="43" xr3:uid="{2D142E97-FF43-492A-B271-A145B85E0BF3}" name="Lumber rot" dataDxfId="760">
      <calculatedColumnFormula>TblProd[[#This Row],[Lumber]]*lumber_rot * (1 + tech_2_1*TblTech[[#This Row],[2-1]] + tech_2_8*TblTech[[#This Row],[2-8]] + tech_5_2*TblTech[[#This Row],[5-2]] + IF(AND(TblMagic[[#This Row],[Active DnD]]&lt;12,TblMagic[[#This Row],[Active DnD]]&gt;5),1,0))</calculatedColumnFormula>
    </tableColumn>
    <tableColumn id="44" xr3:uid="{B4C1A120-AC06-46C7-8824-18C19DD19A05}" name="Mana drain" dataDxfId="759">
      <calculatedColumnFormula>TblProd[[#This Row],[Mana]]*mana_drain * (1 + tech_2_1*TblTech[[#This Row],[2-1]] + tech_2_8*TblTech[[#This Row],[2-8]])</calculatedColumnFormula>
    </tableColumn>
    <tableColumn id="45" xr3:uid="{D3D223E8-8991-4557-84CB-F59345A9686F}" name="….." dataDxfId="758"/>
    <tableColumn id="46" xr3:uid="{0EFE67ED-4C56-4E46-B6BE-B5FAFB53783E}" name="Expenses Platinum" dataDxfId="757">
      <calculatedColumnFormula>TblExplore[[#This Row],[Platinum (2)]]+TblConstr[[#This Row],[Total Plat Cost]]+TblMili[[#This Row],[Plat Cost]]+TblRezone[[#This Row],[Platinum cost]]+TblImps[[#This Row],[P1]]-TblProd[[#This Row],[Bank Plat]]</calculatedColumnFormula>
    </tableColumn>
    <tableColumn id="47" xr3:uid="{B35F852E-793D-40B7-8749-213680C19847}" name="Expenses Lumber" dataDxfId="756">
      <calculatedColumnFormula>TblConstr[[#This Row],[Total Lum Cost]]+TblImps[[#This Row],[L1]]-TblProd[[#This Row],[Bank Lumber]] + Military!$CO$25*TblMili[[#This Row],[Sec. rec. Cost]]</calculatedColumnFormula>
    </tableColumn>
    <tableColumn id="48" xr3:uid="{3C88EFC6-8DA5-40ED-A97A-2AAFD0B3B6AD}" name="Expenses Mana" dataDxfId="755">
      <calculatedColumnFormula>TblMagic[[#This Row],[Mana cost]] + Military!$CO$26*TblMili[[#This Row],[Sec. rec. Cost]]</calculatedColumnFormula>
    </tableColumn>
    <tableColumn id="49" xr3:uid="{1E4E3815-206F-4A61-AE33-CA14E995FDCB}" name="Expenses Ore" dataDxfId="754">
      <calculatedColumnFormula>Military!$CO$24*TblMili[[#This Row],[Sec. rec. Cost]]+TblImps[[#This Row],[O1]]-TblProd[[#This Row],[Bank Ore]]</calculatedColumnFormula>
    </tableColumn>
    <tableColumn id="50" xr3:uid="{8DF861B9-6D00-413F-82A6-CB9FB4344D68}" name="Expenses Gems" dataDxfId="753">
      <calculatedColumnFormula>TblImps[[#This Row],[G1]]-TblProd[[#This Row],[Bank Gems]]</calculatedColumnFormula>
    </tableColumn>
    <tableColumn id="51" xr3:uid="{B251D943-2DAF-44E5-BCC8-D6734C7115AC}" name="…..." dataDxfId="752"/>
    <tableColumn id="52" xr3:uid="{4B9E6D84-D900-4020-9F03-31B7E7CFFDDD}" name="Guard" dataDxfId="751">
      <calculatedColumnFormula>IF(TblProd[[#This Row],[Set Guard]]&lt;&gt;"",TblProd[[#This Row],[Set Guard]],OFFSET(TblProd[[#This Row],[Guard]],-1,0))</calculatedColumnFormula>
    </tableColumn>
    <tableColumn id="53" xr3:uid="{1F4E66ED-8544-4DEE-A238-E9BA6D663684}" name="Set Guard" dataDxfId="750"/>
    <tableColumn id="54" xr3:uid="{1D4B089E-CFD3-41C4-BDA0-74070303A629}" name="Hour (2)" dataDxfId="749">
      <calculatedColumnFormula>TblProd[[#This Row],[Hour]]</calculatedColumnFormula>
    </tableColumn>
    <tableColumn id="55" xr3:uid="{13D8CC8A-81E1-41BB-9F87-384EE02343C0}" name="Bank Plat" dataDxfId="748">
      <calculatedColumnFormula>-TblProd[[#This Row],[Bank Lumber]] / 2 + -TblProd[[#This Row],[Bank Gems]] * 2 + -TblProd[[#This Row],[Bank Ore]] / 2</calculatedColumnFormula>
    </tableColumn>
    <tableColumn id="56" xr3:uid="{41D3199A-B537-41B8-A35D-AB3FAE3A7763}" name="Bank Lumber" dataDxfId="747"/>
    <tableColumn id="57" xr3:uid="{F8C6B652-BED5-46E0-B507-4A728112F421}" name="Bank Ore" dataDxfId="746"/>
    <tableColumn id="58" xr3:uid="{0A836235-2002-4186-985F-CF495776E28E}" name="Bank Gems" dataDxfId="745"/>
    <tableColumn id="59" xr3:uid="{56B680F7-B10A-487B-B563-4297DE674256}" name="Time (2)" dataDxfId="744">
      <calculatedColumnFormula>TblProd[[#This Row],[Time]]</calculatedColumnFormula>
    </tableColumn>
    <tableColumn id="60" xr3:uid="{B3E3CCBD-6079-4735-A75E-072E37E0325B}" name="Ok?" dataDxfId="743">
      <calculatedColumnFormula>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calculatedColumnFormula>
    </tableColumn>
    <tableColumn id="61" xr3:uid="{CC4FE90D-D2A5-4040-B4F2-8C9DBCE6C28F}" name="Stats Platinum" dataDxfId="742">
      <calculatedColumnFormula>TblProd[[#This Row],[Platinum]]</calculatedColumnFormula>
    </tableColumn>
    <tableColumn id="62" xr3:uid="{BAE994A1-A5C4-42FD-B88E-93A7F2337723}" name="Stats Food" dataDxfId="741">
      <calculatedColumnFormula>TblProd[[#This Row],[Food]]</calculatedColumnFormula>
    </tableColumn>
    <tableColumn id="63" xr3:uid="{8FF996E7-6950-42AE-80FE-25BD3D3ADB81}" name="Stats Lumber" dataDxfId="740">
      <calculatedColumnFormula>TblProd[[#This Row],[Lumber]]</calculatedColumnFormula>
    </tableColumn>
    <tableColumn id="64" xr3:uid="{4E3282B4-65CE-45FC-B881-93C3F98E36E0}" name="Stats Mana" dataDxfId="739">
      <calculatedColumnFormula>TblProd[[#This Row],[Mana]]</calculatedColumnFormula>
    </tableColumn>
    <tableColumn id="65" xr3:uid="{C1490C22-CEF7-430F-B6CC-F7FDA2F90C17}" name="Stats Ore" dataDxfId="738">
      <calculatedColumnFormula>TblProd[[#This Row],[Ore]]</calculatedColumnFormula>
    </tableColumn>
  </tableColumns>
  <tableStyleInfo name="TableStyleLight1 3"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59F9537-C54E-4092-8FC6-BC1C6F73881F}" name="TblConstr" displayName="TblConstr" ref="A3:DJ136" headerRowDxfId="719" dataDxfId="717" totalsRowDxfId="715" headerRowBorderDxfId="718" tableBorderDxfId="716">
  <autoFilter ref="A3:DJ136" xr:uid="{ADE1E67A-39A8-4FA1-9B9F-6DFE4F3BF01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filterColumn colId="113" hiddenButton="1"/>
  </autoFilter>
  <tableColumns count="114">
    <tableColumn id="13" xr3:uid="{71E4A0F5-93F1-4F15-8916-ACF788CCF6E8}" name="Hour" totalsRowLabel="Total" dataDxfId="714" totalsRowDxfId="713">
      <calculatedColumnFormula>TblRezone[[#This Row],[Hour]]</calculatedColumnFormula>
    </tableColumn>
    <tableColumn id="1" xr3:uid="{16A4A80A-781E-4E74-BC12-3B194ED2F6BF}" name="Barren" dataDxfId="712" totalsRowDxfId="711">
      <calculatedColumnFormula>SUM(TblConstr[[#This Row],[Plain]:[Water]])</calculatedColumnFormula>
    </tableColumn>
    <tableColumn id="2" xr3:uid="{F83194BF-B786-4A33-B371-25BE7289AC68}" name="Buildings" dataDxfId="710" totalsRowDxfId="709">
      <calculatedColumnFormula>SUM(TblConstr[[#This Row],[Tot Hom]:[Tot Doc]])</calculatedColumnFormula>
    </tableColumn>
    <tableColumn id="3" xr3:uid="{343846C5-19E9-4357-B5DD-B105ACEC8C2C}" name="Incoming" dataDxfId="708" totalsRowDxfId="707"/>
    <tableColumn id="4" xr3:uid="{A20911DB-7155-4794-AD46-07AAD44BDAFE}" name="." dataDxfId="706" totalsRowDxfId="705"/>
    <tableColumn id="5" xr3:uid="{279706A5-BDE6-4F21-9D4E-93DD796722CB}" name="Land" dataDxfId="704" totalsRowDxfId="703">
      <calculatedColumnFormula>TblConstr[[#This Row],[Barren]]+TblConstr[[#This Row],[Buildings]]+TblConstr[[#This Row],[Incoming]]</calculatedColumnFormula>
    </tableColumn>
    <tableColumn id="6" xr3:uid="{8D16C913-6FBB-42B5-890E-7AA3F7D780F3}" name="Plain" dataDxfId="702" totalsRowDxfId="701">
      <calculatedColumnFormula>OFFSET(TblConstr[[#This Row],[Plain]],-1,0)+TblConstr[[#This Row],[Ch_Plain]]</calculatedColumnFormula>
    </tableColumn>
    <tableColumn id="7" xr3:uid="{ECABDC59-2CFA-4924-832F-64BD947684FE}" name="Forest" dataDxfId="700" totalsRowDxfId="699">
      <calculatedColumnFormula>OFFSET(TblConstr[[#This Row],[Forest]],-1,0)+TblConstr[[#This Row],[Ch_Forest]]</calculatedColumnFormula>
    </tableColumn>
    <tableColumn id="8" xr3:uid="{AD888BC9-7B2A-431B-912B-F76B183C4BC2}" name="Mountain" dataDxfId="698" totalsRowDxfId="697">
      <calculatedColumnFormula>OFFSET(TblConstr[[#This Row],[Mountain]],-1,0)+TblConstr[[#This Row],[Ch_Mountain]]</calculatedColumnFormula>
    </tableColumn>
    <tableColumn id="9" xr3:uid="{B9F107CC-9E87-47F0-9669-7B4E32869962}" name="Hill" dataDxfId="696" totalsRowDxfId="695">
      <calculatedColumnFormula>OFFSET(TblConstr[[#This Row],[Hill]],-1,0)+TblConstr[[#This Row],[Ch_Hill]]</calculatedColumnFormula>
    </tableColumn>
    <tableColumn id="10" xr3:uid="{8067675A-D7AC-461C-B5B4-B2FDA278D46E}" name="Swamp" dataDxfId="694" totalsRowDxfId="693">
      <calculatedColumnFormula>OFFSET(TblConstr[[#This Row],[Swamp]],-1,0)+TblConstr[[#This Row],[Ch_Swamp]]</calculatedColumnFormula>
    </tableColumn>
    <tableColumn id="11" xr3:uid="{F6E4B820-D719-41FF-A537-55FE6AFBAF0E}" name="Cavern" dataDxfId="692" totalsRowDxfId="691">
      <calculatedColumnFormula>OFFSET(TblConstr[[#This Row],[Cavern]],-1,0)+TblConstr[[#This Row],[Ch_Cavern]]</calculatedColumnFormula>
    </tableColumn>
    <tableColumn id="12" xr3:uid="{54552E9E-E771-4104-87F6-20952C6A2D90}" name="Water" dataDxfId="690" totalsRowDxfId="689">
      <calculatedColumnFormula>OFFSET(TblConstr[[#This Row],[Water]],-1,0)+TblConstr[[#This Row],[Ch_Water]]</calculatedColumnFormula>
    </tableColumn>
    <tableColumn id="112" xr3:uid="{68F0FBE6-EBED-4B66-81D6-A19DB934C48D}" name="Hour  " dataDxfId="688" totalsRowDxfId="687">
      <calculatedColumnFormula>TblRezone[[#This Row],[Hour]]</calculatedColumnFormula>
    </tableColumn>
    <tableColumn id="14" xr3:uid="{6A739C2B-FED1-46DE-A6EC-2761E132E225}" name="Hom" dataDxfId="686" totalsRowDxfId="685"/>
    <tableColumn id="15" xr3:uid="{E50EB7D2-A060-4B91-920B-B3335EF23400}" name="Alc" dataDxfId="684" totalsRowDxfId="683"/>
    <tableColumn id="16" xr3:uid="{E3F8F390-578A-46F4-8079-68503504AE5A}" name="Far" dataDxfId="682" totalsRowDxfId="681"/>
    <tableColumn id="17" xr3:uid="{CC502929-3E3E-483C-AA45-1E8DC6E6F788}" name="Smi" dataDxfId="680" totalsRowDxfId="679"/>
    <tableColumn id="18" xr3:uid="{2849017C-83D2-48CF-BAFC-E8180F6B87B3}" name="Mas" dataDxfId="678" totalsRowDxfId="677"/>
    <tableColumn id="19" xr3:uid="{902080F0-045E-460C-8A94-D28082F0684A}" name="Ly" dataDxfId="676" totalsRowDxfId="675"/>
    <tableColumn id="20" xr3:uid="{74F11359-7A83-40C9-8D72-4E7342A4C5F6}" name="Hav" dataDxfId="674" totalsRowDxfId="673"/>
    <tableColumn id="21" xr3:uid="{2F4CD982-1BA1-4887-BEEF-D1CEDDFDCD98}" name="OM" dataDxfId="672" totalsRowDxfId="671"/>
    <tableColumn id="22" xr3:uid="{8FB86139-1373-407A-B799-7C5D49EF3A26}" name="GN" dataDxfId="670" totalsRowDxfId="669"/>
    <tableColumn id="23" xr3:uid="{283576BE-DC2F-4C4A-B83A-40303ED03A64}" name="Fac" dataDxfId="668" totalsRowDxfId="667"/>
    <tableColumn id="24" xr3:uid="{5CFB0CBF-3773-41F6-9B86-E1678AA28900}" name="GT" dataDxfId="666" totalsRowDxfId="665"/>
    <tableColumn id="25" xr3:uid="{19E4F682-9015-4478-9312-A3022D1FEEE9}" name="Bar" dataDxfId="664" totalsRowDxfId="663"/>
    <tableColumn id="26" xr3:uid="{013252D4-D385-4331-9170-92B5C8BB4C64}" name="Shr" dataDxfId="662" totalsRowDxfId="661"/>
    <tableColumn id="27" xr3:uid="{D4B27941-E688-419F-8B6F-B73F6CF2AB5B}" name="Tow" dataDxfId="660" totalsRowDxfId="659"/>
    <tableColumn id="28" xr3:uid="{17047BB4-364B-45DB-830B-858C7BD30B39}" name="Tem" dataDxfId="658" totalsRowDxfId="657"/>
    <tableColumn id="29" xr3:uid="{8910E8E2-8D7F-45E2-8559-CB4F40D25EB8}" name="WG" dataDxfId="656" totalsRowDxfId="655"/>
    <tableColumn id="30" xr3:uid="{BDAAD77D-88DB-4E61-9C07-44CAE4913F4B}" name="DM" dataDxfId="654" totalsRowDxfId="653"/>
    <tableColumn id="31" xr3:uid="{BFDB5F50-9A23-4E21-AEF0-8F150174C5D9}" name="Sch" dataDxfId="652" totalsRowDxfId="651"/>
    <tableColumn id="32" xr3:uid="{F4596035-B7F8-4B94-9B36-37B190EBF2F5}" name="Doc" dataDxfId="650" totalsRowDxfId="649"/>
    <tableColumn id="33" xr3:uid="{B506678F-5C96-41A2-B16E-01903002457C}" name="time" dataDxfId="648" totalsRowDxfId="647">
      <calculatedColumnFormula>TblImps[[#This Row],[Time]]</calculatedColumnFormula>
    </tableColumn>
    <tableColumn id="34" xr3:uid="{BBF9E4A7-4AD1-4256-838E-84E222A5E5B5}" name="Facs -DB" dataDxfId="646" totalsRowDxfId="645" dataCellStyle="Percent">
      <calculatedColumnFormula>MIN(25%,(TblConstr[[#This Row],[Tot Fac]]+TblConstr[[#This Row],[Dest Fac]])/(TblConstr[[#This Row],[Land]]-TblExplore[[#This Row],[Land Bonus]]*20))</calculatedColumnFormula>
    </tableColumn>
    <tableColumn id="35" xr3:uid="{CE9651FB-E7AA-4AC3-9369-D03ACA26B669}" name="Facs DB" dataDxfId="644" totalsRowDxfId="643" dataCellStyle="Percent">
      <calculatedColumnFormula>MIN(25%,(TblConstr[[#This Row],[Tot Fac]]+TblConstr[[#This Row],[Dest Fac]])/TblConstr[[#This Row],[Land]])</calculatedColumnFormula>
    </tableColumn>
    <tableColumn id="36" xr3:uid="{09991F89-DEAA-4698-A25A-D13F6565EDD4}" name="Platinum" dataDxfId="642" totalsRowDxfId="641">
      <calculatedColumnFormula>TblProd[[#This Row],[Platinum]]</calculatedColumnFormula>
    </tableColumn>
    <tableColumn id="37" xr3:uid="{98B47891-EB31-4D7F-8AC4-80255A877681}" name="Lumber" dataDxfId="640" totalsRowDxfId="639">
      <calculatedColumnFormula>TblProd[[#This Row],[Lumber]]</calculatedColumnFormula>
    </tableColumn>
    <tableColumn id="38" xr3:uid="{4BCC987F-ABDB-4939-B66E-9E39DDB56076}" name="CPA Platinum -DB" dataDxfId="638" totalsRowDxfId="637">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calculatedColumnFormula>
    </tableColumn>
    <tableColumn id="39" xr3:uid="{A20AFB6A-97AA-4F9B-B043-38AA0D9E8CB2}" name="CPA Lumber -DB" dataDxfId="636" totalsRowDxfId="635">
      <calculatedColumnFormula>ROUNDDOWN( MAX(1 - MIN(facs_constr_factor*TblConstr[[#This Row],[Facs -DB]],facs_constr_max) + tech_1_11*TblTech[[#This Row],[11-1]] + tech_6_3_2*TblTech[[#This Row],[6-3]] + tech_5_2_3*TblTech[[#This Row],[5-2]], 1-global_constr_cap) * TblConstr[[#This Row],[RCPA Lumber]],0)</calculatedColumnFormula>
    </tableColumn>
    <tableColumn id="40" xr3:uid="{95587742-3784-404A-9437-CD6C20587B4F}" name="CPA Platinum DB" dataDxfId="634" totalsRowDxfId="633">
      <calculatedColumnFormula>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calculatedColumnFormula>
    </tableColumn>
    <tableColumn id="41" xr3:uid="{15C632B7-926C-4076-A877-6D078E469E57}" name="CPA Lumber DB" dataDxfId="632" totalsRowDxfId="631">
      <calculatedColumnFormula>ROUNDDOWN( MAX(1 - MIN(facs_constr_factor*TblConstr[[#This Row],[Facs DB]],facs_constr_max) + tech_1_11*TblTech[[#This Row],[1-11]] + tech_6_3_2*TblTech[[#This Row],[6-3]] + tech_5_2_3*TblTech[[#This Row],[5-2]], 1-global_constr_cap) * ROUND((TblConstr[[#This Row],[Land]]-250)*0.285 + 87.5 + 0/4.25,0),0)</calculatedColumnFormula>
    </tableColumn>
    <tableColumn id="42" xr3:uid="{F294E6A7-F74E-45B4-8F73-041334C1C989}" name="Total Plat Cost" dataDxfId="630" totalsRowDxfId="629">
      <calculatedColumnFormula>TblConstr[[#This Row],[build -db]]*TblConstr[[#This Row],[CPA Platinum -DB]] + TblConstr[[#This Row],[build db]]*TblConstr[[#This Row],[CPA Platinum DB]]</calculatedColumnFormula>
    </tableColumn>
    <tableColumn id="43" xr3:uid="{F2E3CBCF-A243-4043-87E8-17546293A159}" name="Total Lum Cost" dataDxfId="628" totalsRowDxfId="627">
      <calculatedColumnFormula>TblConstr[[#This Row],[build -db]]*TblConstr[[#This Row],[CPA Lumber -DB]] + TblConstr[[#This Row],[build db]]*TblConstr[[#This Row],[CPA Lumber DB]]</calculatedColumnFormula>
    </tableColumn>
    <tableColumn id="44" xr3:uid="{119F0A26-AFE5-4C99-86DF-E2019D697B1F}" name="build -db" dataDxfId="626" totalsRowDxfId="625">
      <calculatedColumnFormula>MIN(SUM(OFFSET(TblConstr[[#This Row],[Plain]:[Water]],-1,0))+SUM(TblConstr[[#This Row],[Dest Hom]:[Dest Doc]]),SUM(TblConstr[[#This Row],[Hom]:[Doc]]))+IF(TblConstr[[#This Row],[Hour]]&gt;12,SUM(OFFSET(TblExplore[[#This Row],[Plains Explore]:[Water Explore]],-12,0)),0)</calculatedColumnFormula>
    </tableColumn>
    <tableColumn id="45" xr3:uid="{4A4EAED8-2A48-4ED0-B832-F67B23146FAB}" name="build db" dataDxfId="624" totalsRowDxfId="623">
      <calculatedColumnFormula array="1">IF(TblExplore[[#This Row],[Land Bonus]]&lt;&gt;0,MAX(0, MIN(20, 20 + SUM(TblConstr[[#This Row],[Hom]:[Doc]]) - SUM(TblConstr[[#This Row],[Dest Hom]:[Dest Doc]]) - SUM(OFFSET(TblConstr[[#This Row],[Plain]:[Water]],-1,0)) - IF(TblConstr[[#This Row],[Hour]]&gt;12,OFFSET(TblExplore[[#This Row],[Plains Explore]:[Water Explore]],-12,0),0) - 20*TblExplore[[#This Row],[Land Bonus]])),0)</calculatedColumnFormula>
    </tableColumn>
    <tableColumn id="46" xr3:uid="{F9B72EAE-CD3E-4BEA-BE07-568D5F8A4D62}" name=".." dataDxfId="622" totalsRowDxfId="621"/>
    <tableColumn id="47" xr3:uid="{2AB27BA8-C2B6-44FC-89D1-B8C469C03A31}" name="RCPA Platinum " dataDxfId="620" totalsRowDxfId="619">
      <calculatedColumnFormula>ROUND((TblConstr[[#This Row],[Land]]-250 - IF(TblExplore[[#This Row],[Land Bonus]]&lt;&gt;0,20,0))*1.25 + 850 + 0,0)</calculatedColumnFormula>
    </tableColumn>
    <tableColumn id="48" xr3:uid="{745E4D31-3689-4F62-A15B-2D5399E746CA}" name="RCPA Lumber" dataDxfId="618">
      <calculatedColumnFormula>ROUND((TblConstr[[#This Row],[Land]]-250 - IF(TblExplore[[#This Row],[Land Bonus]]&lt;&gt;0,20,0))*0.285 + 87.5 + 0/4.25,0)</calculatedColumnFormula>
    </tableColumn>
    <tableColumn id="49" xr3:uid="{619C112A-EE5A-4710-AF52-5843FF4DB054}" name="…" dataDxfId="617" totalsRowDxfId="616"/>
    <tableColumn id="50" xr3:uid="{F2846ED2-FD2C-4B82-8D89-DEC4D6C89C45}" name="Tot Hom" dataDxfId="615" totalsRowDxfId="614">
      <calculatedColumnFormula array="1">IF(TblConstr[[#This Row],[Hour]:[Hour]]&gt;12,OFFSET(TblConstr[[#This Row],[Hom]],-12,0),0)+OFFSET(TblConstr[[#This Row],[Tot Hom]],-1,0)-TblConstr[[#This Row],[Dest Hom]]</calculatedColumnFormula>
    </tableColumn>
    <tableColumn id="51" xr3:uid="{3A820279-E5AD-460C-8EA2-56927C664532}" name="Tot Alc" dataDxfId="613" totalsRowDxfId="612">
      <calculatedColumnFormula array="1">IF(TblConstr[[#This Row],[Hour]:[Hour]]&gt;12,OFFSET(TblConstr[[#This Row],[Alc]],-12,0),0)+OFFSET(TblConstr[[#This Row],[Tot Alc]],-1,0)-TblConstr[[#This Row],[Dest Alc]]</calculatedColumnFormula>
    </tableColumn>
    <tableColumn id="52" xr3:uid="{2F201F1F-E604-470C-A21C-EF43882A5460}" name="Tot Farm" dataDxfId="611" totalsRowDxfId="610">
      <calculatedColumnFormula array="1">IF(TblConstr[[#This Row],[Hour]:[Hour]]&gt;12,OFFSET(TblConstr[[#This Row],[Far]],-12,0),0)+OFFSET(TblConstr[[#This Row],[Tot Farm]],-1,0)-TblConstr[[#This Row],[Dest Farm]]</calculatedColumnFormula>
    </tableColumn>
    <tableColumn id="53" xr3:uid="{CF25F1ED-4CEE-4702-9FD7-472555CAE1E7}" name="Tot Smi" dataDxfId="609" totalsRowDxfId="608">
      <calculatedColumnFormula array="1">IF(TblConstr[[#This Row],[Hour]:[Hour]]&gt;12,OFFSET(TblConstr[[#This Row],[Smi]],-12,0),0)+OFFSET(TblConstr[[#This Row],[Tot Smi]],-1,0)-TblConstr[[#This Row],[Dest Smi]]</calculatedColumnFormula>
    </tableColumn>
    <tableColumn id="54" xr3:uid="{AA2380E5-3483-49DB-91B7-F7447D6C17A7}" name="Tot Mas" dataDxfId="607" totalsRowDxfId="606">
      <calculatedColumnFormula array="1">IF(TblConstr[[#This Row],[Hour]:[Hour]]&gt;12,OFFSET(TblConstr[[#This Row],[Mas]],-12,0),0)+OFFSET(TblConstr[[#This Row],[Tot Mas]],-1,0)-TblConstr[[#This Row],[Dest Mas]]</calculatedColumnFormula>
    </tableColumn>
    <tableColumn id="55" xr3:uid="{9983477D-EC22-4053-88C9-D53436C89351}" name="Tot Ly" dataDxfId="605" totalsRowDxfId="604">
      <calculatedColumnFormula array="1">IF(TblConstr[[#This Row],[Hour]:[Hour]]&gt;12,OFFSET(TblConstr[[#This Row],[Ly]],-12,0),0)+OFFSET(TblConstr[[#This Row],[Tot Ly]],-1,0)-TblConstr[[#This Row],[Dest Ly]]</calculatedColumnFormula>
    </tableColumn>
    <tableColumn id="56" xr3:uid="{0A8A610F-D674-4772-9EB7-EC610164DF60}" name="Tot Hav" dataDxfId="603" totalsRowDxfId="602">
      <calculatedColumnFormula array="1">IF(TblConstr[[#This Row],[Hour]:[Hour]]&gt;12,OFFSET(TblConstr[[#This Row],[Hav]],-12,0),0)+OFFSET(TblConstr[[#This Row],[Tot Hav]],-1,0)-TblConstr[[#This Row],[Dest Hav]]</calculatedColumnFormula>
    </tableColumn>
    <tableColumn id="57" xr3:uid="{40570349-3AA5-42B4-9820-CC736C2D1B3D}" name="Tot OM" dataDxfId="601" totalsRowDxfId="600">
      <calculatedColumnFormula array="1">IF(TblConstr[[#This Row],[Hour]:[Hour]]&gt;12,OFFSET(TblConstr[[#This Row],[OM]],-12,0),0)+OFFSET(TblConstr[[#This Row],[Tot OM]],-1,0)-TblConstr[[#This Row],[Dest OM]]</calculatedColumnFormula>
    </tableColumn>
    <tableColumn id="58" xr3:uid="{D7C1895E-C93F-4CEE-BB20-88F13C3DA864}" name="Tot GN" dataDxfId="599" totalsRowDxfId="598">
      <calculatedColumnFormula array="1">IF(TblConstr[[#This Row],[Hour]:[Hour]]&gt;12,OFFSET(TblConstr[[#This Row],[GN]],-12,0),0)+OFFSET(TblConstr[[#This Row],[Tot GN]],-1,0)-TblConstr[[#This Row],[Dest GN]]</calculatedColumnFormula>
    </tableColumn>
    <tableColumn id="59" xr3:uid="{6C106580-CB33-4C2F-8B4D-856AC68AA85B}" name="Tot Fac" dataDxfId="597" totalsRowDxfId="596">
      <calculatedColumnFormula array="1">IF(TblConstr[[#This Row],[Hour]:[Hour]]&gt;12,OFFSET(TblConstr[[#This Row],[Fac]],-12,0),0)+OFFSET(TblConstr[[#This Row],[Tot Fac]],-1,0)-TblConstr[[#This Row],[Dest Fac]]</calculatedColumnFormula>
    </tableColumn>
    <tableColumn id="60" xr3:uid="{D3A39C76-EE6D-4C40-B64E-12EE496ACF75}" name="Tot GT" dataDxfId="595" totalsRowDxfId="594">
      <calculatedColumnFormula array="1">IF(TblConstr[[#This Row],[Hour]:[Hour]]&gt;12,OFFSET(TblConstr[[#This Row],[GT]],-12,0),0)+OFFSET(TblConstr[[#This Row],[Tot GT]],-1,0)-TblConstr[[#This Row],[Dest GT]]</calculatedColumnFormula>
    </tableColumn>
    <tableColumn id="61" xr3:uid="{3C88629E-DBB8-4626-8826-42DE21B8CCF3}" name="Tot Bar" dataDxfId="593" totalsRowDxfId="592">
      <calculatedColumnFormula array="1">IF(TblConstr[[#This Row],[Hour]:[Hour]]&gt;12,OFFSET(TblConstr[[#This Row],[Bar]],-12,0),0)+OFFSET(TblConstr[[#This Row],[Tot Bar]],-1,0)-TblConstr[[#This Row],[Dest Bar]]</calculatedColumnFormula>
    </tableColumn>
    <tableColumn id="62" xr3:uid="{9B339DEA-0599-4758-9D02-2BCE3EA7ACC3}" name="Tot Shr" dataDxfId="591" totalsRowDxfId="590">
      <calculatedColumnFormula array="1">IF(TblConstr[[#This Row],[Hour]:[Hour]]&gt;12,OFFSET(TblConstr[[#This Row],[Shr]],-12,0),0)+OFFSET(TblConstr[[#This Row],[Tot Shr]],-1,0)-TblConstr[[#This Row],[Dest Shr]]</calculatedColumnFormula>
    </tableColumn>
    <tableColumn id="63" xr3:uid="{BC8AAD30-881D-4FF0-9567-7FF1D9791913}" name="Tot Tow" dataDxfId="589" totalsRowDxfId="588">
      <calculatedColumnFormula array="1">IF(TblConstr[[#This Row],[Hour]:[Hour]]&gt;12,OFFSET(TblConstr[[#This Row],[Tow]],-12,0),0)+OFFSET(TblConstr[[#This Row],[Tot Tow]],-1,0)-TblConstr[[#This Row],[Dest Tow]]</calculatedColumnFormula>
    </tableColumn>
    <tableColumn id="64" xr3:uid="{59A3F80D-5052-4FDF-AF65-62DB182FD6A6}" name="Tot Tem" dataDxfId="587" totalsRowDxfId="586">
      <calculatedColumnFormula array="1">IF(TblConstr[[#This Row],[Hour]:[Hour]]&gt;12,OFFSET(TblConstr[[#This Row],[Tem]],-12,0),0)+OFFSET(TblConstr[[#This Row],[Tot Tem]],-1,0)-TblConstr[[#This Row],[Dest Tem]]</calculatedColumnFormula>
    </tableColumn>
    <tableColumn id="65" xr3:uid="{00A352BB-E75B-4E3F-AC3D-1D0DC0813148}" name="Tot WG" dataDxfId="585" totalsRowDxfId="584">
      <calculatedColumnFormula array="1">IF(TblConstr[[#This Row],[Hour]:[Hour]]&gt;12,OFFSET(TblConstr[[#This Row],[WG]],-12,0),0)+OFFSET(TblConstr[[#This Row],[Tot WG]],-1,0)-TblConstr[[#This Row],[Dest WG]]</calculatedColumnFormula>
    </tableColumn>
    <tableColumn id="66" xr3:uid="{AC79E3B7-8BF6-4AEF-AACC-9BCCADEEE9EC}" name="Tot DM" dataDxfId="583" totalsRowDxfId="582">
      <calculatedColumnFormula array="1">IF(TblConstr[[#This Row],[Hour]:[Hour]]&gt;12,OFFSET(TblConstr[[#This Row],[DM]],-12,0),0)+OFFSET(TblConstr[[#This Row],[Tot DM]],-1,0)-TblConstr[[#This Row],[Dest DM]]</calculatedColumnFormula>
    </tableColumn>
    <tableColumn id="67" xr3:uid="{0CFFF054-0F8D-4B14-9366-77ABD3382DE4}" name="Tot Sch" dataDxfId="581" totalsRowDxfId="580">
      <calculatedColumnFormula array="1">IF(TblConstr[[#This Row],[Hour]:[Hour]]&gt;12,OFFSET(TblConstr[[#This Row],[Sch]],-12,0),0)+OFFSET(TblConstr[[#This Row],[Tot Sch]],-1,0)-TblConstr[[#This Row],[Dest Sch]]</calculatedColumnFormula>
    </tableColumn>
    <tableColumn id="68" xr3:uid="{EEBD7864-CCF1-4E52-A4D7-93474D156483}" name="Tot Doc" dataDxfId="579" totalsRowDxfId="578">
      <calculatedColumnFormula array="1">IF(TblConstr[[#This Row],[Hour]:[Hour]]&gt;12,OFFSET(TblConstr[[#This Row],[Doc]],-12,0),0)+OFFSET(TblConstr[[#This Row],[Tot Doc]],-1,0)-TblConstr[[#This Row],[Dest Doc]]</calculatedColumnFormula>
    </tableColumn>
    <tableColumn id="69" xr3:uid="{9CB7D1EC-8231-4E29-AF89-78480EAACCBE}" name="…." dataDxfId="577" totalsRowDxfId="576"/>
    <tableColumn id="70" xr3:uid="{8AB60EC6-2503-4C64-93B5-EF0A15817646}" name="….." dataDxfId="575" totalsRowDxfId="574"/>
    <tableColumn id="71" xr3:uid="{E322C618-2AF7-4E39-8C00-05DB78D1E3E1}" name="Land (2)" dataDxfId="573" totalsRowDxfId="572">
      <calculatedColumnFormula>TblConstr[[#This Row],[Land]]</calculatedColumnFormula>
    </tableColumn>
    <tableColumn id="72" xr3:uid="{03634B5C-154E-4AC8-80E1-BA13BC9D96CD}" name="Time (2)" dataDxfId="571" totalsRowDxfId="570">
      <calculatedColumnFormula>TblImps[[#This Row],[Time]]</calculatedColumnFormula>
    </tableColumn>
    <tableColumn id="73" xr3:uid="{B2BF9056-6EBE-4C01-A8BD-B72B49E563E4}" name="…..." dataDxfId="569" totalsRowDxfId="568"/>
    <tableColumn id="74" xr3:uid="{E1DF0DF3-108E-4B1D-AD0D-B0438E0119B4}" name="Dest Hom" dataDxfId="567" totalsRowDxfId="566"/>
    <tableColumn id="75" xr3:uid="{E9A56C16-CD83-4CF4-801D-3F07F7F4410E}" name="Dest Alc" dataDxfId="565" totalsRowDxfId="564"/>
    <tableColumn id="76" xr3:uid="{83CFBDA2-FADE-4B08-B33E-9C2E9F9BF768}" name="Dest Farm" dataDxfId="563" totalsRowDxfId="562"/>
    <tableColumn id="77" xr3:uid="{19187257-0444-44F4-9D3D-6D0323F40019}" name="Dest Smi" dataDxfId="561" totalsRowDxfId="560"/>
    <tableColumn id="78" xr3:uid="{868AFE18-6FA1-48AB-ABF5-2F2AEFE5F988}" name="Dest Mas" dataDxfId="559" totalsRowDxfId="558"/>
    <tableColumn id="79" xr3:uid="{177B6B53-2F11-4209-8387-13A45749227F}" name="Dest Ly" dataDxfId="557" totalsRowDxfId="556"/>
    <tableColumn id="80" xr3:uid="{7546C506-76A9-4C40-A0E7-9A9D9E5AABE5}" name="Dest Hav" dataDxfId="555" totalsRowDxfId="554"/>
    <tableColumn id="81" xr3:uid="{ADDB86A6-E781-4DBE-8117-6F690916DDFA}" name="Dest OM" dataDxfId="553" totalsRowDxfId="552"/>
    <tableColumn id="82" xr3:uid="{B9BF98EC-18BF-465D-9531-8B38D89E91A0}" name="Dest GN" dataDxfId="551" totalsRowDxfId="550"/>
    <tableColumn id="83" xr3:uid="{E7A6D253-F3B2-42C8-99DD-B144C58FC0C5}" name="Dest Fac" dataDxfId="549" totalsRowDxfId="548"/>
    <tableColumn id="84" xr3:uid="{17104BBD-FC27-4D10-B29C-0273D3241FF4}" name="Dest GT" dataDxfId="547" totalsRowDxfId="546"/>
    <tableColumn id="85" xr3:uid="{99559D62-4D78-440A-98FE-DEBB129B435F}" name="Dest Bar" dataDxfId="545" totalsRowDxfId="544"/>
    <tableColumn id="86" xr3:uid="{9B2EEB8C-2FE8-47EE-A3E2-DC10DB45C7AB}" name="Dest Shr" dataDxfId="543" totalsRowDxfId="542"/>
    <tableColumn id="87" xr3:uid="{514D2AAA-E6E3-475E-9F65-8C732A78896D}" name="Dest Tow" dataDxfId="541" totalsRowDxfId="540"/>
    <tableColumn id="88" xr3:uid="{FAB7F148-62FD-4A01-9E52-E72AB5D98A80}" name="Dest Tem" dataDxfId="539" totalsRowDxfId="538"/>
    <tableColumn id="89" xr3:uid="{51F0AAF8-EA25-41BB-8274-29128D8E9309}" name="Dest WG" dataDxfId="537" totalsRowDxfId="536"/>
    <tableColumn id="90" xr3:uid="{B5DD0E4A-F9DA-46DF-AC1D-4C082F96D4FD}" name="Dest DM" dataDxfId="535" totalsRowDxfId="534"/>
    <tableColumn id="91" xr3:uid="{8374E536-FAFB-4695-B2E9-40E6A61A9D8E}" name="Dest Sch" dataDxfId="533" totalsRowDxfId="532"/>
    <tableColumn id="92" xr3:uid="{AB6E075B-E076-40E6-B2ED-7DBD5C2545B9}" name="Dest Doc" dataDxfId="531" totalsRowDxfId="530"/>
    <tableColumn id="93" xr3:uid="{A4B6EEF5-D4D4-4B9E-B020-F892CB1DC5F1}" name="…...." dataDxfId="529" totalsRowDxfId="528"/>
    <tableColumn id="94" xr3:uid="{A8785F66-A063-4182-BB5F-F2E489C44B8C}" name="Ch_Plain" dataDxfId="527" totalsRowDxfId="526">
      <calculatedColumnFormula>-SUM(TblConstr[[#This Row],[Alc]:[Mas]])+SUM(TblConstr[[#This Row],[Dest Alc]:[Dest Mas]])+Rezone!L4+IF("Ch_"&amp; home_land=TblConstr[[#Headers],[Ch_Plain]],TblConstr[[#This Row],[Home Land]])+IF(TblConstr[[#This Row],[Hour]:[Hour]]&gt;12,OFFSET(TblExplore[[#This Row],[Plains Explore]],-12,0),0)</calculatedColumnFormula>
    </tableColumn>
    <tableColumn id="95" xr3:uid="{D3DA44F3-9C87-49C7-9F15-0171414F5724}" name="Ch_Forest" dataDxfId="525" totalsRowDxfId="524">
      <calculatedColumnFormula>-SUM(TblConstr[[#This Row],[Ly]:[Hav]])+SUM(TblConstr[[#This Row],[Dest Ly]:[Dest Hav]]) +Rezone!M4 + IF("Ch_"&amp; home_land=TblConstr[[#Headers],[Ch_Forest]],TblConstr[[#This Row],[Home Land]])+IF(TblConstr[[#This Row],[Hour]:[Hour]]&gt;12,OFFSET(TblExplore[[#This Row],[Forest Explore]],-12,0),0)</calculatedColumnFormula>
    </tableColumn>
    <tableColumn id="96" xr3:uid="{44163DDD-173C-414D-91A4-FC0E94AF77E3}" name="Ch_Mountain" dataDxfId="523" totalsRowDxfId="522">
      <calculatedColumnFormula>-SUM(TblConstr[[#This Row],[OM]:[GN]])+SUM(TblConstr[[#This Row],[Dest OM]:[Dest GN]]) +Rezone!N4 + IF("Ch_"&amp; home_land=TblConstr[[#Headers],[Ch_Mountain]],TblConstr[[#This Row],[Home Land]])+IF(TblConstr[[#This Row],[Hour]:[Hour]]&gt;12,OFFSET(TblExplore[[#This Row],[Mountain Explore]],-12,0),0)</calculatedColumnFormula>
    </tableColumn>
    <tableColumn id="97" xr3:uid="{1FCB5AFB-EF88-41C4-8E41-E4D77A23F5B7}" name="Ch_Hill" dataDxfId="521" totalsRowDxfId="520">
      <calculatedColumnFormula>-SUM(TblConstr[[#This Row],[Fac]:[Shr]])+SUM(TblConstr[[#This Row],[Dest Fac]:[Dest Shr]]) +Rezone!O4 + IF("Ch_" &amp; home_land=TblConstr[[#Headers],[Ch_Hill]],TblConstr[[#This Row],[Home Land]])+IF(TblConstr[[#This Row],[Hour]:[Hour]]&gt;12,OFFSET(TblExplore[[#This Row],[Hill Explore]],-12,0),0)</calculatedColumnFormula>
    </tableColumn>
    <tableColumn id="98" xr3:uid="{8F20AB7E-66A2-456E-A2FB-3E8906C2CC0F}" name="Ch_Swamp" dataDxfId="519" totalsRowDxfId="518">
      <calculatedColumnFormula>-SUM(TblConstr[[#This Row],[Tow]:[WG]])+SUM(TblConstr[[#This Row],[Dest Tow]:[Dest WG]]) +Rezone!P4 + IF("Ch_" &amp; home_land=TblConstr[[#Headers],[Ch_Swamp]],TblConstr[[#This Row],[Home Land]])+IF(TblConstr[[#This Row],[Hour]:[Hour]]&gt;12,OFFSET(TblExplore[[#This Row],[Swamp Explore]],-12,0),0)</calculatedColumnFormula>
    </tableColumn>
    <tableColumn id="99" xr3:uid="{6C0F3A7A-165F-474D-B233-76DCFC1BE116}" name="Ch_Cavern" dataDxfId="517" totalsRowDxfId="516">
      <calculatedColumnFormula xml:space="preserve"> - SUM(TblConstr[[#This Row],[DM]:[Sch]])+SUM(TblConstr[[#This Row],[Dest DM]:[Dest Sch]]) +Rezone!Q4 + IF("Ch_" &amp; home_land=TblConstr[[#Headers],[Ch_Cavern]],TblConstr[[#This Row],[Home Land]])+IF(TblConstr[[#This Row],[Hour]:[Hour]]&gt;12,OFFSET(TblExplore[[#This Row],[Cavern Explore]],-12,0),0)</calculatedColumnFormula>
    </tableColumn>
    <tableColumn id="100" xr3:uid="{851A14ED-571F-48D8-BBE9-52EA8664F1C7}" name="Ch_Water" dataDxfId="515" totalsRowDxfId="514">
      <calculatedColumnFormula>-TblConstr[[#This Row],[Doc]]+TblConstr[[#This Row],[Dest Doc]] +Rezone!R4 + IF("Ch_" &amp; home_land=TblConstr[[#Headers],[Ch_Water]],TblConstr[[#This Row],[Home Land]])+IF(TblConstr[[#This Row],[Hour]:[Hour]]&gt;12,OFFSET(TblExplore[[#This Row],[Water Explore]],-12,0),0)</calculatedColumnFormula>
    </tableColumn>
    <tableColumn id="101" xr3:uid="{DD4288A0-A5FB-41A1-B52C-CD7C20CA8AEF}" name="Home Land" dataDxfId="513" totalsRowDxfId="512">
      <calculatedColumnFormula>IF(Explore!S4=1,20) - TblConstr[[#This Row],[Hom]] + TblConstr[[#This Row],[Dest Hom]]</calculatedColumnFormula>
    </tableColumn>
    <tableColumn id="102" xr3:uid="{A18B5339-7B5E-4FF1-B44C-54D91E2619B1}" name="…....." dataDxfId="511" totalsRowDxfId="510"/>
    <tableColumn id="103" xr3:uid="{4E3EEDB6-D8CB-4DA1-AC9F-29019C9A6FFC}" name="Total Plain" dataDxfId="509" totalsRowDxfId="508"/>
    <tableColumn id="104" xr3:uid="{669C7BA0-B3F2-47DA-B10D-81C2466FF6F3}" name="Total Forest" dataDxfId="507" totalsRowDxfId="506"/>
    <tableColumn id="105" xr3:uid="{B6EE778A-6E52-44FF-8691-B86F1650C2C2}" name="Total Mountain" dataDxfId="505" totalsRowDxfId="504"/>
    <tableColumn id="106" xr3:uid="{5FF89BD6-7921-4110-AD96-EA8B54555F1C}" name="Total Hill" dataDxfId="503" totalsRowDxfId="502"/>
    <tableColumn id="107" xr3:uid="{F920559E-5C73-4899-BC53-A9BA9E7DFC0C}" name="Total Swamp" dataDxfId="501" totalsRowDxfId="500"/>
    <tableColumn id="108" xr3:uid="{6462BCCF-F375-4DEC-B000-637E1187AA5E}" name="Total Cavern" dataDxfId="499" totalsRowDxfId="498"/>
    <tableColumn id="109" xr3:uid="{D966B8E0-E2CD-4374-AF05-B86C330B3BD4}" name="Total Water" dataDxfId="497" totalsRowDxfId="496"/>
    <tableColumn id="110" xr3:uid="{170A4E12-F563-448F-8964-EB5CA71BA3AF}" name="Homeland" dataDxfId="495" totalsRowDxfId="494">
      <calculatedColumnFormula array="1">INDEX(TblConstr[[Total Plain]:[Total Water]],ROW()-ROW(TblConstr[#Headers]),MATCH("Total "&amp;home_land,TblConstr[[#Headers],[Total Plain]:[Total Water]],0))+TblConstr[[#This Row],[Homes]]</calculatedColumnFormula>
    </tableColumn>
    <tableColumn id="111" xr3:uid="{A6441D75-BFB7-4A73-94B8-8EABD8D83B02}" name="Homes" dataDxfId="493" totalsRowDxfId="492"/>
    <tableColumn id="114" xr3:uid="{EDC1B5E1-1E93-4946-BEC7-453EF5B18C9F}" name="Farms" dataDxfId="491" totalsRowDxfId="490">
      <calculatedColumnFormula>MAX(BA4-BA3,0)</calculatedColumnFormula>
    </tableColumn>
    <tableColumn id="115" xr3:uid="{1D02A65C-E8F6-4B66-A5EB-3699A9BE61C5}" name="Docks" totalsRowFunction="sum" dataDxfId="489" totalsRowDxfId="488">
      <calculatedColumnFormula>MAX(BQ4-BQ3,0)</calculatedColumnFormula>
    </tableColumn>
  </tableColumns>
  <tableStyleInfo name="TableStyleLight1 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FCCD6C4-0E49-4CD5-90E7-5006C68B0B3D}" name="TblExplore" displayName="TblExplore" ref="A3:AJ136" totalsRowShown="0" headerRowDxfId="473" dataDxfId="472" tableBorderDxfId="471">
  <autoFilter ref="A3:AJ136" xr:uid="{EE8038B4-6955-4CC7-8C9F-9C5845B1AF4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xr3:uid="{1D0CA93B-5D42-4D81-AE23-929DF8969DFB}" name="Hour" dataDxfId="470">
      <calculatedColumnFormula>TblRezone[[#This Row],[Hour]]</calculatedColumnFormula>
    </tableColumn>
    <tableColumn id="2" xr3:uid="{DFB120B6-BC70-4091-A005-99D4961CB538}" name="Land" dataDxfId="469">
      <calculatedColumnFormula>TblConstr[[#This Row],[Land]]</calculatedColumnFormula>
    </tableColumn>
    <tableColumn id="3" xr3:uid="{05C32193-1764-4A8E-B877-789E51BD1927}" name="." dataDxfId="468"/>
    <tableColumn id="4" xr3:uid="{2DBA3229-29BD-4F1F-B6CD-9E822C9071D7}" name="Plains" dataDxfId="467">
      <calculatedColumnFormula>TblConstr[[#This Row],[Plain]]</calculatedColumnFormula>
    </tableColumn>
    <tableColumn id="5" xr3:uid="{3D1FE633-D61E-4157-92AE-5E68F0C48770}" name="Forest" dataDxfId="466">
      <calculatedColumnFormula>TblConstr[[#This Row],[Forest]]</calculatedColumnFormula>
    </tableColumn>
    <tableColumn id="6" xr3:uid="{D9ABEDC6-9211-428A-B587-3CA9C3BF9744}" name="Mountn" dataDxfId="465">
      <calculatedColumnFormula>TblConstr[[#This Row],[Mountain]]</calculatedColumnFormula>
    </tableColumn>
    <tableColumn id="7" xr3:uid="{190BAA64-9D9E-4080-878D-BF035387620E}" name="Hills" dataDxfId="464">
      <calculatedColumnFormula>TblConstr[[#This Row],[Hill]]</calculatedColumnFormula>
    </tableColumn>
    <tableColumn id="8" xr3:uid="{812744CE-DEB7-4A8A-8374-CD5852E8C168}" name="Swamp" dataDxfId="463">
      <calculatedColumnFormula>TblConstr[[#This Row],[Swamp]]</calculatedColumnFormula>
    </tableColumn>
    <tableColumn id="9" xr3:uid="{96D79F63-015A-4655-975B-A1C99185A034}" name="Caverns" dataDxfId="462">
      <calculatedColumnFormula>TblConstr[[#This Row],[Cavern]]</calculatedColumnFormula>
    </tableColumn>
    <tableColumn id="10" xr3:uid="{607DA3E5-8D4A-44F4-A35C-DDAF32BE627C}" name="Water" dataDxfId="461">
      <calculatedColumnFormula>TblConstr[[#This Row],[Water]]</calculatedColumnFormula>
    </tableColumn>
    <tableColumn id="11" xr3:uid="{12EC2AC2-5FD3-4D82-8C37-DB70DCC56DC2}" name="Column2" dataDxfId="460"/>
    <tableColumn id="12" xr3:uid="{B171FE82-C8DE-44A1-89CE-409ED8DDD9D4}" name="Column3" dataDxfId="459"/>
    <tableColumn id="13" xr3:uid="{8C0085EE-E99F-4C98-9D66-144A50E3623C}" name="Column4" dataDxfId="458"/>
    <tableColumn id="14" xr3:uid="{5686D8FB-FF86-4148-AF9E-C03A97A84AF3}" name="Smithies" dataDxfId="457" dataCellStyle="Percent">
      <calculatedColumnFormula>TblMili[[#This Row],[Smithies]]</calculatedColumnFormula>
    </tableColumn>
    <tableColumn id="15" xr3:uid="{A0DC0A41-1987-4EE6-99BA-624DB6ACB9BF}" name="Employm." dataDxfId="456" dataCellStyle="Percent">
      <calculatedColumnFormula>TblPop[[#This Row],[Employment]]</calculatedColumnFormula>
    </tableColumn>
    <tableColumn id="16" xr3:uid="{7B85DEA6-C72D-4EAB-B18F-155B3A80E27B}" name="Popul." dataDxfId="455" dataCellStyle="Percent">
      <calculatedColumnFormula>TblImps[[#This Row],[Population]]</calculatedColumnFormula>
    </tableColumn>
    <tableColumn id="17" xr3:uid="{0BE33934-A790-4489-A3A2-E553E3C4AAEE}" name="Land (2)" dataDxfId="454">
      <calculatedColumnFormula>TblExplore[[#This Row],[Land]]</calculatedColumnFormula>
    </tableColumn>
    <tableColumn id="18" xr3:uid="{1EE849E8-6296-4479-BDA2-30E4622212E0}" name="Hour (2)" dataDxfId="453">
      <calculatedColumnFormula>TblExplore[[#This Row],[Hour]]</calculatedColumnFormula>
    </tableColumn>
    <tableColumn id="19" xr3:uid="{802EC67C-58E0-4E2B-9471-52B76B3F516A}" name="Land Bonus" dataDxfId="452"/>
    <tableColumn id="20" xr3:uid="{B1DC4E54-695A-4FE1-A303-67B047732E38}" name="Plains Explore" dataDxfId="451"/>
    <tableColumn id="21" xr3:uid="{28A63039-E9F4-4C91-BC61-38AFA90CBBA3}" name="Forest Explore" dataDxfId="450"/>
    <tableColumn id="22" xr3:uid="{52A3F218-67B7-4353-9DCD-90E402F80D3A}" name="Mountain Explore" dataDxfId="449"/>
    <tableColumn id="23" xr3:uid="{CADD78BB-1A84-4EF1-B568-74D7A7333BED}" name="Hill Explore" dataDxfId="448"/>
    <tableColumn id="24" xr3:uid="{86B12DCD-5E50-4631-800C-3D06D0C8407F}" name="Swamp Explore" dataDxfId="447"/>
    <tableColumn id="25" xr3:uid="{41A3F8D1-C19F-4B01-A125-BD6C5BE75F1D}" name="Cavern Explore" dataDxfId="446"/>
    <tableColumn id="26" xr3:uid="{DD83E77E-8C71-44A7-BF29-B8595544CC0D}" name="Water Explore" dataDxfId="445"/>
    <tableColumn id="27" xr3:uid="{6F68BDB2-663F-44CE-A108-1184CFBBBFB9}" name="Time" dataDxfId="444">
      <calculatedColumnFormula>TblImps[[#This Row],[Real time]]</calculatedColumnFormula>
    </tableColumn>
    <tableColumn id="28" xr3:uid="{0FBA88C1-4190-4A95-897B-20B88A072234}" name="Draftees" dataDxfId="443">
      <calculatedColumnFormula>TblMili[[#This Row],[Draftees]]</calculatedColumnFormula>
    </tableColumn>
    <tableColumn id="29" xr3:uid="{4EFD1992-02FD-4356-A327-EBEED01908DD}" name="Platinum" dataDxfId="442">
      <calculatedColumnFormula>TblProd[[#This Row],[Platinum]]</calculatedColumnFormula>
    </tableColumn>
    <tableColumn id="30" xr3:uid="{3D9A7B33-B273-4A01-8F7D-822B1BEB344B}" name=".." dataDxfId="441"/>
    <tableColumn id="31" xr3:uid="{EDB0F070-B31D-4B00-90A6-0A190E3CA80B}" name="Land-DB" dataDxfId="440">
      <calculatedColumnFormula>TblExplore[[#This Row],[Land]]-TblExplore[[#This Row],[Land Bonus]]*20</calculatedColumnFormula>
    </tableColumn>
    <tableColumn id="32" xr3:uid="{B94D1074-50E9-44F1-8957-6BE450DE4BF0}" name="Plat/acre" dataDxfId="0">
      <calculatedColumnFormula>ROUND((0.6*TblExplore[[#This Row],[Land-DB]]^1.299 + IF(TblExplore[[#This Row],[Land-DB]]&lt;1520, (-0.001*(TblExplore[[#This Row],[Land-DB]]^2)+1.91*TblExplore[[#This Row],[Land-DB]]-593), 0))*(1+ tech_2_6*Techs!AC4 + tech_2_9*Techs!AF4 + tech_3_7*Techs!AN4 + Overview!$I$33),0)</calculatedColumnFormula>
    </tableColumn>
    <tableColumn id="33" xr3:uid="{F0CBDA56-E75F-4156-B9BD-681857934D22}" name="Draftees/acre" dataDxfId="439">
      <calculatedColumnFormula>_xlfn.FLOOR.MATH(TblExplore[[#This Row],[Land-DB]]/150)+3+tech_2_9_2*TblTech[[#This Row],[2-9]]+tech_3_7_2*TblTech[[#This Row],[3-7]]</calculatedColumnFormula>
    </tableColumn>
    <tableColumn id="34" xr3:uid="{FCB11E8B-2CF1-408C-B51A-7901C753C76F}" name="Platinum (2)" dataDxfId="438">
      <calculatedColumnFormula>SUM(TblExplore[[#This Row],[Plains Explore]:[Water Explore]])*TblExplore[[#This Row],[Plat/acre]]</calculatedColumnFormula>
    </tableColumn>
    <tableColumn id="35" xr3:uid="{61575F8F-5343-43C9-858D-AF8501368779}" name="Draftees (2)" dataDxfId="437">
      <calculatedColumnFormula>SUM(TblExplore[[#This Row],[Plains Explore]:[Water Explore]])*TblExplore[[#This Row],[Draftees/acre]]</calculatedColumnFormula>
    </tableColumn>
    <tableColumn id="36" xr3:uid="{BD4C2C0C-7F81-4BE8-9828-9CFCFFAFF394}" name="Max Explore" dataDxfId="436">
      <calculatedColumnFormula>_xlfn.FLOOR.MATH(MIN(TblExplore[[#This Row],[Platinum]]/TblExplore[[#This Row],[Plat/acre]],TblExplore[[#This Row],[Draftees]]/TblExplore[[#This Row],[Draftees/acre]]))</calculatedColumnFormula>
    </tableColumn>
  </tableColumns>
  <tableStyleInfo name="TableStyleLight1 4"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B805F2F9-9A0A-41C3-BFF9-46F20893E7CC}" name="TblRezone" displayName="TblRezone" ref="A3:AC136" totalsRowShown="0" headerRowDxfId="426" dataDxfId="425" tableBorderDxfId="424">
  <autoFilter ref="A3:AC136" xr:uid="{6A99B324-7DAF-49DD-A258-6F503B36F53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autoFilter>
  <tableColumns count="29">
    <tableColumn id="1" xr3:uid="{F0C644E2-6F7E-4339-8CAB-91042E2EFF04}" name="Land" dataDxfId="423">
      <calculatedColumnFormula>TblConstr[[#This Row],[Land]]</calculatedColumnFormula>
    </tableColumn>
    <tableColumn id="2" xr3:uid="{09D3C0EB-2481-406C-ABC2-3B9FE0683D68}" name="Plains" dataDxfId="422">
      <calculatedColumnFormula>TblConstr[[#This Row],[Plain]]</calculatedColumnFormula>
    </tableColumn>
    <tableColumn id="3" xr3:uid="{E95763D4-88E5-487A-9912-CB5FED512375}" name="Forest" dataDxfId="421">
      <calculatedColumnFormula>TblConstr[[#This Row],[Forest]]</calculatedColumnFormula>
    </tableColumn>
    <tableColumn id="4" xr3:uid="{62B2173B-885E-48E7-B615-089739267B8E}" name="Mountains" dataDxfId="420">
      <calculatedColumnFormula>TblConstr[[#This Row],[Mountain]]</calculatedColumnFormula>
    </tableColumn>
    <tableColumn id="5" xr3:uid="{4FA61465-41A2-4497-AB2D-7B63B7113E12}" name="Hills" dataDxfId="419">
      <calculatedColumnFormula>TblConstr[[#This Row],[Hill]]</calculatedColumnFormula>
    </tableColumn>
    <tableColumn id="6" xr3:uid="{FC27A0D5-6BB5-414B-8DEB-98AD07E7EBFF}" name="Swamp" dataDxfId="418">
      <calculatedColumnFormula>TblConstr[[#This Row],[Swamp]]</calculatedColumnFormula>
    </tableColumn>
    <tableColumn id="7" xr3:uid="{E95EDCE9-4D0A-4F4F-80D0-F52A495BDAE2}" name="Caverns" dataDxfId="417">
      <calculatedColumnFormula>TblConstr[[#This Row],[Cavern]]</calculatedColumnFormula>
    </tableColumn>
    <tableColumn id="8" xr3:uid="{4D162EFF-D831-41C8-9A17-B9113296E43B}" name="Water" dataDxfId="416">
      <calculatedColumnFormula>TblConstr[[#This Row],[Water]]</calculatedColumnFormula>
    </tableColumn>
    <tableColumn id="9" xr3:uid="{D55A4201-089D-415F-8D4D-3ECCCB36C63A}" name="." dataDxfId="415"/>
    <tableColumn id="10" xr3:uid="{DD5BAECA-959B-44B4-BFE4-04100EF42CEE}" name="Hour" dataDxfId="414">
      <calculatedColumnFormula>J3+1</calculatedColumnFormula>
    </tableColumn>
    <tableColumn id="11" xr3:uid="{BBC04AC2-481C-43B9-8F7E-DA11BD9865DF}" name="Time" dataDxfId="413">
      <calculatedColumnFormula>TblImps[[#This Row],[Real time]]</calculatedColumnFormula>
    </tableColumn>
    <tableColumn id="12" xr3:uid="{D6C776EF-706C-4E21-B5A7-00C9AD08F8F2}" name="Plains Rezone" dataDxfId="412"/>
    <tableColumn id="13" xr3:uid="{8517A176-425D-4D28-9953-4EC1AA93C82D}" name="Forest Rezone" dataDxfId="411"/>
    <tableColumn id="14" xr3:uid="{6C6986FB-4B34-4620-9F5C-E204CA007C29}" name="Mountain Rezone" dataDxfId="410"/>
    <tableColumn id="15" xr3:uid="{A238C8DA-37C8-4B93-BDB9-803627A51455}" name="Hill Rezone" dataDxfId="409"/>
    <tableColumn id="16" xr3:uid="{6F93D167-46BB-49F9-99E2-4FE4FA89F6F6}" name="Swamp Rezone" dataDxfId="408"/>
    <tableColumn id="17" xr3:uid="{2891557D-037E-43FE-B080-6B5406778FAE}" name="Cavern Rezone" dataDxfId="407"/>
    <tableColumn id="18" xr3:uid="{C6630C4B-97F3-4512-833F-587ADB90804D}" name="Water Rezone" dataDxfId="406"/>
    <tableColumn id="19" xr3:uid="{71938840-BA0F-4F0E-90C2-866B3EEED32E}" name="Total acres" dataDxfId="405">
      <calculatedColumnFormula>SUMIF(TblRezone[[#This Row],[Plains Rezone]:[Water Rezone]],"&gt;0")</calculatedColumnFormula>
    </tableColumn>
    <tableColumn id="20" xr3:uid="{A48C796B-764B-4744-95D2-0DB5292F5562}" name="Ok?" dataDxfId="404">
      <calculatedColumnFormula>IF(SUM(TblRezone[[#This Row],[Plains Rezone]:[Water Rezone]])=0,"Ok","Nope")</calculatedColumnFormula>
    </tableColumn>
    <tableColumn id="21" xr3:uid="{2EBFAAC1-440A-44F3-A930-C229C35B9BD3}" name=".." dataDxfId="403"/>
    <tableColumn id="22" xr3:uid="{2020F260-8DB5-44E6-A131-B44D79AF6B62}" name="Platinum" dataDxfId="402">
      <calculatedColumnFormula>TblProd[[#This Row],[Platinum]]</calculatedColumnFormula>
    </tableColumn>
    <tableColumn id="23" xr3:uid="{81A5A213-A750-4DD5-8456-6B104D493CA4}" name="…" dataDxfId="401"/>
    <tableColumn id="24" xr3:uid="{8EF28125-DA30-4482-ADE4-2B916A90CAD2}" name="Plat/acre" dataDxfId="400">
      <calculatedColumnFormula>ROUND( (1-MIN(ROUND(facs_rezone_factor*TblRezone[[#This Row],[Facs]],4),facs_rezone_max) + tech_6_4*TblTech[[#This Row],[6-4]] + tech_10_2*TblTech[[#This Row],[10-2]] - IF(TblMagic[[#This Row],[Active Mechanical Genius]]&gt;0,mech_genius_bonus,0) + race_rezone_cost) * TblRezone[[#This Row],[Plat/acre*]],0)</calculatedColumnFormula>
    </tableColumn>
    <tableColumn id="25" xr3:uid="{A6596C08-8682-4F56-9948-6EAE9CD50153}" name="Platinum cost" dataDxfId="399">
      <calculatedColumnFormula>TblRezone[[#This Row],[Total acres]]*TblRezone[[#This Row],[Plat/acre]]</calculatedColumnFormula>
    </tableColumn>
    <tableColumn id="26" xr3:uid="{685D7DEA-DD3C-4385-BEC6-C5DBEEE6B44D}" name="…." dataDxfId="398"/>
    <tableColumn id="27" xr3:uid="{44BE000A-0846-46D4-B9B4-8728EC5881AB}" name="Plat/acre*" dataDxfId="397">
      <calculatedColumnFormula>(250+0.6*(TblRezone[[#This Row],[Land]]-250))</calculatedColumnFormula>
    </tableColumn>
    <tableColumn id="28" xr3:uid="{3AFBA97F-9340-4669-BF68-67D7B351BBD4}" name="….." dataDxfId="396"/>
    <tableColumn id="29" xr3:uid="{D8C9DC04-80EE-49BF-BEDB-6FEC536A5F93}" name="Facs" dataDxfId="395">
      <calculatedColumnFormula>TblConstr[[#This Row],[Facs DB]]</calculatedColumnFormula>
    </tableColumn>
  </tableColumns>
  <tableStyleInfo name="TableStyleLight1 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038E78F-F4CB-4A06-BF4F-A53DCB2A8884}" name="TblMili" displayName="TblMili" ref="A3:DI136" totalsRowShown="0" headerRowDxfId="387" dataDxfId="385" headerRowBorderDxfId="386" tableBorderDxfId="384">
  <autoFilter ref="A3:DI136" xr:uid="{43A75899-2F51-49EA-BA94-A8C5DCE6CABE}">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filterColumn colId="79" hiddenButton="1"/>
    <filterColumn colId="80" hiddenButton="1"/>
    <filterColumn colId="81" hiddenButton="1"/>
    <filterColumn colId="82" hiddenButton="1"/>
    <filterColumn colId="83" hiddenButton="1"/>
    <filterColumn colId="84" hiddenButton="1"/>
    <filterColumn colId="85" hiddenButton="1"/>
    <filterColumn colId="86" hiddenButton="1"/>
    <filterColumn colId="87" hiddenButton="1"/>
    <filterColumn colId="88" hiddenButton="1"/>
    <filterColumn colId="89" hiddenButton="1"/>
    <filterColumn colId="90" hiddenButton="1"/>
    <filterColumn colId="91" hiddenButton="1"/>
    <filterColumn colId="92" hiddenButton="1"/>
    <filterColumn colId="93" hiddenButton="1"/>
    <filterColumn colId="94" hiddenButton="1"/>
    <filterColumn colId="95" hiddenButton="1"/>
    <filterColumn colId="96" hiddenButton="1"/>
    <filterColumn colId="97" hiddenButton="1"/>
    <filterColumn colId="98" hiddenButton="1"/>
    <filterColumn colId="99" hiddenButton="1"/>
    <filterColumn colId="100" hiddenButton="1"/>
    <filterColumn colId="101" hiddenButton="1"/>
    <filterColumn colId="102" hiddenButton="1"/>
    <filterColumn colId="103" hiddenButton="1"/>
    <filterColumn colId="104" hiddenButton="1"/>
    <filterColumn colId="105" hiddenButton="1"/>
    <filterColumn colId="106" hiddenButton="1"/>
    <filterColumn colId="107" hiddenButton="1"/>
    <filterColumn colId="108" hiddenButton="1"/>
    <filterColumn colId="109" hiddenButton="1"/>
    <filterColumn colId="110" hiddenButton="1"/>
    <filterColumn colId="111" hiddenButton="1"/>
    <filterColumn colId="112" hiddenButton="1"/>
  </autoFilter>
  <tableColumns count="113">
    <tableColumn id="1" xr3:uid="{8A5CA2BC-FE17-44D1-BBBF-572786FC1207}" name="Hour" dataDxfId="383">
      <calculatedColumnFormula>TblRezone[[#This Row],[Hour]]</calculatedColumnFormula>
    </tableColumn>
    <tableColumn id="2" xr3:uid="{EAC413AF-EC0E-4C34-B6C3-F5AE2181B0A0}" name="Military" dataDxfId="382">
      <calculatedColumnFormula>SUM(TblMili[[#This Row],[Unit 1]:[Archmages]])+SUM(TblMili[[#This Row],[Train Unit 1]:[Train Unit 4]])+TblMili[[#This Row],[Draftees]]</calculatedColumnFormula>
    </tableColumn>
    <tableColumn id="3" xr3:uid="{B9847F02-8883-462E-B245-62A25138A973}" name="Military%" dataDxfId="381">
      <calculatedColumnFormula>TblPop[[#This Row],[Military%]]</calculatedColumnFormula>
    </tableColumn>
    <tableColumn id="4" xr3:uid="{873B66D3-9A4C-4CF2-ADD1-BF3696F9A721}" name="." dataDxfId="380"/>
    <tableColumn id="5" xr3:uid="{FC5A3C7C-0387-4B98-9BB7-AC3A387EAFF0}" name="Unit 1" dataDxfId="379">
      <calculatedColumnFormula>OFFSET(TblMili[[#This Row],[Unit 1]],-1,0) - TblMili[[#This Row],[Release Unit 1]]</calculatedColumnFormula>
    </tableColumn>
    <tableColumn id="6" xr3:uid="{A8BE2C9D-1318-46BD-B50B-D87014E90395}" name="Unit 2" dataDxfId="378">
      <calculatedColumnFormula>OFFSET(TblMili[[#This Row],[Unit 2]],-1,0)-TblMili[[#This Row],[Release Unit 2]]</calculatedColumnFormula>
    </tableColumn>
    <tableColumn id="7" xr3:uid="{49487FD4-4EF4-4722-A4A4-FCC0DD98F9F2}" name="Unit 3" dataDxfId="377">
      <calculatedColumnFormula>OFFSET(TblMili[[#This Row],[Unit 3]],-1,0)-TblMili[[#This Row],[Release Unit 3]]</calculatedColumnFormula>
    </tableColumn>
    <tableColumn id="8" xr3:uid="{739E7790-2960-445C-A5B2-C6064A881CDF}" name="Unit 4" dataDxfId="376">
      <calculatedColumnFormula>OFFSET(TblMili[[#This Row],[Unit 4]],-1,0)-TblMili[[#This Row],[Release Unit 4]]</calculatedColumnFormula>
    </tableColumn>
    <tableColumn id="9" xr3:uid="{0DB25EC0-D296-415A-BF65-DA60D7174CD2}" name="Spies" dataDxfId="375">
      <calculatedColumnFormula>OFFSET(TblMili[[#This Row],[Spies]],-1,0)-TblMili[[#This Row],[Release Spies]]</calculatedColumnFormula>
    </tableColumn>
    <tableColumn id="109" xr3:uid="{1E772BA5-219C-4FDC-ABC4-BDFC09C3EC97}" name="Archspies" dataDxfId="374"/>
    <tableColumn id="10" xr3:uid="{1B32AEAE-0DB3-4DD4-8543-1BD37596FD6C}" name="Wizards" dataDxfId="373">
      <calculatedColumnFormula>OFFSET(TblMili[[#This Row],[Wizards]],-1,0)-TblMili[[#This Row],[Release Wizards]]-TblMili[[#This Row],[Train AM]]</calculatedColumnFormula>
    </tableColumn>
    <tableColumn id="11" xr3:uid="{ED512AF5-16B2-421C-BF95-07157DB57B9D}" name="Archmages" dataDxfId="372">
      <calculatedColumnFormula>OFFSET(TblMili[[#This Row],[Archmages]],-1,0)-TblMili[[#This Row],[Release AM]]</calculatedColumnFormula>
    </tableColumn>
    <tableColumn id="12" xr3:uid="{CADE9B79-5861-46C5-8C69-B19C0F0551CF}" name=".." dataDxfId="371"/>
    <tableColumn id="13" xr3:uid="{18901E43-A967-4D1C-A56F-B4449A6C28E5}" name="Networth" dataDxfId="370">
      <calculatedColumnFormula>TblProd[[#This Row],[Networth]]</calculatedColumnFormula>
    </tableColumn>
    <tableColumn id="14" xr3:uid="{2F50B0FF-1C90-493E-BE67-86AFE22B6059}" name="…" dataDxfId="369"/>
    <tableColumn id="15" xr3:uid="{800A8F5F-B777-4995-AD6F-4DF929E0A477}" name="Raw" dataDxfId="368">
      <calculatedColumnFormula>TblMili[[#This Row],[Unit 1]]*spec_op+TblMili[[#This Row],[Unit 3]]*(elite1_base_op)+TblMili[[#This Row],[Unit 4]]*(elite2_base_op+dark_elf*TblMili[[#This Row],[Spellblade]]+icekin*TblMili[[#This Row],[Ice Elemental]]+woodie*TblMili[[#This Row],[Druid (op)]]+orc*TblMili[[#This Row],[Orc]])+kobold*TblMili[[#This Row],[Overlords]]+TblMili[[#This Row],[Infernal Command OP]]</calculatedColumnFormula>
    </tableColumn>
    <tableColumn id="16" xr3:uid="{2451703B-2078-4992-A421-DCDAC6EF5D61}" name="Mods_Off" dataDxfId="367">
      <calculatedColumnFormula>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calculatedColumnFormula>
    </tableColumn>
    <tableColumn id="17" xr3:uid="{8024FDC8-7D5E-4AAA-A1DB-F6DBE893E955}" name="Modded" dataDxfId="366">
      <calculatedColumnFormula>TblMili[[#This Row],[Raw]]*(1+TblMili[[#This Row],[Mods_Off]])</calculatedColumnFormula>
    </tableColumn>
    <tableColumn id="18" xr3:uid="{49AD1BCC-C9BC-46CD-8B38-93838D61E9DD}" name="Non Draft" dataDxfId="365">
      <calculatedColumnFormula>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calculatedColumnFormula>
    </tableColumn>
    <tableColumn id="19" xr3:uid="{3C1A10C1-FD3D-4539-AA80-2632ED52955C}" name="Draft" dataDxfId="364">
      <calculatedColumnFormula>TblMili[[#This Row],[Non Draft]]+TblMili[[#This Row],[Draftees]]</calculatedColumnFormula>
    </tableColumn>
    <tableColumn id="20" xr3:uid="{C64B2C83-F9B3-427D-8326-C6954139623D}" name="Mods_Def" dataDxfId="363">
      <calculatedColumnFormula>race_defense + TblImps[[#This Row],[Walls]] + ROUND( MIN(gt_bonus*TblConstr[[#This Row],[Tot GT]]/TblConstr[[#This Row],[Land]],gt_bonus_cap), 4) + IF(TblMagic[[#This Row],[Active Howling]]&gt;0,howling_dp_bonus,IF(TblMagic[[#This Row],[Active Ares Call]]&gt;0,ares_call_bonus))</calculatedColumnFormula>
    </tableColumn>
    <tableColumn id="21" xr3:uid="{46C6A8C8-B380-4138-9955-BD191B263BA8}" name="Non Draft (mod)" dataDxfId="362" dataCellStyle="Comma">
      <calculatedColumnFormula>TblMili[[#This Row],[Non Draft]] * (1 + TblMili[[#This Row],[Mods_Def]])</calculatedColumnFormula>
    </tableColumn>
    <tableColumn id="22" xr3:uid="{EA8914C0-CD98-4E5C-A923-EA0F9E30F1EA}" name="Draft (mod)" dataDxfId="361">
      <calculatedColumnFormula>TblMili[[#This Row],[Draft]] * (1 + TblMili[[#This Row],[Mods_Def]])</calculatedColumnFormula>
    </tableColumn>
    <tableColumn id="23" xr3:uid="{EAC9356D-CE42-4256-BB93-BF208B480555}" name="Land" dataDxfId="360">
      <calculatedColumnFormula>TblConstr[[#This Row],[Land]]</calculatedColumnFormula>
    </tableColumn>
    <tableColumn id="24" xr3:uid="{D4A87242-2EDC-47D9-8CA4-84D822469E1B}" name="Set" dataDxfId="359"/>
    <tableColumn id="25" xr3:uid="{448088C9-E1C1-47E6-9443-BE83ECC5C2F2}" name="Draftrate" dataDxfId="358" dataCellStyle="Percent">
      <calculatedColumnFormula>IF(TblMili[[#This Row],[Set]]&lt;&gt;"",TblMili[[#This Row],[Set]],OFFSET(TblMili[[#This Row],[Draftrate]],-1,0))</calculatedColumnFormula>
    </tableColumn>
    <tableColumn id="26" xr3:uid="{EE8F6844-A68F-416E-B5A0-7B6FA4C5DE98}" name="Draftees" dataDxfId="357">
      <calculatedColumnFormula>start_draftees - SUM(TblMili[[#This Row],[Train Unit 1]:[Train Spies]],TblMili[[#This Row],[Train Wiz]]) - TblMili[[#This Row],[Release Draft]] + SUM(TblMili[[#This Row],[Release Unit 1]:[Release AM]]) - TblExplore[[#This Row],[Draftees (2)]]+MIN(13,days_late)*days_late_draftees</calculatedColumnFormula>
    </tableColumn>
    <tableColumn id="27" xr3:uid="{BF29A3BE-307B-4E08-A338-94FBB692BEFE}" name="…." dataDxfId="356"/>
    <tableColumn id="28" xr3:uid="{0B20A7CE-7BB6-4469-889B-DF744233C462}" name="Smithies" dataDxfId="355" dataCellStyle="Percent">
      <calculatedColumnFormula>(TblConstr[[#This Row],[Tot Smi]]+TblConstr[[#This Row],[Dest Smi]])/(TblConstr[[#This Row],[Land]]-TblExplore[[#This Row],[Land Bonus]]*20)</calculatedColumnFormula>
    </tableColumn>
    <tableColumn id="29" xr3:uid="{A03A8504-EBEF-4639-9EE4-238592848C94}" name="….." dataDxfId="354"/>
    <tableColumn id="30" xr3:uid="{4B521A36-EE77-42BE-850C-0D858F3717A6}" name="Hour (2)" dataDxfId="353">
      <calculatedColumnFormula>TblMili[[#This Row],[Hour]]</calculatedColumnFormula>
    </tableColumn>
    <tableColumn id="31" xr3:uid="{D44FE507-2C86-49D9-BC07-83C7B27BB255}" name="Time" dataDxfId="352">
      <calculatedColumnFormula>TblExplore[[#This Row],[Time]]</calculatedColumnFormula>
    </tableColumn>
    <tableColumn id="32" xr3:uid="{0DAD6AB9-2259-4821-8771-37863F1ED4CC}" name="Train Unit 1" dataDxfId="351"/>
    <tableColumn id="33" xr3:uid="{0E43B866-578B-4060-84D1-01656CB368A4}" name="Train Unit 2" dataDxfId="350"/>
    <tableColumn id="34" xr3:uid="{3AAC979B-4FF3-4EFF-8F6E-BD28BBE2B8BD}" name="Train Unit 3" dataDxfId="349"/>
    <tableColumn id="35" xr3:uid="{EC6B8083-BC72-4376-9760-2275CF62C1A6}" name="Train Unit 4" dataDxfId="348"/>
    <tableColumn id="36" xr3:uid="{DE15CA92-2C69-4205-88B3-DE37F5AAF9A6}" name="Train Spies" dataDxfId="347"/>
    <tableColumn id="107" xr3:uid="{917516D6-B00F-4F57-ADB0-6C22D2A96B9F}" name="Train AS" dataDxfId="346"/>
    <tableColumn id="37" xr3:uid="{97770C71-624D-4E73-A8AD-D79927F45908}" name="Train Wiz" dataDxfId="345"/>
    <tableColumn id="38" xr3:uid="{4E456233-AA67-4D90-9179-339EBD335F62}" name="Train AM" dataDxfId="344"/>
    <tableColumn id="111" xr3:uid="{54F0D0ED-12E4-4C6A-9A83-21A22A24F933}" name="DnD_Zombies" dataDxfId="343">
      <calculatedColumnFormula>ROUND(IF(AND(TblMagic[[#This Row],[Active DnD]]&lt;12,TblMagic[[#This Row],[Active DnD]]&gt;5),OFFSET(TblPop[[#This Row],[Draft Growth]],-1,0)*0.375,0),0)</calculatedColumnFormula>
    </tableColumn>
    <tableColumn id="39" xr3:uid="{29C90460-5421-4EA7-A4CB-BDA1C40BF8A1}" name="  " dataDxfId="342"/>
    <tableColumn id="40" xr3:uid="{2C04ED42-9AAF-4375-A8D4-18DA4B397FAA}" name="Platinum" dataDxfId="341">
      <calculatedColumnFormula>TblProd[[#This Row],[Platinum]]</calculatedColumnFormula>
    </tableColumn>
    <tableColumn id="41" xr3:uid="{122C6EDE-4C24-4A3C-9FA2-6A7942348604}" name="Secondary recource" dataDxfId="340">
      <calculatedColumnFormula>INDEX(TblProd[[#Headers],[Lumber]]:TblProd[[#This Row],[Ore]],COUNTA(TblProd[[#Headers],[Lumber]]:TblProd[[#This Row],[Lumber]]),MATCH(Military!$AR$2,TblProd[[#Headers],[Lumber]:[Ore]],0))</calculatedColumnFormula>
    </tableColumn>
    <tableColumn id="42" xr3:uid="{AD4D72D1-3860-48CA-B3DA-ADFB8307154A}" name="Plat Cost" dataDxfId="339">
      <calculatedColumnFormula>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calculatedColumnFormula>
    </tableColumn>
    <tableColumn id="43" xr3:uid="{DAFB5FAD-E913-4B29-993E-21DDDA949BE9}" name="Sec. rec. Cost" dataDxfId="338">
      <calculatedColumnFormula>TblMili[[#This Row],[Train Unit 1]]*TblMili[[#This Row],[OP Ore]]+TblMili[[#This Row],[Train Unit 2]]*TblMili[[#This Row],[DP Ore]]+TblMili[[#This Row],[Train Unit 3]]*TblMili[[#This Row],[E1 Ore]]+TblMili[[#This Row],[Train Unit 4]]*TblMili[[#This Row],[E2 Ore]]</calculatedColumnFormula>
    </tableColumn>
    <tableColumn id="44" xr3:uid="{CC8C3988-B589-4C54-BAFA-428568AE270C}" name="Hour " dataDxfId="337">
      <calculatedColumnFormula>TblMili[[#This Row],[Hour]]</calculatedColumnFormula>
    </tableColumn>
    <tableColumn id="45" xr3:uid="{20B1F70F-03BF-43F5-9126-6B2FF45FE149}" name="Time " dataDxfId="336">
      <calculatedColumnFormula>TblMili[[#This Row],[Time]]</calculatedColumnFormula>
    </tableColumn>
    <tableColumn id="46" xr3:uid="{32831987-A30D-4329-BB1C-DB47E6B77B54}" name="Draftees    " dataDxfId="335">
      <calculatedColumnFormula>TblMili[[#This Row],[Draftees]]</calculatedColumnFormula>
    </tableColumn>
    <tableColumn id="47" xr3:uid="{7EBE7BE4-37D1-4B52-B049-F9BE4ABBBADC}" name="Release Draft" dataDxfId="334"/>
    <tableColumn id="48" xr3:uid="{C3BB0EE7-6180-4099-B663-EFA3F1503DB3}" name="Release Unit 1" dataDxfId="333"/>
    <tableColumn id="49" xr3:uid="{EDF7E463-807D-4CE2-B63E-18766260768C}" name="Release Unit 2" dataDxfId="332"/>
    <tableColumn id="50" xr3:uid="{A1BE9DD8-455A-4FAA-8154-5BB2D1A53261}" name="Release Unit 3" dataDxfId="331"/>
    <tableColumn id="51" xr3:uid="{4FE1D56E-EA47-4DF6-B5A4-E78C1D5F5774}" name="Release Unit 4" dataDxfId="330"/>
    <tableColumn id="52" xr3:uid="{F0F9CB78-BA40-4031-AC17-0AB88B159B60}" name="Release Spies" dataDxfId="329"/>
    <tableColumn id="108" xr3:uid="{118BE0C9-E863-4E5F-98D5-187B99319B85}" name="Release AS" dataDxfId="328"/>
    <tableColumn id="53" xr3:uid="{3CC7AC8A-814F-42C4-B491-A6DFD7A4A93E}" name="Release Wizards" dataDxfId="327"/>
    <tableColumn id="54" xr3:uid="{BCB616C3-3465-4473-B27B-B25584160E71}" name="Release AM" dataDxfId="326"/>
    <tableColumn id="55" xr3:uid="{6B6EC03F-2A6A-47EB-A7F1-0DFE335A330A}" name="   " dataDxfId="325"/>
    <tableColumn id="56" xr3:uid="{71F6F49D-CD22-4E5F-BBB5-61150307312C}" name="WG's" dataDxfId="324">
      <calculatedColumnFormula>TblConstr[[#This Row],[Tot WG]]/TblConstr[[#This Row],[Land]]</calculatedColumnFormula>
    </tableColumn>
    <tableColumn id="57" xr3:uid="{B8AC3F70-AED4-4E5E-9FFD-FF94CB39B791}" name="FH's" dataDxfId="323">
      <calculatedColumnFormula>TblConstr[[#This Row],[Tot Hav]]/TblConstr[[#This Row],[Land]]</calculatedColumnFormula>
    </tableColumn>
    <tableColumn id="58" xr3:uid="{140FE3B0-18E6-43AA-A625-E817354E2D53}" name="OP Plat" dataDxfId="322">
      <calculatedColumnFormula>ROUNDUP((1-MIN(TblMili[[#This Row],[Smithies]]*smithy_bonus,smithy_bonus_cap) + tech_3_5*TblTech[[#This Row],[3-5]] + tech_5_3*TblTech[[#This Row],[5-3]] + tech_5_5*TblTech[[#This Row],[5-5]])*spec_op_plat,0)</calculatedColumnFormula>
    </tableColumn>
    <tableColumn id="59" xr3:uid="{B3DC62EE-FF2C-4E5B-940B-C61A27B65585}" name="OP Ore" dataDxfId="321">
      <calculatedColumnFormula>ROUNDUP(IF(race="Gnome",1,(1-MIN(TblMili[[#This Row],[Smithies]]*smithy_bonus,smithy_bonus_cap) + tech_3_5*TblTech[[#This Row],[3-5]] + tech_5_3*TblTech[[#This Row],[5-3]] + tech_5_5*TblTech[[#This Row],[5-5]]))*spec_op_ore,0)</calculatedColumnFormula>
    </tableColumn>
    <tableColumn id="60" xr3:uid="{8AA2D26B-2110-4B26-8880-40E87C912F04}" name="DP Plat" dataDxfId="320">
      <calculatedColumnFormula>ROUNDUP((1-MIN(TblMili[[#This Row],[Smithies]]*smithy_bonus,smithy_bonus_cap) + tech_3_5*TblTech[[#This Row],[3-5]] + tech_5_3*TblTech[[#This Row],[5-3]] + tech_5_5*TblTech[[#This Row],[5-5]])*spec_dp_plat,0)</calculatedColumnFormula>
    </tableColumn>
    <tableColumn id="61" xr3:uid="{012597E1-2950-447A-82E0-6B69C911BA2E}" name="DP Ore" dataDxfId="319">
      <calculatedColumnFormula>ROUNDUP(IF(race="Gnome",1,(1-MIN(TblMili[[#This Row],[Smithies]]*smithy_bonus,smithy_bonus_cap) + tech_3_5*TblTech[[#This Row],[3-5]] + tech_5_3*TblTech[[#This Row],[5-3]] + tech_5_5*TblTech[[#This Row],[5-5]]))*spec_dp_ore,0)</calculatedColumnFormula>
    </tableColumn>
    <tableColumn id="62" xr3:uid="{9D5E1AB5-0235-4EFB-B5E7-DBD807976D93}" name="E1 Plat" dataDxfId="318">
      <calculatedColumnFormula>ROUNDUP((1-MIN(TblMili[[#This Row],[Smithies]]*smithy_bonus,smithy_bonus_cap) + tech_3_5*TblTech[[#This Row],[3-5]] + tech_5_3*TblTech[[#This Row],[5-3]] + tech_5_5*TblTech[[#This Row],[5-5]])*elite1_plat,0)</calculatedColumnFormula>
    </tableColumn>
    <tableColumn id="63" xr3:uid="{1223D64C-BFD3-4914-8034-2BE996DF8A20}" name="E1 Ore" dataDxfId="317">
      <calculatedColumnFormula>ROUNDUP(IF(race="Gnome",1,(1-MIN(TblMili[[#This Row],[Smithies]]*smithy_bonus,smithy_bonus_cap) + tech_3_5*TblTech[[#This Row],[3-5]] + tech_5_3*TblTech[[#This Row],[5-3]] + tech_5_5*TblTech[[#This Row],[5-5]]))*elite1_ore,0)</calculatedColumnFormula>
    </tableColumn>
    <tableColumn id="64" xr3:uid="{21068645-9A68-4A26-8C4A-1B604A650C88}" name="E2 Plat" dataDxfId="316">
      <calculatedColumnFormula>ROUNDUP((1-MIN(TblMili[[#This Row],[Smithies]]*smithy_bonus,smithy_bonus_cap) + tech_3_5*TblTech[[#This Row],[3-5]] + tech_5_3*TblTech[[#This Row],[5-3]] + tech_5_5*TblTech[[#This Row],[5-5]])*elite2_plat,0)</calculatedColumnFormula>
    </tableColumn>
    <tableColumn id="65" xr3:uid="{9F61240D-A81D-40C6-8B88-EE0340533351}" name="E2 Ore" dataDxfId="315">
      <calculatedColumnFormula>ROUNDUP(IF(race="Gnome",1,(1-MIN(TblMili[[#This Row],[Smithies]]*smithy_bonus,smithy_bonus_cap) + tech_3_5*TblTech[[#This Row],[3-5]] + tech_5_3*TblTech[[#This Row],[5-3]] + tech_5_5*TblTech[[#This Row],[5-5]]))*elite2_ore,0)</calculatedColumnFormula>
    </tableColumn>
    <tableColumn id="66" xr3:uid="{18996F1D-EA30-4CE6-9DF8-3AAADAC482ED}" name="Spie cost" dataDxfId="314">
      <calculatedColumnFormula>ROUNDUP((1-MIN(ROUND(fh_spy_cost_red*TblMili[[#This Row],[FH''s]],4),fh_spy_cost_cap)+ tech_1_9*TblTech[[#This Row],[1-9]] + tech_9_1*TblTech[[#This Row],[9-1]])*spy_plat,0)</calculatedColumnFormula>
    </tableColumn>
    <tableColumn id="110" xr3:uid="{E3910BF3-0412-473B-852A-F6A0FE497DE5}" name="ASs Cost" dataDxfId="313">
      <calculatedColumnFormula>ROUNDUP((1-MIN(ROUND(fh_spy_cost_red*TblMili[[#This Row],[FH''s]],4),fh_spy_cost_cap)+ tech_1_9*TblTech[[#This Row],[1-9]] + tech_9_1*TblTech[[#This Row],[9-1]])*archspy_plat,0)</calculatedColumnFormula>
    </tableColumn>
    <tableColumn id="67" xr3:uid="{CDB40042-773A-4CE1-B670-B62BC884A947}" name="Wizzies cost" dataDxfId="312">
      <calculatedColumnFormula>ROUNDUP((1-MIN(ROUND(wg_wiz_cost_bonus*TblMili[[#This Row],[WG''s]],4),wg_wiz_cost_cap) + tech_1_9_2*TblTech[[#This Row],[1-9]] + tech_9_1_2*TblTech[[#This Row],[9-1]])*wizard_plat,0)</calculatedColumnFormula>
    </tableColumn>
    <tableColumn id="68" xr3:uid="{1053234A-AE18-4A82-94FC-D94692087DE3}" name="AMs cost" dataDxfId="311">
      <calculatedColumnFormula>ROUNDUP((1-MIN(ROUND(wg_wiz_cost_bonus*TblMili[[#This Row],[WG''s]],4),wg_wiz_cost_cap) + tech_1_9_2*TblTech[[#This Row],[1-9]] + tech_9_1_2*TblTech[[#This Row],[9-1]])*archmage_plat,0)</calculatedColumnFormula>
    </tableColumn>
    <tableColumn id="69" xr3:uid="{9D11DA92-CF6B-4838-B51B-494833977486}" name=" " dataDxfId="310"/>
    <tableColumn id="70" xr3:uid="{1F713D65-CE26-4E75-AF9C-1E2610D02FB6}" name="Homeland%" dataDxfId="309">
      <calculatedColumnFormula>TblConstr[[#This Row],[Homeland]]/TblConstr[[#This Row],[Land]]</calculatedColumnFormula>
    </tableColumn>
    <tableColumn id="71" xr3:uid="{FBD620E0-8F97-4BED-916D-A8962B459E13}" name="WG" dataDxfId="308">
      <calculatedColumnFormula>TblMili[[#This Row],[WG''s]]</calculatedColumnFormula>
    </tableColumn>
    <tableColumn id="72" xr3:uid="{0F482B90-6164-42A0-AC1A-EB6CBE2239E0}" name="Mystic" dataDxfId="307">
      <calculatedColumnFormula>IF(mystic_cap="none",TblMili[[#This Row],[Homeland%]]/mystic_bonus,MIN(mystic_cap,TblMili[[#This Row],[Homeland%]]/mystic_bonus))</calculatedColumnFormula>
    </tableColumn>
    <tableColumn id="73" xr3:uid="{2FD25056-5068-463F-8553-3D2CFBDBD80D}" name="Druid (op)" dataDxfId="306">
      <calculatedColumnFormula>IF(druid_op_cap="none",TblMili[[#This Row],[Homeland%]]/druid_op_bonus,MIN(druid_op_cap,TblMili[[#This Row],[Homeland%]]/druid_op_bonus))</calculatedColumnFormula>
    </tableColumn>
    <tableColumn id="74" xr3:uid="{53018DF3-E735-41C7-A3D0-8E634866C57E}" name="Druid (dp)" dataDxfId="305">
      <calculatedColumnFormula>IF(druid_dp_cap="none",TblMili[[#This Row],[Homeland%]]/druid_dp_bonus,MIN(druid_dp_cap,TblMili[[#This Row],[Homeland%]]/druid_dp_bonus))</calculatedColumnFormula>
    </tableColumn>
    <tableColumn id="75" xr3:uid="{7F4EE74D-9905-4DF0-A5F6-DDC9D0115356}" name="Dryad" dataDxfId="304">
      <calculatedColumnFormula>MIN(dryad_cap,TblMili[[#This Row],[Homeland%]]/dryad_bonus)</calculatedColumnFormula>
    </tableColumn>
    <tableColumn id="76" xr3:uid="{E7F9826C-05CD-49D4-95DF-ECCD467D1341}" name="Rockapult" dataDxfId="303">
      <calculatedColumnFormula>MIN(rocka_cap,TblMili[[#This Row],[Homeland%]]/rocka_bonus)</calculatedColumnFormula>
    </tableColumn>
    <tableColumn id="77" xr3:uid="{A26FFF73-DC56-4E66-8A0E-51A9C837AE8D}" name="Spellblade" dataDxfId="302">
      <calculatedColumnFormula>MIN(adept_op_cap,TblMili[[#This Row],[WG]]/adept_op_bonus)</calculatedColumnFormula>
    </tableColumn>
    <tableColumn id="78" xr3:uid="{A5F9372F-5EBA-4E5A-AB3F-5A786DE5FEB0}" name="Adept-DP" dataDxfId="301">
      <calculatedColumnFormula>MIN(adept_dp_cap,TblMili[[#This Row],[WG]]/adept_dp_bonus)</calculatedColumnFormula>
    </tableColumn>
    <tableColumn id="79" xr3:uid="{FF50DABE-A375-4222-848D-9C4D1D0FC999}" name="Beasts" dataDxfId="300">
      <calculatedColumnFormula>MIN(TblMili[[#This Row],[Unit 3]],TblMili[[#This Row],[Unit 2]])*2</calculatedColumnFormula>
    </tableColumn>
    <tableColumn id="80" xr3:uid="{FFCDA044-2FD9-4119-B82B-7914D887B7F4}" name="Overlords" dataDxfId="299">
      <calculatedColumnFormula>MIN(TblMili[[#This Row],[Unit 1]],TblMili[[#This Row],[Unit 4]])*2</calculatedColumnFormula>
    </tableColumn>
    <tableColumn id="81" xr3:uid="{00DE2C4D-2323-42A0-B749-2FB5F4E28DBF}" name="Frost Mage" dataDxfId="298">
      <calculatedColumnFormula>MIN(frost_mage_cap,TblMili[[#This Row],[Homeland%]]/frost_mage_bonus)</calculatedColumnFormula>
    </tableColumn>
    <tableColumn id="82" xr3:uid="{BB055F70-3593-48E8-A32F-2C3BC4E6D218}" name="Ice Elemental" dataDxfId="297">
      <calculatedColumnFormula>MIN(ice_elem_cap,TblMili[[#This Row],[Raw (2)]]*ice_elem_bonus)</calculatedColumnFormula>
    </tableColumn>
    <tableColumn id="83" xr3:uid="{1158BE59-7C9D-4D41-AE99-4249CB18E29F}" name="Orc" dataDxfId="296">
      <calculatedColumnFormula>MIN(bone_breaker_cap,250/bone_breaker_bonus)</calculatedColumnFormula>
    </tableColumn>
    <tableColumn id="84" xr3:uid="{76252BAC-90E5-49A7-B5F9-E399F71EA45D}" name="Nox" dataDxfId="295">
      <calculatedColumnFormula>MIN(nox_nightshade_cap,TblConstr[[#This Row],[Homeland]]/TblConstr[[#This Row],[Land]]/nox_nightshade_swamp_bonus)</calculatedColumnFormula>
    </tableColumn>
    <tableColumn id="113" xr3:uid="{4A27EC0B-8E58-4935-B9BC-28BBFBF14B3B}" name="Abyssal Enforcer" dataDxfId="294">
      <calculatedColumnFormula>MIN(TblConstr[[#This Row],[Total Swamp]]/TblConstr[[#This Row],[Land]]/abyss_enforce_bonus,abyss_enforcer_cap)</calculatedColumnFormula>
    </tableColumn>
    <tableColumn id="112" xr3:uid="{784D98C7-E60A-4D20-854E-4FCCFEFCDE00}" name="Infernal Command OP" dataDxfId="293">
      <calculatedColumnFormula>IF(TblMagic[[#This Row],[Active Infernal Command]]&gt;0,TblMili[[#This Row],[Unit 1]]*infernal_cmd_op,0)</calculatedColumnFormula>
    </tableColumn>
    <tableColumn id="85" xr3:uid="{1DFCAA2E-8651-447E-895D-82655A45DF53}" name="Column36" dataDxfId="292"/>
    <tableColumn id="86" xr3:uid="{2B117F31-500F-4EF5-A943-EA4E7192FD0F}" name="Column37" dataDxfId="291"/>
    <tableColumn id="87" xr3:uid="{F3D20B86-D78F-4794-87F9-C555822D3041}" name="Column38" dataDxfId="290"/>
    <tableColumn id="88" xr3:uid="{BDEF093C-2660-4215-8999-F98F4344DFB8}" name="Mystic bonus" dataDxfId="289">
      <calculatedColumnFormula>MIN(6,TblMili[[#This Row],[Mystic]]+Races!$F$19)*1.8 +  IF(TblMili[[#This Row],[Mystic]]+Races!$F$19&gt;6,(TblMili[[#This Row],[Mystic]]+Races!$F$19-6)*0.2,0) - Races!$I$19</calculatedColumnFormula>
    </tableColumn>
    <tableColumn id="89" xr3:uid="{46F4DC63-3122-4751-919D-25DE59A7EF66}" name="Druid bonus" dataDxfId="288">
      <calculatedColumnFormula>1.8 * MIN(MAX(TblMili[[#This Row],[Druid (op)]]+Races!$E$20,TblMili[[#This Row],[Druid (dp)]]+Races!$F$20),6)  +  0.45 * MIN(MIN(TblMili[[#This Row],[Druid (op)]]+Races!$E$20,TblMili[[#This Row],[Druid (dp)]]+Races!$F$20),6)  +  0.2 * ( MAX(TblMili[[#This Row],[Druid (op)]]+Races!$E$20-6,0) + MAX(TblMili[[#This Row],[Druid (dp)]]+Races!$F$20-6,0) )  -  Races!$I$20</calculatedColumnFormula>
    </tableColumn>
    <tableColumn id="90" xr3:uid="{0AB01A9F-5F69-4677-ABD0-FC19B1243F36}" name="Wood Elf bonus" dataDxfId="287">
      <calculatedColumnFormula>TblMili[[#This Row],[Mystic bonus]]*TblMili[[#This Row],[Unit 3]]+TblMili[[#This Row],[Druid bonus]]*TblMili[[#This Row],[Unit 4]]</calculatedColumnFormula>
    </tableColumn>
    <tableColumn id="91" xr3:uid="{4EE98187-D861-41F7-99BA-17048C4D8D34}" name="Dryad bonus" dataDxfId="286">
      <calculatedColumnFormula>MIN(6,TblMili[[#This Row],[Dryad]]+Races!$F$35)*1.8 +  IF(TblMili[[#This Row],[Dryad]]+Races!$F$35&gt;6,(TblMili[[#This Row],[Dryad]]+Races!$F$35-6)*0.2,0) - Races!$I$19</calculatedColumnFormula>
    </tableColumn>
    <tableColumn id="92" xr3:uid="{4D0FBA77-63EB-4AF7-AA3C-BF4D432786D2}" name="Sylvan bonus" dataDxfId="285">
      <calculatedColumnFormula>sylvan*(TblMili[[#This Row],[Mystic bonus]]*TblMili[[#This Row],[Unit 3]])</calculatedColumnFormula>
    </tableColumn>
    <tableColumn id="93" xr3:uid="{9CB7A2CE-8BEC-402B-B1F0-5A1153673E45}" name="Rockapult bonus" dataDxfId="284">
      <calculatedColumnFormula>1.8 * MIN(MAX(Races!$E$27,TblMili[[#This Row],[Rockapult]]+Races!$F$27),6)  +  0.45 * MIN(MIN(Races!$E$27,TblMili[[#This Row],[Rockapult]]+Races!$F$27),6)  +  0.2 * ( MAX(Races!$E$27-6,0) + MAX(TblMili[[#This Row],[Rockapult]]+Races!$F$27-6,0) )  -  Races!$I$20</calculatedColumnFormula>
    </tableColumn>
    <tableColumn id="94" xr3:uid="{702EEF5A-ED83-4CC8-84F7-F6D979E56F25}" name="Gnome bonus" dataDxfId="283">
      <calculatedColumnFormula>gnome*(TblMili[[#This Row],[Rockapult bonus]]*TblMili[[#This Row],[Unit 3]])</calculatedColumnFormula>
    </tableColumn>
    <tableColumn id="95" xr3:uid="{A02C2188-BFCD-4178-8B64-B969D4D2D97B}" name="Adept bonus" dataDxfId="282">
      <calculatedColumnFormula>1.8 * MIN(MAX(TblMili[[#This Row],[Spellblade]]+Races!$E$47,TblMili[[#This Row],[Adept-DP]]+Races!$F$47),6)  +  0.45 * MIN(MIN(TblMili[[#This Row],[Spellblade]]+Races!$E$47,TblMili[[#This Row],[Adept-DP]]+Races!$F$47),6)  +  0.2 * ( MAX(TblMili[[#This Row],[Spellblade]]+Races!$E$47-6,0) + MAX(TblMili[[#This Row],[Adept-DP]]+Races!$F$47-6,0) )  -  Races!$I$47</calculatedColumnFormula>
    </tableColumn>
    <tableColumn id="96" xr3:uid="{2AC6A177-5D6E-4EEF-803F-78737FC291BE}" name="Dark Elf bonus" dataDxfId="281">
      <calculatedColumnFormula>dark_elf*(TblMili[[#This Row],[Adept bonus]]*TblMili[[#This Row],[Unit 3]])</calculatedColumnFormula>
    </tableColumn>
    <tableColumn id="97" xr3:uid="{19730E51-BC55-444F-8E03-4B3A51C0E3D8}" name="Frost Mage bonus" dataDxfId="280">
      <calculatedColumnFormula>1.8 * MIN(MAX(TblMili[[#This Row],[Frost Mage]]+Races!$F$71,Races!$E$71),6)  +  0.45 * MIN(MIN(TblMili[[#This Row],[Frost Mage]]+Races!$F$71,Races!$E$71),6)  +  0.2 * ( MAX(TblMili[[#This Row],[Frost Mage]]+Races!$F$71-6,0) + MAX(Races!$E$71-6,0) )  -  Races!$I$71</calculatedColumnFormula>
    </tableColumn>
    <tableColumn id="98" xr3:uid="{4BF7728A-52B6-482F-A623-6B6D066AA813}" name="Ice Elemental bonus" dataDxfId="279">
      <calculatedColumnFormula>1.8 * MIN(MAX(TblMili[[#This Row],[Ice Elemental]]+Races!$E$71,Races!$F$71),6)  +  0.45 * MIN(MIN(TblMili[[#This Row],[Ice Elemental]]+Races!$E$71,Races!$F$71),6)  +  0.2 * ( MAX(TblMili[[#This Row],[Ice Elemental]]+Races!$E$71-6,0) + MAX(Races!$F$71-6,0) )  -  Races!$I$71</calculatedColumnFormula>
    </tableColumn>
    <tableColumn id="99" xr3:uid="{B96172E1-FD81-4837-8894-EDD42748B071}" name="Icekin bonus" dataDxfId="278">
      <calculatedColumnFormula>TblMili[[#This Row],[Frost Mage bonus]]*TblMili[[#This Row],[Unit 3]]+TblMili[[#This Row],[Ice Elemental bonus]]*TblMili[[#This Row],[Unit 4]]</calculatedColumnFormula>
    </tableColumn>
    <tableColumn id="100" xr3:uid="{A2072E36-3982-4B78-93F1-3B2C7DD41EB6}" name="Column46" dataDxfId="277"/>
    <tableColumn id="101" xr3:uid="{AA2C19ED-CD7C-4497-8949-4735D8380A50}" name="Favorable Terrain Bonus" dataDxfId="276" dataCellStyle="Percent">
      <calculatedColumnFormula>MIN(SUM(TblConstr[[#This Row],[Plain]:[Water]])/TblMili[[#This Row],[Land]]/favorable_terrain_bonus/100,favorable_terrain_max)</calculatedColumnFormula>
    </tableColumn>
    <tableColumn id="102" xr3:uid="{045A1C5D-FFD7-4F37-8C55-3E1C6325D69C}" name="Column48" dataDxfId="275"/>
    <tableColumn id="103" xr3:uid="{CA1D4487-36A8-42BE-AAE8-1C025B923059}" name="Networth (2)" dataDxfId="274">
      <calculatedColumnFormula>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calculatedColumnFormula>
    </tableColumn>
    <tableColumn id="104" xr3:uid="{955D6A4A-8865-437C-B006-28796C722660}" name="  2" dataDxfId="273"/>
    <tableColumn id="105" xr3:uid="{628D592A-8396-4FB0-BFC1-BC7CA81586EE}" name="Raw (2)" dataDxfId="272">
      <calculatedColumnFormula>(TblMili[[#This Row],[Wizards]]+2*TblMili[[#This Row],[Archmages]])/TblConstr[[#This Row],[Land]]</calculatedColumnFormula>
    </tableColumn>
    <tableColumn id="106" xr3:uid="{016BFDB0-CD57-41C0-AF17-CB540C2E962C}" name="Modded (2)" dataDxfId="271">
      <calculatedColumnFormula>TblMili[[#This Row],[Raw (2)]]*(1+race_wizard_strength+IF(TblMili[[#This Row],[Hour]]&gt;72,tech_magical_weaponry_wiz*TblTech[[#This Row],[3-5]],0))</calculatedColumnFormula>
    </tableColumn>
  </tableColumns>
  <tableStyleInfo name="TableStyleLight1 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94F7EBC6-1828-4B3D-9C44-14FDE8DA2105}" name="TblMagic" displayName="TblMagic" ref="A3:AQ136" totalsRowShown="0" headerRowDxfId="262" dataDxfId="260" headerRowBorderDxfId="261" tableBorderDxfId="259">
  <autoFilter ref="A3:AQ136" xr:uid="{607BE4FC-C7E8-434D-B464-C54BB9C91E09}">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autoFilter>
  <tableColumns count="43">
    <tableColumn id="1" xr3:uid="{66CE85EB-B16F-458E-A2CA-AD251DA79824}" name="Hour" dataDxfId="258">
      <calculatedColumnFormula>TblRezone[[#This Row],[Hour]]</calculatedColumnFormula>
    </tableColumn>
    <tableColumn id="2" xr3:uid="{E160E2FF-C983-4A55-B03E-684BAA5D56D7}" name="Land" dataDxfId="257">
      <calculatedColumnFormula>TblConstr[[#This Row],[Land]]</calculatedColumnFormula>
    </tableColumn>
    <tableColumn id="3" xr3:uid="{CEA3931F-9B77-4317-A7C7-C5D0214A12BA}" name="Mana" dataDxfId="256">
      <calculatedColumnFormula>TblProd[[#This Row],[Mana]]</calculatedColumnFormula>
    </tableColumn>
    <tableColumn id="4" xr3:uid="{D383CA2D-65F3-4634-A1DD-E4ECA1CC96C8}" name="Wiz str" dataDxfId="255">
      <calculatedColumnFormula>MIN(1,OFFSET(TblMagic[[#This Row],[Wiz str]],-1,0)+0.04+ROUNDDOWN(10*OFFSET(TblMili[[#This Row],[WG''s]],-1,0),0)+ tech_2_7*OFFSET(TblTech[[#This Row],[2-7]],-1,0) + tech_5_6*OFFSET(TblTech[[#This Row],[5-6]],-1,0) )-TblMagic[[#This Row],[Wiz str cost]]</calculatedColumnFormula>
    </tableColumn>
    <tableColumn id="5" xr3:uid="{7B074AE6-7E36-43DC-ABB0-9CDE55BFEB07}" name="Time" dataDxfId="254">
      <calculatedColumnFormula>OFFSET(TblMagic[[#This Row],[Time]],-1,0)+1/24</calculatedColumnFormula>
    </tableColumn>
    <tableColumn id="6" xr3:uid="{6625E0CA-37E1-457D-817F-784FA6A7A47B}" name="Pop" dataDxfId="253">
      <calculatedColumnFormula>TblImps[[#This Row],[Population]]</calculatedColumnFormula>
    </tableColumn>
    <tableColumn id="7" xr3:uid="{74B4A440-273D-4100-B1BC-91171D1D20B6}" name="Gaia's Watch" dataDxfId="252"/>
    <tableColumn id="8" xr3:uid="{43E4A01F-74F7-4C30-9D8A-3079A04763B9}" name="Mining Strength" dataDxfId="251"/>
    <tableColumn id="9" xr3:uid="{1A92950C-8F89-409E-9002-FCC57F75ADE0}" name="Ares Call" dataDxfId="250"/>
    <tableColumn id="10" xr3:uid="{A04C0737-02D0-4DAA-B9D7-324E3D59498C}" name="Midas Touch" dataDxfId="249"/>
    <tableColumn id="11" xr3:uid="{028D46F5-0AAD-49F8-AC48-D5E2C41FD4C2}" name="Harmony" dataDxfId="248"/>
    <tableColumn id="12" xr3:uid="{42548E68-C2D5-44CD-99FA-6AD40E64E185}" name="Miner's Sight" dataDxfId="247"/>
    <tableColumn id="13" xr3:uid="{D64F8C18-3DBE-4D7A-8AA3-C35E04DD6CAC}" name="Mechanical Genius" dataDxfId="246"/>
    <tableColumn id="14" xr3:uid="{0165862E-59ED-45FB-BD5A-0C7DCAA39217}" name="Death and Decay" dataDxfId="245"/>
    <tableColumn id="15" xr3:uid="{762B30AD-670D-48C3-94F1-2BA1DC4089CC}" name="Killing Rage / Bloodrage / Crusade" dataDxfId="244"/>
    <tableColumn id="16" xr3:uid="{0162EA56-857C-4157-A7AB-4D90C9EA47F1}" name="Gaia's Blessing" dataDxfId="243"/>
    <tableColumn id="17" xr3:uid="{6D83302D-974B-4742-8BDA-D99BB673F6D7}" name="Howling" dataDxfId="242"/>
    <tableColumn id="18" xr3:uid="{081EE08A-AA95-4648-9376-F68D04887352}" name="Alchemist Frost" dataDxfId="241"/>
    <tableColumn id="19" xr3:uid="{3BCC0361-67FB-4576-8296-8E91F374A4A4}" name="Alchemists Flame" dataDxfId="240"/>
    <tableColumn id="20" xr3:uid="{CFB1AFFE-0570-4E81-B96B-5EE870CC5038}" name="Nightfall" dataDxfId="239"/>
    <tableColumn id="40" xr3:uid="{CD69E8F6-3FD6-49C0-9EB8-DB9FD0CAA6D9}" name="Favorable Terrain" dataDxfId="238"/>
    <tableColumn id="42" xr3:uid="{B3C18C59-4C81-4804-BB33-FB8D6CCF256E}" name="Infernal Command" dataDxfId="237"/>
    <tableColumn id="21" xr3:uid="{4F53D2F5-E2E8-4AEE-975D-5B925FA589B0}" name="Useless spell" dataDxfId="236"/>
    <tableColumn id="22" xr3:uid="{E7040239-1040-4E8C-8EEB-3D517AC825BD}" name="." dataDxfId="235"/>
    <tableColumn id="23" xr3:uid="{8F45EE21-92D1-4622-B103-16B477DF630B}" name="Mana cost" dataDxfId="234">
      <calculatedColumnFormula>(MAX(1-wg_spell_cost_cap,1-wg_spell_cost_red*ROUND(TblConstr[[#This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calculatedColumnFormula>
    </tableColumn>
    <tableColumn id="24" xr3:uid="{E5989948-C7D1-4D66-B08C-D3D373071144}" name="Wiz str cost" dataDxfId="233">
      <calculatedColumnFormula>SUMIF(TblMagic[[#This Row],[Gaia''s Watch]:[Useless spell]],1)*0.05</calculatedColumnFormula>
    </tableColumn>
    <tableColumn id="25" xr3:uid="{2466DF86-89FE-4172-9850-F9FBAE56839D}" name=".." dataDxfId="232"/>
    <tableColumn id="26" xr3:uid="{F8559349-C288-4EC3-B38A-23771E549D1D}" name="Active Gaia's Watch" dataDxfId="231">
      <calculatedColumnFormula>IF(TblMagic[[#This Row],[Gaia''s Watch]],12,IF(OFFSET(TblMagic[[#This Row],[Active Gaia''s Watch]],-1,0)&gt;0,OFFSET(TblMagic[[#This Row],[Active Gaia''s Watch]],-1,0)-1,0))</calculatedColumnFormula>
    </tableColumn>
    <tableColumn id="27" xr3:uid="{00F45689-4686-422F-8E94-89C18992B261}" name="Active Mining Strength" dataDxfId="230">
      <calculatedColumnFormula>IF(TblMagic[[#This Row],[Mining Strength]],12,IF(OFFSET(TblMagic[[#This Row],[Active Mining Strength]],-1,0)&gt;0,OFFSET(TblMagic[[#This Row],[Active Mining Strength]],-1,0)-1,0))</calculatedColumnFormula>
    </tableColumn>
    <tableColumn id="28" xr3:uid="{CB5E5443-0178-4230-AEA8-F7AD411F5187}" name="Active Ares Call" dataDxfId="229">
      <calculatedColumnFormula>IF(TblMagic[[#This Row],[Ares Call]],12,IF(OFFSET(TblMagic[[#This Row],[Active Ares Call]],-1,0)&gt;0,OFFSET(TblMagic[[#This Row],[Active Ares Call]],-1,0)-1,0))</calculatedColumnFormula>
    </tableColumn>
    <tableColumn id="29" xr3:uid="{BCC9ACB6-69AC-4DA1-B07D-F4802162CEF5}" name="Active Midas Touch" dataDxfId="228">
      <calculatedColumnFormula>IF(TblMagic[[#This Row],[Midas Touch]],12,IF(OFFSET(TblMagic[[#This Row],[Active Midas Touch]],-1,0)&gt;0,OFFSET(TblMagic[[#This Row],[Active Midas Touch]],-1,0)-1,0))</calculatedColumnFormula>
    </tableColumn>
    <tableColumn id="30" xr3:uid="{D13DA239-CC1B-41FD-A41B-68906B10F262}" name="Active Harmony" dataDxfId="227">
      <calculatedColumnFormula>IF(TblMagic[[#This Row],[Harmony]],12,IF(OFFSET(TblMagic[[#This Row],[Active Harmony]],-1,0)&gt;0,OFFSET(TblMagic[[#This Row],[Active Harmony]],-1,0)-1,0))</calculatedColumnFormula>
    </tableColumn>
    <tableColumn id="31" xr3:uid="{10D4FEA0-0AA8-4F31-8F5A-8576AE611BDA}" name="Active Miner's Sight" dataDxfId="226">
      <calculatedColumnFormula>IF(TblMagic[[#This Row],[Miner''s Sight]],12,IF(OFFSET(TblMagic[[#This Row],[Active Miner''s Sight]],-1,0)&gt;0,OFFSET(TblMagic[[#This Row],[Active Miner''s Sight]],-1,0)-1,0))</calculatedColumnFormula>
    </tableColumn>
    <tableColumn id="32" xr3:uid="{F3C242E1-6D76-4F30-9114-9CFB19B40B68}" name="Active Mechanical Genius" dataDxfId="225">
      <calculatedColumnFormula>IF(TblMagic[[#This Row],[Mechanical Genius]],12,IF(OFFSET(TblMagic[[#This Row],[Active Mechanical Genius]],-1,0)&gt;0,OFFSET(TblMagic[[#This Row],[Active Mechanical Genius]],-1,0)-1,0))</calculatedColumnFormula>
    </tableColumn>
    <tableColumn id="33" xr3:uid="{ABB8FD60-DFED-4F16-81F1-573804F4ED7B}" name="Active DnD" dataDxfId="224">
      <calculatedColumnFormula>IF(TblMagic[[#This Row],[Death and Decay]],12,IF(OFFSET(TblMagic[[#This Row],[Active DnD]],-1,0)&gt;0,OFFSET(TblMagic[[#This Row],[Active DnD]],-1,0)-1,0))</calculatedColumnFormula>
    </tableColumn>
    <tableColumn id="34" xr3:uid="{3460E27B-FD4A-47FC-A87F-BAFED0FCC033}" name="Active Warsong / Killing Rage / Bloodrage" dataDxfId="223">
      <calculatedColumnFormula>IF(TblMagic[[#This Row],[Killing Rage / Bloodrage / Crusade]],12,IF(OFFSET(TblMagic[[#This Row],[Active Warsong / Killing Rage / Bloodrage]],-1,0)&gt;0,OFFSET(TblMagic[[#This Row],[Active Warsong / Killing Rage / Bloodrage]],-1,0)-1,0))</calculatedColumnFormula>
    </tableColumn>
    <tableColumn id="35" xr3:uid="{C38ADE3E-15C7-4548-A80E-44BC864D08B6}" name="Active Gaia's Blessing" dataDxfId="222">
      <calculatedColumnFormula>IF(TblMagic[[#This Row],[Gaia''s Blessing]],12,IF(OFFSET(TblMagic[[#This Row],[Active Gaia''s Blessing]],-1,0)&gt;0,OFFSET(TblMagic[[#This Row],[Active Gaia''s Blessing]],-1,0)-1,0))</calculatedColumnFormula>
    </tableColumn>
    <tableColumn id="36" xr3:uid="{DB2BE469-2BE3-4333-BFBC-C2857399E743}" name="Active Howling" dataDxfId="221">
      <calculatedColumnFormula>IF(TblMagic[[#This Row],[Howling]],12,IF(OFFSET(TblMagic[[#This Row],[Active Howling]],-1,0)&gt;0,OFFSET(TblMagic[[#This Row],[Active Howling]],-1,0)-1,0))</calculatedColumnFormula>
    </tableColumn>
    <tableColumn id="37" xr3:uid="{F5838FA3-8068-44AA-A6A2-758F46E5F78D}" name="Active Alch Frost" dataDxfId="220">
      <calculatedColumnFormula>IF(TblMagic[[#This Row],[Alchemist Frost]],12,IF(OFFSET(TblMagic[[#This Row],[Active Alch Frost]],-1,0)&gt;0,OFFSET(TblMagic[[#This Row],[Active Alch Frost]],-1,0)-1,0))</calculatedColumnFormula>
    </tableColumn>
    <tableColumn id="38" xr3:uid="{11215FCC-A994-4C4E-835C-F365C4B7BDF8}" name="Active Alchemists Flame" dataDxfId="219">
      <calculatedColumnFormula>IF(TblMagic[[#This Row],[Alchemists Flame]],12,IF(OFFSET(TblMagic[[#This Row],[Active Alchemists Flame]],-1,0)&gt;0,OFFSET(TblMagic[[#This Row],[Active Alchemists Flame]],-1,0)-1,0))</calculatedColumnFormula>
    </tableColumn>
    <tableColumn id="39" xr3:uid="{6CC2630F-C892-4B26-BA51-AB8863CBA503}" name="Active Nightfall" dataDxfId="218">
      <calculatedColumnFormula>IF(TblMagic[[#This Row],[Nightfall]],12,IF(OFFSET(TblMagic[[#This Row],[Active Nightfall]],-1,0)&gt;0,OFFSET(TblMagic[[#This Row],[Active Nightfall]],-1,0)-1,0))</calculatedColumnFormula>
    </tableColumn>
    <tableColumn id="41" xr3:uid="{E8FFEB0A-82D1-4B3D-86CE-6103CDF8A0FD}" name="Active Favorable Terrain" dataDxfId="217">
      <calculatedColumnFormula>IF(TblMagic[[#This Row],[Favorable Terrain]],12,IF(OFFSET(TblMagic[[#This Row],[Active Favorable Terrain]],-1,0)&gt;0,OFFSET(TblMagic[[#This Row],[Active Favorable Terrain]],-1,0)-1,0))</calculatedColumnFormula>
    </tableColumn>
    <tableColumn id="44" xr3:uid="{F446C30D-C7CC-4516-BCB4-CC5B8FD7D6DA}" name="Active Infernal Command" dataDxfId="216"/>
  </tableColumns>
  <tableStyleInfo name="TableStyleLight1 5 2 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72192319-2E44-480E-B583-FD97791C38CC}" name="TblTech" displayName="TblTech" ref="A3:CA136" totalsRowShown="0" headerRowDxfId="215" dataDxfId="214">
  <autoFilter ref="A3:CA136" xr:uid="{816C9982-B0D8-4512-AEA2-F09FC58BC75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filterColumn colId="78" hiddenButton="1"/>
  </autoFilter>
  <tableColumns count="79">
    <tableColumn id="2" xr3:uid="{4B22F170-53CF-412A-8036-A7F8FBFFF36B}" name="Hour" dataDxfId="213">
      <calculatedColumnFormula>TblRezone[[#This Row],[Hour]]</calculatedColumnFormula>
    </tableColumn>
    <tableColumn id="3" xr3:uid="{DA4A1ACF-68D6-4564-BB1C-C3C3172606A1}" name="Land" dataDxfId="212">
      <calculatedColumnFormula>TblExplore[[#This Row],[Land-DB]]</calculatedColumnFormula>
    </tableColumn>
    <tableColumn id="4" xr3:uid="{05D0DCAF-595D-47DB-9D6C-DB4A543CF655}" name="Techpoints" dataDxfId="211">
      <calculatedColumnFormula>TblProd[[#This Row],[Techpoints]]</calculatedColumnFormula>
    </tableColumn>
    <tableColumn id="5" xr3:uid="{B8D24105-AE76-4A7C-9D26-589CB9891ED4}" name="Cost" dataDxfId="210">
      <calculatedColumnFormula>TblProd[[#This Row],[Required]]</calculatedColumnFormula>
    </tableColumn>
    <tableColumn id="93" xr3:uid="{2ABEB4AB-3FE9-4283-8DD1-DADEE729E1F4}" name="." dataDxfId="209"/>
    <tableColumn id="9" xr3:uid="{94ADF196-65A4-42D5-B9F1-902A2448736A}" name="Activate @ hour" dataDxfId="208"/>
    <tableColumn id="10" xr3:uid="{41EC03BC-D935-4DB1-9358-D7E68CB11DA3}" name="Number" dataDxfId="207"/>
    <tableColumn id="19" xr3:uid="{8781F361-D9CA-4DDC-83D1-8F9FCDC61FD4}" name="Tech name" dataDxfId="206"/>
    <tableColumn id="11" xr3:uid="{ED497BC4-A3FE-4968-980C-41E3E397E8F1}" name="Gains" dataDxfId="205"/>
    <tableColumn id="20" xr3:uid="{B66F94F3-B0AC-4CC0-9E7C-4CF7E4C92EEE}" name=".." dataDxfId="204"/>
    <tableColumn id="21" xr3:uid="{4775993E-7C72-4134-8A78-3FB7DCE45728}" name="…" dataDxfId="203">
      <calculatedColumnFormula>IF(TblTech[[#This Row],[Sum of tech]]&lt;&gt;OFFSET(TblTech[[#This Row],[Sum of tech]],-1,0),1,0)</calculatedColumnFormula>
    </tableColumn>
    <tableColumn id="22" xr3:uid="{DFF59F63-FD6B-45DE-9EEF-3899A7D747EF}" name="Sum of tech" dataDxfId="202">
      <calculatedColumnFormula>COUNTIF(TblTech[[#This Row],[1-1]:[11-1]],1)</calculatedColumnFormula>
    </tableColumn>
    <tableColumn id="23" xr3:uid="{26B2ED42-21EF-41D3-8431-65B8DCB84C2C}" name="1-1" dataDxfId="201">
      <calculatedColumnFormula array="1">IF(AND(M$2&lt;&gt;0,TblTech[[#This Row],[Hour]:[Hour]]&gt;=M$2),1,0)</calculatedColumnFormula>
    </tableColumn>
    <tableColumn id="24" xr3:uid="{50258140-FB02-4B3A-8985-9EF35792D437}" name="1-2" dataDxfId="200">
      <calculatedColumnFormula array="1">IF(AND(N$2&lt;&gt;0,TblTech[[#This Row],[Hour]:[Hour]]&gt;=N$2),1,0)</calculatedColumnFormula>
    </tableColumn>
    <tableColumn id="25" xr3:uid="{7124BFDC-5B72-4806-BD66-A9B40B96E890}" name="1-3" dataDxfId="199">
      <calculatedColumnFormula array="1">IF(AND(O$2&lt;&gt;0,TblTech[[#This Row],[Hour]:[Hour]]&gt;=O$2),1,0)</calculatedColumnFormula>
    </tableColumn>
    <tableColumn id="26" xr3:uid="{7F0A139B-B30E-4409-9274-8016025EA227}" name="1-4" dataDxfId="198">
      <calculatedColumnFormula array="1">IF(AND(P$2&lt;&gt;0,TblTech[[#This Row],[Hour]:[Hour]]&gt;=P$2),1,0)</calculatedColumnFormula>
    </tableColumn>
    <tableColumn id="27" xr3:uid="{29B9EAE2-227D-4807-9E41-445565CAAFF7}" name="1-5" dataDxfId="197">
      <calculatedColumnFormula array="1">IF(AND(Q$2&lt;&gt;0,TblTech[[#This Row],[Hour]:[Hour]]&gt;=Q$2),1,0)</calculatedColumnFormula>
    </tableColumn>
    <tableColumn id="28" xr3:uid="{43587F1E-C217-44F9-817A-0114F7F48D02}" name="1-6" dataDxfId="196">
      <calculatedColumnFormula array="1">IF(AND(R$2&lt;&gt;0,TblTech[[#This Row],[Hour]:[Hour]]&gt;=R$2),1,0)</calculatedColumnFormula>
    </tableColumn>
    <tableColumn id="29" xr3:uid="{0524F9E6-09EC-4986-B7A6-35B925952E60}" name="1-7" dataDxfId="195">
      <calculatedColumnFormula array="1">IF(AND(S$2&lt;&gt;0,TblTech[[#This Row],[Hour]:[Hour]]&gt;=S$2),1,0)</calculatedColumnFormula>
    </tableColumn>
    <tableColumn id="30" xr3:uid="{188B6808-99A1-4A91-A689-87097F62C1C1}" name="1-8" dataDxfId="194">
      <calculatedColumnFormula array="1">IF(AND(T$2&lt;&gt;0,TblTech[[#This Row],[Hour]:[Hour]]&gt;=T$2),1,0)</calculatedColumnFormula>
    </tableColumn>
    <tableColumn id="31" xr3:uid="{DC02C18F-47C9-4A23-8F34-9E02A677D29B}" name="1-9" dataDxfId="193">
      <calculatedColumnFormula array="1">IF(AND(U$2&lt;&gt;0,TblTech[[#This Row],[Hour]:[Hour]]&gt;=U$2),1,0)</calculatedColumnFormula>
    </tableColumn>
    <tableColumn id="32" xr3:uid="{21B6A564-7028-4932-914B-F32A59CAEC67}" name="1-10" dataDxfId="192">
      <calculatedColumnFormula array="1">IF(AND(V$2&lt;&gt;0,TblTech[[#This Row],[Hour]:[Hour]]&gt;=V$2),1,0)</calculatedColumnFormula>
    </tableColumn>
    <tableColumn id="33" xr3:uid="{BE08B152-511E-4680-AD58-AFCC2777EE65}" name="1-11" dataDxfId="191">
      <calculatedColumnFormula array="1">IF(AND(W$2&lt;&gt;0,TblTech[[#This Row],[Hour]:[Hour]]&gt;=W$2),1,0)</calculatedColumnFormula>
    </tableColumn>
    <tableColumn id="34" xr3:uid="{F0B67B28-DF8B-4FF4-BE8F-BD953642450D}" name="2-1" dataDxfId="190">
      <calculatedColumnFormula array="1">IF(AND(X$2&lt;&gt;0,TblTech[[#This Row],[Hour]:[Hour]]&gt;=X$2),1,0)</calculatedColumnFormula>
    </tableColumn>
    <tableColumn id="35" xr3:uid="{E1C38FB5-1814-43BE-8628-9E331159B491}" name="2-2" dataDxfId="189">
      <calculatedColumnFormula array="1">IF(AND(Y$2&lt;&gt;0,TblTech[[#This Row],[Hour]:[Hour]]&gt;=Y$2),1,0)</calculatedColumnFormula>
    </tableColumn>
    <tableColumn id="36" xr3:uid="{8EEFA1A3-F668-44A9-99D5-F625CDEC0846}" name="2-3" dataDxfId="188">
      <calculatedColumnFormula array="1">IF(AND(Z$2&lt;&gt;0,TblTech[[#This Row],[Hour]:[Hour]]&gt;=Z$2),1,0)</calculatedColumnFormula>
    </tableColumn>
    <tableColumn id="37" xr3:uid="{8B9C353C-5141-4E70-88A8-3C0ADC0F65A2}" name="2-4" dataDxfId="187">
      <calculatedColumnFormula array="1">IF(AND(AA$2&lt;&gt;0,TblTech[[#This Row],[Hour]:[Hour]]&gt;=AA$2),1,0)</calculatedColumnFormula>
    </tableColumn>
    <tableColumn id="38" xr3:uid="{4F9949FA-D32C-43B0-A632-BDA246027740}" name="2-5" dataDxfId="186">
      <calculatedColumnFormula array="1">IF(AND(AB$2&lt;&gt;0,TblTech[[#This Row],[Hour]:[Hour]]&gt;=AB$2),1,0)</calculatedColumnFormula>
    </tableColumn>
    <tableColumn id="39" xr3:uid="{E35ABE45-7462-4288-879B-43C24510B588}" name="2-6" dataDxfId="185">
      <calculatedColumnFormula array="1">IF(AND(AC$2&lt;&gt;0,TblTech[[#This Row],[Hour]:[Hour]]&gt;=AC$2),1,0)</calculatedColumnFormula>
    </tableColumn>
    <tableColumn id="40" xr3:uid="{B02ACA29-3024-4B8E-B2F0-E65F48E762BF}" name="2-7" dataDxfId="184">
      <calculatedColumnFormula array="1">IF(AND(AD$2&lt;&gt;0,TblTech[[#This Row],[Hour]:[Hour]]&gt;=AD$2),1,0)</calculatedColumnFormula>
    </tableColumn>
    <tableColumn id="41" xr3:uid="{34022863-F0D7-473E-B433-052438597C70}" name="2-8" dataDxfId="183">
      <calculatedColumnFormula array="1">IF(AND(AE$2&lt;&gt;0,TblTech[[#This Row],[Hour]:[Hour]]&gt;=AE$2),1,0)</calculatedColumnFormula>
    </tableColumn>
    <tableColumn id="42" xr3:uid="{4264B147-345F-4187-898B-976D4720C3B2}" name="2-9" dataDxfId="182">
      <calculatedColumnFormula array="1">IF(AND(AF$2&lt;&gt;0,TblTech[[#This Row],[Hour]:[Hour]]&gt;=AF$2),1,0)</calculatedColumnFormula>
    </tableColumn>
    <tableColumn id="43" xr3:uid="{040A812F-9A82-4FA5-96D4-BB0CE9B1567D}" name="2-10" dataDxfId="181">
      <calculatedColumnFormula array="1">IF(AND(AG$2&lt;&gt;0,TblTech[[#This Row],[Hour]:[Hour]]&gt;=AG$2),1,0)</calculatedColumnFormula>
    </tableColumn>
    <tableColumn id="44" xr3:uid="{65E9F477-8A73-4C7D-9453-E8F8A13C4220}" name="3-1" dataDxfId="180">
      <calculatedColumnFormula array="1">IF(AND(AH$2&lt;&gt;0,TblTech[[#This Row],[Hour]:[Hour]]&gt;=AH$2),1,0)</calculatedColumnFormula>
    </tableColumn>
    <tableColumn id="45" xr3:uid="{86A8FA88-B983-4431-9D5A-9A068F2DE89C}" name="3-2" dataDxfId="179">
      <calculatedColumnFormula array="1">IF(AND(AI$2&lt;&gt;0,TblTech[[#This Row],[Hour]:[Hour]]&gt;=AI$2),1,0)</calculatedColumnFormula>
    </tableColumn>
    <tableColumn id="46" xr3:uid="{B4D6E3D7-41BB-4A05-98AF-36C706567C66}" name="3-3" dataDxfId="178">
      <calculatedColumnFormula array="1">IF(AND(AJ$2&lt;&gt;0,TblTech[[#This Row],[Hour]:[Hour]]&gt;=AJ$2),1,0)</calculatedColumnFormula>
    </tableColumn>
    <tableColumn id="47" xr3:uid="{A65655BF-F389-46E7-B712-282C9B16E721}" name="3-4" dataDxfId="177">
      <calculatedColumnFormula array="1">IF(AND(AK$2&lt;&gt;0,TblTech[[#This Row],[Hour]:[Hour]]&gt;=AK$2),1,0)</calculatedColumnFormula>
    </tableColumn>
    <tableColumn id="48" xr3:uid="{6AC53AFF-C5BC-4C6E-A226-AD750DEF26F0}" name="3-5" dataDxfId="176">
      <calculatedColumnFormula array="1">IF(AND(AL$2&lt;&gt;0,TblTech[[#This Row],[Hour]:[Hour]]&gt;=AL$2),1,0)</calculatedColumnFormula>
    </tableColumn>
    <tableColumn id="49" xr3:uid="{517C8F30-6F70-4A9F-930D-87F70A281D06}" name="3-6" dataDxfId="175">
      <calculatedColumnFormula array="1">IF(AND(AM$2&lt;&gt;0,TblTech[[#This Row],[Hour]:[Hour]]&gt;=AM$2),1,0)</calculatedColumnFormula>
    </tableColumn>
    <tableColumn id="50" xr3:uid="{3B9D0CD9-1DC1-4BF8-84D6-0C15DCE53BA3}" name="3-7" dataDxfId="174">
      <calculatedColumnFormula array="1">IF(AND(AN$2&lt;&gt;0,TblTech[[#This Row],[Hour]:[Hour]]&gt;=AN$2),1,0)</calculatedColumnFormula>
    </tableColumn>
    <tableColumn id="51" xr3:uid="{BF773A1C-6C94-4253-89D5-6B882BDABD54}" name="3-8" dataDxfId="173">
      <calculatedColumnFormula array="1">IF(AND(AO$2&lt;&gt;0,TblTech[[#This Row],[Hour]:[Hour]]&gt;=AO$2),1,0)</calculatedColumnFormula>
    </tableColumn>
    <tableColumn id="52" xr3:uid="{D719799C-D81A-4575-B1F1-9835FB72D924}" name="3-9" dataDxfId="172">
      <calculatedColumnFormula array="1">IF(AND(AP$2&lt;&gt;0,TblTech[[#This Row],[Hour]:[Hour]]&gt;=AP$2),1,0)</calculatedColumnFormula>
    </tableColumn>
    <tableColumn id="53" xr3:uid="{81CD67AD-C2F6-496B-991C-75EACF4860E0}" name="4-1" dataDxfId="171">
      <calculatedColumnFormula array="1">IF(AND(AQ$2&lt;&gt;0,TblTech[[#This Row],[Hour]:[Hour]]&gt;=AQ$2),1,0)</calculatedColumnFormula>
    </tableColumn>
    <tableColumn id="54" xr3:uid="{3255B3D4-FF8E-4B91-8A83-C128D00B29D0}" name="4-2" dataDxfId="170">
      <calculatedColumnFormula array="1">IF(AND(AR$2&lt;&gt;0,TblTech[[#This Row],[Hour]:[Hour]]&gt;=AR$2),1,0)</calculatedColumnFormula>
    </tableColumn>
    <tableColumn id="55" xr3:uid="{E9B22F56-FCCE-4890-8FF4-FF6D8C0863D0}" name="4-3" dataDxfId="169">
      <calculatedColumnFormula array="1">IF(AND(AS$2&lt;&gt;0,TblTech[[#This Row],[Hour]:[Hour]]&gt;=AS$2),1,0)</calculatedColumnFormula>
    </tableColumn>
    <tableColumn id="56" xr3:uid="{1C0A6BE0-6DBC-40E6-B512-F921E4637B0B}" name="4-4" dataDxfId="168">
      <calculatedColumnFormula array="1">IF(AND(AT$2&lt;&gt;0,TblTech[[#This Row],[Hour]:[Hour]]&gt;=AT$2),1,0)</calculatedColumnFormula>
    </tableColumn>
    <tableColumn id="57" xr3:uid="{5DAC0420-BB86-481B-957A-78DB826A7E20}" name="4-5" dataDxfId="167">
      <calculatedColumnFormula array="1">IF(AND(AU$2&lt;&gt;0,TblTech[[#This Row],[Hour]:[Hour]]&gt;=AU$2),1,0)</calculatedColumnFormula>
    </tableColumn>
    <tableColumn id="58" xr3:uid="{2442830B-618D-4A03-A6E6-23EC65BAB59B}" name="4-6" dataDxfId="166">
      <calculatedColumnFormula array="1">IF(AND(AV$2&lt;&gt;0,TblTech[[#This Row],[Hour]:[Hour]]&gt;=AV$2),1,0)</calculatedColumnFormula>
    </tableColumn>
    <tableColumn id="59" xr3:uid="{8AB48F18-B215-484F-9058-BE5431D00ED5}" name="4-7" dataDxfId="165">
      <calculatedColumnFormula array="1">IF(AND(AW$2&lt;&gt;0,TblTech[[#This Row],[Hour]:[Hour]]&gt;=AW$2),1,0)</calculatedColumnFormula>
    </tableColumn>
    <tableColumn id="60" xr3:uid="{3B7FB99A-0607-4DBC-A93C-47B6B21464A5}" name="4-8" dataDxfId="164">
      <calculatedColumnFormula array="1">IF(AND(AX$2&lt;&gt;0,TblTech[[#This Row],[Hour]:[Hour]]&gt;=AX$2),1,0)</calculatedColumnFormula>
    </tableColumn>
    <tableColumn id="61" xr3:uid="{CFAAB1A4-4760-4FF3-BF0E-D276BAEF346A}" name="5-1" dataDxfId="163">
      <calculatedColumnFormula array="1">IF(AND(AY$2&lt;&gt;0,TblTech[[#This Row],[Hour]:[Hour]]&gt;=AY$2),1,0)</calculatedColumnFormula>
    </tableColumn>
    <tableColumn id="62" xr3:uid="{E5F62076-AF81-4EE1-A6D2-C4FBF4181C93}" name="5-2" dataDxfId="162">
      <calculatedColumnFormula array="1">IF(AND(AZ$2&lt;&gt;0,TblTech[[#This Row],[Hour]:[Hour]]&gt;=AZ$2),1,0)</calculatedColumnFormula>
    </tableColumn>
    <tableColumn id="63" xr3:uid="{EE3346E8-7A22-4F0A-94B7-B36570A0B72E}" name="5-3" dataDxfId="161">
      <calculatedColumnFormula array="1">IF(AND(BA$2&lt;&gt;0,TblTech[[#This Row],[Hour]:[Hour]]&gt;=BA$2),1,0)</calculatedColumnFormula>
    </tableColumn>
    <tableColumn id="64" xr3:uid="{19F3E157-570E-4E1E-BCC2-3EF92D7B8A8B}" name="5-4" dataDxfId="160">
      <calculatedColumnFormula array="1">IF(AND(BB$2&lt;&gt;0,TblTech[[#This Row],[Hour]:[Hour]]&gt;=BB$2),1,0)</calculatedColumnFormula>
    </tableColumn>
    <tableColumn id="65" xr3:uid="{A59D5D3A-678C-49C4-A3B5-D86FF0C14500}" name="5-5" dataDxfId="159">
      <calculatedColumnFormula array="1">IF(AND(BC$2&lt;&gt;0,TblTech[[#This Row],[Hour]:[Hour]]&gt;=BC$2),1,0)</calculatedColumnFormula>
    </tableColumn>
    <tableColumn id="66" xr3:uid="{3EBEC9F5-18F1-461D-AF3F-E66DA870B9ED}" name="5-6" dataDxfId="158">
      <calculatedColumnFormula array="1">IF(AND(BD$2&lt;&gt;0,TblTech[[#This Row],[Hour]:[Hour]]&gt;=BD$2),1,0)</calculatedColumnFormula>
    </tableColumn>
    <tableColumn id="67" xr3:uid="{20985549-198B-4F2A-AF78-070BD8A22298}" name="5-7" dataDxfId="157">
      <calculatedColumnFormula array="1">IF(AND(BE$2&lt;&gt;0,TblTech[[#This Row],[Hour]:[Hour]]&gt;=BE$2),1,0)</calculatedColumnFormula>
    </tableColumn>
    <tableColumn id="68" xr3:uid="{F4DDB15D-3A5D-449E-8491-EA836A4AB090}" name="6-1" dataDxfId="156">
      <calculatedColumnFormula array="1">IF(AND(BF$2&lt;&gt;0,TblTech[[#This Row],[Hour]:[Hour]]&gt;=BF$2),1,0)</calculatedColumnFormula>
    </tableColumn>
    <tableColumn id="69" xr3:uid="{CC7E2300-DCD5-46C6-AD93-8F283F035DAF}" name="6-2" dataDxfId="155">
      <calculatedColumnFormula array="1">IF(AND(BG$2&lt;&gt;0,TblTech[[#This Row],[Hour]:[Hour]]&gt;=BG$2),1,0)</calculatedColumnFormula>
    </tableColumn>
    <tableColumn id="70" xr3:uid="{0DC5B532-84DD-40E3-9A96-3B7ED120C52C}" name="6-3" dataDxfId="154">
      <calculatedColumnFormula array="1">IF(AND(BH$2&lt;&gt;0,TblTech[[#This Row],[Hour]:[Hour]]&gt;=BH$2),1,0)</calculatedColumnFormula>
    </tableColumn>
    <tableColumn id="71" xr3:uid="{DBF8F56A-2B38-47BE-86BB-D34F12B071FA}" name="6-4" dataDxfId="153">
      <calculatedColumnFormula array="1">IF(AND(BI$2&lt;&gt;0,TblTech[[#This Row],[Hour]:[Hour]]&gt;=BI$2),1,0)</calculatedColumnFormula>
    </tableColumn>
    <tableColumn id="72" xr3:uid="{8A63D20A-B735-48C5-9D04-93C0E6922380}" name="6-5" dataDxfId="152">
      <calculatedColumnFormula array="1">IF(AND(BJ$2&lt;&gt;0,TblTech[[#This Row],[Hour]:[Hour]]&gt;=BJ$2),1,0)</calculatedColumnFormula>
    </tableColumn>
    <tableColumn id="73" xr3:uid="{40ABCA6E-09C4-437C-8184-D2AA8A46BADC}" name="6-6" dataDxfId="151">
      <calculatedColumnFormula array="1">IF(AND(BK$2&lt;&gt;0,TblTech[[#This Row],[Hour]:[Hour]]&gt;=BK$2),1,0)</calculatedColumnFormula>
    </tableColumn>
    <tableColumn id="74" xr3:uid="{304D27FC-5054-456F-9FA0-3E170324E735}" name="7-1" dataDxfId="150">
      <calculatedColumnFormula array="1">IF(AND(BL$2&lt;&gt;0,TblTech[[#This Row],[Hour]:[Hour]]&gt;=BL$2),1,0)</calculatedColumnFormula>
    </tableColumn>
    <tableColumn id="75" xr3:uid="{F53A9B26-BE5F-4442-9E77-570EB38C7B2D}" name="7-2" dataDxfId="149">
      <calculatedColumnFormula array="1">IF(AND(BM$2&lt;&gt;0,TblTech[[#This Row],[Hour]:[Hour]]&gt;=BM$2),1,0)</calculatedColumnFormula>
    </tableColumn>
    <tableColumn id="76" xr3:uid="{5A1C0BCB-6C77-48A3-8B36-DA0838BEFD4F}" name="7-3" dataDxfId="148">
      <calculatedColumnFormula array="1">IF(AND(BN$2&lt;&gt;0,TblTech[[#This Row],[Hour]:[Hour]]&gt;=BN$2),1,0)</calculatedColumnFormula>
    </tableColumn>
    <tableColumn id="77" xr3:uid="{96D50B4B-A1C4-4AE1-87EE-409B3128CB4D}" name="7-4" dataDxfId="147">
      <calculatedColumnFormula array="1">IF(AND(BO$2&lt;&gt;0,TblTech[[#This Row],[Hour]:[Hour]]&gt;=BO$2),1,0)</calculatedColumnFormula>
    </tableColumn>
    <tableColumn id="78" xr3:uid="{64A36F5D-65DB-44C8-84EC-A1A1FFF2B3AB}" name="7-5" dataDxfId="146">
      <calculatedColumnFormula array="1">IF(AND(BP$2&lt;&gt;0,TblTech[[#This Row],[Hour]:[Hour]]&gt;=BP$2),1,0)</calculatedColumnFormula>
    </tableColumn>
    <tableColumn id="79" xr3:uid="{73D8C7B5-D3FC-4DB3-BB3C-6A056F59A2A0}" name="8-1" dataDxfId="145">
      <calculatedColumnFormula array="1">IF(AND(BQ$2&lt;&gt;0,TblTech[[#This Row],[Hour]:[Hour]]&gt;=BQ$2),1,0)</calculatedColumnFormula>
    </tableColumn>
    <tableColumn id="80" xr3:uid="{8C8F01C9-13ED-4ABA-B4ED-5D892B20A077}" name="8-2" dataDxfId="144">
      <calculatedColumnFormula array="1">IF(AND(BR$2&lt;&gt;0,TblTech[[#This Row],[Hour]:[Hour]]&gt;=BR$2),1,0)</calculatedColumnFormula>
    </tableColumn>
    <tableColumn id="81" xr3:uid="{954DF58F-2216-42C3-A4F3-4A1B568C8A7F}" name="8-3" dataDxfId="143">
      <calculatedColumnFormula array="1">IF(AND(BS$2&lt;&gt;0,TblTech[[#This Row],[Hour]:[Hour]]&gt;=BS$2),1,0)</calculatedColumnFormula>
    </tableColumn>
    <tableColumn id="82" xr3:uid="{941FAEC7-7D7C-4C75-9F8E-BB3469E2F29F}" name="8-4" dataDxfId="142">
      <calculatedColumnFormula array="1">IF(AND(BT$2&lt;&gt;0,TblTech[[#This Row],[Hour]:[Hour]]&gt;=BT$2),1,0)</calculatedColumnFormula>
    </tableColumn>
    <tableColumn id="83" xr3:uid="{27C9395E-8B81-4CBA-8523-A330679CAE04}" name="9-1" dataDxfId="141">
      <calculatedColumnFormula array="1">IF(AND(BU$2&lt;&gt;0,TblTech[[#This Row],[Hour]:[Hour]]&gt;=BU$2),1,0)</calculatedColumnFormula>
    </tableColumn>
    <tableColumn id="84" xr3:uid="{90667EBE-7747-4976-9947-BD9386AEC90C}" name="9-2" dataDxfId="140">
      <calculatedColumnFormula array="1">IF(AND(BV$2&lt;&gt;0,TblTech[[#This Row],[Hour]:[Hour]]&gt;=BV$2),1,0)</calculatedColumnFormula>
    </tableColumn>
    <tableColumn id="85" xr3:uid="{8AA93356-F62A-4D0B-B2F8-5CADB2567ECF}" name="9-3" dataDxfId="139">
      <calculatedColumnFormula array="1">IF(AND(BW$2&lt;&gt;0,TblTech[[#This Row],[Hour]:[Hour]]&gt;=BW$2),1,0)</calculatedColumnFormula>
    </tableColumn>
    <tableColumn id="86" xr3:uid="{C66AB8D9-7BBC-415A-8732-B5DF0FF2495D}" name="10-1" dataDxfId="138">
      <calculatedColumnFormula array="1">IF(AND(BX$2&lt;&gt;0,TblTech[[#This Row],[Hour]:[Hour]]&gt;=BX$2),1,0)</calculatedColumnFormula>
    </tableColumn>
    <tableColumn id="87" xr3:uid="{13FA2B9A-3F31-4A51-9E2B-753CC6C8AA88}" name="10-2" dataDxfId="137">
      <calculatedColumnFormula array="1">IF(AND(BY$2&lt;&gt;0,TblTech[[#This Row],[Hour]:[Hour]]&gt;=BY$2),1,0)</calculatedColumnFormula>
    </tableColumn>
    <tableColumn id="88" xr3:uid="{D4F65702-E3D7-4783-B103-20F8DD7E4532}" name="11-1" dataDxfId="136">
      <calculatedColumnFormula array="1">IF(AND(BZ$2&lt;&gt;0,TblTech[[#This Row],[Hour]:[Hour]]&gt;=BZ$2),1,0)</calculatedColumnFormula>
    </tableColumn>
    <tableColumn id="89" xr3:uid="{0428044E-0525-4B76-80C9-2D449BDFDA1D}" name="Tech" dataDxfId="135">
      <calculatedColumnFormula>IFERROR(INDEX(#REF!,MATCH(MIN(#REF!),#REF!,0)),"")</calculatedColumnFormula>
    </tableColumn>
  </tableColumns>
  <tableStyleInfo name="TableStyleLight1 3 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B721876-99EE-4E05-B48E-4FEB7D048005}" name="TblImps" displayName="TblImps" ref="A3:BZ136" totalsRowShown="0" headerRowDxfId="123" dataDxfId="121" headerRowBorderDxfId="122" tableBorderDxfId="120">
  <autoFilter ref="A3:BZ136" xr:uid="{B18E890F-0AD0-4F31-AADE-588187502525}">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filterColumn colId="36" hiddenButton="1"/>
    <filterColumn colId="37" hiddenButton="1"/>
    <filterColumn colId="38" hiddenButton="1"/>
    <filterColumn colId="39" hiddenButton="1"/>
    <filterColumn colId="40" hiddenButton="1"/>
    <filterColumn colId="41" hiddenButton="1"/>
    <filterColumn colId="42" hiddenButton="1"/>
    <filterColumn colId="43" hiddenButton="1"/>
    <filterColumn colId="44" hiddenButton="1"/>
    <filterColumn colId="45" hiddenButton="1"/>
    <filterColumn colId="46" hiddenButton="1"/>
    <filterColumn colId="47" hiddenButton="1"/>
    <filterColumn colId="48" hiddenButton="1"/>
    <filterColumn colId="49" hiddenButton="1"/>
    <filterColumn colId="50" hiddenButton="1"/>
    <filterColumn colId="51" hiddenButton="1"/>
    <filterColumn colId="52" hiddenButton="1"/>
    <filterColumn colId="53" hiddenButton="1"/>
    <filterColumn colId="54" hiddenButton="1"/>
    <filterColumn colId="55" hiddenButton="1"/>
    <filterColumn colId="56" hiddenButton="1"/>
    <filterColumn colId="57" hiddenButton="1"/>
    <filterColumn colId="58" hiddenButton="1"/>
    <filterColumn colId="59" hiddenButton="1"/>
    <filterColumn colId="60" hiddenButton="1"/>
    <filterColumn colId="61" hiddenButton="1"/>
    <filterColumn colId="62" hiddenButton="1"/>
    <filterColumn colId="63" hiddenButton="1"/>
    <filterColumn colId="64" hiddenButton="1"/>
    <filterColumn colId="65" hiddenButton="1"/>
    <filterColumn colId="66" hiddenButton="1"/>
    <filterColumn colId="67" hiddenButton="1"/>
    <filterColumn colId="68" hiddenButton="1"/>
    <filterColumn colId="69" hiddenButton="1"/>
    <filterColumn colId="70" hiddenButton="1"/>
    <filterColumn colId="71" hiddenButton="1"/>
    <filterColumn colId="72" hiddenButton="1"/>
    <filterColumn colId="73" hiddenButton="1"/>
    <filterColumn colId="74" hiddenButton="1"/>
    <filterColumn colId="75" hiddenButton="1"/>
    <filterColumn colId="76" hiddenButton="1"/>
    <filterColumn colId="77" hiddenButton="1"/>
  </autoFilter>
  <tableColumns count="78">
    <tableColumn id="1" xr3:uid="{8B853867-4FF4-4598-9642-7AE686A60E0E}" name="Land" dataDxfId="119">
      <calculatedColumnFormula>TblConstr[[#This Row],[Land]]</calculatedColumnFormula>
    </tableColumn>
    <tableColumn id="2" xr3:uid="{AF6EC8F3-9D95-46FD-B967-FAAF3638AE73}" name="." dataDxfId="118"/>
    <tableColumn id="3" xr3:uid="{FF282ACC-05AC-4142-89E7-09EE52E6FD72}" name="Platinum" dataDxfId="117">
      <calculatedColumnFormula>TblProd[[#This Row],[Platinum]]</calculatedColumnFormula>
    </tableColumn>
    <tableColumn id="4" xr3:uid="{F2178B14-2531-41FE-8DC7-F919571A183A}" name="Lumber" dataDxfId="116">
      <calculatedColumnFormula>TblProd[[#This Row],[Lumber]]</calculatedColumnFormula>
    </tableColumn>
    <tableColumn id="5" xr3:uid="{E437C993-EDEE-4BB3-942B-73180B524B81}" name="Ore" dataDxfId="115">
      <calculatedColumnFormula>TblProd[[#This Row],[Ore]]</calculatedColumnFormula>
    </tableColumn>
    <tableColumn id="6" xr3:uid="{C515063B-AE7C-4BAF-93AB-7443CE68AC54}" name="Gems" dataDxfId="114">
      <calculatedColumnFormula>TblProd[[#This Row],[Gems]]</calculatedColumnFormula>
    </tableColumn>
    <tableColumn id="7" xr3:uid="{935F3905-1AC4-42EE-8A78-476F2F815DFD}" name=".." dataDxfId="113"/>
    <tableColumn id="8" xr3:uid="{A8E01FC0-2F13-4C73-B50D-1FA1083B0FFA}" name="Drafees" dataDxfId="112">
      <calculatedColumnFormula>TblMili[[#This Row],[Draftees]]</calculatedColumnFormula>
    </tableColumn>
    <tableColumn id="9" xr3:uid="{FF70B178-883B-4FA3-B446-2BB364451655}" name="Employed" dataDxfId="111" dataCellStyle="Percent">
      <calculatedColumnFormula>TblPop[[#This Row],[Employment]]</calculatedColumnFormula>
    </tableColumn>
    <tableColumn id="10" xr3:uid="{8AB351E3-8FED-4F8D-951B-AA2D279B0091}" name="Population" dataDxfId="110" dataCellStyle="Percent">
      <calculatedColumnFormula>TblPop[[#This Row],[Total]]/TblPop[[#This Row],[Net max]]</calculatedColumnFormula>
    </tableColumn>
    <tableColumn id="11" xr3:uid="{3D13675F-4203-4882-AC02-B7629E90679D}" name="Hour" dataDxfId="109" dataCellStyle="Percent">
      <calculatedColumnFormula>TblRezone[[#This Row],[Hour]]</calculatedColumnFormula>
    </tableColumn>
    <tableColumn id="12" xr3:uid="{50E3FF0B-DB5B-4715-971A-2D8F804DD3F4}" name="Time" dataDxfId="108" dataCellStyle="Percent">
      <calculatedColumnFormula>TblImps[[#This Row],[Real time]]</calculatedColumnFormula>
    </tableColumn>
    <tableColumn id="13" xr3:uid="{33373A28-E349-4A6C-946C-A172D9829897}" name="Login" dataDxfId="107">
      <calculatedColumnFormula>IF(ISERROR(TblImps[[#This Row],[algorithm]]),0,TblImps[[#This Row],[algorithm]]*1)</calculatedColumnFormula>
    </tableColumn>
    <tableColumn id="14" xr3:uid="{820813AE-0D29-4E3D-B99A-7C5B810B4DA6}" name="Land (3)" dataDxfId="106">
      <calculatedColumnFormula>TblImps[[#This Row],[Land]]</calculatedColumnFormula>
    </tableColumn>
    <tableColumn id="15" xr3:uid="{D8234223-045A-48CE-8E60-8B1B718D1273}" name="Resource" dataDxfId="105"/>
    <tableColumn id="16" xr3:uid="{9AB57DEC-DF25-44AD-97D1-1EF820C63FF2}" name="Amount" dataDxfId="104"/>
    <tableColumn id="17" xr3:uid="{1ECA1762-52EB-4370-862C-42E5B7F71087}" name="Part" dataDxfId="103"/>
    <tableColumn id="18" xr3:uid="{45AD7F60-4F2F-47B2-8046-04C9C5A445EE}" name="Resource 2" dataDxfId="102"/>
    <tableColumn id="19" xr3:uid="{1D8720C7-5940-4FF1-AF3B-FB70E475E9BA}" name="Amount 2" dataDxfId="101"/>
    <tableColumn id="20" xr3:uid="{1AF884E5-0A32-404F-8142-8BDFCA31C5EF}" name="Part 2" dataDxfId="100"/>
    <tableColumn id="21" xr3:uid="{FFCC36EF-B2F1-46BE-827C-260D53435D8F}" name="Resource 3" dataDxfId="99"/>
    <tableColumn id="22" xr3:uid="{AAD98AF1-A248-4594-A8A2-ADB665DABE8F}" name="Amount 3" dataDxfId="98"/>
    <tableColumn id="23" xr3:uid="{5BDF5795-C792-45A5-AC6D-35BE17C06BBC}" name="Part 3" dataDxfId="97"/>
    <tableColumn id="24" xr3:uid="{AB1402EA-4B4E-4F7F-B76D-14CCFC4BF881}" name="…" dataDxfId="96"/>
    <tableColumn id="25" xr3:uid="{C82B3C56-E90F-4536-A41D-465C61544B49}" name="Science" dataDxfId="95">
      <calculatedColumnFormula>science_cap*(1-EXP(-TblImps[[#This Row],[Σ Science]]/(science_param*(OFFSET(TblImps[[#This Row],[Land]],1,0)-OFFSET(TblExplore[[#This Row],[Land Bonus]],1,0)*20)+15000)))*(1+(mason_bonus*TblConstr[[#This Row],[Tot Mas]]/TblConstr[[#This Row],[Land (2)]]))</calculatedColumnFormula>
    </tableColumn>
    <tableColumn id="26" xr3:uid="{A236E955-621A-4479-96DA-F84B65EEFD2D}" name="Keep" dataDxfId="94">
      <calculatedColumnFormula>keep_cap*(1-EXP(-TblImps[[#This Row],[Σ Keep]]/(keep_param*(OFFSET(TblImps[[#This Row],[Land]],1,0)-OFFSET(TblExplore[[#This Row],[Land Bonus]],1,0)*20)+15000)))*(1+(mason_bonus*TblConstr[[#This Row],[Tot Mas]]/TblConstr[[#This Row],[Land (2)]]))</calculatedColumnFormula>
    </tableColumn>
    <tableColumn id="27" xr3:uid="{F412C0AC-3518-41D6-AE7E-CC676626A17F}" name="Spires" dataDxfId="93">
      <calculatedColumnFormula>harbor_towers_cap*(1-EXP(-TblImps[[#This Row],[Σ Spires]]/(towers_param*(OFFSET(TblImps[[#This Row],[Land]],1,0)-OFFSET(TblExplore[[#This Row],[Land Bonus]],1,0)*20)+15000)))*(1+(mason_bonus*TblConstr[[#This Row],[Tot Mas]]/TblConstr[[#This Row],[Land (2)]]))</calculatedColumnFormula>
    </tableColumn>
    <tableColumn id="28" xr3:uid="{F237E440-111E-4CDB-81C9-3FE019193498}" name="Forges" dataDxfId="92">
      <calculatedColumnFormula>walls_forges_cap*(1-EXP(-TblImps[[#This Row],[Σ Forges]]/(walls_forges_param*(OFFSET(TblImps[[#This Row],[Land]],1,0)-OFFSET(TblExplore[[#This Row],[Land Bonus]],1,0)*20)+15000)))*(1+(mason_bonus*TblConstr[[#This Row],[Tot Mas]]/TblConstr[[#This Row],[Land (2)]]))</calculatedColumnFormula>
    </tableColumn>
    <tableColumn id="29" xr3:uid="{3996A601-C145-43CE-9F16-81ADC1F6C911}" name="Walls" dataDxfId="91">
      <calculatedColumnFormula>walls_forges_cap*(1-EXP(-TblImps[[#This Row],[Σ Walls]]/(walls_forges_param*(OFFSET(TblImps[[#This Row],[Land]],1,0)-OFFSET(TblExplore[[#This Row],[Land Bonus]],1,0)*20)+15000)))*(1+(mason_bonus*TblConstr[[#This Row],[Tot Mas]]/TblConstr[[#This Row],[Land (2)]]))</calculatedColumnFormula>
    </tableColumn>
    <tableColumn id="30" xr3:uid="{4B4BCCC8-5FB7-4CF5-B054-68F170D392C3}" name="Harbor" dataDxfId="90">
      <calculatedColumnFormula>harbor_towers_cap*(1-EXP(-TblImps[[#This Row],[Σ Harbor]]/(harbor_towers_param*(OFFSET(TblImps[[#This Row],[Land]],1,0)-OFFSET(TblExplore[[#This Row],[Land Bonus]],1,0)*20)+15000)))*(1+(mason_bonus*TblConstr[[#This Row],[Tot Mas]]/TblConstr[[#This Row],[Land (2)]]))</calculatedColumnFormula>
    </tableColumn>
    <tableColumn id="31" xr3:uid="{E38D69F0-0D00-401F-BA01-677E9B5020C5}" name="…." dataDxfId="89"/>
    <tableColumn id="32" xr3:uid="{C7C4061A-6DA9-4687-A437-B442C90A5089}" name="Σ Science" dataDxfId="88">
      <calculatedColumnFormula>(1+Overview!$I$29)*SUM(TblImps[[#This Row],[P2]:[G2]])+OFFSET(TblImps[[#This Row],[Σ Science]],-1,0)</calculatedColumnFormula>
    </tableColumn>
    <tableColumn id="33" xr3:uid="{87424BBC-4CC9-4173-85AC-5C6A6ECFFB84}" name="Σ Keep" dataDxfId="87">
      <calculatedColumnFormula>(1+Overview!$I$29)*SUM(TblImps[[#This Row],[P3]:[G3]])+OFFSET(TblImps[[#This Row],[Σ Keep]],-1,0)</calculatedColumnFormula>
    </tableColumn>
    <tableColumn id="34" xr3:uid="{3DB81FE6-4CBC-4F36-973D-C8F8D1BD09A1}" name="Σ Spires" dataDxfId="86">
      <calculatedColumnFormula>(1+Overview!$I$29 + tech_7_1*TblTech[[#This Row],[7-1]])*SUM(TblImps[[#This Row],[P4]:[G4]])+OFFSET(TblImps[[#This Row],[Σ Spires]],-1,0)</calculatedColumnFormula>
    </tableColumn>
    <tableColumn id="35" xr3:uid="{485A62F9-7EE3-40A9-BDA7-9F3E4E3EC0E1}" name="Σ Forges" dataDxfId="85">
      <calculatedColumnFormula>(1+Overview!$I$29)*SUM(TblImps[[#This Row],[P5]:[G5]])+OFFSET(TblImps[[#This Row],[Σ Forges]],-1,0)</calculatedColumnFormula>
    </tableColumn>
    <tableColumn id="36" xr3:uid="{CEDFD8F7-5AA6-4236-AE0F-14B6F23AE524}" name="Σ Walls" dataDxfId="84">
      <calculatedColumnFormula>(1+Overview!$I$29)*SUM(TblImps[[#This Row],[P6]:[G6]])+OFFSET(TblImps[[#This Row],[Σ Walls]],-1,0)</calculatedColumnFormula>
    </tableColumn>
    <tableColumn id="37" xr3:uid="{1C140D1F-1021-4314-82BD-7176A05B078C}" name="Σ Harbor" dataDxfId="83">
      <calculatedColumnFormula>(1+Overview!$I$29 + tech_7_1*TblTech[[#This Row],[7-1]])*SUM(TblImps[[#This Row],[P7]:[G7]])+OFFSET(TblImps[[#This Row],[Σ Harbor]],-1,0)</calculatedColumnFormula>
    </tableColumn>
    <tableColumn id="38" xr3:uid="{808772B5-D74B-4C2E-9369-56BA268972E4}" name="….." dataDxfId="82"/>
    <tableColumn id="39" xr3:uid="{A732ACBF-AEA8-4BC8-8A5C-C0F5525B84B4}" name="P1" dataDxfId="81">
      <calculatedColumnFormula>IF(AND(TblImps[[#This Row],[Resource]]=AM$2,TblImps[[#This Row],[Part]]&lt;&gt;""),TblImps[[#This Row],[Amount]]) + IF(AND(TblImps[[#This Row],[Resource 2]]=AM$2,TblImps[[#This Row],[Part 2]]&lt;&gt;""),TblImps[[#This Row],[Amount 2]]) + IF(AND(TblImps[[#This Row],[Resource 3]]=AM$2,TblImps[[#This Row],[Part 3]]&lt;&gt;""),TblImps[[#This Row],[Amount 3]])</calculatedColumnFormula>
    </tableColumn>
    <tableColumn id="40" xr3:uid="{221A453F-5D1E-4456-9502-E21D03ABF678}" name="L1" dataDxfId="80">
      <calculatedColumnFormula>IF(AND(TblImps[[#This Row],[Resource]]=AN$2,TblImps[[#This Row],[Part]]&lt;&gt;""),TblImps[[#This Row],[Amount]]) + IF(AND(TblImps[[#This Row],[Resource 2]]=AN$2,TblImps[[#This Row],[Part 2]]&lt;&gt;""),TblImps[[#This Row],[Amount 2]]) + IF(AND(TblImps[[#This Row],[Resource 3]]=AN$2,TblImps[[#This Row],[Part 3]]&lt;&gt;""),TblImps[[#This Row],[Amount 3]])</calculatedColumnFormula>
    </tableColumn>
    <tableColumn id="41" xr3:uid="{E1C61A59-6703-4724-A567-852D8B08D6B5}" name="O1" dataDxfId="79">
      <calculatedColumnFormula>IF(AND(TblImps[[#This Row],[Resource]]=AO$2,TblImps[[#This Row],[Part]]&lt;&gt;""),TblImps[[#This Row],[Amount]]) + IF(AND(TblImps[[#This Row],[Resource 2]]=AO$2,TblImps[[#This Row],[Part 2]]&lt;&gt;""),TblImps[[#This Row],[Amount 2]]) + IF(AND(TblImps[[#This Row],[Resource 3]]=AO$2,TblImps[[#This Row],[Part 3]]&lt;&gt;""),TblImps[[#This Row],[Amount 3]])</calculatedColumnFormula>
    </tableColumn>
    <tableColumn id="42" xr3:uid="{308A8218-AD2F-4A08-8589-E828B261EA27}" name="G1" dataDxfId="78">
      <calculatedColumnFormula>IF(AND(TblImps[[#This Row],[Resource]]=AP$2,TblImps[[#This Row],[Part]]&lt;&gt;""),TblImps[[#This Row],[Amount]]) + IF(AND(TblImps[[#This Row],[Resource 2]]=AP$2,TblImps[[#This Row],[Part 2]]&lt;&gt;""),TblImps[[#This Row],[Amount 2]]) + IF(AND(TblImps[[#This Row],[Resource 3]]=AP$2,TblImps[[#This Row],[Part 3]]&lt;&gt;""),TblImps[[#This Row],[Amount 3]])</calculatedColumnFormula>
    </tableColumn>
    <tableColumn id="43" xr3:uid="{F7DFE247-8F62-409B-B039-F672AD54137B}" name="…..." dataDxfId="77"/>
    <tableColumn id="44" xr3:uid="{B4E4C91D-5302-4D99-9223-7DC08C0F56E2}" name="P2" dataDxfId="76">
      <calculatedColumnFormula>IF(TblImps[[#This Row],[Resource]]=AR$2,IF(TblImps[[#This Row],[Part]]=$Y$2,TblImps[[#This Row],[Amount]]*plat_invest)) + IF(TblImps[[#This Row],[Resource 2]]=AR$2,IF(TblImps[[#This Row],[Part 2]]=$Y$2,TblImps[[#This Row],[Amount 2]]*plat_invest)) + IF(TblImps[[#This Row],[Resource 3]]=AR$2,IF(TblImps[[#This Row],[Part 3]]=$Y$2,TblImps[[#This Row],[Amount 3]]*plat_invest))</calculatedColumnFormula>
    </tableColumn>
    <tableColumn id="45" xr3:uid="{B10B8E26-0D50-435A-B1C8-D64893B85619}" name="L2" dataDxfId="75">
      <calculatedColumnFormula>IF(TblImps[[#This Row],[Resource]]=AS$2,IF(TblImps[[#This Row],[Part]]=$Y$2,TblImps[[#This Row],[Amount]]*lumber_invest)) + IF(TblImps[[#This Row],[Resource 2]]=AS$2,IF(TblImps[[#This Row],[Part 2]]=$Y$2,TblImps[[#This Row],[Amount 2]]*lumber_invest)) + IF(TblImps[[#This Row],[Resource 3]]=AS$2,IF(TblImps[[#This Row],[Part 3]]=$Y$2,TblImps[[#This Row],[Amount 3]]*lumber_invest))</calculatedColumnFormula>
    </tableColumn>
    <tableColumn id="46" xr3:uid="{7D8226DB-9264-4809-A635-73DB8683F6C5}" name="O2" dataDxfId="74">
      <calculatedColumnFormula>IF(TblImps[[#This Row],[Resource]]=AT$2,IF(TblImps[[#This Row],[Part]]=$Y$2,TblImps[[#This Row],[Amount]]*ore_invest)) + IF(TblImps[[#This Row],[Resource 2]]=AT$2,IF(TblImps[[#This Row],[Part 2]]=$Y$2,TblImps[[#This Row],[Amount 2]]*ore_invest)) + IF(TblImps[[#This Row],[Resource 3]]=AT$2,IF(TblImps[[#This Row],[Part 3]]=$Y$2,TblImps[[#This Row],[Amount 3]]*ore_invest))</calculatedColumnFormula>
    </tableColumn>
    <tableColumn id="47" xr3:uid="{0EBAE072-3EF2-4730-A67E-3898A1F8FCA6}" name="G2" dataDxfId="73">
      <calculatedColumnFormula>IF(TblImps[[#This Row],[Resource]]=AU$2,IF(TblImps[[#This Row],[Part]]=$Y$2,TblImps[[#This Row],[Amount]]*gem_invest)) + IF(TblImps[[#This Row],[Resource 2]]=AU$2,IF(TblImps[[#This Row],[Part 2]]=$Y$2,TblImps[[#This Row],[Amount 2]]*gem_invest)) + IF(TblImps[[#This Row],[Resource 3]]=AU$2,IF(TblImps[[#This Row],[Part 3]]=$Y$2,TblImps[[#This Row],[Amount 3]]*gem_invest))</calculatedColumnFormula>
    </tableColumn>
    <tableColumn id="48" xr3:uid="{C47C41BA-B74A-4D32-A6CA-93A3CBB1EB6D}" name="…...." dataDxfId="72"/>
    <tableColumn id="49" xr3:uid="{2713D17E-C072-4464-ACFB-1E3B4E4768C8}" name="P3" dataDxfId="71">
      <calculatedColumnFormula>IF(TblImps[[#This Row],[Resource]]=AW$2,IF(TblImps[[#This Row],[Part]]=$Z$2,TblImps[[#This Row],[Amount]]*plat_invest)) + IF(TblImps[[#This Row],[Resource 2]]=AW$2,IF(TblImps[[#This Row],[Part 2]]=$Z$2,TblImps[[#This Row],[Amount 2]]*plat_invest)) + IF(TblImps[[#This Row],[Resource 3]]=AW$2,IF(TblImps[[#This Row],[Part 3]]=$Z$2,TblImps[[#This Row],[Amount 3]]*plat_invest))</calculatedColumnFormula>
    </tableColumn>
    <tableColumn id="50" xr3:uid="{FE567D2A-8063-48C7-B143-F89DD4EDDAC0}" name="L3" dataDxfId="70">
      <calculatedColumnFormula>IF(TblImps[[#This Row],[Resource]]=AX$2,IF(TblImps[[#This Row],[Part]]=$Z$2,TblImps[[#This Row],[Amount]]*lumber_invest)) + IF(TblImps[[#This Row],[Resource 2]]=AX$2,IF(TblImps[[#This Row],[Part 2]]=$Z$2,TblImps[[#This Row],[Amount 2]]*lumber_invest)) + IF(TblImps[[#This Row],[Resource 3]]=AX$2,IF(TblImps[[#This Row],[Part 3]]=$Z$2,TblImps[[#This Row],[Amount 3]]*lumber_invest))</calculatedColumnFormula>
    </tableColumn>
    <tableColumn id="51" xr3:uid="{C7E00D88-4C77-4BCC-87E5-E5A688D444CD}" name="O3" dataDxfId="69">
      <calculatedColumnFormula>IF(TblImps[[#This Row],[Resource]]=AY$2,IF(TblImps[[#This Row],[Part]]=$Z$2,TblImps[[#This Row],[Amount]]*ore_invest)) + IF(TblImps[[#This Row],[Resource 2]]=AY$2,IF(TblImps[[#This Row],[Part 2]]=$Z$2,TblImps[[#This Row],[Amount 2]]*ore_invest)) + IF(TblImps[[#This Row],[Resource 3]]=AY$2,IF(TblImps[[#This Row],[Part 3]]=$Z$2,TblImps[[#This Row],[Amount 3]]*ore_invest))</calculatedColumnFormula>
    </tableColumn>
    <tableColumn id="52" xr3:uid="{791FD0BA-3DD0-4301-BC72-DCCFBCDA97AA}" name="G3" dataDxfId="68">
      <calculatedColumnFormula>IF(TblImps[[#This Row],[Resource]]=AZ$2,IF(TblImps[[#This Row],[Part]]=$Z$2,TblImps[[#This Row],[Amount]]*gem_invest)) + IF(TblImps[[#This Row],[Resource 2]]=AZ$2,IF(TblImps[[#This Row],[Part 2]]=$Z$2,TblImps[[#This Row],[Amount 2]]*gem_invest)) + IF(TblImps[[#This Row],[Resource 3]]=AZ$2,IF(TblImps[[#This Row],[Part 3]]=$Z$2,TblImps[[#This Row],[Amount 3]]*gem_invest))</calculatedColumnFormula>
    </tableColumn>
    <tableColumn id="53" xr3:uid="{F3B0D4A8-1871-47BA-8D33-1E374B1931F5}" name="…....." dataDxfId="67"/>
    <tableColumn id="54" xr3:uid="{60744F8B-EA90-4F3F-908D-1DBF81E4FBBC}" name="P4" dataDxfId="66">
      <calculatedColumnFormula>IF(TblImps[[#This Row],[Resource]]=BB$2,IF(TblImps[[#This Row],[Part]]=$AA$2,TblImps[[#This Row],[Amount]]*plat_invest)) + IF(TblImps[[#This Row],[Resource 2]]=BB$2,IF(TblImps[[#This Row],[Part 2]]=$AA$2,TblImps[[#This Row],[Amount 2]]*plat_invest)) + IF(TblImps[[#This Row],[Resource 3]]=BB$2,IF(TblImps[[#This Row],[Part 3]]=$AA$2,TblImps[[#This Row],[Amount 3]]*plat_invest))</calculatedColumnFormula>
    </tableColumn>
    <tableColumn id="55" xr3:uid="{6F4D8DB0-81AE-4CAF-B033-D2E1F732D149}" name="L4" dataDxfId="65">
      <calculatedColumnFormula>IF(TblImps[[#This Row],[Resource]]=BC$2,IF(TblImps[[#This Row],[Part]]=$AA$2,TblImps[[#This Row],[Amount]]*lumber_invest)) + IF(TblImps[[#This Row],[Resource 2]]=BC$2,IF(TblImps[[#This Row],[Part 2]]=$AA$2,TblImps[[#This Row],[Amount 2]]*lumber_invest)) + IF(TblImps[[#This Row],[Resource 3]]=BC$2,IF(TblImps[[#This Row],[Part 3]]=$AA$2,TblImps[[#This Row],[Amount 3]]*lumber_invest))</calculatedColumnFormula>
    </tableColumn>
    <tableColumn id="56" xr3:uid="{CE0B7F10-BC14-4D56-A083-F1DDFF396C7F}" name="O4" dataDxfId="64">
      <calculatedColumnFormula>IF(TblImps[[#This Row],[Resource]]=BD$2,IF(TblImps[[#This Row],[Part]]=$AA$2,TblImps[[#This Row],[Amount]]*ore_invest)) + IF(TblImps[[#This Row],[Resource 2]]=BD$2,IF(TblImps[[#This Row],[Part 2]]=$AA$2,TblImps[[#This Row],[Amount 2]]*ore_invest)) + IF(TblImps[[#This Row],[Resource 3]]=BD$2,IF(TblImps[[#This Row],[Part 3]]=$AA$2,TblImps[[#This Row],[Amount 3]]*ore_invest))</calculatedColumnFormula>
    </tableColumn>
    <tableColumn id="57" xr3:uid="{78B4E6F3-F6EE-4EFF-A431-E389DCCA9A0F}" name="G4" dataDxfId="63">
      <calculatedColumnFormula>IF(TblImps[[#This Row],[Resource]]=BE$2,IF(TblImps[[#This Row],[Part]]=$AA$2,TblImps[[#This Row],[Amount]]*gem_invest)) + IF(TblImps[[#This Row],[Resource 2]]=BE$2,IF(TblImps[[#This Row],[Part 2]]=$AA$2,TblImps[[#This Row],[Amount 2]]*gem_invest)) + IF(TblImps[[#This Row],[Resource 3]]=BE$2,IF(TblImps[[#This Row],[Part 3]]=$AA$2,TblImps[[#This Row],[Amount 3]]*gem_invest))</calculatedColumnFormula>
    </tableColumn>
    <tableColumn id="58" xr3:uid="{135A5D89-9D31-4BF7-B474-31FF5AA95C70}" name="…......" dataDxfId="62"/>
    <tableColumn id="59" xr3:uid="{7CAD4FEB-38C3-4ECC-9BB4-566F90D38057}" name="P5" dataDxfId="61">
      <calculatedColumnFormula>IF(TblImps[[#This Row],[Resource]]=BG$2,IF(TblImps[[#This Row],[Part]]=$AB$2,TblImps[[#This Row],[Amount]]*plat_invest)) + IF(TblImps[[#This Row],[Resource 2]]=BG$2,IF(TblImps[[#This Row],[Part 2]]=$AB$2,TblImps[[#This Row],[Amount 2]]*plat_invest)) + IF(TblImps[[#This Row],[Resource 3]]=BG$2,IF(TblImps[[#This Row],[Part 3]]=$AB$2,TblImps[[#This Row],[Amount 3]]*plat_invest))</calculatedColumnFormula>
    </tableColumn>
    <tableColumn id="60" xr3:uid="{A3D9397A-0C8B-4341-BFD2-6DC09C01DAA9}" name="L5" dataDxfId="60">
      <calculatedColumnFormula>IF(TblImps[[#This Row],[Resource]]=BH$2,IF(TblImps[[#This Row],[Part]]=$AB$2,TblImps[[#This Row],[Amount]]*lumber_invest)) + IF(TblImps[[#This Row],[Resource 2]]=BH$2,IF(TblImps[[#This Row],[Part 2]]=$AB$2,TblImps[[#This Row],[Amount 2]]*lumber_invest)) + IF(TblImps[[#This Row],[Resource 3]]=BH$2,IF(TblImps[[#This Row],[Part 3]]=$AB$2,TblImps[[#This Row],[Amount 3]]*lumber_invest))</calculatedColumnFormula>
    </tableColumn>
    <tableColumn id="61" xr3:uid="{439C0DB8-00B9-4E4C-8F8D-7008CA4576BB}" name="O5" dataDxfId="59">
      <calculatedColumnFormula>IF(TblImps[[#This Row],[Resource]]=BI$2,IF(TblImps[[#This Row],[Part]]=$AB$2,TblImps[[#This Row],[Amount]]*ore_invest)) + IF(TblImps[[#This Row],[Resource 2]]=BI$2,IF(TblImps[[#This Row],[Part 2]]=$AB$2,TblImps[[#This Row],[Amount 2]]*ore_invest)) + IF(TblImps[[#This Row],[Resource 3]]=BI$2,IF(TblImps[[#This Row],[Part 3]]=$AB$2,TblImps[[#This Row],[Amount 3]]*ore_invest))</calculatedColumnFormula>
    </tableColumn>
    <tableColumn id="62" xr3:uid="{8D6C1C05-BC40-4A26-BBC3-DDDD295A0FB0}" name="G5" dataDxfId="58">
      <calculatedColumnFormula>IF(TblImps[[#This Row],[Resource]]=BJ$2,IF(TblImps[[#This Row],[Part]]=$AB$2,TblImps[[#This Row],[Amount]]*gem_invest)) + IF(TblImps[[#This Row],[Resource 2]]=BJ$2,IF(TblImps[[#This Row],[Part 2]]=$AB$2,TblImps[[#This Row],[Amount 2]]*gem_invest)) + IF(TblImps[[#This Row],[Resource 3]]=BJ$2,IF(TblImps[[#This Row],[Part 3]]=$AB$2,TblImps[[#This Row],[Amount 3]]*gem_invest))</calculatedColumnFormula>
    </tableColumn>
    <tableColumn id="63" xr3:uid="{22605E6F-6335-44A7-8340-9D5A857286D7}" name="…......." dataDxfId="57"/>
    <tableColumn id="64" xr3:uid="{74BD3EE9-84CB-4606-9851-F46947A6E124}" name="P6" dataDxfId="56">
      <calculatedColumnFormula>IF(TblImps[[#This Row],[Resource]]=BL$2,IF(TblImps[[#This Row],[Part]]=$AC$2,TblImps[[#This Row],[Amount]]*plat_invest)) + IF(TblImps[[#This Row],[Resource 2]]=BL$2,IF(TblImps[[#This Row],[Part 2]]=$AC$2,TblImps[[#This Row],[Amount 2]]*plat_invest)) + IF(TblImps[[#This Row],[Resource 3]]=BL$2,IF(TblImps[[#This Row],[Part 3]]=$AC$2,TblImps[[#This Row],[Amount 3]]*plat_invest))</calculatedColumnFormula>
    </tableColumn>
    <tableColumn id="65" xr3:uid="{F266A8BA-8CC3-4601-95F2-5F977F23CC3C}" name="L6" dataDxfId="55">
      <calculatedColumnFormula>IF(TblImps[[#This Row],[Resource]]=BM$2,IF(TblImps[[#This Row],[Part]]=$AC$2,TblImps[[#This Row],[Amount]]*lumber_invest)) + IF(TblImps[[#This Row],[Resource 2]]=BM$2,IF(TblImps[[#This Row],[Part 2]]=$AC$2,TblImps[[#This Row],[Amount 2]]*lumber_invest)) + IF(TblImps[[#This Row],[Resource 3]]=BM$2,IF(TblImps[[#This Row],[Part 3]]=$AC$2,TblImps[[#This Row],[Amount 3]]*lumber_invest))</calculatedColumnFormula>
    </tableColumn>
    <tableColumn id="66" xr3:uid="{73623468-7991-4CDF-BBF6-67A0C3387D2F}" name="O6" dataDxfId="54">
      <calculatedColumnFormula>IF(TblImps[[#This Row],[Resource]]=BN$2,IF(TblImps[[#This Row],[Part]]=$AC$2,TblImps[[#This Row],[Amount]]*ore_invest)) + IF(TblImps[[#This Row],[Resource 2]]=BN$2,IF(TblImps[[#This Row],[Part 2]]=$AC$2,TblImps[[#This Row],[Amount 2]]*ore_invest)) + IF(TblImps[[#This Row],[Resource 3]]=BN$2,IF(TblImps[[#This Row],[Part 3]]=$AC$2,TblImps[[#This Row],[Amount 3]]*ore_invest))</calculatedColumnFormula>
    </tableColumn>
    <tableColumn id="67" xr3:uid="{82BAE55C-FE60-4E58-BBAD-C4C76AA392E3}" name="G6" dataDxfId="53">
      <calculatedColumnFormula>IF(TblImps[[#This Row],[Resource]]=BO$2,IF(TblImps[[#This Row],[Part]]=$AC$2,TblImps[[#This Row],[Amount]]*gem_invest)) + IF(TblImps[[#This Row],[Resource 2]]=BO$2,IF(TblImps[[#This Row],[Part 2]]=$AC$2,TblImps[[#This Row],[Amount 2]]*gem_invest)) + IF(TblImps[[#This Row],[Resource 3]]=BO$2,IF(TblImps[[#This Row],[Part 3]]=$AC$2,TblImps[[#This Row],[Amount 3]]*gem_invest))</calculatedColumnFormula>
    </tableColumn>
    <tableColumn id="68" xr3:uid="{099954FE-B697-4DA6-AFF1-CD53B979F914}" name="…........" dataDxfId="52"/>
    <tableColumn id="69" xr3:uid="{C84893E8-5E85-463B-9E51-879ADAA64B83}" name="P7" dataDxfId="51">
      <calculatedColumnFormula>IF(TblImps[[#This Row],[Resource]]=BQ$2,IF(TblImps[[#This Row],[Part]]=$AD$2,TblImps[[#This Row],[Amount]]*plat_invest)) + IF(TblImps[[#This Row],[Resource 2]]=BQ$2,IF(TblImps[[#This Row],[Part 2]]=$AD$2,TblImps[[#This Row],[Amount 2]]*plat_invest)) + IF(TblImps[[#This Row],[Resource 3]]=BQ$2,IF(TblImps[[#This Row],[Part 3]]=$AD$2,TblImps[[#This Row],[Amount 3]]*plat_invest))</calculatedColumnFormula>
    </tableColumn>
    <tableColumn id="70" xr3:uid="{48F49DEB-7DDE-4B3E-8C67-B32AB76DD814}" name="L7" dataDxfId="50">
      <calculatedColumnFormula>IF(TblImps[[#This Row],[Resource]]=BR$2,IF(TblImps[[#This Row],[Part]]=$AD$2,TblImps[[#This Row],[Amount]]*lumber_invest)) + IF(TblImps[[#This Row],[Resource 2]]=BR$2,IF(TblImps[[#This Row],[Part 2]]=$AD$2,TblImps[[#This Row],[Amount 2]]*lumber_invest)) + IF(TblImps[[#This Row],[Resource 3]]=BR$2,IF(TblImps[[#This Row],[Part 3]]=$AD$2,TblImps[[#This Row],[Amount 3]]*lumber_invest))</calculatedColumnFormula>
    </tableColumn>
    <tableColumn id="71" xr3:uid="{DD30EA2C-7008-455C-B999-AF907234A41D}" name="O7" dataDxfId="49">
      <calculatedColumnFormula>IF(TblImps[[#This Row],[Resource]]=BS$2,IF(TblImps[[#This Row],[Part]]=$AD$2,TblImps[[#This Row],[Amount]]*ore_invest)) + IF(TblImps[[#This Row],[Resource 2]]=BS$2,IF(TblImps[[#This Row],[Part 2]]=$AD$2,TblImps[[#This Row],[Amount 2]]*ore_invest)) + IF(TblImps[[#This Row],[Resource 3]]=BS$2,IF(TblImps[[#This Row],[Part 3]]=$AD$2,TblImps[[#This Row],[Amount 3]]*ore_invest))</calculatedColumnFormula>
    </tableColumn>
    <tableColumn id="72" xr3:uid="{609097EE-C87B-48ED-AFB5-7A961F13ECF1}" name="G7" dataDxfId="48">
      <calculatedColumnFormula>IF(TblImps[[#This Row],[Resource]]=BT$2,IF(TblImps[[#This Row],[Part]]=$AD$2,TblImps[[#This Row],[Amount]]*gem_invest)) + IF(TblImps[[#This Row],[Resource 2]]=BT$2,IF(TblImps[[#This Row],[Part 2]]=$AD$2,TblImps[[#This Row],[Amount 2]]*gem_invest)) + IF(TblImps[[#This Row],[Resource 3]]=BT$2,IF(TblImps[[#This Row],[Part 3]]=$AD$2,TblImps[[#This Row],[Amount 3]]*gem_invest))</calculatedColumnFormula>
    </tableColumn>
    <tableColumn id="73" xr3:uid="{46BE8DD2-D0E4-4267-981F-D2E3B4D9A825}" name="…........2" dataDxfId="47"/>
    <tableColumn id="74" xr3:uid="{5E81B67E-95F1-40DA-AE37-BCD09DA9E039}" name="algorithm" dataDxfId="46">
      <calculatedColumnFormula>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calculatedColumnFormula>
    </tableColumn>
    <tableColumn id="75" xr3:uid="{3A5916B5-278C-4066-8C42-9FB4D7A0F0F3}" name="Login (2)" dataDxfId="45">
      <calculatedColumnFormula>TblImps[[#This Row],[Login]]</calculatedColumnFormula>
    </tableColumn>
    <tableColumn id="76" xr3:uid="{373275D8-3CBB-4F26-950F-26616E92A24E}" name="….........." dataDxfId="44"/>
    <tableColumn id="77" xr3:uid="{E49F0585-8289-43E9-991C-7685E6B37B5A}" name="Real time" dataDxfId="43">
      <calculatedColumnFormula>OFFSET(TblImps[[#This Row],[Real time]],-1,0)+1/24</calculatedColumnFormula>
    </tableColumn>
    <tableColumn id="78" xr3:uid="{9298E765-5AD3-4871-BC34-97C5588F3D7E}" name="Servertime" dataDxfId="42">
      <calculatedColumnFormula>OFFSET(TblImps[[#This Row],[Servertime]],-1,0)+1/24</calculatedColumnFormula>
    </tableColumn>
  </tableColumns>
  <tableStyleInfo name="TableStyleLight1 5"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A9975557-1BF1-400F-ABDD-E2E31E910102}" name="TblStats" displayName="TblStats" ref="B2:E23" totalsRowShown="0" headerRowDxfId="41" dataDxfId="40">
  <autoFilter ref="B2:E23" xr:uid="{D5B14ACA-C49B-4874-B495-C20CC986FF5C}"/>
  <tableColumns count="4">
    <tableColumn id="1" xr3:uid="{FDF1E222-5EC6-4F67-8D2F-219358D518C5}" name="Stats" dataDxfId="39"/>
    <tableColumn id="9" xr3:uid="{92C958C2-2DCD-4CDD-88AA-98294134A916}" name="Abbr" dataDxfId="38"/>
    <tableColumn id="2" xr3:uid="{1E0B1FDB-30FB-48CA-BD3D-8DF2FCB4975C}" name="Number" dataDxfId="37">
      <calculatedColumnFormula>_xlfn.IFNA(INDEX(TblConstr[],MATCH(Log!$I$28,TblConstr[Hour],0),MATCH(TblStats[[#This Row],[Abbr]],TblConstr[#Headers],0)),0)</calculatedColumnFormula>
    </tableColumn>
    <tableColumn id="3" xr3:uid="{ADBF0C8B-030F-4EBA-8274-EAA1CE134BB1}" name="Percent" dataDxfId="36" dataCellStyle="Percent">
      <calculatedColumnFormula>TblStats[[#This Row],[Number]]/INDEX(TblConstr[[Hour]:[Land]],MATCH(Log!$I$28,TblConstr[Hour],0),6)</calculatedColumnFormula>
    </tableColumn>
  </tableColumns>
  <tableStyleInfo name="TableStyleLight1 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1000000}" name="TblRaces" displayName="TblRaces" ref="A4:AA96" totalsRowShown="0" headerRowDxfId="34" dataDxfId="33" tableBorderDxfId="32">
  <autoFilter ref="A4:AA96" xr:uid="{00000000-0009-0000-0100-000001000000}">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autoFilter>
  <tableColumns count="27">
    <tableColumn id="1" xr3:uid="{00000000-0010-0000-0100-000001000000}" name="Race" dataDxfId="31"/>
    <tableColumn id="2" xr3:uid="{00000000-0010-0000-0100-000002000000}" name="Alignment" dataDxfId="30"/>
    <tableColumn id="3" xr3:uid="{00000000-0010-0000-0100-000003000000}" name="Homeland_Type" dataDxfId="29"/>
    <tableColumn id="4" xr3:uid="{00000000-0010-0000-0100-000004000000}" name="Unitname" dataDxfId="28"/>
    <tableColumn id="5" xr3:uid="{00000000-0010-0000-0100-000005000000}" name="OffensePwr" dataDxfId="27"/>
    <tableColumn id="6" xr3:uid="{00000000-0010-0000-0100-000006000000}" name="DefensePwr" dataDxfId="26"/>
    <tableColumn id="7" xr3:uid="{00000000-0010-0000-0100-000007000000}" name="Platcost" dataDxfId="25"/>
    <tableColumn id="8" xr3:uid="{00000000-0010-0000-0100-000008000000}" name="Orecost" dataDxfId="24"/>
    <tableColumn id="9" xr3:uid="{00000000-0010-0000-0100-000009000000}" name="Networth" dataDxfId="23"/>
    <tableColumn id="12" xr3:uid="{00000000-0010-0000-0100-00000C000000}" name="Max population" dataDxfId="22"/>
    <tableColumn id="13" xr3:uid="{00000000-0010-0000-0100-00000D000000}" name="Pop growth" dataDxfId="21"/>
    <tableColumn id="14" xr3:uid="{00000000-0010-0000-0100-00000E000000}" name="Platinum prod" dataDxfId="20"/>
    <tableColumn id="15" xr3:uid="{00000000-0010-0000-0100-00000F000000}" name="Food prod" dataDxfId="19"/>
    <tableColumn id="16" xr3:uid="{00000000-0010-0000-0100-000010000000}" name="Lumber prod" dataDxfId="18"/>
    <tableColumn id="17" xr3:uid="{00000000-0010-0000-0100-000011000000}" name="Mana prod" dataDxfId="17"/>
    <tableColumn id="18" xr3:uid="{00000000-0010-0000-0100-000012000000}" name="Ore prod" dataDxfId="16"/>
    <tableColumn id="19" xr3:uid="{00000000-0010-0000-0100-000013000000}" name="Gem prod" dataDxfId="15"/>
    <tableColumn id="20" xr3:uid="{00000000-0010-0000-0100-000014000000}" name="Food cons" dataDxfId="14"/>
    <tableColumn id="21" xr3:uid="{00000000-0010-0000-0100-000015000000}" name="Defense" dataDxfId="13"/>
    <tableColumn id="22" xr3:uid="{00000000-0010-0000-0100-000016000000}" name="Offense" dataDxfId="12"/>
    <tableColumn id="23" xr3:uid="{00000000-0010-0000-0100-000017000000}" name="Spy strength" dataDxfId="11"/>
    <tableColumn id="24" xr3:uid="{00000000-0010-0000-0100-000018000000}" name="Wizard strength" dataDxfId="10"/>
    <tableColumn id="25" xr3:uid="{00000000-0010-0000-0100-000019000000}" name="Invest bonus" dataDxfId="9"/>
    <tableColumn id="26" xr3:uid="{00000000-0010-0000-0100-00001A000000}" name="Rezone Cost" dataDxfId="8" dataCellStyle="Percent"/>
    <tableColumn id="27" xr3:uid="{00000000-0010-0000-0100-00001B000000}" name="Construction Cost" dataDxfId="7"/>
    <tableColumn id="28" xr3:uid="{00000000-0010-0000-0100-00001C000000}" name="Research" dataDxfId="6"/>
    <tableColumn id="10" xr3:uid="{93A4F69F-9C60-42FB-B0E6-B78AAB579797}" name="Explore Cost" dataDxfId="5"/>
  </tableColumns>
  <tableStyleInfo name="TableStyleLight1 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2000000}" name="Table2" displayName="Table2" ref="D98:D104" totalsRowShown="0" headerRowDxfId="4" dataDxfId="3">
  <autoFilter ref="D98:D104" xr:uid="{00000000-0009-0000-0100-000002000000}"/>
  <tableColumns count="1">
    <tableColumn id="1" xr3:uid="{00000000-0010-0000-0200-000001000000}" name="waves:" dataDxfId="2"/>
  </tableColumns>
  <tableStyleInfo name="TableStyleMedium2" showFirstColumn="0" showLastColumn="0" showRowStripes="1" showColumnStripes="0"/>
</table>
</file>

<file path=xl/theme/theme1.xml><?xml version="1.0" encoding="utf-8"?>
<a:theme xmlns:a="http://schemas.openxmlformats.org/drawingml/2006/main" name="Kantoorthema">
  <a:themeElements>
    <a:clrScheme name="Kanto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anto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090000"/>
        </a:solidFill>
        <a:ln w="9525" cap="flat" cmpd="sng" algn="ctr">
          <a:solidFill>
            <a:srgbClr val="4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table" Target="../tables/table4.xml"/><Relationship Id="rId13" Type="http://schemas.openxmlformats.org/officeDocument/2006/relationships/table" Target="../tables/table9.xml"/><Relationship Id="rId3" Type="http://schemas.openxmlformats.org/officeDocument/2006/relationships/vmlDrawing" Target="../drawings/vmlDrawing1.vml"/><Relationship Id="rId7" Type="http://schemas.openxmlformats.org/officeDocument/2006/relationships/table" Target="../tables/table3.xml"/><Relationship Id="rId12"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2.xml"/><Relationship Id="rId11" Type="http://schemas.openxmlformats.org/officeDocument/2006/relationships/table" Target="../tables/table7.xml"/><Relationship Id="rId5" Type="http://schemas.openxmlformats.org/officeDocument/2006/relationships/table" Target="../tables/table1.xml"/><Relationship Id="rId10" Type="http://schemas.openxmlformats.org/officeDocument/2006/relationships/table" Target="../tables/table6.xml"/><Relationship Id="rId4" Type="http://schemas.openxmlformats.org/officeDocument/2006/relationships/ctrlProp" Target="../ctrlProps/ctrlProp1.xml"/><Relationship Id="rId9" Type="http://schemas.openxmlformats.org/officeDocument/2006/relationships/table" Target="../tables/table5.xml"/><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v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4.vml"/><Relationship Id="rId1" Type="http://schemas.openxmlformats.org/officeDocument/2006/relationships/printerSettings" Target="../printerSettings/printerSettings6.bin"/><Relationship Id="rId4" Type="http://schemas.openxmlformats.org/officeDocument/2006/relationships/comments" Target="../comments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 Target="../tables/table17.xml"/><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5.vml"/><Relationship Id="rId1" Type="http://schemas.openxmlformats.org/officeDocument/2006/relationships/printerSettings" Target="../printerSettings/printerSettings10.bin"/><Relationship Id="rId4" Type="http://schemas.openxmlformats.org/officeDocument/2006/relationships/comments" Target="../comments5.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vmlDrawing" Target="../drawings/vmlDrawing6.vml"/><Relationship Id="rId7" Type="http://schemas.openxmlformats.org/officeDocument/2006/relationships/ctrlProp" Target="../ctrlProps/ctrlProp5.xml"/><Relationship Id="rId12" Type="http://schemas.openxmlformats.org/officeDocument/2006/relationships/comments" Target="../comments6.xml"/><Relationship Id="rId2" Type="http://schemas.openxmlformats.org/officeDocument/2006/relationships/drawing" Target="../drawings/drawing3.xml"/><Relationship Id="rId1" Type="http://schemas.openxmlformats.org/officeDocument/2006/relationships/printerSettings" Target="../printerSettings/printerSettings11.bin"/><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vmlDrawing" Target="../drawings/vmlDrawing7.vml"/><Relationship Id="rId1" Type="http://schemas.openxmlformats.org/officeDocument/2006/relationships/printerSettings" Target="../printerSettings/printerSettings13.bin"/><Relationship Id="rId5" Type="http://schemas.openxmlformats.org/officeDocument/2006/relationships/comments" Target="../comments7.xml"/><Relationship Id="rId4" Type="http://schemas.openxmlformats.org/officeDocument/2006/relationships/table" Target="../tables/table21.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00B050"/>
  </sheetPr>
  <dimension ref="A1:U98"/>
  <sheetViews>
    <sheetView tabSelected="1" zoomScale="85" zoomScaleNormal="85" workbookViewId="0">
      <selection activeCell="B14" sqref="B14"/>
    </sheetView>
  </sheetViews>
  <sheetFormatPr defaultColWidth="9.140625" defaultRowHeight="12.75" x14ac:dyDescent="0.2"/>
  <cols>
    <col min="1" max="1" width="18" style="45" customWidth="1"/>
    <col min="2" max="2" width="13.85546875" style="45" bestFit="1" customWidth="1"/>
    <col min="3" max="3" width="11.28515625" style="45" customWidth="1"/>
    <col min="4" max="4" width="14" style="45" customWidth="1"/>
    <col min="5" max="5" width="11.7109375" style="45" customWidth="1"/>
    <col min="6" max="6" width="12.7109375" style="45" customWidth="1"/>
    <col min="7" max="7" width="11.7109375" style="45" customWidth="1"/>
    <col min="8" max="10" width="16.28515625" style="45" customWidth="1"/>
    <col min="11" max="11" width="12.5703125" style="45" customWidth="1"/>
    <col min="12" max="12" width="9.140625" style="45" customWidth="1"/>
    <col min="13" max="13" width="10.5703125" style="45" customWidth="1"/>
    <col min="14" max="14" width="12.42578125" style="45" bestFit="1" customWidth="1"/>
    <col min="15" max="15" width="9.85546875" style="45" customWidth="1"/>
    <col min="16" max="16384" width="9.140625" style="45"/>
  </cols>
  <sheetData>
    <row r="1" spans="1:15" s="44" customFormat="1" ht="18.75" customHeight="1" thickTop="1" x14ac:dyDescent="0.25">
      <c r="A1" s="488" t="s">
        <v>449</v>
      </c>
      <c r="B1" s="488"/>
      <c r="C1" s="488"/>
      <c r="D1" s="488"/>
      <c r="E1" s="488"/>
      <c r="F1" s="488"/>
      <c r="G1" s="488"/>
      <c r="H1" s="488"/>
      <c r="I1" s="488"/>
      <c r="J1" s="488"/>
      <c r="K1" s="488"/>
      <c r="L1" s="489"/>
      <c r="M1" s="495" t="s">
        <v>1036</v>
      </c>
      <c r="N1" s="496"/>
      <c r="O1" s="497"/>
    </row>
    <row r="2" spans="1:15" s="44" customFormat="1" ht="12.75" customHeight="1" x14ac:dyDescent="0.2">
      <c r="A2" s="524" t="s">
        <v>1073</v>
      </c>
      <c r="B2" s="525"/>
      <c r="C2" s="525"/>
      <c r="D2" s="525"/>
      <c r="E2" s="525"/>
      <c r="F2" s="525"/>
      <c r="G2" s="525"/>
      <c r="H2" s="525"/>
      <c r="I2" s="525"/>
      <c r="J2" s="525"/>
      <c r="K2" s="525"/>
      <c r="L2" s="526"/>
      <c r="M2" s="512" t="s">
        <v>1104</v>
      </c>
      <c r="N2" s="513"/>
      <c r="O2" s="514"/>
    </row>
    <row r="3" spans="1:15" s="44" customFormat="1" x14ac:dyDescent="0.2">
      <c r="A3" s="524"/>
      <c r="B3" s="525"/>
      <c r="C3" s="525"/>
      <c r="D3" s="525"/>
      <c r="E3" s="525"/>
      <c r="F3" s="525"/>
      <c r="G3" s="525"/>
      <c r="H3" s="525"/>
      <c r="I3" s="525"/>
      <c r="J3" s="525"/>
      <c r="K3" s="525"/>
      <c r="L3" s="526"/>
      <c r="M3" s="512"/>
      <c r="N3" s="513"/>
      <c r="O3" s="514"/>
    </row>
    <row r="4" spans="1:15" s="44" customFormat="1" x14ac:dyDescent="0.2">
      <c r="A4" s="524"/>
      <c r="B4" s="525"/>
      <c r="C4" s="525"/>
      <c r="D4" s="525"/>
      <c r="E4" s="525"/>
      <c r="F4" s="525"/>
      <c r="G4" s="525"/>
      <c r="H4" s="525"/>
      <c r="I4" s="525"/>
      <c r="J4" s="525"/>
      <c r="K4" s="525"/>
      <c r="L4" s="526"/>
      <c r="M4" s="512"/>
      <c r="N4" s="513"/>
      <c r="O4" s="514"/>
    </row>
    <row r="5" spans="1:15" s="44" customFormat="1" x14ac:dyDescent="0.2">
      <c r="A5" s="524"/>
      <c r="B5" s="525"/>
      <c r="C5" s="525"/>
      <c r="D5" s="525"/>
      <c r="E5" s="525"/>
      <c r="F5" s="525"/>
      <c r="G5" s="525"/>
      <c r="H5" s="525"/>
      <c r="I5" s="525"/>
      <c r="J5" s="525"/>
      <c r="K5" s="525"/>
      <c r="L5" s="526"/>
      <c r="M5" s="512"/>
      <c r="N5" s="513"/>
      <c r="O5" s="514"/>
    </row>
    <row r="6" spans="1:15" s="44" customFormat="1" x14ac:dyDescent="0.2">
      <c r="A6" s="524"/>
      <c r="B6" s="525"/>
      <c r="C6" s="525"/>
      <c r="D6" s="525"/>
      <c r="E6" s="525"/>
      <c r="F6" s="525"/>
      <c r="G6" s="525"/>
      <c r="H6" s="525"/>
      <c r="I6" s="525"/>
      <c r="J6" s="525"/>
      <c r="K6" s="525"/>
      <c r="L6" s="526"/>
      <c r="M6" s="512"/>
      <c r="N6" s="513"/>
      <c r="O6" s="514"/>
    </row>
    <row r="7" spans="1:15" s="44" customFormat="1" ht="13.5" thickBot="1" x14ac:dyDescent="0.25">
      <c r="A7" s="527"/>
      <c r="B7" s="528"/>
      <c r="C7" s="528"/>
      <c r="D7" s="528"/>
      <c r="E7" s="528"/>
      <c r="F7" s="528"/>
      <c r="G7" s="528"/>
      <c r="H7" s="528"/>
      <c r="I7" s="528"/>
      <c r="J7" s="528"/>
      <c r="K7" s="528"/>
      <c r="L7" s="529"/>
      <c r="M7" s="512"/>
      <c r="N7" s="513"/>
      <c r="O7" s="514"/>
    </row>
    <row r="8" spans="1:15" s="44" customFormat="1" ht="15.75" x14ac:dyDescent="0.2">
      <c r="A8" s="490" t="s">
        <v>448</v>
      </c>
      <c r="B8" s="491"/>
      <c r="C8" s="491"/>
      <c r="D8" s="491"/>
      <c r="E8" s="491"/>
      <c r="F8" s="491"/>
      <c r="G8" s="491"/>
      <c r="H8" s="491"/>
      <c r="I8" s="492"/>
      <c r="J8" s="498" t="s">
        <v>1165</v>
      </c>
      <c r="K8" s="499"/>
      <c r="L8" s="500"/>
      <c r="M8" s="515"/>
      <c r="N8" s="516"/>
      <c r="O8" s="517"/>
    </row>
    <row r="9" spans="1:15" s="44" customFormat="1" ht="12.75" customHeight="1" x14ac:dyDescent="0.2">
      <c r="A9" s="493" t="s">
        <v>1160</v>
      </c>
      <c r="B9" s="494"/>
      <c r="C9" s="494"/>
      <c r="D9" s="494"/>
      <c r="E9" s="494"/>
      <c r="F9" s="494"/>
      <c r="G9" s="494"/>
      <c r="H9" s="494"/>
      <c r="I9" s="494"/>
      <c r="J9" s="501"/>
      <c r="K9" s="502"/>
      <c r="L9" s="503"/>
      <c r="M9" s="515"/>
      <c r="N9" s="516"/>
      <c r="O9" s="517"/>
    </row>
    <row r="10" spans="1:15" s="44" customFormat="1" ht="12.75" customHeight="1" x14ac:dyDescent="0.2">
      <c r="A10" s="493"/>
      <c r="B10" s="494"/>
      <c r="C10" s="494"/>
      <c r="D10" s="494"/>
      <c r="E10" s="494"/>
      <c r="F10" s="494"/>
      <c r="G10" s="494"/>
      <c r="H10" s="494"/>
      <c r="I10" s="494"/>
      <c r="J10" s="501"/>
      <c r="K10" s="502"/>
      <c r="L10" s="503"/>
      <c r="M10" s="515"/>
      <c r="N10" s="516"/>
      <c r="O10" s="517"/>
    </row>
    <row r="11" spans="1:15" s="44" customFormat="1" ht="12.75" customHeight="1" x14ac:dyDescent="0.2">
      <c r="A11" s="493"/>
      <c r="B11" s="494"/>
      <c r="C11" s="494"/>
      <c r="D11" s="494"/>
      <c r="E11" s="494"/>
      <c r="F11" s="494"/>
      <c r="G11" s="494"/>
      <c r="H11" s="494"/>
      <c r="I11" s="494"/>
      <c r="J11" s="501"/>
      <c r="K11" s="502"/>
      <c r="L11" s="503"/>
      <c r="M11" s="515"/>
      <c r="N11" s="516"/>
      <c r="O11" s="517"/>
    </row>
    <row r="12" spans="1:15" s="44" customFormat="1" ht="28.5" customHeight="1" thickBot="1" x14ac:dyDescent="0.25">
      <c r="A12" s="493"/>
      <c r="B12" s="494"/>
      <c r="C12" s="494"/>
      <c r="D12" s="494"/>
      <c r="E12" s="494"/>
      <c r="F12" s="494"/>
      <c r="G12" s="494"/>
      <c r="H12" s="494"/>
      <c r="I12" s="494"/>
      <c r="J12" s="504"/>
      <c r="K12" s="505"/>
      <c r="L12" s="506"/>
      <c r="M12" s="518"/>
      <c r="N12" s="519"/>
      <c r="O12" s="520"/>
    </row>
    <row r="13" spans="1:15" s="44" customFormat="1" ht="25.5" customHeight="1" thickBot="1" x14ac:dyDescent="0.25">
      <c r="A13" s="521" t="s">
        <v>256</v>
      </c>
      <c r="B13" s="522"/>
      <c r="C13" s="523"/>
      <c r="D13" s="523"/>
      <c r="E13" s="523"/>
      <c r="F13" s="523"/>
      <c r="G13" s="523"/>
      <c r="H13" s="523"/>
      <c r="I13" s="523"/>
      <c r="J13" s="523"/>
      <c r="K13" s="523"/>
      <c r="L13" s="523"/>
      <c r="M13" s="523"/>
      <c r="N13" s="523"/>
      <c r="O13" s="523"/>
    </row>
    <row r="14" spans="1:15" s="52" customFormat="1" ht="12.75" customHeight="1" x14ac:dyDescent="0.2">
      <c r="A14" s="45" t="s">
        <v>28</v>
      </c>
      <c r="B14" s="130" t="s">
        <v>89</v>
      </c>
      <c r="C14" s="46"/>
      <c r="D14" s="47" t="s">
        <v>321</v>
      </c>
      <c r="E14" s="47" t="s">
        <v>769</v>
      </c>
      <c r="F14" s="44"/>
      <c r="G14" s="44"/>
      <c r="K14" s="44" t="s">
        <v>1161</v>
      </c>
      <c r="L14" s="44"/>
      <c r="M14" s="44"/>
      <c r="O14" s="79"/>
    </row>
    <row r="15" spans="1:15" s="44" customFormat="1" ht="12.75" customHeight="1" x14ac:dyDescent="0.2">
      <c r="A15" s="45" t="s">
        <v>446</v>
      </c>
      <c r="B15" s="131">
        <v>46047</v>
      </c>
      <c r="D15" s="45" t="s">
        <v>322</v>
      </c>
      <c r="E15" s="53">
        <f>B15+(1+B16-1)/24+B18-0/24</f>
        <v>46047</v>
      </c>
      <c r="H15" s="47" t="s">
        <v>485</v>
      </c>
      <c r="I15" s="48" t="s">
        <v>206</v>
      </c>
      <c r="K15" s="5" t="s">
        <v>49</v>
      </c>
      <c r="L15" s="45" t="s">
        <v>216</v>
      </c>
      <c r="O15" s="51"/>
    </row>
    <row r="16" spans="1:15" s="44" customFormat="1" ht="12.75" customHeight="1" thickBot="1" x14ac:dyDescent="0.25">
      <c r="A16" s="45" t="s">
        <v>318</v>
      </c>
      <c r="B16" s="132">
        <v>0</v>
      </c>
      <c r="C16" s="44" t="s">
        <v>525</v>
      </c>
      <c r="D16" s="45" t="s">
        <v>315</v>
      </c>
      <c r="E16" s="53">
        <f ca="1">NOW()</f>
        <v>46038.466640046296</v>
      </c>
      <c r="H16" s="45" t="s">
        <v>163</v>
      </c>
      <c r="I16" s="54">
        <f>INDEX(TblRaces[[Max population]:[Explore Cost]],MATCH(race,TblRaces[Race],0),MATCH(Table4[[#This Row],[Race Bonuses]],TblRaces[[#Headers],[Max population]:[Explore Cost]],0))</f>
        <v>0</v>
      </c>
      <c r="K16" s="45" t="s">
        <v>170</v>
      </c>
      <c r="L16" s="474">
        <v>0</v>
      </c>
      <c r="M16" s="478" t="s">
        <v>1155</v>
      </c>
      <c r="O16" s="51"/>
    </row>
    <row r="17" spans="1:15" s="44" customFormat="1" ht="12.75" customHeight="1" thickBot="1" x14ac:dyDescent="0.25">
      <c r="A17" s="45" t="s">
        <v>319</v>
      </c>
      <c r="B17" s="55">
        <f ca="1">TODAY()</f>
        <v>46038</v>
      </c>
      <c r="C17" s="56"/>
      <c r="D17" s="45" t="s">
        <v>314</v>
      </c>
      <c r="E17" s="57">
        <f>0+Log!P16</f>
        <v>0</v>
      </c>
      <c r="F17" s="58"/>
      <c r="G17" s="58"/>
      <c r="H17" s="45" t="s">
        <v>105</v>
      </c>
      <c r="I17" s="54">
        <f>INDEX(TblRaces[[Max population]:[Explore Cost]],MATCH(race,TblRaces[Race],0),MATCH(Table4[[#This Row],[Race Bonuses]],TblRaces[[#Headers],[Max population]:[Explore Cost]],0))</f>
        <v>0</v>
      </c>
      <c r="J17" s="49"/>
      <c r="K17" s="45" t="s">
        <v>44</v>
      </c>
      <c r="L17" s="472">
        <v>0</v>
      </c>
      <c r="M17" s="477" t="s">
        <v>1156</v>
      </c>
      <c r="O17" s="51"/>
    </row>
    <row r="18" spans="1:15" s="44" customFormat="1" ht="12.75" customHeight="1" thickBot="1" x14ac:dyDescent="0.25">
      <c r="A18" s="59" t="s">
        <v>499</v>
      </c>
      <c r="B18" s="133">
        <v>0</v>
      </c>
      <c r="C18" s="56"/>
      <c r="D18" s="45" t="s">
        <v>316</v>
      </c>
      <c r="E18" s="57" t="e">
        <f ca="1">IF(INDIRECT("Imps!L"&amp;TEXT(E17+3,0)),"Yes","Nope")</f>
        <v>#VALUE!</v>
      </c>
      <c r="H18" s="45" t="s">
        <v>160</v>
      </c>
      <c r="I18" s="54">
        <f>INDEX(TblRaces[[Max population]:[Explore Cost]],MATCH(race,TblRaces[Race],0),MATCH(Table4[[#This Row],[Race Bonuses]],TblRaces[[#Headers],[Max population]:[Explore Cost]],0))</f>
        <v>0</v>
      </c>
      <c r="J18" s="49"/>
      <c r="K18" s="45" t="s">
        <v>51</v>
      </c>
      <c r="L18" s="472">
        <v>30</v>
      </c>
      <c r="M18" s="477" t="s">
        <v>1157</v>
      </c>
      <c r="O18" s="51"/>
    </row>
    <row r="19" spans="1:15" s="44" customFormat="1" x14ac:dyDescent="0.2">
      <c r="H19" s="45" t="s">
        <v>107</v>
      </c>
      <c r="I19" s="54">
        <f>INDEX(TblRaces[[Max population]:[Explore Cost]],MATCH(race,TblRaces[Race],0),MATCH(Table4[[#This Row],[Race Bonuses]],TblRaces[[#Headers],[Max population]:[Explore Cost]],0))</f>
        <v>0.05</v>
      </c>
      <c r="J19" s="49"/>
      <c r="K19" s="45" t="s">
        <v>1151</v>
      </c>
      <c r="L19" s="472">
        <v>0</v>
      </c>
      <c r="M19" s="477" t="s">
        <v>1158</v>
      </c>
      <c r="O19" s="60"/>
    </row>
    <row r="20" spans="1:15" s="44" customFormat="1" x14ac:dyDescent="0.2">
      <c r="A20" s="423"/>
      <c r="B20" s="423"/>
      <c r="C20" s="423"/>
      <c r="D20" s="423"/>
      <c r="E20" s="423"/>
      <c r="F20" s="423"/>
      <c r="H20" s="45" t="s">
        <v>108</v>
      </c>
      <c r="I20" s="54">
        <f>INDEX(TblRaces[[Max population]:[Explore Cost]],MATCH(race,TblRaces[Race],0),MATCH(Table4[[#This Row],[Race Bonuses]],TblRaces[[#Headers],[Max population]:[Explore Cost]],0))</f>
        <v>0</v>
      </c>
      <c r="J20" s="49"/>
      <c r="K20" s="45" t="s">
        <v>1147</v>
      </c>
      <c r="L20" s="472">
        <v>0</v>
      </c>
      <c r="M20" s="477" t="s">
        <v>1159</v>
      </c>
      <c r="O20" s="60"/>
    </row>
    <row r="21" spans="1:15" s="44" customFormat="1" x14ac:dyDescent="0.2">
      <c r="A21" s="422" t="s">
        <v>317</v>
      </c>
      <c r="B21" s="422" t="s">
        <v>31</v>
      </c>
      <c r="C21" s="422" t="s">
        <v>32</v>
      </c>
      <c r="D21" s="422" t="s">
        <v>2</v>
      </c>
      <c r="E21" s="422" t="str">
        <f>secondary_resource</f>
        <v>Ore</v>
      </c>
      <c r="F21" s="422" t="s">
        <v>230</v>
      </c>
      <c r="H21" s="45" t="s">
        <v>109</v>
      </c>
      <c r="I21" s="54">
        <f>INDEX(TblRaces[[Max population]:[Explore Cost]],MATCH(race,TblRaces[Race],0),MATCH(Table4[[#This Row],[Race Bonuses]],TblRaces[[#Headers],[Max population]:[Explore Cost]],0))</f>
        <v>0</v>
      </c>
      <c r="J21" s="49"/>
      <c r="K21" s="45" t="s">
        <v>45</v>
      </c>
      <c r="L21" s="472">
        <v>20</v>
      </c>
      <c r="M21" s="210"/>
      <c r="O21" s="60"/>
    </row>
    <row r="22" spans="1:15" s="44" customFormat="1" x14ac:dyDescent="0.2">
      <c r="A22" s="45" t="str">
        <f>INDEX(TblRaces[],MATCH(race,TblRaces[Race],0),4)</f>
        <v>Spearman</v>
      </c>
      <c r="B22" s="61">
        <f>_xlfn.IFNA(INDEX(TblRaces[],MATCH(TblUnits[[#This Row],[Unit Names]],TblRaces[Unitname],0),5),"")</f>
        <v>3</v>
      </c>
      <c r="C22" s="61">
        <f>_xlfn.IFNA(INDEX(TblRaces[],MATCH(TblUnits[[#This Row],[Unit Names]],TblRaces[Unitname],0),6),"")</f>
        <v>0</v>
      </c>
      <c r="D22" s="61">
        <f>_xlfn.IFNA(INDEX(TblRaces[],MATCH(TblUnits[[#This Row],[Unit Names]],TblRaces[Unitname],0),7),"")</f>
        <v>275</v>
      </c>
      <c r="E22" s="57">
        <f>_xlfn.IFNA(INDEX(TblRaces[],MATCH(TblUnits[[#This Row],[Unit Names]],TblRaces[Unitname],0),8),"")</f>
        <v>25</v>
      </c>
      <c r="F22" s="57">
        <f>_xlfn.IFNA(INDEX(TblRaces[],MATCH(TblUnits[[#This Row],[Unit Names]],TblRaces[Unitname],0),9),"")</f>
        <v>5</v>
      </c>
      <c r="H22" s="45" t="s">
        <v>110</v>
      </c>
      <c r="I22" s="54">
        <f>INDEX(TblRaces[[Max population]:[Explore Cost]],MATCH(race,TblRaces[Race],0),MATCH(Table4[[#This Row],[Race Bonuses]],TblRaces[[#Headers],[Max population]:[Explore Cost]],0))</f>
        <v>0</v>
      </c>
      <c r="J22" s="49"/>
      <c r="K22" s="45" t="s">
        <v>347</v>
      </c>
      <c r="L22" s="472">
        <v>0</v>
      </c>
      <c r="O22" s="60"/>
    </row>
    <row r="23" spans="1:15" s="44" customFormat="1" x14ac:dyDescent="0.2">
      <c r="A23" s="62" t="str">
        <f>INDEX(TblRaces[],MATCH(race,TblRaces[Race],0)+1,4)</f>
        <v>Archer</v>
      </c>
      <c r="B23" s="61">
        <f>_xlfn.IFNA(INDEX(TblRaces[],MATCH(TblUnits[[#This Row],[Unit Names]],TblRaces[Unitname],0),5),"")</f>
        <v>0</v>
      </c>
      <c r="C23" s="61">
        <f>_xlfn.IFNA(INDEX(TblRaces[],MATCH(TblUnits[[#This Row],[Unit Names]],TblRaces[Unitname],0),6),"")</f>
        <v>3</v>
      </c>
      <c r="D23" s="61">
        <f>_xlfn.IFNA(INDEX(TblRaces[],MATCH(TblUnits[[#This Row],[Unit Names]],TblRaces[Unitname],0),7),"")</f>
        <v>275</v>
      </c>
      <c r="E23" s="57">
        <f>_xlfn.IFNA(INDEX(TblRaces[],MATCH(TblUnits[[#This Row],[Unit Names]],TblRaces[Unitname],0),8),"")</f>
        <v>15</v>
      </c>
      <c r="F23" s="57">
        <f>_xlfn.IFNA(INDEX(TblRaces[],MATCH(TblUnits[[#This Row],[Unit Names]],TblRaces[Unitname],0),9),"")</f>
        <v>5</v>
      </c>
      <c r="H23" s="45" t="s">
        <v>111</v>
      </c>
      <c r="I23" s="54">
        <f>INDEX(TblRaces[[Max population]:[Explore Cost]],MATCH(race,TblRaces[Race],0),MATCH(Table4[[#This Row],[Race Bonuses]],TblRaces[[#Headers],[Max population]:[Explore Cost]],0))</f>
        <v>0</v>
      </c>
      <c r="J23" s="49"/>
      <c r="K23" s="45" t="s">
        <v>1148</v>
      </c>
      <c r="L23" s="473">
        <v>0</v>
      </c>
      <c r="M23" s="464"/>
      <c r="O23" s="60"/>
    </row>
    <row r="24" spans="1:15" s="44" customFormat="1" x14ac:dyDescent="0.2">
      <c r="A24" s="62" t="str">
        <f>INDEX(TblRaces[],MATCH(race,TblRaces[Race],0)+2,4)</f>
        <v>Knight</v>
      </c>
      <c r="B24" s="61">
        <f ca="1">_xlfn.IFNA(INDEX(TblRaces[],MATCH(TblUnits[[#This Row],[Unit Names]],TblRaces[Unitname],0),5),"")+E83*C83</f>
        <v>2</v>
      </c>
      <c r="C24" s="61">
        <f ca="1">_xlfn.IFNA(INDEX(TblRaces[],MATCH(TblUnits[[#This Row],[Unit Names]],TblRaces[Unitname],0),6),"")+E86*D86+E88*D88+E84*D84+E83*D83+E82*D82+E81*D81+E79*D79+D89*E89</f>
        <v>6</v>
      </c>
      <c r="D24" s="61">
        <f>_xlfn.IFNA(INDEX(TblRaces[],MATCH(TblUnits[[#This Row],[Unit Names]],TblRaces[Unitname],0),7),"")</f>
        <v>1040</v>
      </c>
      <c r="E24" s="57">
        <f>_xlfn.IFNA(INDEX(TblRaces[],MATCH(TblUnits[[#This Row],[Unit Names]],TblRaces[Unitname],0),8),"")</f>
        <v>75</v>
      </c>
      <c r="F24" s="57">
        <f>_xlfn.IFNA(INDEX(TblRaces[],MATCH(TblUnits[[#This Row],[Unit Names]],TblRaces[Unitname],0),9),"")</f>
        <v>12</v>
      </c>
      <c r="H24" s="45" t="s">
        <v>112</v>
      </c>
      <c r="I24" s="54">
        <f>INDEX(TblRaces[[Max population]:[Explore Cost]],MATCH(race,TblRaces[Race],0),MATCH(Table4[[#This Row],[Race Bonuses]],TblRaces[[#Headers],[Max population]:[Explore Cost]],0))</f>
        <v>0</v>
      </c>
      <c r="J24" s="49"/>
      <c r="K24" s="45" t="s">
        <v>1145</v>
      </c>
      <c r="L24" s="473">
        <v>0</v>
      </c>
      <c r="M24" s="464"/>
      <c r="O24" s="60"/>
    </row>
    <row r="25" spans="1:15" s="44" customFormat="1" x14ac:dyDescent="0.2">
      <c r="A25" s="62" t="str">
        <f>INDEX(TblRaces[],MATCH(race,TblRaces[Race],0)+3,4)</f>
        <v>Cavalry</v>
      </c>
      <c r="B25" s="61">
        <f ca="1">_xlfn.IFNA(INDEX(TblRaces[],MATCH(TblUnits[[#This Row],[Unit Names]],TblRaces[Unitname],0),5),"")+E79*C80+E84*C85+E87*C87</f>
        <v>6</v>
      </c>
      <c r="C25" s="61">
        <f ca="1">_xlfn.IFNA(INDEX(TblRaces[],MATCH(TblUnits[[#This Row],[Unit Names]],TblRaces[Unitname],0),6),"")+E79*D80</f>
        <v>3</v>
      </c>
      <c r="D25" s="61">
        <f>_xlfn.IFNA(INDEX(TblRaces[],MATCH(TblUnits[[#This Row],[Unit Names]],TblRaces[Unitname],0),7),"")</f>
        <v>1280</v>
      </c>
      <c r="E25" s="57">
        <f>_xlfn.IFNA(INDEX(TblRaces[],MATCH(TblUnits[[#This Row],[Unit Names]],TblRaces[Unitname],0),8),"")</f>
        <v>100</v>
      </c>
      <c r="F25" s="57">
        <f>_xlfn.IFNA(INDEX(TblRaces[],MATCH(TblUnits[[#This Row],[Unit Names]],TblRaces[Unitname],0),9),"")</f>
        <v>12</v>
      </c>
      <c r="H25" s="45" t="s">
        <v>32</v>
      </c>
      <c r="I25" s="54">
        <f>INDEX(TblRaces[[Max population]:[Explore Cost]],MATCH(race,TblRaces[Race],0),MATCH(Table4[[#This Row],[Race Bonuses]],TblRaces[[#Headers],[Max population]:[Explore Cost]],0))</f>
        <v>0</v>
      </c>
      <c r="J25" s="49"/>
      <c r="K25" s="45" t="s">
        <v>343</v>
      </c>
      <c r="L25" s="473">
        <v>0</v>
      </c>
      <c r="M25" s="464"/>
      <c r="O25" s="60"/>
    </row>
    <row r="26" spans="1:15" s="44" customFormat="1" x14ac:dyDescent="0.2">
      <c r="A26" s="62" t="s">
        <v>73</v>
      </c>
      <c r="B26" s="61">
        <f>_xlfn.IFNA(INDEX(TblRaces[],MATCH(TblUnits[[#This Row],[Unit Names]],TblRaces[Unitname],0),5),"")</f>
        <v>0</v>
      </c>
      <c r="C26" s="61">
        <f>_xlfn.IFNA(INDEX(TblRaces[],MATCH(TblUnits[[#This Row],[Unit Names]],TblRaces[Unitname],0),6),"")</f>
        <v>0</v>
      </c>
      <c r="D26" s="61">
        <f>_xlfn.IFNA(INDEX(TblRaces[],MATCH(TblUnits[[#This Row],[Unit Names]],TblRaces[Unitname],0),7),"")</f>
        <v>500</v>
      </c>
      <c r="E26" s="57">
        <f>_xlfn.IFNA(INDEX(TblRaces[],MATCH(TblUnits[[#This Row],[Unit Names]],TblRaces[Unitname],0),8),"")</f>
        <v>0</v>
      </c>
      <c r="F26" s="57">
        <v>5</v>
      </c>
      <c r="H26" s="45" t="s">
        <v>31</v>
      </c>
      <c r="I26" s="54">
        <f>INDEX(TblRaces[[Max population]:[Explore Cost]],MATCH(race,TblRaces[Race],0),MATCH(Table4[[#This Row],[Race Bonuses]],TblRaces[[#Headers],[Max population]:[Explore Cost]],0))</f>
        <v>0</v>
      </c>
      <c r="K26" s="45" t="s">
        <v>1144</v>
      </c>
      <c r="L26" s="473">
        <v>0</v>
      </c>
      <c r="M26" s="464"/>
      <c r="O26" s="60"/>
    </row>
    <row r="27" spans="1:15" s="44" customFormat="1" x14ac:dyDescent="0.2">
      <c r="A27" s="414" t="s">
        <v>1083</v>
      </c>
      <c r="B27" s="61">
        <f>_xlfn.IFNA(INDEX(TblRaces[],MATCH(TblUnits[[#This Row],[Unit Names]],TblRaces[Unitname],0),5),"")</f>
        <v>0</v>
      </c>
      <c r="C27" s="61">
        <f>_xlfn.IFNA(INDEX(TblRaces[],MATCH(TblUnits[[#This Row],[Unit Names]],TblRaces[Unitname],0),6),"")</f>
        <v>0</v>
      </c>
      <c r="D27" s="61">
        <f>_xlfn.IFNA(INDEX(TblRaces[],MATCH(TblUnits[[#This Row],[Unit Names]],TblRaces[Unitname],0),7),"")</f>
        <v>1000</v>
      </c>
      <c r="E27" s="57" t="str">
        <f>_xlfn.IFNA(INDEX(TblRaces[],MATCH(TblUnits[[#This Row],[Unit Names]],TblRaces[Unitname],0),8),"")</f>
        <v xml:space="preserve"> + 1 spy</v>
      </c>
      <c r="F27" s="57">
        <v>5</v>
      </c>
      <c r="H27" s="63" t="s">
        <v>161</v>
      </c>
      <c r="I27" s="54">
        <f>INDEX(TblRaces[[Max population]:[Explore Cost]],MATCH(race,TblRaces[Race],0),MATCH(Table4[[#This Row],[Race Bonuses]],TblRaces[[#Headers],[Max population]:[Explore Cost]],0))</f>
        <v>0</v>
      </c>
      <c r="K27" s="45" t="s">
        <v>1146</v>
      </c>
      <c r="L27" s="473">
        <v>0</v>
      </c>
      <c r="M27" s="464"/>
      <c r="O27" s="60"/>
    </row>
    <row r="28" spans="1:15" s="44" customFormat="1" x14ac:dyDescent="0.2">
      <c r="A28" s="62" t="s">
        <v>181</v>
      </c>
      <c r="B28" s="61">
        <f>_xlfn.IFNA(INDEX(TblRaces[],MATCH(TblUnits[[#This Row],[Unit Names]],TblRaces[Unitname],0),5),"")</f>
        <v>0</v>
      </c>
      <c r="C28" s="61">
        <f>_xlfn.IFNA(INDEX(TblRaces[],MATCH(TblUnits[[#This Row],[Unit Names]],TblRaces[Unitname],0),6),"")</f>
        <v>0</v>
      </c>
      <c r="D28" s="61">
        <f>_xlfn.IFNA(INDEX(TblRaces[],MATCH(TblUnits[[#This Row],[Unit Names]],TblRaces[Unitname],0),7),"")</f>
        <v>500</v>
      </c>
      <c r="E28" s="57">
        <f>_xlfn.IFNA(INDEX(TblRaces[],MATCH(TblUnits[[#This Row],[Unit Names]],TblRaces[Unitname],0),8),"")</f>
        <v>0</v>
      </c>
      <c r="F28" s="57">
        <v>5</v>
      </c>
      <c r="H28" s="45" t="s">
        <v>162</v>
      </c>
      <c r="I28" s="54">
        <f>INDEX(TblRaces[[Max population]:[Explore Cost]],MATCH(race,TblRaces[Race],0),MATCH(Table4[[#This Row],[Race Bonuses]],TblRaces[[#Headers],[Max population]:[Explore Cost]],0))</f>
        <v>0</v>
      </c>
      <c r="K28" s="45" t="s">
        <v>1150</v>
      </c>
      <c r="L28" s="472">
        <v>0</v>
      </c>
      <c r="O28" s="60"/>
    </row>
    <row r="29" spans="1:15" s="44" customFormat="1" x14ac:dyDescent="0.2">
      <c r="A29" s="62" t="s">
        <v>182</v>
      </c>
      <c r="B29" s="61">
        <f>_xlfn.IFNA(INDEX(TblRaces[],MATCH(TblUnits[[#This Row],[Unit Names]],TblRaces[Unitname],0),5),"")</f>
        <v>0</v>
      </c>
      <c r="C29" s="61">
        <f>_xlfn.IFNA(INDEX(TblRaces[],MATCH(TblUnits[[#This Row],[Unit Names]],TblRaces[Unitname],0),6),"")</f>
        <v>0</v>
      </c>
      <c r="D29" s="61">
        <f>_xlfn.IFNA(INDEX(TblRaces[],MATCH(TblUnits[[#This Row],[Unit Names]],TblRaces[Unitname],0),7),"")</f>
        <v>1000</v>
      </c>
      <c r="E29" s="64" t="str">
        <f>_xlfn.IFNA(INDEX(TblRaces[],MATCH(TblUnits[[#This Row],[Unit Names]],TblRaces[Unitname],0),8),"")</f>
        <v>+ 1 wizard</v>
      </c>
      <c r="F29" s="57">
        <v>5</v>
      </c>
      <c r="H29" s="45" t="s">
        <v>437</v>
      </c>
      <c r="I29" s="54">
        <f>INDEX(TblRaces[[Max population]:[Explore Cost]],MATCH(race,TblRaces[Race],0),MATCH(Table4[[#This Row],[Race Bonuses]],TblRaces[[#Headers],[Max population]:[Explore Cost]],0))</f>
        <v>0</v>
      </c>
      <c r="K29" s="45" t="s">
        <v>52</v>
      </c>
      <c r="L29" s="472">
        <v>0</v>
      </c>
      <c r="O29" s="60"/>
    </row>
    <row r="30" spans="1:15" s="44" customFormat="1" x14ac:dyDescent="0.2">
      <c r="A30" s="65" t="s">
        <v>1068</v>
      </c>
      <c r="D30" s="66"/>
      <c r="E30" s="67"/>
      <c r="G30" s="51"/>
      <c r="H30" s="45" t="s">
        <v>486</v>
      </c>
      <c r="I30" s="54">
        <f>INDEX(TblRaces[[Max population]:[Explore Cost]],MATCH(race,TblRaces[Race],0),MATCH(Table4[[#This Row],[Race Bonuses]],TblRaces[[#Headers],[Max population]:[Explore Cost]],0))</f>
        <v>0</v>
      </c>
      <c r="K30" s="45" t="s">
        <v>1152</v>
      </c>
      <c r="L30" s="472">
        <v>0</v>
      </c>
      <c r="O30" s="60"/>
    </row>
    <row r="31" spans="1:15" s="44" customFormat="1" x14ac:dyDescent="0.2">
      <c r="A31" s="65"/>
      <c r="D31" s="66"/>
      <c r="E31" s="67"/>
      <c r="G31" s="51"/>
      <c r="H31" s="45" t="s">
        <v>487</v>
      </c>
      <c r="I31" s="54">
        <f>INDEX(TblRaces[[Max population]:[Explore Cost]],MATCH(race,TblRaces[Race],0),MATCH(Table4[[#This Row],[Race Bonuses]],TblRaces[[#Headers],[Max population]:[Explore Cost]],0))</f>
        <v>0</v>
      </c>
      <c r="K31" s="45" t="s">
        <v>1153</v>
      </c>
      <c r="L31" s="472">
        <v>0</v>
      </c>
      <c r="O31" s="60"/>
    </row>
    <row r="32" spans="1:15" s="44" customFormat="1" x14ac:dyDescent="0.2">
      <c r="A32" s="65"/>
      <c r="D32" s="66"/>
      <c r="E32" s="67"/>
      <c r="H32" s="45" t="s">
        <v>524</v>
      </c>
      <c r="I32" s="54">
        <f>INDEX(TblRaces[[Max population]:[Explore Cost]],MATCH(race,TblRaces[Race],0),MATCH(Table4[[#This Row],[Race Bonuses]],TblRaces[[#Headers],[Max population]:[Explore Cost]],0))</f>
        <v>0</v>
      </c>
      <c r="K32" s="45" t="s">
        <v>1143</v>
      </c>
      <c r="L32" s="472">
        <v>0</v>
      </c>
      <c r="O32" s="60"/>
    </row>
    <row r="33" spans="1:21" s="44" customFormat="1" x14ac:dyDescent="0.2">
      <c r="A33" s="65"/>
      <c r="D33" s="66"/>
      <c r="E33" s="67"/>
      <c r="H33" s="45" t="s">
        <v>1063</v>
      </c>
      <c r="I33" s="54">
        <f>INDEX(TblRaces[[Max population]:[Explore Cost]],MATCH(race,TblRaces[Race],0),MATCH(Table4[[#This Row],[Race Bonuses]],TblRaces[[#Headers],[Max population]:[Explore Cost]],0))</f>
        <v>0</v>
      </c>
      <c r="K33" s="45" t="s">
        <v>1149</v>
      </c>
      <c r="L33" s="472">
        <v>0</v>
      </c>
      <c r="O33" s="60"/>
    </row>
    <row r="34" spans="1:21" s="44" customFormat="1" x14ac:dyDescent="0.2">
      <c r="A34" s="65"/>
      <c r="D34" s="66"/>
      <c r="E34" s="67"/>
      <c r="H34" s="210"/>
      <c r="I34" s="469"/>
      <c r="K34" s="45" t="s">
        <v>46</v>
      </c>
      <c r="L34" s="472">
        <v>0</v>
      </c>
      <c r="O34" s="60"/>
    </row>
    <row r="35" spans="1:21" s="69" customFormat="1" x14ac:dyDescent="0.2">
      <c r="A35" s="68"/>
      <c r="D35" s="70"/>
      <c r="E35" s="71"/>
      <c r="H35" s="470"/>
      <c r="I35" s="471"/>
      <c r="K35" s="470"/>
      <c r="L35" s="475">
        <f>SUM(Table20[Amount])</f>
        <v>50</v>
      </c>
      <c r="M35" s="476" t="str">
        <f>IF(L35=start_acres,"Construction Complete!",IF(L35&lt;start_acres,"Construct additional buildings!","You have built too many buildings!"))</f>
        <v>Construct additional buildings!</v>
      </c>
      <c r="O35" s="74"/>
    </row>
    <row r="36" spans="1:21" s="73" customFormat="1" ht="29.25" customHeight="1" x14ac:dyDescent="0.2">
      <c r="A36" s="510" t="s">
        <v>375</v>
      </c>
      <c r="B36" s="486"/>
      <c r="C36" s="486"/>
      <c r="D36" s="486"/>
      <c r="E36" s="486"/>
      <c r="F36" s="486"/>
      <c r="G36" s="486"/>
      <c r="H36" s="486"/>
      <c r="I36" s="486"/>
      <c r="J36" s="511"/>
      <c r="K36" s="511"/>
      <c r="L36" s="511"/>
      <c r="M36" s="511"/>
      <c r="N36" s="511"/>
      <c r="O36" s="511"/>
    </row>
    <row r="37" spans="1:21" x14ac:dyDescent="0.2">
      <c r="A37" s="5" t="s">
        <v>22</v>
      </c>
      <c r="B37" s="45" t="s">
        <v>353</v>
      </c>
      <c r="C37" s="75" t="s">
        <v>31</v>
      </c>
      <c r="D37" s="76" t="s">
        <v>206</v>
      </c>
      <c r="E37" s="77" t="s">
        <v>1008</v>
      </c>
      <c r="F37" s="75" t="s">
        <v>32</v>
      </c>
      <c r="G37" s="76" t="s">
        <v>1006</v>
      </c>
      <c r="H37" s="76" t="s">
        <v>1007</v>
      </c>
      <c r="I37" s="78" t="s">
        <v>769</v>
      </c>
      <c r="J37" s="44"/>
      <c r="K37" s="44"/>
      <c r="L37" s="52"/>
      <c r="M37" s="52"/>
      <c r="N37" s="52"/>
      <c r="O37" s="79"/>
    </row>
    <row r="38" spans="1:21" x14ac:dyDescent="0.2">
      <c r="A38" s="80" t="s">
        <v>34</v>
      </c>
      <c r="B38" s="81" t="s">
        <v>216</v>
      </c>
      <c r="C38" s="82" t="s">
        <v>188</v>
      </c>
      <c r="D38" s="83" t="s">
        <v>206</v>
      </c>
      <c r="E38" s="81" t="s">
        <v>227</v>
      </c>
      <c r="F38" s="83" t="s">
        <v>188</v>
      </c>
      <c r="G38" s="83" t="s">
        <v>206</v>
      </c>
      <c r="H38" s="83" t="s">
        <v>227</v>
      </c>
      <c r="I38" s="84" t="s">
        <v>34</v>
      </c>
      <c r="J38" s="44"/>
      <c r="K38" s="50"/>
      <c r="L38" s="50" t="s">
        <v>426</v>
      </c>
      <c r="M38" s="44"/>
      <c r="N38" s="44"/>
      <c r="O38" s="60"/>
    </row>
    <row r="39" spans="1:21" ht="12.75" customHeight="1" x14ac:dyDescent="0.2">
      <c r="A39" s="80" t="str">
        <f>spec_op_name</f>
        <v>Spearman</v>
      </c>
      <c r="B39" s="85">
        <f ca="1">Military!E$40</f>
        <v>0</v>
      </c>
      <c r="C39" s="86">
        <f ca="1">B39*B22+E98*C98</f>
        <v>0</v>
      </c>
      <c r="D39" s="87">
        <f ca="1">Military!Q40</f>
        <v>2.5000000000000001E-2</v>
      </c>
      <c r="E39" s="85">
        <f ca="1">C39*(1+$D$39)</f>
        <v>0</v>
      </c>
      <c r="F39" s="88">
        <f ca="1">B39*C22</f>
        <v>0</v>
      </c>
      <c r="G39" s="87">
        <f ca="1">Military!U40</f>
        <v>0</v>
      </c>
      <c r="H39" s="88">
        <f ca="1">F39*(1+$G$39)</f>
        <v>0</v>
      </c>
      <c r="I39" s="89" t="str">
        <f>A39</f>
        <v>Spearman</v>
      </c>
      <c r="J39" s="44"/>
      <c r="K39" s="465"/>
      <c r="L39" s="507" t="s">
        <v>427</v>
      </c>
      <c r="M39" s="507"/>
      <c r="N39" s="507"/>
      <c r="O39" s="508"/>
      <c r="R39" s="5"/>
      <c r="U39" s="124"/>
    </row>
    <row r="40" spans="1:21" x14ac:dyDescent="0.2">
      <c r="A40" s="90" t="str">
        <f>spec_dp_name</f>
        <v>Archer</v>
      </c>
      <c r="B40" s="91">
        <f ca="1">Military!F$40</f>
        <v>0</v>
      </c>
      <c r="C40" s="92">
        <f ca="1">B40*B23</f>
        <v>0</v>
      </c>
      <c r="D40" s="93"/>
      <c r="E40" s="91">
        <f ca="1">C40*(1+$D$39)</f>
        <v>0</v>
      </c>
      <c r="F40" s="94">
        <f ca="1">B40*C23</f>
        <v>0</v>
      </c>
      <c r="G40" s="93"/>
      <c r="H40" s="94">
        <f ca="1">F40*(1+$G$39)</f>
        <v>0</v>
      </c>
      <c r="I40" s="89" t="str">
        <f>A40</f>
        <v>Archer</v>
      </c>
      <c r="J40" s="44"/>
      <c r="K40" s="465"/>
      <c r="L40" s="507"/>
      <c r="M40" s="507"/>
      <c r="N40" s="507"/>
      <c r="O40" s="508"/>
      <c r="R40" s="467"/>
      <c r="S40" s="467"/>
      <c r="T40" s="467"/>
      <c r="U40" s="467"/>
    </row>
    <row r="41" spans="1:21" x14ac:dyDescent="0.2">
      <c r="A41" s="90" t="str">
        <f>elite1_name</f>
        <v>Knight</v>
      </c>
      <c r="B41" s="91">
        <f ca="1">Military!G$40</f>
        <v>0</v>
      </c>
      <c r="C41" s="92">
        <f ca="1">B41*B24</f>
        <v>0</v>
      </c>
      <c r="D41" s="93"/>
      <c r="E41" s="91">
        <f ca="1">C41*(1+$D$39)</f>
        <v>0</v>
      </c>
      <c r="F41" s="94">
        <f ca="1">B41*C24+E92*D92</f>
        <v>0</v>
      </c>
      <c r="G41" s="93"/>
      <c r="H41" s="94">
        <f ca="1">F41*(1+$G$39)</f>
        <v>0</v>
      </c>
      <c r="I41" s="89" t="str">
        <f>A41</f>
        <v>Knight</v>
      </c>
      <c r="J41" s="44"/>
      <c r="K41" s="465"/>
      <c r="L41" s="507"/>
      <c r="M41" s="507"/>
      <c r="N41" s="507"/>
      <c r="O41" s="508"/>
      <c r="R41" s="467"/>
      <c r="S41" s="467"/>
      <c r="T41" s="467"/>
      <c r="U41" s="467"/>
    </row>
    <row r="42" spans="1:21" ht="13.5" customHeight="1" thickBot="1" x14ac:dyDescent="0.25">
      <c r="A42" s="90" t="str">
        <f>elite2_name</f>
        <v>Cavalry</v>
      </c>
      <c r="B42" s="91">
        <f ca="1">Military!H$40</f>
        <v>0</v>
      </c>
      <c r="C42" s="95">
        <f ca="1">B42*B25+E92*C93</f>
        <v>0</v>
      </c>
      <c r="D42" s="93"/>
      <c r="E42" s="96">
        <f ca="1">C42*(1+$D$39)</f>
        <v>0</v>
      </c>
      <c r="F42" s="97">
        <f ca="1">B42*C25</f>
        <v>0</v>
      </c>
      <c r="G42" s="93"/>
      <c r="H42" s="97">
        <f ca="1">F42*(1+$G$39)</f>
        <v>0</v>
      </c>
      <c r="I42" s="89" t="str">
        <f>A42</f>
        <v>Cavalry</v>
      </c>
      <c r="J42" s="44"/>
      <c r="K42" s="464"/>
      <c r="L42" s="485" t="s">
        <v>447</v>
      </c>
      <c r="M42" s="485"/>
      <c r="N42" s="485"/>
      <c r="O42" s="509"/>
      <c r="R42" s="467"/>
      <c r="S42" s="467"/>
      <c r="T42" s="467"/>
      <c r="U42" s="467"/>
    </row>
    <row r="43" spans="1:21" ht="13.5" thickTop="1" x14ac:dyDescent="0.2">
      <c r="A43" s="98"/>
      <c r="B43" s="85"/>
      <c r="C43" s="99">
        <f ca="1">SUM(C39:C42)</f>
        <v>0</v>
      </c>
      <c r="E43" s="100">
        <f ca="1">SUM(E39:E42)</f>
        <v>0</v>
      </c>
      <c r="F43" s="35">
        <f ca="1">SUM(F39:F42)</f>
        <v>0</v>
      </c>
      <c r="H43" s="35">
        <f ca="1">SUM(H39:H42)</f>
        <v>0</v>
      </c>
      <c r="I43" s="82"/>
      <c r="J43" s="44"/>
      <c r="K43" s="464"/>
      <c r="L43" s="485"/>
      <c r="M43" s="485"/>
      <c r="N43" s="485"/>
      <c r="O43" s="509"/>
      <c r="R43" s="468"/>
      <c r="S43" s="468"/>
      <c r="T43" s="468"/>
      <c r="U43" s="468"/>
    </row>
    <row r="44" spans="1:21" ht="12.75" customHeight="1" x14ac:dyDescent="0.2">
      <c r="A44" s="101" t="s">
        <v>24</v>
      </c>
      <c r="B44" s="94">
        <f ca="1">F44</f>
        <v>377</v>
      </c>
      <c r="C44" s="101"/>
      <c r="E44" s="102"/>
      <c r="F44" s="94">
        <f ca="1">Military!AA40</f>
        <v>377</v>
      </c>
      <c r="H44" s="94">
        <f ca="1">F44*(1+$G$39)</f>
        <v>377</v>
      </c>
      <c r="I44" s="89" t="s">
        <v>418</v>
      </c>
      <c r="J44" s="44"/>
      <c r="K44" s="465"/>
      <c r="L44" s="507" t="s">
        <v>445</v>
      </c>
      <c r="M44" s="507"/>
      <c r="N44" s="507"/>
      <c r="O44" s="508"/>
      <c r="R44" s="468"/>
      <c r="S44" s="468"/>
      <c r="T44" s="468"/>
      <c r="U44" s="468"/>
    </row>
    <row r="45" spans="1:21" ht="13.5" thickBot="1" x14ac:dyDescent="0.25">
      <c r="A45" s="101" t="s">
        <v>417</v>
      </c>
      <c r="B45" s="45">
        <f ca="1">E57</f>
        <v>0</v>
      </c>
      <c r="C45" s="101"/>
      <c r="E45" s="102"/>
      <c r="F45" s="103">
        <f ca="1">MIN(Population!C76/2,Constants!B14*20*Construction!BE76)</f>
        <v>0</v>
      </c>
      <c r="H45" s="104">
        <f ca="1">F45*(1+$G$39)</f>
        <v>0</v>
      </c>
      <c r="I45" s="89" t="s">
        <v>376</v>
      </c>
      <c r="J45" s="44"/>
      <c r="K45" s="465"/>
      <c r="L45" s="507"/>
      <c r="M45" s="507"/>
      <c r="N45" s="507"/>
      <c r="O45" s="508"/>
      <c r="R45" s="467"/>
      <c r="S45" s="467"/>
      <c r="T45" s="467"/>
      <c r="U45" s="467"/>
    </row>
    <row r="46" spans="1:21" ht="13.5" thickTop="1" x14ac:dyDescent="0.2">
      <c r="C46" s="101"/>
      <c r="E46" s="102"/>
      <c r="F46" s="35">
        <f ca="1">F44+F43+F45</f>
        <v>377</v>
      </c>
      <c r="H46" s="100">
        <f ca="1">H44+H43+H45</f>
        <v>377</v>
      </c>
      <c r="I46" s="89"/>
      <c r="J46" s="44"/>
      <c r="K46" s="465"/>
      <c r="L46" s="507"/>
      <c r="M46" s="507"/>
      <c r="N46" s="507"/>
      <c r="O46" s="508"/>
      <c r="R46" s="467"/>
      <c r="S46" s="467"/>
      <c r="T46" s="467"/>
      <c r="U46" s="467"/>
    </row>
    <row r="47" spans="1:21" x14ac:dyDescent="0.2">
      <c r="A47" s="44"/>
      <c r="B47" s="44"/>
      <c r="C47" s="44"/>
      <c r="D47" s="484"/>
      <c r="E47" s="484"/>
      <c r="F47" s="484"/>
      <c r="G47" s="484"/>
      <c r="H47" s="484"/>
      <c r="I47" s="44"/>
      <c r="J47" s="44"/>
      <c r="K47" s="44"/>
      <c r="L47" s="44"/>
      <c r="M47" s="44"/>
      <c r="N47" s="44"/>
      <c r="O47" s="51"/>
      <c r="R47" s="467"/>
      <c r="S47" s="467"/>
      <c r="T47" s="467"/>
      <c r="U47" s="467"/>
    </row>
    <row r="48" spans="1:21" x14ac:dyDescent="0.2">
      <c r="A48" s="105" t="str">
        <f>A26</f>
        <v>Spy</v>
      </c>
      <c r="B48" s="402">
        <f ca="1">Military!I40</f>
        <v>0</v>
      </c>
      <c r="D48" s="44"/>
      <c r="E48" s="44"/>
      <c r="F48" s="44"/>
      <c r="G48" s="44"/>
      <c r="I48" s="44"/>
      <c r="J48" s="44"/>
      <c r="K48" s="44"/>
      <c r="L48" s="50" t="s">
        <v>425</v>
      </c>
      <c r="M48" s="44"/>
      <c r="N48" s="44"/>
      <c r="O48" s="51"/>
    </row>
    <row r="49" spans="1:15" x14ac:dyDescent="0.2">
      <c r="A49" s="463" t="s">
        <v>1142</v>
      </c>
      <c r="B49" s="415">
        <f ca="1">Military!J40</f>
        <v>0</v>
      </c>
      <c r="C49" s="44"/>
      <c r="D49" s="5" t="s">
        <v>252</v>
      </c>
      <c r="E49" s="57" t="s">
        <v>353</v>
      </c>
      <c r="F49" s="45" t="s">
        <v>1009</v>
      </c>
      <c r="G49" s="44"/>
      <c r="H49" s="50" t="s">
        <v>254</v>
      </c>
      <c r="I49" s="44"/>
      <c r="J49" s="44"/>
      <c r="K49" s="44"/>
      <c r="L49" s="485" t="s">
        <v>450</v>
      </c>
      <c r="M49" s="486"/>
      <c r="N49" s="486"/>
      <c r="O49" s="487"/>
    </row>
    <row r="50" spans="1:15" x14ac:dyDescent="0.2">
      <c r="A50" s="416" t="str">
        <f>A28</f>
        <v>Wizard</v>
      </c>
      <c r="B50" s="417">
        <f ca="1">Military!K40</f>
        <v>0</v>
      </c>
      <c r="C50" s="44"/>
      <c r="D50" s="47" t="s">
        <v>1</v>
      </c>
      <c r="E50" s="462">
        <f ca="1">Construction!BT40</f>
        <v>110</v>
      </c>
      <c r="F50" s="106">
        <v>1</v>
      </c>
      <c r="G50" s="44"/>
      <c r="H50" s="45" t="s">
        <v>255</v>
      </c>
      <c r="I50" s="107" t="s">
        <v>188</v>
      </c>
      <c r="J50" s="57" t="s">
        <v>227</v>
      </c>
      <c r="K50" s="44"/>
      <c r="L50" s="486"/>
      <c r="M50" s="486"/>
      <c r="N50" s="486"/>
      <c r="O50" s="487"/>
    </row>
    <row r="51" spans="1:15" x14ac:dyDescent="0.2">
      <c r="A51" s="112" t="str">
        <f>A29</f>
        <v>Archmage</v>
      </c>
      <c r="B51" s="403">
        <f ca="1">Military!L40</f>
        <v>0</v>
      </c>
      <c r="C51" s="44"/>
      <c r="D51" s="108" t="str">
        <f>Construction!AY3</f>
        <v>Tot Hom</v>
      </c>
      <c r="E51" s="109">
        <f ca="1">Construction!AY40</f>
        <v>0</v>
      </c>
      <c r="F51" s="110">
        <f ca="1">E51/$E$50</f>
        <v>0</v>
      </c>
      <c r="G51" s="44"/>
      <c r="H51" s="45" t="s">
        <v>249</v>
      </c>
      <c r="I51" s="111">
        <f ca="1">C43/E50</f>
        <v>0</v>
      </c>
      <c r="J51" s="111">
        <f ca="1">E43/E50</f>
        <v>0</v>
      </c>
      <c r="K51" s="44"/>
      <c r="L51" s="486"/>
      <c r="M51" s="486"/>
      <c r="N51" s="486"/>
      <c r="O51" s="487"/>
    </row>
    <row r="52" spans="1:15" x14ac:dyDescent="0.2">
      <c r="A52" s="44"/>
      <c r="B52" s="44"/>
      <c r="C52" s="44"/>
      <c r="D52" s="108" t="str">
        <f>Construction!AZ3</f>
        <v>Tot Alc</v>
      </c>
      <c r="E52" s="45">
        <f ca="1">Construction!AZ40</f>
        <v>0</v>
      </c>
      <c r="F52" s="110">
        <f ca="1">E52/$E$50</f>
        <v>0</v>
      </c>
      <c r="G52" s="44"/>
      <c r="H52" s="45" t="s">
        <v>250</v>
      </c>
      <c r="I52" s="111">
        <f ca="1">F43/E50</f>
        <v>0</v>
      </c>
      <c r="J52" s="111">
        <f ca="1">H43/E50</f>
        <v>0</v>
      </c>
      <c r="K52" s="44"/>
      <c r="L52" s="486"/>
      <c r="M52" s="486"/>
      <c r="N52" s="486"/>
      <c r="O52" s="487"/>
    </row>
    <row r="53" spans="1:15" x14ac:dyDescent="0.2">
      <c r="A53" s="105" t="s">
        <v>266</v>
      </c>
      <c r="B53" s="402">
        <f ca="1">_xlfn.FLOOR.MATH(Production!N40)*(boat_size + tech_6_3_3*Techs!BH76)</f>
        <v>0</v>
      </c>
      <c r="C53" s="44"/>
      <c r="D53" s="108" t="str">
        <f>Construction!BA3</f>
        <v>Tot Farm</v>
      </c>
      <c r="E53" s="45">
        <f ca="1">Construction!BA40</f>
        <v>30</v>
      </c>
      <c r="F53" s="110">
        <f ca="1">E53/$E$50</f>
        <v>0.27272727272727271</v>
      </c>
      <c r="G53" s="44"/>
      <c r="H53" s="45" t="s">
        <v>251</v>
      </c>
      <c r="I53" s="111">
        <f ca="1">(B48 + B49*2 + B41*D94*E94 + B41*D95*E95)/E50</f>
        <v>0</v>
      </c>
      <c r="J53" s="111">
        <f ca="1">I53*(1+I27)</f>
        <v>0</v>
      </c>
      <c r="K53" s="44"/>
      <c r="L53" s="486"/>
      <c r="M53" s="486"/>
      <c r="N53" s="486"/>
      <c r="O53" s="487"/>
    </row>
    <row r="54" spans="1:15" x14ac:dyDescent="0.2">
      <c r="A54" s="112" t="s">
        <v>374</v>
      </c>
      <c r="B54" s="403">
        <f>SUM(Imps!M4:'Imps'!M40)</f>
        <v>0</v>
      </c>
      <c r="C54" s="44"/>
      <c r="D54" s="108" t="str">
        <f>Construction!BB3</f>
        <v>Tot Smi</v>
      </c>
      <c r="E54" s="45">
        <f ca="1">Construction!BB40</f>
        <v>0</v>
      </c>
      <c r="F54" s="110">
        <f t="shared" ref="F54:F69" ca="1" si="0">E54/$E$50</f>
        <v>0</v>
      </c>
      <c r="G54" s="44"/>
      <c r="H54" s="45" t="s">
        <v>253</v>
      </c>
      <c r="I54" s="111">
        <f ca="1">(B51*2+B50 + B41*D96*E96 + B41*D97*E97)/E50</f>
        <v>0</v>
      </c>
      <c r="J54" s="111">
        <f ca="1">I54*(1+I28+Constants!O58*Techs!AL76)</f>
        <v>0</v>
      </c>
      <c r="K54" s="44"/>
      <c r="L54" s="486"/>
      <c r="M54" s="486"/>
      <c r="N54" s="486"/>
      <c r="O54" s="487"/>
    </row>
    <row r="55" spans="1:15" x14ac:dyDescent="0.2">
      <c r="C55" s="44"/>
      <c r="D55" s="108" t="str">
        <f>Construction!BC3</f>
        <v>Tot Mas</v>
      </c>
      <c r="E55" s="45">
        <f ca="1">Construction!BC40</f>
        <v>0</v>
      </c>
      <c r="F55" s="110">
        <f t="shared" ca="1" si="0"/>
        <v>0</v>
      </c>
      <c r="G55" s="44"/>
      <c r="H55" s="44"/>
      <c r="I55" s="44"/>
      <c r="J55" s="44"/>
      <c r="K55" s="44"/>
      <c r="L55" s="210"/>
      <c r="M55" s="466"/>
      <c r="N55" s="210"/>
      <c r="O55" s="51"/>
    </row>
    <row r="56" spans="1:15" x14ac:dyDescent="0.2">
      <c r="A56" s="113" t="s">
        <v>1</v>
      </c>
      <c r="B56" s="399">
        <f ca="1">E50</f>
        <v>110</v>
      </c>
      <c r="C56" s="44"/>
      <c r="D56" s="108" t="str">
        <f>Construction!BD3</f>
        <v>Tot Ly</v>
      </c>
      <c r="E56" s="45">
        <f ca="1">Construction!BD40</f>
        <v>20</v>
      </c>
      <c r="F56" s="110">
        <f t="shared" ca="1" si="0"/>
        <v>0.18181818181818182</v>
      </c>
      <c r="G56" s="44"/>
      <c r="H56" s="50" t="s">
        <v>2</v>
      </c>
      <c r="I56" s="44"/>
      <c r="J56" s="44"/>
      <c r="K56" s="44"/>
      <c r="L56" s="210"/>
      <c r="M56" s="466"/>
      <c r="N56" s="210"/>
      <c r="O56" s="51"/>
    </row>
    <row r="57" spans="1:15" x14ac:dyDescent="0.2">
      <c r="A57" s="114" t="s">
        <v>21</v>
      </c>
      <c r="B57" s="400">
        <f ca="1">Population!C40</f>
        <v>699</v>
      </c>
      <c r="C57" s="44"/>
      <c r="D57" s="108" t="str">
        <f>Construction!BE3</f>
        <v>Tot Hav</v>
      </c>
      <c r="E57" s="45">
        <f ca="1">Construction!BE40</f>
        <v>0</v>
      </c>
      <c r="F57" s="110">
        <f t="shared" ca="1" si="0"/>
        <v>0</v>
      </c>
      <c r="G57" s="44"/>
      <c r="H57" s="45" t="s">
        <v>0</v>
      </c>
      <c r="I57" s="101" t="s">
        <v>216</v>
      </c>
      <c r="J57" s="45" t="s">
        <v>382</v>
      </c>
      <c r="K57" s="44"/>
      <c r="L57" s="210"/>
      <c r="M57" s="466"/>
      <c r="N57" s="210"/>
      <c r="O57" s="51"/>
    </row>
    <row r="58" spans="1:15" x14ac:dyDescent="0.2">
      <c r="A58" s="115" t="s">
        <v>24</v>
      </c>
      <c r="B58" s="401">
        <f ca="1">B44</f>
        <v>377</v>
      </c>
      <c r="C58" s="44"/>
      <c r="D58" s="108" t="str">
        <f>Construction!BF3</f>
        <v>Tot OM</v>
      </c>
      <c r="E58" s="45">
        <f ca="1">Construction!BF40</f>
        <v>0</v>
      </c>
      <c r="F58" s="110">
        <f t="shared" ca="1" si="0"/>
        <v>0</v>
      </c>
      <c r="G58" s="44"/>
      <c r="H58" s="116">
        <v>37</v>
      </c>
      <c r="I58" s="61">
        <f ca="1">Production!H28</f>
        <v>87576</v>
      </c>
      <c r="J58" s="61">
        <f ca="1">Production!H28+SUM(Military!AS4:AS28)</f>
        <v>87576</v>
      </c>
      <c r="K58" s="44"/>
      <c r="L58" s="210"/>
      <c r="M58" s="466"/>
      <c r="N58" s="210"/>
      <c r="O58" s="51"/>
    </row>
    <row r="59" spans="1:15" x14ac:dyDescent="0.2">
      <c r="A59" s="114" t="s">
        <v>230</v>
      </c>
      <c r="B59" s="400">
        <f ca="1">Production!G40</f>
        <v>2450</v>
      </c>
      <c r="C59" s="44"/>
      <c r="D59" s="108" t="str">
        <f>Construction!BG3</f>
        <v>Tot GN</v>
      </c>
      <c r="E59" s="45">
        <f ca="1">Construction!BG40</f>
        <v>0</v>
      </c>
      <c r="F59" s="110">
        <f t="shared" ca="1" si="0"/>
        <v>0</v>
      </c>
      <c r="G59" s="44"/>
      <c r="H59" s="116">
        <v>40</v>
      </c>
      <c r="I59" s="61">
        <f ca="1">Production!H31</f>
        <v>93560</v>
      </c>
      <c r="J59" s="61">
        <f ca="1">Production!H31+SUM(Military!AS5:AS31)</f>
        <v>93560</v>
      </c>
      <c r="K59" s="117"/>
      <c r="L59" s="210"/>
      <c r="M59" s="466"/>
      <c r="N59" s="210"/>
      <c r="O59" s="51"/>
    </row>
    <row r="60" spans="1:15" x14ac:dyDescent="0.2">
      <c r="A60" s="115" t="s">
        <v>265</v>
      </c>
      <c r="B60" s="401">
        <f ca="1">H43</f>
        <v>0</v>
      </c>
      <c r="C60" s="44"/>
      <c r="D60" s="108" t="str">
        <f>Construction!BJ3</f>
        <v>Tot Bar</v>
      </c>
      <c r="E60" s="45">
        <f ca="1">Construction!BJ40</f>
        <v>0</v>
      </c>
      <c r="F60" s="110">
        <f t="shared" ca="1" si="0"/>
        <v>0</v>
      </c>
      <c r="G60" s="44"/>
      <c r="H60" s="116" t="s">
        <v>229</v>
      </c>
      <c r="I60" s="61">
        <f ca="1">Production!H40</f>
        <v>111400</v>
      </c>
      <c r="J60" s="61">
        <f ca="1">Production!H40+SUM(Military!AS4:AS40)</f>
        <v>111400</v>
      </c>
      <c r="K60" s="117"/>
      <c r="L60" s="210"/>
      <c r="M60" s="466"/>
      <c r="N60" s="210"/>
      <c r="O60" s="51"/>
    </row>
    <row r="61" spans="1:15" x14ac:dyDescent="0.2">
      <c r="A61" s="114" t="s">
        <v>264</v>
      </c>
      <c r="B61" s="400">
        <f ca="1">E43</f>
        <v>0</v>
      </c>
      <c r="C61" s="44"/>
      <c r="D61" s="108" t="str">
        <f>Construction!BH3</f>
        <v>Tot Fac</v>
      </c>
      <c r="E61" s="45">
        <f ca="1">Construction!BH40</f>
        <v>0</v>
      </c>
      <c r="F61" s="110">
        <f t="shared" ca="1" si="0"/>
        <v>0</v>
      </c>
      <c r="G61" s="44"/>
      <c r="H61" s="44"/>
      <c r="I61" s="44"/>
      <c r="J61" s="44"/>
      <c r="K61" s="117"/>
      <c r="L61" s="210"/>
      <c r="M61" s="466"/>
      <c r="N61" s="210"/>
      <c r="O61" s="51"/>
    </row>
    <row r="62" spans="1:15" x14ac:dyDescent="0.2">
      <c r="A62" s="115" t="s">
        <v>6</v>
      </c>
      <c r="B62" s="401">
        <f ca="1">Production!S40</f>
        <v>1887</v>
      </c>
      <c r="C62" s="44"/>
      <c r="D62" s="108" t="str">
        <f>Construction!BI3</f>
        <v>Tot GT</v>
      </c>
      <c r="E62" s="45">
        <f ca="1">Construction!BI40</f>
        <v>0</v>
      </c>
      <c r="F62" s="110">
        <f t="shared" ca="1" si="0"/>
        <v>0</v>
      </c>
      <c r="G62" s="44"/>
      <c r="H62" s="50" t="s">
        <v>275</v>
      </c>
      <c r="I62" s="44"/>
      <c r="J62" s="44"/>
      <c r="K62" s="44"/>
      <c r="L62" s="210"/>
      <c r="M62" s="466"/>
      <c r="N62" s="210"/>
      <c r="O62" s="51"/>
    </row>
    <row r="63" spans="1:15" x14ac:dyDescent="0.2">
      <c r="A63" s="114" t="s">
        <v>2</v>
      </c>
      <c r="B63" s="400">
        <f ca="1">Production!H$40</f>
        <v>111400</v>
      </c>
      <c r="C63" s="44"/>
      <c r="D63" s="108" t="str">
        <f>Construction!BK3</f>
        <v>Tot Shr</v>
      </c>
      <c r="E63" s="45">
        <f ca="1">Construction!BK40</f>
        <v>0</v>
      </c>
      <c r="F63" s="110">
        <f t="shared" ca="1" si="0"/>
        <v>0</v>
      </c>
      <c r="G63" s="44"/>
      <c r="H63" s="45" t="s">
        <v>276</v>
      </c>
      <c r="I63" s="92" t="s">
        <v>216</v>
      </c>
      <c r="J63" s="118" t="s">
        <v>381</v>
      </c>
      <c r="K63" s="44"/>
      <c r="L63" s="210"/>
      <c r="M63" s="466"/>
      <c r="N63" s="210"/>
      <c r="O63" s="51"/>
    </row>
    <row r="64" spans="1:15" x14ac:dyDescent="0.2">
      <c r="A64" s="115" t="s">
        <v>5</v>
      </c>
      <c r="B64" s="401">
        <f ca="1">Production!I$40</f>
        <v>81943</v>
      </c>
      <c r="C64" s="44"/>
      <c r="D64" s="108" t="str">
        <f>Construction!BL3</f>
        <v>Tot Tow</v>
      </c>
      <c r="E64" s="45">
        <f ca="1">Construction!BL40</f>
        <v>0</v>
      </c>
      <c r="F64" s="110">
        <f t="shared" ca="1" si="0"/>
        <v>0</v>
      </c>
      <c r="G64" s="44"/>
      <c r="H64" s="45" t="s">
        <v>277</v>
      </c>
      <c r="I64" s="94">
        <f ca="1">SUM(Construction!AQ4:AQ40)</f>
        <v>0</v>
      </c>
      <c r="J64" s="118">
        <f ca="1">IFERROR(Table18[[#This Row],[Amount]]/Table18[[#Totals],[Amount]],0)</f>
        <v>0</v>
      </c>
      <c r="K64" s="44"/>
      <c r="L64" s="210"/>
      <c r="M64" s="466"/>
      <c r="N64" s="210"/>
      <c r="O64" s="51"/>
    </row>
    <row r="65" spans="1:15" x14ac:dyDescent="0.2">
      <c r="A65" s="114" t="s">
        <v>7</v>
      </c>
      <c r="B65" s="400">
        <f ca="1">Production!J$40</f>
        <v>40804</v>
      </c>
      <c r="C65" s="44"/>
      <c r="D65" s="108" t="str">
        <f>Construction!BM3</f>
        <v>Tot Tem</v>
      </c>
      <c r="E65" s="45">
        <f ca="1">Construction!BM40</f>
        <v>0</v>
      </c>
      <c r="F65" s="110">
        <f t="shared" ca="1" si="0"/>
        <v>0</v>
      </c>
      <c r="G65" s="44"/>
      <c r="H65" s="45" t="s">
        <v>278</v>
      </c>
      <c r="I65" s="94">
        <f ca="1">SUM(Explore!AH4:AH40)</f>
        <v>0</v>
      </c>
      <c r="J65" s="118">
        <f ca="1">IFERROR(Table18[[#This Row],[Amount]]/Table18[[#Totals],[Amount]],0)</f>
        <v>0</v>
      </c>
      <c r="K65" s="44"/>
      <c r="L65" s="210"/>
      <c r="M65" s="466"/>
      <c r="N65" s="210"/>
      <c r="O65" s="51"/>
    </row>
    <row r="66" spans="1:15" x14ac:dyDescent="0.2">
      <c r="A66" s="115" t="s">
        <v>12</v>
      </c>
      <c r="B66" s="401">
        <f ca="1">Production!K$40</f>
        <v>0</v>
      </c>
      <c r="C66" s="44"/>
      <c r="D66" s="108" t="str">
        <f>Construction!BN3</f>
        <v>Tot WG</v>
      </c>
      <c r="E66" s="45">
        <f ca="1">Construction!BN40</f>
        <v>0</v>
      </c>
      <c r="F66" s="110">
        <f t="shared" ca="1" si="0"/>
        <v>0</v>
      </c>
      <c r="G66" s="44"/>
      <c r="H66" s="45" t="s">
        <v>22</v>
      </c>
      <c r="I66" s="94">
        <f ca="1">SUM(Military!AS4:AS40)</f>
        <v>0</v>
      </c>
      <c r="J66" s="118">
        <f ca="1">IFERROR(Table18[[#This Row],[Amount]]/Table18[[#Totals],[Amount]],0)</f>
        <v>0</v>
      </c>
      <c r="K66" s="44"/>
      <c r="L66" s="210"/>
      <c r="M66" s="466"/>
      <c r="N66" s="210"/>
      <c r="O66" s="51"/>
    </row>
    <row r="67" spans="1:15" x14ac:dyDescent="0.2">
      <c r="A67" s="114" t="s">
        <v>3</v>
      </c>
      <c r="B67" s="400">
        <f ca="1">Production!L$40</f>
        <v>0</v>
      </c>
      <c r="C67" s="44"/>
      <c r="D67" s="108" t="str">
        <f>Construction!BO3</f>
        <v>Tot DM</v>
      </c>
      <c r="E67" s="45">
        <f ca="1">Construction!BO40</f>
        <v>0</v>
      </c>
      <c r="F67" s="110">
        <f t="shared" ca="1" si="0"/>
        <v>0</v>
      </c>
      <c r="G67" s="44"/>
      <c r="H67" s="45" t="s">
        <v>190</v>
      </c>
      <c r="I67" s="94">
        <f ca="1">SUM(Rezone!Y4:Y40)</f>
        <v>0</v>
      </c>
      <c r="J67" s="118">
        <f ca="1">IFERROR(Table18[[#This Row],[Amount]]/Table18[[#Totals],[Amount]],0)</f>
        <v>0</v>
      </c>
      <c r="K67" s="44"/>
      <c r="L67" s="210"/>
      <c r="M67" s="466"/>
      <c r="N67" s="210"/>
      <c r="O67" s="51"/>
    </row>
    <row r="68" spans="1:15" x14ac:dyDescent="0.2">
      <c r="A68" s="115" t="s">
        <v>4</v>
      </c>
      <c r="B68" s="401">
        <f ca="1">Production!M$40</f>
        <v>0</v>
      </c>
      <c r="C68" s="44"/>
      <c r="D68" s="108" t="str">
        <f>Construction!BP3</f>
        <v>Tot Sch</v>
      </c>
      <c r="E68" s="45">
        <f ca="1">Construction!BP40</f>
        <v>0</v>
      </c>
      <c r="F68" s="110">
        <f t="shared" ca="1" si="0"/>
        <v>0</v>
      </c>
      <c r="G68" s="44"/>
      <c r="H68" s="45" t="s">
        <v>279</v>
      </c>
      <c r="I68" s="94">
        <f>SUM(Imps!AM4:AM40)</f>
        <v>0</v>
      </c>
      <c r="J68" s="118">
        <f ca="1">IFERROR(Table18[[#This Row],[Amount]]/Table18[[#Totals],[Amount]],0)</f>
        <v>0</v>
      </c>
      <c r="K68" s="44"/>
      <c r="L68" s="210"/>
      <c r="M68" s="466"/>
      <c r="N68" s="210"/>
      <c r="O68" s="51"/>
    </row>
    <row r="69" spans="1:15" x14ac:dyDescent="0.2">
      <c r="A69" s="114" t="s">
        <v>82</v>
      </c>
      <c r="B69" s="400">
        <f ca="1">Production!N$40</f>
        <v>0</v>
      </c>
      <c r="C69" s="44"/>
      <c r="D69" s="355" t="str">
        <f>Construction!BQ3</f>
        <v>Tot Doc</v>
      </c>
      <c r="E69" s="73">
        <f ca="1">Construction!BQ40</f>
        <v>0</v>
      </c>
      <c r="F69" s="120">
        <f t="shared" ca="1" si="0"/>
        <v>0</v>
      </c>
      <c r="G69" s="44"/>
      <c r="H69" s="45" t="s">
        <v>186</v>
      </c>
      <c r="I69" s="94">
        <f ca="1">SUBTOTAL(109,Table18[Amount])</f>
        <v>0</v>
      </c>
      <c r="J69" s="316">
        <f>1</f>
        <v>1</v>
      </c>
      <c r="K69" s="44"/>
      <c r="L69" s="210"/>
      <c r="M69" s="227"/>
      <c r="N69" s="210"/>
      <c r="O69" s="51"/>
    </row>
    <row r="70" spans="1:15" x14ac:dyDescent="0.2">
      <c r="A70" s="115" t="s">
        <v>273</v>
      </c>
      <c r="B70" s="401">
        <f>SUM(Explore!T65:Z76)+SUM(Explore!S77:S87)*15</f>
        <v>0</v>
      </c>
      <c r="C70" s="44"/>
      <c r="D70" s="73" t="str">
        <f>B73</f>
        <v>Plain</v>
      </c>
      <c r="E70" s="119">
        <f ca="1">Construction!DG40</f>
        <v>90</v>
      </c>
      <c r="F70" s="120">
        <f ca="1">E70/E50</f>
        <v>0.81818181818181823</v>
      </c>
      <c r="G70" s="44"/>
      <c r="I70" s="44"/>
      <c r="K70" s="44"/>
      <c r="L70" s="44"/>
      <c r="M70" s="44"/>
      <c r="N70" s="44"/>
      <c r="O70" s="51"/>
    </row>
    <row r="71" spans="1:15" x14ac:dyDescent="0.2">
      <c r="A71" s="114" t="s">
        <v>274</v>
      </c>
      <c r="B71" s="400">
        <f>Construction!D40</f>
        <v>0</v>
      </c>
      <c r="C71" s="44"/>
      <c r="D71" s="5" t="s">
        <v>357</v>
      </c>
      <c r="E71" s="35">
        <f ca="1">E50-SUM(E51:E69)-B71</f>
        <v>60</v>
      </c>
      <c r="F71" s="123">
        <f ca="1">E71/E50</f>
        <v>0.54545454545454541</v>
      </c>
      <c r="G71" s="44"/>
      <c r="H71" s="44"/>
      <c r="I71" s="44"/>
      <c r="J71" s="44"/>
      <c r="K71" s="44"/>
      <c r="L71" s="44"/>
      <c r="M71" s="44"/>
      <c r="N71" s="44"/>
      <c r="O71" s="51"/>
    </row>
    <row r="72" spans="1:15" x14ac:dyDescent="0.2">
      <c r="A72" s="121" t="s">
        <v>378</v>
      </c>
      <c r="B72" s="122" t="str">
        <f>VLOOKUP($B$14,Races!$A$4:$B$120,2,FALSE)</f>
        <v>Good</v>
      </c>
      <c r="C72" s="44"/>
      <c r="D72" s="5" t="s">
        <v>358</v>
      </c>
      <c r="E72" s="35">
        <f>B71</f>
        <v>0</v>
      </c>
      <c r="F72" s="5">
        <f ca="1">E72/E50</f>
        <v>0</v>
      </c>
      <c r="G72" s="44"/>
      <c r="H72" s="44"/>
      <c r="I72" s="44"/>
      <c r="J72" s="44"/>
      <c r="K72" s="44"/>
      <c r="L72" s="44"/>
      <c r="M72" s="44"/>
      <c r="N72" s="44"/>
      <c r="O72" s="51"/>
    </row>
    <row r="73" spans="1:15" x14ac:dyDescent="0.2">
      <c r="A73" s="121" t="s">
        <v>377</v>
      </c>
      <c r="B73" s="122" t="str">
        <f>VLOOKUP($B$14,Races!$A$4:$C$120,3,FALSE)</f>
        <v>Plain</v>
      </c>
      <c r="C73" s="44"/>
      <c r="D73" s="44"/>
      <c r="E73" s="44"/>
      <c r="F73" s="44"/>
      <c r="G73" s="44"/>
      <c r="H73" s="44"/>
      <c r="I73" s="44"/>
      <c r="J73" s="44"/>
      <c r="K73" s="44"/>
      <c r="L73" s="44"/>
      <c r="M73" s="44"/>
      <c r="N73" s="44"/>
      <c r="O73" s="51"/>
    </row>
    <row r="74" spans="1:15" x14ac:dyDescent="0.2">
      <c r="A74" s="44"/>
      <c r="B74" s="44"/>
      <c r="C74" s="44"/>
      <c r="D74" s="44"/>
      <c r="E74" s="44"/>
      <c r="F74" s="44"/>
      <c r="G74" s="44"/>
      <c r="H74" s="44"/>
      <c r="I74" s="44"/>
      <c r="J74" s="44"/>
      <c r="K74" s="44"/>
      <c r="L74" s="44"/>
      <c r="M74" s="44"/>
      <c r="N74" s="44"/>
      <c r="O74" s="51"/>
    </row>
    <row r="75" spans="1:15" x14ac:dyDescent="0.2">
      <c r="A75" s="44"/>
      <c r="B75" s="44"/>
      <c r="C75" s="69"/>
      <c r="D75" s="69"/>
      <c r="E75" s="69"/>
      <c r="F75" s="69"/>
      <c r="G75" s="69"/>
      <c r="H75" s="69"/>
      <c r="I75" s="69"/>
      <c r="J75" s="69"/>
      <c r="K75" s="69"/>
      <c r="L75" s="69"/>
      <c r="M75" s="69"/>
      <c r="N75" s="69"/>
      <c r="O75" s="72"/>
    </row>
    <row r="76" spans="1:15" x14ac:dyDescent="0.2">
      <c r="A76" s="482" t="s">
        <v>286</v>
      </c>
      <c r="B76" s="483"/>
      <c r="C76" s="124"/>
      <c r="D76" s="124"/>
      <c r="E76" s="124"/>
    </row>
    <row r="77" spans="1:15" x14ac:dyDescent="0.2">
      <c r="A77" s="125" t="s">
        <v>287</v>
      </c>
      <c r="B77" s="126"/>
      <c r="C77" s="124"/>
      <c r="D77" s="124"/>
      <c r="E77" s="126"/>
    </row>
    <row r="78" spans="1:15" x14ac:dyDescent="0.2">
      <c r="A78" s="127" t="s">
        <v>289</v>
      </c>
      <c r="B78" s="127" t="s">
        <v>290</v>
      </c>
      <c r="C78" s="127" t="s">
        <v>292</v>
      </c>
      <c r="D78" s="127" t="s">
        <v>291</v>
      </c>
      <c r="E78" s="124"/>
    </row>
    <row r="79" spans="1:15" x14ac:dyDescent="0.2">
      <c r="A79" s="124" t="s">
        <v>92</v>
      </c>
      <c r="B79" s="124" t="s">
        <v>1129</v>
      </c>
      <c r="C79" s="128"/>
      <c r="D79" s="128">
        <f ca="1">IF(Constants!F118="none",$F$70/Constants!C118,MIN(Constants!F118,$F$70/Constants!C118))</f>
        <v>2</v>
      </c>
      <c r="E79" s="124" t="b">
        <f>$B$14=A79</f>
        <v>0</v>
      </c>
    </row>
    <row r="80" spans="1:15" x14ac:dyDescent="0.2">
      <c r="A80" s="124"/>
      <c r="B80" s="124" t="s">
        <v>125</v>
      </c>
      <c r="C80" s="128">
        <f ca="1">IF(Constants!F119="none",$F$70/Constants!C119,MIN(Constants!F119,$F$70/Constants!C119))</f>
        <v>2</v>
      </c>
      <c r="D80" s="128">
        <f ca="1">IF(Constants!F120="none",$F$70/Constants!C120,MIN(Constants!F120,$F$70/Constants!C120))</f>
        <v>2</v>
      </c>
      <c r="E80" s="124"/>
    </row>
    <row r="81" spans="1:5" x14ac:dyDescent="0.2">
      <c r="A81" s="124" t="s">
        <v>96</v>
      </c>
      <c r="B81" s="124" t="s">
        <v>139</v>
      </c>
      <c r="C81" s="128"/>
      <c r="D81" s="128">
        <f ca="1">MIN(Constants!F121,$F$70/Constants!C121)</f>
        <v>4</v>
      </c>
      <c r="E81" s="124" t="b">
        <f>$B$14=A81</f>
        <v>0</v>
      </c>
    </row>
    <row r="82" spans="1:5" x14ac:dyDescent="0.2">
      <c r="A82" s="124" t="s">
        <v>94</v>
      </c>
      <c r="B82" s="124" t="s">
        <v>132</v>
      </c>
      <c r="C82" s="128"/>
      <c r="D82" s="128">
        <f ca="1">MIN(Constants!F122,$F$70/Constants!C122)</f>
        <v>2</v>
      </c>
      <c r="E82" s="124" t="b">
        <f>$B$14=A82</f>
        <v>0</v>
      </c>
    </row>
    <row r="83" spans="1:5" x14ac:dyDescent="0.2">
      <c r="A83" s="124" t="s">
        <v>99</v>
      </c>
      <c r="B83" s="124" t="s">
        <v>147</v>
      </c>
      <c r="C83" s="128">
        <f ca="1">MIN(Constants!F123,F66/Constants!C123)</f>
        <v>0</v>
      </c>
      <c r="D83" s="128">
        <f ca="1">MIN(Constants!F124,F66/Constants!C124)</f>
        <v>0</v>
      </c>
      <c r="E83" s="124" t="b">
        <f>$B$14=A83</f>
        <v>0</v>
      </c>
    </row>
    <row r="84" spans="1:5" x14ac:dyDescent="0.2">
      <c r="A84" s="124" t="s">
        <v>328</v>
      </c>
      <c r="B84" s="124" t="s">
        <v>331</v>
      </c>
      <c r="C84" s="124"/>
      <c r="D84" s="128">
        <f ca="1">MIN(Constants!F125,F70/Constants!C125)</f>
        <v>3</v>
      </c>
      <c r="E84" s="124" t="b">
        <f>$B$14=A84</f>
        <v>0</v>
      </c>
    </row>
    <row r="85" spans="1:5" x14ac:dyDescent="0.2">
      <c r="A85" s="124"/>
      <c r="B85" s="124" t="s">
        <v>332</v>
      </c>
      <c r="C85" s="124">
        <f ca="1">MIN(Constants!F126,I54*Constants!C126)</f>
        <v>0</v>
      </c>
      <c r="D85" s="124"/>
      <c r="E85" s="124"/>
    </row>
    <row r="86" spans="1:5" x14ac:dyDescent="0.2">
      <c r="A86" s="124" t="s">
        <v>143</v>
      </c>
      <c r="B86" s="124" t="s">
        <v>373</v>
      </c>
      <c r="C86" s="124"/>
      <c r="D86" s="128">
        <f>MIN(Constants!F127,250/Constants!C127)</f>
        <v>0</v>
      </c>
      <c r="E86" s="124" t="b">
        <f>$B$14=A86</f>
        <v>0</v>
      </c>
    </row>
    <row r="87" spans="1:5" x14ac:dyDescent="0.2">
      <c r="A87" s="124" t="s">
        <v>143</v>
      </c>
      <c r="B87" s="124" t="s">
        <v>356</v>
      </c>
      <c r="C87" s="129">
        <f>MIN(bone_breaker_cap,250/bone_breaker_bonus)</f>
        <v>0.83333333333333337</v>
      </c>
      <c r="E87" s="124" t="b">
        <f>$B$14=A87</f>
        <v>0</v>
      </c>
    </row>
    <row r="88" spans="1:5" x14ac:dyDescent="0.2">
      <c r="A88" s="124" t="s">
        <v>498</v>
      </c>
      <c r="B88" s="124" t="s">
        <v>422</v>
      </c>
      <c r="C88" s="124"/>
      <c r="D88" s="128">
        <f ca="1">MIN(nox_nightshade_cap,E70/E50/nox_nightshade_swamp_bonus)</f>
        <v>4</v>
      </c>
      <c r="E88" s="124" t="b">
        <f>$B$14=A88</f>
        <v>0</v>
      </c>
    </row>
    <row r="89" spans="1:5" x14ac:dyDescent="0.2">
      <c r="A89" s="124" t="s">
        <v>1132</v>
      </c>
      <c r="B89" s="124" t="s">
        <v>1139</v>
      </c>
      <c r="C89" s="124"/>
      <c r="D89" s="128">
        <f ca="1">MIN(F64/abyss_enforce_bonus,abyss_enforcer_cap)</f>
        <v>0</v>
      </c>
      <c r="E89" s="124" t="b">
        <f>$B$14=A89</f>
        <v>0</v>
      </c>
    </row>
    <row r="91" spans="1:5" x14ac:dyDescent="0.2">
      <c r="A91" s="125" t="s">
        <v>288</v>
      </c>
      <c r="B91" s="124"/>
      <c r="C91" s="124"/>
      <c r="D91" s="124"/>
      <c r="E91" s="124"/>
    </row>
    <row r="92" spans="1:5" x14ac:dyDescent="0.2">
      <c r="A92" s="124" t="s">
        <v>103</v>
      </c>
      <c r="B92" s="124" t="s">
        <v>326</v>
      </c>
      <c r="C92" s="124"/>
      <c r="D92" s="124">
        <f ca="1">MIN(B41,B40)*2</f>
        <v>0</v>
      </c>
      <c r="E92" s="124" t="b">
        <f>$B$14=A92</f>
        <v>0</v>
      </c>
    </row>
    <row r="93" spans="1:5" x14ac:dyDescent="0.2">
      <c r="A93" s="124"/>
      <c r="B93" s="124" t="s">
        <v>327</v>
      </c>
      <c r="C93" s="124">
        <f ca="1">MIN(B42,B39)*2</f>
        <v>0</v>
      </c>
      <c r="D93" s="124"/>
      <c r="E93" s="124"/>
    </row>
    <row r="94" spans="1:5" x14ac:dyDescent="0.2">
      <c r="A94" s="124" t="s">
        <v>93</v>
      </c>
      <c r="B94" s="124" t="s">
        <v>129</v>
      </c>
      <c r="C94" s="413">
        <v>0.2</v>
      </c>
      <c r="D94" s="413">
        <f>1/3</f>
        <v>0.33333333333333331</v>
      </c>
      <c r="E94" s="124" t="b">
        <f t="shared" ref="E94:E98" si="1">$B$14=A94</f>
        <v>0</v>
      </c>
    </row>
    <row r="95" spans="1:5" x14ac:dyDescent="0.2">
      <c r="A95" s="124" t="s">
        <v>104</v>
      </c>
      <c r="B95" s="124" t="s">
        <v>158</v>
      </c>
      <c r="C95" s="413">
        <v>0.2</v>
      </c>
      <c r="D95" s="413">
        <v>0.2</v>
      </c>
      <c r="E95" s="124" t="b">
        <f t="shared" si="1"/>
        <v>0</v>
      </c>
    </row>
    <row r="96" spans="1:5" x14ac:dyDescent="0.2">
      <c r="A96" s="124" t="s">
        <v>96</v>
      </c>
      <c r="B96" s="124" t="s">
        <v>139</v>
      </c>
      <c r="C96" s="413">
        <v>0.2</v>
      </c>
      <c r="D96" s="413">
        <v>0.25</v>
      </c>
      <c r="E96" s="124" t="b">
        <f t="shared" si="1"/>
        <v>0</v>
      </c>
    </row>
    <row r="97" spans="1:5" x14ac:dyDescent="0.2">
      <c r="A97" s="124" t="s">
        <v>99</v>
      </c>
      <c r="B97" s="124" t="s">
        <v>147</v>
      </c>
      <c r="C97" s="413">
        <v>0.25</v>
      </c>
      <c r="D97" s="413">
        <v>0.2</v>
      </c>
      <c r="E97" s="124" t="b">
        <f t="shared" si="1"/>
        <v>0</v>
      </c>
    </row>
    <row r="98" spans="1:5" x14ac:dyDescent="0.2">
      <c r="A98" s="124" t="s">
        <v>1132</v>
      </c>
      <c r="B98" s="124" t="s">
        <v>420</v>
      </c>
      <c r="C98" s="413">
        <f ca="1">B39*infernal_cmd_op*IF(Magic!AQ76&gt;0,1,0)</f>
        <v>0</v>
      </c>
      <c r="D98" s="413"/>
      <c r="E98" s="124" t="b">
        <f t="shared" si="1"/>
        <v>0</v>
      </c>
    </row>
  </sheetData>
  <mergeCells count="15">
    <mergeCell ref="A76:B76"/>
    <mergeCell ref="D47:H47"/>
    <mergeCell ref="L49:O54"/>
    <mergeCell ref="A1:L1"/>
    <mergeCell ref="A8:I8"/>
    <mergeCell ref="A9:I12"/>
    <mergeCell ref="M1:O1"/>
    <mergeCell ref="J8:L12"/>
    <mergeCell ref="L39:O41"/>
    <mergeCell ref="L42:O43"/>
    <mergeCell ref="L44:O46"/>
    <mergeCell ref="A36:O36"/>
    <mergeCell ref="M2:O12"/>
    <mergeCell ref="A13:O13"/>
    <mergeCell ref="A2:L7"/>
  </mergeCells>
  <phoneticPr fontId="0" type="noConversion"/>
  <conditionalFormatting sqref="D47">
    <cfRule type="expression" dxfId="961" priority="7" stopIfTrue="1">
      <formula>$D$47&lt;&gt;""</formula>
    </cfRule>
  </conditionalFormatting>
  <conditionalFormatting sqref="E18">
    <cfRule type="cellIs" dxfId="960" priority="8" stopIfTrue="1" operator="equal">
      <formula>"""Yes"""</formula>
    </cfRule>
    <cfRule type="expression" dxfId="959" priority="9" stopIfTrue="1">
      <formula>ISERROR(E18)</formula>
    </cfRule>
  </conditionalFormatting>
  <conditionalFormatting sqref="E17">
    <cfRule type="cellIs" dxfId="958" priority="10" stopIfTrue="1" operator="lessThan">
      <formula>1</formula>
    </cfRule>
  </conditionalFormatting>
  <conditionalFormatting sqref="A30">
    <cfRule type="expression" dxfId="957" priority="5">
      <formula>$B$14&lt;&gt;"Dark Elf"</formula>
    </cfRule>
    <cfRule type="expression" dxfId="956" priority="6">
      <formula>$B$14="Dark Elf"</formula>
    </cfRule>
  </conditionalFormatting>
  <conditionalFormatting sqref="M69">
    <cfRule type="cellIs" dxfId="955" priority="3" operator="lessThan">
      <formula>$M$50</formula>
    </cfRule>
    <cfRule type="cellIs" dxfId="954" priority="4" operator="greaterThan">
      <formula>$M$50</formula>
    </cfRule>
  </conditionalFormatting>
  <conditionalFormatting sqref="L35">
    <cfRule type="expression" dxfId="953" priority="1">
      <formula>$L$35&lt;&gt;start_acres</formula>
    </cfRule>
    <cfRule type="expression" dxfId="952" priority="2">
      <formula>$L$35=start_acres</formula>
    </cfRule>
  </conditionalFormatting>
  <dataValidations count="1">
    <dataValidation type="list" allowBlank="1" showInputMessage="1" showErrorMessage="1" sqref="B14" xr:uid="{00000000-0002-0000-0000-000000000000}">
      <formula1>races</formula1>
    </dataValidation>
  </dataValidations>
  <pageMargins left="0.75" right="0.75" top="1" bottom="1" header="0.5" footer="0.5"/>
  <pageSetup paperSize="9" orientation="portrait" horizontalDpi="300" verticalDpi="300" r:id="rId1"/>
  <headerFooter alignWithMargins="0"/>
  <ignoredErrors>
    <ignoredError sqref="F26:F29 B25:C25 A22:A29 B24:C24" calculatedColumn="1"/>
  </ignoredErrors>
  <drawing r:id="rId2"/>
  <legacyDrawing r:id="rId3"/>
  <mc:AlternateContent xmlns:mc="http://schemas.openxmlformats.org/markup-compatibility/2006">
    <mc:Choice Requires="x14">
      <controls>
        <mc:AlternateContent xmlns:mc="http://schemas.openxmlformats.org/markup-compatibility/2006">
          <mc:Choice Requires="x14">
            <control shapeId="3088" r:id="rId4" name="Button 16">
              <controlPr defaultSize="0" print="0" autoFill="0" autoPict="0" macro="[0]!Cleansheet.Cleansheet">
                <anchor moveWithCells="1" sizeWithCells="1">
                  <from>
                    <xdr:col>5</xdr:col>
                    <xdr:colOff>285750</xdr:colOff>
                    <xdr:row>14</xdr:row>
                    <xdr:rowOff>171450</xdr:rowOff>
                  </from>
                  <to>
                    <xdr:col>6</xdr:col>
                    <xdr:colOff>523875</xdr:colOff>
                    <xdr:row>16</xdr:row>
                    <xdr:rowOff>123825</xdr:rowOff>
                  </to>
                </anchor>
              </controlPr>
            </control>
          </mc:Choice>
        </mc:AlternateContent>
      </controls>
    </mc:Choice>
  </mc:AlternateContent>
  <tableParts count="9">
    <tablePart r:id="rId5"/>
    <tablePart r:id="rId6"/>
    <tablePart r:id="rId7"/>
    <tablePart r:id="rId8"/>
    <tablePart r:id="rId9"/>
    <tablePart r:id="rId10"/>
    <tablePart r:id="rId11"/>
    <tablePart r:id="rId12"/>
    <tablePart r:id="rId1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theme="0" tint="-0.34998626667073579"/>
  </sheetPr>
  <dimension ref="A1:AD1270"/>
  <sheetViews>
    <sheetView zoomScale="85" zoomScaleNormal="85" workbookViewId="0">
      <pane ySplit="2" topLeftCell="A3" activePane="bottomLeft" state="frozenSplit"/>
      <selection activeCell="A75" sqref="A75"/>
      <selection pane="bottomLeft" activeCell="A4" sqref="A4"/>
    </sheetView>
  </sheetViews>
  <sheetFormatPr defaultColWidth="9.140625" defaultRowHeight="12.75" x14ac:dyDescent="0.2"/>
  <cols>
    <col min="1" max="1" width="8.5703125" style="57" customWidth="1"/>
    <col min="2" max="2" width="8.5703125" style="45" customWidth="1"/>
    <col min="3" max="3" width="11.7109375" style="45" customWidth="1"/>
    <col min="4" max="4" width="9.85546875" style="45" customWidth="1"/>
    <col min="5" max="5" width="11.140625" style="45" customWidth="1"/>
    <col min="6" max="6" width="7.7109375" style="45" customWidth="1"/>
    <col min="7" max="7" width="11.42578125" style="45" customWidth="1"/>
    <col min="8" max="8" width="12.28515625" style="45" customWidth="1"/>
    <col min="9" max="9" width="14.85546875" style="45" customWidth="1"/>
    <col min="10" max="10" width="9.7109375" style="45" customWidth="1"/>
    <col min="11" max="11" width="2.85546875" style="45" customWidth="1"/>
    <col min="12" max="19" width="11.28515625" style="45" customWidth="1"/>
    <col min="20" max="20" width="2.85546875" style="45" customWidth="1"/>
    <col min="21" max="21" width="10.5703125" style="45" customWidth="1"/>
    <col min="22" max="22" width="11.42578125" style="45" customWidth="1"/>
    <col min="23" max="26" width="15.28515625" style="45" customWidth="1"/>
    <col min="27" max="27" width="2.85546875" style="45" customWidth="1"/>
    <col min="28" max="28" width="10.140625" style="45" customWidth="1"/>
    <col min="29" max="29" width="10.85546875" style="45" customWidth="1"/>
    <col min="30" max="16384" width="9.140625" style="45"/>
  </cols>
  <sheetData>
    <row r="1" spans="1:30" s="5" customFormat="1" x14ac:dyDescent="0.2">
      <c r="A1" s="28"/>
      <c r="C1" s="531" t="s">
        <v>23</v>
      </c>
      <c r="D1" s="531"/>
      <c r="E1" s="531"/>
      <c r="F1" s="531"/>
      <c r="G1" s="531"/>
      <c r="H1" s="531"/>
      <c r="I1" s="531"/>
      <c r="J1" s="28"/>
      <c r="K1" s="28"/>
      <c r="L1" s="531" t="s">
        <v>22</v>
      </c>
      <c r="M1" s="531"/>
      <c r="N1" s="531"/>
      <c r="O1" s="531"/>
      <c r="P1" s="531"/>
      <c r="Q1" s="531"/>
      <c r="R1" s="531"/>
      <c r="S1" s="531"/>
      <c r="U1" s="531" t="s">
        <v>163</v>
      </c>
      <c r="V1" s="532"/>
      <c r="W1" s="531" t="s">
        <v>167</v>
      </c>
      <c r="X1" s="531"/>
      <c r="Y1" s="531"/>
      <c r="Z1" s="531"/>
      <c r="AA1" s="531" t="s">
        <v>172</v>
      </c>
      <c r="AB1" s="532"/>
      <c r="AC1" s="532"/>
      <c r="AD1" s="532"/>
    </row>
    <row r="2" spans="1:30" s="134" customFormat="1" x14ac:dyDescent="0.2">
      <c r="M2" s="134" t="str">
        <f>Overview!$A$22</f>
        <v>Spearman</v>
      </c>
      <c r="N2" s="134" t="str">
        <f>Overview!$A$23</f>
        <v>Archer</v>
      </c>
      <c r="O2" s="134" t="str">
        <f>Overview!$A$24</f>
        <v>Knight</v>
      </c>
      <c r="P2" s="134" t="str">
        <f>Overview!$A$25</f>
        <v>Cavalry</v>
      </c>
      <c r="Q2" s="134" t="s">
        <v>25</v>
      </c>
      <c r="R2" s="134" t="s">
        <v>26</v>
      </c>
      <c r="S2" s="134" t="s">
        <v>27</v>
      </c>
    </row>
    <row r="3" spans="1:30" s="136" customFormat="1" ht="15" customHeight="1" x14ac:dyDescent="0.2">
      <c r="A3" s="135" t="s">
        <v>0</v>
      </c>
      <c r="B3" s="135" t="s">
        <v>309</v>
      </c>
      <c r="C3" s="135" t="s">
        <v>21</v>
      </c>
      <c r="D3" s="135" t="s">
        <v>22</v>
      </c>
      <c r="E3" s="135" t="s">
        <v>24</v>
      </c>
      <c r="F3" s="135" t="s">
        <v>186</v>
      </c>
      <c r="G3" s="135" t="s">
        <v>187</v>
      </c>
      <c r="H3" s="135" t="s">
        <v>224</v>
      </c>
      <c r="I3" s="135" t="s">
        <v>263</v>
      </c>
      <c r="J3" s="135" t="s">
        <v>311</v>
      </c>
      <c r="K3" s="135" t="s">
        <v>769</v>
      </c>
      <c r="L3" s="135" t="s">
        <v>1010</v>
      </c>
      <c r="M3" s="135" t="s">
        <v>765</v>
      </c>
      <c r="N3" s="135" t="s">
        <v>766</v>
      </c>
      <c r="O3" s="135" t="s">
        <v>767</v>
      </c>
      <c r="P3" s="135" t="s">
        <v>768</v>
      </c>
      <c r="Q3" s="135" t="s">
        <v>25</v>
      </c>
      <c r="R3" s="135" t="s">
        <v>26</v>
      </c>
      <c r="S3" s="135" t="s">
        <v>182</v>
      </c>
      <c r="T3" s="135" t="s">
        <v>770</v>
      </c>
      <c r="U3" s="135" t="s">
        <v>226</v>
      </c>
      <c r="V3" s="135" t="s">
        <v>174</v>
      </c>
      <c r="W3" s="135" t="s">
        <v>173</v>
      </c>
      <c r="X3" s="135" t="s">
        <v>232</v>
      </c>
      <c r="Y3" s="135" t="s">
        <v>225</v>
      </c>
      <c r="Z3" s="135" t="s">
        <v>1027</v>
      </c>
      <c r="AA3" s="135" t="s">
        <v>772</v>
      </c>
      <c r="AB3" s="135" t="s">
        <v>167</v>
      </c>
      <c r="AC3" s="135" t="s">
        <v>171</v>
      </c>
    </row>
    <row r="4" spans="1:30" x14ac:dyDescent="0.2">
      <c r="A4" s="137">
        <f>TblRezone[[#This Row],[Hour]]</f>
        <v>1</v>
      </c>
      <c r="B4" s="138">
        <f>TblImps[[#This Row],[Time]]</f>
        <v>46047</v>
      </c>
      <c r="C4" s="378">
        <f ca="1">start_peasants</f>
        <v>469</v>
      </c>
      <c r="D4" s="94">
        <f ca="1">TblMili[[#This Row],[Military]]</f>
        <v>150</v>
      </c>
      <c r="E4" s="94">
        <f ca="1">TblMili[[#This Row],[Draftees]]</f>
        <v>150</v>
      </c>
      <c r="F4" s="94">
        <f ca="1">TblPop[[#This Row],[Peasants]]+TblPop[[#This Row],[Military]]</f>
        <v>619</v>
      </c>
      <c r="G4" s="139">
        <f ca="1">TblPop[[#This Row],[Military]]/TblPop[[#This Row],[Total]]</f>
        <v>0.24232633279483037</v>
      </c>
      <c r="H4" s="140">
        <f ca="1">MIN(TblPop[[#This Row],[Peasants]],TblPop[[#This Row],[Jobs]])</f>
        <v>469</v>
      </c>
      <c r="I4" s="139">
        <f ca="1">MIN(OFFSET(TblPop[[#This Row],[Jobs]],1,0)/TblPop[[#This Row],[Peasants]],1)</f>
        <v>1</v>
      </c>
      <c r="J4" s="140">
        <f>SUM(TblConstr[[#This Row],[Tot Alc]:[Tot GT]],TblConstr[[#This Row],[Tot Shr]:[Tot Doc]],TblConstr[[#This Row],[Dest Alc]:[Dest GT]],TblConstr[[#This Row],[Dest Shr]:[Dest Doc]])*building_employment + TblConstr[[#This Row],[Tot Fac]]*bonus_jobs_facts</f>
        <v>1000</v>
      </c>
      <c r="K4" s="141"/>
      <c r="L4" s="61">
        <f ca="1">TblPop[[#This Row],[Draftees]]</f>
        <v>150</v>
      </c>
      <c r="M4" s="61">
        <f>TblMili[[#This Row],[Unit 1]]</f>
        <v>0</v>
      </c>
      <c r="N4" s="61">
        <f>TblMili[[#This Row],[Unit 2]]</f>
        <v>0</v>
      </c>
      <c r="O4" s="61">
        <f>TblMili[[#This Row],[Unit 3]]</f>
        <v>0</v>
      </c>
      <c r="P4" s="61">
        <f>TblMili[[#This Row],[Unit 4]]</f>
        <v>0</v>
      </c>
      <c r="Q4" s="61">
        <f>TblMili[[#This Row],[Spies]]</f>
        <v>0</v>
      </c>
      <c r="R4" s="61">
        <f>TblMili[[#This Row],[Wizards]]</f>
        <v>0</v>
      </c>
      <c r="S4" s="61">
        <f>TblMili[[#This Row],[Archmages]]</f>
        <v>0</v>
      </c>
      <c r="T4" s="142"/>
      <c r="U4" s="94">
        <f ca="1">ROUND(TblPop[[#This Row],[Raw max]]*(1+TblPop[[#This Row],[Max pop]]),0)+MIN(TblPop[[#This Row],[Military]]-TblPop[[#This Row],[Draftees]]-SUM(TblMili[[#This Row],[Train Unit 1]:[Train AM]]),(barracks_size + tech_8_3*TblTech[[#This Row],[8-3]])*TblConstr[[#This Row],[Tot Bar]])</f>
        <v>769</v>
      </c>
      <c r="V4" s="94">
        <f ca="1">(TblConstr[[#This Row],[Tot Hom]]+TblConstr[[#This Row],[Dest Hom]])*pop_in_home+(SUM(TblConstr[[#This Row],[Tot Alc]:[Tot Doc]])+TblConstr[[#This Row],[Incoming]]-TblConstr[[#This Row],[Tot Bar]])*pop_in_building+(SUM(TblConstr[[#This Row],[Plain]:[Water]])-TblExplore[[#This Row],[Land Bonus]]*20)*pop_on_barren</f>
        <v>750</v>
      </c>
      <c r="W4" s="94">
        <f ca="1">MAX(-5%*TblPop[[#This Row],[Peasants]]-TblPop[[#This Row],[Draft Growth]],MIN(OFFSET(TblPop[[#This Row],[Net max]],1,0)-TblPop[[#This Row],[Peasants]]-TblPop[[#This Row],[Military]]-TblPop[[#This Row],[Draft Growth]],TblPop[[#This Row],[Modded Birth]]-TblPop[[#This Row],[Draft Growth]]))</f>
        <v>9</v>
      </c>
      <c r="X4" s="94">
        <f ca="1">ROUND(TblPop[[#This Row],[Raw Birth]]*(1+TblPop[[#This Row],[Growth]]),0)</f>
        <v>14</v>
      </c>
      <c r="Y4" s="94">
        <f ca="1">(TblPop[[#This Row],[Peasants]]-TblPop[[#This Row],[Draft Growth]])*raw_pop_growth</f>
        <v>13.92</v>
      </c>
      <c r="Z4" s="94">
        <f ca="1">ROUND(IF(TblPop[[#This Row],[Military%]]&lt;TblMili[[#This Row],[Draftrate]],ROUND(TblPop[[#This Row],[Peasants]]*Constants!$B$55,0), 0) * IF(AND(TblMagic[[#This Row],[Active DnD]]&lt;=12,TblMagic[[#This Row],[Active DnD]]&gt;6),1.6,1),0)</f>
        <v>5</v>
      </c>
      <c r="AA4" s="142"/>
      <c r="AB4" s="143">
        <f ca="1">Overview!$I$17 + IF(Magic!AF4&gt;0,Constants!$F$78) + ROUND(6*(Construction!BM5+Construction!CK4)/IF(Explore!S5&gt;0,Construction!F5-20,Construction!F5),4) + tech_6_5_2*Techs!BJ4 + tech_8_4*Techs!BT4</f>
        <v>0</v>
      </c>
      <c r="AC4" s="139">
        <f ca="1">(Overview!$I$16 + Imps!Z4+ tech_2_5*Techs!AB4 + tech_3_6*Techs!AM4 + tech_6_1*Techs!BJ4 + tech_6_5*Techs!BF4 + tech_7_3_2*Techs!BN4) * (1 + Production!O4/100*prestige_pop_multiplier) + Production!O4/100*prestige_pop_multiplier</f>
        <v>2.5000000000000001E-2</v>
      </c>
    </row>
    <row r="5" spans="1:30" hidden="1" x14ac:dyDescent="0.2">
      <c r="A5" s="137">
        <f>TblRezone[[#This Row],[Hour]]</f>
        <v>2</v>
      </c>
      <c r="B5" s="138">
        <f ca="1">TblImps[[#This Row],[Time]]</f>
        <v>46047.041666666664</v>
      </c>
      <c r="C5" s="94">
        <f ca="1">OFFSET(TblPop[[#This Row],[Peasants]],-1,0)+OFFSET(TblPop[[#This Row],[Net Peasant]],-1,0)+TblMili[[#This Row],[Release Draft]]</f>
        <v>478</v>
      </c>
      <c r="D5" s="94">
        <f ca="1">TblMili[[#This Row],[Military]]</f>
        <v>155</v>
      </c>
      <c r="E5" s="94">
        <f ca="1">TblMili[[#This Row],[Draftees]]</f>
        <v>155</v>
      </c>
      <c r="F5" s="94">
        <f ca="1">TblPop[[#This Row],[Peasants]]+TblPop[[#This Row],[Military]]</f>
        <v>633</v>
      </c>
      <c r="G5" s="139">
        <f ca="1">TblPop[[#This Row],[Military]]/TblPop[[#This Row],[Total]]</f>
        <v>0.24486571879936808</v>
      </c>
      <c r="H5" s="140">
        <f ca="1">MIN(TblPop[[#This Row],[Peasants]],TblPop[[#This Row],[Jobs]])</f>
        <v>478</v>
      </c>
      <c r="I5" s="139">
        <f ca="1">MIN(OFFSET(TblPop[[#This Row],[Jobs]],1,0)/TblPop[[#This Row],[Peasants]],1)</f>
        <v>1</v>
      </c>
      <c r="J5" s="140">
        <f ca="1">SUM(TblConstr[[#This Row],[Tot Alc]:[Tot GT]],TblConstr[[#This Row],[Tot Shr]:[Tot Doc]],TblConstr[[#This Row],[Dest Alc]:[Dest GT]],TblConstr[[#This Row],[Dest Shr]:[Dest Doc]])*building_employment + TblConstr[[#This Row],[Tot Fac]]*bonus_jobs_facts</f>
        <v>1000</v>
      </c>
      <c r="K5" s="141"/>
      <c r="L5" s="61">
        <f ca="1">TblPop[[#This Row],[Draftees]]</f>
        <v>155</v>
      </c>
      <c r="M5" s="61">
        <f ca="1">TblMili[[#This Row],[Unit 1]]</f>
        <v>0</v>
      </c>
      <c r="N5" s="61">
        <f ca="1">TblMili[[#This Row],[Unit 2]]</f>
        <v>0</v>
      </c>
      <c r="O5" s="61">
        <f ca="1">TblMili[[#This Row],[Unit 3]]</f>
        <v>0</v>
      </c>
      <c r="P5" s="61">
        <f ca="1">TblMili[[#This Row],[Unit 4]]</f>
        <v>0</v>
      </c>
      <c r="Q5" s="61">
        <f ca="1">TblMili[[#This Row],[Spies]]</f>
        <v>0</v>
      </c>
      <c r="R5" s="61">
        <f ca="1">TblMili[[#This Row],[Wizards]]</f>
        <v>0</v>
      </c>
      <c r="S5" s="61">
        <f ca="1">TblMili[[#This Row],[Archmages]]</f>
        <v>0</v>
      </c>
      <c r="T5" s="142"/>
      <c r="U5" s="94">
        <f ca="1">ROUND(TblPop[[#This Row],[Raw max]]*(1+OFFSET(TblPop[[#This Row],[Max pop]],-1,0)),0)+MIN(TblPop[[#This Row],[Military]]-TblPop[[#This Row],[Draftees]]-SUM(TblMili[[#This Row],[Train Unit 1]:[Train AM]]),(barracks_size + tech_8_3*TblTech[[#This Row],[8-3]])*TblConstr[[#This Row],[Tot Bar]])</f>
        <v>769</v>
      </c>
      <c r="V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5" s="94">
        <f ca="1">MAX(-5%*TblPop[[#This Row],[Peasants]]-TblPop[[#This Row],[Draft Growth]],MIN(OFFSET(TblPop[[#This Row],[Net max]],1,0)-TblPop[[#This Row],[Peasants]]-TblPop[[#This Row],[Military]]-TblPop[[#This Row],[Draft Growth]],TblPop[[#This Row],[Modded Birth]]-TblPop[[#This Row],[Draft Growth]]))</f>
        <v>9</v>
      </c>
      <c r="X5" s="94">
        <f ca="1">ROUND(TblPop[[#This Row],[Raw Birth]]*(1+TblPop[[#This Row],[Growth]]),0)</f>
        <v>14</v>
      </c>
      <c r="Y5" s="94">
        <f ca="1">(TblPop[[#This Row],[Peasants]]-TblPop[[#This Row],[Draft Growth]])*raw_pop_growth</f>
        <v>14.19</v>
      </c>
      <c r="Z5" s="94">
        <f ca="1">ROUND(IF(TblPop[[#This Row],[Military%]]&lt;TblMili[[#This Row],[Draftrate]],ROUND(TblPop[[#This Row],[Peasants]]*Constants!$B$55,0), 0) * IF(AND(TblMagic[[#This Row],[Active DnD]]&lt;=12,TblMagic[[#This Row],[Active DnD]]&gt;6),1.6,1),0)</f>
        <v>5</v>
      </c>
      <c r="AA5" s="142"/>
      <c r="AB5" s="143">
        <f ca="1">Overview!$I$17 + IF(Magic!AF5&gt;0,Constants!$F$78) + ROUND(6*(Construction!BM6+Construction!CK5)/IF(Explore!S6&gt;0,Construction!F6-20,Construction!F6),4) + tech_6_5_2*Techs!BJ5 + tech_8_4*Techs!BT5</f>
        <v>0</v>
      </c>
      <c r="AC5" s="139">
        <f ca="1">(Overview!$I$16 + Imps!Z5+ tech_2_5*Techs!AB5 + tech_3_6*Techs!AM5 + tech_6_1*Techs!BJ5 + tech_6_5*Techs!BF5 + tech_7_3_2*Techs!BN5) * (1 + Production!O5/100*prestige_pop_multiplier) + Production!O5/100*prestige_pop_multiplier</f>
        <v>2.5000000000000001E-2</v>
      </c>
    </row>
    <row r="6" spans="1:30" hidden="1" x14ac:dyDescent="0.2">
      <c r="A6" s="137">
        <f>TblRezone[[#This Row],[Hour]]</f>
        <v>3</v>
      </c>
      <c r="B6" s="138">
        <f ca="1">TblImps[[#This Row],[Time]]</f>
        <v>46047.083333333328</v>
      </c>
      <c r="C6" s="94">
        <f ca="1">OFFSET(TblPop[[#This Row],[Peasants]],-1,0)+OFFSET(TblPop[[#This Row],[Net Peasant]],-1,0)+TblMili[[#This Row],[Release Draft]]</f>
        <v>487</v>
      </c>
      <c r="D6" s="94">
        <f ca="1">TblMili[[#This Row],[Military]]</f>
        <v>160</v>
      </c>
      <c r="E6" s="94">
        <f ca="1">TblMili[[#This Row],[Draftees]]</f>
        <v>160</v>
      </c>
      <c r="F6" s="94">
        <f ca="1">TblPop[[#This Row],[Peasants]]+TblPop[[#This Row],[Military]]</f>
        <v>647</v>
      </c>
      <c r="G6" s="139">
        <f ca="1">TblPop[[#This Row],[Military]]/TblPop[[#This Row],[Total]]</f>
        <v>0.2472952086553323</v>
      </c>
      <c r="H6" s="140">
        <f ca="1">MIN(TblPop[[#This Row],[Peasants]],TblPop[[#This Row],[Jobs]])</f>
        <v>487</v>
      </c>
      <c r="I6" s="139">
        <f ca="1">MIN(OFFSET(TblPop[[#This Row],[Jobs]],1,0)/TblPop[[#This Row],[Peasants]],1)</f>
        <v>1</v>
      </c>
      <c r="J6" s="140">
        <f ca="1">SUM(TblConstr[[#This Row],[Tot Alc]:[Tot GT]],TblConstr[[#This Row],[Tot Shr]:[Tot Doc]],TblConstr[[#This Row],[Dest Alc]:[Dest GT]],TblConstr[[#This Row],[Dest Shr]:[Dest Doc]])*building_employment + TblConstr[[#This Row],[Tot Fac]]*bonus_jobs_facts</f>
        <v>1000</v>
      </c>
      <c r="K6" s="141"/>
      <c r="L6" s="61">
        <f ca="1">TblPop[[#This Row],[Draftees]]</f>
        <v>160</v>
      </c>
      <c r="M6" s="61">
        <f ca="1">TblMili[[#This Row],[Unit 1]]</f>
        <v>0</v>
      </c>
      <c r="N6" s="61">
        <f ca="1">TblMili[[#This Row],[Unit 2]]</f>
        <v>0</v>
      </c>
      <c r="O6" s="61">
        <f ca="1">TblMili[[#This Row],[Unit 3]]</f>
        <v>0</v>
      </c>
      <c r="P6" s="61">
        <f ca="1">TblMili[[#This Row],[Unit 4]]</f>
        <v>0</v>
      </c>
      <c r="Q6" s="61">
        <f ca="1">TblMili[[#This Row],[Spies]]</f>
        <v>0</v>
      </c>
      <c r="R6" s="61">
        <f ca="1">TblMili[[#This Row],[Wizards]]</f>
        <v>0</v>
      </c>
      <c r="S6" s="61">
        <f ca="1">TblMili[[#This Row],[Archmages]]</f>
        <v>0</v>
      </c>
      <c r="T6" s="142"/>
      <c r="U6" s="94">
        <f ca="1">ROUND(TblPop[[#This Row],[Raw max]]*(1+OFFSET(TblPop[[#This Row],[Max pop]],-1,0)),0)+MIN(TblPop[[#This Row],[Military]]-TblPop[[#This Row],[Draftees]]-SUM(TblMili[[#This Row],[Train Unit 1]:[Train AM]]),(barracks_size + tech_8_3*TblTech[[#This Row],[8-3]])*TblConstr[[#This Row],[Tot Bar]])</f>
        <v>769</v>
      </c>
      <c r="V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6" s="94">
        <f ca="1">MAX(-5%*TblPop[[#This Row],[Peasants]]-TblPop[[#This Row],[Draft Growth]],MIN(OFFSET(TblPop[[#This Row],[Net max]],1,0)-TblPop[[#This Row],[Peasants]]-TblPop[[#This Row],[Military]]-TblPop[[#This Row],[Draft Growth]],TblPop[[#This Row],[Modded Birth]]-TblPop[[#This Row],[Draft Growth]]))</f>
        <v>9</v>
      </c>
      <c r="X6" s="94">
        <f ca="1">ROUND(TblPop[[#This Row],[Raw Birth]]*(1+TblPop[[#This Row],[Growth]]),0)</f>
        <v>14</v>
      </c>
      <c r="Y6" s="94">
        <f ca="1">(TblPop[[#This Row],[Peasants]]-TblPop[[#This Row],[Draft Growth]])*raw_pop_growth</f>
        <v>14.459999999999999</v>
      </c>
      <c r="Z6" s="94">
        <f ca="1">ROUND(IF(TblPop[[#This Row],[Military%]]&lt;TblMili[[#This Row],[Draftrate]],ROUND(TblPop[[#This Row],[Peasants]]*Constants!$B$55,0), 0) * IF(AND(TblMagic[[#This Row],[Active DnD]]&lt;=12,TblMagic[[#This Row],[Active DnD]]&gt;6),1.6,1),0)</f>
        <v>5</v>
      </c>
      <c r="AA6" s="142"/>
      <c r="AB6" s="143">
        <f ca="1">Overview!$I$17 + IF(Magic!AF6&gt;0,Constants!$F$78) + ROUND(6*(Construction!BM7+Construction!CK6)/IF(Explore!S7&gt;0,Construction!F7-20,Construction!F7),4) + tech_6_5_2*Techs!BJ6 + tech_8_4*Techs!BT6</f>
        <v>0</v>
      </c>
      <c r="AC6" s="139">
        <f ca="1">(Overview!$I$16 + Imps!Z6+ tech_2_5*Techs!AB6 + tech_3_6*Techs!AM6 + tech_6_1*Techs!BJ6 + tech_6_5*Techs!BF6 + tech_7_3_2*Techs!BN6) * (1 + Production!O6/100*prestige_pop_multiplier) + Production!O6/100*prestige_pop_multiplier</f>
        <v>2.5000000000000001E-2</v>
      </c>
    </row>
    <row r="7" spans="1:30" hidden="1" x14ac:dyDescent="0.2">
      <c r="A7" s="137">
        <f>TblRezone[[#This Row],[Hour]]</f>
        <v>4</v>
      </c>
      <c r="B7" s="138">
        <f ca="1">TblImps[[#This Row],[Time]]</f>
        <v>46047.124999999993</v>
      </c>
      <c r="C7" s="94">
        <f ca="1">OFFSET(TblPop[[#This Row],[Peasants]],-1,0)+OFFSET(TblPop[[#This Row],[Net Peasant]],-1,0)+TblMili[[#This Row],[Release Draft]]</f>
        <v>496</v>
      </c>
      <c r="D7" s="94">
        <f ca="1">TblMili[[#This Row],[Military]]</f>
        <v>165</v>
      </c>
      <c r="E7" s="94">
        <f ca="1">TblMili[[#This Row],[Draftees]]</f>
        <v>165</v>
      </c>
      <c r="F7" s="94">
        <f ca="1">TblPop[[#This Row],[Peasants]]+TblPop[[#This Row],[Military]]</f>
        <v>661</v>
      </c>
      <c r="G7" s="139">
        <f ca="1">TblPop[[#This Row],[Military]]/TblPop[[#This Row],[Total]]</f>
        <v>0.24962178517397882</v>
      </c>
      <c r="H7" s="140">
        <f ca="1">MIN(TblPop[[#This Row],[Peasants]],TblPop[[#This Row],[Jobs]])</f>
        <v>496</v>
      </c>
      <c r="I7" s="139">
        <f ca="1">MIN(OFFSET(TblPop[[#This Row],[Jobs]],1,0)/TblPop[[#This Row],[Peasants]],1)</f>
        <v>1</v>
      </c>
      <c r="J7" s="140">
        <f ca="1">SUM(TblConstr[[#This Row],[Tot Alc]:[Tot GT]],TblConstr[[#This Row],[Tot Shr]:[Tot Doc]],TblConstr[[#This Row],[Dest Alc]:[Dest GT]],TblConstr[[#This Row],[Dest Shr]:[Dest Doc]])*building_employment + TblConstr[[#This Row],[Tot Fac]]*bonus_jobs_facts</f>
        <v>1000</v>
      </c>
      <c r="K7" s="141"/>
      <c r="L7" s="61">
        <f ca="1">TblPop[[#This Row],[Draftees]]</f>
        <v>165</v>
      </c>
      <c r="M7" s="61">
        <f ca="1">TblMili[[#This Row],[Unit 1]]</f>
        <v>0</v>
      </c>
      <c r="N7" s="61">
        <f ca="1">TblMili[[#This Row],[Unit 2]]</f>
        <v>0</v>
      </c>
      <c r="O7" s="61">
        <f ca="1">TblMili[[#This Row],[Unit 3]]</f>
        <v>0</v>
      </c>
      <c r="P7" s="61">
        <f ca="1">TblMili[[#This Row],[Unit 4]]</f>
        <v>0</v>
      </c>
      <c r="Q7" s="61">
        <f ca="1">TblMili[[#This Row],[Spies]]</f>
        <v>0</v>
      </c>
      <c r="R7" s="61">
        <f ca="1">TblMili[[#This Row],[Wizards]]</f>
        <v>0</v>
      </c>
      <c r="S7" s="61">
        <f ca="1">TblMili[[#This Row],[Archmages]]</f>
        <v>0</v>
      </c>
      <c r="T7" s="142"/>
      <c r="U7" s="94">
        <f ca="1">ROUND(TblPop[[#This Row],[Raw max]]*(1+OFFSET(TblPop[[#This Row],[Max pop]],-1,0)),0)+MIN(TblPop[[#This Row],[Military]]-TblPop[[#This Row],[Draftees]]-SUM(TblMili[[#This Row],[Train Unit 1]:[Train AM]]),(barracks_size + tech_8_3*TblTech[[#This Row],[8-3]])*TblConstr[[#This Row],[Tot Bar]])</f>
        <v>769</v>
      </c>
      <c r="V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7" s="94">
        <f ca="1">MAX(-5%*TblPop[[#This Row],[Peasants]]-TblPop[[#This Row],[Draft Growth]],MIN(OFFSET(TblPop[[#This Row],[Net max]],1,0)-TblPop[[#This Row],[Peasants]]-TblPop[[#This Row],[Military]]-TblPop[[#This Row],[Draft Growth]],TblPop[[#This Row],[Modded Birth]]-TblPop[[#This Row],[Draft Growth]]))</f>
        <v>10</v>
      </c>
      <c r="X7" s="94">
        <f ca="1">ROUND(TblPop[[#This Row],[Raw Birth]]*(1+TblPop[[#This Row],[Growth]]),0)</f>
        <v>15</v>
      </c>
      <c r="Y7" s="94">
        <f ca="1">(TblPop[[#This Row],[Peasants]]-TblPop[[#This Row],[Draft Growth]])*raw_pop_growth</f>
        <v>14.729999999999999</v>
      </c>
      <c r="Z7" s="94">
        <f ca="1">ROUND(IF(TblPop[[#This Row],[Military%]]&lt;TblMili[[#This Row],[Draftrate]],ROUND(TblPop[[#This Row],[Peasants]]*Constants!$B$55,0), 0) * IF(AND(TblMagic[[#This Row],[Active DnD]]&lt;=12,TblMagic[[#This Row],[Active DnD]]&gt;6),1.6,1),0)</f>
        <v>5</v>
      </c>
      <c r="AA7" s="142"/>
      <c r="AB7" s="143">
        <f ca="1">Overview!$I$17 + IF(Magic!AF7&gt;0,Constants!$F$78) + ROUND(6*(Construction!BM8+Construction!CK7)/IF(Explore!S8&gt;0,Construction!F8-20,Construction!F8),4) + tech_6_5_2*Techs!BJ7 + tech_8_4*Techs!BT7</f>
        <v>0</v>
      </c>
      <c r="AC7" s="139">
        <f ca="1">(Overview!$I$16 + Imps!Z7+ tech_2_5*Techs!AB7 + tech_3_6*Techs!AM7 + tech_6_1*Techs!BJ7 + tech_6_5*Techs!BF7 + tech_7_3_2*Techs!BN7) * (1 + Production!O7/100*prestige_pop_multiplier) + Production!O7/100*prestige_pop_multiplier</f>
        <v>2.5000000000000001E-2</v>
      </c>
    </row>
    <row r="8" spans="1:30" hidden="1" x14ac:dyDescent="0.2">
      <c r="A8" s="137">
        <f>TblRezone[[#This Row],[Hour]]</f>
        <v>5</v>
      </c>
      <c r="B8" s="138">
        <f ca="1">TblImps[[#This Row],[Time]]</f>
        <v>46047.166666666657</v>
      </c>
      <c r="C8" s="94">
        <f ca="1">OFFSET(TblPop[[#This Row],[Peasants]],-1,0)+OFFSET(TblPop[[#This Row],[Net Peasant]],-1,0)+TblMili[[#This Row],[Release Draft]]</f>
        <v>506</v>
      </c>
      <c r="D8" s="94">
        <f ca="1">TblMili[[#This Row],[Military]]</f>
        <v>170</v>
      </c>
      <c r="E8" s="94">
        <f ca="1">TblMili[[#This Row],[Draftees]]</f>
        <v>170</v>
      </c>
      <c r="F8" s="94">
        <f ca="1">TblPop[[#This Row],[Peasants]]+TblPop[[#This Row],[Military]]</f>
        <v>676</v>
      </c>
      <c r="G8" s="139">
        <f ca="1">TblPop[[#This Row],[Military]]/TblPop[[#This Row],[Total]]</f>
        <v>0.25147928994082841</v>
      </c>
      <c r="H8" s="140">
        <f ca="1">MIN(TblPop[[#This Row],[Peasants]],TblPop[[#This Row],[Jobs]])</f>
        <v>506</v>
      </c>
      <c r="I8" s="139">
        <f ca="1">MIN(OFFSET(TblPop[[#This Row],[Jobs]],1,0)/TblPop[[#This Row],[Peasants]],1)</f>
        <v>1</v>
      </c>
      <c r="J8" s="140">
        <f ca="1">SUM(TblConstr[[#This Row],[Tot Alc]:[Tot GT]],TblConstr[[#This Row],[Tot Shr]:[Tot Doc]],TblConstr[[#This Row],[Dest Alc]:[Dest GT]],TblConstr[[#This Row],[Dest Shr]:[Dest Doc]])*building_employment + TblConstr[[#This Row],[Tot Fac]]*bonus_jobs_facts</f>
        <v>1000</v>
      </c>
      <c r="K8" s="141"/>
      <c r="L8" s="61">
        <f ca="1">TblPop[[#This Row],[Draftees]]</f>
        <v>170</v>
      </c>
      <c r="M8" s="61">
        <f ca="1">TblMili[[#This Row],[Unit 1]]</f>
        <v>0</v>
      </c>
      <c r="N8" s="61">
        <f ca="1">TblMili[[#This Row],[Unit 2]]</f>
        <v>0</v>
      </c>
      <c r="O8" s="61">
        <f ca="1">TblMili[[#This Row],[Unit 3]]</f>
        <v>0</v>
      </c>
      <c r="P8" s="61">
        <f ca="1">TblMili[[#This Row],[Unit 4]]</f>
        <v>0</v>
      </c>
      <c r="Q8" s="61">
        <f ca="1">TblMili[[#This Row],[Spies]]</f>
        <v>0</v>
      </c>
      <c r="R8" s="61">
        <f ca="1">TblMili[[#This Row],[Wizards]]</f>
        <v>0</v>
      </c>
      <c r="S8" s="61">
        <f ca="1">TblMili[[#This Row],[Archmages]]</f>
        <v>0</v>
      </c>
      <c r="T8" s="142"/>
      <c r="U8" s="94">
        <f ca="1">ROUND(TblPop[[#This Row],[Raw max]]*(1+OFFSET(TblPop[[#This Row],[Max pop]],-1,0)),0)+MIN(TblPop[[#This Row],[Military]]-TblPop[[#This Row],[Draftees]]-SUM(TblMili[[#This Row],[Train Unit 1]:[Train AM]]),(barracks_size + tech_8_3*TblTech[[#This Row],[8-3]])*TblConstr[[#This Row],[Tot Bar]])</f>
        <v>769</v>
      </c>
      <c r="V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8" s="94">
        <f ca="1">MAX(-5%*TblPop[[#This Row],[Peasants]]-TblPop[[#This Row],[Draft Growth]],MIN(OFFSET(TblPop[[#This Row],[Net max]],1,0)-TblPop[[#This Row],[Peasants]]-TblPop[[#This Row],[Military]]-TblPop[[#This Row],[Draft Growth]],TblPop[[#This Row],[Modded Birth]]-TblPop[[#This Row],[Draft Growth]]))</f>
        <v>10</v>
      </c>
      <c r="X8" s="94">
        <f ca="1">ROUND(TblPop[[#This Row],[Raw Birth]]*(1+TblPop[[#This Row],[Growth]]),0)</f>
        <v>15</v>
      </c>
      <c r="Y8" s="94">
        <f ca="1">(TblPop[[#This Row],[Peasants]]-TblPop[[#This Row],[Draft Growth]])*raw_pop_growth</f>
        <v>15.03</v>
      </c>
      <c r="Z8" s="94">
        <f ca="1">ROUND(IF(TblPop[[#This Row],[Military%]]&lt;TblMili[[#This Row],[Draftrate]],ROUND(TblPop[[#This Row],[Peasants]]*Constants!$B$55,0), 0) * IF(AND(TblMagic[[#This Row],[Active DnD]]&lt;=12,TblMagic[[#This Row],[Active DnD]]&gt;6),1.6,1),0)</f>
        <v>5</v>
      </c>
      <c r="AA8" s="142"/>
      <c r="AB8" s="143">
        <f ca="1">Overview!$I$17 + IF(Magic!AF8&gt;0,Constants!$F$78) + ROUND(6*(Construction!BM9+Construction!CK8)/IF(Explore!S9&gt;0,Construction!F9-20,Construction!F9),4) + tech_6_5_2*Techs!BJ8 + tech_8_4*Techs!BT8</f>
        <v>0</v>
      </c>
      <c r="AC8" s="139">
        <f ca="1">(Overview!$I$16 + Imps!Z8+ tech_2_5*Techs!AB8 + tech_3_6*Techs!AM8 + tech_6_1*Techs!BJ8 + tech_6_5*Techs!BF8 + tech_7_3_2*Techs!BN8) * (1 + Production!O8/100*prestige_pop_multiplier) + Production!O8/100*prestige_pop_multiplier</f>
        <v>2.5000000000000001E-2</v>
      </c>
    </row>
    <row r="9" spans="1:30" hidden="1" x14ac:dyDescent="0.2">
      <c r="A9" s="137">
        <f>TblRezone[[#This Row],[Hour]]</f>
        <v>6</v>
      </c>
      <c r="B9" s="138">
        <f ca="1">TblImps[[#This Row],[Time]]</f>
        <v>46047.208333333321</v>
      </c>
      <c r="C9" s="94">
        <f ca="1">OFFSET(TblPop[[#This Row],[Peasants]],-1,0)+OFFSET(TblPop[[#This Row],[Net Peasant]],-1,0)+TblMili[[#This Row],[Release Draft]]</f>
        <v>516</v>
      </c>
      <c r="D9" s="94">
        <f ca="1">TblMili[[#This Row],[Military]]</f>
        <v>175</v>
      </c>
      <c r="E9" s="94">
        <f ca="1">TblMili[[#This Row],[Draftees]]</f>
        <v>175</v>
      </c>
      <c r="F9" s="94">
        <f ca="1">TblPop[[#This Row],[Peasants]]+TblPop[[#This Row],[Military]]</f>
        <v>691</v>
      </c>
      <c r="G9" s="139">
        <f ca="1">TblPop[[#This Row],[Military]]/TblPop[[#This Row],[Total]]</f>
        <v>0.25325615050651229</v>
      </c>
      <c r="H9" s="140">
        <f ca="1">MIN(TblPop[[#This Row],[Peasants]],TblPop[[#This Row],[Jobs]])</f>
        <v>516</v>
      </c>
      <c r="I9" s="139">
        <f ca="1">MIN(OFFSET(TblPop[[#This Row],[Jobs]],1,0)/TblPop[[#This Row],[Peasants]],1)</f>
        <v>1</v>
      </c>
      <c r="J9" s="140">
        <f ca="1">SUM(TblConstr[[#This Row],[Tot Alc]:[Tot GT]],TblConstr[[#This Row],[Tot Shr]:[Tot Doc]],TblConstr[[#This Row],[Dest Alc]:[Dest GT]],TblConstr[[#This Row],[Dest Shr]:[Dest Doc]])*building_employment + TblConstr[[#This Row],[Tot Fac]]*bonus_jobs_facts</f>
        <v>1000</v>
      </c>
      <c r="K9" s="141"/>
      <c r="L9" s="61">
        <f ca="1">TblPop[[#This Row],[Draftees]]</f>
        <v>175</v>
      </c>
      <c r="M9" s="61">
        <f ca="1">TblMili[[#This Row],[Unit 1]]</f>
        <v>0</v>
      </c>
      <c r="N9" s="61">
        <f ca="1">TblMili[[#This Row],[Unit 2]]</f>
        <v>0</v>
      </c>
      <c r="O9" s="61">
        <f ca="1">TblMili[[#This Row],[Unit 3]]</f>
        <v>0</v>
      </c>
      <c r="P9" s="61">
        <f ca="1">TblMili[[#This Row],[Unit 4]]</f>
        <v>0</v>
      </c>
      <c r="Q9" s="61">
        <f ca="1">TblMili[[#This Row],[Spies]]</f>
        <v>0</v>
      </c>
      <c r="R9" s="61">
        <f ca="1">TblMili[[#This Row],[Wizards]]</f>
        <v>0</v>
      </c>
      <c r="S9" s="61">
        <f ca="1">TblMili[[#This Row],[Archmages]]</f>
        <v>0</v>
      </c>
      <c r="T9" s="142"/>
      <c r="U9" s="94">
        <f ca="1">ROUND(TblPop[[#This Row],[Raw max]]*(1+OFFSET(TblPop[[#This Row],[Max pop]],-1,0)),0)+MIN(TblPop[[#This Row],[Military]]-TblPop[[#This Row],[Draftees]]-SUM(TblMili[[#This Row],[Train Unit 1]:[Train AM]]),(barracks_size + tech_8_3*TblTech[[#This Row],[8-3]])*TblConstr[[#This Row],[Tot Bar]])</f>
        <v>769</v>
      </c>
      <c r="V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9" s="94">
        <f ca="1">MAX(-5%*TblPop[[#This Row],[Peasants]]-TblPop[[#This Row],[Draft Growth]],MIN(OFFSET(TblPop[[#This Row],[Net max]],1,0)-TblPop[[#This Row],[Peasants]]-TblPop[[#This Row],[Military]]-TblPop[[#This Row],[Draft Growth]],TblPop[[#This Row],[Modded Birth]]-TblPop[[#This Row],[Draft Growth]]))</f>
        <v>10</v>
      </c>
      <c r="X9" s="94">
        <f ca="1">ROUND(TblPop[[#This Row],[Raw Birth]]*(1+TblPop[[#This Row],[Growth]]),0)</f>
        <v>15</v>
      </c>
      <c r="Y9" s="94">
        <f ca="1">(TblPop[[#This Row],[Peasants]]-TblPop[[#This Row],[Draft Growth]])*raw_pop_growth</f>
        <v>15.33</v>
      </c>
      <c r="Z9" s="94">
        <f ca="1">ROUND(IF(TblPop[[#This Row],[Military%]]&lt;TblMili[[#This Row],[Draftrate]],ROUND(TblPop[[#This Row],[Peasants]]*Constants!$B$55,0), 0) * IF(AND(TblMagic[[#This Row],[Active DnD]]&lt;=12,TblMagic[[#This Row],[Active DnD]]&gt;6),1.6,1),0)</f>
        <v>5</v>
      </c>
      <c r="AA9" s="142"/>
      <c r="AB9" s="143">
        <f ca="1">Overview!$I$17 + IF(Magic!AF9&gt;0,Constants!$F$78) + ROUND(6*(Construction!BM10+Construction!CK9)/IF(Explore!S10&gt;0,Construction!F10-20,Construction!F10),4) + tech_6_5_2*Techs!BJ9 + tech_8_4*Techs!BT9</f>
        <v>0</v>
      </c>
      <c r="AC9" s="139">
        <f ca="1">(Overview!$I$16 + Imps!Z9+ tech_2_5*Techs!AB9 + tech_3_6*Techs!AM9 + tech_6_1*Techs!BJ9 + tech_6_5*Techs!BF9 + tech_7_3_2*Techs!BN9) * (1 + Production!O9/100*prestige_pop_multiplier) + Production!O9/100*prestige_pop_multiplier</f>
        <v>2.5000000000000001E-2</v>
      </c>
    </row>
    <row r="10" spans="1:30" hidden="1" x14ac:dyDescent="0.2">
      <c r="A10" s="137">
        <f>TblRezone[[#This Row],[Hour]]</f>
        <v>7</v>
      </c>
      <c r="B10" s="138">
        <f ca="1">TblImps[[#This Row],[Time]]</f>
        <v>46047.249999999985</v>
      </c>
      <c r="C10" s="94">
        <f ca="1">OFFSET(TblPop[[#This Row],[Peasants]],-1,0)+OFFSET(TblPop[[#This Row],[Net Peasant]],-1,0)+TblMili[[#This Row],[Release Draft]]</f>
        <v>526</v>
      </c>
      <c r="D10" s="94">
        <f ca="1">TblMili[[#This Row],[Military]]</f>
        <v>180</v>
      </c>
      <c r="E10" s="94">
        <f ca="1">TblMili[[#This Row],[Draftees]]</f>
        <v>180</v>
      </c>
      <c r="F10" s="94">
        <f ca="1">TblPop[[#This Row],[Peasants]]+TblPop[[#This Row],[Military]]</f>
        <v>706</v>
      </c>
      <c r="G10" s="139">
        <f ca="1">TblPop[[#This Row],[Military]]/TblPop[[#This Row],[Total]]</f>
        <v>0.25495750708215298</v>
      </c>
      <c r="H10" s="140">
        <f ca="1">MIN(TblPop[[#This Row],[Peasants]],TblPop[[#This Row],[Jobs]])</f>
        <v>526</v>
      </c>
      <c r="I10" s="139">
        <f ca="1">MIN(OFFSET(TblPop[[#This Row],[Jobs]],1,0)/TblPop[[#This Row],[Peasants]],1)</f>
        <v>1</v>
      </c>
      <c r="J10" s="140">
        <f ca="1">SUM(TblConstr[[#This Row],[Tot Alc]:[Tot GT]],TblConstr[[#This Row],[Tot Shr]:[Tot Doc]],TblConstr[[#This Row],[Dest Alc]:[Dest GT]],TblConstr[[#This Row],[Dest Shr]:[Dest Doc]])*building_employment + TblConstr[[#This Row],[Tot Fac]]*bonus_jobs_facts</f>
        <v>1000</v>
      </c>
      <c r="K10" s="141"/>
      <c r="L10" s="61">
        <f ca="1">TblPop[[#This Row],[Draftees]]</f>
        <v>180</v>
      </c>
      <c r="M10" s="61">
        <f ca="1">TblMili[[#This Row],[Unit 1]]</f>
        <v>0</v>
      </c>
      <c r="N10" s="61">
        <f ca="1">TblMili[[#This Row],[Unit 2]]</f>
        <v>0</v>
      </c>
      <c r="O10" s="61">
        <f ca="1">TblMili[[#This Row],[Unit 3]]</f>
        <v>0</v>
      </c>
      <c r="P10" s="61">
        <f ca="1">TblMili[[#This Row],[Unit 4]]</f>
        <v>0</v>
      </c>
      <c r="Q10" s="61">
        <f ca="1">TblMili[[#This Row],[Spies]]</f>
        <v>0</v>
      </c>
      <c r="R10" s="61">
        <f ca="1">TblMili[[#This Row],[Wizards]]</f>
        <v>0</v>
      </c>
      <c r="S10" s="61">
        <f ca="1">TblMili[[#This Row],[Archmages]]</f>
        <v>0</v>
      </c>
      <c r="T10" s="142"/>
      <c r="U10" s="94">
        <f ca="1">ROUND(TblPop[[#This Row],[Raw max]]*(1+OFFSET(TblPop[[#This Row],[Max pop]],-1,0)),0)+MIN(TblPop[[#This Row],[Military]]-TblPop[[#This Row],[Draftees]]-SUM(TblMili[[#This Row],[Train Unit 1]:[Train AM]]),(barracks_size + tech_8_3*TblTech[[#This Row],[8-3]])*TblConstr[[#This Row],[Tot Bar]])</f>
        <v>769</v>
      </c>
      <c r="V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0" s="94">
        <f ca="1">MAX(-5%*TblPop[[#This Row],[Peasants]]-TblPop[[#This Row],[Draft Growth]],MIN(OFFSET(TblPop[[#This Row],[Net max]],1,0)-TblPop[[#This Row],[Peasants]]-TblPop[[#This Row],[Military]]-TblPop[[#This Row],[Draft Growth]],TblPop[[#This Row],[Modded Birth]]-TblPop[[#This Row],[Draft Growth]]))</f>
        <v>11</v>
      </c>
      <c r="X10" s="94">
        <f ca="1">ROUND(TblPop[[#This Row],[Raw Birth]]*(1+TblPop[[#This Row],[Growth]]),0)</f>
        <v>16</v>
      </c>
      <c r="Y10" s="94">
        <f ca="1">(TblPop[[#This Row],[Peasants]]-TblPop[[#This Row],[Draft Growth]])*raw_pop_growth</f>
        <v>15.629999999999999</v>
      </c>
      <c r="Z10" s="94">
        <f ca="1">ROUND(IF(TblPop[[#This Row],[Military%]]&lt;TblMili[[#This Row],[Draftrate]],ROUND(TblPop[[#This Row],[Peasants]]*Constants!$B$55,0), 0) * IF(AND(TblMagic[[#This Row],[Active DnD]]&lt;=12,TblMagic[[#This Row],[Active DnD]]&gt;6),1.6,1),0)</f>
        <v>5</v>
      </c>
      <c r="AA10" s="142"/>
      <c r="AB10" s="143">
        <f ca="1">Overview!$I$17 + IF(Magic!AF10&gt;0,Constants!$F$78) + ROUND(6*(Construction!BM11+Construction!CK10)/IF(Explore!S11&gt;0,Construction!F11-20,Construction!F11),4) + tech_6_5_2*Techs!BJ10 + tech_8_4*Techs!BT10</f>
        <v>0</v>
      </c>
      <c r="AC10" s="139">
        <f ca="1">(Overview!$I$16 + Imps!Z10+ tech_2_5*Techs!AB10 + tech_3_6*Techs!AM10 + tech_6_1*Techs!BJ10 + tech_6_5*Techs!BF10 + tech_7_3_2*Techs!BN10) * (1 + Production!O10/100*prestige_pop_multiplier) + Production!O10/100*prestige_pop_multiplier</f>
        <v>2.5000000000000001E-2</v>
      </c>
    </row>
    <row r="11" spans="1:30" hidden="1" x14ac:dyDescent="0.2">
      <c r="A11" s="137">
        <f>TblRezone[[#This Row],[Hour]]</f>
        <v>8</v>
      </c>
      <c r="B11" s="138">
        <f ca="1">TblImps[[#This Row],[Time]]</f>
        <v>46047.29166666665</v>
      </c>
      <c r="C11" s="94">
        <f ca="1">OFFSET(TblPop[[#This Row],[Peasants]],-1,0)+OFFSET(TblPop[[#This Row],[Net Peasant]],-1,0)+TblMili[[#This Row],[Release Draft]]</f>
        <v>537</v>
      </c>
      <c r="D11" s="94">
        <f ca="1">TblMili[[#This Row],[Military]]</f>
        <v>185</v>
      </c>
      <c r="E11" s="94">
        <f ca="1">TblMili[[#This Row],[Draftees]]</f>
        <v>185</v>
      </c>
      <c r="F11" s="94">
        <f ca="1">TblPop[[#This Row],[Peasants]]+TblPop[[#This Row],[Military]]</f>
        <v>722</v>
      </c>
      <c r="G11" s="139">
        <f ca="1">TblPop[[#This Row],[Military]]/TblPop[[#This Row],[Total]]</f>
        <v>0.25623268698060941</v>
      </c>
      <c r="H11" s="140">
        <f ca="1">MIN(TblPop[[#This Row],[Peasants]],TblPop[[#This Row],[Jobs]])</f>
        <v>537</v>
      </c>
      <c r="I11" s="139">
        <f ca="1">MIN(OFFSET(TblPop[[#This Row],[Jobs]],1,0)/TblPop[[#This Row],[Peasants]],1)</f>
        <v>1</v>
      </c>
      <c r="J11" s="140">
        <f ca="1">SUM(TblConstr[[#This Row],[Tot Alc]:[Tot GT]],TblConstr[[#This Row],[Tot Shr]:[Tot Doc]],TblConstr[[#This Row],[Dest Alc]:[Dest GT]],TblConstr[[#This Row],[Dest Shr]:[Dest Doc]])*building_employment + TblConstr[[#This Row],[Tot Fac]]*bonus_jobs_facts</f>
        <v>1000</v>
      </c>
      <c r="K11" s="141"/>
      <c r="L11" s="61">
        <f ca="1">TblPop[[#This Row],[Draftees]]</f>
        <v>185</v>
      </c>
      <c r="M11" s="61">
        <f ca="1">TblMili[[#This Row],[Unit 1]]</f>
        <v>0</v>
      </c>
      <c r="N11" s="61">
        <f ca="1">TblMili[[#This Row],[Unit 2]]</f>
        <v>0</v>
      </c>
      <c r="O11" s="61">
        <f ca="1">TblMili[[#This Row],[Unit 3]]</f>
        <v>0</v>
      </c>
      <c r="P11" s="61">
        <f ca="1">TblMili[[#This Row],[Unit 4]]</f>
        <v>0</v>
      </c>
      <c r="Q11" s="61">
        <f ca="1">TblMili[[#This Row],[Spies]]</f>
        <v>0</v>
      </c>
      <c r="R11" s="61">
        <f ca="1">TblMili[[#This Row],[Wizards]]</f>
        <v>0</v>
      </c>
      <c r="S11" s="61">
        <f ca="1">TblMili[[#This Row],[Archmages]]</f>
        <v>0</v>
      </c>
      <c r="T11" s="142"/>
      <c r="U11" s="94">
        <f ca="1">ROUND(TblPop[[#This Row],[Raw max]]*(1+OFFSET(TblPop[[#This Row],[Max pop]],-1,0)),0)+MIN(TblPop[[#This Row],[Military]]-TblPop[[#This Row],[Draftees]]-SUM(TblMili[[#This Row],[Train Unit 1]:[Train AM]]),(barracks_size + tech_8_3*TblTech[[#This Row],[8-3]])*TblConstr[[#This Row],[Tot Bar]])</f>
        <v>769</v>
      </c>
      <c r="V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1" s="94">
        <f ca="1">MAX(-5%*TblPop[[#This Row],[Peasants]]-TblPop[[#This Row],[Draft Growth]],MIN(OFFSET(TblPop[[#This Row],[Net max]],1,0)-TblPop[[#This Row],[Peasants]]-TblPop[[#This Row],[Military]]-TblPop[[#This Row],[Draft Growth]],TblPop[[#This Row],[Modded Birth]]-TblPop[[#This Row],[Draft Growth]]))</f>
        <v>11</v>
      </c>
      <c r="X11" s="94">
        <f ca="1">ROUND(TblPop[[#This Row],[Raw Birth]]*(1+TblPop[[#This Row],[Growth]]),0)</f>
        <v>16</v>
      </c>
      <c r="Y11" s="94">
        <f ca="1">(TblPop[[#This Row],[Peasants]]-TblPop[[#This Row],[Draft Growth]])*raw_pop_growth</f>
        <v>15.959999999999999</v>
      </c>
      <c r="Z11" s="94">
        <f ca="1">ROUND(IF(TblPop[[#This Row],[Military%]]&lt;TblMili[[#This Row],[Draftrate]],ROUND(TblPop[[#This Row],[Peasants]]*Constants!$B$55,0), 0) * IF(AND(TblMagic[[#This Row],[Active DnD]]&lt;=12,TblMagic[[#This Row],[Active DnD]]&gt;6),1.6,1),0)</f>
        <v>5</v>
      </c>
      <c r="AA11" s="142"/>
      <c r="AB11" s="143">
        <f ca="1">Overview!$I$17 + IF(Magic!AF11&gt;0,Constants!$F$78) + ROUND(6*(Construction!BM12+Construction!CK11)/IF(Explore!S12&gt;0,Construction!F12-20,Construction!F12),4) + tech_6_5_2*Techs!BJ11 + tech_8_4*Techs!BT11</f>
        <v>0</v>
      </c>
      <c r="AC11" s="139">
        <f ca="1">(Overview!$I$16 + Imps!Z11+ tech_2_5*Techs!AB11 + tech_3_6*Techs!AM11 + tech_6_1*Techs!BJ11 + tech_6_5*Techs!BF11 + tech_7_3_2*Techs!BN11) * (1 + Production!O11/100*prestige_pop_multiplier) + Production!O11/100*prestige_pop_multiplier</f>
        <v>2.5000000000000001E-2</v>
      </c>
    </row>
    <row r="12" spans="1:30" hidden="1" x14ac:dyDescent="0.2">
      <c r="A12" s="137">
        <f>TblRezone[[#This Row],[Hour]]</f>
        <v>9</v>
      </c>
      <c r="B12" s="138">
        <f ca="1">TblImps[[#This Row],[Time]]</f>
        <v>46047.333333333314</v>
      </c>
      <c r="C12" s="94">
        <f ca="1">OFFSET(TblPop[[#This Row],[Peasants]],-1,0)+OFFSET(TblPop[[#This Row],[Net Peasant]],-1,0)+TblMili[[#This Row],[Release Draft]]</f>
        <v>548</v>
      </c>
      <c r="D12" s="94">
        <f ca="1">TblMili[[#This Row],[Military]]</f>
        <v>190</v>
      </c>
      <c r="E12" s="94">
        <f ca="1">TblMili[[#This Row],[Draftees]]</f>
        <v>190</v>
      </c>
      <c r="F12" s="94">
        <f ca="1">TblPop[[#This Row],[Peasants]]+TblPop[[#This Row],[Military]]</f>
        <v>738</v>
      </c>
      <c r="G12" s="139">
        <f ca="1">TblPop[[#This Row],[Military]]/TblPop[[#This Row],[Total]]</f>
        <v>0.25745257452574527</v>
      </c>
      <c r="H12" s="140">
        <f ca="1">MIN(TblPop[[#This Row],[Peasants]],TblPop[[#This Row],[Jobs]])</f>
        <v>548</v>
      </c>
      <c r="I12" s="139">
        <f ca="1">MIN(OFFSET(TblPop[[#This Row],[Jobs]],1,0)/TblPop[[#This Row],[Peasants]],1)</f>
        <v>1</v>
      </c>
      <c r="J12" s="140">
        <f ca="1">SUM(TblConstr[[#This Row],[Tot Alc]:[Tot GT]],TblConstr[[#This Row],[Tot Shr]:[Tot Doc]],TblConstr[[#This Row],[Dest Alc]:[Dest GT]],TblConstr[[#This Row],[Dest Shr]:[Dest Doc]])*building_employment + TblConstr[[#This Row],[Tot Fac]]*bonus_jobs_facts</f>
        <v>1000</v>
      </c>
      <c r="K12" s="141"/>
      <c r="L12" s="61">
        <f ca="1">TblPop[[#This Row],[Draftees]]</f>
        <v>190</v>
      </c>
      <c r="M12" s="61">
        <f ca="1">TblMili[[#This Row],[Unit 1]]</f>
        <v>0</v>
      </c>
      <c r="N12" s="61">
        <f ca="1">TblMili[[#This Row],[Unit 2]]</f>
        <v>0</v>
      </c>
      <c r="O12" s="61">
        <f ca="1">TblMili[[#This Row],[Unit 3]]</f>
        <v>0</v>
      </c>
      <c r="P12" s="61">
        <f ca="1">TblMili[[#This Row],[Unit 4]]</f>
        <v>0</v>
      </c>
      <c r="Q12" s="61">
        <f ca="1">TblMili[[#This Row],[Spies]]</f>
        <v>0</v>
      </c>
      <c r="R12" s="61">
        <f ca="1">TblMili[[#This Row],[Wizards]]</f>
        <v>0</v>
      </c>
      <c r="S12" s="61">
        <f ca="1">TblMili[[#This Row],[Archmages]]</f>
        <v>0</v>
      </c>
      <c r="T12" s="142"/>
      <c r="U12" s="94">
        <f ca="1">ROUND(TblPop[[#This Row],[Raw max]]*(1+OFFSET(TblPop[[#This Row],[Max pop]],-1,0)),0)+MIN(TblPop[[#This Row],[Military]]-TblPop[[#This Row],[Draftees]]-SUM(TblMili[[#This Row],[Train Unit 1]:[Train AM]]),(barracks_size + tech_8_3*TblTech[[#This Row],[8-3]])*TblConstr[[#This Row],[Tot Bar]])</f>
        <v>769</v>
      </c>
      <c r="V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2" s="94">
        <f ca="1">MAX(-5%*TblPop[[#This Row],[Peasants]]-TblPop[[#This Row],[Draft Growth]],MIN(OFFSET(TblPop[[#This Row],[Net max]],1,0)-TblPop[[#This Row],[Peasants]]-TblPop[[#This Row],[Military]]-TblPop[[#This Row],[Draft Growth]],TblPop[[#This Row],[Modded Birth]]-TblPop[[#This Row],[Draft Growth]]))</f>
        <v>11</v>
      </c>
      <c r="X12" s="94">
        <f ca="1">ROUND(TblPop[[#This Row],[Raw Birth]]*(1+TblPop[[#This Row],[Growth]]),0)</f>
        <v>16</v>
      </c>
      <c r="Y12" s="94">
        <f ca="1">(TblPop[[#This Row],[Peasants]]-TblPop[[#This Row],[Draft Growth]])*raw_pop_growth</f>
        <v>16.29</v>
      </c>
      <c r="Z12" s="94">
        <f ca="1">ROUND(IF(TblPop[[#This Row],[Military%]]&lt;TblMili[[#This Row],[Draftrate]],ROUND(TblPop[[#This Row],[Peasants]]*Constants!$B$55,0), 0) * IF(AND(TblMagic[[#This Row],[Active DnD]]&lt;=12,TblMagic[[#This Row],[Active DnD]]&gt;6),1.6,1),0)</f>
        <v>5</v>
      </c>
      <c r="AA12" s="142"/>
      <c r="AB12" s="143">
        <f ca="1">Overview!$I$17 + IF(Magic!AF12&gt;0,Constants!$F$78) + ROUND(6*(Construction!BM13+Construction!CK12)/IF(Explore!S13&gt;0,Construction!F13-20,Construction!F13),4) + tech_6_5_2*Techs!BJ12 + tech_8_4*Techs!BT12</f>
        <v>0</v>
      </c>
      <c r="AC12" s="139">
        <f ca="1">(Overview!$I$16 + Imps!Z12+ tech_2_5*Techs!AB12 + tech_3_6*Techs!AM12 + tech_6_1*Techs!BJ12 + tech_6_5*Techs!BF12 + tech_7_3_2*Techs!BN12) * (1 + Production!O12/100*prestige_pop_multiplier) + Production!O12/100*prestige_pop_multiplier</f>
        <v>2.5000000000000001E-2</v>
      </c>
    </row>
    <row r="13" spans="1:30" hidden="1" x14ac:dyDescent="0.2">
      <c r="A13" s="137">
        <f>TblRezone[[#This Row],[Hour]]</f>
        <v>10</v>
      </c>
      <c r="B13" s="138">
        <f ca="1">TblImps[[#This Row],[Time]]</f>
        <v>46047.374999999978</v>
      </c>
      <c r="C13" s="94">
        <f ca="1">OFFSET(TblPop[[#This Row],[Peasants]],-1,0)+OFFSET(TblPop[[#This Row],[Net Peasant]],-1,0)+TblMili[[#This Row],[Release Draft]]</f>
        <v>559</v>
      </c>
      <c r="D13" s="94">
        <f ca="1">TblMili[[#This Row],[Military]]</f>
        <v>195</v>
      </c>
      <c r="E13" s="94">
        <f ca="1">TblMili[[#This Row],[Draftees]]</f>
        <v>195</v>
      </c>
      <c r="F13" s="94">
        <f ca="1">TblPop[[#This Row],[Peasants]]+TblPop[[#This Row],[Military]]</f>
        <v>754</v>
      </c>
      <c r="G13" s="139">
        <f ca="1">TblPop[[#This Row],[Military]]/TblPop[[#This Row],[Total]]</f>
        <v>0.25862068965517243</v>
      </c>
      <c r="H13" s="140">
        <f ca="1">MIN(TblPop[[#This Row],[Peasants]],TblPop[[#This Row],[Jobs]])</f>
        <v>559</v>
      </c>
      <c r="I13" s="139">
        <f ca="1">MIN(OFFSET(TblPop[[#This Row],[Jobs]],1,0)/TblPop[[#This Row],[Peasants]],1)</f>
        <v>1</v>
      </c>
      <c r="J13" s="140">
        <f ca="1">SUM(TblConstr[[#This Row],[Tot Alc]:[Tot GT]],TblConstr[[#This Row],[Tot Shr]:[Tot Doc]],TblConstr[[#This Row],[Dest Alc]:[Dest GT]],TblConstr[[#This Row],[Dest Shr]:[Dest Doc]])*building_employment + TblConstr[[#This Row],[Tot Fac]]*bonus_jobs_facts</f>
        <v>1000</v>
      </c>
      <c r="K13" s="141"/>
      <c r="L13" s="61">
        <f ca="1">TblPop[[#This Row],[Draftees]]</f>
        <v>195</v>
      </c>
      <c r="M13" s="61">
        <f ca="1">TblMili[[#This Row],[Unit 1]]</f>
        <v>0</v>
      </c>
      <c r="N13" s="61">
        <f ca="1">TblMili[[#This Row],[Unit 2]]</f>
        <v>0</v>
      </c>
      <c r="O13" s="61">
        <f ca="1">TblMili[[#This Row],[Unit 3]]</f>
        <v>0</v>
      </c>
      <c r="P13" s="61">
        <f ca="1">TblMili[[#This Row],[Unit 4]]</f>
        <v>0</v>
      </c>
      <c r="Q13" s="61">
        <f ca="1">TblMili[[#This Row],[Spies]]</f>
        <v>0</v>
      </c>
      <c r="R13" s="61">
        <f ca="1">TblMili[[#This Row],[Wizards]]</f>
        <v>0</v>
      </c>
      <c r="S13" s="61">
        <f ca="1">TblMili[[#This Row],[Archmages]]</f>
        <v>0</v>
      </c>
      <c r="T13" s="142"/>
      <c r="U13" s="94">
        <f ca="1">ROUND(TblPop[[#This Row],[Raw max]]*(1+OFFSET(TblPop[[#This Row],[Max pop]],-1,0)),0)+MIN(TblPop[[#This Row],[Military]]-TblPop[[#This Row],[Draftees]]-SUM(TblMili[[#This Row],[Train Unit 1]:[Train AM]]),(barracks_size + tech_8_3*TblTech[[#This Row],[8-3]])*TblConstr[[#This Row],[Tot Bar]])</f>
        <v>769</v>
      </c>
      <c r="V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3" s="94">
        <f ca="1">MAX(-5%*TblPop[[#This Row],[Peasants]]-TblPop[[#This Row],[Draft Growth]],MIN(OFFSET(TblPop[[#This Row],[Net max]],1,0)-TblPop[[#This Row],[Peasants]]-TblPop[[#This Row],[Military]]-TblPop[[#This Row],[Draft Growth]],TblPop[[#This Row],[Modded Birth]]-TblPop[[#This Row],[Draft Growth]]))</f>
        <v>9</v>
      </c>
      <c r="X13" s="94">
        <f ca="1">ROUND(TblPop[[#This Row],[Raw Birth]]*(1+TblPop[[#This Row],[Growth]]),0)</f>
        <v>17</v>
      </c>
      <c r="Y13" s="94">
        <f ca="1">(TblPop[[#This Row],[Peasants]]-TblPop[[#This Row],[Draft Growth]])*raw_pop_growth</f>
        <v>16.59</v>
      </c>
      <c r="Z13" s="94">
        <f ca="1">ROUND(IF(TblPop[[#This Row],[Military%]]&lt;TblMili[[#This Row],[Draftrate]],ROUND(TblPop[[#This Row],[Peasants]]*Constants!$B$55,0), 0) * IF(AND(TblMagic[[#This Row],[Active DnD]]&lt;=12,TblMagic[[#This Row],[Active DnD]]&gt;6),1.6,1),0)</f>
        <v>6</v>
      </c>
      <c r="AA13" s="142"/>
      <c r="AB13" s="143">
        <f ca="1">Overview!$I$17 + IF(Magic!AF13&gt;0,Constants!$F$78) + ROUND(6*(Construction!BM14+Construction!CK13)/IF(Explore!S14&gt;0,Construction!F14-20,Construction!F14),4) + tech_6_5_2*Techs!BJ13 + tech_8_4*Techs!BT13</f>
        <v>0</v>
      </c>
      <c r="AC13" s="139">
        <f ca="1">(Overview!$I$16 + Imps!Z13+ tech_2_5*Techs!AB13 + tech_3_6*Techs!AM13 + tech_6_1*Techs!BJ13 + tech_6_5*Techs!BF13 + tech_7_3_2*Techs!BN13) * (1 + Production!O13/100*prestige_pop_multiplier) + Production!O13/100*prestige_pop_multiplier</f>
        <v>2.5000000000000001E-2</v>
      </c>
    </row>
    <row r="14" spans="1:30" hidden="1" x14ac:dyDescent="0.2">
      <c r="A14" s="137">
        <f>TblRezone[[#This Row],[Hour]]</f>
        <v>11</v>
      </c>
      <c r="B14" s="138">
        <f ca="1">TblImps[[#This Row],[Time]]</f>
        <v>46047.416666666642</v>
      </c>
      <c r="C14" s="94">
        <f ca="1">OFFSET(TblPop[[#This Row],[Peasants]],-1,0)+OFFSET(TblPop[[#This Row],[Net Peasant]],-1,0)+TblMili[[#This Row],[Release Draft]]</f>
        <v>568</v>
      </c>
      <c r="D14" s="94">
        <f ca="1">TblMili[[#This Row],[Military]]</f>
        <v>201</v>
      </c>
      <c r="E14" s="94">
        <f ca="1">TblMili[[#This Row],[Draftees]]</f>
        <v>201</v>
      </c>
      <c r="F14" s="94">
        <f ca="1">TblPop[[#This Row],[Peasants]]+TblPop[[#This Row],[Military]]</f>
        <v>769</v>
      </c>
      <c r="G14" s="139">
        <f ca="1">TblPop[[#This Row],[Military]]/TblPop[[#This Row],[Total]]</f>
        <v>0.26137841352405722</v>
      </c>
      <c r="H14" s="140">
        <f ca="1">MIN(TblPop[[#This Row],[Peasants]],TblPop[[#This Row],[Jobs]])</f>
        <v>568</v>
      </c>
      <c r="I14" s="139">
        <f ca="1">MIN(OFFSET(TblPop[[#This Row],[Jobs]],1,0)/TblPop[[#This Row],[Peasants]],1)</f>
        <v>1</v>
      </c>
      <c r="J14" s="140">
        <f ca="1">SUM(TblConstr[[#This Row],[Tot Alc]:[Tot GT]],TblConstr[[#This Row],[Tot Shr]:[Tot Doc]],TblConstr[[#This Row],[Dest Alc]:[Dest GT]],TblConstr[[#This Row],[Dest Shr]:[Dest Doc]])*building_employment + TblConstr[[#This Row],[Tot Fac]]*bonus_jobs_facts</f>
        <v>1000</v>
      </c>
      <c r="K14" s="141"/>
      <c r="L14" s="61">
        <f ca="1">TblPop[[#This Row],[Draftees]]</f>
        <v>201</v>
      </c>
      <c r="M14" s="61">
        <f ca="1">TblMili[[#This Row],[Unit 1]]</f>
        <v>0</v>
      </c>
      <c r="N14" s="61">
        <f ca="1">TblMili[[#This Row],[Unit 2]]</f>
        <v>0</v>
      </c>
      <c r="O14" s="61">
        <f ca="1">TblMili[[#This Row],[Unit 3]]</f>
        <v>0</v>
      </c>
      <c r="P14" s="61">
        <f ca="1">TblMili[[#This Row],[Unit 4]]</f>
        <v>0</v>
      </c>
      <c r="Q14" s="61">
        <f ca="1">TblMili[[#This Row],[Spies]]</f>
        <v>0</v>
      </c>
      <c r="R14" s="61">
        <f ca="1">TblMili[[#This Row],[Wizards]]</f>
        <v>0</v>
      </c>
      <c r="S14" s="61">
        <f ca="1">TblMili[[#This Row],[Archmages]]</f>
        <v>0</v>
      </c>
      <c r="T14" s="142"/>
      <c r="U14" s="94">
        <f ca="1">ROUND(TblPop[[#This Row],[Raw max]]*(1+OFFSET(TblPop[[#This Row],[Max pop]],-1,0)),0)+MIN(TblPop[[#This Row],[Military]]-TblPop[[#This Row],[Draftees]]-SUM(TblMili[[#This Row],[Train Unit 1]:[Train AM]]),(barracks_size + tech_8_3*TblTech[[#This Row],[8-3]])*TblConstr[[#This Row],[Tot Bar]])</f>
        <v>769</v>
      </c>
      <c r="V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4" s="94">
        <f ca="1">MAX(-5%*TblPop[[#This Row],[Peasants]]-TblPop[[#This Row],[Draft Growth]],MIN(OFFSET(TblPop[[#This Row],[Net max]],1,0)-TblPop[[#This Row],[Peasants]]-TblPop[[#This Row],[Military]]-TblPop[[#This Row],[Draft Growth]],TblPop[[#This Row],[Modded Birth]]-TblPop[[#This Row],[Draft Growth]]))</f>
        <v>-6</v>
      </c>
      <c r="X14" s="94">
        <f ca="1">ROUND(TblPop[[#This Row],[Raw Birth]]*(1+TblPop[[#This Row],[Growth]]),0)</f>
        <v>17</v>
      </c>
      <c r="Y14" s="94">
        <f ca="1">(TblPop[[#This Row],[Peasants]]-TblPop[[#This Row],[Draft Growth]])*raw_pop_growth</f>
        <v>16.86</v>
      </c>
      <c r="Z14" s="94">
        <f ca="1">ROUND(IF(TblPop[[#This Row],[Military%]]&lt;TblMili[[#This Row],[Draftrate]],ROUND(TblPop[[#This Row],[Peasants]]*Constants!$B$55,0), 0) * IF(AND(TblMagic[[#This Row],[Active DnD]]&lt;=12,TblMagic[[#This Row],[Active DnD]]&gt;6),1.6,1),0)</f>
        <v>6</v>
      </c>
      <c r="AA14" s="142"/>
      <c r="AB14" s="143">
        <f ca="1">Overview!$I$17 + IF(Magic!AF14&gt;0,Constants!$F$78) + ROUND(6*(Construction!BM15+Construction!CK14)/IF(Explore!S15&gt;0,Construction!F15-20,Construction!F15),4) + tech_6_5_2*Techs!BJ14 + tech_8_4*Techs!BT14</f>
        <v>0</v>
      </c>
      <c r="AC14" s="139">
        <f ca="1">(Overview!$I$16 + Imps!Z14+ tech_2_5*Techs!AB14 + tech_3_6*Techs!AM14 + tech_6_1*Techs!BJ14 + tech_6_5*Techs!BF14 + tech_7_3_2*Techs!BN14) * (1 + Production!O14/100*prestige_pop_multiplier) + Production!O14/100*prestige_pop_multiplier</f>
        <v>2.5000000000000001E-2</v>
      </c>
    </row>
    <row r="15" spans="1:30" hidden="1" x14ac:dyDescent="0.2">
      <c r="A15" s="137">
        <f>TblRezone[[#This Row],[Hour]]</f>
        <v>12</v>
      </c>
      <c r="B15" s="138">
        <f ca="1">TblImps[[#This Row],[Time]]</f>
        <v>46047.458333333307</v>
      </c>
      <c r="C15" s="94">
        <f ca="1">OFFSET(TblPop[[#This Row],[Peasants]],-1,0)+OFFSET(TblPop[[#This Row],[Net Peasant]],-1,0)+TblMili[[#This Row],[Release Draft]]</f>
        <v>562</v>
      </c>
      <c r="D15" s="94">
        <f ca="1">TblMili[[#This Row],[Military]]</f>
        <v>207</v>
      </c>
      <c r="E15" s="94">
        <f ca="1">TblMili[[#This Row],[Draftees]]</f>
        <v>207</v>
      </c>
      <c r="F15" s="94">
        <f ca="1">TblPop[[#This Row],[Peasants]]+TblPop[[#This Row],[Military]]</f>
        <v>769</v>
      </c>
      <c r="G15" s="139">
        <f ca="1">TblPop[[#This Row],[Military]]/TblPop[[#This Row],[Total]]</f>
        <v>0.26918075422626786</v>
      </c>
      <c r="H15" s="140">
        <f ca="1">MIN(TblPop[[#This Row],[Peasants]],TblPop[[#This Row],[Jobs]])</f>
        <v>562</v>
      </c>
      <c r="I15" s="139">
        <f ca="1">MIN(OFFSET(TblPop[[#This Row],[Jobs]],1,0)/TblPop[[#This Row],[Peasants]],1)</f>
        <v>1</v>
      </c>
      <c r="J15" s="140">
        <f ca="1">SUM(TblConstr[[#This Row],[Tot Alc]:[Tot GT]],TblConstr[[#This Row],[Tot Shr]:[Tot Doc]],TblConstr[[#This Row],[Dest Alc]:[Dest GT]],TblConstr[[#This Row],[Dest Shr]:[Dest Doc]])*building_employment + TblConstr[[#This Row],[Tot Fac]]*bonus_jobs_facts</f>
        <v>1000</v>
      </c>
      <c r="K15" s="141"/>
      <c r="L15" s="61">
        <f ca="1">TblPop[[#This Row],[Draftees]]</f>
        <v>207</v>
      </c>
      <c r="M15" s="61">
        <f ca="1">TblMili[[#This Row],[Unit 1]]</f>
        <v>0</v>
      </c>
      <c r="N15" s="61">
        <f ca="1">TblMili[[#This Row],[Unit 2]]</f>
        <v>0</v>
      </c>
      <c r="O15" s="61">
        <f ca="1">TblMili[[#This Row],[Unit 3]]</f>
        <v>0</v>
      </c>
      <c r="P15" s="61">
        <f ca="1">TblMili[[#This Row],[Unit 4]]</f>
        <v>0</v>
      </c>
      <c r="Q15" s="61">
        <f ca="1">TblMili[[#This Row],[Spies]]</f>
        <v>0</v>
      </c>
      <c r="R15" s="61">
        <f ca="1">TblMili[[#This Row],[Wizards]]</f>
        <v>0</v>
      </c>
      <c r="S15" s="61">
        <f ca="1">TblMili[[#This Row],[Archmages]]</f>
        <v>0</v>
      </c>
      <c r="T15" s="142"/>
      <c r="U15" s="94">
        <f ca="1">ROUND(TblPop[[#This Row],[Raw max]]*(1+OFFSET(TblPop[[#This Row],[Max pop]],-1,0)),0)+MIN(TblPop[[#This Row],[Military]]-TblPop[[#This Row],[Draftees]]-SUM(TblMili[[#This Row],[Train Unit 1]:[Train AM]]),(barracks_size + tech_8_3*TblTech[[#This Row],[8-3]])*TblConstr[[#This Row],[Tot Bar]])</f>
        <v>769</v>
      </c>
      <c r="V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750</v>
      </c>
      <c r="W15" s="94">
        <f ca="1">MAX(-5%*TblPop[[#This Row],[Peasants]]-TblPop[[#This Row],[Draft Growth]],MIN(OFFSET(TblPop[[#This Row],[Net max]],1,0)-TblPop[[#This Row],[Peasants]]-TblPop[[#This Row],[Military]]-TblPop[[#This Row],[Draft Growth]],TblPop[[#This Row],[Modded Birth]]-TblPop[[#This Row],[Draft Growth]]))</f>
        <v>11</v>
      </c>
      <c r="X15" s="94">
        <f ca="1">ROUND(TblPop[[#This Row],[Raw Birth]]*(1+TblPop[[#This Row],[Growth]]),0)</f>
        <v>17</v>
      </c>
      <c r="Y15" s="94">
        <f ca="1">(TblPop[[#This Row],[Peasants]]-TblPop[[#This Row],[Draft Growth]])*raw_pop_growth</f>
        <v>16.68</v>
      </c>
      <c r="Z15" s="94">
        <f ca="1">ROUND(IF(TblPop[[#This Row],[Military%]]&lt;TblMili[[#This Row],[Draftrate]],ROUND(TblPop[[#This Row],[Peasants]]*Constants!$B$55,0), 0) * IF(AND(TblMagic[[#This Row],[Active DnD]]&lt;=12,TblMagic[[#This Row],[Active DnD]]&gt;6),1.6,1),0)</f>
        <v>6</v>
      </c>
      <c r="AA15" s="142"/>
      <c r="AB15" s="143">
        <f ca="1">Overview!$I$17 + IF(Magic!AF15&gt;0,Constants!$F$78) + ROUND(6*(Construction!BM16+Construction!CK15)/IF(Explore!S16&gt;0,Construction!F16-20,Construction!F16),4) + tech_6_5_2*Techs!BJ15 + tech_8_4*Techs!BT15</f>
        <v>0</v>
      </c>
      <c r="AC15" s="139">
        <f ca="1">(Overview!$I$16 + Imps!Z15+ tech_2_5*Techs!AB15 + tech_3_6*Techs!AM15 + tech_6_1*Techs!BJ15 + tech_6_5*Techs!BF15 + tech_7_3_2*Techs!BN15) * (1 + Production!O15/100*prestige_pop_multiplier) + Production!O15/100*prestige_pop_multiplier</f>
        <v>2.5000000000000001E-2</v>
      </c>
    </row>
    <row r="16" spans="1:30" x14ac:dyDescent="0.2">
      <c r="A16" s="137">
        <f>TblRezone[[#This Row],[Hour]]</f>
        <v>13</v>
      </c>
      <c r="B16" s="138">
        <f ca="1">TblImps[[#This Row],[Time]]</f>
        <v>46047.499999999971</v>
      </c>
      <c r="C16" s="94">
        <f ca="1">OFFSET(TblPop[[#This Row],[Peasants]],-1,0)+OFFSET(TblPop[[#This Row],[Net Peasant]],-1,0)+TblMili[[#This Row],[Release Draft]]</f>
        <v>573</v>
      </c>
      <c r="D16" s="94">
        <f ca="1">TblMili[[#This Row],[Military]]</f>
        <v>213</v>
      </c>
      <c r="E16" s="94">
        <f ca="1">TblMili[[#This Row],[Draftees]]</f>
        <v>213</v>
      </c>
      <c r="F16" s="94">
        <f ca="1">TblPop[[#This Row],[Peasants]]+TblPop[[#This Row],[Military]]</f>
        <v>786</v>
      </c>
      <c r="G16" s="139">
        <f ca="1">TblPop[[#This Row],[Military]]/TblPop[[#This Row],[Total]]</f>
        <v>0.27099236641221375</v>
      </c>
      <c r="H16" s="140">
        <f ca="1">MIN(TblPop[[#This Row],[Peasants]],TblPop[[#This Row],[Jobs]])</f>
        <v>573</v>
      </c>
      <c r="I16" s="139">
        <f ca="1">MIN(OFFSET(TblPop[[#This Row],[Jobs]],1,0)/TblPop[[#This Row],[Peasants]],1)</f>
        <v>1</v>
      </c>
      <c r="J16" s="140">
        <f ca="1">SUM(TblConstr[[#This Row],[Tot Alc]:[Tot GT]],TblConstr[[#This Row],[Tot Shr]:[Tot Doc]],TblConstr[[#This Row],[Dest Alc]:[Dest GT]],TblConstr[[#This Row],[Dest Shr]:[Dest Doc]])*building_employment + TblConstr[[#This Row],[Tot Fac]]*bonus_jobs_facts</f>
        <v>1000</v>
      </c>
      <c r="K16" s="141"/>
      <c r="L16" s="61">
        <f ca="1">TblPop[[#This Row],[Draftees]]</f>
        <v>213</v>
      </c>
      <c r="M16" s="61">
        <f ca="1">TblMili[[#This Row],[Unit 1]]</f>
        <v>0</v>
      </c>
      <c r="N16" s="61">
        <f ca="1">TblMili[[#This Row],[Unit 2]]</f>
        <v>0</v>
      </c>
      <c r="O16" s="61">
        <f ca="1">TblMili[[#This Row],[Unit 3]]</f>
        <v>0</v>
      </c>
      <c r="P16" s="61">
        <f ca="1">TblMili[[#This Row],[Unit 4]]</f>
        <v>0</v>
      </c>
      <c r="Q16" s="61">
        <f ca="1">TblMili[[#This Row],[Spies]]</f>
        <v>0</v>
      </c>
      <c r="R16" s="61">
        <f ca="1">TblMili[[#This Row],[Wizards]]</f>
        <v>0</v>
      </c>
      <c r="S16" s="61">
        <f ca="1">TblMili[[#This Row],[Archmages]]</f>
        <v>0</v>
      </c>
      <c r="T16" s="142"/>
      <c r="U16" s="94">
        <f ca="1">ROUND(TblPop[[#This Row],[Raw max]]*(1+OFFSET(TblPop[[#This Row],[Max pop]],-1,0)),0)+MIN(TblPop[[#This Row],[Military]]-TblPop[[#This Row],[Draftees]]-SUM(TblMili[[#This Row],[Train Unit 1]:[Train AM]]),(barracks_size + tech_8_3*TblTech[[#This Row],[8-3]])*TblConstr[[#This Row],[Tot Bar]])</f>
        <v>1076</v>
      </c>
      <c r="V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6" s="94">
        <f ca="1">MAX(-5%*TblPop[[#This Row],[Peasants]]-TblPop[[#This Row],[Draft Growth]],MIN(OFFSET(TblPop[[#This Row],[Net max]],1,0)-TblPop[[#This Row],[Peasants]]-TblPop[[#This Row],[Military]]-TblPop[[#This Row],[Draft Growth]],TblPop[[#This Row],[Modded Birth]]-TblPop[[#This Row],[Draft Growth]]))</f>
        <v>11</v>
      </c>
      <c r="X16" s="94">
        <f ca="1">ROUND(TblPop[[#This Row],[Raw Birth]]*(1+TblPop[[#This Row],[Growth]]),0)</f>
        <v>17</v>
      </c>
      <c r="Y16" s="94">
        <f ca="1">(TblPop[[#This Row],[Peasants]]-TblPop[[#This Row],[Draft Growth]])*raw_pop_growth</f>
        <v>17.009999999999998</v>
      </c>
      <c r="Z16" s="94">
        <f ca="1">ROUND(IF(TblPop[[#This Row],[Military%]]&lt;TblMili[[#This Row],[Draftrate]],ROUND(TblPop[[#This Row],[Peasants]]*Constants!$B$55,0), 0) * IF(AND(TblMagic[[#This Row],[Active DnD]]&lt;=12,TblMagic[[#This Row],[Active DnD]]&gt;6),1.6,1),0)</f>
        <v>6</v>
      </c>
      <c r="AA16" s="142"/>
      <c r="AB16" s="143">
        <f ca="1">Overview!$I$17 + IF(Magic!AF16&gt;0,Constants!$F$78) + ROUND(6*(Construction!BM17+Construction!CK16)/IF(Explore!S17&gt;0,Construction!F17-20,Construction!F17),4) + tech_6_5_2*Techs!BJ16 + tech_8_4*Techs!BT16</f>
        <v>0</v>
      </c>
      <c r="AC16" s="139">
        <f ca="1">(Overview!$I$16 + Imps!Z16+ tech_2_5*Techs!AB16 + tech_3_6*Techs!AM16 + tech_6_1*Techs!BJ16 + tech_6_5*Techs!BF16 + tech_7_3_2*Techs!BN16) * (1 + Production!O16/100*prestige_pop_multiplier) + Production!O16/100*prestige_pop_multiplier</f>
        <v>2.5000000000000001E-2</v>
      </c>
    </row>
    <row r="17" spans="1:29" hidden="1" x14ac:dyDescent="0.2">
      <c r="A17" s="137">
        <f>TblRezone[[#This Row],[Hour]]</f>
        <v>14</v>
      </c>
      <c r="B17" s="138">
        <f ca="1">TblImps[[#This Row],[Time]]</f>
        <v>46047.541666666635</v>
      </c>
      <c r="C17" s="94">
        <f ca="1">OFFSET(TblPop[[#This Row],[Peasants]],-1,0)+OFFSET(TblPop[[#This Row],[Net Peasant]],-1,0)+TblMili[[#This Row],[Release Draft]]</f>
        <v>584</v>
      </c>
      <c r="D17" s="94">
        <f ca="1">TblMili[[#This Row],[Military]]</f>
        <v>219</v>
      </c>
      <c r="E17" s="94">
        <f ca="1">TblMili[[#This Row],[Draftees]]</f>
        <v>219</v>
      </c>
      <c r="F17" s="94">
        <f ca="1">TblPop[[#This Row],[Peasants]]+TblPop[[#This Row],[Military]]</f>
        <v>803</v>
      </c>
      <c r="G17" s="139">
        <f ca="1">TblPop[[#This Row],[Military]]/TblPop[[#This Row],[Total]]</f>
        <v>0.27272727272727271</v>
      </c>
      <c r="H17" s="140">
        <f ca="1">MIN(TblPop[[#This Row],[Peasants]],TblPop[[#This Row],[Jobs]])</f>
        <v>584</v>
      </c>
      <c r="I17" s="139">
        <f ca="1">MIN(OFFSET(TblPop[[#This Row],[Jobs]],1,0)/TblPop[[#This Row],[Peasants]],1)</f>
        <v>1</v>
      </c>
      <c r="J17" s="140">
        <f ca="1">SUM(TblConstr[[#This Row],[Tot Alc]:[Tot GT]],TblConstr[[#This Row],[Tot Shr]:[Tot Doc]],TblConstr[[#This Row],[Dest Alc]:[Dest GT]],TblConstr[[#This Row],[Dest Shr]:[Dest Doc]])*building_employment + TblConstr[[#This Row],[Tot Fac]]*bonus_jobs_facts</f>
        <v>1000</v>
      </c>
      <c r="K17" s="141"/>
      <c r="L17" s="61">
        <f ca="1">TblPop[[#This Row],[Draftees]]</f>
        <v>219</v>
      </c>
      <c r="M17" s="61">
        <f ca="1">TblMili[[#This Row],[Unit 1]]</f>
        <v>0</v>
      </c>
      <c r="N17" s="61">
        <f ca="1">TblMili[[#This Row],[Unit 2]]</f>
        <v>0</v>
      </c>
      <c r="O17" s="61">
        <f ca="1">TblMili[[#This Row],[Unit 3]]</f>
        <v>0</v>
      </c>
      <c r="P17" s="61">
        <f ca="1">TblMili[[#This Row],[Unit 4]]</f>
        <v>0</v>
      </c>
      <c r="Q17" s="61">
        <f ca="1">TblMili[[#This Row],[Spies]]</f>
        <v>0</v>
      </c>
      <c r="R17" s="61">
        <f ca="1">TblMili[[#This Row],[Wizards]]</f>
        <v>0</v>
      </c>
      <c r="S17" s="61">
        <f ca="1">TblMili[[#This Row],[Archmages]]</f>
        <v>0</v>
      </c>
      <c r="T17" s="142"/>
      <c r="U17" s="94">
        <f ca="1">ROUND(TblPop[[#This Row],[Raw max]]*(1+OFFSET(TblPop[[#This Row],[Max pop]],-1,0)),0)+MIN(TblPop[[#This Row],[Military]]-TblPop[[#This Row],[Draftees]]-SUM(TblMili[[#This Row],[Train Unit 1]:[Train AM]]),(barracks_size + tech_8_3*TblTech[[#This Row],[8-3]])*TblConstr[[#This Row],[Tot Bar]])</f>
        <v>1076</v>
      </c>
      <c r="V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7" s="94">
        <f ca="1">MAX(-5%*TblPop[[#This Row],[Peasants]]-TblPop[[#This Row],[Draft Growth]],MIN(OFFSET(TblPop[[#This Row],[Net max]],1,0)-TblPop[[#This Row],[Peasants]]-TblPop[[#This Row],[Military]]-TblPop[[#This Row],[Draft Growth]],TblPop[[#This Row],[Modded Birth]]-TblPop[[#This Row],[Draft Growth]]))</f>
        <v>11</v>
      </c>
      <c r="X17" s="94">
        <f ca="1">ROUND(TblPop[[#This Row],[Raw Birth]]*(1+TblPop[[#This Row],[Growth]]),0)</f>
        <v>17</v>
      </c>
      <c r="Y17" s="94">
        <f ca="1">(TblPop[[#This Row],[Peasants]]-TblPop[[#This Row],[Draft Growth]])*raw_pop_growth</f>
        <v>17.34</v>
      </c>
      <c r="Z17" s="94">
        <f ca="1">ROUND(IF(TblPop[[#This Row],[Military%]]&lt;TblMili[[#This Row],[Draftrate]],ROUND(TblPop[[#This Row],[Peasants]]*Constants!$B$55,0), 0) * IF(AND(TblMagic[[#This Row],[Active DnD]]&lt;=12,TblMagic[[#This Row],[Active DnD]]&gt;6),1.6,1),0)</f>
        <v>6</v>
      </c>
      <c r="AA17" s="142"/>
      <c r="AB17" s="143">
        <f ca="1">Overview!$I$17 + IF(Magic!AF17&gt;0,Constants!$F$78) + ROUND(6*(Construction!BM18+Construction!CK17)/IF(Explore!S18&gt;0,Construction!F18-20,Construction!F18),4) + tech_6_5_2*Techs!BJ17 + tech_8_4*Techs!BT17</f>
        <v>0</v>
      </c>
      <c r="AC17" s="139">
        <f ca="1">(Overview!$I$16 + Imps!Z17+ tech_2_5*Techs!AB17 + tech_3_6*Techs!AM17 + tech_6_1*Techs!BJ17 + tech_6_5*Techs!BF17 + tech_7_3_2*Techs!BN17) * (1 + Production!O17/100*prestige_pop_multiplier) + Production!O17/100*prestige_pop_multiplier</f>
        <v>2.5000000000000001E-2</v>
      </c>
    </row>
    <row r="18" spans="1:29" hidden="1" x14ac:dyDescent="0.2">
      <c r="A18" s="137">
        <f>TblRezone[[#This Row],[Hour]]</f>
        <v>15</v>
      </c>
      <c r="B18" s="138">
        <f ca="1">TblImps[[#This Row],[Time]]</f>
        <v>46047.583333333299</v>
      </c>
      <c r="C18" s="94">
        <f ca="1">OFFSET(TblPop[[#This Row],[Peasants]],-1,0)+OFFSET(TblPop[[#This Row],[Net Peasant]],-1,0)+TblMili[[#This Row],[Release Draft]]</f>
        <v>595</v>
      </c>
      <c r="D18" s="94">
        <f ca="1">TblMili[[#This Row],[Military]]</f>
        <v>225</v>
      </c>
      <c r="E18" s="94">
        <f ca="1">TblMili[[#This Row],[Draftees]]</f>
        <v>225</v>
      </c>
      <c r="F18" s="94">
        <f ca="1">TblPop[[#This Row],[Peasants]]+TblPop[[#This Row],[Military]]</f>
        <v>820</v>
      </c>
      <c r="G18" s="139">
        <f ca="1">TblPop[[#This Row],[Military]]/TblPop[[#This Row],[Total]]</f>
        <v>0.27439024390243905</v>
      </c>
      <c r="H18" s="140">
        <f ca="1">MIN(TblPop[[#This Row],[Peasants]],TblPop[[#This Row],[Jobs]])</f>
        <v>595</v>
      </c>
      <c r="I18" s="139">
        <f ca="1">MIN(OFFSET(TblPop[[#This Row],[Jobs]],1,0)/TblPop[[#This Row],[Peasants]],1)</f>
        <v>1</v>
      </c>
      <c r="J18" s="140">
        <f ca="1">SUM(TblConstr[[#This Row],[Tot Alc]:[Tot GT]],TblConstr[[#This Row],[Tot Shr]:[Tot Doc]],TblConstr[[#This Row],[Dest Alc]:[Dest GT]],TblConstr[[#This Row],[Dest Shr]:[Dest Doc]])*building_employment + TblConstr[[#This Row],[Tot Fac]]*bonus_jobs_facts</f>
        <v>1000</v>
      </c>
      <c r="K18" s="141"/>
      <c r="L18" s="61">
        <f ca="1">TblPop[[#This Row],[Draftees]]</f>
        <v>225</v>
      </c>
      <c r="M18" s="61">
        <f ca="1">TblMili[[#This Row],[Unit 1]]</f>
        <v>0</v>
      </c>
      <c r="N18" s="61">
        <f ca="1">TblMili[[#This Row],[Unit 2]]</f>
        <v>0</v>
      </c>
      <c r="O18" s="61">
        <f ca="1">TblMili[[#This Row],[Unit 3]]</f>
        <v>0</v>
      </c>
      <c r="P18" s="61">
        <f ca="1">TblMili[[#This Row],[Unit 4]]</f>
        <v>0</v>
      </c>
      <c r="Q18" s="61">
        <f ca="1">TblMili[[#This Row],[Spies]]</f>
        <v>0</v>
      </c>
      <c r="R18" s="61">
        <f ca="1">TblMili[[#This Row],[Wizards]]</f>
        <v>0</v>
      </c>
      <c r="S18" s="61">
        <f ca="1">TblMili[[#This Row],[Archmages]]</f>
        <v>0</v>
      </c>
      <c r="T18" s="142"/>
      <c r="U18" s="94">
        <f ca="1">ROUND(TblPop[[#This Row],[Raw max]]*(1+OFFSET(TblPop[[#This Row],[Max pop]],-1,0)),0)+MIN(TblPop[[#This Row],[Military]]-TblPop[[#This Row],[Draftees]]-SUM(TblMili[[#This Row],[Train Unit 1]:[Train AM]]),(barracks_size + tech_8_3*TblTech[[#This Row],[8-3]])*TblConstr[[#This Row],[Tot Bar]])</f>
        <v>1076</v>
      </c>
      <c r="V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8" s="94">
        <f ca="1">MAX(-5%*TblPop[[#This Row],[Peasants]]-TblPop[[#This Row],[Draft Growth]],MIN(OFFSET(TblPop[[#This Row],[Net max]],1,0)-TblPop[[#This Row],[Peasants]]-TblPop[[#This Row],[Military]]-TblPop[[#This Row],[Draft Growth]],TblPop[[#This Row],[Modded Birth]]-TblPop[[#This Row],[Draft Growth]]))</f>
        <v>12</v>
      </c>
      <c r="X18" s="94">
        <f ca="1">ROUND(TblPop[[#This Row],[Raw Birth]]*(1+TblPop[[#This Row],[Growth]]),0)</f>
        <v>18</v>
      </c>
      <c r="Y18" s="94">
        <f ca="1">(TblPop[[#This Row],[Peasants]]-TblPop[[#This Row],[Draft Growth]])*raw_pop_growth</f>
        <v>17.669999999999998</v>
      </c>
      <c r="Z18" s="94">
        <f ca="1">ROUND(IF(TblPop[[#This Row],[Military%]]&lt;TblMili[[#This Row],[Draftrate]],ROUND(TblPop[[#This Row],[Peasants]]*Constants!$B$55,0), 0) * IF(AND(TblMagic[[#This Row],[Active DnD]]&lt;=12,TblMagic[[#This Row],[Active DnD]]&gt;6),1.6,1),0)</f>
        <v>6</v>
      </c>
      <c r="AA18" s="142"/>
      <c r="AB18" s="143">
        <f ca="1">Overview!$I$17 + IF(Magic!AF18&gt;0,Constants!$F$78) + ROUND(6*(Construction!BM19+Construction!CK18)/IF(Explore!S19&gt;0,Construction!F19-20,Construction!F19),4) + tech_6_5_2*Techs!BJ18 + tech_8_4*Techs!BT18</f>
        <v>0</v>
      </c>
      <c r="AC18" s="139">
        <f ca="1">(Overview!$I$16 + Imps!Z18+ tech_2_5*Techs!AB18 + tech_3_6*Techs!AM18 + tech_6_1*Techs!BJ18 + tech_6_5*Techs!BF18 + tech_7_3_2*Techs!BN18) * (1 + Production!O18/100*prestige_pop_multiplier) + Production!O18/100*prestige_pop_multiplier</f>
        <v>2.5000000000000001E-2</v>
      </c>
    </row>
    <row r="19" spans="1:29" hidden="1" x14ac:dyDescent="0.2">
      <c r="A19" s="137">
        <f>TblRezone[[#This Row],[Hour]]</f>
        <v>16</v>
      </c>
      <c r="B19" s="138">
        <f ca="1">TblImps[[#This Row],[Time]]</f>
        <v>46047.624999999964</v>
      </c>
      <c r="C19" s="94">
        <f ca="1">OFFSET(TblPop[[#This Row],[Peasants]],-1,0)+OFFSET(TblPop[[#This Row],[Net Peasant]],-1,0)+TblMili[[#This Row],[Release Draft]]</f>
        <v>607</v>
      </c>
      <c r="D19" s="94">
        <f ca="1">TblMili[[#This Row],[Military]]</f>
        <v>231</v>
      </c>
      <c r="E19" s="94">
        <f ca="1">TblMili[[#This Row],[Draftees]]</f>
        <v>231</v>
      </c>
      <c r="F19" s="94">
        <f ca="1">TblPop[[#This Row],[Peasants]]+TblPop[[#This Row],[Military]]</f>
        <v>838</v>
      </c>
      <c r="G19" s="139">
        <f ca="1">TblPop[[#This Row],[Military]]/TblPop[[#This Row],[Total]]</f>
        <v>0.27565632458233891</v>
      </c>
      <c r="H19" s="140">
        <f ca="1">MIN(TblPop[[#This Row],[Peasants]],TblPop[[#This Row],[Jobs]])</f>
        <v>607</v>
      </c>
      <c r="I19" s="139">
        <f ca="1">MIN(OFFSET(TblPop[[#This Row],[Jobs]],1,0)/TblPop[[#This Row],[Peasants]],1)</f>
        <v>1</v>
      </c>
      <c r="J19" s="140">
        <f ca="1">SUM(TblConstr[[#This Row],[Tot Alc]:[Tot GT]],TblConstr[[#This Row],[Tot Shr]:[Tot Doc]],TblConstr[[#This Row],[Dest Alc]:[Dest GT]],TblConstr[[#This Row],[Dest Shr]:[Dest Doc]])*building_employment + TblConstr[[#This Row],[Tot Fac]]*bonus_jobs_facts</f>
        <v>1000</v>
      </c>
      <c r="K19" s="141"/>
      <c r="L19" s="61">
        <f ca="1">TblPop[[#This Row],[Draftees]]</f>
        <v>231</v>
      </c>
      <c r="M19" s="61">
        <f ca="1">TblMili[[#This Row],[Unit 1]]</f>
        <v>0</v>
      </c>
      <c r="N19" s="61">
        <f ca="1">TblMili[[#This Row],[Unit 2]]</f>
        <v>0</v>
      </c>
      <c r="O19" s="61">
        <f ca="1">TblMili[[#This Row],[Unit 3]]</f>
        <v>0</v>
      </c>
      <c r="P19" s="61">
        <f ca="1">TblMili[[#This Row],[Unit 4]]</f>
        <v>0</v>
      </c>
      <c r="Q19" s="61">
        <f ca="1">TblMili[[#This Row],[Spies]]</f>
        <v>0</v>
      </c>
      <c r="R19" s="61">
        <f ca="1">TblMili[[#This Row],[Wizards]]</f>
        <v>0</v>
      </c>
      <c r="S19" s="61">
        <f ca="1">TblMili[[#This Row],[Archmages]]</f>
        <v>0</v>
      </c>
      <c r="T19" s="142"/>
      <c r="U19" s="94">
        <f ca="1">ROUND(TblPop[[#This Row],[Raw max]]*(1+OFFSET(TblPop[[#This Row],[Max pop]],-1,0)),0)+MIN(TblPop[[#This Row],[Military]]-TblPop[[#This Row],[Draftees]]-SUM(TblMili[[#This Row],[Train Unit 1]:[Train AM]]),(barracks_size + tech_8_3*TblTech[[#This Row],[8-3]])*TblConstr[[#This Row],[Tot Bar]])</f>
        <v>1076</v>
      </c>
      <c r="V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9" s="94">
        <f ca="1">MAX(-5%*TblPop[[#This Row],[Peasants]]-TblPop[[#This Row],[Draft Growth]],MIN(OFFSET(TblPop[[#This Row],[Net max]],1,0)-TblPop[[#This Row],[Peasants]]-TblPop[[#This Row],[Military]]-TblPop[[#This Row],[Draft Growth]],TblPop[[#This Row],[Modded Birth]]-TblPop[[#This Row],[Draft Growth]]))</f>
        <v>12</v>
      </c>
      <c r="X19" s="94">
        <f ca="1">ROUND(TblPop[[#This Row],[Raw Birth]]*(1+TblPop[[#This Row],[Growth]]),0)</f>
        <v>18</v>
      </c>
      <c r="Y19" s="94">
        <f ca="1">(TblPop[[#This Row],[Peasants]]-TblPop[[#This Row],[Draft Growth]])*raw_pop_growth</f>
        <v>18.029999999999998</v>
      </c>
      <c r="Z19" s="94">
        <f ca="1">ROUND(IF(TblPop[[#This Row],[Military%]]&lt;TblMili[[#This Row],[Draftrate]],ROUND(TblPop[[#This Row],[Peasants]]*Constants!$B$55,0), 0) * IF(AND(TblMagic[[#This Row],[Active DnD]]&lt;=12,TblMagic[[#This Row],[Active DnD]]&gt;6),1.6,1),0)</f>
        <v>6</v>
      </c>
      <c r="AA19" s="142"/>
      <c r="AB19" s="143">
        <f ca="1">Overview!$I$17 + IF(Magic!AF19&gt;0,Constants!$F$78) + ROUND(6*(Construction!BM20+Construction!CK19)/IF(Explore!S20&gt;0,Construction!F20-20,Construction!F20),4) + tech_6_5_2*Techs!BJ19 + tech_8_4*Techs!BT19</f>
        <v>0</v>
      </c>
      <c r="AC19" s="139">
        <f ca="1">(Overview!$I$16 + Imps!Z19+ tech_2_5*Techs!AB19 + tech_3_6*Techs!AM19 + tech_6_1*Techs!BJ19 + tech_6_5*Techs!BF19 + tech_7_3_2*Techs!BN19) * (1 + Production!O19/100*prestige_pop_multiplier) + Production!O19/100*prestige_pop_multiplier</f>
        <v>2.5000000000000001E-2</v>
      </c>
    </row>
    <row r="20" spans="1:29" hidden="1" x14ac:dyDescent="0.2">
      <c r="A20" s="137">
        <f>TblRezone[[#This Row],[Hour]]</f>
        <v>17</v>
      </c>
      <c r="B20" s="138">
        <f ca="1">TblImps[[#This Row],[Time]]</f>
        <v>46047.666666666628</v>
      </c>
      <c r="C20" s="94">
        <f ca="1">OFFSET(TblPop[[#This Row],[Peasants]],-1,0)+OFFSET(TblPop[[#This Row],[Net Peasant]],-1,0)+TblMili[[#This Row],[Release Draft]]</f>
        <v>619</v>
      </c>
      <c r="D20" s="94">
        <f ca="1">TblMili[[#This Row],[Military]]</f>
        <v>237</v>
      </c>
      <c r="E20" s="94">
        <f ca="1">TblMili[[#This Row],[Draftees]]</f>
        <v>237</v>
      </c>
      <c r="F20" s="94">
        <f ca="1">TblPop[[#This Row],[Peasants]]+TblPop[[#This Row],[Military]]</f>
        <v>856</v>
      </c>
      <c r="G20" s="139">
        <f ca="1">TblPop[[#This Row],[Military]]/TblPop[[#This Row],[Total]]</f>
        <v>0.27686915887850466</v>
      </c>
      <c r="H20" s="140">
        <f ca="1">MIN(TblPop[[#This Row],[Peasants]],TblPop[[#This Row],[Jobs]])</f>
        <v>619</v>
      </c>
      <c r="I20" s="139">
        <f ca="1">MIN(OFFSET(TblPop[[#This Row],[Jobs]],1,0)/TblPop[[#This Row],[Peasants]],1)</f>
        <v>1</v>
      </c>
      <c r="J20" s="140">
        <f ca="1">SUM(TblConstr[[#This Row],[Tot Alc]:[Tot GT]],TblConstr[[#This Row],[Tot Shr]:[Tot Doc]],TblConstr[[#This Row],[Dest Alc]:[Dest GT]],TblConstr[[#This Row],[Dest Shr]:[Dest Doc]])*building_employment + TblConstr[[#This Row],[Tot Fac]]*bonus_jobs_facts</f>
        <v>1000</v>
      </c>
      <c r="K20" s="141"/>
      <c r="L20" s="61">
        <f ca="1">TblPop[[#This Row],[Draftees]]</f>
        <v>237</v>
      </c>
      <c r="M20" s="61">
        <f ca="1">TblMili[[#This Row],[Unit 1]]</f>
        <v>0</v>
      </c>
      <c r="N20" s="61">
        <f ca="1">TblMili[[#This Row],[Unit 2]]</f>
        <v>0</v>
      </c>
      <c r="O20" s="61">
        <f ca="1">TblMili[[#This Row],[Unit 3]]</f>
        <v>0</v>
      </c>
      <c r="P20" s="61">
        <f ca="1">TblMili[[#This Row],[Unit 4]]</f>
        <v>0</v>
      </c>
      <c r="Q20" s="61">
        <f ca="1">TblMili[[#This Row],[Spies]]</f>
        <v>0</v>
      </c>
      <c r="R20" s="61">
        <f ca="1">TblMili[[#This Row],[Wizards]]</f>
        <v>0</v>
      </c>
      <c r="S20" s="61">
        <f ca="1">TblMili[[#This Row],[Archmages]]</f>
        <v>0</v>
      </c>
      <c r="T20" s="142"/>
      <c r="U20" s="94">
        <f ca="1">ROUND(TblPop[[#This Row],[Raw max]]*(1+OFFSET(TblPop[[#This Row],[Max pop]],-1,0)),0)+MIN(TblPop[[#This Row],[Military]]-TblPop[[#This Row],[Draftees]]-SUM(TblMili[[#This Row],[Train Unit 1]:[Train AM]]),(barracks_size + tech_8_3*TblTech[[#This Row],[8-3]])*TblConstr[[#This Row],[Tot Bar]])</f>
        <v>1076</v>
      </c>
      <c r="V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0" s="94">
        <f ca="1">MAX(-5%*TblPop[[#This Row],[Peasants]]-TblPop[[#This Row],[Draft Growth]],MIN(OFFSET(TblPop[[#This Row],[Net max]],1,0)-TblPop[[#This Row],[Peasants]]-TblPop[[#This Row],[Military]]-TblPop[[#This Row],[Draft Growth]],TblPop[[#This Row],[Modded Birth]]-TblPop[[#This Row],[Draft Growth]]))</f>
        <v>12</v>
      </c>
      <c r="X20" s="94">
        <f ca="1">ROUND(TblPop[[#This Row],[Raw Birth]]*(1+TblPop[[#This Row],[Growth]]),0)</f>
        <v>18</v>
      </c>
      <c r="Y20" s="94">
        <f ca="1">(TblPop[[#This Row],[Peasants]]-TblPop[[#This Row],[Draft Growth]])*raw_pop_growth</f>
        <v>18.39</v>
      </c>
      <c r="Z20" s="94">
        <f ca="1">ROUND(IF(TblPop[[#This Row],[Military%]]&lt;TblMili[[#This Row],[Draftrate]],ROUND(TblPop[[#This Row],[Peasants]]*Constants!$B$55,0), 0) * IF(AND(TblMagic[[#This Row],[Active DnD]]&lt;=12,TblMagic[[#This Row],[Active DnD]]&gt;6),1.6,1),0)</f>
        <v>6</v>
      </c>
      <c r="AA20" s="142"/>
      <c r="AB20" s="143">
        <f ca="1">Overview!$I$17 + IF(Magic!AF20&gt;0,Constants!$F$78) + ROUND(6*(Construction!BM21+Construction!CK20)/IF(Explore!S21&gt;0,Construction!F21-20,Construction!F21),4) + tech_6_5_2*Techs!BJ20 + tech_8_4*Techs!BT20</f>
        <v>0</v>
      </c>
      <c r="AC20" s="139">
        <f ca="1">(Overview!$I$16 + Imps!Z20+ tech_2_5*Techs!AB20 + tech_3_6*Techs!AM20 + tech_6_1*Techs!BJ20 + tech_6_5*Techs!BF20 + tech_7_3_2*Techs!BN20) * (1 + Production!O20/100*prestige_pop_multiplier) + Production!O20/100*prestige_pop_multiplier</f>
        <v>2.5000000000000001E-2</v>
      </c>
    </row>
    <row r="21" spans="1:29" hidden="1" x14ac:dyDescent="0.2">
      <c r="A21" s="137">
        <f>TblRezone[[#This Row],[Hour]]</f>
        <v>18</v>
      </c>
      <c r="B21" s="138">
        <f ca="1">TblImps[[#This Row],[Time]]</f>
        <v>46047.708333333292</v>
      </c>
      <c r="C21" s="94">
        <f ca="1">OFFSET(TblPop[[#This Row],[Peasants]],-1,0)+OFFSET(TblPop[[#This Row],[Net Peasant]],-1,0)+TblMili[[#This Row],[Release Draft]]</f>
        <v>631</v>
      </c>
      <c r="D21" s="94">
        <f ca="1">TblMili[[#This Row],[Military]]</f>
        <v>243</v>
      </c>
      <c r="E21" s="94">
        <f ca="1">TblMili[[#This Row],[Draftees]]</f>
        <v>243</v>
      </c>
      <c r="F21" s="94">
        <f ca="1">TblPop[[#This Row],[Peasants]]+TblPop[[#This Row],[Military]]</f>
        <v>874</v>
      </c>
      <c r="G21" s="139">
        <f ca="1">TblPop[[#This Row],[Military]]/TblPop[[#This Row],[Total]]</f>
        <v>0.2780320366132723</v>
      </c>
      <c r="H21" s="140">
        <f ca="1">MIN(TblPop[[#This Row],[Peasants]],TblPop[[#This Row],[Jobs]])</f>
        <v>631</v>
      </c>
      <c r="I21" s="139">
        <f ca="1">MIN(OFFSET(TblPop[[#This Row],[Jobs]],1,0)/TblPop[[#This Row],[Peasants]],1)</f>
        <v>1</v>
      </c>
      <c r="J21" s="140">
        <f ca="1">SUM(TblConstr[[#This Row],[Tot Alc]:[Tot GT]],TblConstr[[#This Row],[Tot Shr]:[Tot Doc]],TblConstr[[#This Row],[Dest Alc]:[Dest GT]],TblConstr[[#This Row],[Dest Shr]:[Dest Doc]])*building_employment + TblConstr[[#This Row],[Tot Fac]]*bonus_jobs_facts</f>
        <v>1000</v>
      </c>
      <c r="K21" s="141"/>
      <c r="L21" s="61">
        <f ca="1">TblPop[[#This Row],[Draftees]]</f>
        <v>243</v>
      </c>
      <c r="M21" s="61">
        <f ca="1">TblMili[[#This Row],[Unit 1]]</f>
        <v>0</v>
      </c>
      <c r="N21" s="61">
        <f ca="1">TblMili[[#This Row],[Unit 2]]</f>
        <v>0</v>
      </c>
      <c r="O21" s="61">
        <f ca="1">TblMili[[#This Row],[Unit 3]]</f>
        <v>0</v>
      </c>
      <c r="P21" s="61">
        <f ca="1">TblMili[[#This Row],[Unit 4]]</f>
        <v>0</v>
      </c>
      <c r="Q21" s="61">
        <f ca="1">TblMili[[#This Row],[Spies]]</f>
        <v>0</v>
      </c>
      <c r="R21" s="61">
        <f ca="1">TblMili[[#This Row],[Wizards]]</f>
        <v>0</v>
      </c>
      <c r="S21" s="61">
        <f ca="1">TblMili[[#This Row],[Archmages]]</f>
        <v>0</v>
      </c>
      <c r="T21" s="142"/>
      <c r="U21" s="94">
        <f ca="1">ROUND(TblPop[[#This Row],[Raw max]]*(1+OFFSET(TblPop[[#This Row],[Max pop]],-1,0)),0)+MIN(TblPop[[#This Row],[Military]]-TblPop[[#This Row],[Draftees]]-SUM(TblMili[[#This Row],[Train Unit 1]:[Train AM]]),(barracks_size + tech_8_3*TblTech[[#This Row],[8-3]])*TblConstr[[#This Row],[Tot Bar]])</f>
        <v>1076</v>
      </c>
      <c r="V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1" s="94">
        <f ca="1">MAX(-5%*TblPop[[#This Row],[Peasants]]-TblPop[[#This Row],[Draft Growth]],MIN(OFFSET(TblPop[[#This Row],[Net max]],1,0)-TblPop[[#This Row],[Peasants]]-TblPop[[#This Row],[Military]]-TblPop[[#This Row],[Draft Growth]],TblPop[[#This Row],[Modded Birth]]-TblPop[[#This Row],[Draft Growth]]))</f>
        <v>13</v>
      </c>
      <c r="X21" s="94">
        <f ca="1">ROUND(TblPop[[#This Row],[Raw Birth]]*(1+TblPop[[#This Row],[Growth]]),0)</f>
        <v>19</v>
      </c>
      <c r="Y21" s="94">
        <f ca="1">(TblPop[[#This Row],[Peasants]]-TblPop[[#This Row],[Draft Growth]])*raw_pop_growth</f>
        <v>18.75</v>
      </c>
      <c r="Z21" s="94">
        <f ca="1">ROUND(IF(TblPop[[#This Row],[Military%]]&lt;TblMili[[#This Row],[Draftrate]],ROUND(TblPop[[#This Row],[Peasants]]*Constants!$B$55,0), 0) * IF(AND(TblMagic[[#This Row],[Active DnD]]&lt;=12,TblMagic[[#This Row],[Active DnD]]&gt;6),1.6,1),0)</f>
        <v>6</v>
      </c>
      <c r="AA21" s="142"/>
      <c r="AB21" s="143">
        <f ca="1">Overview!$I$17 + IF(Magic!AF21&gt;0,Constants!$F$78) + ROUND(6*(Construction!BM22+Construction!CK21)/IF(Explore!S22&gt;0,Construction!F22-20,Construction!F22),4) + tech_6_5_2*Techs!BJ21 + tech_8_4*Techs!BT21</f>
        <v>0</v>
      </c>
      <c r="AC21" s="139">
        <f ca="1">(Overview!$I$16 + Imps!Z21+ tech_2_5*Techs!AB21 + tech_3_6*Techs!AM21 + tech_6_1*Techs!BJ21 + tech_6_5*Techs!BF21 + tech_7_3_2*Techs!BN21) * (1 + Production!O21/100*prestige_pop_multiplier) + Production!O21/100*prestige_pop_multiplier</f>
        <v>2.5000000000000001E-2</v>
      </c>
    </row>
    <row r="22" spans="1:29" hidden="1" x14ac:dyDescent="0.2">
      <c r="A22" s="137">
        <f>TblRezone[[#This Row],[Hour]]</f>
        <v>19</v>
      </c>
      <c r="B22" s="138">
        <f ca="1">TblImps[[#This Row],[Time]]</f>
        <v>46047.749999999956</v>
      </c>
      <c r="C22" s="94">
        <f ca="1">OFFSET(TblPop[[#This Row],[Peasants]],-1,0)+OFFSET(TblPop[[#This Row],[Net Peasant]],-1,0)+TblMili[[#This Row],[Release Draft]]</f>
        <v>644</v>
      </c>
      <c r="D22" s="94">
        <f ca="1">TblMili[[#This Row],[Military]]</f>
        <v>249</v>
      </c>
      <c r="E22" s="94">
        <f ca="1">TblMili[[#This Row],[Draftees]]</f>
        <v>249</v>
      </c>
      <c r="F22" s="94">
        <f ca="1">TblPop[[#This Row],[Peasants]]+TblPop[[#This Row],[Military]]</f>
        <v>893</v>
      </c>
      <c r="G22" s="139">
        <f ca="1">TblPop[[#This Row],[Military]]/TblPop[[#This Row],[Total]]</f>
        <v>0.27883538633818589</v>
      </c>
      <c r="H22" s="140">
        <f ca="1">MIN(TblPop[[#This Row],[Peasants]],TblPop[[#This Row],[Jobs]])</f>
        <v>644</v>
      </c>
      <c r="I22" s="139">
        <f ca="1">MIN(OFFSET(TblPop[[#This Row],[Jobs]],1,0)/TblPop[[#This Row],[Peasants]],1)</f>
        <v>1</v>
      </c>
      <c r="J22" s="140">
        <f ca="1">SUM(TblConstr[[#This Row],[Tot Alc]:[Tot GT]],TblConstr[[#This Row],[Tot Shr]:[Tot Doc]],TblConstr[[#This Row],[Dest Alc]:[Dest GT]],TblConstr[[#This Row],[Dest Shr]:[Dest Doc]])*building_employment + TblConstr[[#This Row],[Tot Fac]]*bonus_jobs_facts</f>
        <v>1000</v>
      </c>
      <c r="K22" s="141"/>
      <c r="L22" s="61">
        <f ca="1">TblPop[[#This Row],[Draftees]]</f>
        <v>249</v>
      </c>
      <c r="M22" s="61">
        <f ca="1">TblMili[[#This Row],[Unit 1]]</f>
        <v>0</v>
      </c>
      <c r="N22" s="61">
        <f ca="1">TblMili[[#This Row],[Unit 2]]</f>
        <v>0</v>
      </c>
      <c r="O22" s="61">
        <f ca="1">TblMili[[#This Row],[Unit 3]]</f>
        <v>0</v>
      </c>
      <c r="P22" s="61">
        <f ca="1">TblMili[[#This Row],[Unit 4]]</f>
        <v>0</v>
      </c>
      <c r="Q22" s="61">
        <f ca="1">TblMili[[#This Row],[Spies]]</f>
        <v>0</v>
      </c>
      <c r="R22" s="61">
        <f ca="1">TblMili[[#This Row],[Wizards]]</f>
        <v>0</v>
      </c>
      <c r="S22" s="61">
        <f ca="1">TblMili[[#This Row],[Archmages]]</f>
        <v>0</v>
      </c>
      <c r="T22" s="142"/>
      <c r="U22" s="94">
        <f ca="1">ROUND(TblPop[[#This Row],[Raw max]]*(1+OFFSET(TblPop[[#This Row],[Max pop]],-1,0)),0)+MIN(TblPop[[#This Row],[Military]]-TblPop[[#This Row],[Draftees]]-SUM(TblMili[[#This Row],[Train Unit 1]:[Train AM]]),(barracks_size + tech_8_3*TblTech[[#This Row],[8-3]])*TblConstr[[#This Row],[Tot Bar]])</f>
        <v>1076</v>
      </c>
      <c r="V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2" s="94">
        <f ca="1">MAX(-5%*TblPop[[#This Row],[Peasants]]-TblPop[[#This Row],[Draft Growth]],MIN(OFFSET(TblPop[[#This Row],[Net max]],1,0)-TblPop[[#This Row],[Peasants]]-TblPop[[#This Row],[Military]]-TblPop[[#This Row],[Draft Growth]],TblPop[[#This Row],[Modded Birth]]-TblPop[[#This Row],[Draft Growth]]))</f>
        <v>13</v>
      </c>
      <c r="X22" s="94">
        <f ca="1">ROUND(TblPop[[#This Row],[Raw Birth]]*(1+TblPop[[#This Row],[Growth]]),0)</f>
        <v>19</v>
      </c>
      <c r="Y22" s="94">
        <f ca="1">(TblPop[[#This Row],[Peasants]]-TblPop[[#This Row],[Draft Growth]])*raw_pop_growth</f>
        <v>19.14</v>
      </c>
      <c r="Z22" s="94">
        <f ca="1">ROUND(IF(TblPop[[#This Row],[Military%]]&lt;TblMili[[#This Row],[Draftrate]],ROUND(TblPop[[#This Row],[Peasants]]*Constants!$B$55,0), 0) * IF(AND(TblMagic[[#This Row],[Active DnD]]&lt;=12,TblMagic[[#This Row],[Active DnD]]&gt;6),1.6,1),0)</f>
        <v>6</v>
      </c>
      <c r="AA22" s="142"/>
      <c r="AB22" s="143">
        <f ca="1">Overview!$I$17 + IF(Magic!AF22&gt;0,Constants!$F$78) + ROUND(6*(Construction!BM23+Construction!CK22)/IF(Explore!S23&gt;0,Construction!F23-20,Construction!F23),4) + tech_6_5_2*Techs!BJ22 + tech_8_4*Techs!BT22</f>
        <v>0</v>
      </c>
      <c r="AC22" s="139">
        <f ca="1">(Overview!$I$16 + Imps!Z22+ tech_2_5*Techs!AB22 + tech_3_6*Techs!AM22 + tech_6_1*Techs!BJ22 + tech_6_5*Techs!BF22 + tech_7_3_2*Techs!BN22) * (1 + Production!O22/100*prestige_pop_multiplier) + Production!O22/100*prestige_pop_multiplier</f>
        <v>2.5000000000000001E-2</v>
      </c>
    </row>
    <row r="23" spans="1:29" hidden="1" x14ac:dyDescent="0.2">
      <c r="A23" s="137">
        <f>TblRezone[[#This Row],[Hour]]</f>
        <v>20</v>
      </c>
      <c r="B23" s="138">
        <f ca="1">TblImps[[#This Row],[Time]]</f>
        <v>46047.791666666621</v>
      </c>
      <c r="C23" s="94">
        <f ca="1">OFFSET(TblPop[[#This Row],[Peasants]],-1,0)+OFFSET(TblPop[[#This Row],[Net Peasant]],-1,0)+TblMili[[#This Row],[Release Draft]]</f>
        <v>657</v>
      </c>
      <c r="D23" s="94">
        <f ca="1">TblMili[[#This Row],[Military]]</f>
        <v>255</v>
      </c>
      <c r="E23" s="94">
        <f ca="1">TblMili[[#This Row],[Draftees]]</f>
        <v>255</v>
      </c>
      <c r="F23" s="94">
        <f ca="1">TblPop[[#This Row],[Peasants]]+TblPop[[#This Row],[Military]]</f>
        <v>912</v>
      </c>
      <c r="G23" s="139">
        <f ca="1">TblPop[[#This Row],[Military]]/TblPop[[#This Row],[Total]]</f>
        <v>0.27960526315789475</v>
      </c>
      <c r="H23" s="140">
        <f ca="1">MIN(TblPop[[#This Row],[Peasants]],TblPop[[#This Row],[Jobs]])</f>
        <v>657</v>
      </c>
      <c r="I23" s="139">
        <f ca="1">MIN(OFFSET(TblPop[[#This Row],[Jobs]],1,0)/TblPop[[#This Row],[Peasants]],1)</f>
        <v>1</v>
      </c>
      <c r="J23" s="140">
        <f ca="1">SUM(TblConstr[[#This Row],[Tot Alc]:[Tot GT]],TblConstr[[#This Row],[Tot Shr]:[Tot Doc]],TblConstr[[#This Row],[Dest Alc]:[Dest GT]],TblConstr[[#This Row],[Dest Shr]:[Dest Doc]])*building_employment + TblConstr[[#This Row],[Tot Fac]]*bonus_jobs_facts</f>
        <v>1000</v>
      </c>
      <c r="K23" s="141"/>
      <c r="L23" s="61">
        <f ca="1">TblPop[[#This Row],[Draftees]]</f>
        <v>255</v>
      </c>
      <c r="M23" s="61">
        <f ca="1">TblMili[[#This Row],[Unit 1]]</f>
        <v>0</v>
      </c>
      <c r="N23" s="61">
        <f ca="1">TblMili[[#This Row],[Unit 2]]</f>
        <v>0</v>
      </c>
      <c r="O23" s="61">
        <f ca="1">TblMili[[#This Row],[Unit 3]]</f>
        <v>0</v>
      </c>
      <c r="P23" s="61">
        <f ca="1">TblMili[[#This Row],[Unit 4]]</f>
        <v>0</v>
      </c>
      <c r="Q23" s="61">
        <f ca="1">TblMili[[#This Row],[Spies]]</f>
        <v>0</v>
      </c>
      <c r="R23" s="61">
        <f ca="1">TblMili[[#This Row],[Wizards]]</f>
        <v>0</v>
      </c>
      <c r="S23" s="61">
        <f ca="1">TblMili[[#This Row],[Archmages]]</f>
        <v>0</v>
      </c>
      <c r="T23" s="142"/>
      <c r="U23" s="94">
        <f ca="1">ROUND(TblPop[[#This Row],[Raw max]]*(1+OFFSET(TblPop[[#This Row],[Max pop]],-1,0)),0)+MIN(TblPop[[#This Row],[Military]]-TblPop[[#This Row],[Draftees]]-SUM(TblMili[[#This Row],[Train Unit 1]:[Train AM]]),(barracks_size + tech_8_3*TblTech[[#This Row],[8-3]])*TblConstr[[#This Row],[Tot Bar]])</f>
        <v>1076</v>
      </c>
      <c r="V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3" s="94">
        <f ca="1">MAX(-5%*TblPop[[#This Row],[Peasants]]-TblPop[[#This Row],[Draft Growth]],MIN(OFFSET(TblPop[[#This Row],[Net max]],1,0)-TblPop[[#This Row],[Peasants]]-TblPop[[#This Row],[Military]]-TblPop[[#This Row],[Draft Growth]],TblPop[[#This Row],[Modded Birth]]-TblPop[[#This Row],[Draft Growth]]))</f>
        <v>13</v>
      </c>
      <c r="X23" s="94">
        <f ca="1">ROUND(TblPop[[#This Row],[Raw Birth]]*(1+TblPop[[#This Row],[Growth]]),0)</f>
        <v>20</v>
      </c>
      <c r="Y23" s="94">
        <f ca="1">(TblPop[[#This Row],[Peasants]]-TblPop[[#This Row],[Draft Growth]])*raw_pop_growth</f>
        <v>19.5</v>
      </c>
      <c r="Z23" s="94">
        <f ca="1">ROUND(IF(TblPop[[#This Row],[Military%]]&lt;TblMili[[#This Row],[Draftrate]],ROUND(TblPop[[#This Row],[Peasants]]*Constants!$B$55,0), 0) * IF(AND(TblMagic[[#This Row],[Active DnD]]&lt;=12,TblMagic[[#This Row],[Active DnD]]&gt;6),1.6,1),0)</f>
        <v>7</v>
      </c>
      <c r="AA23" s="142"/>
      <c r="AB23" s="143">
        <f ca="1">Overview!$I$17 + IF(Magic!AF23&gt;0,Constants!$F$78) + ROUND(6*(Construction!BM24+Construction!CK23)/IF(Explore!S24&gt;0,Construction!F24-20,Construction!F24),4) + tech_6_5_2*Techs!BJ23 + tech_8_4*Techs!BT23</f>
        <v>0</v>
      </c>
      <c r="AC23" s="139">
        <f ca="1">(Overview!$I$16 + Imps!Z23+ tech_2_5*Techs!AB23 + tech_3_6*Techs!AM23 + tech_6_1*Techs!BJ23 + tech_6_5*Techs!BF23 + tech_7_3_2*Techs!BN23) * (1 + Production!O23/100*prestige_pop_multiplier) + Production!O23/100*prestige_pop_multiplier</f>
        <v>2.5000000000000001E-2</v>
      </c>
    </row>
    <row r="24" spans="1:29" hidden="1" x14ac:dyDescent="0.2">
      <c r="A24" s="137">
        <f>TblRezone[[#This Row],[Hour]]</f>
        <v>21</v>
      </c>
      <c r="B24" s="138">
        <f ca="1">TblImps[[#This Row],[Time]]</f>
        <v>46047.833333333285</v>
      </c>
      <c r="C24" s="94">
        <f ca="1">OFFSET(TblPop[[#This Row],[Peasants]],-1,0)+OFFSET(TblPop[[#This Row],[Net Peasant]],-1,0)+TblMili[[#This Row],[Release Draft]]</f>
        <v>670</v>
      </c>
      <c r="D24" s="94">
        <f ca="1">TblMili[[#This Row],[Military]]</f>
        <v>262</v>
      </c>
      <c r="E24" s="94">
        <f ca="1">TblMili[[#This Row],[Draftees]]</f>
        <v>262</v>
      </c>
      <c r="F24" s="94">
        <f ca="1">TblPop[[#This Row],[Peasants]]+TblPop[[#This Row],[Military]]</f>
        <v>932</v>
      </c>
      <c r="G24" s="139">
        <f ca="1">TblPop[[#This Row],[Military]]/TblPop[[#This Row],[Total]]</f>
        <v>0.2811158798283262</v>
      </c>
      <c r="H24" s="140">
        <f ca="1">MIN(TblPop[[#This Row],[Peasants]],TblPop[[#This Row],[Jobs]])</f>
        <v>670</v>
      </c>
      <c r="I24" s="139">
        <f ca="1">MIN(OFFSET(TblPop[[#This Row],[Jobs]],1,0)/TblPop[[#This Row],[Peasants]],1)</f>
        <v>1</v>
      </c>
      <c r="J24" s="140">
        <f ca="1">SUM(TblConstr[[#This Row],[Tot Alc]:[Tot GT]],TblConstr[[#This Row],[Tot Shr]:[Tot Doc]],TblConstr[[#This Row],[Dest Alc]:[Dest GT]],TblConstr[[#This Row],[Dest Shr]:[Dest Doc]])*building_employment + TblConstr[[#This Row],[Tot Fac]]*bonus_jobs_facts</f>
        <v>1000</v>
      </c>
      <c r="K24" s="141"/>
      <c r="L24" s="61">
        <f ca="1">TblPop[[#This Row],[Draftees]]</f>
        <v>262</v>
      </c>
      <c r="M24" s="61">
        <f ca="1">TblMili[[#This Row],[Unit 1]]</f>
        <v>0</v>
      </c>
      <c r="N24" s="61">
        <f ca="1">TblMili[[#This Row],[Unit 2]]</f>
        <v>0</v>
      </c>
      <c r="O24" s="61">
        <f ca="1">TblMili[[#This Row],[Unit 3]]</f>
        <v>0</v>
      </c>
      <c r="P24" s="61">
        <f ca="1">TblMili[[#This Row],[Unit 4]]</f>
        <v>0</v>
      </c>
      <c r="Q24" s="61">
        <f ca="1">TblMili[[#This Row],[Spies]]</f>
        <v>0</v>
      </c>
      <c r="R24" s="61">
        <f ca="1">TblMili[[#This Row],[Wizards]]</f>
        <v>0</v>
      </c>
      <c r="S24" s="61">
        <f ca="1">TblMili[[#This Row],[Archmages]]</f>
        <v>0</v>
      </c>
      <c r="T24" s="142"/>
      <c r="U24" s="94">
        <f ca="1">ROUND(TblPop[[#This Row],[Raw max]]*(1+OFFSET(TblPop[[#This Row],[Max pop]],-1,0)),0)+MIN(TblPop[[#This Row],[Military]]-TblPop[[#This Row],[Draftees]]-SUM(TblMili[[#This Row],[Train Unit 1]:[Train AM]]),(barracks_size + tech_8_3*TblTech[[#This Row],[8-3]])*TblConstr[[#This Row],[Tot Bar]])</f>
        <v>1076</v>
      </c>
      <c r="V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4" s="94">
        <f ca="1">MAX(-5%*TblPop[[#This Row],[Peasants]]-TblPop[[#This Row],[Draft Growth]],MIN(OFFSET(TblPop[[#This Row],[Net max]],1,0)-TblPop[[#This Row],[Peasants]]-TblPop[[#This Row],[Military]]-TblPop[[#This Row],[Draft Growth]],TblPop[[#This Row],[Modded Birth]]-TblPop[[#This Row],[Draft Growth]]))</f>
        <v>13</v>
      </c>
      <c r="X24" s="94">
        <f ca="1">ROUND(TblPop[[#This Row],[Raw Birth]]*(1+TblPop[[#This Row],[Growth]]),0)</f>
        <v>20</v>
      </c>
      <c r="Y24" s="94">
        <f ca="1">(TblPop[[#This Row],[Peasants]]-TblPop[[#This Row],[Draft Growth]])*raw_pop_growth</f>
        <v>19.89</v>
      </c>
      <c r="Z24" s="94">
        <f ca="1">ROUND(IF(TblPop[[#This Row],[Military%]]&lt;TblMili[[#This Row],[Draftrate]],ROUND(TblPop[[#This Row],[Peasants]]*Constants!$B$55,0), 0) * IF(AND(TblMagic[[#This Row],[Active DnD]]&lt;=12,TblMagic[[#This Row],[Active DnD]]&gt;6),1.6,1),0)</f>
        <v>7</v>
      </c>
      <c r="AA24" s="142"/>
      <c r="AB24" s="143">
        <f ca="1">Overview!$I$17 + IF(Magic!AF24&gt;0,Constants!$F$78) + ROUND(6*(Construction!BM25+Construction!CK24)/IF(Explore!S25&gt;0,Construction!F25-20,Construction!F25),4) + tech_6_5_2*Techs!BJ24 + tech_8_4*Techs!BT24</f>
        <v>0</v>
      </c>
      <c r="AC24" s="139">
        <f ca="1">(Overview!$I$16 + Imps!Z24+ tech_2_5*Techs!AB24 + tech_3_6*Techs!AM24 + tech_6_1*Techs!BJ24 + tech_6_5*Techs!BF24 + tech_7_3_2*Techs!BN24) * (1 + Production!O24/100*prestige_pop_multiplier) + Production!O24/100*prestige_pop_multiplier</f>
        <v>2.5000000000000001E-2</v>
      </c>
    </row>
    <row r="25" spans="1:29" hidden="1" x14ac:dyDescent="0.2">
      <c r="A25" s="137">
        <f>TblRezone[[#This Row],[Hour]]</f>
        <v>22</v>
      </c>
      <c r="B25" s="138">
        <f ca="1">TblImps[[#This Row],[Time]]</f>
        <v>46047.874999999949</v>
      </c>
      <c r="C25" s="94">
        <f ca="1">OFFSET(TblPop[[#This Row],[Peasants]],-1,0)+OFFSET(TblPop[[#This Row],[Net Peasant]],-1,0)+TblMili[[#This Row],[Release Draft]]</f>
        <v>683</v>
      </c>
      <c r="D25" s="94">
        <f ca="1">TblMili[[#This Row],[Military]]</f>
        <v>269</v>
      </c>
      <c r="E25" s="94">
        <f ca="1">TblMili[[#This Row],[Draftees]]</f>
        <v>269</v>
      </c>
      <c r="F25" s="94">
        <f ca="1">TblPop[[#This Row],[Peasants]]+TblPop[[#This Row],[Military]]</f>
        <v>952</v>
      </c>
      <c r="G25" s="139">
        <f ca="1">TblPop[[#This Row],[Military]]/TblPop[[#This Row],[Total]]</f>
        <v>0.28256302521008403</v>
      </c>
      <c r="H25" s="140">
        <f ca="1">MIN(TblPop[[#This Row],[Peasants]],TblPop[[#This Row],[Jobs]])</f>
        <v>683</v>
      </c>
      <c r="I25" s="139">
        <f ca="1">MIN(OFFSET(TblPop[[#This Row],[Jobs]],1,0)/TblPop[[#This Row],[Peasants]],1)</f>
        <v>1</v>
      </c>
      <c r="J25" s="140">
        <f ca="1">SUM(TblConstr[[#This Row],[Tot Alc]:[Tot GT]],TblConstr[[#This Row],[Tot Shr]:[Tot Doc]],TblConstr[[#This Row],[Dest Alc]:[Dest GT]],TblConstr[[#This Row],[Dest Shr]:[Dest Doc]])*building_employment + TblConstr[[#This Row],[Tot Fac]]*bonus_jobs_facts</f>
        <v>1000</v>
      </c>
      <c r="K25" s="141"/>
      <c r="L25" s="61">
        <f ca="1">TblPop[[#This Row],[Draftees]]</f>
        <v>269</v>
      </c>
      <c r="M25" s="61">
        <f ca="1">TblMili[[#This Row],[Unit 1]]</f>
        <v>0</v>
      </c>
      <c r="N25" s="61">
        <f ca="1">TblMili[[#This Row],[Unit 2]]</f>
        <v>0</v>
      </c>
      <c r="O25" s="61">
        <f ca="1">TblMili[[#This Row],[Unit 3]]</f>
        <v>0</v>
      </c>
      <c r="P25" s="61">
        <f ca="1">TblMili[[#This Row],[Unit 4]]</f>
        <v>0</v>
      </c>
      <c r="Q25" s="61">
        <f ca="1">TblMili[[#This Row],[Spies]]</f>
        <v>0</v>
      </c>
      <c r="R25" s="61">
        <f ca="1">TblMili[[#This Row],[Wizards]]</f>
        <v>0</v>
      </c>
      <c r="S25" s="61">
        <f ca="1">TblMili[[#This Row],[Archmages]]</f>
        <v>0</v>
      </c>
      <c r="T25" s="142"/>
      <c r="U25" s="94">
        <f ca="1">ROUND(TblPop[[#This Row],[Raw max]]*(1+OFFSET(TblPop[[#This Row],[Max pop]],-1,0)),0)+MIN(TblPop[[#This Row],[Military]]-TblPop[[#This Row],[Draftees]]-SUM(TblMili[[#This Row],[Train Unit 1]:[Train AM]]),(barracks_size + tech_8_3*TblTech[[#This Row],[8-3]])*TblConstr[[#This Row],[Tot Bar]])</f>
        <v>1076</v>
      </c>
      <c r="V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5" s="94">
        <f ca="1">MAX(-5%*TblPop[[#This Row],[Peasants]]-TblPop[[#This Row],[Draft Growth]],MIN(OFFSET(TblPop[[#This Row],[Net max]],1,0)-TblPop[[#This Row],[Peasants]]-TblPop[[#This Row],[Military]]-TblPop[[#This Row],[Draft Growth]],TblPop[[#This Row],[Modded Birth]]-TblPop[[#This Row],[Draft Growth]]))</f>
        <v>13</v>
      </c>
      <c r="X25" s="94">
        <f ca="1">ROUND(TblPop[[#This Row],[Raw Birth]]*(1+TblPop[[#This Row],[Growth]]),0)</f>
        <v>20</v>
      </c>
      <c r="Y25" s="94">
        <f ca="1">(TblPop[[#This Row],[Peasants]]-TblPop[[#This Row],[Draft Growth]])*raw_pop_growth</f>
        <v>20.279999999999998</v>
      </c>
      <c r="Z25" s="94">
        <f ca="1">ROUND(IF(TblPop[[#This Row],[Military%]]&lt;TblMili[[#This Row],[Draftrate]],ROUND(TblPop[[#This Row],[Peasants]]*Constants!$B$55,0), 0) * IF(AND(TblMagic[[#This Row],[Active DnD]]&lt;=12,TblMagic[[#This Row],[Active DnD]]&gt;6),1.6,1),0)</f>
        <v>7</v>
      </c>
      <c r="AA25" s="142"/>
      <c r="AB25" s="143">
        <f ca="1">Overview!$I$17 + IF(Magic!AF25&gt;0,Constants!$F$78) + ROUND(6*(Construction!BM26+Construction!CK25)/IF(Explore!S26&gt;0,Construction!F26-20,Construction!F26),4) + tech_6_5_2*Techs!BJ25 + tech_8_4*Techs!BT25</f>
        <v>0</v>
      </c>
      <c r="AC25" s="139">
        <f ca="1">(Overview!$I$16 + Imps!Z25+ tech_2_5*Techs!AB25 + tech_3_6*Techs!AM25 + tech_6_1*Techs!BJ25 + tech_6_5*Techs!BF25 + tech_7_3_2*Techs!BN25) * (1 + Production!O25/100*prestige_pop_multiplier) + Production!O25/100*prestige_pop_multiplier</f>
        <v>2.5000000000000001E-2</v>
      </c>
    </row>
    <row r="26" spans="1:29" hidden="1" x14ac:dyDescent="0.2">
      <c r="A26" s="137">
        <f>TblRezone[[#This Row],[Hour]]</f>
        <v>23</v>
      </c>
      <c r="B26" s="138">
        <f ca="1">TblImps[[#This Row],[Time]]</f>
        <v>46047.916666666613</v>
      </c>
      <c r="C26" s="94">
        <f ca="1">OFFSET(TblPop[[#This Row],[Peasants]],-1,0)+OFFSET(TblPop[[#This Row],[Net Peasant]],-1,0)+TblMili[[#This Row],[Release Draft]]</f>
        <v>696</v>
      </c>
      <c r="D26" s="94">
        <f ca="1">TblMili[[#This Row],[Military]]</f>
        <v>276</v>
      </c>
      <c r="E26" s="94">
        <f ca="1">TblMili[[#This Row],[Draftees]]</f>
        <v>276</v>
      </c>
      <c r="F26" s="94">
        <f ca="1">TblPop[[#This Row],[Peasants]]+TblPop[[#This Row],[Military]]</f>
        <v>972</v>
      </c>
      <c r="G26" s="139">
        <f ca="1">TblPop[[#This Row],[Military]]/TblPop[[#This Row],[Total]]</f>
        <v>0.2839506172839506</v>
      </c>
      <c r="H26" s="140">
        <f ca="1">MIN(TblPop[[#This Row],[Peasants]],TblPop[[#This Row],[Jobs]])</f>
        <v>696</v>
      </c>
      <c r="I26" s="139">
        <f ca="1">MIN(OFFSET(TblPop[[#This Row],[Jobs]],1,0)/TblPop[[#This Row],[Peasants]],1)</f>
        <v>1</v>
      </c>
      <c r="J26" s="140">
        <f ca="1">SUM(TblConstr[[#This Row],[Tot Alc]:[Tot GT]],TblConstr[[#This Row],[Tot Shr]:[Tot Doc]],TblConstr[[#This Row],[Dest Alc]:[Dest GT]],TblConstr[[#This Row],[Dest Shr]:[Dest Doc]])*building_employment + TblConstr[[#This Row],[Tot Fac]]*bonus_jobs_facts</f>
        <v>1000</v>
      </c>
      <c r="K26" s="141"/>
      <c r="L26" s="61">
        <f ca="1">TblPop[[#This Row],[Draftees]]</f>
        <v>276</v>
      </c>
      <c r="M26" s="61">
        <f ca="1">TblMili[[#This Row],[Unit 1]]</f>
        <v>0</v>
      </c>
      <c r="N26" s="61">
        <f ca="1">TblMili[[#This Row],[Unit 2]]</f>
        <v>0</v>
      </c>
      <c r="O26" s="61">
        <f ca="1">TblMili[[#This Row],[Unit 3]]</f>
        <v>0</v>
      </c>
      <c r="P26" s="61">
        <f ca="1">TblMili[[#This Row],[Unit 4]]</f>
        <v>0</v>
      </c>
      <c r="Q26" s="61">
        <f ca="1">TblMili[[#This Row],[Spies]]</f>
        <v>0</v>
      </c>
      <c r="R26" s="61">
        <f ca="1">TblMili[[#This Row],[Wizards]]</f>
        <v>0</v>
      </c>
      <c r="S26" s="61">
        <f ca="1">TblMili[[#This Row],[Archmages]]</f>
        <v>0</v>
      </c>
      <c r="T26" s="142"/>
      <c r="U26" s="94">
        <f ca="1">ROUND(TblPop[[#This Row],[Raw max]]*(1+OFFSET(TblPop[[#This Row],[Max pop]],-1,0)),0)+MIN(TblPop[[#This Row],[Military]]-TblPop[[#This Row],[Draftees]]-SUM(TblMili[[#This Row],[Train Unit 1]:[Train AM]]),(barracks_size + tech_8_3*TblTech[[#This Row],[8-3]])*TblConstr[[#This Row],[Tot Bar]])</f>
        <v>1076</v>
      </c>
      <c r="V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6" s="94">
        <f ca="1">MAX(-5%*TblPop[[#This Row],[Peasants]]-TblPop[[#This Row],[Draft Growth]],MIN(OFFSET(TblPop[[#This Row],[Net max]],1,0)-TblPop[[#This Row],[Peasants]]-TblPop[[#This Row],[Military]]-TblPop[[#This Row],[Draft Growth]],TblPop[[#This Row],[Modded Birth]]-TblPop[[#This Row],[Draft Growth]]))</f>
        <v>14</v>
      </c>
      <c r="X26" s="94">
        <f ca="1">ROUND(TblPop[[#This Row],[Raw Birth]]*(1+TblPop[[#This Row],[Growth]]),0)</f>
        <v>21</v>
      </c>
      <c r="Y26" s="94">
        <f ca="1">(TblPop[[#This Row],[Peasants]]-TblPop[[#This Row],[Draft Growth]])*raw_pop_growth</f>
        <v>20.669999999999998</v>
      </c>
      <c r="Z26" s="94">
        <f ca="1">ROUND(IF(TblPop[[#This Row],[Military%]]&lt;TblMili[[#This Row],[Draftrate]],ROUND(TblPop[[#This Row],[Peasants]]*Constants!$B$55,0), 0) * IF(AND(TblMagic[[#This Row],[Active DnD]]&lt;=12,TblMagic[[#This Row],[Active DnD]]&gt;6),1.6,1),0)</f>
        <v>7</v>
      </c>
      <c r="AA26" s="142"/>
      <c r="AB26" s="143">
        <f ca="1">Overview!$I$17 + IF(Magic!AF26&gt;0,Constants!$F$78) + ROUND(6*(Construction!BM27+Construction!CK26)/IF(Explore!S27&gt;0,Construction!F27-20,Construction!F27),4) + tech_6_5_2*Techs!BJ26 + tech_8_4*Techs!BT26</f>
        <v>0</v>
      </c>
      <c r="AC26" s="139">
        <f ca="1">(Overview!$I$16 + Imps!Z26+ tech_2_5*Techs!AB26 + tech_3_6*Techs!AM26 + tech_6_1*Techs!BJ26 + tech_6_5*Techs!BF26 + tech_7_3_2*Techs!BN26) * (1 + Production!O26/100*prestige_pop_multiplier) + Production!O26/100*prestige_pop_multiplier</f>
        <v>2.5000000000000001E-2</v>
      </c>
    </row>
    <row r="27" spans="1:29" hidden="1" x14ac:dyDescent="0.2">
      <c r="A27" s="137">
        <f>TblRezone[[#This Row],[Hour]]</f>
        <v>24</v>
      </c>
      <c r="B27" s="138">
        <f ca="1">TblImps[[#This Row],[Time]]</f>
        <v>46047.958333333278</v>
      </c>
      <c r="C27" s="94">
        <f ca="1">OFFSET(TblPop[[#This Row],[Peasants]],-1,0)+OFFSET(TblPop[[#This Row],[Net Peasant]],-1,0)+TblMili[[#This Row],[Release Draft]]</f>
        <v>710</v>
      </c>
      <c r="D27" s="94">
        <f ca="1">TblMili[[#This Row],[Military]]</f>
        <v>283</v>
      </c>
      <c r="E27" s="94">
        <f ca="1">TblMili[[#This Row],[Draftees]]</f>
        <v>283</v>
      </c>
      <c r="F27" s="94">
        <f ca="1">TblPop[[#This Row],[Peasants]]+TblPop[[#This Row],[Military]]</f>
        <v>993</v>
      </c>
      <c r="G27" s="139">
        <f ca="1">TblPop[[#This Row],[Military]]/TblPop[[#This Row],[Total]]</f>
        <v>0.28499496475327291</v>
      </c>
      <c r="H27" s="140">
        <f ca="1">MIN(TblPop[[#This Row],[Peasants]],TblPop[[#This Row],[Jobs]])</f>
        <v>710</v>
      </c>
      <c r="I27" s="139">
        <f ca="1">MIN(OFFSET(TblPop[[#This Row],[Jobs]],1,0)/TblPop[[#This Row],[Peasants]],1)</f>
        <v>1</v>
      </c>
      <c r="J27" s="140">
        <f ca="1">SUM(TblConstr[[#This Row],[Tot Alc]:[Tot GT]],TblConstr[[#This Row],[Tot Shr]:[Tot Doc]],TblConstr[[#This Row],[Dest Alc]:[Dest GT]],TblConstr[[#This Row],[Dest Shr]:[Dest Doc]])*building_employment + TblConstr[[#This Row],[Tot Fac]]*bonus_jobs_facts</f>
        <v>1000</v>
      </c>
      <c r="K27" s="141"/>
      <c r="L27" s="61">
        <f ca="1">TblPop[[#This Row],[Draftees]]</f>
        <v>283</v>
      </c>
      <c r="M27" s="61">
        <f ca="1">TblMili[[#This Row],[Unit 1]]</f>
        <v>0</v>
      </c>
      <c r="N27" s="61">
        <f ca="1">TblMili[[#This Row],[Unit 2]]</f>
        <v>0</v>
      </c>
      <c r="O27" s="61">
        <f ca="1">TblMili[[#This Row],[Unit 3]]</f>
        <v>0</v>
      </c>
      <c r="P27" s="61">
        <f ca="1">TblMili[[#This Row],[Unit 4]]</f>
        <v>0</v>
      </c>
      <c r="Q27" s="61">
        <f ca="1">TblMili[[#This Row],[Spies]]</f>
        <v>0</v>
      </c>
      <c r="R27" s="61">
        <f ca="1">TblMili[[#This Row],[Wizards]]</f>
        <v>0</v>
      </c>
      <c r="S27" s="61">
        <f ca="1">TblMili[[#This Row],[Archmages]]</f>
        <v>0</v>
      </c>
      <c r="T27" s="142"/>
      <c r="U27" s="94">
        <f ca="1">ROUND(TblPop[[#This Row],[Raw max]]*(1+OFFSET(TblPop[[#This Row],[Max pop]],-1,0)),0)+MIN(TblPop[[#This Row],[Military]]-TblPop[[#This Row],[Draftees]]-SUM(TblMili[[#This Row],[Train Unit 1]:[Train AM]]),(barracks_size + tech_8_3*TblTech[[#This Row],[8-3]])*TblConstr[[#This Row],[Tot Bar]])</f>
        <v>1076</v>
      </c>
      <c r="V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7" s="94">
        <f ca="1">MAX(-5%*TblPop[[#This Row],[Peasants]]-TblPop[[#This Row],[Draft Growth]],MIN(OFFSET(TblPop[[#This Row],[Net max]],1,0)-TblPop[[#This Row],[Peasants]]-TblPop[[#This Row],[Military]]-TblPop[[#This Row],[Draft Growth]],TblPop[[#This Row],[Modded Birth]]-TblPop[[#This Row],[Draft Growth]]))</f>
        <v>14</v>
      </c>
      <c r="X27" s="94">
        <f ca="1">ROUND(TblPop[[#This Row],[Raw Birth]]*(1+TblPop[[#This Row],[Growth]]),0)</f>
        <v>21</v>
      </c>
      <c r="Y27" s="94">
        <f ca="1">(TblPop[[#This Row],[Peasants]]-TblPop[[#This Row],[Draft Growth]])*raw_pop_growth</f>
        <v>21.09</v>
      </c>
      <c r="Z27" s="94">
        <f ca="1">ROUND(IF(TblPop[[#This Row],[Military%]]&lt;TblMili[[#This Row],[Draftrate]],ROUND(TblPop[[#This Row],[Peasants]]*Constants!$B$55,0), 0) * IF(AND(TblMagic[[#This Row],[Active DnD]]&lt;=12,TblMagic[[#This Row],[Active DnD]]&gt;6),1.6,1),0)</f>
        <v>7</v>
      </c>
      <c r="AA27" s="142"/>
      <c r="AB27" s="143">
        <f ca="1">Overview!$I$17 + IF(Magic!AF27&gt;0,Constants!$F$78) + ROUND(6*(Construction!BM28+Construction!CK27)/IF(Explore!S28&gt;0,Construction!F28-20,Construction!F28),4) + tech_6_5_2*Techs!BJ27 + tech_8_4*Techs!BT27</f>
        <v>0</v>
      </c>
      <c r="AC27" s="139">
        <f ca="1">(Overview!$I$16 + Imps!Z27+ tech_2_5*Techs!AB27 + tech_3_6*Techs!AM27 + tech_6_1*Techs!BJ27 + tech_6_5*Techs!BF27 + tech_7_3_2*Techs!BN27) * (1 + Production!O27/100*prestige_pop_multiplier) + Production!O27/100*prestige_pop_multiplier</f>
        <v>2.5000000000000001E-2</v>
      </c>
    </row>
    <row r="28" spans="1:29" x14ac:dyDescent="0.2">
      <c r="A28" s="137">
        <f>TblRezone[[#This Row],[Hour]]</f>
        <v>25</v>
      </c>
      <c r="B28" s="138">
        <f ca="1">TblImps[[#This Row],[Time]]</f>
        <v>46047.999999999942</v>
      </c>
      <c r="C28" s="94">
        <f ca="1">OFFSET(TblPop[[#This Row],[Peasants]],-1,0)+OFFSET(TblPop[[#This Row],[Net Peasant]],-1,0)+TblMili[[#This Row],[Release Draft]]</f>
        <v>724</v>
      </c>
      <c r="D28" s="94">
        <f ca="1">TblMili[[#This Row],[Military]]</f>
        <v>290</v>
      </c>
      <c r="E28" s="94">
        <f ca="1">TblMili[[#This Row],[Draftees]]</f>
        <v>290</v>
      </c>
      <c r="F28" s="94">
        <f ca="1">TblPop[[#This Row],[Peasants]]+TblPop[[#This Row],[Military]]</f>
        <v>1014</v>
      </c>
      <c r="G28" s="139">
        <f ca="1">TblPop[[#This Row],[Military]]/TblPop[[#This Row],[Total]]</f>
        <v>0.28599605522682447</v>
      </c>
      <c r="H28" s="140">
        <f ca="1">MIN(TblPop[[#This Row],[Peasants]],TblPop[[#This Row],[Jobs]])</f>
        <v>724</v>
      </c>
      <c r="I28" s="139">
        <f ca="1">MIN(OFFSET(TblPop[[#This Row],[Jobs]],1,0)/TblPop[[#This Row],[Peasants]],1)</f>
        <v>1</v>
      </c>
      <c r="J28" s="140">
        <f ca="1">SUM(TblConstr[[#This Row],[Tot Alc]:[Tot GT]],TblConstr[[#This Row],[Tot Shr]:[Tot Doc]],TblConstr[[#This Row],[Dest Alc]:[Dest GT]],TblConstr[[#This Row],[Dest Shr]:[Dest Doc]])*building_employment + TblConstr[[#This Row],[Tot Fac]]*bonus_jobs_facts</f>
        <v>1000</v>
      </c>
      <c r="K28" s="141"/>
      <c r="L28" s="61">
        <f ca="1">TblPop[[#This Row],[Draftees]]</f>
        <v>290</v>
      </c>
      <c r="M28" s="61">
        <f ca="1">TblMili[[#This Row],[Unit 1]]</f>
        <v>0</v>
      </c>
      <c r="N28" s="61">
        <f ca="1">TblMili[[#This Row],[Unit 2]]</f>
        <v>0</v>
      </c>
      <c r="O28" s="61">
        <f ca="1">TblMili[[#This Row],[Unit 3]]</f>
        <v>0</v>
      </c>
      <c r="P28" s="61">
        <f ca="1">TblMili[[#This Row],[Unit 4]]</f>
        <v>0</v>
      </c>
      <c r="Q28" s="61">
        <f ca="1">TblMili[[#This Row],[Spies]]</f>
        <v>0</v>
      </c>
      <c r="R28" s="61">
        <f ca="1">TblMili[[#This Row],[Wizards]]</f>
        <v>0</v>
      </c>
      <c r="S28" s="61">
        <f ca="1">TblMili[[#This Row],[Archmages]]</f>
        <v>0</v>
      </c>
      <c r="T28" s="142"/>
      <c r="U28" s="94">
        <f ca="1">ROUND(TblPop[[#This Row],[Raw max]]*(1+OFFSET(TblPop[[#This Row],[Max pop]],-1,0)),0)+MIN(TblPop[[#This Row],[Military]]-TblPop[[#This Row],[Draftees]]-SUM(TblMili[[#This Row],[Train Unit 1]:[Train AM]]),(barracks_size + tech_8_3*TblTech[[#This Row],[8-3]])*TblConstr[[#This Row],[Tot Bar]])</f>
        <v>1076</v>
      </c>
      <c r="V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8" s="94">
        <f ca="1">MAX(-5%*TblPop[[#This Row],[Peasants]]-TblPop[[#This Row],[Draft Growth]],MIN(OFFSET(TblPop[[#This Row],[Net max]],1,0)-TblPop[[#This Row],[Peasants]]-TblPop[[#This Row],[Military]]-TblPop[[#This Row],[Draft Growth]],TblPop[[#This Row],[Modded Birth]]-TblPop[[#This Row],[Draft Growth]]))</f>
        <v>15</v>
      </c>
      <c r="X28" s="94">
        <f ca="1">ROUND(TblPop[[#This Row],[Raw Birth]]*(1+TblPop[[#This Row],[Growth]]),0)</f>
        <v>22</v>
      </c>
      <c r="Y28" s="94">
        <f ca="1">(TblPop[[#This Row],[Peasants]]-TblPop[[#This Row],[Draft Growth]])*raw_pop_growth</f>
        <v>21.509999999999998</v>
      </c>
      <c r="Z28" s="94">
        <f ca="1">ROUND(IF(TblPop[[#This Row],[Military%]]&lt;TblMili[[#This Row],[Draftrate]],ROUND(TblPop[[#This Row],[Peasants]]*Constants!$B$55,0), 0) * IF(AND(TblMagic[[#This Row],[Active DnD]]&lt;=12,TblMagic[[#This Row],[Active DnD]]&gt;6),1.6,1),0)</f>
        <v>7</v>
      </c>
      <c r="AA28" s="142"/>
      <c r="AB28" s="143">
        <f ca="1">Overview!$I$17 + IF(Magic!AF28&gt;0,Constants!$F$78) + ROUND(6*(Construction!BM29+Construction!CK28)/IF(Explore!S29&gt;0,Construction!F29-20,Construction!F29),4) + tech_6_5_2*Techs!BJ28 + tech_8_4*Techs!BT28</f>
        <v>0</v>
      </c>
      <c r="AC28" s="139">
        <f ca="1">(Overview!$I$16 + Imps!Z28+ tech_2_5*Techs!AB28 + tech_3_6*Techs!AM28 + tech_6_1*Techs!BJ28 + tech_6_5*Techs!BF28 + tech_7_3_2*Techs!BN28) * (1 + Production!O28/100*prestige_pop_multiplier) + Production!O28/100*prestige_pop_multiplier</f>
        <v>2.5000000000000001E-2</v>
      </c>
    </row>
    <row r="29" spans="1:29" x14ac:dyDescent="0.2">
      <c r="A29" s="137">
        <f>TblRezone[[#This Row],[Hour]]</f>
        <v>26</v>
      </c>
      <c r="B29" s="138">
        <f ca="1">TblImps[[#This Row],[Time]]</f>
        <v>46048.041666666606</v>
      </c>
      <c r="C29" s="94">
        <f ca="1">OFFSET(TblPop[[#This Row],[Peasants]],-1,0)+OFFSET(TblPop[[#This Row],[Net Peasant]],-1,0)+TblMili[[#This Row],[Release Draft]]</f>
        <v>739</v>
      </c>
      <c r="D29" s="94">
        <f ca="1">TblMili[[#This Row],[Military]]</f>
        <v>297</v>
      </c>
      <c r="E29" s="94">
        <f ca="1">TblMili[[#This Row],[Draftees]]</f>
        <v>297</v>
      </c>
      <c r="F29" s="94">
        <f ca="1">TblPop[[#This Row],[Peasants]]+TblPop[[#This Row],[Military]]</f>
        <v>1036</v>
      </c>
      <c r="G29" s="139">
        <f ca="1">TblPop[[#This Row],[Military]]/TblPop[[#This Row],[Total]]</f>
        <v>0.28667953667953666</v>
      </c>
      <c r="H29" s="140">
        <f ca="1">MIN(TblPop[[#This Row],[Peasants]],TblPop[[#This Row],[Jobs]])</f>
        <v>739</v>
      </c>
      <c r="I29" s="139">
        <f ca="1">MIN(OFFSET(TblPop[[#This Row],[Jobs]],1,0)/TblPop[[#This Row],[Peasants]],1)</f>
        <v>1</v>
      </c>
      <c r="J29" s="140">
        <f ca="1">SUM(TblConstr[[#This Row],[Tot Alc]:[Tot GT]],TblConstr[[#This Row],[Tot Shr]:[Tot Doc]],TblConstr[[#This Row],[Dest Alc]:[Dest GT]],TblConstr[[#This Row],[Dest Shr]:[Dest Doc]])*building_employment + TblConstr[[#This Row],[Tot Fac]]*bonus_jobs_facts</f>
        <v>1000</v>
      </c>
      <c r="K29" s="141"/>
      <c r="L29" s="61">
        <f ca="1">TblPop[[#This Row],[Draftees]]</f>
        <v>297</v>
      </c>
      <c r="M29" s="61">
        <f ca="1">TblMili[[#This Row],[Unit 1]]</f>
        <v>0</v>
      </c>
      <c r="N29" s="61">
        <f ca="1">TblMili[[#This Row],[Unit 2]]</f>
        <v>0</v>
      </c>
      <c r="O29" s="61">
        <f ca="1">TblMili[[#This Row],[Unit 3]]</f>
        <v>0</v>
      </c>
      <c r="P29" s="61">
        <f ca="1">TblMili[[#This Row],[Unit 4]]</f>
        <v>0</v>
      </c>
      <c r="Q29" s="61">
        <f ca="1">TblMili[[#This Row],[Spies]]</f>
        <v>0</v>
      </c>
      <c r="R29" s="61">
        <f ca="1">TblMili[[#This Row],[Wizards]]</f>
        <v>0</v>
      </c>
      <c r="S29" s="61">
        <f ca="1">TblMili[[#This Row],[Archmages]]</f>
        <v>0</v>
      </c>
      <c r="T29" s="142"/>
      <c r="U29" s="94">
        <f ca="1">ROUND(TblPop[[#This Row],[Raw max]]*(1+OFFSET(TblPop[[#This Row],[Max pop]],-1,0)),0)+MIN(TblPop[[#This Row],[Military]]-TblPop[[#This Row],[Draftees]]-SUM(TblMili[[#This Row],[Train Unit 1]:[Train AM]]),(barracks_size + tech_8_3*TblTech[[#This Row],[8-3]])*TblConstr[[#This Row],[Tot Bar]])</f>
        <v>1076</v>
      </c>
      <c r="V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29" s="94">
        <f ca="1">MAX(-5%*TblPop[[#This Row],[Peasants]]-TblPop[[#This Row],[Draft Growth]],MIN(OFFSET(TblPop[[#This Row],[Net max]],1,0)-TblPop[[#This Row],[Peasants]]-TblPop[[#This Row],[Military]]-TblPop[[#This Row],[Draft Growth]],TblPop[[#This Row],[Modded Birth]]-TblPop[[#This Row],[Draft Growth]]))</f>
        <v>15</v>
      </c>
      <c r="X29" s="94">
        <f ca="1">ROUND(TblPop[[#This Row],[Raw Birth]]*(1+TblPop[[#This Row],[Growth]]),0)</f>
        <v>22</v>
      </c>
      <c r="Y29" s="94">
        <f ca="1">(TblPop[[#This Row],[Peasants]]-TblPop[[#This Row],[Draft Growth]])*raw_pop_growth</f>
        <v>21.96</v>
      </c>
      <c r="Z29" s="94">
        <f ca="1">ROUND(IF(TblPop[[#This Row],[Military%]]&lt;TblMili[[#This Row],[Draftrate]],ROUND(TblPop[[#This Row],[Peasants]]*Constants!$B$55,0), 0) * IF(AND(TblMagic[[#This Row],[Active DnD]]&lt;=12,TblMagic[[#This Row],[Active DnD]]&gt;6),1.6,1),0)</f>
        <v>7</v>
      </c>
      <c r="AA29" s="142"/>
      <c r="AB29" s="143">
        <f ca="1">Overview!$I$17 + IF(Magic!AF29&gt;0,Constants!$F$78) + ROUND(6*(Construction!BM30+Construction!CK29)/IF(Explore!S30&gt;0,Construction!F30-20,Construction!F30),4) + tech_6_5_2*Techs!BJ29 + tech_8_4*Techs!BT29</f>
        <v>0</v>
      </c>
      <c r="AC29" s="139">
        <f ca="1">(Overview!$I$16 + Imps!Z29+ tech_2_5*Techs!AB29 + tech_3_6*Techs!AM29 + tech_6_1*Techs!BJ29 + tech_6_5*Techs!BF29 + tech_7_3_2*Techs!BN29) * (1 + Production!O29/100*prestige_pop_multiplier) + Production!O29/100*prestige_pop_multiplier</f>
        <v>2.5000000000000001E-2</v>
      </c>
    </row>
    <row r="30" spans="1:29" x14ac:dyDescent="0.2">
      <c r="A30" s="137">
        <f>TblRezone[[#This Row],[Hour]]</f>
        <v>27</v>
      </c>
      <c r="B30" s="138">
        <f ca="1">TblImps[[#This Row],[Time]]</f>
        <v>46048.08333333327</v>
      </c>
      <c r="C30" s="94">
        <f ca="1">OFFSET(TblPop[[#This Row],[Peasants]],-1,0)+OFFSET(TblPop[[#This Row],[Net Peasant]],-1,0)+TblMili[[#This Row],[Release Draft]]</f>
        <v>754</v>
      </c>
      <c r="D30" s="94">
        <f ca="1">TblMili[[#This Row],[Military]]</f>
        <v>304</v>
      </c>
      <c r="E30" s="94">
        <f ca="1">TblMili[[#This Row],[Draftees]]</f>
        <v>304</v>
      </c>
      <c r="F30" s="94">
        <f ca="1">TblPop[[#This Row],[Peasants]]+TblPop[[#This Row],[Military]]</f>
        <v>1058</v>
      </c>
      <c r="G30" s="139">
        <f ca="1">TblPop[[#This Row],[Military]]/TblPop[[#This Row],[Total]]</f>
        <v>0.28733459357277885</v>
      </c>
      <c r="H30" s="140">
        <f ca="1">MIN(TblPop[[#This Row],[Peasants]],TblPop[[#This Row],[Jobs]])</f>
        <v>754</v>
      </c>
      <c r="I30" s="139">
        <f ca="1">MIN(OFFSET(TblPop[[#This Row],[Jobs]],1,0)/TblPop[[#This Row],[Peasants]],1)</f>
        <v>1</v>
      </c>
      <c r="J30" s="140">
        <f ca="1">SUM(TblConstr[[#This Row],[Tot Alc]:[Tot GT]],TblConstr[[#This Row],[Tot Shr]:[Tot Doc]],TblConstr[[#This Row],[Dest Alc]:[Dest GT]],TblConstr[[#This Row],[Dest Shr]:[Dest Doc]])*building_employment + TblConstr[[#This Row],[Tot Fac]]*bonus_jobs_facts</f>
        <v>1000</v>
      </c>
      <c r="K30" s="141"/>
      <c r="L30" s="61">
        <f ca="1">TblPop[[#This Row],[Draftees]]</f>
        <v>304</v>
      </c>
      <c r="M30" s="61">
        <f ca="1">TblMili[[#This Row],[Unit 1]]</f>
        <v>0</v>
      </c>
      <c r="N30" s="61">
        <f ca="1">TblMili[[#This Row],[Unit 2]]</f>
        <v>0</v>
      </c>
      <c r="O30" s="61">
        <f ca="1">TblMili[[#This Row],[Unit 3]]</f>
        <v>0</v>
      </c>
      <c r="P30" s="61">
        <f ca="1">TblMili[[#This Row],[Unit 4]]</f>
        <v>0</v>
      </c>
      <c r="Q30" s="61">
        <f ca="1">TblMili[[#This Row],[Spies]]</f>
        <v>0</v>
      </c>
      <c r="R30" s="61">
        <f ca="1">TblMili[[#This Row],[Wizards]]</f>
        <v>0</v>
      </c>
      <c r="S30" s="61">
        <f ca="1">TblMili[[#This Row],[Archmages]]</f>
        <v>0</v>
      </c>
      <c r="T30" s="142"/>
      <c r="U30" s="94">
        <f ca="1">ROUND(TblPop[[#This Row],[Raw max]]*(1+OFFSET(TblPop[[#This Row],[Max pop]],-1,0)),0)+MIN(TblPop[[#This Row],[Military]]-TblPop[[#This Row],[Draftees]]-SUM(TblMili[[#This Row],[Train Unit 1]:[Train AM]]),(barracks_size + tech_8_3*TblTech[[#This Row],[8-3]])*TblConstr[[#This Row],[Tot Bar]])</f>
        <v>1076</v>
      </c>
      <c r="V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0" s="94">
        <f ca="1">MAX(-5%*TblPop[[#This Row],[Peasants]]-TblPop[[#This Row],[Draft Growth]],MIN(OFFSET(TblPop[[#This Row],[Net max]],1,0)-TblPop[[#This Row],[Peasants]]-TblPop[[#This Row],[Military]]-TblPop[[#This Row],[Draft Growth]],TblPop[[#This Row],[Modded Birth]]-TblPop[[#This Row],[Draft Growth]]))</f>
        <v>10</v>
      </c>
      <c r="X30" s="94">
        <f ca="1">ROUND(TblPop[[#This Row],[Raw Birth]]*(1+TblPop[[#This Row],[Growth]]),0)</f>
        <v>22</v>
      </c>
      <c r="Y30" s="94">
        <f ca="1">(TblPop[[#This Row],[Peasants]]-TblPop[[#This Row],[Draft Growth]])*raw_pop_growth</f>
        <v>22.38</v>
      </c>
      <c r="Z30" s="94">
        <f ca="1">ROUND(IF(TblPop[[#This Row],[Military%]]&lt;TblMili[[#This Row],[Draftrate]],ROUND(TblPop[[#This Row],[Peasants]]*Constants!$B$55,0), 0) * IF(AND(TblMagic[[#This Row],[Active DnD]]&lt;=12,TblMagic[[#This Row],[Active DnD]]&gt;6),1.6,1),0)</f>
        <v>8</v>
      </c>
      <c r="AA30" s="142"/>
      <c r="AB30" s="143">
        <f ca="1">Overview!$I$17 + IF(Magic!AF30&gt;0,Constants!$F$78) + ROUND(6*(Construction!BM31+Construction!CK30)/IF(Explore!S31&gt;0,Construction!F31-20,Construction!F31),4) + tech_6_5_2*Techs!BJ30 + tech_8_4*Techs!BT30</f>
        <v>0</v>
      </c>
      <c r="AC30" s="139">
        <f ca="1">(Overview!$I$16 + Imps!Z30+ tech_2_5*Techs!AB30 + tech_3_6*Techs!AM30 + tech_6_1*Techs!BJ30 + tech_6_5*Techs!BF30 + tech_7_3_2*Techs!BN30) * (1 + Production!O30/100*prestige_pop_multiplier) + Production!O30/100*prestige_pop_multiplier</f>
        <v>2.5000000000000001E-2</v>
      </c>
    </row>
    <row r="31" spans="1:29" x14ac:dyDescent="0.2">
      <c r="A31" s="137">
        <f>TblRezone[[#This Row],[Hour]]</f>
        <v>28</v>
      </c>
      <c r="B31" s="138">
        <f ca="1">TblImps[[#This Row],[Time]]</f>
        <v>46048.124999999935</v>
      </c>
      <c r="C31" s="94">
        <f ca="1">OFFSET(TblPop[[#This Row],[Peasants]],-1,0)+OFFSET(TblPop[[#This Row],[Net Peasant]],-1,0)+TblMili[[#This Row],[Release Draft]]</f>
        <v>764</v>
      </c>
      <c r="D31" s="94">
        <f ca="1">TblMili[[#This Row],[Military]]</f>
        <v>312</v>
      </c>
      <c r="E31" s="94">
        <f ca="1">TblMili[[#This Row],[Draftees]]</f>
        <v>312</v>
      </c>
      <c r="F31" s="94">
        <f ca="1">TblPop[[#This Row],[Peasants]]+TblPop[[#This Row],[Military]]</f>
        <v>1076</v>
      </c>
      <c r="G31" s="139">
        <f ca="1">TblPop[[#This Row],[Military]]/TblPop[[#This Row],[Total]]</f>
        <v>0.2899628252788104</v>
      </c>
      <c r="H31" s="140">
        <f ca="1">MIN(TblPop[[#This Row],[Peasants]],TblPop[[#This Row],[Jobs]])</f>
        <v>764</v>
      </c>
      <c r="I31" s="139">
        <f ca="1">MIN(OFFSET(TblPop[[#This Row],[Jobs]],1,0)/TblPop[[#This Row],[Peasants]],1)</f>
        <v>1</v>
      </c>
      <c r="J31" s="140">
        <f ca="1">SUM(TblConstr[[#This Row],[Tot Alc]:[Tot GT]],TblConstr[[#This Row],[Tot Shr]:[Tot Doc]],TblConstr[[#This Row],[Dest Alc]:[Dest GT]],TblConstr[[#This Row],[Dest Shr]:[Dest Doc]])*building_employment + TblConstr[[#This Row],[Tot Fac]]*bonus_jobs_facts</f>
        <v>1000</v>
      </c>
      <c r="K31" s="141"/>
      <c r="L31" s="61">
        <f ca="1">TblPop[[#This Row],[Draftees]]</f>
        <v>312</v>
      </c>
      <c r="M31" s="61">
        <f ca="1">TblMili[[#This Row],[Unit 1]]</f>
        <v>0</v>
      </c>
      <c r="N31" s="61">
        <f ca="1">TblMili[[#This Row],[Unit 2]]</f>
        <v>0</v>
      </c>
      <c r="O31" s="61">
        <f ca="1">TblMili[[#This Row],[Unit 3]]</f>
        <v>0</v>
      </c>
      <c r="P31" s="61">
        <f ca="1">TblMili[[#This Row],[Unit 4]]</f>
        <v>0</v>
      </c>
      <c r="Q31" s="61">
        <f ca="1">TblMili[[#This Row],[Spies]]</f>
        <v>0</v>
      </c>
      <c r="R31" s="61">
        <f ca="1">TblMili[[#This Row],[Wizards]]</f>
        <v>0</v>
      </c>
      <c r="S31" s="61">
        <f ca="1">TblMili[[#This Row],[Archmages]]</f>
        <v>0</v>
      </c>
      <c r="T31" s="142"/>
      <c r="U31" s="94">
        <f ca="1">ROUND(TblPop[[#This Row],[Raw max]]*(1+OFFSET(TblPop[[#This Row],[Max pop]],-1,0)),0)+MIN(TblPop[[#This Row],[Military]]-TblPop[[#This Row],[Draftees]]-SUM(TblMili[[#This Row],[Train Unit 1]:[Train AM]]),(barracks_size + tech_8_3*TblTech[[#This Row],[8-3]])*TblConstr[[#This Row],[Tot Bar]])</f>
        <v>1076</v>
      </c>
      <c r="V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1" s="94">
        <f ca="1">MAX(-5%*TblPop[[#This Row],[Peasants]]-TblPop[[#This Row],[Draft Growth]],MIN(OFFSET(TblPop[[#This Row],[Net max]],1,0)-TblPop[[#This Row],[Peasants]]-TblPop[[#This Row],[Military]]-TblPop[[#This Row],[Draft Growth]],TblPop[[#This Row],[Modded Birth]]-TblPop[[#This Row],[Draft Growth]]))</f>
        <v>-8</v>
      </c>
      <c r="X31" s="94">
        <f ca="1">ROUND(TblPop[[#This Row],[Raw Birth]]*(1+TblPop[[#This Row],[Growth]]),0)</f>
        <v>23</v>
      </c>
      <c r="Y31" s="94">
        <f ca="1">(TblPop[[#This Row],[Peasants]]-TblPop[[#This Row],[Draft Growth]])*raw_pop_growth</f>
        <v>22.68</v>
      </c>
      <c r="Z31" s="94">
        <f ca="1">ROUND(IF(TblPop[[#This Row],[Military%]]&lt;TblMili[[#This Row],[Draftrate]],ROUND(TblPop[[#This Row],[Peasants]]*Constants!$B$55,0), 0) * IF(AND(TblMagic[[#This Row],[Active DnD]]&lt;=12,TblMagic[[#This Row],[Active DnD]]&gt;6),1.6,1),0)</f>
        <v>8</v>
      </c>
      <c r="AA31" s="142"/>
      <c r="AB31" s="143">
        <f ca="1">Overview!$I$17 + IF(Magic!AF31&gt;0,Constants!$F$78) + ROUND(6*(Construction!BM32+Construction!CK31)/IF(Explore!S32&gt;0,Construction!F32-20,Construction!F32),4) + tech_6_5_2*Techs!BJ31 + tech_8_4*Techs!BT31</f>
        <v>0</v>
      </c>
      <c r="AC31" s="139">
        <f ca="1">(Overview!$I$16 + Imps!Z31+ tech_2_5*Techs!AB31 + tech_3_6*Techs!AM31 + tech_6_1*Techs!BJ31 + tech_6_5*Techs!BF31 + tech_7_3_2*Techs!BN31) * (1 + Production!O31/100*prestige_pop_multiplier) + Production!O31/100*prestige_pop_multiplier</f>
        <v>2.5000000000000001E-2</v>
      </c>
    </row>
    <row r="32" spans="1:29" x14ac:dyDescent="0.2">
      <c r="A32" s="137">
        <f>TblRezone[[#This Row],[Hour]]</f>
        <v>29</v>
      </c>
      <c r="B32" s="138">
        <f ca="1">TblImps[[#This Row],[Time]]</f>
        <v>46048.166666666599</v>
      </c>
      <c r="C32" s="94">
        <f ca="1">OFFSET(TblPop[[#This Row],[Peasants]],-1,0)+OFFSET(TblPop[[#This Row],[Net Peasant]],-1,0)+TblMili[[#This Row],[Release Draft]]</f>
        <v>756</v>
      </c>
      <c r="D32" s="94">
        <f ca="1">TblMili[[#This Row],[Military]]</f>
        <v>320</v>
      </c>
      <c r="E32" s="94">
        <f ca="1">TblMili[[#This Row],[Draftees]]</f>
        <v>320</v>
      </c>
      <c r="F32" s="94">
        <f ca="1">TblPop[[#This Row],[Peasants]]+TblPop[[#This Row],[Military]]</f>
        <v>1076</v>
      </c>
      <c r="G32" s="139">
        <f ca="1">TblPop[[#This Row],[Military]]/TblPop[[#This Row],[Total]]</f>
        <v>0.29739776951672864</v>
      </c>
      <c r="H32" s="140">
        <f ca="1">MIN(TblPop[[#This Row],[Peasants]],TblPop[[#This Row],[Jobs]])</f>
        <v>756</v>
      </c>
      <c r="I32" s="139">
        <f ca="1">MIN(OFFSET(TblPop[[#This Row],[Jobs]],1,0)/TblPop[[#This Row],[Peasants]],1)</f>
        <v>1</v>
      </c>
      <c r="J32" s="140">
        <f ca="1">SUM(TblConstr[[#This Row],[Tot Alc]:[Tot GT]],TblConstr[[#This Row],[Tot Shr]:[Tot Doc]],TblConstr[[#This Row],[Dest Alc]:[Dest GT]],TblConstr[[#This Row],[Dest Shr]:[Dest Doc]])*building_employment + TblConstr[[#This Row],[Tot Fac]]*bonus_jobs_facts</f>
        <v>1000</v>
      </c>
      <c r="K32" s="141"/>
      <c r="L32" s="61">
        <f ca="1">TblPop[[#This Row],[Draftees]]</f>
        <v>320</v>
      </c>
      <c r="M32" s="61">
        <f ca="1">TblMili[[#This Row],[Unit 1]]</f>
        <v>0</v>
      </c>
      <c r="N32" s="61">
        <f ca="1">TblMili[[#This Row],[Unit 2]]</f>
        <v>0</v>
      </c>
      <c r="O32" s="61">
        <f ca="1">TblMili[[#This Row],[Unit 3]]</f>
        <v>0</v>
      </c>
      <c r="P32" s="61">
        <f ca="1">TblMili[[#This Row],[Unit 4]]</f>
        <v>0</v>
      </c>
      <c r="Q32" s="61">
        <f ca="1">TblMili[[#This Row],[Spies]]</f>
        <v>0</v>
      </c>
      <c r="R32" s="61">
        <f ca="1">TblMili[[#This Row],[Wizards]]</f>
        <v>0</v>
      </c>
      <c r="S32" s="61">
        <f ca="1">TblMili[[#This Row],[Archmages]]</f>
        <v>0</v>
      </c>
      <c r="T32" s="142"/>
      <c r="U32" s="94">
        <f ca="1">ROUND(TblPop[[#This Row],[Raw max]]*(1+OFFSET(TblPop[[#This Row],[Max pop]],-1,0)),0)+MIN(TblPop[[#This Row],[Military]]-TblPop[[#This Row],[Draftees]]-SUM(TblMili[[#This Row],[Train Unit 1]:[Train AM]]),(barracks_size + tech_8_3*TblTech[[#This Row],[8-3]])*TblConstr[[#This Row],[Tot Bar]])</f>
        <v>1076</v>
      </c>
      <c r="V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2" s="94">
        <f ca="1">MAX(-5%*TblPop[[#This Row],[Peasants]]-TblPop[[#This Row],[Draft Growth]],MIN(OFFSET(TblPop[[#This Row],[Net max]],1,0)-TblPop[[#This Row],[Peasants]]-TblPop[[#This Row],[Military]]-TblPop[[#This Row],[Draft Growth]],TblPop[[#This Row],[Modded Birth]]-TblPop[[#This Row],[Draft Growth]]))</f>
        <v>-8</v>
      </c>
      <c r="X32" s="94">
        <f ca="1">ROUND(TblPop[[#This Row],[Raw Birth]]*(1+TblPop[[#This Row],[Growth]]),0)</f>
        <v>22</v>
      </c>
      <c r="Y32" s="94">
        <f ca="1">(TblPop[[#This Row],[Peasants]]-TblPop[[#This Row],[Draft Growth]])*raw_pop_growth</f>
        <v>22.439999999999998</v>
      </c>
      <c r="Z32" s="94">
        <f ca="1">ROUND(IF(TblPop[[#This Row],[Military%]]&lt;TblMili[[#This Row],[Draftrate]],ROUND(TblPop[[#This Row],[Peasants]]*Constants!$B$55,0), 0) * IF(AND(TblMagic[[#This Row],[Active DnD]]&lt;=12,TblMagic[[#This Row],[Active DnD]]&gt;6),1.6,1),0)</f>
        <v>8</v>
      </c>
      <c r="AA32" s="142"/>
      <c r="AB32" s="143">
        <f ca="1">Overview!$I$17 + IF(Magic!AF32&gt;0,Constants!$F$78) + ROUND(6*(Construction!BM33+Construction!CK32)/IF(Explore!S33&gt;0,Construction!F33-20,Construction!F33),4) + tech_6_5_2*Techs!BJ32 + tech_8_4*Techs!BT32</f>
        <v>0</v>
      </c>
      <c r="AC32" s="139">
        <f ca="1">(Overview!$I$16 + Imps!Z32+ tech_2_5*Techs!AB32 + tech_3_6*Techs!AM32 + tech_6_1*Techs!BJ32 + tech_6_5*Techs!BF32 + tech_7_3_2*Techs!BN32) * (1 + Production!O32/100*prestige_pop_multiplier) + Production!O32/100*prestige_pop_multiplier</f>
        <v>2.5000000000000001E-2</v>
      </c>
    </row>
    <row r="33" spans="1:29" x14ac:dyDescent="0.2">
      <c r="A33" s="137">
        <f>TblRezone[[#This Row],[Hour]]</f>
        <v>30</v>
      </c>
      <c r="B33" s="138">
        <f ca="1">TblImps[[#This Row],[Time]]</f>
        <v>46048.208333333263</v>
      </c>
      <c r="C33" s="94">
        <f ca="1">OFFSET(TblPop[[#This Row],[Peasants]],-1,0)+OFFSET(TblPop[[#This Row],[Net Peasant]],-1,0)+TblMili[[#This Row],[Release Draft]]</f>
        <v>748</v>
      </c>
      <c r="D33" s="94">
        <f ca="1">TblMili[[#This Row],[Military]]</f>
        <v>328</v>
      </c>
      <c r="E33" s="94">
        <f ca="1">TblMili[[#This Row],[Draftees]]</f>
        <v>328</v>
      </c>
      <c r="F33" s="94">
        <f ca="1">TblPop[[#This Row],[Peasants]]+TblPop[[#This Row],[Military]]</f>
        <v>1076</v>
      </c>
      <c r="G33" s="139">
        <f ca="1">TblPop[[#This Row],[Military]]/TblPop[[#This Row],[Total]]</f>
        <v>0.30483271375464682</v>
      </c>
      <c r="H33" s="140">
        <f ca="1">MIN(TblPop[[#This Row],[Peasants]],TblPop[[#This Row],[Jobs]])</f>
        <v>748</v>
      </c>
      <c r="I33" s="139">
        <f ca="1">MIN(OFFSET(TblPop[[#This Row],[Jobs]],1,0)/TblPop[[#This Row],[Peasants]],1)</f>
        <v>1</v>
      </c>
      <c r="J33" s="140">
        <f ca="1">SUM(TblConstr[[#This Row],[Tot Alc]:[Tot GT]],TblConstr[[#This Row],[Tot Shr]:[Tot Doc]],TblConstr[[#This Row],[Dest Alc]:[Dest GT]],TblConstr[[#This Row],[Dest Shr]:[Dest Doc]])*building_employment + TblConstr[[#This Row],[Tot Fac]]*bonus_jobs_facts</f>
        <v>1000</v>
      </c>
      <c r="K33" s="141"/>
      <c r="L33" s="61">
        <f ca="1">TblPop[[#This Row],[Draftees]]</f>
        <v>328</v>
      </c>
      <c r="M33" s="61">
        <f ca="1">TblMili[[#This Row],[Unit 1]]</f>
        <v>0</v>
      </c>
      <c r="N33" s="61">
        <f ca="1">TblMili[[#This Row],[Unit 2]]</f>
        <v>0</v>
      </c>
      <c r="O33" s="61">
        <f ca="1">TblMili[[#This Row],[Unit 3]]</f>
        <v>0</v>
      </c>
      <c r="P33" s="61">
        <f ca="1">TblMili[[#This Row],[Unit 4]]</f>
        <v>0</v>
      </c>
      <c r="Q33" s="61">
        <f ca="1">TblMili[[#This Row],[Spies]]</f>
        <v>0</v>
      </c>
      <c r="R33" s="61">
        <f ca="1">TblMili[[#This Row],[Wizards]]</f>
        <v>0</v>
      </c>
      <c r="S33" s="61">
        <f ca="1">TblMili[[#This Row],[Archmages]]</f>
        <v>0</v>
      </c>
      <c r="T33" s="142"/>
      <c r="U33" s="94">
        <f ca="1">ROUND(TblPop[[#This Row],[Raw max]]*(1+OFFSET(TblPop[[#This Row],[Max pop]],-1,0)),0)+MIN(TblPop[[#This Row],[Military]]-TblPop[[#This Row],[Draftees]]-SUM(TblMili[[#This Row],[Train Unit 1]:[Train AM]]),(barracks_size + tech_8_3*TblTech[[#This Row],[8-3]])*TblConstr[[#This Row],[Tot Bar]])</f>
        <v>1076</v>
      </c>
      <c r="V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3" s="94">
        <f ca="1">MAX(-5%*TblPop[[#This Row],[Peasants]]-TblPop[[#This Row],[Draft Growth]],MIN(OFFSET(TblPop[[#This Row],[Net max]],1,0)-TblPop[[#This Row],[Peasants]]-TblPop[[#This Row],[Military]]-TblPop[[#This Row],[Draft Growth]],TblPop[[#This Row],[Modded Birth]]-TblPop[[#This Row],[Draft Growth]]))</f>
        <v>-7</v>
      </c>
      <c r="X33" s="94">
        <f ca="1">ROUND(TblPop[[#This Row],[Raw Birth]]*(1+TblPop[[#This Row],[Growth]]),0)</f>
        <v>22</v>
      </c>
      <c r="Y33" s="94">
        <f ca="1">(TblPop[[#This Row],[Peasants]]-TblPop[[#This Row],[Draft Growth]])*raw_pop_growth</f>
        <v>22.23</v>
      </c>
      <c r="Z33" s="94">
        <f ca="1">ROUND(IF(TblPop[[#This Row],[Military%]]&lt;TblMili[[#This Row],[Draftrate]],ROUND(TblPop[[#This Row],[Peasants]]*Constants!$B$55,0), 0) * IF(AND(TblMagic[[#This Row],[Active DnD]]&lt;=12,TblMagic[[#This Row],[Active DnD]]&gt;6),1.6,1),0)</f>
        <v>7</v>
      </c>
      <c r="AA33" s="142"/>
      <c r="AB33" s="143">
        <f ca="1">Overview!$I$17 + IF(Magic!AF33&gt;0,Constants!$F$78) + ROUND(6*(Construction!BM34+Construction!CK33)/IF(Explore!S34&gt;0,Construction!F34-20,Construction!F34),4) + tech_6_5_2*Techs!BJ33 + tech_8_4*Techs!BT33</f>
        <v>0</v>
      </c>
      <c r="AC33" s="139">
        <f ca="1">(Overview!$I$16 + Imps!Z33+ tech_2_5*Techs!AB33 + tech_3_6*Techs!AM33 + tech_6_1*Techs!BJ33 + tech_6_5*Techs!BF33 + tech_7_3_2*Techs!BN33) * (1 + Production!O33/100*prestige_pop_multiplier) + Production!O33/100*prestige_pop_multiplier</f>
        <v>2.5000000000000001E-2</v>
      </c>
    </row>
    <row r="34" spans="1:29" x14ac:dyDescent="0.2">
      <c r="A34" s="137">
        <f>TblRezone[[#This Row],[Hour]]</f>
        <v>31</v>
      </c>
      <c r="B34" s="138">
        <f ca="1">TblImps[[#This Row],[Time]]</f>
        <v>46048.249999999927</v>
      </c>
      <c r="C34" s="94">
        <f ca="1">OFFSET(TblPop[[#This Row],[Peasants]],-1,0)+OFFSET(TblPop[[#This Row],[Net Peasant]],-1,0)+TblMili[[#This Row],[Release Draft]]</f>
        <v>741</v>
      </c>
      <c r="D34" s="94">
        <f ca="1">TblMili[[#This Row],[Military]]</f>
        <v>335</v>
      </c>
      <c r="E34" s="94">
        <f ca="1">TblMili[[#This Row],[Draftees]]</f>
        <v>335</v>
      </c>
      <c r="F34" s="94">
        <f ca="1">TblPop[[#This Row],[Peasants]]+TblPop[[#This Row],[Military]]</f>
        <v>1076</v>
      </c>
      <c r="G34" s="139">
        <f ca="1">TblPop[[#This Row],[Military]]/TblPop[[#This Row],[Total]]</f>
        <v>0.31133828996282525</v>
      </c>
      <c r="H34" s="140">
        <f ca="1">MIN(TblPop[[#This Row],[Peasants]],TblPop[[#This Row],[Jobs]])</f>
        <v>741</v>
      </c>
      <c r="I34" s="139">
        <f ca="1">MIN(OFFSET(TblPop[[#This Row],[Jobs]],1,0)/TblPop[[#This Row],[Peasants]],1)</f>
        <v>1</v>
      </c>
      <c r="J34" s="140">
        <f ca="1">SUM(TblConstr[[#This Row],[Tot Alc]:[Tot GT]],TblConstr[[#This Row],[Tot Shr]:[Tot Doc]],TblConstr[[#This Row],[Dest Alc]:[Dest GT]],TblConstr[[#This Row],[Dest Shr]:[Dest Doc]])*building_employment + TblConstr[[#This Row],[Tot Fac]]*bonus_jobs_facts</f>
        <v>1000</v>
      </c>
      <c r="K34" s="141"/>
      <c r="L34" s="61">
        <f ca="1">TblPop[[#This Row],[Draftees]]</f>
        <v>335</v>
      </c>
      <c r="M34" s="61">
        <f ca="1">TblMili[[#This Row],[Unit 1]]</f>
        <v>0</v>
      </c>
      <c r="N34" s="61">
        <f ca="1">TblMili[[#This Row],[Unit 2]]</f>
        <v>0</v>
      </c>
      <c r="O34" s="61">
        <f ca="1">TblMili[[#This Row],[Unit 3]]</f>
        <v>0</v>
      </c>
      <c r="P34" s="61">
        <f ca="1">TblMili[[#This Row],[Unit 4]]</f>
        <v>0</v>
      </c>
      <c r="Q34" s="61">
        <f ca="1">TblMili[[#This Row],[Spies]]</f>
        <v>0</v>
      </c>
      <c r="R34" s="61">
        <f ca="1">TblMili[[#This Row],[Wizards]]</f>
        <v>0</v>
      </c>
      <c r="S34" s="61">
        <f ca="1">TblMili[[#This Row],[Archmages]]</f>
        <v>0</v>
      </c>
      <c r="T34" s="142"/>
      <c r="U34" s="94">
        <f ca="1">ROUND(TblPop[[#This Row],[Raw max]]*(1+OFFSET(TblPop[[#This Row],[Max pop]],-1,0)),0)+MIN(TblPop[[#This Row],[Military]]-TblPop[[#This Row],[Draftees]]-SUM(TblMili[[#This Row],[Train Unit 1]:[Train AM]]),(barracks_size + tech_8_3*TblTech[[#This Row],[8-3]])*TblConstr[[#This Row],[Tot Bar]])</f>
        <v>1076</v>
      </c>
      <c r="V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4" s="94">
        <f ca="1">MAX(-5%*TblPop[[#This Row],[Peasants]]-TblPop[[#This Row],[Draft Growth]],MIN(OFFSET(TblPop[[#This Row],[Net max]],1,0)-TblPop[[#This Row],[Peasants]]-TblPop[[#This Row],[Military]]-TblPop[[#This Row],[Draft Growth]],TblPop[[#This Row],[Modded Birth]]-TblPop[[#This Row],[Draft Growth]]))</f>
        <v>-7</v>
      </c>
      <c r="X34" s="94">
        <f ca="1">ROUND(TblPop[[#This Row],[Raw Birth]]*(1+TblPop[[#This Row],[Growth]]),0)</f>
        <v>22</v>
      </c>
      <c r="Y34" s="94">
        <f ca="1">(TblPop[[#This Row],[Peasants]]-TblPop[[#This Row],[Draft Growth]])*raw_pop_growth</f>
        <v>22.02</v>
      </c>
      <c r="Z34" s="94">
        <f ca="1">ROUND(IF(TblPop[[#This Row],[Military%]]&lt;TblMili[[#This Row],[Draftrate]],ROUND(TblPop[[#This Row],[Peasants]]*Constants!$B$55,0), 0) * IF(AND(TblMagic[[#This Row],[Active DnD]]&lt;=12,TblMagic[[#This Row],[Active DnD]]&gt;6),1.6,1),0)</f>
        <v>7</v>
      </c>
      <c r="AA34" s="142"/>
      <c r="AB34" s="143">
        <f ca="1">Overview!$I$17 + IF(Magic!AF34&gt;0,Constants!$F$78) + ROUND(6*(Construction!BM35+Construction!CK34)/IF(Explore!S35&gt;0,Construction!F35-20,Construction!F35),4) + tech_6_5_2*Techs!BJ34 + tech_8_4*Techs!BT34</f>
        <v>0</v>
      </c>
      <c r="AC34" s="139">
        <f ca="1">(Overview!$I$16 + Imps!Z34+ tech_2_5*Techs!AB34 + tech_3_6*Techs!AM34 + tech_6_1*Techs!BJ34 + tech_6_5*Techs!BF34 + tech_7_3_2*Techs!BN34) * (1 + Production!O34/100*prestige_pop_multiplier) + Production!O34/100*prestige_pop_multiplier</f>
        <v>2.5000000000000001E-2</v>
      </c>
    </row>
    <row r="35" spans="1:29" x14ac:dyDescent="0.2">
      <c r="A35" s="137">
        <f>TblRezone[[#This Row],[Hour]]</f>
        <v>32</v>
      </c>
      <c r="B35" s="138">
        <f ca="1">TblImps[[#This Row],[Time]]</f>
        <v>46048.291666666591</v>
      </c>
      <c r="C35" s="94">
        <f ca="1">OFFSET(TblPop[[#This Row],[Peasants]],-1,0)+OFFSET(TblPop[[#This Row],[Net Peasant]],-1,0)+TblMili[[#This Row],[Release Draft]]</f>
        <v>734</v>
      </c>
      <c r="D35" s="94">
        <f ca="1">TblMili[[#This Row],[Military]]</f>
        <v>342</v>
      </c>
      <c r="E35" s="94">
        <f ca="1">TblMili[[#This Row],[Draftees]]</f>
        <v>342</v>
      </c>
      <c r="F35" s="94">
        <f ca="1">TblPop[[#This Row],[Peasants]]+TblPop[[#This Row],[Military]]</f>
        <v>1076</v>
      </c>
      <c r="G35" s="139">
        <f ca="1">TblPop[[#This Row],[Military]]/TblPop[[#This Row],[Total]]</f>
        <v>0.31784386617100374</v>
      </c>
      <c r="H35" s="140">
        <f ca="1">MIN(TblPop[[#This Row],[Peasants]],TblPop[[#This Row],[Jobs]])</f>
        <v>734</v>
      </c>
      <c r="I35" s="139">
        <f ca="1">MIN(OFFSET(TblPop[[#This Row],[Jobs]],1,0)/TblPop[[#This Row],[Peasants]],1)</f>
        <v>1</v>
      </c>
      <c r="J35" s="140">
        <f ca="1">SUM(TblConstr[[#This Row],[Tot Alc]:[Tot GT]],TblConstr[[#This Row],[Tot Shr]:[Tot Doc]],TblConstr[[#This Row],[Dest Alc]:[Dest GT]],TblConstr[[#This Row],[Dest Shr]:[Dest Doc]])*building_employment + TblConstr[[#This Row],[Tot Fac]]*bonus_jobs_facts</f>
        <v>1000</v>
      </c>
      <c r="K35" s="141"/>
      <c r="L35" s="61">
        <f ca="1">TblPop[[#This Row],[Draftees]]</f>
        <v>342</v>
      </c>
      <c r="M35" s="61">
        <f ca="1">TblMili[[#This Row],[Unit 1]]</f>
        <v>0</v>
      </c>
      <c r="N35" s="61">
        <f ca="1">TblMili[[#This Row],[Unit 2]]</f>
        <v>0</v>
      </c>
      <c r="O35" s="61">
        <f ca="1">TblMili[[#This Row],[Unit 3]]</f>
        <v>0</v>
      </c>
      <c r="P35" s="61">
        <f ca="1">TblMili[[#This Row],[Unit 4]]</f>
        <v>0</v>
      </c>
      <c r="Q35" s="61">
        <f ca="1">TblMili[[#This Row],[Spies]]</f>
        <v>0</v>
      </c>
      <c r="R35" s="61">
        <f ca="1">TblMili[[#This Row],[Wizards]]</f>
        <v>0</v>
      </c>
      <c r="S35" s="61">
        <f ca="1">TblMili[[#This Row],[Archmages]]</f>
        <v>0</v>
      </c>
      <c r="T35" s="142"/>
      <c r="U35" s="94">
        <f ca="1">ROUND(TblPop[[#This Row],[Raw max]]*(1+OFFSET(TblPop[[#This Row],[Max pop]],-1,0)),0)+MIN(TblPop[[#This Row],[Military]]-TblPop[[#This Row],[Draftees]]-SUM(TblMili[[#This Row],[Train Unit 1]:[Train AM]]),(barracks_size + tech_8_3*TblTech[[#This Row],[8-3]])*TblConstr[[#This Row],[Tot Bar]])</f>
        <v>1076</v>
      </c>
      <c r="V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5" s="94">
        <f ca="1">MAX(-5%*TblPop[[#This Row],[Peasants]]-TblPop[[#This Row],[Draft Growth]],MIN(OFFSET(TblPop[[#This Row],[Net max]],1,0)-TblPop[[#This Row],[Peasants]]-TblPop[[#This Row],[Military]]-TblPop[[#This Row],[Draft Growth]],TblPop[[#This Row],[Modded Birth]]-TblPop[[#This Row],[Draft Growth]]))</f>
        <v>-7</v>
      </c>
      <c r="X35" s="94">
        <f ca="1">ROUND(TblPop[[#This Row],[Raw Birth]]*(1+TblPop[[#This Row],[Growth]]),0)</f>
        <v>22</v>
      </c>
      <c r="Y35" s="94">
        <f ca="1">(TblPop[[#This Row],[Peasants]]-TblPop[[#This Row],[Draft Growth]])*raw_pop_growth</f>
        <v>21.81</v>
      </c>
      <c r="Z35" s="94">
        <f ca="1">ROUND(IF(TblPop[[#This Row],[Military%]]&lt;TblMili[[#This Row],[Draftrate]],ROUND(TblPop[[#This Row],[Peasants]]*Constants!$B$55,0), 0) * IF(AND(TblMagic[[#This Row],[Active DnD]]&lt;=12,TblMagic[[#This Row],[Active DnD]]&gt;6),1.6,1),0)</f>
        <v>7</v>
      </c>
      <c r="AA35" s="142"/>
      <c r="AB35" s="143">
        <f ca="1">Overview!$I$17 + IF(Magic!AF35&gt;0,Constants!$F$78) + ROUND(6*(Construction!BM36+Construction!CK35)/IF(Explore!S36&gt;0,Construction!F36-20,Construction!F36),4) + tech_6_5_2*Techs!BJ35 + tech_8_4*Techs!BT35</f>
        <v>0</v>
      </c>
      <c r="AC35" s="139">
        <f ca="1">(Overview!$I$16 + Imps!Z35+ tech_2_5*Techs!AB35 + tech_3_6*Techs!AM35 + tech_6_1*Techs!BJ35 + tech_6_5*Techs!BF35 + tech_7_3_2*Techs!BN35) * (1 + Production!O35/100*prestige_pop_multiplier) + Production!O35/100*prestige_pop_multiplier</f>
        <v>2.5000000000000001E-2</v>
      </c>
    </row>
    <row r="36" spans="1:29" x14ac:dyDescent="0.2">
      <c r="A36" s="137">
        <f>TblRezone[[#This Row],[Hour]]</f>
        <v>33</v>
      </c>
      <c r="B36" s="138">
        <f ca="1">TblImps[[#This Row],[Time]]</f>
        <v>46048.333333333256</v>
      </c>
      <c r="C36" s="94">
        <f ca="1">OFFSET(TblPop[[#This Row],[Peasants]],-1,0)+OFFSET(TblPop[[#This Row],[Net Peasant]],-1,0)+TblMili[[#This Row],[Release Draft]]</f>
        <v>727</v>
      </c>
      <c r="D36" s="94">
        <f ca="1">TblMili[[#This Row],[Military]]</f>
        <v>349</v>
      </c>
      <c r="E36" s="94">
        <f ca="1">TblMili[[#This Row],[Draftees]]</f>
        <v>349</v>
      </c>
      <c r="F36" s="94">
        <f ca="1">TblPop[[#This Row],[Peasants]]+TblPop[[#This Row],[Military]]</f>
        <v>1076</v>
      </c>
      <c r="G36" s="139">
        <f ca="1">TblPop[[#This Row],[Military]]/TblPop[[#This Row],[Total]]</f>
        <v>0.32434944237918217</v>
      </c>
      <c r="H36" s="140">
        <f ca="1">MIN(TblPop[[#This Row],[Peasants]],TblPop[[#This Row],[Jobs]])</f>
        <v>727</v>
      </c>
      <c r="I36" s="139">
        <f ca="1">MIN(OFFSET(TblPop[[#This Row],[Jobs]],1,0)/TblPop[[#This Row],[Peasants]],1)</f>
        <v>1</v>
      </c>
      <c r="J36" s="140">
        <f ca="1">SUM(TblConstr[[#This Row],[Tot Alc]:[Tot GT]],TblConstr[[#This Row],[Tot Shr]:[Tot Doc]],TblConstr[[#This Row],[Dest Alc]:[Dest GT]],TblConstr[[#This Row],[Dest Shr]:[Dest Doc]])*building_employment + TblConstr[[#This Row],[Tot Fac]]*bonus_jobs_facts</f>
        <v>1000</v>
      </c>
      <c r="K36" s="141"/>
      <c r="L36" s="61">
        <f ca="1">TblPop[[#This Row],[Draftees]]</f>
        <v>349</v>
      </c>
      <c r="M36" s="61">
        <f ca="1">TblMili[[#This Row],[Unit 1]]</f>
        <v>0</v>
      </c>
      <c r="N36" s="61">
        <f ca="1">TblMili[[#This Row],[Unit 2]]</f>
        <v>0</v>
      </c>
      <c r="O36" s="61">
        <f ca="1">TblMili[[#This Row],[Unit 3]]</f>
        <v>0</v>
      </c>
      <c r="P36" s="61">
        <f ca="1">TblMili[[#This Row],[Unit 4]]</f>
        <v>0</v>
      </c>
      <c r="Q36" s="61">
        <f ca="1">TblMili[[#This Row],[Spies]]</f>
        <v>0</v>
      </c>
      <c r="R36" s="61">
        <f ca="1">TblMili[[#This Row],[Wizards]]</f>
        <v>0</v>
      </c>
      <c r="S36" s="61">
        <f ca="1">TblMili[[#This Row],[Archmages]]</f>
        <v>0</v>
      </c>
      <c r="T36" s="142"/>
      <c r="U36" s="94">
        <f ca="1">ROUND(TblPop[[#This Row],[Raw max]]*(1+OFFSET(TblPop[[#This Row],[Max pop]],-1,0)),0)+MIN(TblPop[[#This Row],[Military]]-TblPop[[#This Row],[Draftees]]-SUM(TblMili[[#This Row],[Train Unit 1]:[Train AM]]),(barracks_size + tech_8_3*TblTech[[#This Row],[8-3]])*TblConstr[[#This Row],[Tot Bar]])</f>
        <v>1076</v>
      </c>
      <c r="V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6" s="94">
        <f ca="1">MAX(-5%*TblPop[[#This Row],[Peasants]]-TblPop[[#This Row],[Draft Growth]],MIN(OFFSET(TblPop[[#This Row],[Net max]],1,0)-TblPop[[#This Row],[Peasants]]-TblPop[[#This Row],[Military]]-TblPop[[#This Row],[Draft Growth]],TblPop[[#This Row],[Modded Birth]]-TblPop[[#This Row],[Draft Growth]]))</f>
        <v>-7</v>
      </c>
      <c r="X36" s="94">
        <f ca="1">ROUND(TblPop[[#This Row],[Raw Birth]]*(1+TblPop[[#This Row],[Growth]]),0)</f>
        <v>22</v>
      </c>
      <c r="Y36" s="94">
        <f ca="1">(TblPop[[#This Row],[Peasants]]-TblPop[[#This Row],[Draft Growth]])*raw_pop_growth</f>
        <v>21.599999999999998</v>
      </c>
      <c r="Z36" s="94">
        <f ca="1">ROUND(IF(TblPop[[#This Row],[Military%]]&lt;TblMili[[#This Row],[Draftrate]],ROUND(TblPop[[#This Row],[Peasants]]*Constants!$B$55,0), 0) * IF(AND(TblMagic[[#This Row],[Active DnD]]&lt;=12,TblMagic[[#This Row],[Active DnD]]&gt;6),1.6,1),0)</f>
        <v>7</v>
      </c>
      <c r="AA36" s="142"/>
      <c r="AB36" s="143">
        <f ca="1">Overview!$I$17 + IF(Magic!AF36&gt;0,Constants!$F$78) + ROUND(6*(Construction!BM37+Construction!CK36)/IF(Explore!S37&gt;0,Construction!F37-20,Construction!F37),4) + tech_6_5_2*Techs!BJ36 + tech_8_4*Techs!BT36</f>
        <v>0</v>
      </c>
      <c r="AC36" s="139">
        <f ca="1">(Overview!$I$16 + Imps!Z36+ tech_2_5*Techs!AB36 + tech_3_6*Techs!AM36 + tech_6_1*Techs!BJ36 + tech_6_5*Techs!BF36 + tech_7_3_2*Techs!BN36) * (1 + Production!O36/100*prestige_pop_multiplier) + Production!O36/100*prestige_pop_multiplier</f>
        <v>2.5000000000000001E-2</v>
      </c>
    </row>
    <row r="37" spans="1:29" x14ac:dyDescent="0.2">
      <c r="A37" s="137">
        <f>TblRezone[[#This Row],[Hour]]</f>
        <v>34</v>
      </c>
      <c r="B37" s="138">
        <f ca="1">TblImps[[#This Row],[Time]]</f>
        <v>46048.37499999992</v>
      </c>
      <c r="C37" s="94">
        <f ca="1">OFFSET(TblPop[[#This Row],[Peasants]],-1,0)+OFFSET(TblPop[[#This Row],[Net Peasant]],-1,0)+TblMili[[#This Row],[Release Draft]]</f>
        <v>720</v>
      </c>
      <c r="D37" s="94">
        <f ca="1">TblMili[[#This Row],[Military]]</f>
        <v>356</v>
      </c>
      <c r="E37" s="94">
        <f ca="1">TblMili[[#This Row],[Draftees]]</f>
        <v>356</v>
      </c>
      <c r="F37" s="94">
        <f ca="1">TblPop[[#This Row],[Peasants]]+TblPop[[#This Row],[Military]]</f>
        <v>1076</v>
      </c>
      <c r="G37" s="139">
        <f ca="1">TblPop[[#This Row],[Military]]/TblPop[[#This Row],[Total]]</f>
        <v>0.33085501858736061</v>
      </c>
      <c r="H37" s="140">
        <f ca="1">MIN(TblPop[[#This Row],[Peasants]],TblPop[[#This Row],[Jobs]])</f>
        <v>720</v>
      </c>
      <c r="I37" s="139">
        <f ca="1">MIN(OFFSET(TblPop[[#This Row],[Jobs]],1,0)/TblPop[[#This Row],[Peasants]],1)</f>
        <v>1</v>
      </c>
      <c r="J37" s="140">
        <f ca="1">SUM(TblConstr[[#This Row],[Tot Alc]:[Tot GT]],TblConstr[[#This Row],[Tot Shr]:[Tot Doc]],TblConstr[[#This Row],[Dest Alc]:[Dest GT]],TblConstr[[#This Row],[Dest Shr]:[Dest Doc]])*building_employment + TblConstr[[#This Row],[Tot Fac]]*bonus_jobs_facts</f>
        <v>1000</v>
      </c>
      <c r="K37" s="141"/>
      <c r="L37" s="61">
        <f ca="1">TblPop[[#This Row],[Draftees]]</f>
        <v>356</v>
      </c>
      <c r="M37" s="61">
        <f ca="1">TblMili[[#This Row],[Unit 1]]</f>
        <v>0</v>
      </c>
      <c r="N37" s="61">
        <f ca="1">TblMili[[#This Row],[Unit 2]]</f>
        <v>0</v>
      </c>
      <c r="O37" s="61">
        <f ca="1">TblMili[[#This Row],[Unit 3]]</f>
        <v>0</v>
      </c>
      <c r="P37" s="61">
        <f ca="1">TblMili[[#This Row],[Unit 4]]</f>
        <v>0</v>
      </c>
      <c r="Q37" s="61">
        <f ca="1">TblMili[[#This Row],[Spies]]</f>
        <v>0</v>
      </c>
      <c r="R37" s="61">
        <f ca="1">TblMili[[#This Row],[Wizards]]</f>
        <v>0</v>
      </c>
      <c r="S37" s="61">
        <f ca="1">TblMili[[#This Row],[Archmages]]</f>
        <v>0</v>
      </c>
      <c r="T37" s="142"/>
      <c r="U37" s="94">
        <f ca="1">ROUND(TblPop[[#This Row],[Raw max]]*(1+OFFSET(TblPop[[#This Row],[Max pop]],-1,0)),0)+MIN(TblPop[[#This Row],[Military]]-TblPop[[#This Row],[Draftees]]-SUM(TblMili[[#This Row],[Train Unit 1]:[Train AM]]),(barracks_size + tech_8_3*TblTech[[#This Row],[8-3]])*TblConstr[[#This Row],[Tot Bar]])</f>
        <v>1076</v>
      </c>
      <c r="V3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7" s="94">
        <f ca="1">MAX(-5%*TblPop[[#This Row],[Peasants]]-TblPop[[#This Row],[Draft Growth]],MIN(OFFSET(TblPop[[#This Row],[Net max]],1,0)-TblPop[[#This Row],[Peasants]]-TblPop[[#This Row],[Military]]-TblPop[[#This Row],[Draft Growth]],TblPop[[#This Row],[Modded Birth]]-TblPop[[#This Row],[Draft Growth]]))</f>
        <v>-7</v>
      </c>
      <c r="X37" s="94">
        <f ca="1">ROUND(TblPop[[#This Row],[Raw Birth]]*(1+TblPop[[#This Row],[Growth]]),0)</f>
        <v>21</v>
      </c>
      <c r="Y37" s="94">
        <f ca="1">(TblPop[[#This Row],[Peasants]]-TblPop[[#This Row],[Draft Growth]])*raw_pop_growth</f>
        <v>21.39</v>
      </c>
      <c r="Z37" s="94">
        <f ca="1">ROUND(IF(TblPop[[#This Row],[Military%]]&lt;TblMili[[#This Row],[Draftrate]],ROUND(TblPop[[#This Row],[Peasants]]*Constants!$B$55,0), 0) * IF(AND(TblMagic[[#This Row],[Active DnD]]&lt;=12,TblMagic[[#This Row],[Active DnD]]&gt;6),1.6,1),0)</f>
        <v>7</v>
      </c>
      <c r="AA37" s="142"/>
      <c r="AB37" s="143">
        <f ca="1">Overview!$I$17 + IF(Magic!AF37&gt;0,Constants!$F$78) + ROUND(6*(Construction!BM38+Construction!CK37)/IF(Explore!S38&gt;0,Construction!F38-20,Construction!F38),4) + tech_6_5_2*Techs!BJ37 + tech_8_4*Techs!BT37</f>
        <v>0</v>
      </c>
      <c r="AC37" s="139">
        <f ca="1">(Overview!$I$16 + Imps!Z37+ tech_2_5*Techs!AB37 + tech_3_6*Techs!AM37 + tech_6_1*Techs!BJ37 + tech_6_5*Techs!BF37 + tech_7_3_2*Techs!BN37) * (1 + Production!O37/100*prestige_pop_multiplier) + Production!O37/100*prestige_pop_multiplier</f>
        <v>2.5000000000000001E-2</v>
      </c>
    </row>
    <row r="38" spans="1:29" x14ac:dyDescent="0.2">
      <c r="A38" s="137">
        <f>TblRezone[[#This Row],[Hour]]</f>
        <v>35</v>
      </c>
      <c r="B38" s="138">
        <f ca="1">TblImps[[#This Row],[Time]]</f>
        <v>46048.416666666584</v>
      </c>
      <c r="C38" s="94">
        <f ca="1">OFFSET(TblPop[[#This Row],[Peasants]],-1,0)+OFFSET(TblPop[[#This Row],[Net Peasant]],-1,0)+TblMili[[#This Row],[Release Draft]]</f>
        <v>713</v>
      </c>
      <c r="D38" s="94">
        <f ca="1">TblMili[[#This Row],[Military]]</f>
        <v>363</v>
      </c>
      <c r="E38" s="94">
        <f ca="1">TblMili[[#This Row],[Draftees]]</f>
        <v>363</v>
      </c>
      <c r="F38" s="94">
        <f ca="1">TblPop[[#This Row],[Peasants]]+TblPop[[#This Row],[Military]]</f>
        <v>1076</v>
      </c>
      <c r="G38" s="139">
        <f ca="1">TblPop[[#This Row],[Military]]/TblPop[[#This Row],[Total]]</f>
        <v>0.33736059479553904</v>
      </c>
      <c r="H38" s="140">
        <f ca="1">MIN(TblPop[[#This Row],[Peasants]],TblPop[[#This Row],[Jobs]])</f>
        <v>713</v>
      </c>
      <c r="I38" s="139">
        <f ca="1">MIN(OFFSET(TblPop[[#This Row],[Jobs]],1,0)/TblPop[[#This Row],[Peasants]],1)</f>
        <v>1</v>
      </c>
      <c r="J38" s="140">
        <f ca="1">SUM(TblConstr[[#This Row],[Tot Alc]:[Tot GT]],TblConstr[[#This Row],[Tot Shr]:[Tot Doc]],TblConstr[[#This Row],[Dest Alc]:[Dest GT]],TblConstr[[#This Row],[Dest Shr]:[Dest Doc]])*building_employment + TblConstr[[#This Row],[Tot Fac]]*bonus_jobs_facts</f>
        <v>1000</v>
      </c>
      <c r="K38" s="141"/>
      <c r="L38" s="61">
        <f ca="1">TblPop[[#This Row],[Draftees]]</f>
        <v>363</v>
      </c>
      <c r="M38" s="61">
        <f ca="1">TblMili[[#This Row],[Unit 1]]</f>
        <v>0</v>
      </c>
      <c r="N38" s="61">
        <f ca="1">TblMili[[#This Row],[Unit 2]]</f>
        <v>0</v>
      </c>
      <c r="O38" s="61">
        <f ca="1">TblMili[[#This Row],[Unit 3]]</f>
        <v>0</v>
      </c>
      <c r="P38" s="61">
        <f ca="1">TblMili[[#This Row],[Unit 4]]</f>
        <v>0</v>
      </c>
      <c r="Q38" s="61">
        <f ca="1">TblMili[[#This Row],[Spies]]</f>
        <v>0</v>
      </c>
      <c r="R38" s="61">
        <f ca="1">TblMili[[#This Row],[Wizards]]</f>
        <v>0</v>
      </c>
      <c r="S38" s="61">
        <f ca="1">TblMili[[#This Row],[Archmages]]</f>
        <v>0</v>
      </c>
      <c r="T38" s="142"/>
      <c r="U38" s="94">
        <f ca="1">ROUND(TblPop[[#This Row],[Raw max]]*(1+OFFSET(TblPop[[#This Row],[Max pop]],-1,0)),0)+MIN(TblPop[[#This Row],[Military]]-TblPop[[#This Row],[Draftees]]-SUM(TblMili[[#This Row],[Train Unit 1]:[Train AM]]),(barracks_size + tech_8_3*TblTech[[#This Row],[8-3]])*TblConstr[[#This Row],[Tot Bar]])</f>
        <v>1076</v>
      </c>
      <c r="V3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8" s="94">
        <f ca="1">MAX(-5%*TblPop[[#This Row],[Peasants]]-TblPop[[#This Row],[Draft Growth]],MIN(OFFSET(TblPop[[#This Row],[Net max]],1,0)-TblPop[[#This Row],[Peasants]]-TblPop[[#This Row],[Military]]-TblPop[[#This Row],[Draft Growth]],TblPop[[#This Row],[Modded Birth]]-TblPop[[#This Row],[Draft Growth]]))</f>
        <v>-7</v>
      </c>
      <c r="X38" s="94">
        <f ca="1">ROUND(TblPop[[#This Row],[Raw Birth]]*(1+TblPop[[#This Row],[Growth]]),0)</f>
        <v>21</v>
      </c>
      <c r="Y38" s="94">
        <f ca="1">(TblPop[[#This Row],[Peasants]]-TblPop[[#This Row],[Draft Growth]])*raw_pop_growth</f>
        <v>21.18</v>
      </c>
      <c r="Z38" s="94">
        <f ca="1">ROUND(IF(TblPop[[#This Row],[Military%]]&lt;TblMili[[#This Row],[Draftrate]],ROUND(TblPop[[#This Row],[Peasants]]*Constants!$B$55,0), 0) * IF(AND(TblMagic[[#This Row],[Active DnD]]&lt;=12,TblMagic[[#This Row],[Active DnD]]&gt;6),1.6,1),0)</f>
        <v>7</v>
      </c>
      <c r="AA38" s="142"/>
      <c r="AB38" s="143">
        <f ca="1">Overview!$I$17 + IF(Magic!AF38&gt;0,Constants!$F$78) + ROUND(6*(Construction!BM39+Construction!CK38)/IF(Explore!S39&gt;0,Construction!F39-20,Construction!F39),4) + tech_6_5_2*Techs!BJ38 + tech_8_4*Techs!BT38</f>
        <v>0</v>
      </c>
      <c r="AC38" s="139">
        <f ca="1">(Overview!$I$16 + Imps!Z38+ tech_2_5*Techs!AB38 + tech_3_6*Techs!AM38 + tech_6_1*Techs!BJ38 + tech_6_5*Techs!BF38 + tech_7_3_2*Techs!BN38) * (1 + Production!O38/100*prestige_pop_multiplier) + Production!O38/100*prestige_pop_multiplier</f>
        <v>2.5000000000000001E-2</v>
      </c>
    </row>
    <row r="39" spans="1:29" ht="13.5" customHeight="1" x14ac:dyDescent="0.2">
      <c r="A39" s="137">
        <f>TblRezone[[#This Row],[Hour]]</f>
        <v>36</v>
      </c>
      <c r="B39" s="138">
        <f ca="1">TblImps[[#This Row],[Time]]</f>
        <v>46048.458333333248</v>
      </c>
      <c r="C39" s="94">
        <f ca="1">OFFSET(TblPop[[#This Row],[Peasants]],-1,0)+OFFSET(TblPop[[#This Row],[Net Peasant]],-1,0)+TblMili[[#This Row],[Release Draft]]</f>
        <v>706</v>
      </c>
      <c r="D39" s="94">
        <f ca="1">TblMili[[#This Row],[Military]]</f>
        <v>370</v>
      </c>
      <c r="E39" s="94">
        <f ca="1">TblMili[[#This Row],[Draftees]]</f>
        <v>370</v>
      </c>
      <c r="F39" s="94">
        <f ca="1">TblPop[[#This Row],[Peasants]]+TblPop[[#This Row],[Military]]</f>
        <v>1076</v>
      </c>
      <c r="G39" s="139">
        <f ca="1">TblPop[[#This Row],[Military]]/TblPop[[#This Row],[Total]]</f>
        <v>0.34386617100371747</v>
      </c>
      <c r="H39" s="140">
        <f ca="1">MIN(TblPop[[#This Row],[Peasants]],TblPop[[#This Row],[Jobs]])</f>
        <v>706</v>
      </c>
      <c r="I39" s="139">
        <f ca="1">MIN(OFFSET(TblPop[[#This Row],[Jobs]],1,0)/TblPop[[#This Row],[Peasants]],1)</f>
        <v>1</v>
      </c>
      <c r="J39" s="140">
        <f ca="1">SUM(TblConstr[[#This Row],[Tot Alc]:[Tot GT]],TblConstr[[#This Row],[Tot Shr]:[Tot Doc]],TblConstr[[#This Row],[Dest Alc]:[Dest GT]],TblConstr[[#This Row],[Dest Shr]:[Dest Doc]])*building_employment + TblConstr[[#This Row],[Tot Fac]]*bonus_jobs_facts</f>
        <v>1000</v>
      </c>
      <c r="K39" s="141"/>
      <c r="L39" s="61">
        <f ca="1">TblPop[[#This Row],[Draftees]]</f>
        <v>370</v>
      </c>
      <c r="M39" s="61">
        <f ca="1">TblMili[[#This Row],[Unit 1]]</f>
        <v>0</v>
      </c>
      <c r="N39" s="61">
        <f ca="1">TblMili[[#This Row],[Unit 2]]</f>
        <v>0</v>
      </c>
      <c r="O39" s="61">
        <f ca="1">TblMili[[#This Row],[Unit 3]]</f>
        <v>0</v>
      </c>
      <c r="P39" s="61">
        <f ca="1">TblMili[[#This Row],[Unit 4]]</f>
        <v>0</v>
      </c>
      <c r="Q39" s="61">
        <f ca="1">TblMili[[#This Row],[Spies]]</f>
        <v>0</v>
      </c>
      <c r="R39" s="61">
        <f ca="1">TblMili[[#This Row],[Wizards]]</f>
        <v>0</v>
      </c>
      <c r="S39" s="61">
        <f ca="1">TblMili[[#This Row],[Archmages]]</f>
        <v>0</v>
      </c>
      <c r="T39" s="142"/>
      <c r="U39" s="94">
        <f ca="1">ROUND(TblPop[[#This Row],[Raw max]]*(1+OFFSET(TblPop[[#This Row],[Max pop]],-1,0)),0)+MIN(TblPop[[#This Row],[Military]]-TblPop[[#This Row],[Draftees]]-SUM(TblMili[[#This Row],[Train Unit 1]:[Train AM]]),(barracks_size + tech_8_3*TblTech[[#This Row],[8-3]])*TblConstr[[#This Row],[Tot Bar]])</f>
        <v>1076</v>
      </c>
      <c r="V3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39" s="94">
        <f ca="1">MAX(-5%*TblPop[[#This Row],[Peasants]]-TblPop[[#This Row],[Draft Growth]],MIN(OFFSET(TblPop[[#This Row],[Net max]],1,0)-TblPop[[#This Row],[Peasants]]-TblPop[[#This Row],[Military]]-TblPop[[#This Row],[Draft Growth]],TblPop[[#This Row],[Modded Birth]]-TblPop[[#This Row],[Draft Growth]]))</f>
        <v>-7</v>
      </c>
      <c r="X39" s="94">
        <f ca="1">ROUND(TblPop[[#This Row],[Raw Birth]]*(1+TblPop[[#This Row],[Growth]]),0)</f>
        <v>21</v>
      </c>
      <c r="Y39" s="94">
        <f ca="1">(TblPop[[#This Row],[Peasants]]-TblPop[[#This Row],[Draft Growth]])*raw_pop_growth</f>
        <v>20.97</v>
      </c>
      <c r="Z39" s="94">
        <f ca="1">ROUND(IF(TblPop[[#This Row],[Military%]]&lt;TblMili[[#This Row],[Draftrate]],ROUND(TblPop[[#This Row],[Peasants]]*Constants!$B$55,0), 0) * IF(AND(TblMagic[[#This Row],[Active DnD]]&lt;=12,TblMagic[[#This Row],[Active DnD]]&gt;6),1.6,1),0)</f>
        <v>7</v>
      </c>
      <c r="AA39" s="142"/>
      <c r="AB39" s="143">
        <f ca="1">Overview!$I$17 + IF(Magic!AF39&gt;0,Constants!$F$78) + ROUND(6*(Construction!BM40+Construction!CK39)/IF(Explore!S40&gt;0,Construction!F40-20,Construction!F40),4) + tech_6_5_2*Techs!BJ39 + tech_8_4*Techs!BT39</f>
        <v>0</v>
      </c>
      <c r="AC39" s="139">
        <f ca="1">(Overview!$I$16 + Imps!Z39+ tech_2_5*Techs!AB39 + tech_3_6*Techs!AM39 + tech_6_1*Techs!BJ39 + tech_6_5*Techs!BF39 + tech_7_3_2*Techs!BN39) * (1 + Production!O39/100*prestige_pop_multiplier) + Production!O39/100*prestige_pop_multiplier</f>
        <v>2.5000000000000001E-2</v>
      </c>
    </row>
    <row r="40" spans="1:29" x14ac:dyDescent="0.2">
      <c r="A40" s="137">
        <f>TblRezone[[#This Row],[Hour]]</f>
        <v>37</v>
      </c>
      <c r="B40" s="138">
        <f ca="1">TblImps[[#This Row],[Time]]</f>
        <v>46048.499999999913</v>
      </c>
      <c r="C40" s="94">
        <f ca="1">OFFSET(TblPop[[#This Row],[Peasants]],-1,0)+OFFSET(TblPop[[#This Row],[Net Peasant]],-1,0)+TblMili[[#This Row],[Release Draft]]</f>
        <v>699</v>
      </c>
      <c r="D40" s="94">
        <f ca="1">TblMili[[#This Row],[Military]]</f>
        <v>377</v>
      </c>
      <c r="E40" s="94">
        <f ca="1">TblMili[[#This Row],[Draftees]]</f>
        <v>377</v>
      </c>
      <c r="F40" s="94">
        <f ca="1">TblPop[[#This Row],[Peasants]]+TblPop[[#This Row],[Military]]</f>
        <v>1076</v>
      </c>
      <c r="G40" s="139">
        <f ca="1">TblPop[[#This Row],[Military]]/TblPop[[#This Row],[Total]]</f>
        <v>0.3503717472118959</v>
      </c>
      <c r="H40" s="140">
        <f ca="1">MIN(TblPop[[#This Row],[Peasants]],TblPop[[#This Row],[Jobs]])</f>
        <v>699</v>
      </c>
      <c r="I40" s="139">
        <f ca="1">MIN(OFFSET(TblPop[[#This Row],[Jobs]],1,0)/TblPop[[#This Row],[Peasants]],1)</f>
        <v>1</v>
      </c>
      <c r="J40" s="140">
        <f ca="1">SUM(TblConstr[[#This Row],[Tot Alc]:[Tot GT]],TblConstr[[#This Row],[Tot Shr]:[Tot Doc]],TblConstr[[#This Row],[Dest Alc]:[Dest GT]],TblConstr[[#This Row],[Dest Shr]:[Dest Doc]])*building_employment + TblConstr[[#This Row],[Tot Fac]]*bonus_jobs_facts</f>
        <v>1000</v>
      </c>
      <c r="K40" s="141"/>
      <c r="L40" s="61">
        <f ca="1">TblPop[[#This Row],[Draftees]]</f>
        <v>377</v>
      </c>
      <c r="M40" s="61">
        <f ca="1">TblMili[[#This Row],[Unit 1]]</f>
        <v>0</v>
      </c>
      <c r="N40" s="61">
        <f ca="1">TblMili[[#This Row],[Unit 2]]</f>
        <v>0</v>
      </c>
      <c r="O40" s="61">
        <f ca="1">TblMili[[#This Row],[Unit 3]]</f>
        <v>0</v>
      </c>
      <c r="P40" s="61">
        <f ca="1">TblMili[[#This Row],[Unit 4]]</f>
        <v>0</v>
      </c>
      <c r="Q40" s="61">
        <f ca="1">TblMili[[#This Row],[Spies]]</f>
        <v>0</v>
      </c>
      <c r="R40" s="61">
        <f ca="1">TblMili[[#This Row],[Wizards]]</f>
        <v>0</v>
      </c>
      <c r="S40" s="61">
        <f ca="1">TblMili[[#This Row],[Archmages]]</f>
        <v>0</v>
      </c>
      <c r="T40" s="142"/>
      <c r="U40" s="94">
        <f ca="1">ROUND(TblPop[[#This Row],[Raw max]]*(1+OFFSET(TblPop[[#This Row],[Max pop]],-1,0)),0)+MIN(TblPop[[#This Row],[Military]]-TblPop[[#This Row],[Draftees]]-SUM(TblMili[[#This Row],[Train Unit 1]:[Train AM]]),(barracks_size + tech_8_3*TblTech[[#This Row],[8-3]])*TblConstr[[#This Row],[Tot Bar]])</f>
        <v>1076</v>
      </c>
      <c r="V4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0" s="94">
        <f ca="1">MAX(-5%*TblPop[[#This Row],[Peasants]]-TblPop[[#This Row],[Draft Growth]],MIN(OFFSET(TblPop[[#This Row],[Net max]],1,0)-TblPop[[#This Row],[Peasants]]-TblPop[[#This Row],[Military]]-TblPop[[#This Row],[Draft Growth]],TblPop[[#This Row],[Modded Birth]]-TblPop[[#This Row],[Draft Growth]]))</f>
        <v>-7</v>
      </c>
      <c r="X40" s="94">
        <f ca="1">ROUND(TblPop[[#This Row],[Raw Birth]]*(1+TblPop[[#This Row],[Growth]]),0)</f>
        <v>21</v>
      </c>
      <c r="Y40" s="94">
        <f ca="1">(TblPop[[#This Row],[Peasants]]-TblPop[[#This Row],[Draft Growth]])*raw_pop_growth</f>
        <v>20.759999999999998</v>
      </c>
      <c r="Z40" s="94">
        <f ca="1">ROUND(IF(TblPop[[#This Row],[Military%]]&lt;TblMili[[#This Row],[Draftrate]],ROUND(TblPop[[#This Row],[Peasants]]*Constants!$B$55,0), 0) * IF(AND(TblMagic[[#This Row],[Active DnD]]&lt;=12,TblMagic[[#This Row],[Active DnD]]&gt;6),1.6,1),0)</f>
        <v>7</v>
      </c>
      <c r="AA40" s="142"/>
      <c r="AB40" s="143">
        <f ca="1">Overview!$I$17 + IF(Magic!AF40&gt;0,Constants!$F$78) + ROUND(6*(Construction!BM41+Construction!CK40)/IF(Explore!S41&gt;0,Construction!F41-20,Construction!F41),4) + tech_6_5_2*Techs!BJ40 + tech_8_4*Techs!BT40</f>
        <v>0</v>
      </c>
      <c r="AC40" s="139">
        <f ca="1">(Overview!$I$16 + Imps!Z40+ tech_2_5*Techs!AB40 + tech_3_6*Techs!AM40 + tech_6_1*Techs!BJ40 + tech_6_5*Techs!BF40 + tech_7_3_2*Techs!BN40) * (1 + Production!O40/100*prestige_pop_multiplier) + Production!O40/100*prestige_pop_multiplier</f>
        <v>2.5000000000000001E-2</v>
      </c>
    </row>
    <row r="41" spans="1:29" x14ac:dyDescent="0.2">
      <c r="A41" s="137">
        <f>TblRezone[[#This Row],[Hour]]</f>
        <v>38</v>
      </c>
      <c r="B41" s="138">
        <f ca="1">TblImps[[#This Row],[Time]]</f>
        <v>46048.541666666577</v>
      </c>
      <c r="C41" s="94">
        <f ca="1">OFFSET(TblPop[[#This Row],[Peasants]],-1,0)+OFFSET(TblPop[[#This Row],[Net Peasant]],-1,0)+TblMili[[#This Row],[Release Draft]]</f>
        <v>692</v>
      </c>
      <c r="D41" s="94">
        <f ca="1">TblMili[[#This Row],[Military]]</f>
        <v>384</v>
      </c>
      <c r="E41" s="94">
        <f ca="1">TblMili[[#This Row],[Draftees]]</f>
        <v>384</v>
      </c>
      <c r="F41" s="94">
        <f ca="1">TblPop[[#This Row],[Peasants]]+TblPop[[#This Row],[Military]]</f>
        <v>1076</v>
      </c>
      <c r="G41" s="139">
        <f ca="1">TblPop[[#This Row],[Military]]/TblPop[[#This Row],[Total]]</f>
        <v>0.35687732342007433</v>
      </c>
      <c r="H41" s="140">
        <f ca="1">MIN(TblPop[[#This Row],[Peasants]],TblPop[[#This Row],[Jobs]])</f>
        <v>692</v>
      </c>
      <c r="I41" s="139">
        <f ca="1">MIN(OFFSET(TblPop[[#This Row],[Jobs]],1,0)/TblPop[[#This Row],[Peasants]],1)</f>
        <v>1</v>
      </c>
      <c r="J41" s="140">
        <f ca="1">SUM(TblConstr[[#This Row],[Tot Alc]:[Tot GT]],TblConstr[[#This Row],[Tot Shr]:[Tot Doc]],TblConstr[[#This Row],[Dest Alc]:[Dest GT]],TblConstr[[#This Row],[Dest Shr]:[Dest Doc]])*building_employment + TblConstr[[#This Row],[Tot Fac]]*bonus_jobs_facts</f>
        <v>1000</v>
      </c>
      <c r="K41" s="141"/>
      <c r="L41" s="61">
        <f ca="1">TblPop[[#This Row],[Draftees]]</f>
        <v>384</v>
      </c>
      <c r="M41" s="61">
        <f ca="1">TblMili[[#This Row],[Unit 1]]</f>
        <v>0</v>
      </c>
      <c r="N41" s="61">
        <f ca="1">TblMili[[#This Row],[Unit 2]]</f>
        <v>0</v>
      </c>
      <c r="O41" s="61">
        <f ca="1">TblMili[[#This Row],[Unit 3]]</f>
        <v>0</v>
      </c>
      <c r="P41" s="61">
        <f ca="1">TblMili[[#This Row],[Unit 4]]</f>
        <v>0</v>
      </c>
      <c r="Q41" s="61">
        <f ca="1">TblMili[[#This Row],[Spies]]</f>
        <v>0</v>
      </c>
      <c r="R41" s="61">
        <f ca="1">TblMili[[#This Row],[Wizards]]</f>
        <v>0</v>
      </c>
      <c r="S41" s="61">
        <f ca="1">TblMili[[#This Row],[Archmages]]</f>
        <v>0</v>
      </c>
      <c r="T41" s="142"/>
      <c r="U41" s="94">
        <f ca="1">ROUND(TblPop[[#This Row],[Raw max]]*(1+OFFSET(TblPop[[#This Row],[Max pop]],-1,0)),0)+MIN(TblPop[[#This Row],[Military]]-TblPop[[#This Row],[Draftees]]-SUM(TblMili[[#This Row],[Train Unit 1]:[Train AM]]),(barracks_size + tech_8_3*TblTech[[#This Row],[8-3]])*TblConstr[[#This Row],[Tot Bar]])</f>
        <v>1076</v>
      </c>
      <c r="V4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1" s="94">
        <f ca="1">MAX(-5%*TblPop[[#This Row],[Peasants]]-TblPop[[#This Row],[Draft Growth]],MIN(OFFSET(TblPop[[#This Row],[Net max]],1,0)-TblPop[[#This Row],[Peasants]]-TblPop[[#This Row],[Military]]-TblPop[[#This Row],[Draft Growth]],TblPop[[#This Row],[Modded Birth]]-TblPop[[#This Row],[Draft Growth]]))</f>
        <v>-7</v>
      </c>
      <c r="X41" s="94">
        <f ca="1">ROUND(TblPop[[#This Row],[Raw Birth]]*(1+TblPop[[#This Row],[Growth]]),0)</f>
        <v>21</v>
      </c>
      <c r="Y41" s="94">
        <f ca="1">(TblPop[[#This Row],[Peasants]]-TblPop[[#This Row],[Draft Growth]])*raw_pop_growth</f>
        <v>20.55</v>
      </c>
      <c r="Z41" s="94">
        <f ca="1">ROUND(IF(TblPop[[#This Row],[Military%]]&lt;TblMili[[#This Row],[Draftrate]],ROUND(TblPop[[#This Row],[Peasants]]*Constants!$B$55,0), 0) * IF(AND(TblMagic[[#This Row],[Active DnD]]&lt;=12,TblMagic[[#This Row],[Active DnD]]&gt;6),1.6,1),0)</f>
        <v>7</v>
      </c>
      <c r="AA41" s="142"/>
      <c r="AB41" s="143">
        <f ca="1">Overview!$I$17 + IF(Magic!AF41&gt;0,Constants!$F$78) + ROUND(6*(Construction!BM42+Construction!CK41)/IF(Explore!S42&gt;0,Construction!F42-20,Construction!F42),4) + tech_6_5_2*Techs!BJ41 + tech_8_4*Techs!BT41</f>
        <v>0</v>
      </c>
      <c r="AC41" s="139">
        <f ca="1">(Overview!$I$16 + Imps!Z41+ tech_2_5*Techs!AB41 + tech_3_6*Techs!AM41 + tech_6_1*Techs!BJ41 + tech_6_5*Techs!BF41 + tech_7_3_2*Techs!BN41) * (1 + Production!O41/100*prestige_pop_multiplier) + Production!O41/100*prestige_pop_multiplier</f>
        <v>2.5000000000000001E-2</v>
      </c>
    </row>
    <row r="42" spans="1:29" x14ac:dyDescent="0.2">
      <c r="A42" s="137">
        <f>TblRezone[[#This Row],[Hour]]</f>
        <v>39</v>
      </c>
      <c r="B42" s="138">
        <f ca="1">TblImps[[#This Row],[Time]]</f>
        <v>46048.583333333241</v>
      </c>
      <c r="C42" s="94">
        <f ca="1">OFFSET(TblPop[[#This Row],[Peasants]],-1,0)+OFFSET(TblPop[[#This Row],[Net Peasant]],-1,0)+TblMili[[#This Row],[Release Draft]]</f>
        <v>685</v>
      </c>
      <c r="D42" s="94">
        <f ca="1">TblMili[[#This Row],[Military]]</f>
        <v>391</v>
      </c>
      <c r="E42" s="94">
        <f ca="1">TblMili[[#This Row],[Draftees]]</f>
        <v>391</v>
      </c>
      <c r="F42" s="94">
        <f ca="1">TblPop[[#This Row],[Peasants]]+TblPop[[#This Row],[Military]]</f>
        <v>1076</v>
      </c>
      <c r="G42" s="139">
        <f ca="1">TblPop[[#This Row],[Military]]/TblPop[[#This Row],[Total]]</f>
        <v>0.36338289962825276</v>
      </c>
      <c r="H42" s="140">
        <f ca="1">MIN(TblPop[[#This Row],[Peasants]],TblPop[[#This Row],[Jobs]])</f>
        <v>685</v>
      </c>
      <c r="I42" s="139">
        <f ca="1">MIN(OFFSET(TblPop[[#This Row],[Jobs]],1,0)/TblPop[[#This Row],[Peasants]],1)</f>
        <v>1</v>
      </c>
      <c r="J42" s="140">
        <f ca="1">SUM(TblConstr[[#This Row],[Tot Alc]:[Tot GT]],TblConstr[[#This Row],[Tot Shr]:[Tot Doc]],TblConstr[[#This Row],[Dest Alc]:[Dest GT]],TblConstr[[#This Row],[Dest Shr]:[Dest Doc]])*building_employment + TblConstr[[#This Row],[Tot Fac]]*bonus_jobs_facts</f>
        <v>1000</v>
      </c>
      <c r="K42" s="141"/>
      <c r="L42" s="61">
        <f ca="1">TblPop[[#This Row],[Draftees]]</f>
        <v>391</v>
      </c>
      <c r="M42" s="61">
        <f ca="1">TblMili[[#This Row],[Unit 1]]</f>
        <v>0</v>
      </c>
      <c r="N42" s="61">
        <f ca="1">TblMili[[#This Row],[Unit 2]]</f>
        <v>0</v>
      </c>
      <c r="O42" s="61">
        <f ca="1">TblMili[[#This Row],[Unit 3]]</f>
        <v>0</v>
      </c>
      <c r="P42" s="61">
        <f ca="1">TblMili[[#This Row],[Unit 4]]</f>
        <v>0</v>
      </c>
      <c r="Q42" s="61">
        <f ca="1">TblMili[[#This Row],[Spies]]</f>
        <v>0</v>
      </c>
      <c r="R42" s="61">
        <f ca="1">TblMili[[#This Row],[Wizards]]</f>
        <v>0</v>
      </c>
      <c r="S42" s="61">
        <f ca="1">TblMili[[#This Row],[Archmages]]</f>
        <v>0</v>
      </c>
      <c r="T42" s="142"/>
      <c r="U42" s="94">
        <f ca="1">ROUND(TblPop[[#This Row],[Raw max]]*(1+OFFSET(TblPop[[#This Row],[Max pop]],-1,0)),0)+MIN(TblPop[[#This Row],[Military]]-TblPop[[#This Row],[Draftees]]-SUM(TblMili[[#This Row],[Train Unit 1]:[Train AM]]),(barracks_size + tech_8_3*TblTech[[#This Row],[8-3]])*TblConstr[[#This Row],[Tot Bar]])</f>
        <v>1076</v>
      </c>
      <c r="V4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2" s="94">
        <f ca="1">MAX(-5%*TblPop[[#This Row],[Peasants]]-TblPop[[#This Row],[Draft Growth]],MIN(OFFSET(TblPop[[#This Row],[Net max]],1,0)-TblPop[[#This Row],[Peasants]]-TblPop[[#This Row],[Military]]-TblPop[[#This Row],[Draft Growth]],TblPop[[#This Row],[Modded Birth]]-TblPop[[#This Row],[Draft Growth]]))</f>
        <v>-7</v>
      </c>
      <c r="X42" s="94">
        <f ca="1">ROUND(TblPop[[#This Row],[Raw Birth]]*(1+TblPop[[#This Row],[Growth]]),0)</f>
        <v>20</v>
      </c>
      <c r="Y42" s="94">
        <f ca="1">(TblPop[[#This Row],[Peasants]]-TblPop[[#This Row],[Draft Growth]])*raw_pop_growth</f>
        <v>20.34</v>
      </c>
      <c r="Z42" s="94">
        <f ca="1">ROUND(IF(TblPop[[#This Row],[Military%]]&lt;TblMili[[#This Row],[Draftrate]],ROUND(TblPop[[#This Row],[Peasants]]*Constants!$B$55,0), 0) * IF(AND(TblMagic[[#This Row],[Active DnD]]&lt;=12,TblMagic[[#This Row],[Active DnD]]&gt;6),1.6,1),0)</f>
        <v>7</v>
      </c>
      <c r="AA42" s="142"/>
      <c r="AB42" s="143">
        <f ca="1">Overview!$I$17 + IF(Magic!AF42&gt;0,Constants!$F$78) + ROUND(6*(Construction!BM43+Construction!CK42)/IF(Explore!S43&gt;0,Construction!F43-20,Construction!F43),4) + tech_6_5_2*Techs!BJ42 + tech_8_4*Techs!BT42</f>
        <v>0</v>
      </c>
      <c r="AC42" s="139">
        <f ca="1">(Overview!$I$16 + Imps!Z42+ tech_2_5*Techs!AB42 + tech_3_6*Techs!AM42 + tech_6_1*Techs!BJ42 + tech_6_5*Techs!BF42 + tech_7_3_2*Techs!BN42) * (1 + Production!O42/100*prestige_pop_multiplier) + Production!O42/100*prestige_pop_multiplier</f>
        <v>2.5000000000000001E-2</v>
      </c>
    </row>
    <row r="43" spans="1:29" x14ac:dyDescent="0.2">
      <c r="A43" s="137">
        <f>TblRezone[[#This Row],[Hour]]</f>
        <v>40</v>
      </c>
      <c r="B43" s="138">
        <f ca="1">TblImps[[#This Row],[Time]]</f>
        <v>46048.624999999905</v>
      </c>
      <c r="C43" s="94">
        <f ca="1">OFFSET(TblPop[[#This Row],[Peasants]],-1,0)+OFFSET(TblPop[[#This Row],[Net Peasant]],-1,0)+TblMili[[#This Row],[Release Draft]]</f>
        <v>678</v>
      </c>
      <c r="D43" s="94">
        <f ca="1">TblMili[[#This Row],[Military]]</f>
        <v>398</v>
      </c>
      <c r="E43" s="94">
        <f ca="1">TblMili[[#This Row],[Draftees]]</f>
        <v>398</v>
      </c>
      <c r="F43" s="94">
        <f ca="1">TblPop[[#This Row],[Peasants]]+TblPop[[#This Row],[Military]]</f>
        <v>1076</v>
      </c>
      <c r="G43" s="139">
        <f ca="1">TblPop[[#This Row],[Military]]/TblPop[[#This Row],[Total]]</f>
        <v>0.36988847583643125</v>
      </c>
      <c r="H43" s="140">
        <f ca="1">MIN(TblPop[[#This Row],[Peasants]],TblPop[[#This Row],[Jobs]])</f>
        <v>678</v>
      </c>
      <c r="I43" s="139">
        <f ca="1">MIN(OFFSET(TblPop[[#This Row],[Jobs]],1,0)/TblPop[[#This Row],[Peasants]],1)</f>
        <v>1</v>
      </c>
      <c r="J43" s="140">
        <f ca="1">SUM(TblConstr[[#This Row],[Tot Alc]:[Tot GT]],TblConstr[[#This Row],[Tot Shr]:[Tot Doc]],TblConstr[[#This Row],[Dest Alc]:[Dest GT]],TblConstr[[#This Row],[Dest Shr]:[Dest Doc]])*building_employment + TblConstr[[#This Row],[Tot Fac]]*bonus_jobs_facts</f>
        <v>1000</v>
      </c>
      <c r="K43" s="141"/>
      <c r="L43" s="61">
        <f ca="1">TblPop[[#This Row],[Draftees]]</f>
        <v>398</v>
      </c>
      <c r="M43" s="61">
        <f ca="1">TblMili[[#This Row],[Unit 1]]</f>
        <v>0</v>
      </c>
      <c r="N43" s="61">
        <f ca="1">TblMili[[#This Row],[Unit 2]]</f>
        <v>0</v>
      </c>
      <c r="O43" s="61">
        <f ca="1">TblMili[[#This Row],[Unit 3]]</f>
        <v>0</v>
      </c>
      <c r="P43" s="61">
        <f ca="1">TblMili[[#This Row],[Unit 4]]</f>
        <v>0</v>
      </c>
      <c r="Q43" s="61">
        <f ca="1">TblMili[[#This Row],[Spies]]</f>
        <v>0</v>
      </c>
      <c r="R43" s="61">
        <f ca="1">TblMili[[#This Row],[Wizards]]</f>
        <v>0</v>
      </c>
      <c r="S43" s="61">
        <f ca="1">TblMili[[#This Row],[Archmages]]</f>
        <v>0</v>
      </c>
      <c r="T43" s="142"/>
      <c r="U43" s="94">
        <f ca="1">ROUND(TblPop[[#This Row],[Raw max]]*(1+OFFSET(TblPop[[#This Row],[Max pop]],-1,0)),0)+MIN(TblPop[[#This Row],[Military]]-TblPop[[#This Row],[Draftees]]-SUM(TblMili[[#This Row],[Train Unit 1]:[Train AM]]),(barracks_size + tech_8_3*TblTech[[#This Row],[8-3]])*TblConstr[[#This Row],[Tot Bar]])</f>
        <v>1076</v>
      </c>
      <c r="V4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3" s="94">
        <f ca="1">MAX(-5%*TblPop[[#This Row],[Peasants]]-TblPop[[#This Row],[Draft Growth]],MIN(OFFSET(TblPop[[#This Row],[Net max]],1,0)-TblPop[[#This Row],[Peasants]]-TblPop[[#This Row],[Military]]-TblPop[[#This Row],[Draft Growth]],TblPop[[#This Row],[Modded Birth]]-TblPop[[#This Row],[Draft Growth]]))</f>
        <v>-7</v>
      </c>
      <c r="X43" s="94">
        <f ca="1">ROUND(TblPop[[#This Row],[Raw Birth]]*(1+TblPop[[#This Row],[Growth]]),0)</f>
        <v>20</v>
      </c>
      <c r="Y43" s="94">
        <f ca="1">(TblPop[[#This Row],[Peasants]]-TblPop[[#This Row],[Draft Growth]])*raw_pop_growth</f>
        <v>20.13</v>
      </c>
      <c r="Z43" s="94">
        <f ca="1">ROUND(IF(TblPop[[#This Row],[Military%]]&lt;TblMili[[#This Row],[Draftrate]],ROUND(TblPop[[#This Row],[Peasants]]*Constants!$B$55,0), 0) * IF(AND(TblMagic[[#This Row],[Active DnD]]&lt;=12,TblMagic[[#This Row],[Active DnD]]&gt;6),1.6,1),0)</f>
        <v>7</v>
      </c>
      <c r="AA43" s="142"/>
      <c r="AB43" s="143">
        <f ca="1">Overview!$I$17 + IF(Magic!AF43&gt;0,Constants!$F$78) + ROUND(6*(Construction!BM44+Construction!CK43)/IF(Explore!S44&gt;0,Construction!F44-20,Construction!F44),4) + tech_6_5_2*Techs!BJ43 + tech_8_4*Techs!BT43</f>
        <v>0</v>
      </c>
      <c r="AC43" s="139">
        <f ca="1">(Overview!$I$16 + Imps!Z43+ tech_2_5*Techs!AB43 + tech_3_6*Techs!AM43 + tech_6_1*Techs!BJ43 + tech_6_5*Techs!BF43 + tech_7_3_2*Techs!BN43) * (1 + Production!O43/100*prestige_pop_multiplier) + Production!O43/100*prestige_pop_multiplier</f>
        <v>2.5000000000000001E-2</v>
      </c>
    </row>
    <row r="44" spans="1:29" x14ac:dyDescent="0.2">
      <c r="A44" s="137">
        <f>TblRezone[[#This Row],[Hour]]</f>
        <v>41</v>
      </c>
      <c r="B44" s="138">
        <f ca="1">TblImps[[#This Row],[Time]]</f>
        <v>46048.66666666657</v>
      </c>
      <c r="C44" s="94">
        <f ca="1">OFFSET(TblPop[[#This Row],[Peasants]],-1,0)+OFFSET(TblPop[[#This Row],[Net Peasant]],-1,0)+TblMili[[#This Row],[Release Draft]]</f>
        <v>671</v>
      </c>
      <c r="D44" s="94">
        <f ca="1">TblMili[[#This Row],[Military]]</f>
        <v>405</v>
      </c>
      <c r="E44" s="94">
        <f ca="1">TblMili[[#This Row],[Draftees]]</f>
        <v>405</v>
      </c>
      <c r="F44" s="94">
        <f ca="1">TblPop[[#This Row],[Peasants]]+TblPop[[#This Row],[Military]]</f>
        <v>1076</v>
      </c>
      <c r="G44" s="139">
        <f ca="1">TblPop[[#This Row],[Military]]/TblPop[[#This Row],[Total]]</f>
        <v>0.37639405204460968</v>
      </c>
      <c r="H44" s="140">
        <f ca="1">MIN(TblPop[[#This Row],[Peasants]],TblPop[[#This Row],[Jobs]])</f>
        <v>671</v>
      </c>
      <c r="I44" s="139">
        <f ca="1">MIN(OFFSET(TblPop[[#This Row],[Jobs]],1,0)/TblPop[[#This Row],[Peasants]],1)</f>
        <v>1</v>
      </c>
      <c r="J44" s="140">
        <f ca="1">SUM(TblConstr[[#This Row],[Tot Alc]:[Tot GT]],TblConstr[[#This Row],[Tot Shr]:[Tot Doc]],TblConstr[[#This Row],[Dest Alc]:[Dest GT]],TblConstr[[#This Row],[Dest Shr]:[Dest Doc]])*building_employment + TblConstr[[#This Row],[Tot Fac]]*bonus_jobs_facts</f>
        <v>1000</v>
      </c>
      <c r="K44" s="141"/>
      <c r="L44" s="61">
        <f ca="1">TblPop[[#This Row],[Draftees]]</f>
        <v>405</v>
      </c>
      <c r="M44" s="61">
        <f ca="1">TblMili[[#This Row],[Unit 1]]</f>
        <v>0</v>
      </c>
      <c r="N44" s="61">
        <f ca="1">TblMili[[#This Row],[Unit 2]]</f>
        <v>0</v>
      </c>
      <c r="O44" s="61">
        <f ca="1">TblMili[[#This Row],[Unit 3]]</f>
        <v>0</v>
      </c>
      <c r="P44" s="61">
        <f ca="1">TblMili[[#This Row],[Unit 4]]</f>
        <v>0</v>
      </c>
      <c r="Q44" s="61">
        <f ca="1">TblMili[[#This Row],[Spies]]</f>
        <v>0</v>
      </c>
      <c r="R44" s="61">
        <f ca="1">TblMili[[#This Row],[Wizards]]</f>
        <v>0</v>
      </c>
      <c r="S44" s="61">
        <f ca="1">TblMili[[#This Row],[Archmages]]</f>
        <v>0</v>
      </c>
      <c r="T44" s="142"/>
      <c r="U44" s="94">
        <f ca="1">ROUND(TblPop[[#This Row],[Raw max]]*(1+OFFSET(TblPop[[#This Row],[Max pop]],-1,0)),0)+MIN(TblPop[[#This Row],[Military]]-TblPop[[#This Row],[Draftees]]-SUM(TblMili[[#This Row],[Train Unit 1]:[Train AM]]),(barracks_size + tech_8_3*TblTech[[#This Row],[8-3]])*TblConstr[[#This Row],[Tot Bar]])</f>
        <v>1076</v>
      </c>
      <c r="V4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4" s="94">
        <f ca="1">MAX(-5%*TblPop[[#This Row],[Peasants]]-TblPop[[#This Row],[Draft Growth]],MIN(OFFSET(TblPop[[#This Row],[Net max]],1,0)-TblPop[[#This Row],[Peasants]]-TblPop[[#This Row],[Military]]-TblPop[[#This Row],[Draft Growth]],TblPop[[#This Row],[Modded Birth]]-TblPop[[#This Row],[Draft Growth]]))</f>
        <v>-7</v>
      </c>
      <c r="X44" s="94">
        <f ca="1">ROUND(TblPop[[#This Row],[Raw Birth]]*(1+TblPop[[#This Row],[Growth]]),0)</f>
        <v>20</v>
      </c>
      <c r="Y44" s="94">
        <f ca="1">(TblPop[[#This Row],[Peasants]]-TblPop[[#This Row],[Draft Growth]])*raw_pop_growth</f>
        <v>19.919999999999998</v>
      </c>
      <c r="Z44" s="94">
        <f ca="1">ROUND(IF(TblPop[[#This Row],[Military%]]&lt;TblMili[[#This Row],[Draftrate]],ROUND(TblPop[[#This Row],[Peasants]]*Constants!$B$55,0), 0) * IF(AND(TblMagic[[#This Row],[Active DnD]]&lt;=12,TblMagic[[#This Row],[Active DnD]]&gt;6),1.6,1),0)</f>
        <v>7</v>
      </c>
      <c r="AA44" s="142"/>
      <c r="AB44" s="143">
        <f ca="1">Overview!$I$17 + IF(Magic!AF44&gt;0,Constants!$F$78) + ROUND(6*(Construction!BM45+Construction!CK44)/IF(Explore!S45&gt;0,Construction!F45-20,Construction!F45),4) + tech_6_5_2*Techs!BJ44 + tech_8_4*Techs!BT44</f>
        <v>0</v>
      </c>
      <c r="AC44" s="139">
        <f ca="1">(Overview!$I$16 + Imps!Z44+ tech_2_5*Techs!AB44 + tech_3_6*Techs!AM44 + tech_6_1*Techs!BJ44 + tech_6_5*Techs!BF44 + tech_7_3_2*Techs!BN44) * (1 + Production!O44/100*prestige_pop_multiplier) + Production!O44/100*prestige_pop_multiplier</f>
        <v>2.5000000000000001E-2</v>
      </c>
    </row>
    <row r="45" spans="1:29" x14ac:dyDescent="0.2">
      <c r="A45" s="137">
        <f>TblRezone[[#This Row],[Hour]]</f>
        <v>42</v>
      </c>
      <c r="B45" s="138">
        <f ca="1">TblImps[[#This Row],[Time]]</f>
        <v>46048.708333333234</v>
      </c>
      <c r="C45" s="94">
        <f ca="1">OFFSET(TblPop[[#This Row],[Peasants]],-1,0)+OFFSET(TblPop[[#This Row],[Net Peasant]],-1,0)+TblMili[[#This Row],[Release Draft]]</f>
        <v>664</v>
      </c>
      <c r="D45" s="94">
        <f ca="1">TblMili[[#This Row],[Military]]</f>
        <v>412</v>
      </c>
      <c r="E45" s="94">
        <f ca="1">TblMili[[#This Row],[Draftees]]</f>
        <v>412</v>
      </c>
      <c r="F45" s="94">
        <f ca="1">TblPop[[#This Row],[Peasants]]+TblPop[[#This Row],[Military]]</f>
        <v>1076</v>
      </c>
      <c r="G45" s="139">
        <f ca="1">TblPop[[#This Row],[Military]]/TblPop[[#This Row],[Total]]</f>
        <v>0.38289962825278812</v>
      </c>
      <c r="H45" s="140">
        <f ca="1">MIN(TblPop[[#This Row],[Peasants]],TblPop[[#This Row],[Jobs]])</f>
        <v>664</v>
      </c>
      <c r="I45" s="139">
        <f ca="1">MIN(OFFSET(TblPop[[#This Row],[Jobs]],1,0)/TblPop[[#This Row],[Peasants]],1)</f>
        <v>1</v>
      </c>
      <c r="J45" s="140">
        <f ca="1">SUM(TblConstr[[#This Row],[Tot Alc]:[Tot GT]],TblConstr[[#This Row],[Tot Shr]:[Tot Doc]],TblConstr[[#This Row],[Dest Alc]:[Dest GT]],TblConstr[[#This Row],[Dest Shr]:[Dest Doc]])*building_employment + TblConstr[[#This Row],[Tot Fac]]*bonus_jobs_facts</f>
        <v>1000</v>
      </c>
      <c r="K45" s="141"/>
      <c r="L45" s="61">
        <f ca="1">TblPop[[#This Row],[Draftees]]</f>
        <v>412</v>
      </c>
      <c r="M45" s="61">
        <f ca="1">TblMili[[#This Row],[Unit 1]]</f>
        <v>0</v>
      </c>
      <c r="N45" s="61">
        <f ca="1">TblMili[[#This Row],[Unit 2]]</f>
        <v>0</v>
      </c>
      <c r="O45" s="61">
        <f ca="1">TblMili[[#This Row],[Unit 3]]</f>
        <v>0</v>
      </c>
      <c r="P45" s="61">
        <f ca="1">TblMili[[#This Row],[Unit 4]]</f>
        <v>0</v>
      </c>
      <c r="Q45" s="61">
        <f ca="1">TblMili[[#This Row],[Spies]]</f>
        <v>0</v>
      </c>
      <c r="R45" s="61">
        <f ca="1">TblMili[[#This Row],[Wizards]]</f>
        <v>0</v>
      </c>
      <c r="S45" s="61">
        <f ca="1">TblMili[[#This Row],[Archmages]]</f>
        <v>0</v>
      </c>
      <c r="T45" s="142"/>
      <c r="U45" s="94">
        <f ca="1">ROUND(TblPop[[#This Row],[Raw max]]*(1+OFFSET(TblPop[[#This Row],[Max pop]],-1,0)),0)+MIN(TblPop[[#This Row],[Military]]-TblPop[[#This Row],[Draftees]]-SUM(TblMili[[#This Row],[Train Unit 1]:[Train AM]]),(barracks_size + tech_8_3*TblTech[[#This Row],[8-3]])*TblConstr[[#This Row],[Tot Bar]])</f>
        <v>1076</v>
      </c>
      <c r="V4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5" s="94">
        <f ca="1">MAX(-5%*TblPop[[#This Row],[Peasants]]-TblPop[[#This Row],[Draft Growth]],MIN(OFFSET(TblPop[[#This Row],[Net max]],1,0)-TblPop[[#This Row],[Peasants]]-TblPop[[#This Row],[Military]]-TblPop[[#This Row],[Draft Growth]],TblPop[[#This Row],[Modded Birth]]-TblPop[[#This Row],[Draft Growth]]))</f>
        <v>-7</v>
      </c>
      <c r="X45" s="94">
        <f ca="1">ROUND(TblPop[[#This Row],[Raw Birth]]*(1+TblPop[[#This Row],[Growth]]),0)</f>
        <v>20</v>
      </c>
      <c r="Y45" s="94">
        <f ca="1">(TblPop[[#This Row],[Peasants]]-TblPop[[#This Row],[Draft Growth]])*raw_pop_growth</f>
        <v>19.71</v>
      </c>
      <c r="Z45" s="94">
        <f ca="1">ROUND(IF(TblPop[[#This Row],[Military%]]&lt;TblMili[[#This Row],[Draftrate]],ROUND(TblPop[[#This Row],[Peasants]]*Constants!$B$55,0), 0) * IF(AND(TblMagic[[#This Row],[Active DnD]]&lt;=12,TblMagic[[#This Row],[Active DnD]]&gt;6),1.6,1),0)</f>
        <v>7</v>
      </c>
      <c r="AA45" s="142"/>
      <c r="AB45" s="143">
        <f ca="1">Overview!$I$17 + IF(Magic!AF45&gt;0,Constants!$F$78) + ROUND(6*(Construction!BM46+Construction!CK45)/IF(Explore!S46&gt;0,Construction!F46-20,Construction!F46),4) + tech_6_5_2*Techs!BJ45 + tech_8_4*Techs!BT45</f>
        <v>0</v>
      </c>
      <c r="AC45" s="139">
        <f ca="1">(Overview!$I$16 + Imps!Z45+ tech_2_5*Techs!AB45 + tech_3_6*Techs!AM45 + tech_6_1*Techs!BJ45 + tech_6_5*Techs!BF45 + tech_7_3_2*Techs!BN45) * (1 + Production!O45/100*prestige_pop_multiplier) + Production!O45/100*prestige_pop_multiplier</f>
        <v>2.5000000000000001E-2</v>
      </c>
    </row>
    <row r="46" spans="1:29" x14ac:dyDescent="0.2">
      <c r="A46" s="137">
        <f>TblRezone[[#This Row],[Hour]]</f>
        <v>43</v>
      </c>
      <c r="B46" s="138">
        <f ca="1">TblImps[[#This Row],[Time]]</f>
        <v>46048.749999999898</v>
      </c>
      <c r="C46" s="94">
        <f ca="1">OFFSET(TblPop[[#This Row],[Peasants]],-1,0)+OFFSET(TblPop[[#This Row],[Net Peasant]],-1,0)+TblMili[[#This Row],[Release Draft]]</f>
        <v>657</v>
      </c>
      <c r="D46" s="94">
        <f ca="1">TblMili[[#This Row],[Military]]</f>
        <v>419</v>
      </c>
      <c r="E46" s="94">
        <f ca="1">TblMili[[#This Row],[Draftees]]</f>
        <v>419</v>
      </c>
      <c r="F46" s="94">
        <f ca="1">TblPop[[#This Row],[Peasants]]+TblPop[[#This Row],[Military]]</f>
        <v>1076</v>
      </c>
      <c r="G46" s="139">
        <f ca="1">TblPop[[#This Row],[Military]]/TblPop[[#This Row],[Total]]</f>
        <v>0.38940520446096655</v>
      </c>
      <c r="H46" s="140">
        <f ca="1">MIN(TblPop[[#This Row],[Peasants]],TblPop[[#This Row],[Jobs]])</f>
        <v>657</v>
      </c>
      <c r="I46" s="139">
        <f ca="1">MIN(OFFSET(TblPop[[#This Row],[Jobs]],1,0)/TblPop[[#This Row],[Peasants]],1)</f>
        <v>1</v>
      </c>
      <c r="J46" s="140">
        <f ca="1">SUM(TblConstr[[#This Row],[Tot Alc]:[Tot GT]],TblConstr[[#This Row],[Tot Shr]:[Tot Doc]],TblConstr[[#This Row],[Dest Alc]:[Dest GT]],TblConstr[[#This Row],[Dest Shr]:[Dest Doc]])*building_employment + TblConstr[[#This Row],[Tot Fac]]*bonus_jobs_facts</f>
        <v>1000</v>
      </c>
      <c r="K46" s="141"/>
      <c r="L46" s="61">
        <f ca="1">TblPop[[#This Row],[Draftees]]</f>
        <v>419</v>
      </c>
      <c r="M46" s="61">
        <f ca="1">TblMili[[#This Row],[Unit 1]]</f>
        <v>0</v>
      </c>
      <c r="N46" s="61">
        <f ca="1">TblMili[[#This Row],[Unit 2]]</f>
        <v>0</v>
      </c>
      <c r="O46" s="61">
        <f ca="1">TblMili[[#This Row],[Unit 3]]</f>
        <v>0</v>
      </c>
      <c r="P46" s="61">
        <f ca="1">TblMili[[#This Row],[Unit 4]]</f>
        <v>0</v>
      </c>
      <c r="Q46" s="61">
        <f ca="1">TblMili[[#This Row],[Spies]]</f>
        <v>0</v>
      </c>
      <c r="R46" s="61">
        <f ca="1">TblMili[[#This Row],[Wizards]]</f>
        <v>0</v>
      </c>
      <c r="S46" s="61">
        <f ca="1">TblMili[[#This Row],[Archmages]]</f>
        <v>0</v>
      </c>
      <c r="T46" s="142"/>
      <c r="U46" s="94">
        <f ca="1">ROUND(TblPop[[#This Row],[Raw max]]*(1+OFFSET(TblPop[[#This Row],[Max pop]],-1,0)),0)+MIN(TblPop[[#This Row],[Military]]-TblPop[[#This Row],[Draftees]]-SUM(TblMili[[#This Row],[Train Unit 1]:[Train AM]]),(barracks_size + tech_8_3*TblTech[[#This Row],[8-3]])*TblConstr[[#This Row],[Tot Bar]])</f>
        <v>1076</v>
      </c>
      <c r="V4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6" s="94">
        <f ca="1">MAX(-5%*TblPop[[#This Row],[Peasants]]-TblPop[[#This Row],[Draft Growth]],MIN(OFFSET(TblPop[[#This Row],[Net max]],1,0)-TblPop[[#This Row],[Peasants]]-TblPop[[#This Row],[Military]]-TblPop[[#This Row],[Draft Growth]],TblPop[[#This Row],[Modded Birth]]-TblPop[[#This Row],[Draft Growth]]))</f>
        <v>-7</v>
      </c>
      <c r="X46" s="94">
        <f ca="1">ROUND(TblPop[[#This Row],[Raw Birth]]*(1+TblPop[[#This Row],[Growth]]),0)</f>
        <v>20</v>
      </c>
      <c r="Y46" s="94">
        <f ca="1">(TblPop[[#This Row],[Peasants]]-TblPop[[#This Row],[Draft Growth]])*raw_pop_growth</f>
        <v>19.5</v>
      </c>
      <c r="Z46" s="94">
        <f ca="1">ROUND(IF(TblPop[[#This Row],[Military%]]&lt;TblMili[[#This Row],[Draftrate]],ROUND(TblPop[[#This Row],[Peasants]]*Constants!$B$55,0), 0) * IF(AND(TblMagic[[#This Row],[Active DnD]]&lt;=12,TblMagic[[#This Row],[Active DnD]]&gt;6),1.6,1),0)</f>
        <v>7</v>
      </c>
      <c r="AA46" s="142"/>
      <c r="AB46" s="143">
        <f ca="1">Overview!$I$17 + IF(Magic!AF46&gt;0,Constants!$F$78) + ROUND(6*(Construction!BM47+Construction!CK46)/IF(Explore!S47&gt;0,Construction!F47-20,Construction!F47),4) + tech_6_5_2*Techs!BJ46 + tech_8_4*Techs!BT46</f>
        <v>0</v>
      </c>
      <c r="AC46" s="139">
        <f ca="1">(Overview!$I$16 + Imps!Z46+ tech_2_5*Techs!AB46 + tech_3_6*Techs!AM46 + tech_6_1*Techs!BJ46 + tech_6_5*Techs!BF46 + tech_7_3_2*Techs!BN46) * (1 + Production!O46/100*prestige_pop_multiplier) + Production!O46/100*prestige_pop_multiplier</f>
        <v>2.5000000000000001E-2</v>
      </c>
    </row>
    <row r="47" spans="1:29" x14ac:dyDescent="0.2">
      <c r="A47" s="137">
        <f>TblRezone[[#This Row],[Hour]]</f>
        <v>44</v>
      </c>
      <c r="B47" s="138">
        <f ca="1">TblImps[[#This Row],[Time]]</f>
        <v>46048.791666666562</v>
      </c>
      <c r="C47" s="94">
        <f ca="1">OFFSET(TblPop[[#This Row],[Peasants]],-1,0)+OFFSET(TblPop[[#This Row],[Net Peasant]],-1,0)+TblMili[[#This Row],[Release Draft]]</f>
        <v>650</v>
      </c>
      <c r="D47" s="94">
        <f ca="1">TblMili[[#This Row],[Military]]</f>
        <v>426</v>
      </c>
      <c r="E47" s="94">
        <f ca="1">TblMili[[#This Row],[Draftees]]</f>
        <v>426</v>
      </c>
      <c r="F47" s="94">
        <f ca="1">TblPop[[#This Row],[Peasants]]+TblPop[[#This Row],[Military]]</f>
        <v>1076</v>
      </c>
      <c r="G47" s="139">
        <f ca="1">TblPop[[#This Row],[Military]]/TblPop[[#This Row],[Total]]</f>
        <v>0.39591078066914498</v>
      </c>
      <c r="H47" s="140">
        <f ca="1">MIN(TblPop[[#This Row],[Peasants]],TblPop[[#This Row],[Jobs]])</f>
        <v>650</v>
      </c>
      <c r="I47" s="139">
        <f ca="1">MIN(OFFSET(TblPop[[#This Row],[Jobs]],1,0)/TblPop[[#This Row],[Peasants]],1)</f>
        <v>1</v>
      </c>
      <c r="J47" s="140">
        <f ca="1">SUM(TblConstr[[#This Row],[Tot Alc]:[Tot GT]],TblConstr[[#This Row],[Tot Shr]:[Tot Doc]],TblConstr[[#This Row],[Dest Alc]:[Dest GT]],TblConstr[[#This Row],[Dest Shr]:[Dest Doc]])*building_employment + TblConstr[[#This Row],[Tot Fac]]*bonus_jobs_facts</f>
        <v>1000</v>
      </c>
      <c r="K47" s="141"/>
      <c r="L47" s="61">
        <f ca="1">TblPop[[#This Row],[Draftees]]</f>
        <v>426</v>
      </c>
      <c r="M47" s="61">
        <f ca="1">TblMili[[#This Row],[Unit 1]]</f>
        <v>0</v>
      </c>
      <c r="N47" s="61">
        <f ca="1">TblMili[[#This Row],[Unit 2]]</f>
        <v>0</v>
      </c>
      <c r="O47" s="61">
        <f ca="1">TblMili[[#This Row],[Unit 3]]</f>
        <v>0</v>
      </c>
      <c r="P47" s="61">
        <f ca="1">TblMili[[#This Row],[Unit 4]]</f>
        <v>0</v>
      </c>
      <c r="Q47" s="61">
        <f ca="1">TblMili[[#This Row],[Spies]]</f>
        <v>0</v>
      </c>
      <c r="R47" s="61">
        <f ca="1">TblMili[[#This Row],[Wizards]]</f>
        <v>0</v>
      </c>
      <c r="S47" s="61">
        <f ca="1">TblMili[[#This Row],[Archmages]]</f>
        <v>0</v>
      </c>
      <c r="T47" s="142"/>
      <c r="U47" s="94">
        <f ca="1">ROUND(TblPop[[#This Row],[Raw max]]*(1+OFFSET(TblPop[[#This Row],[Max pop]],-1,0)),0)+MIN(TblPop[[#This Row],[Military]]-TblPop[[#This Row],[Draftees]]-SUM(TblMili[[#This Row],[Train Unit 1]:[Train AM]]),(barracks_size + tech_8_3*TblTech[[#This Row],[8-3]])*TblConstr[[#This Row],[Tot Bar]])</f>
        <v>1076</v>
      </c>
      <c r="V4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7" s="94">
        <f ca="1">MAX(-5%*TblPop[[#This Row],[Peasants]]-TblPop[[#This Row],[Draft Growth]],MIN(OFFSET(TblPop[[#This Row],[Net max]],1,0)-TblPop[[#This Row],[Peasants]]-TblPop[[#This Row],[Military]]-TblPop[[#This Row],[Draft Growth]],TblPop[[#This Row],[Modded Birth]]-TblPop[[#This Row],[Draft Growth]]))</f>
        <v>-7</v>
      </c>
      <c r="X47" s="94">
        <f ca="1">ROUND(TblPop[[#This Row],[Raw Birth]]*(1+TblPop[[#This Row],[Growth]]),0)</f>
        <v>19</v>
      </c>
      <c r="Y47" s="94">
        <f ca="1">(TblPop[[#This Row],[Peasants]]-TblPop[[#This Row],[Draft Growth]])*raw_pop_growth</f>
        <v>19.29</v>
      </c>
      <c r="Z47" s="94">
        <f ca="1">ROUND(IF(TblPop[[#This Row],[Military%]]&lt;TblMili[[#This Row],[Draftrate]],ROUND(TblPop[[#This Row],[Peasants]]*Constants!$B$55,0), 0) * IF(AND(TblMagic[[#This Row],[Active DnD]]&lt;=12,TblMagic[[#This Row],[Active DnD]]&gt;6),1.6,1),0)</f>
        <v>7</v>
      </c>
      <c r="AA47" s="142"/>
      <c r="AB47" s="143">
        <f ca="1">Overview!$I$17 + IF(Magic!AF47&gt;0,Constants!$F$78) + ROUND(6*(Construction!BM48+Construction!CK47)/IF(Explore!S48&gt;0,Construction!F48-20,Construction!F48),4) + tech_6_5_2*Techs!BJ47 + tech_8_4*Techs!BT47</f>
        <v>0</v>
      </c>
      <c r="AC47" s="139">
        <f ca="1">(Overview!$I$16 + Imps!Z47+ tech_2_5*Techs!AB47 + tech_3_6*Techs!AM47 + tech_6_1*Techs!BJ47 + tech_6_5*Techs!BF47 + tech_7_3_2*Techs!BN47) * (1 + Production!O47/100*prestige_pop_multiplier) + Production!O47/100*prestige_pop_multiplier</f>
        <v>2.5000000000000001E-2</v>
      </c>
    </row>
    <row r="48" spans="1:29" x14ac:dyDescent="0.2">
      <c r="A48" s="137">
        <f>TblRezone[[#This Row],[Hour]]</f>
        <v>45</v>
      </c>
      <c r="B48" s="138">
        <f ca="1">TblImps[[#This Row],[Time]]</f>
        <v>46048.833333333227</v>
      </c>
      <c r="C48" s="94">
        <f ca="1">OFFSET(TblPop[[#This Row],[Peasants]],-1,0)+OFFSET(TblPop[[#This Row],[Net Peasant]],-1,0)+TblMili[[#This Row],[Release Draft]]</f>
        <v>643</v>
      </c>
      <c r="D48" s="94">
        <f ca="1">TblMili[[#This Row],[Military]]</f>
        <v>433</v>
      </c>
      <c r="E48" s="94">
        <f ca="1">TblMili[[#This Row],[Draftees]]</f>
        <v>433</v>
      </c>
      <c r="F48" s="94">
        <f ca="1">TblPop[[#This Row],[Peasants]]+TblPop[[#This Row],[Military]]</f>
        <v>1076</v>
      </c>
      <c r="G48" s="139">
        <f ca="1">TblPop[[#This Row],[Military]]/TblPop[[#This Row],[Total]]</f>
        <v>0.40241635687732341</v>
      </c>
      <c r="H48" s="140">
        <f ca="1">MIN(TblPop[[#This Row],[Peasants]],TblPop[[#This Row],[Jobs]])</f>
        <v>643</v>
      </c>
      <c r="I48" s="139">
        <f ca="1">MIN(OFFSET(TblPop[[#This Row],[Jobs]],1,0)/TblPop[[#This Row],[Peasants]],1)</f>
        <v>1</v>
      </c>
      <c r="J48" s="140">
        <f ca="1">SUM(TblConstr[[#This Row],[Tot Alc]:[Tot GT]],TblConstr[[#This Row],[Tot Shr]:[Tot Doc]],TblConstr[[#This Row],[Dest Alc]:[Dest GT]],TblConstr[[#This Row],[Dest Shr]:[Dest Doc]])*building_employment + TblConstr[[#This Row],[Tot Fac]]*bonus_jobs_facts</f>
        <v>1000</v>
      </c>
      <c r="K48" s="141"/>
      <c r="L48" s="61">
        <f ca="1">TblPop[[#This Row],[Draftees]]</f>
        <v>433</v>
      </c>
      <c r="M48" s="61">
        <f ca="1">TblMili[[#This Row],[Unit 1]]</f>
        <v>0</v>
      </c>
      <c r="N48" s="61">
        <f ca="1">TblMili[[#This Row],[Unit 2]]</f>
        <v>0</v>
      </c>
      <c r="O48" s="61">
        <f ca="1">TblMili[[#This Row],[Unit 3]]</f>
        <v>0</v>
      </c>
      <c r="P48" s="61">
        <f ca="1">TblMili[[#This Row],[Unit 4]]</f>
        <v>0</v>
      </c>
      <c r="Q48" s="61">
        <f ca="1">TblMili[[#This Row],[Spies]]</f>
        <v>0</v>
      </c>
      <c r="R48" s="61">
        <f ca="1">TblMili[[#This Row],[Wizards]]</f>
        <v>0</v>
      </c>
      <c r="S48" s="61">
        <f ca="1">TblMili[[#This Row],[Archmages]]</f>
        <v>0</v>
      </c>
      <c r="T48" s="142"/>
      <c r="U48" s="94">
        <f ca="1">ROUND(TblPop[[#This Row],[Raw max]]*(1+OFFSET(TblPop[[#This Row],[Max pop]],-1,0)),0)+MIN(TblPop[[#This Row],[Military]]-TblPop[[#This Row],[Draftees]]-SUM(TblMili[[#This Row],[Train Unit 1]:[Train AM]]),(barracks_size + tech_8_3*TblTech[[#This Row],[8-3]])*TblConstr[[#This Row],[Tot Bar]])</f>
        <v>1076</v>
      </c>
      <c r="V4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8" s="94">
        <f ca="1">MAX(-5%*TblPop[[#This Row],[Peasants]]-TblPop[[#This Row],[Draft Growth]],MIN(OFFSET(TblPop[[#This Row],[Net max]],1,0)-TblPop[[#This Row],[Peasants]]-TblPop[[#This Row],[Military]]-TblPop[[#This Row],[Draft Growth]],TblPop[[#This Row],[Modded Birth]]-TblPop[[#This Row],[Draft Growth]]))</f>
        <v>-6</v>
      </c>
      <c r="X48" s="94">
        <f ca="1">ROUND(TblPop[[#This Row],[Raw Birth]]*(1+TblPop[[#This Row],[Growth]]),0)</f>
        <v>19</v>
      </c>
      <c r="Y48" s="94">
        <f ca="1">(TblPop[[#This Row],[Peasants]]-TblPop[[#This Row],[Draft Growth]])*raw_pop_growth</f>
        <v>19.11</v>
      </c>
      <c r="Z48" s="94">
        <f ca="1">ROUND(IF(TblPop[[#This Row],[Military%]]&lt;TblMili[[#This Row],[Draftrate]],ROUND(TblPop[[#This Row],[Peasants]]*Constants!$B$55,0), 0) * IF(AND(TblMagic[[#This Row],[Active DnD]]&lt;=12,TblMagic[[#This Row],[Active DnD]]&gt;6),1.6,1),0)</f>
        <v>6</v>
      </c>
      <c r="AA48" s="142"/>
      <c r="AB48" s="143">
        <f ca="1">Overview!$I$17 + IF(Magic!AF48&gt;0,Constants!$F$78) + ROUND(6*(Construction!BM49+Construction!CK48)/IF(Explore!S49&gt;0,Construction!F49-20,Construction!F49),4) + tech_6_5_2*Techs!BJ48 + tech_8_4*Techs!BT48</f>
        <v>0</v>
      </c>
      <c r="AC48" s="139">
        <f ca="1">(Overview!$I$16 + Imps!Z48+ tech_2_5*Techs!AB48 + tech_3_6*Techs!AM48 + tech_6_1*Techs!BJ48 + tech_6_5*Techs!BF48 + tech_7_3_2*Techs!BN48) * (1 + Production!O48/100*prestige_pop_multiplier) + Production!O48/100*prestige_pop_multiplier</f>
        <v>2.5000000000000001E-2</v>
      </c>
    </row>
    <row r="49" spans="1:29" x14ac:dyDescent="0.2">
      <c r="A49" s="137">
        <f>TblRezone[[#This Row],[Hour]]</f>
        <v>46</v>
      </c>
      <c r="B49" s="138">
        <f ca="1">TblImps[[#This Row],[Time]]</f>
        <v>46048.874999999891</v>
      </c>
      <c r="C49" s="94">
        <f ca="1">OFFSET(TblPop[[#This Row],[Peasants]],-1,0)+OFFSET(TblPop[[#This Row],[Net Peasant]],-1,0)+TblMili[[#This Row],[Release Draft]]</f>
        <v>637</v>
      </c>
      <c r="D49" s="94">
        <f ca="1">TblMili[[#This Row],[Military]]</f>
        <v>439</v>
      </c>
      <c r="E49" s="94">
        <f ca="1">TblMili[[#This Row],[Draftees]]</f>
        <v>439</v>
      </c>
      <c r="F49" s="94">
        <f ca="1">TblPop[[#This Row],[Peasants]]+TblPop[[#This Row],[Military]]</f>
        <v>1076</v>
      </c>
      <c r="G49" s="139">
        <f ca="1">TblPop[[#This Row],[Military]]/TblPop[[#This Row],[Total]]</f>
        <v>0.40799256505576209</v>
      </c>
      <c r="H49" s="140">
        <f ca="1">MIN(TblPop[[#This Row],[Peasants]],TblPop[[#This Row],[Jobs]])</f>
        <v>637</v>
      </c>
      <c r="I49" s="139">
        <f ca="1">MIN(OFFSET(TblPop[[#This Row],[Jobs]],1,0)/TblPop[[#This Row],[Peasants]],1)</f>
        <v>1</v>
      </c>
      <c r="J49" s="140">
        <f ca="1">SUM(TblConstr[[#This Row],[Tot Alc]:[Tot GT]],TblConstr[[#This Row],[Tot Shr]:[Tot Doc]],TblConstr[[#This Row],[Dest Alc]:[Dest GT]],TblConstr[[#This Row],[Dest Shr]:[Dest Doc]])*building_employment + TblConstr[[#This Row],[Tot Fac]]*bonus_jobs_facts</f>
        <v>1000</v>
      </c>
      <c r="K49" s="141"/>
      <c r="L49" s="61">
        <f ca="1">TblPop[[#This Row],[Draftees]]</f>
        <v>439</v>
      </c>
      <c r="M49" s="61">
        <f ca="1">TblMili[[#This Row],[Unit 1]]</f>
        <v>0</v>
      </c>
      <c r="N49" s="61">
        <f ca="1">TblMili[[#This Row],[Unit 2]]</f>
        <v>0</v>
      </c>
      <c r="O49" s="61">
        <f ca="1">TblMili[[#This Row],[Unit 3]]</f>
        <v>0</v>
      </c>
      <c r="P49" s="61">
        <f ca="1">TblMili[[#This Row],[Unit 4]]</f>
        <v>0</v>
      </c>
      <c r="Q49" s="61">
        <f ca="1">TblMili[[#This Row],[Spies]]</f>
        <v>0</v>
      </c>
      <c r="R49" s="61">
        <f ca="1">TblMili[[#This Row],[Wizards]]</f>
        <v>0</v>
      </c>
      <c r="S49" s="61">
        <f ca="1">TblMili[[#This Row],[Archmages]]</f>
        <v>0</v>
      </c>
      <c r="T49" s="142"/>
      <c r="U49" s="94">
        <f ca="1">ROUND(TblPop[[#This Row],[Raw max]]*(1+OFFSET(TblPop[[#This Row],[Max pop]],-1,0)),0)+MIN(TblPop[[#This Row],[Military]]-TblPop[[#This Row],[Draftees]]-SUM(TblMili[[#This Row],[Train Unit 1]:[Train AM]]),(barracks_size + tech_8_3*TblTech[[#This Row],[8-3]])*TblConstr[[#This Row],[Tot Bar]])</f>
        <v>1076</v>
      </c>
      <c r="V4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49" s="94">
        <f ca="1">MAX(-5%*TblPop[[#This Row],[Peasants]]-TblPop[[#This Row],[Draft Growth]],MIN(OFFSET(TblPop[[#This Row],[Net max]],1,0)-TblPop[[#This Row],[Peasants]]-TblPop[[#This Row],[Military]]-TblPop[[#This Row],[Draft Growth]],TblPop[[#This Row],[Modded Birth]]-TblPop[[#This Row],[Draft Growth]]))</f>
        <v>-6</v>
      </c>
      <c r="X49" s="94">
        <f ca="1">ROUND(TblPop[[#This Row],[Raw Birth]]*(1+TblPop[[#This Row],[Growth]]),0)</f>
        <v>19</v>
      </c>
      <c r="Y49" s="94">
        <f ca="1">(TblPop[[#This Row],[Peasants]]-TblPop[[#This Row],[Draft Growth]])*raw_pop_growth</f>
        <v>18.93</v>
      </c>
      <c r="Z49" s="94">
        <f ca="1">ROUND(IF(TblPop[[#This Row],[Military%]]&lt;TblMili[[#This Row],[Draftrate]],ROUND(TblPop[[#This Row],[Peasants]]*Constants!$B$55,0), 0) * IF(AND(TblMagic[[#This Row],[Active DnD]]&lt;=12,TblMagic[[#This Row],[Active DnD]]&gt;6),1.6,1),0)</f>
        <v>6</v>
      </c>
      <c r="AA49" s="142"/>
      <c r="AB49" s="143">
        <f ca="1">Overview!$I$17 + IF(Magic!AF49&gt;0,Constants!$F$78) + ROUND(6*(Construction!BM50+Construction!CK49)/IF(Explore!S50&gt;0,Construction!F50-20,Construction!F50),4) + tech_6_5_2*Techs!BJ49 + tech_8_4*Techs!BT49</f>
        <v>0</v>
      </c>
      <c r="AC49" s="139">
        <f ca="1">(Overview!$I$16 + Imps!Z49+ tech_2_5*Techs!AB49 + tech_3_6*Techs!AM49 + tech_6_1*Techs!BJ49 + tech_6_5*Techs!BF49 + tech_7_3_2*Techs!BN49) * (1 + Production!O49/100*prestige_pop_multiplier) + Production!O49/100*prestige_pop_multiplier</f>
        <v>2.5000000000000001E-2</v>
      </c>
    </row>
    <row r="50" spans="1:29" x14ac:dyDescent="0.2">
      <c r="A50" s="137">
        <f>TblRezone[[#This Row],[Hour]]</f>
        <v>47</v>
      </c>
      <c r="B50" s="138">
        <f ca="1">TblImps[[#This Row],[Time]]</f>
        <v>46048.916666666555</v>
      </c>
      <c r="C50" s="94">
        <f ca="1">OFFSET(TblPop[[#This Row],[Peasants]],-1,0)+OFFSET(TblPop[[#This Row],[Net Peasant]],-1,0)+TblMili[[#This Row],[Release Draft]]</f>
        <v>631</v>
      </c>
      <c r="D50" s="94">
        <f ca="1">TblMili[[#This Row],[Military]]</f>
        <v>445</v>
      </c>
      <c r="E50" s="94">
        <f ca="1">TblMili[[#This Row],[Draftees]]</f>
        <v>445</v>
      </c>
      <c r="F50" s="94">
        <f ca="1">TblPop[[#This Row],[Peasants]]+TblPop[[#This Row],[Military]]</f>
        <v>1076</v>
      </c>
      <c r="G50" s="139">
        <f ca="1">TblPop[[#This Row],[Military]]/TblPop[[#This Row],[Total]]</f>
        <v>0.41356877323420077</v>
      </c>
      <c r="H50" s="140">
        <f ca="1">MIN(TblPop[[#This Row],[Peasants]],TblPop[[#This Row],[Jobs]])</f>
        <v>631</v>
      </c>
      <c r="I50" s="139">
        <f ca="1">MIN(OFFSET(TblPop[[#This Row],[Jobs]],1,0)/TblPop[[#This Row],[Peasants]],1)</f>
        <v>1</v>
      </c>
      <c r="J50" s="140">
        <f ca="1">SUM(TblConstr[[#This Row],[Tot Alc]:[Tot GT]],TblConstr[[#This Row],[Tot Shr]:[Tot Doc]],TblConstr[[#This Row],[Dest Alc]:[Dest GT]],TblConstr[[#This Row],[Dest Shr]:[Dest Doc]])*building_employment + TblConstr[[#This Row],[Tot Fac]]*bonus_jobs_facts</f>
        <v>1000</v>
      </c>
      <c r="K50" s="141"/>
      <c r="L50" s="61">
        <f ca="1">TblPop[[#This Row],[Draftees]]</f>
        <v>445</v>
      </c>
      <c r="M50" s="61">
        <f ca="1">TblMili[[#This Row],[Unit 1]]</f>
        <v>0</v>
      </c>
      <c r="N50" s="61">
        <f ca="1">TblMili[[#This Row],[Unit 2]]</f>
        <v>0</v>
      </c>
      <c r="O50" s="61">
        <f ca="1">TblMili[[#This Row],[Unit 3]]</f>
        <v>0</v>
      </c>
      <c r="P50" s="61">
        <f ca="1">TblMili[[#This Row],[Unit 4]]</f>
        <v>0</v>
      </c>
      <c r="Q50" s="61">
        <f ca="1">TblMili[[#This Row],[Spies]]</f>
        <v>0</v>
      </c>
      <c r="R50" s="61">
        <f ca="1">TblMili[[#This Row],[Wizards]]</f>
        <v>0</v>
      </c>
      <c r="S50" s="61">
        <f ca="1">TblMili[[#This Row],[Archmages]]</f>
        <v>0</v>
      </c>
      <c r="T50" s="142"/>
      <c r="U50" s="94">
        <f ca="1">ROUND(TblPop[[#This Row],[Raw max]]*(1+OFFSET(TblPop[[#This Row],[Max pop]],-1,0)),0)+MIN(TblPop[[#This Row],[Military]]-TblPop[[#This Row],[Draftees]]-SUM(TblMili[[#This Row],[Train Unit 1]:[Train AM]]),(barracks_size + tech_8_3*TblTech[[#This Row],[8-3]])*TblConstr[[#This Row],[Tot Bar]])</f>
        <v>1076</v>
      </c>
      <c r="V5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0" s="94">
        <f ca="1">MAX(-5%*TblPop[[#This Row],[Peasants]]-TblPop[[#This Row],[Draft Growth]],MIN(OFFSET(TblPop[[#This Row],[Net max]],1,0)-TblPop[[#This Row],[Peasants]]-TblPop[[#This Row],[Military]]-TblPop[[#This Row],[Draft Growth]],TblPop[[#This Row],[Modded Birth]]-TblPop[[#This Row],[Draft Growth]]))</f>
        <v>-6</v>
      </c>
      <c r="X50" s="94">
        <f ca="1">ROUND(TblPop[[#This Row],[Raw Birth]]*(1+TblPop[[#This Row],[Growth]]),0)</f>
        <v>19</v>
      </c>
      <c r="Y50" s="94">
        <f ca="1">(TblPop[[#This Row],[Peasants]]-TblPop[[#This Row],[Draft Growth]])*raw_pop_growth</f>
        <v>18.75</v>
      </c>
      <c r="Z50" s="94">
        <f ca="1">ROUND(IF(TblPop[[#This Row],[Military%]]&lt;TblMili[[#This Row],[Draftrate]],ROUND(TblPop[[#This Row],[Peasants]]*Constants!$B$55,0), 0) * IF(AND(TblMagic[[#This Row],[Active DnD]]&lt;=12,TblMagic[[#This Row],[Active DnD]]&gt;6),1.6,1),0)</f>
        <v>6</v>
      </c>
      <c r="AA50" s="142"/>
      <c r="AB50" s="143">
        <f ca="1">Overview!$I$17 + IF(Magic!AF50&gt;0,Constants!$F$78) + ROUND(6*(Construction!BM51+Construction!CK50)/IF(Explore!S51&gt;0,Construction!F51-20,Construction!F51),4) + tech_6_5_2*Techs!BJ50 + tech_8_4*Techs!BT50</f>
        <v>0</v>
      </c>
      <c r="AC50" s="139">
        <f ca="1">(Overview!$I$16 + Imps!Z50+ tech_2_5*Techs!AB50 + tech_3_6*Techs!AM50 + tech_6_1*Techs!BJ50 + tech_6_5*Techs!BF50 + tech_7_3_2*Techs!BN50) * (1 + Production!O50/100*prestige_pop_multiplier) + Production!O50/100*prestige_pop_multiplier</f>
        <v>2.5000000000000001E-2</v>
      </c>
    </row>
    <row r="51" spans="1:29" x14ac:dyDescent="0.2">
      <c r="A51" s="137">
        <f>TblRezone[[#This Row],[Hour]]</f>
        <v>48</v>
      </c>
      <c r="B51" s="138">
        <f ca="1">TblImps[[#This Row],[Time]]</f>
        <v>46048.958333333219</v>
      </c>
      <c r="C51" s="94">
        <f ca="1">OFFSET(TblPop[[#This Row],[Peasants]],-1,0)+OFFSET(TblPop[[#This Row],[Net Peasant]],-1,0)+TblMili[[#This Row],[Release Draft]]</f>
        <v>625</v>
      </c>
      <c r="D51" s="94">
        <f ca="1">TblMili[[#This Row],[Military]]</f>
        <v>451</v>
      </c>
      <c r="E51" s="94">
        <f ca="1">TblMili[[#This Row],[Draftees]]</f>
        <v>451</v>
      </c>
      <c r="F51" s="94">
        <f ca="1">TblPop[[#This Row],[Peasants]]+TblPop[[#This Row],[Military]]</f>
        <v>1076</v>
      </c>
      <c r="G51" s="139">
        <f ca="1">TblPop[[#This Row],[Military]]/TblPop[[#This Row],[Total]]</f>
        <v>0.41914498141263939</v>
      </c>
      <c r="H51" s="140">
        <f ca="1">MIN(TblPop[[#This Row],[Peasants]],TblPop[[#This Row],[Jobs]])</f>
        <v>625</v>
      </c>
      <c r="I51" s="139">
        <f ca="1">MIN(OFFSET(TblPop[[#This Row],[Jobs]],1,0)/TblPop[[#This Row],[Peasants]],1)</f>
        <v>1</v>
      </c>
      <c r="J51" s="140">
        <f ca="1">SUM(TblConstr[[#This Row],[Tot Alc]:[Tot GT]],TblConstr[[#This Row],[Tot Shr]:[Tot Doc]],TblConstr[[#This Row],[Dest Alc]:[Dest GT]],TblConstr[[#This Row],[Dest Shr]:[Dest Doc]])*building_employment + TblConstr[[#This Row],[Tot Fac]]*bonus_jobs_facts</f>
        <v>1000</v>
      </c>
      <c r="K51" s="141"/>
      <c r="L51" s="61">
        <f ca="1">TblPop[[#This Row],[Draftees]]</f>
        <v>451</v>
      </c>
      <c r="M51" s="61">
        <f ca="1">TblMili[[#This Row],[Unit 1]]</f>
        <v>0</v>
      </c>
      <c r="N51" s="61">
        <f ca="1">TblMili[[#This Row],[Unit 2]]</f>
        <v>0</v>
      </c>
      <c r="O51" s="61">
        <f ca="1">TblMili[[#This Row],[Unit 3]]</f>
        <v>0</v>
      </c>
      <c r="P51" s="61">
        <f ca="1">TblMili[[#This Row],[Unit 4]]</f>
        <v>0</v>
      </c>
      <c r="Q51" s="61">
        <f ca="1">TblMili[[#This Row],[Spies]]</f>
        <v>0</v>
      </c>
      <c r="R51" s="61">
        <f ca="1">TblMili[[#This Row],[Wizards]]</f>
        <v>0</v>
      </c>
      <c r="S51" s="61">
        <f ca="1">TblMili[[#This Row],[Archmages]]</f>
        <v>0</v>
      </c>
      <c r="T51" s="142"/>
      <c r="U51" s="94">
        <f ca="1">ROUND(TblPop[[#This Row],[Raw max]]*(1+OFFSET(TblPop[[#This Row],[Max pop]],-1,0)),0)+MIN(TblPop[[#This Row],[Military]]-TblPop[[#This Row],[Draftees]]-SUM(TblMili[[#This Row],[Train Unit 1]:[Train AM]]),(barracks_size + tech_8_3*TblTech[[#This Row],[8-3]])*TblConstr[[#This Row],[Tot Bar]])</f>
        <v>1076</v>
      </c>
      <c r="V5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1" s="94">
        <f ca="1">MAX(-5%*TblPop[[#This Row],[Peasants]]-TblPop[[#This Row],[Draft Growth]],MIN(OFFSET(TblPop[[#This Row],[Net max]],1,0)-TblPop[[#This Row],[Peasants]]-TblPop[[#This Row],[Military]]-TblPop[[#This Row],[Draft Growth]],TblPop[[#This Row],[Modded Birth]]-TblPop[[#This Row],[Draft Growth]]))</f>
        <v>-6</v>
      </c>
      <c r="X51" s="94">
        <f ca="1">ROUND(TblPop[[#This Row],[Raw Birth]]*(1+TblPop[[#This Row],[Growth]]),0)</f>
        <v>19</v>
      </c>
      <c r="Y51" s="94">
        <f ca="1">(TblPop[[#This Row],[Peasants]]-TblPop[[#This Row],[Draft Growth]])*raw_pop_growth</f>
        <v>18.57</v>
      </c>
      <c r="Z51" s="94">
        <f ca="1">ROUND(IF(TblPop[[#This Row],[Military%]]&lt;TblMili[[#This Row],[Draftrate]],ROUND(TblPop[[#This Row],[Peasants]]*Constants!$B$55,0), 0) * IF(AND(TblMagic[[#This Row],[Active DnD]]&lt;=12,TblMagic[[#This Row],[Active DnD]]&gt;6),1.6,1),0)</f>
        <v>6</v>
      </c>
      <c r="AA51" s="142"/>
      <c r="AB51" s="143">
        <f ca="1">Overview!$I$17 + IF(Magic!AF51&gt;0,Constants!$F$78) + ROUND(6*(Construction!BM52+Construction!CK51)/IF(Explore!S52&gt;0,Construction!F52-20,Construction!F52),4) + tech_6_5_2*Techs!BJ51 + tech_8_4*Techs!BT51</f>
        <v>0</v>
      </c>
      <c r="AC51" s="139">
        <f ca="1">(Overview!$I$16 + Imps!Z51+ tech_2_5*Techs!AB51 + tech_3_6*Techs!AM51 + tech_6_1*Techs!BJ51 + tech_6_5*Techs!BF51 + tech_7_3_2*Techs!BN51) * (1 + Production!O51/100*prestige_pop_multiplier) + Production!O51/100*prestige_pop_multiplier</f>
        <v>2.5000000000000001E-2</v>
      </c>
    </row>
    <row r="52" spans="1:29" x14ac:dyDescent="0.2">
      <c r="A52" s="144">
        <f>TblRezone[[#This Row],[Hour]]</f>
        <v>49</v>
      </c>
      <c r="B52" s="145">
        <f ca="1">TblImps[[#This Row],[Time]]</f>
        <v>46048.999999999884</v>
      </c>
      <c r="C52" s="35">
        <f ca="1">OFFSET(TblPop[[#This Row],[Peasants]],-1,0)+OFFSET(TblPop[[#This Row],[Net Peasant]],-1,0)+TblMili[[#This Row],[Release Draft]]</f>
        <v>619</v>
      </c>
      <c r="D52" s="35">
        <f ca="1">TblMili[[#This Row],[Military]]</f>
        <v>457</v>
      </c>
      <c r="E52" s="35">
        <f ca="1">TblMili[[#This Row],[Draftees]]</f>
        <v>457</v>
      </c>
      <c r="F52" s="35">
        <f ca="1">TblPop[[#This Row],[Peasants]]+TblPop[[#This Row],[Military]]</f>
        <v>1076</v>
      </c>
      <c r="G52" s="146">
        <f ca="1">TblPop[[#This Row],[Military]]/TblPop[[#This Row],[Total]]</f>
        <v>0.42472118959107807</v>
      </c>
      <c r="H52" s="147">
        <f ca="1">MIN(TblPop[[#This Row],[Peasants]],TblPop[[#This Row],[Jobs]])</f>
        <v>619</v>
      </c>
      <c r="I52" s="146">
        <f ca="1">MIN(OFFSET(TblPop[[#This Row],[Jobs]],1,0)/TblPop[[#This Row],[Peasants]],1)</f>
        <v>1</v>
      </c>
      <c r="J52" s="147">
        <f ca="1">SUM(TblConstr[[#This Row],[Tot Alc]:[Tot GT]],TblConstr[[#This Row],[Tot Shr]:[Tot Doc]],TblConstr[[#This Row],[Dest Alc]:[Dest GT]],TblConstr[[#This Row],[Dest Shr]:[Dest Doc]])*building_employment + TblConstr[[#This Row],[Tot Fac]]*bonus_jobs_facts</f>
        <v>1000</v>
      </c>
      <c r="K52" s="425"/>
      <c r="L52" s="148">
        <f ca="1">TblPop[[#This Row],[Draftees]]</f>
        <v>457</v>
      </c>
      <c r="M52" s="148">
        <f ca="1">TblMili[[#This Row],[Unit 1]]</f>
        <v>0</v>
      </c>
      <c r="N52" s="148">
        <f ca="1">TblMili[[#This Row],[Unit 2]]</f>
        <v>0</v>
      </c>
      <c r="O52" s="148">
        <f ca="1">TblMili[[#This Row],[Unit 3]]</f>
        <v>0</v>
      </c>
      <c r="P52" s="148">
        <f ca="1">TblMili[[#This Row],[Unit 4]]</f>
        <v>0</v>
      </c>
      <c r="Q52" s="148">
        <f ca="1">TblMili[[#This Row],[Spies]]</f>
        <v>0</v>
      </c>
      <c r="R52" s="148">
        <f ca="1">TblMili[[#This Row],[Wizards]]</f>
        <v>0</v>
      </c>
      <c r="S52" s="148">
        <f ca="1">TblMili[[#This Row],[Archmages]]</f>
        <v>0</v>
      </c>
      <c r="T52" s="149"/>
      <c r="U52" s="35">
        <f ca="1">ROUND(TblPop[[#This Row],[Raw max]]*(1+OFFSET(TblPop[[#This Row],[Max pop]],-1,0)),0)+MIN(TblPop[[#This Row],[Military]]-TblPop[[#This Row],[Draftees]]-SUM(TblMili[[#This Row],[Train Unit 1]:[Train AM]]),(barracks_size + tech_8_3*TblTech[[#This Row],[8-3]])*TblConstr[[#This Row],[Tot Bar]])</f>
        <v>1076</v>
      </c>
      <c r="V52" s="35">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2" s="35">
        <f ca="1">MAX(-5%*TblPop[[#This Row],[Peasants]]-TblPop[[#This Row],[Draft Growth]],MIN(OFFSET(TblPop[[#This Row],[Net max]],1,0)-TblPop[[#This Row],[Peasants]]-TblPop[[#This Row],[Military]]-TblPop[[#This Row],[Draft Growth]],TblPop[[#This Row],[Modded Birth]]-TblPop[[#This Row],[Draft Growth]]))</f>
        <v>-6</v>
      </c>
      <c r="X52" s="35">
        <f ca="1">ROUND(TblPop[[#This Row],[Raw Birth]]*(1+TblPop[[#This Row],[Growth]]),0)</f>
        <v>18</v>
      </c>
      <c r="Y52" s="35">
        <f ca="1">(TblPop[[#This Row],[Peasants]]-TblPop[[#This Row],[Draft Growth]])*raw_pop_growth</f>
        <v>18.39</v>
      </c>
      <c r="Z52" s="35">
        <f ca="1">ROUND(IF(TblPop[[#This Row],[Military%]]&lt;TblMili[[#This Row],[Draftrate]],ROUND(TblPop[[#This Row],[Peasants]]*Constants!$B$55,0), 0) * IF(AND(TblMagic[[#This Row],[Active DnD]]&lt;=12,TblMagic[[#This Row],[Active DnD]]&gt;6),1.6,1),0)</f>
        <v>6</v>
      </c>
      <c r="AA52" s="149"/>
      <c r="AB52" s="150">
        <f ca="1">Overview!$I$17 + IF(Magic!AF52&gt;0,Constants!$F$78) + ROUND(6*(Construction!BM53+Construction!CK52)/IF(Explore!S53&gt;0,Construction!F53-20,Construction!F53),4) + tech_6_5_2*Techs!BJ52 + tech_8_4*Techs!BT52</f>
        <v>0</v>
      </c>
      <c r="AC52" s="146">
        <f ca="1">(Overview!$I$16 + Imps!Z52+ tech_2_5*Techs!AB52 + tech_3_6*Techs!AM52 + tech_6_1*Techs!BJ52 + tech_6_5*Techs!BF52 + tech_7_3_2*Techs!BN52) * (1 + Production!O52/100*prestige_pop_multiplier) + Production!O52/100*prestige_pop_multiplier</f>
        <v>2.5000000000000001E-2</v>
      </c>
    </row>
    <row r="53" spans="1:29" x14ac:dyDescent="0.2">
      <c r="A53" s="137">
        <f>TblRezone[[#This Row],[Hour]]</f>
        <v>50</v>
      </c>
      <c r="B53" s="138">
        <f ca="1">TblImps[[#This Row],[Time]]</f>
        <v>46049.041666666548</v>
      </c>
      <c r="C53" s="94">
        <f ca="1">OFFSET(TblPop[[#This Row],[Peasants]],-1,0)+OFFSET(TblPop[[#This Row],[Net Peasant]],-1,0)+TblMili[[#This Row],[Release Draft]]</f>
        <v>613</v>
      </c>
      <c r="D53" s="94">
        <f ca="1">TblMili[[#This Row],[Military]]</f>
        <v>463</v>
      </c>
      <c r="E53" s="94">
        <f ca="1">TblMili[[#This Row],[Draftees]]</f>
        <v>463</v>
      </c>
      <c r="F53" s="94">
        <f ca="1">TblPop[[#This Row],[Peasants]]+TblPop[[#This Row],[Military]]</f>
        <v>1076</v>
      </c>
      <c r="G53" s="139">
        <f ca="1">TblPop[[#This Row],[Military]]/TblPop[[#This Row],[Total]]</f>
        <v>0.43029739776951675</v>
      </c>
      <c r="H53" s="140">
        <f ca="1">MIN(TblPop[[#This Row],[Peasants]],TblPop[[#This Row],[Jobs]])</f>
        <v>613</v>
      </c>
      <c r="I53" s="139">
        <f ca="1">MIN(OFFSET(TblPop[[#This Row],[Jobs]],1,0)/TblPop[[#This Row],[Peasants]],1)</f>
        <v>1</v>
      </c>
      <c r="J53" s="140">
        <f ca="1">SUM(TblConstr[[#This Row],[Tot Alc]:[Tot GT]],TblConstr[[#This Row],[Tot Shr]:[Tot Doc]],TblConstr[[#This Row],[Dest Alc]:[Dest GT]],TblConstr[[#This Row],[Dest Shr]:[Dest Doc]])*building_employment + TblConstr[[#This Row],[Tot Fac]]*bonus_jobs_facts</f>
        <v>1000</v>
      </c>
      <c r="K53" s="141"/>
      <c r="L53" s="61">
        <f ca="1">TblPop[[#This Row],[Draftees]]</f>
        <v>463</v>
      </c>
      <c r="M53" s="61">
        <f ca="1">TblMili[[#This Row],[Unit 1]]</f>
        <v>0</v>
      </c>
      <c r="N53" s="61">
        <f ca="1">TblMili[[#This Row],[Unit 2]]</f>
        <v>0</v>
      </c>
      <c r="O53" s="61">
        <f ca="1">TblMili[[#This Row],[Unit 3]]</f>
        <v>0</v>
      </c>
      <c r="P53" s="61">
        <f ca="1">TblMili[[#This Row],[Unit 4]]</f>
        <v>0</v>
      </c>
      <c r="Q53" s="61">
        <f ca="1">TblMili[[#This Row],[Spies]]</f>
        <v>0</v>
      </c>
      <c r="R53" s="61">
        <f ca="1">TblMili[[#This Row],[Wizards]]</f>
        <v>0</v>
      </c>
      <c r="S53" s="61">
        <f ca="1">TblMili[[#This Row],[Archmages]]</f>
        <v>0</v>
      </c>
      <c r="T53" s="142"/>
      <c r="U53" s="94">
        <f ca="1">ROUND(TblPop[[#This Row],[Raw max]]*(1+OFFSET(TblPop[[#This Row],[Max pop]],-1,0)),0)+MIN(TblPop[[#This Row],[Military]]-TblPop[[#This Row],[Draftees]]-SUM(TblMili[[#This Row],[Train Unit 1]:[Train AM]]),(barracks_size + tech_8_3*TblTech[[#This Row],[8-3]])*TblConstr[[#This Row],[Tot Bar]])</f>
        <v>1076</v>
      </c>
      <c r="V5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3" s="94">
        <f ca="1">MAX(-5%*TblPop[[#This Row],[Peasants]]-TblPop[[#This Row],[Draft Growth]],MIN(OFFSET(TblPop[[#This Row],[Net max]],1,0)-TblPop[[#This Row],[Peasants]]-TblPop[[#This Row],[Military]]-TblPop[[#This Row],[Draft Growth]],TblPop[[#This Row],[Modded Birth]]-TblPop[[#This Row],[Draft Growth]]))</f>
        <v>-6</v>
      </c>
      <c r="X53" s="94">
        <f ca="1">ROUND(TblPop[[#This Row],[Raw Birth]]*(1+TblPop[[#This Row],[Growth]]),0)</f>
        <v>18</v>
      </c>
      <c r="Y53" s="94">
        <f ca="1">(TblPop[[#This Row],[Peasants]]-TblPop[[#This Row],[Draft Growth]])*raw_pop_growth</f>
        <v>18.21</v>
      </c>
      <c r="Z53" s="94">
        <f ca="1">ROUND(IF(TblPop[[#This Row],[Military%]]&lt;TblMili[[#This Row],[Draftrate]],ROUND(TblPop[[#This Row],[Peasants]]*Constants!$B$55,0), 0) * IF(AND(TblMagic[[#This Row],[Active DnD]]&lt;=12,TblMagic[[#This Row],[Active DnD]]&gt;6),1.6,1),0)</f>
        <v>6</v>
      </c>
      <c r="AA53" s="142"/>
      <c r="AB53" s="143">
        <f ca="1">Overview!$I$17 + IF(Magic!AF53&gt;0,Constants!$F$78) + ROUND(6*(Construction!BM54+Construction!CK53)/IF(Explore!S54&gt;0,Construction!F54-20,Construction!F54),4) + tech_6_5_2*Techs!BJ53 + tech_8_4*Techs!BT53</f>
        <v>0</v>
      </c>
      <c r="AC53" s="139">
        <f ca="1">(Overview!$I$16 + Imps!Z53+ tech_2_5*Techs!AB53 + tech_3_6*Techs!AM53 + tech_6_1*Techs!BJ53 + tech_6_5*Techs!BF53 + tech_7_3_2*Techs!BN53) * (1 + Production!O53/100*prestige_pop_multiplier) + Production!O53/100*prestige_pop_multiplier</f>
        <v>2.5000000000000001E-2</v>
      </c>
    </row>
    <row r="54" spans="1:29" x14ac:dyDescent="0.2">
      <c r="A54" s="137">
        <f>TblRezone[[#This Row],[Hour]]</f>
        <v>51</v>
      </c>
      <c r="B54" s="138">
        <f ca="1">TblImps[[#This Row],[Time]]</f>
        <v>46049.083333333212</v>
      </c>
      <c r="C54" s="94">
        <f ca="1">OFFSET(TblPop[[#This Row],[Peasants]],-1,0)+OFFSET(TblPop[[#This Row],[Net Peasant]],-1,0)+TblMili[[#This Row],[Release Draft]]</f>
        <v>607</v>
      </c>
      <c r="D54" s="94">
        <f ca="1">TblMili[[#This Row],[Military]]</f>
        <v>469</v>
      </c>
      <c r="E54" s="94">
        <f ca="1">TblMili[[#This Row],[Draftees]]</f>
        <v>469</v>
      </c>
      <c r="F54" s="94">
        <f ca="1">TblPop[[#This Row],[Peasants]]+TblPop[[#This Row],[Military]]</f>
        <v>1076</v>
      </c>
      <c r="G54" s="139">
        <f ca="1">TblPop[[#This Row],[Military]]/TblPop[[#This Row],[Total]]</f>
        <v>0.43587360594795538</v>
      </c>
      <c r="H54" s="140">
        <f ca="1">MIN(TblPop[[#This Row],[Peasants]],TblPop[[#This Row],[Jobs]])</f>
        <v>607</v>
      </c>
      <c r="I54" s="139">
        <f ca="1">MIN(OFFSET(TblPop[[#This Row],[Jobs]],1,0)/TblPop[[#This Row],[Peasants]],1)</f>
        <v>1</v>
      </c>
      <c r="J54" s="140">
        <f ca="1">SUM(TblConstr[[#This Row],[Tot Alc]:[Tot GT]],TblConstr[[#This Row],[Tot Shr]:[Tot Doc]],TblConstr[[#This Row],[Dest Alc]:[Dest GT]],TblConstr[[#This Row],[Dest Shr]:[Dest Doc]])*building_employment + TblConstr[[#This Row],[Tot Fac]]*bonus_jobs_facts</f>
        <v>1000</v>
      </c>
      <c r="K54" s="141"/>
      <c r="L54" s="61">
        <f ca="1">TblPop[[#This Row],[Draftees]]</f>
        <v>469</v>
      </c>
      <c r="M54" s="61">
        <f ca="1">TblMili[[#This Row],[Unit 1]]</f>
        <v>0</v>
      </c>
      <c r="N54" s="61">
        <f ca="1">TblMili[[#This Row],[Unit 2]]</f>
        <v>0</v>
      </c>
      <c r="O54" s="61">
        <f ca="1">TblMili[[#This Row],[Unit 3]]</f>
        <v>0</v>
      </c>
      <c r="P54" s="61">
        <f ca="1">TblMili[[#This Row],[Unit 4]]</f>
        <v>0</v>
      </c>
      <c r="Q54" s="61">
        <f ca="1">TblMili[[#This Row],[Spies]]</f>
        <v>0</v>
      </c>
      <c r="R54" s="61">
        <f ca="1">TblMili[[#This Row],[Wizards]]</f>
        <v>0</v>
      </c>
      <c r="S54" s="61">
        <f ca="1">TblMili[[#This Row],[Archmages]]</f>
        <v>0</v>
      </c>
      <c r="T54" s="142"/>
      <c r="U54" s="94">
        <f ca="1">ROUND(TblPop[[#This Row],[Raw max]]*(1+OFFSET(TblPop[[#This Row],[Max pop]],-1,0)),0)+MIN(TblPop[[#This Row],[Military]]-TblPop[[#This Row],[Draftees]]-SUM(TblMili[[#This Row],[Train Unit 1]:[Train AM]]),(barracks_size + tech_8_3*TblTech[[#This Row],[8-3]])*TblConstr[[#This Row],[Tot Bar]])</f>
        <v>1076</v>
      </c>
      <c r="V5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4" s="94">
        <f ca="1">MAX(-5%*TblPop[[#This Row],[Peasants]]-TblPop[[#This Row],[Draft Growth]],MIN(OFFSET(TblPop[[#This Row],[Net max]],1,0)-TblPop[[#This Row],[Peasants]]-TblPop[[#This Row],[Military]]-TblPop[[#This Row],[Draft Growth]],TblPop[[#This Row],[Modded Birth]]-TblPop[[#This Row],[Draft Growth]]))</f>
        <v>-6</v>
      </c>
      <c r="X54" s="94">
        <f ca="1">ROUND(TblPop[[#This Row],[Raw Birth]]*(1+TblPop[[#This Row],[Growth]]),0)</f>
        <v>18</v>
      </c>
      <c r="Y54" s="94">
        <f ca="1">(TblPop[[#This Row],[Peasants]]-TblPop[[#This Row],[Draft Growth]])*raw_pop_growth</f>
        <v>18.029999999999998</v>
      </c>
      <c r="Z54" s="94">
        <f ca="1">ROUND(IF(TblPop[[#This Row],[Military%]]&lt;TblMili[[#This Row],[Draftrate]],ROUND(TblPop[[#This Row],[Peasants]]*Constants!$B$55,0), 0) * IF(AND(TblMagic[[#This Row],[Active DnD]]&lt;=12,TblMagic[[#This Row],[Active DnD]]&gt;6),1.6,1),0)</f>
        <v>6</v>
      </c>
      <c r="AA54" s="142"/>
      <c r="AB54" s="143">
        <f ca="1">Overview!$I$17 + IF(Magic!AF54&gt;0,Constants!$F$78) + ROUND(6*(Construction!BM55+Construction!CK54)/IF(Explore!S55&gt;0,Construction!F55-20,Construction!F55),4) + tech_6_5_2*Techs!BJ54 + tech_8_4*Techs!BT54</f>
        <v>0</v>
      </c>
      <c r="AC54" s="139">
        <f ca="1">(Overview!$I$16 + Imps!Z54+ tech_2_5*Techs!AB54 + tech_3_6*Techs!AM54 + tech_6_1*Techs!BJ54 + tech_6_5*Techs!BF54 + tech_7_3_2*Techs!BN54) * (1 + Production!O54/100*prestige_pop_multiplier) + Production!O54/100*prestige_pop_multiplier</f>
        <v>2.5000000000000001E-2</v>
      </c>
    </row>
    <row r="55" spans="1:29" x14ac:dyDescent="0.2">
      <c r="A55" s="137">
        <f>TblRezone[[#This Row],[Hour]]</f>
        <v>52</v>
      </c>
      <c r="B55" s="138">
        <f ca="1">TblImps[[#This Row],[Time]]</f>
        <v>46049.124999999876</v>
      </c>
      <c r="C55" s="94">
        <f ca="1">OFFSET(TblPop[[#This Row],[Peasants]],-1,0)+OFFSET(TblPop[[#This Row],[Net Peasant]],-1,0)+TblMili[[#This Row],[Release Draft]]</f>
        <v>601</v>
      </c>
      <c r="D55" s="94">
        <f ca="1">TblMili[[#This Row],[Military]]</f>
        <v>475</v>
      </c>
      <c r="E55" s="94">
        <f ca="1">TblMili[[#This Row],[Draftees]]</f>
        <v>475</v>
      </c>
      <c r="F55" s="94">
        <f ca="1">TblPop[[#This Row],[Peasants]]+TblPop[[#This Row],[Military]]</f>
        <v>1076</v>
      </c>
      <c r="G55" s="139">
        <f ca="1">TblPop[[#This Row],[Military]]/TblPop[[#This Row],[Total]]</f>
        <v>0.44144981412639406</v>
      </c>
      <c r="H55" s="140">
        <f ca="1">MIN(TblPop[[#This Row],[Peasants]],TblPop[[#This Row],[Jobs]])</f>
        <v>601</v>
      </c>
      <c r="I55" s="139">
        <f ca="1">MIN(OFFSET(TblPop[[#This Row],[Jobs]],1,0)/TblPop[[#This Row],[Peasants]],1)</f>
        <v>1</v>
      </c>
      <c r="J55" s="140">
        <f ca="1">SUM(TblConstr[[#This Row],[Tot Alc]:[Tot GT]],TblConstr[[#This Row],[Tot Shr]:[Tot Doc]],TblConstr[[#This Row],[Dest Alc]:[Dest GT]],TblConstr[[#This Row],[Dest Shr]:[Dest Doc]])*building_employment + TblConstr[[#This Row],[Tot Fac]]*bonus_jobs_facts</f>
        <v>1000</v>
      </c>
      <c r="K55" s="141"/>
      <c r="L55" s="61">
        <f ca="1">TblPop[[#This Row],[Draftees]]</f>
        <v>475</v>
      </c>
      <c r="M55" s="61">
        <f ca="1">TblMili[[#This Row],[Unit 1]]</f>
        <v>0</v>
      </c>
      <c r="N55" s="61">
        <f ca="1">TblMili[[#This Row],[Unit 2]]</f>
        <v>0</v>
      </c>
      <c r="O55" s="61">
        <f ca="1">TblMili[[#This Row],[Unit 3]]</f>
        <v>0</v>
      </c>
      <c r="P55" s="61">
        <f ca="1">TblMili[[#This Row],[Unit 4]]</f>
        <v>0</v>
      </c>
      <c r="Q55" s="61">
        <f ca="1">TblMili[[#This Row],[Spies]]</f>
        <v>0</v>
      </c>
      <c r="R55" s="61">
        <f ca="1">TblMili[[#This Row],[Wizards]]</f>
        <v>0</v>
      </c>
      <c r="S55" s="61">
        <f ca="1">TblMili[[#This Row],[Archmages]]</f>
        <v>0</v>
      </c>
      <c r="T55" s="142"/>
      <c r="U55" s="94">
        <f ca="1">ROUND(TblPop[[#This Row],[Raw max]]*(1+OFFSET(TblPop[[#This Row],[Max pop]],-1,0)),0)+MIN(TblPop[[#This Row],[Military]]-TblPop[[#This Row],[Draftees]]-SUM(TblMili[[#This Row],[Train Unit 1]:[Train AM]]),(barracks_size + tech_8_3*TblTech[[#This Row],[8-3]])*TblConstr[[#This Row],[Tot Bar]])</f>
        <v>1076</v>
      </c>
      <c r="V5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5" s="94">
        <f ca="1">MAX(-5%*TblPop[[#This Row],[Peasants]]-TblPop[[#This Row],[Draft Growth]],MIN(OFFSET(TblPop[[#This Row],[Net max]],1,0)-TblPop[[#This Row],[Peasants]]-TblPop[[#This Row],[Military]]-TblPop[[#This Row],[Draft Growth]],TblPop[[#This Row],[Modded Birth]]-TblPop[[#This Row],[Draft Growth]]))</f>
        <v>-6</v>
      </c>
      <c r="X55" s="94">
        <f ca="1">ROUND(TblPop[[#This Row],[Raw Birth]]*(1+TblPop[[#This Row],[Growth]]),0)</f>
        <v>18</v>
      </c>
      <c r="Y55" s="94">
        <f ca="1">(TblPop[[#This Row],[Peasants]]-TblPop[[#This Row],[Draft Growth]])*raw_pop_growth</f>
        <v>17.849999999999998</v>
      </c>
      <c r="Z55" s="94">
        <f ca="1">ROUND(IF(TblPop[[#This Row],[Military%]]&lt;TblMili[[#This Row],[Draftrate]],ROUND(TblPop[[#This Row],[Peasants]]*Constants!$B$55,0), 0) * IF(AND(TblMagic[[#This Row],[Active DnD]]&lt;=12,TblMagic[[#This Row],[Active DnD]]&gt;6),1.6,1),0)</f>
        <v>6</v>
      </c>
      <c r="AA55" s="142"/>
      <c r="AB55" s="143">
        <f ca="1">Overview!$I$17 + IF(Magic!AF55&gt;0,Constants!$F$78) + ROUND(6*(Construction!BM56+Construction!CK55)/IF(Explore!S56&gt;0,Construction!F56-20,Construction!F56),4) + tech_6_5_2*Techs!BJ55 + tech_8_4*Techs!BT55</f>
        <v>0</v>
      </c>
      <c r="AC55" s="139">
        <f ca="1">(Overview!$I$16 + Imps!Z55+ tech_2_5*Techs!AB55 + tech_3_6*Techs!AM55 + tech_6_1*Techs!BJ55 + tech_6_5*Techs!BF55 + tech_7_3_2*Techs!BN55) * (1 + Production!O55/100*prestige_pop_multiplier) + Production!O55/100*prestige_pop_multiplier</f>
        <v>2.5000000000000001E-2</v>
      </c>
    </row>
    <row r="56" spans="1:29" x14ac:dyDescent="0.2">
      <c r="A56" s="137">
        <f>TblRezone[[#This Row],[Hour]]</f>
        <v>53</v>
      </c>
      <c r="B56" s="138">
        <f ca="1">TblImps[[#This Row],[Time]]</f>
        <v>46049.166666666541</v>
      </c>
      <c r="C56" s="94">
        <f ca="1">OFFSET(TblPop[[#This Row],[Peasants]],-1,0)+OFFSET(TblPop[[#This Row],[Net Peasant]],-1,0)+TblMili[[#This Row],[Release Draft]]</f>
        <v>595</v>
      </c>
      <c r="D56" s="94">
        <f ca="1">TblMili[[#This Row],[Military]]</f>
        <v>481</v>
      </c>
      <c r="E56" s="94">
        <f ca="1">TblMili[[#This Row],[Draftees]]</f>
        <v>481</v>
      </c>
      <c r="F56" s="94">
        <f ca="1">TblPop[[#This Row],[Peasants]]+TblPop[[#This Row],[Military]]</f>
        <v>1076</v>
      </c>
      <c r="G56" s="139">
        <f ca="1">TblPop[[#This Row],[Military]]/TblPop[[#This Row],[Total]]</f>
        <v>0.44702602230483274</v>
      </c>
      <c r="H56" s="140">
        <f ca="1">MIN(TblPop[[#This Row],[Peasants]],TblPop[[#This Row],[Jobs]])</f>
        <v>595</v>
      </c>
      <c r="I56" s="139">
        <f ca="1">MIN(OFFSET(TblPop[[#This Row],[Jobs]],1,0)/TblPop[[#This Row],[Peasants]],1)</f>
        <v>1</v>
      </c>
      <c r="J56" s="140">
        <f ca="1">SUM(TblConstr[[#This Row],[Tot Alc]:[Tot GT]],TblConstr[[#This Row],[Tot Shr]:[Tot Doc]],TblConstr[[#This Row],[Dest Alc]:[Dest GT]],TblConstr[[#This Row],[Dest Shr]:[Dest Doc]])*building_employment + TblConstr[[#This Row],[Tot Fac]]*bonus_jobs_facts</f>
        <v>1000</v>
      </c>
      <c r="K56" s="141"/>
      <c r="L56" s="61">
        <f ca="1">TblPop[[#This Row],[Draftees]]</f>
        <v>481</v>
      </c>
      <c r="M56" s="61">
        <f ca="1">TblMili[[#This Row],[Unit 1]]</f>
        <v>0</v>
      </c>
      <c r="N56" s="61">
        <f ca="1">TblMili[[#This Row],[Unit 2]]</f>
        <v>0</v>
      </c>
      <c r="O56" s="61">
        <f ca="1">TblMili[[#This Row],[Unit 3]]</f>
        <v>0</v>
      </c>
      <c r="P56" s="61">
        <f ca="1">TblMili[[#This Row],[Unit 4]]</f>
        <v>0</v>
      </c>
      <c r="Q56" s="61">
        <f ca="1">TblMili[[#This Row],[Spies]]</f>
        <v>0</v>
      </c>
      <c r="R56" s="61">
        <f ca="1">TblMili[[#This Row],[Wizards]]</f>
        <v>0</v>
      </c>
      <c r="S56" s="61">
        <f ca="1">TblMili[[#This Row],[Archmages]]</f>
        <v>0</v>
      </c>
      <c r="T56" s="142"/>
      <c r="U56" s="94">
        <f ca="1">ROUND(TblPop[[#This Row],[Raw max]]*(1+OFFSET(TblPop[[#This Row],[Max pop]],-1,0)),0)+MIN(TblPop[[#This Row],[Military]]-TblPop[[#This Row],[Draftees]]-SUM(TblMili[[#This Row],[Train Unit 1]:[Train AM]]),(barracks_size + tech_8_3*TblTech[[#This Row],[8-3]])*TblConstr[[#This Row],[Tot Bar]])</f>
        <v>1076</v>
      </c>
      <c r="V5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6" s="94">
        <f ca="1">MAX(-5%*TblPop[[#This Row],[Peasants]]-TblPop[[#This Row],[Draft Growth]],MIN(OFFSET(TblPop[[#This Row],[Net max]],1,0)-TblPop[[#This Row],[Peasants]]-TblPop[[#This Row],[Military]]-TblPop[[#This Row],[Draft Growth]],TblPop[[#This Row],[Modded Birth]]-TblPop[[#This Row],[Draft Growth]]))</f>
        <v>-6</v>
      </c>
      <c r="X56" s="94">
        <f ca="1">ROUND(TblPop[[#This Row],[Raw Birth]]*(1+TblPop[[#This Row],[Growth]]),0)</f>
        <v>18</v>
      </c>
      <c r="Y56" s="94">
        <f ca="1">(TblPop[[#This Row],[Peasants]]-TblPop[[#This Row],[Draft Growth]])*raw_pop_growth</f>
        <v>17.669999999999998</v>
      </c>
      <c r="Z56" s="94">
        <f ca="1">ROUND(IF(TblPop[[#This Row],[Military%]]&lt;TblMili[[#This Row],[Draftrate]],ROUND(TblPop[[#This Row],[Peasants]]*Constants!$B$55,0), 0) * IF(AND(TblMagic[[#This Row],[Active DnD]]&lt;=12,TblMagic[[#This Row],[Active DnD]]&gt;6),1.6,1),0)</f>
        <v>6</v>
      </c>
      <c r="AA56" s="142"/>
      <c r="AB56" s="143">
        <f ca="1">Overview!$I$17 + IF(Magic!AF56&gt;0,Constants!$F$78) + ROUND(6*(Construction!BM57+Construction!CK56)/IF(Explore!S57&gt;0,Construction!F57-20,Construction!F57),4) + tech_6_5_2*Techs!BJ56 + tech_8_4*Techs!BT56</f>
        <v>0</v>
      </c>
      <c r="AC56" s="139">
        <f ca="1">(Overview!$I$16 + Imps!Z56+ tech_2_5*Techs!AB56 + tech_3_6*Techs!AM56 + tech_6_1*Techs!BJ56 + tech_6_5*Techs!BF56 + tech_7_3_2*Techs!BN56) * (1 + Production!O56/100*prestige_pop_multiplier) + Production!O56/100*prestige_pop_multiplier</f>
        <v>2.5000000000000001E-2</v>
      </c>
    </row>
    <row r="57" spans="1:29" x14ac:dyDescent="0.2">
      <c r="A57" s="137">
        <f>TblRezone[[#This Row],[Hour]]</f>
        <v>54</v>
      </c>
      <c r="B57" s="138">
        <f ca="1">TblImps[[#This Row],[Time]]</f>
        <v>46049.208333333205</v>
      </c>
      <c r="C57" s="94">
        <f ca="1">OFFSET(TblPop[[#This Row],[Peasants]],-1,0)+OFFSET(TblPop[[#This Row],[Net Peasant]],-1,0)+TblMili[[#This Row],[Release Draft]]</f>
        <v>589</v>
      </c>
      <c r="D57" s="94">
        <f ca="1">TblMili[[#This Row],[Military]]</f>
        <v>487</v>
      </c>
      <c r="E57" s="94">
        <f ca="1">TblMili[[#This Row],[Draftees]]</f>
        <v>487</v>
      </c>
      <c r="F57" s="94">
        <f ca="1">TblPop[[#This Row],[Peasants]]+TblPop[[#This Row],[Military]]</f>
        <v>1076</v>
      </c>
      <c r="G57" s="139">
        <f ca="1">TblPop[[#This Row],[Military]]/TblPop[[#This Row],[Total]]</f>
        <v>0.45260223048327136</v>
      </c>
      <c r="H57" s="140">
        <f ca="1">MIN(TblPop[[#This Row],[Peasants]],TblPop[[#This Row],[Jobs]])</f>
        <v>589</v>
      </c>
      <c r="I57" s="139">
        <f ca="1">MIN(OFFSET(TblPop[[#This Row],[Jobs]],1,0)/TblPop[[#This Row],[Peasants]],1)</f>
        <v>1</v>
      </c>
      <c r="J57" s="140">
        <f ca="1">SUM(TblConstr[[#This Row],[Tot Alc]:[Tot GT]],TblConstr[[#This Row],[Tot Shr]:[Tot Doc]],TblConstr[[#This Row],[Dest Alc]:[Dest GT]],TblConstr[[#This Row],[Dest Shr]:[Dest Doc]])*building_employment + TblConstr[[#This Row],[Tot Fac]]*bonus_jobs_facts</f>
        <v>1000</v>
      </c>
      <c r="K57" s="141"/>
      <c r="L57" s="61">
        <f ca="1">TblPop[[#This Row],[Draftees]]</f>
        <v>487</v>
      </c>
      <c r="M57" s="61">
        <f ca="1">TblMili[[#This Row],[Unit 1]]</f>
        <v>0</v>
      </c>
      <c r="N57" s="61">
        <f ca="1">TblMili[[#This Row],[Unit 2]]</f>
        <v>0</v>
      </c>
      <c r="O57" s="61">
        <f ca="1">TblMili[[#This Row],[Unit 3]]</f>
        <v>0</v>
      </c>
      <c r="P57" s="61">
        <f ca="1">TblMili[[#This Row],[Unit 4]]</f>
        <v>0</v>
      </c>
      <c r="Q57" s="61">
        <f ca="1">TblMili[[#This Row],[Spies]]</f>
        <v>0</v>
      </c>
      <c r="R57" s="61">
        <f ca="1">TblMili[[#This Row],[Wizards]]</f>
        <v>0</v>
      </c>
      <c r="S57" s="61">
        <f ca="1">TblMili[[#This Row],[Archmages]]</f>
        <v>0</v>
      </c>
      <c r="T57" s="142"/>
      <c r="U57" s="94">
        <f ca="1">ROUND(TblPop[[#This Row],[Raw max]]*(1+OFFSET(TblPop[[#This Row],[Max pop]],-1,0)),0)+MIN(TblPop[[#This Row],[Military]]-TblPop[[#This Row],[Draftees]]-SUM(TblMili[[#This Row],[Train Unit 1]:[Train AM]]),(barracks_size + tech_8_3*TblTech[[#This Row],[8-3]])*TblConstr[[#This Row],[Tot Bar]])</f>
        <v>1076</v>
      </c>
      <c r="V5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7" s="94">
        <f ca="1">MAX(-5%*TblPop[[#This Row],[Peasants]]-TblPop[[#This Row],[Draft Growth]],MIN(OFFSET(TblPop[[#This Row],[Net max]],1,0)-TblPop[[#This Row],[Peasants]]-TblPop[[#This Row],[Military]]-TblPop[[#This Row],[Draft Growth]],TblPop[[#This Row],[Modded Birth]]-TblPop[[#This Row],[Draft Growth]]))</f>
        <v>-6</v>
      </c>
      <c r="X57" s="94">
        <f ca="1">ROUND(TblPop[[#This Row],[Raw Birth]]*(1+TblPop[[#This Row],[Growth]]),0)</f>
        <v>17</v>
      </c>
      <c r="Y57" s="94">
        <f ca="1">(TblPop[[#This Row],[Peasants]]-TblPop[[#This Row],[Draft Growth]])*raw_pop_growth</f>
        <v>17.489999999999998</v>
      </c>
      <c r="Z57" s="94">
        <f ca="1">ROUND(IF(TblPop[[#This Row],[Military%]]&lt;TblMili[[#This Row],[Draftrate]],ROUND(TblPop[[#This Row],[Peasants]]*Constants!$B$55,0), 0) * IF(AND(TblMagic[[#This Row],[Active DnD]]&lt;=12,TblMagic[[#This Row],[Active DnD]]&gt;6),1.6,1),0)</f>
        <v>6</v>
      </c>
      <c r="AA57" s="142"/>
      <c r="AB57" s="143">
        <f ca="1">Overview!$I$17 + IF(Magic!AF57&gt;0,Constants!$F$78) + ROUND(6*(Construction!BM58+Construction!CK57)/IF(Explore!S58&gt;0,Construction!F58-20,Construction!F58),4) + tech_6_5_2*Techs!BJ57 + tech_8_4*Techs!BT57</f>
        <v>0</v>
      </c>
      <c r="AC57" s="139">
        <f ca="1">(Overview!$I$16 + Imps!Z57+ tech_2_5*Techs!AB57 + tech_3_6*Techs!AM57 + tech_6_1*Techs!BJ57 + tech_6_5*Techs!BF57 + tech_7_3_2*Techs!BN57) * (1 + Production!O57/100*prestige_pop_multiplier) + Production!O57/100*prestige_pop_multiplier</f>
        <v>2.5000000000000001E-2</v>
      </c>
    </row>
    <row r="58" spans="1:29" x14ac:dyDescent="0.2">
      <c r="A58" s="137">
        <f>TblRezone[[#This Row],[Hour]]</f>
        <v>55</v>
      </c>
      <c r="B58" s="138">
        <f ca="1">TblImps[[#This Row],[Time]]</f>
        <v>46049.249999999869</v>
      </c>
      <c r="C58" s="94">
        <f ca="1">OFFSET(TblPop[[#This Row],[Peasants]],-1,0)+OFFSET(TblPop[[#This Row],[Net Peasant]],-1,0)+TblMili[[#This Row],[Release Draft]]</f>
        <v>583</v>
      </c>
      <c r="D58" s="94">
        <f ca="1">TblMili[[#This Row],[Military]]</f>
        <v>493</v>
      </c>
      <c r="E58" s="94">
        <f ca="1">TblMili[[#This Row],[Draftees]]</f>
        <v>493</v>
      </c>
      <c r="F58" s="94">
        <f ca="1">TblPop[[#This Row],[Peasants]]+TblPop[[#This Row],[Military]]</f>
        <v>1076</v>
      </c>
      <c r="G58" s="139">
        <f ca="1">TblPop[[#This Row],[Military]]/TblPop[[#This Row],[Total]]</f>
        <v>0.45817843866171004</v>
      </c>
      <c r="H58" s="140">
        <f ca="1">MIN(TblPop[[#This Row],[Peasants]],TblPop[[#This Row],[Jobs]])</f>
        <v>583</v>
      </c>
      <c r="I58" s="139">
        <f ca="1">MIN(OFFSET(TblPop[[#This Row],[Jobs]],1,0)/TblPop[[#This Row],[Peasants]],1)</f>
        <v>1</v>
      </c>
      <c r="J58" s="140">
        <f ca="1">SUM(TblConstr[[#This Row],[Tot Alc]:[Tot GT]],TblConstr[[#This Row],[Tot Shr]:[Tot Doc]],TblConstr[[#This Row],[Dest Alc]:[Dest GT]],TblConstr[[#This Row],[Dest Shr]:[Dest Doc]])*building_employment + TblConstr[[#This Row],[Tot Fac]]*bonus_jobs_facts</f>
        <v>1000</v>
      </c>
      <c r="K58" s="141"/>
      <c r="L58" s="61">
        <f ca="1">TblPop[[#This Row],[Draftees]]</f>
        <v>493</v>
      </c>
      <c r="M58" s="61">
        <f ca="1">TblMili[[#This Row],[Unit 1]]</f>
        <v>0</v>
      </c>
      <c r="N58" s="61">
        <f ca="1">TblMili[[#This Row],[Unit 2]]</f>
        <v>0</v>
      </c>
      <c r="O58" s="61">
        <f ca="1">TblMili[[#This Row],[Unit 3]]</f>
        <v>0</v>
      </c>
      <c r="P58" s="61">
        <f ca="1">TblMili[[#This Row],[Unit 4]]</f>
        <v>0</v>
      </c>
      <c r="Q58" s="61">
        <f ca="1">TblMili[[#This Row],[Spies]]</f>
        <v>0</v>
      </c>
      <c r="R58" s="61">
        <f ca="1">TblMili[[#This Row],[Wizards]]</f>
        <v>0</v>
      </c>
      <c r="S58" s="61">
        <f ca="1">TblMili[[#This Row],[Archmages]]</f>
        <v>0</v>
      </c>
      <c r="T58" s="142"/>
      <c r="U58" s="94">
        <f ca="1">ROUND(TblPop[[#This Row],[Raw max]]*(1+OFFSET(TblPop[[#This Row],[Max pop]],-1,0)),0)+MIN(TblPop[[#This Row],[Military]]-TblPop[[#This Row],[Draftees]]-SUM(TblMili[[#This Row],[Train Unit 1]:[Train AM]]),(barracks_size + tech_8_3*TblTech[[#This Row],[8-3]])*TblConstr[[#This Row],[Tot Bar]])</f>
        <v>1076</v>
      </c>
      <c r="V5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8" s="94">
        <f ca="1">MAX(-5%*TblPop[[#This Row],[Peasants]]-TblPop[[#This Row],[Draft Growth]],MIN(OFFSET(TblPop[[#This Row],[Net max]],1,0)-TblPop[[#This Row],[Peasants]]-TblPop[[#This Row],[Military]]-TblPop[[#This Row],[Draft Growth]],TblPop[[#This Row],[Modded Birth]]-TblPop[[#This Row],[Draft Growth]]))</f>
        <v>-6</v>
      </c>
      <c r="X58" s="94">
        <f ca="1">ROUND(TblPop[[#This Row],[Raw Birth]]*(1+TblPop[[#This Row],[Growth]]),0)</f>
        <v>17</v>
      </c>
      <c r="Y58" s="94">
        <f ca="1">(TblPop[[#This Row],[Peasants]]-TblPop[[#This Row],[Draft Growth]])*raw_pop_growth</f>
        <v>17.309999999999999</v>
      </c>
      <c r="Z58" s="94">
        <f ca="1">ROUND(IF(TblPop[[#This Row],[Military%]]&lt;TblMili[[#This Row],[Draftrate]],ROUND(TblPop[[#This Row],[Peasants]]*Constants!$B$55,0), 0) * IF(AND(TblMagic[[#This Row],[Active DnD]]&lt;=12,TblMagic[[#This Row],[Active DnD]]&gt;6),1.6,1),0)</f>
        <v>6</v>
      </c>
      <c r="AA58" s="142"/>
      <c r="AB58" s="143">
        <f ca="1">Overview!$I$17 + IF(Magic!AF58&gt;0,Constants!$F$78) + ROUND(6*(Construction!BM59+Construction!CK58)/IF(Explore!S59&gt;0,Construction!F59-20,Construction!F59),4) + tech_6_5_2*Techs!BJ58 + tech_8_4*Techs!BT58</f>
        <v>0</v>
      </c>
      <c r="AC58" s="139">
        <f ca="1">(Overview!$I$16 + Imps!Z58+ tech_2_5*Techs!AB58 + tech_3_6*Techs!AM58 + tech_6_1*Techs!BJ58 + tech_6_5*Techs!BF58 + tech_7_3_2*Techs!BN58) * (1 + Production!O58/100*prestige_pop_multiplier) + Production!O58/100*prestige_pop_multiplier</f>
        <v>2.5000000000000001E-2</v>
      </c>
    </row>
    <row r="59" spans="1:29" x14ac:dyDescent="0.2">
      <c r="A59" s="137">
        <f>TblRezone[[#This Row],[Hour]]</f>
        <v>56</v>
      </c>
      <c r="B59" s="138">
        <f ca="1">TblImps[[#This Row],[Time]]</f>
        <v>46049.291666666533</v>
      </c>
      <c r="C59" s="94">
        <f ca="1">OFFSET(TblPop[[#This Row],[Peasants]],-1,0)+OFFSET(TblPop[[#This Row],[Net Peasant]],-1,0)+TblMili[[#This Row],[Release Draft]]</f>
        <v>577</v>
      </c>
      <c r="D59" s="94">
        <f ca="1">TblMili[[#This Row],[Military]]</f>
        <v>499</v>
      </c>
      <c r="E59" s="94">
        <f ca="1">TblMili[[#This Row],[Draftees]]</f>
        <v>499</v>
      </c>
      <c r="F59" s="94">
        <f ca="1">TblPop[[#This Row],[Peasants]]+TblPop[[#This Row],[Military]]</f>
        <v>1076</v>
      </c>
      <c r="G59" s="139">
        <f ca="1">TblPop[[#This Row],[Military]]/TblPop[[#This Row],[Total]]</f>
        <v>0.46375464684014872</v>
      </c>
      <c r="H59" s="140">
        <f ca="1">MIN(TblPop[[#This Row],[Peasants]],TblPop[[#This Row],[Jobs]])</f>
        <v>577</v>
      </c>
      <c r="I59" s="139">
        <f ca="1">MIN(OFFSET(TblPop[[#This Row],[Jobs]],1,0)/TblPop[[#This Row],[Peasants]],1)</f>
        <v>1</v>
      </c>
      <c r="J59" s="140">
        <f ca="1">SUM(TblConstr[[#This Row],[Tot Alc]:[Tot GT]],TblConstr[[#This Row],[Tot Shr]:[Tot Doc]],TblConstr[[#This Row],[Dest Alc]:[Dest GT]],TblConstr[[#This Row],[Dest Shr]:[Dest Doc]])*building_employment + TblConstr[[#This Row],[Tot Fac]]*bonus_jobs_facts</f>
        <v>1000</v>
      </c>
      <c r="K59" s="141"/>
      <c r="L59" s="61">
        <f ca="1">TblPop[[#This Row],[Draftees]]</f>
        <v>499</v>
      </c>
      <c r="M59" s="61">
        <f ca="1">TblMili[[#This Row],[Unit 1]]</f>
        <v>0</v>
      </c>
      <c r="N59" s="61">
        <f ca="1">TblMili[[#This Row],[Unit 2]]</f>
        <v>0</v>
      </c>
      <c r="O59" s="61">
        <f ca="1">TblMili[[#This Row],[Unit 3]]</f>
        <v>0</v>
      </c>
      <c r="P59" s="61">
        <f ca="1">TblMili[[#This Row],[Unit 4]]</f>
        <v>0</v>
      </c>
      <c r="Q59" s="61">
        <f ca="1">TblMili[[#This Row],[Spies]]</f>
        <v>0</v>
      </c>
      <c r="R59" s="61">
        <f ca="1">TblMili[[#This Row],[Wizards]]</f>
        <v>0</v>
      </c>
      <c r="S59" s="61">
        <f ca="1">TblMili[[#This Row],[Archmages]]</f>
        <v>0</v>
      </c>
      <c r="T59" s="142"/>
      <c r="U59" s="94">
        <f ca="1">ROUND(TblPop[[#This Row],[Raw max]]*(1+OFFSET(TblPop[[#This Row],[Max pop]],-1,0)),0)+MIN(TblPop[[#This Row],[Military]]-TblPop[[#This Row],[Draftees]]-SUM(TblMili[[#This Row],[Train Unit 1]:[Train AM]]),(barracks_size + tech_8_3*TblTech[[#This Row],[8-3]])*TblConstr[[#This Row],[Tot Bar]])</f>
        <v>1076</v>
      </c>
      <c r="V5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59" s="94">
        <f ca="1">MAX(-5%*TblPop[[#This Row],[Peasants]]-TblPop[[#This Row],[Draft Growth]],MIN(OFFSET(TblPop[[#This Row],[Net max]],1,0)-TblPop[[#This Row],[Peasants]]-TblPop[[#This Row],[Military]]-TblPop[[#This Row],[Draft Growth]],TblPop[[#This Row],[Modded Birth]]-TblPop[[#This Row],[Draft Growth]]))</f>
        <v>-6</v>
      </c>
      <c r="X59" s="94">
        <f ca="1">ROUND(TblPop[[#This Row],[Raw Birth]]*(1+TblPop[[#This Row],[Growth]]),0)</f>
        <v>17</v>
      </c>
      <c r="Y59" s="94">
        <f ca="1">(TblPop[[#This Row],[Peasants]]-TblPop[[#This Row],[Draft Growth]])*raw_pop_growth</f>
        <v>17.13</v>
      </c>
      <c r="Z59" s="94">
        <f ca="1">ROUND(IF(TblPop[[#This Row],[Military%]]&lt;TblMili[[#This Row],[Draftrate]],ROUND(TblPop[[#This Row],[Peasants]]*Constants!$B$55,0), 0) * IF(AND(TblMagic[[#This Row],[Active DnD]]&lt;=12,TblMagic[[#This Row],[Active DnD]]&gt;6),1.6,1),0)</f>
        <v>6</v>
      </c>
      <c r="AA59" s="142"/>
      <c r="AB59" s="143">
        <f ca="1">Overview!$I$17 + IF(Magic!AF59&gt;0,Constants!$F$78) + ROUND(6*(Construction!BM60+Construction!CK59)/IF(Explore!S60&gt;0,Construction!F60-20,Construction!F60),4) + tech_6_5_2*Techs!BJ59 + tech_8_4*Techs!BT59</f>
        <v>0</v>
      </c>
      <c r="AC59" s="139">
        <f ca="1">(Overview!$I$16 + Imps!Z59+ tech_2_5*Techs!AB59 + tech_3_6*Techs!AM59 + tech_6_1*Techs!BJ59 + tech_6_5*Techs!BF59 + tech_7_3_2*Techs!BN59) * (1 + Production!O59/100*prestige_pop_multiplier) + Production!O59/100*prestige_pop_multiplier</f>
        <v>2.5000000000000001E-2</v>
      </c>
    </row>
    <row r="60" spans="1:29" x14ac:dyDescent="0.2">
      <c r="A60" s="137">
        <f>TblRezone[[#This Row],[Hour]]</f>
        <v>57</v>
      </c>
      <c r="B60" s="138">
        <f ca="1">TblImps[[#This Row],[Time]]</f>
        <v>46049.333333333198</v>
      </c>
      <c r="C60" s="94">
        <f ca="1">OFFSET(TblPop[[#This Row],[Peasants]],-1,0)+OFFSET(TblPop[[#This Row],[Net Peasant]],-1,0)+TblMili[[#This Row],[Release Draft]]</f>
        <v>571</v>
      </c>
      <c r="D60" s="94">
        <f ca="1">TblMili[[#This Row],[Military]]</f>
        <v>505</v>
      </c>
      <c r="E60" s="94">
        <f ca="1">TblMili[[#This Row],[Draftees]]</f>
        <v>505</v>
      </c>
      <c r="F60" s="94">
        <f ca="1">TblPop[[#This Row],[Peasants]]+TblPop[[#This Row],[Military]]</f>
        <v>1076</v>
      </c>
      <c r="G60" s="139">
        <f ca="1">TblPop[[#This Row],[Military]]/TblPop[[#This Row],[Total]]</f>
        <v>0.46933085501858735</v>
      </c>
      <c r="H60" s="140">
        <f ca="1">MIN(TblPop[[#This Row],[Peasants]],TblPop[[#This Row],[Jobs]])</f>
        <v>571</v>
      </c>
      <c r="I60" s="139">
        <f ca="1">MIN(OFFSET(TblPop[[#This Row],[Jobs]],1,0)/TblPop[[#This Row],[Peasants]],1)</f>
        <v>1</v>
      </c>
      <c r="J60" s="140">
        <f ca="1">SUM(TblConstr[[#This Row],[Tot Alc]:[Tot GT]],TblConstr[[#This Row],[Tot Shr]:[Tot Doc]],TblConstr[[#This Row],[Dest Alc]:[Dest GT]],TblConstr[[#This Row],[Dest Shr]:[Dest Doc]])*building_employment + TblConstr[[#This Row],[Tot Fac]]*bonus_jobs_facts</f>
        <v>1000</v>
      </c>
      <c r="K60" s="141"/>
      <c r="L60" s="61">
        <f ca="1">TblPop[[#This Row],[Draftees]]</f>
        <v>505</v>
      </c>
      <c r="M60" s="61">
        <f ca="1">TblMili[[#This Row],[Unit 1]]</f>
        <v>0</v>
      </c>
      <c r="N60" s="61">
        <f ca="1">TblMili[[#This Row],[Unit 2]]</f>
        <v>0</v>
      </c>
      <c r="O60" s="61">
        <f ca="1">TblMili[[#This Row],[Unit 3]]</f>
        <v>0</v>
      </c>
      <c r="P60" s="61">
        <f ca="1">TblMili[[#This Row],[Unit 4]]</f>
        <v>0</v>
      </c>
      <c r="Q60" s="61">
        <f ca="1">TblMili[[#This Row],[Spies]]</f>
        <v>0</v>
      </c>
      <c r="R60" s="61">
        <f ca="1">TblMili[[#This Row],[Wizards]]</f>
        <v>0</v>
      </c>
      <c r="S60" s="61">
        <f ca="1">TblMili[[#This Row],[Archmages]]</f>
        <v>0</v>
      </c>
      <c r="T60" s="142"/>
      <c r="U60" s="94">
        <f ca="1">ROUND(TblPop[[#This Row],[Raw max]]*(1+OFFSET(TblPop[[#This Row],[Max pop]],-1,0)),0)+MIN(TblPop[[#This Row],[Military]]-TblPop[[#This Row],[Draftees]]-SUM(TblMili[[#This Row],[Train Unit 1]:[Train AM]]),(barracks_size + tech_8_3*TblTech[[#This Row],[8-3]])*TblConstr[[#This Row],[Tot Bar]])</f>
        <v>1076</v>
      </c>
      <c r="V6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0" s="94">
        <f ca="1">MAX(-5%*TblPop[[#This Row],[Peasants]]-TblPop[[#This Row],[Draft Growth]],MIN(OFFSET(TblPop[[#This Row],[Net max]],1,0)-TblPop[[#This Row],[Peasants]]-TblPop[[#This Row],[Military]]-TblPop[[#This Row],[Draft Growth]],TblPop[[#This Row],[Modded Birth]]-TblPop[[#This Row],[Draft Growth]]))</f>
        <v>-6</v>
      </c>
      <c r="X60" s="94">
        <f ca="1">ROUND(TblPop[[#This Row],[Raw Birth]]*(1+TblPop[[#This Row],[Growth]]),0)</f>
        <v>17</v>
      </c>
      <c r="Y60" s="94">
        <f ca="1">(TblPop[[#This Row],[Peasants]]-TblPop[[#This Row],[Draft Growth]])*raw_pop_growth</f>
        <v>16.95</v>
      </c>
      <c r="Z60" s="94">
        <f ca="1">ROUND(IF(TblPop[[#This Row],[Military%]]&lt;TblMili[[#This Row],[Draftrate]],ROUND(TblPop[[#This Row],[Peasants]]*Constants!$B$55,0), 0) * IF(AND(TblMagic[[#This Row],[Active DnD]]&lt;=12,TblMagic[[#This Row],[Active DnD]]&gt;6),1.6,1),0)</f>
        <v>6</v>
      </c>
      <c r="AA60" s="142"/>
      <c r="AB60" s="143">
        <f ca="1">Overview!$I$17 + IF(Magic!AF60&gt;0,Constants!$F$78) + ROUND(6*(Construction!BM61+Construction!CK60)/IF(Explore!S61&gt;0,Construction!F61-20,Construction!F61),4) + tech_6_5_2*Techs!BJ60 + tech_8_4*Techs!BT60</f>
        <v>0</v>
      </c>
      <c r="AC60" s="139">
        <f ca="1">(Overview!$I$16 + Imps!Z60+ tech_2_5*Techs!AB60 + tech_3_6*Techs!AM60 + tech_6_1*Techs!BJ60 + tech_6_5*Techs!BF60 + tech_7_3_2*Techs!BN60) * (1 + Production!O60/100*prestige_pop_multiplier) + Production!O60/100*prestige_pop_multiplier</f>
        <v>2.5000000000000001E-2</v>
      </c>
    </row>
    <row r="61" spans="1:29" x14ac:dyDescent="0.2">
      <c r="A61" s="137">
        <f>TblRezone[[#This Row],[Hour]]</f>
        <v>58</v>
      </c>
      <c r="B61" s="138">
        <f ca="1">TblImps[[#This Row],[Time]]</f>
        <v>46049.374999999862</v>
      </c>
      <c r="C61" s="94">
        <f ca="1">OFFSET(TblPop[[#This Row],[Peasants]],-1,0)+OFFSET(TblPop[[#This Row],[Net Peasant]],-1,0)+TblMili[[#This Row],[Release Draft]]</f>
        <v>565</v>
      </c>
      <c r="D61" s="94">
        <f ca="1">TblMili[[#This Row],[Military]]</f>
        <v>511</v>
      </c>
      <c r="E61" s="94">
        <f ca="1">TblMili[[#This Row],[Draftees]]</f>
        <v>511</v>
      </c>
      <c r="F61" s="94">
        <f ca="1">TblPop[[#This Row],[Peasants]]+TblPop[[#This Row],[Military]]</f>
        <v>1076</v>
      </c>
      <c r="G61" s="139">
        <f ca="1">TblPop[[#This Row],[Military]]/TblPop[[#This Row],[Total]]</f>
        <v>0.47490706319702602</v>
      </c>
      <c r="H61" s="140">
        <f ca="1">MIN(TblPop[[#This Row],[Peasants]],TblPop[[#This Row],[Jobs]])</f>
        <v>565</v>
      </c>
      <c r="I61" s="139">
        <f ca="1">MIN(OFFSET(TblPop[[#This Row],[Jobs]],1,0)/TblPop[[#This Row],[Peasants]],1)</f>
        <v>1</v>
      </c>
      <c r="J61" s="140">
        <f ca="1">SUM(TblConstr[[#This Row],[Tot Alc]:[Tot GT]],TblConstr[[#This Row],[Tot Shr]:[Tot Doc]],TblConstr[[#This Row],[Dest Alc]:[Dest GT]],TblConstr[[#This Row],[Dest Shr]:[Dest Doc]])*building_employment + TblConstr[[#This Row],[Tot Fac]]*bonus_jobs_facts</f>
        <v>1000</v>
      </c>
      <c r="K61" s="141"/>
      <c r="L61" s="61">
        <f ca="1">TblPop[[#This Row],[Draftees]]</f>
        <v>511</v>
      </c>
      <c r="M61" s="61">
        <f ca="1">TblMili[[#This Row],[Unit 1]]</f>
        <v>0</v>
      </c>
      <c r="N61" s="61">
        <f ca="1">TblMili[[#This Row],[Unit 2]]</f>
        <v>0</v>
      </c>
      <c r="O61" s="61">
        <f ca="1">TblMili[[#This Row],[Unit 3]]</f>
        <v>0</v>
      </c>
      <c r="P61" s="61">
        <f ca="1">TblMili[[#This Row],[Unit 4]]</f>
        <v>0</v>
      </c>
      <c r="Q61" s="61">
        <f ca="1">TblMili[[#This Row],[Spies]]</f>
        <v>0</v>
      </c>
      <c r="R61" s="61">
        <f ca="1">TblMili[[#This Row],[Wizards]]</f>
        <v>0</v>
      </c>
      <c r="S61" s="61">
        <f ca="1">TblMili[[#This Row],[Archmages]]</f>
        <v>0</v>
      </c>
      <c r="T61" s="142"/>
      <c r="U61" s="94">
        <f ca="1">ROUND(TblPop[[#This Row],[Raw max]]*(1+OFFSET(TblPop[[#This Row],[Max pop]],-1,0)),0)+MIN(TblPop[[#This Row],[Military]]-TblPop[[#This Row],[Draftees]]-SUM(TblMili[[#This Row],[Train Unit 1]:[Train AM]]),(barracks_size + tech_8_3*TblTech[[#This Row],[8-3]])*TblConstr[[#This Row],[Tot Bar]])</f>
        <v>1076</v>
      </c>
      <c r="V6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1" s="94">
        <f ca="1">MAX(-5%*TblPop[[#This Row],[Peasants]]-TblPop[[#This Row],[Draft Growth]],MIN(OFFSET(TblPop[[#This Row],[Net max]],1,0)-TblPop[[#This Row],[Peasants]]-TblPop[[#This Row],[Military]]-TblPop[[#This Row],[Draft Growth]],TblPop[[#This Row],[Modded Birth]]-TblPop[[#This Row],[Draft Growth]]))</f>
        <v>-6</v>
      </c>
      <c r="X61" s="94">
        <f ca="1">ROUND(TblPop[[#This Row],[Raw Birth]]*(1+TblPop[[#This Row],[Growth]]),0)</f>
        <v>17</v>
      </c>
      <c r="Y61" s="94">
        <f ca="1">(TblPop[[#This Row],[Peasants]]-TblPop[[#This Row],[Draft Growth]])*raw_pop_growth</f>
        <v>16.77</v>
      </c>
      <c r="Z61" s="94">
        <f ca="1">ROUND(IF(TblPop[[#This Row],[Military%]]&lt;TblMili[[#This Row],[Draftrate]],ROUND(TblPop[[#This Row],[Peasants]]*Constants!$B$55,0), 0) * IF(AND(TblMagic[[#This Row],[Active DnD]]&lt;=12,TblMagic[[#This Row],[Active DnD]]&gt;6),1.6,1),0)</f>
        <v>6</v>
      </c>
      <c r="AA61" s="142"/>
      <c r="AB61" s="143">
        <f ca="1">Overview!$I$17 + IF(Magic!AF61&gt;0,Constants!$F$78) + ROUND(6*(Construction!BM62+Construction!CK61)/IF(Explore!S62&gt;0,Construction!F62-20,Construction!F62),4) + tech_6_5_2*Techs!BJ61 + tech_8_4*Techs!BT61</f>
        <v>0</v>
      </c>
      <c r="AC61" s="139">
        <f ca="1">(Overview!$I$16 + Imps!Z61+ tech_2_5*Techs!AB61 + tech_3_6*Techs!AM61 + tech_6_1*Techs!BJ61 + tech_6_5*Techs!BF61 + tech_7_3_2*Techs!BN61) * (1 + Production!O61/100*prestige_pop_multiplier) + Production!O61/100*prestige_pop_multiplier</f>
        <v>2.5000000000000001E-2</v>
      </c>
    </row>
    <row r="62" spans="1:29" x14ac:dyDescent="0.2">
      <c r="A62" s="137">
        <f>TblRezone[[#This Row],[Hour]]</f>
        <v>59</v>
      </c>
      <c r="B62" s="138">
        <f ca="1">TblImps[[#This Row],[Time]]</f>
        <v>46049.416666666526</v>
      </c>
      <c r="C62" s="94">
        <f ca="1">OFFSET(TblPop[[#This Row],[Peasants]],-1,0)+OFFSET(TblPop[[#This Row],[Net Peasant]],-1,0)+TblMili[[#This Row],[Release Draft]]</f>
        <v>559</v>
      </c>
      <c r="D62" s="94">
        <f ca="1">TblMili[[#This Row],[Military]]</f>
        <v>517</v>
      </c>
      <c r="E62" s="94">
        <f ca="1">TblMili[[#This Row],[Draftees]]</f>
        <v>517</v>
      </c>
      <c r="F62" s="94">
        <f ca="1">TblPop[[#This Row],[Peasants]]+TblPop[[#This Row],[Military]]</f>
        <v>1076</v>
      </c>
      <c r="G62" s="139">
        <f ca="1">TblPop[[#This Row],[Military]]/TblPop[[#This Row],[Total]]</f>
        <v>0.4804832713754647</v>
      </c>
      <c r="H62" s="140">
        <f ca="1">MIN(TblPop[[#This Row],[Peasants]],TblPop[[#This Row],[Jobs]])</f>
        <v>559</v>
      </c>
      <c r="I62" s="139">
        <f ca="1">MIN(OFFSET(TblPop[[#This Row],[Jobs]],1,0)/TblPop[[#This Row],[Peasants]],1)</f>
        <v>1</v>
      </c>
      <c r="J62" s="140">
        <f ca="1">SUM(TblConstr[[#This Row],[Tot Alc]:[Tot GT]],TblConstr[[#This Row],[Tot Shr]:[Tot Doc]],TblConstr[[#This Row],[Dest Alc]:[Dest GT]],TblConstr[[#This Row],[Dest Shr]:[Dest Doc]])*building_employment + TblConstr[[#This Row],[Tot Fac]]*bonus_jobs_facts</f>
        <v>1000</v>
      </c>
      <c r="K62" s="141"/>
      <c r="L62" s="61">
        <f ca="1">TblPop[[#This Row],[Draftees]]</f>
        <v>517</v>
      </c>
      <c r="M62" s="61">
        <f ca="1">TblMili[[#This Row],[Unit 1]]</f>
        <v>0</v>
      </c>
      <c r="N62" s="61">
        <f ca="1">TblMili[[#This Row],[Unit 2]]</f>
        <v>0</v>
      </c>
      <c r="O62" s="61">
        <f ca="1">TblMili[[#This Row],[Unit 3]]</f>
        <v>0</v>
      </c>
      <c r="P62" s="61">
        <f ca="1">TblMili[[#This Row],[Unit 4]]</f>
        <v>0</v>
      </c>
      <c r="Q62" s="61">
        <f ca="1">TblMili[[#This Row],[Spies]]</f>
        <v>0</v>
      </c>
      <c r="R62" s="61">
        <f ca="1">TblMili[[#This Row],[Wizards]]</f>
        <v>0</v>
      </c>
      <c r="S62" s="61">
        <f ca="1">TblMili[[#This Row],[Archmages]]</f>
        <v>0</v>
      </c>
      <c r="T62" s="142"/>
      <c r="U62" s="94">
        <f ca="1">ROUND(TblPop[[#This Row],[Raw max]]*(1+OFFSET(TblPop[[#This Row],[Max pop]],-1,0)),0)+MIN(TblPop[[#This Row],[Military]]-TblPop[[#This Row],[Draftees]]-SUM(TblMili[[#This Row],[Train Unit 1]:[Train AM]]),(barracks_size + tech_8_3*TblTech[[#This Row],[8-3]])*TblConstr[[#This Row],[Tot Bar]])</f>
        <v>1076</v>
      </c>
      <c r="V6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2" s="94">
        <f ca="1">MAX(-5%*TblPop[[#This Row],[Peasants]]-TblPop[[#This Row],[Draft Growth]],MIN(OFFSET(TblPop[[#This Row],[Net max]],1,0)-TblPop[[#This Row],[Peasants]]-TblPop[[#This Row],[Military]]-TblPop[[#This Row],[Draft Growth]],TblPop[[#This Row],[Modded Birth]]-TblPop[[#This Row],[Draft Growth]]))</f>
        <v>-6</v>
      </c>
      <c r="X62" s="94">
        <f ca="1">ROUND(TblPop[[#This Row],[Raw Birth]]*(1+TblPop[[#This Row],[Growth]]),0)</f>
        <v>17</v>
      </c>
      <c r="Y62" s="94">
        <f ca="1">(TblPop[[#This Row],[Peasants]]-TblPop[[#This Row],[Draft Growth]])*raw_pop_growth</f>
        <v>16.59</v>
      </c>
      <c r="Z62" s="94">
        <f ca="1">ROUND(IF(TblPop[[#This Row],[Military%]]&lt;TblMili[[#This Row],[Draftrate]],ROUND(TblPop[[#This Row],[Peasants]]*Constants!$B$55,0), 0) * IF(AND(TblMagic[[#This Row],[Active DnD]]&lt;=12,TblMagic[[#This Row],[Active DnD]]&gt;6),1.6,1),0)</f>
        <v>6</v>
      </c>
      <c r="AA62" s="142"/>
      <c r="AB62" s="143">
        <f ca="1">Overview!$I$17 + IF(Magic!AF62&gt;0,Constants!$F$78) + ROUND(6*(Construction!BM63+Construction!CK62)/IF(Explore!S63&gt;0,Construction!F63-20,Construction!F63),4) + tech_6_5_2*Techs!BJ62 + tech_8_4*Techs!BT62</f>
        <v>0</v>
      </c>
      <c r="AC62" s="139">
        <f ca="1">(Overview!$I$16 + Imps!Z62+ tech_2_5*Techs!AB62 + tech_3_6*Techs!AM62 + tech_6_1*Techs!BJ62 + tech_6_5*Techs!BF62 + tech_7_3_2*Techs!BN62) * (1 + Production!O62/100*prestige_pop_multiplier) + Production!O62/100*prestige_pop_multiplier</f>
        <v>2.5000000000000001E-2</v>
      </c>
    </row>
    <row r="63" spans="1:29" x14ac:dyDescent="0.2">
      <c r="A63" s="137">
        <f>TblRezone[[#This Row],[Hour]]</f>
        <v>60</v>
      </c>
      <c r="B63" s="138">
        <f ca="1">TblImps[[#This Row],[Time]]</f>
        <v>46049.45833333319</v>
      </c>
      <c r="C63" s="94">
        <f ca="1">OFFSET(TblPop[[#This Row],[Peasants]],-1,0)+OFFSET(TblPop[[#This Row],[Net Peasant]],-1,0)+TblMili[[#This Row],[Release Draft]]</f>
        <v>553</v>
      </c>
      <c r="D63" s="94">
        <f ca="1">TblMili[[#This Row],[Military]]</f>
        <v>523</v>
      </c>
      <c r="E63" s="94">
        <f ca="1">TblMili[[#This Row],[Draftees]]</f>
        <v>523</v>
      </c>
      <c r="F63" s="94">
        <f ca="1">TblPop[[#This Row],[Peasants]]+TblPop[[#This Row],[Military]]</f>
        <v>1076</v>
      </c>
      <c r="G63" s="139">
        <f ca="1">TblPop[[#This Row],[Military]]/TblPop[[#This Row],[Total]]</f>
        <v>0.48605947955390333</v>
      </c>
      <c r="H63" s="140">
        <f ca="1">MIN(TblPop[[#This Row],[Peasants]],TblPop[[#This Row],[Jobs]])</f>
        <v>553</v>
      </c>
      <c r="I63" s="139">
        <f ca="1">MIN(OFFSET(TblPop[[#This Row],[Jobs]],1,0)/TblPop[[#This Row],[Peasants]],1)</f>
        <v>1</v>
      </c>
      <c r="J63" s="140">
        <f ca="1">SUM(TblConstr[[#This Row],[Tot Alc]:[Tot GT]],TblConstr[[#This Row],[Tot Shr]:[Tot Doc]],TblConstr[[#This Row],[Dest Alc]:[Dest GT]],TblConstr[[#This Row],[Dest Shr]:[Dest Doc]])*building_employment + TblConstr[[#This Row],[Tot Fac]]*bonus_jobs_facts</f>
        <v>1000</v>
      </c>
      <c r="K63" s="141"/>
      <c r="L63" s="61">
        <f ca="1">TblPop[[#This Row],[Draftees]]</f>
        <v>523</v>
      </c>
      <c r="M63" s="61">
        <f ca="1">TblMili[[#This Row],[Unit 1]]</f>
        <v>0</v>
      </c>
      <c r="N63" s="61">
        <f ca="1">TblMili[[#This Row],[Unit 2]]</f>
        <v>0</v>
      </c>
      <c r="O63" s="61">
        <f ca="1">TblMili[[#This Row],[Unit 3]]</f>
        <v>0</v>
      </c>
      <c r="P63" s="61">
        <f ca="1">TblMili[[#This Row],[Unit 4]]</f>
        <v>0</v>
      </c>
      <c r="Q63" s="61">
        <f ca="1">TblMili[[#This Row],[Spies]]</f>
        <v>0</v>
      </c>
      <c r="R63" s="61">
        <f ca="1">TblMili[[#This Row],[Wizards]]</f>
        <v>0</v>
      </c>
      <c r="S63" s="61">
        <f ca="1">TblMili[[#This Row],[Archmages]]</f>
        <v>0</v>
      </c>
      <c r="T63" s="142"/>
      <c r="U63" s="94">
        <f ca="1">ROUND(TblPop[[#This Row],[Raw max]]*(1+OFFSET(TblPop[[#This Row],[Max pop]],-1,0)),0)+MIN(TblPop[[#This Row],[Military]]-TblPop[[#This Row],[Draftees]]-SUM(TblMili[[#This Row],[Train Unit 1]:[Train AM]]),(barracks_size + tech_8_3*TblTech[[#This Row],[8-3]])*TblConstr[[#This Row],[Tot Bar]])</f>
        <v>1076</v>
      </c>
      <c r="V6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3" s="94">
        <f ca="1">MAX(-5%*TblPop[[#This Row],[Peasants]]-TblPop[[#This Row],[Draft Growth]],MIN(OFFSET(TblPop[[#This Row],[Net max]],1,0)-TblPop[[#This Row],[Peasants]]-TblPop[[#This Row],[Military]]-TblPop[[#This Row],[Draft Growth]],TblPop[[#This Row],[Modded Birth]]-TblPop[[#This Row],[Draft Growth]]))</f>
        <v>-6</v>
      </c>
      <c r="X63" s="94">
        <f ca="1">ROUND(TblPop[[#This Row],[Raw Birth]]*(1+TblPop[[#This Row],[Growth]]),0)</f>
        <v>16</v>
      </c>
      <c r="Y63" s="94">
        <f ca="1">(TblPop[[#This Row],[Peasants]]-TblPop[[#This Row],[Draft Growth]])*raw_pop_growth</f>
        <v>16.41</v>
      </c>
      <c r="Z63" s="94">
        <f ca="1">ROUND(IF(TblPop[[#This Row],[Military%]]&lt;TblMili[[#This Row],[Draftrate]],ROUND(TblPop[[#This Row],[Peasants]]*Constants!$B$55,0), 0) * IF(AND(TblMagic[[#This Row],[Active DnD]]&lt;=12,TblMagic[[#This Row],[Active DnD]]&gt;6),1.6,1),0)</f>
        <v>6</v>
      </c>
      <c r="AA63" s="142"/>
      <c r="AB63" s="143">
        <f ca="1">Overview!$I$17 + IF(Magic!AF63&gt;0,Constants!$F$78) + ROUND(6*(Construction!BM64+Construction!CK63)/IF(Explore!S64&gt;0,Construction!F64-20,Construction!F64),4) + tech_6_5_2*Techs!BJ63 + tech_8_4*Techs!BT63</f>
        <v>0</v>
      </c>
      <c r="AC63" s="139">
        <f ca="1">(Overview!$I$16 + Imps!Z63+ tech_2_5*Techs!AB63 + tech_3_6*Techs!AM63 + tech_6_1*Techs!BJ63 + tech_6_5*Techs!BF63 + tech_7_3_2*Techs!BN63) * (1 + Production!O63/100*prestige_pop_multiplier) + Production!O63/100*prestige_pop_multiplier</f>
        <v>2.5000000000000001E-2</v>
      </c>
    </row>
    <row r="64" spans="1:29" x14ac:dyDescent="0.2">
      <c r="A64" s="137">
        <f>TblRezone[[#This Row],[Hour]]</f>
        <v>61</v>
      </c>
      <c r="B64" s="138">
        <f ca="1">TblImps[[#This Row],[Time]]</f>
        <v>46049.499999999854</v>
      </c>
      <c r="C64" s="94">
        <f ca="1">OFFSET(TblPop[[#This Row],[Peasants]],-1,0)+OFFSET(TblPop[[#This Row],[Net Peasant]],-1,0)+TblMili[[#This Row],[Release Draft]]</f>
        <v>547</v>
      </c>
      <c r="D64" s="94">
        <f ca="1">TblMili[[#This Row],[Military]]</f>
        <v>529</v>
      </c>
      <c r="E64" s="94">
        <f ca="1">TblMili[[#This Row],[Draftees]]</f>
        <v>529</v>
      </c>
      <c r="F64" s="94">
        <f ca="1">TblPop[[#This Row],[Peasants]]+TblPop[[#This Row],[Military]]</f>
        <v>1076</v>
      </c>
      <c r="G64" s="139">
        <f ca="1">TblPop[[#This Row],[Military]]/TblPop[[#This Row],[Total]]</f>
        <v>0.49163568773234201</v>
      </c>
      <c r="H64" s="140">
        <f ca="1">MIN(TblPop[[#This Row],[Peasants]],TblPop[[#This Row],[Jobs]])</f>
        <v>547</v>
      </c>
      <c r="I64" s="139">
        <f ca="1">MIN(OFFSET(TblPop[[#This Row],[Jobs]],1,0)/TblPop[[#This Row],[Peasants]],1)</f>
        <v>1</v>
      </c>
      <c r="J64" s="140">
        <f ca="1">SUM(TblConstr[[#This Row],[Tot Alc]:[Tot GT]],TblConstr[[#This Row],[Tot Shr]:[Tot Doc]],TblConstr[[#This Row],[Dest Alc]:[Dest GT]],TblConstr[[#This Row],[Dest Shr]:[Dest Doc]])*building_employment + TblConstr[[#This Row],[Tot Fac]]*bonus_jobs_facts</f>
        <v>1000</v>
      </c>
      <c r="K64" s="141"/>
      <c r="L64" s="61">
        <f ca="1">TblPop[[#This Row],[Draftees]]</f>
        <v>529</v>
      </c>
      <c r="M64" s="61">
        <f ca="1">TblMili[[#This Row],[Unit 1]]</f>
        <v>0</v>
      </c>
      <c r="N64" s="61">
        <f ca="1">TblMili[[#This Row],[Unit 2]]</f>
        <v>0</v>
      </c>
      <c r="O64" s="61">
        <f ca="1">TblMili[[#This Row],[Unit 3]]</f>
        <v>0</v>
      </c>
      <c r="P64" s="61">
        <f ca="1">TblMili[[#This Row],[Unit 4]]</f>
        <v>0</v>
      </c>
      <c r="Q64" s="61">
        <f ca="1">TblMili[[#This Row],[Spies]]</f>
        <v>0</v>
      </c>
      <c r="R64" s="61">
        <f ca="1">TblMili[[#This Row],[Wizards]]</f>
        <v>0</v>
      </c>
      <c r="S64" s="61">
        <f ca="1">TblMili[[#This Row],[Archmages]]</f>
        <v>0</v>
      </c>
      <c r="T64" s="142"/>
      <c r="U64" s="94">
        <f ca="1">ROUND(TblPop[[#This Row],[Raw max]]*(1+OFFSET(TblPop[[#This Row],[Max pop]],-1,0)),0)+MIN(TblPop[[#This Row],[Military]]-TblPop[[#This Row],[Draftees]]-SUM(TblMili[[#This Row],[Train Unit 1]:[Train AM]]),(barracks_size + tech_8_3*TblTech[[#This Row],[8-3]])*TblConstr[[#This Row],[Tot Bar]])</f>
        <v>1076</v>
      </c>
      <c r="V6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4" s="94">
        <f ca="1">MAX(-5%*TblPop[[#This Row],[Peasants]]-TblPop[[#This Row],[Draft Growth]],MIN(OFFSET(TblPop[[#This Row],[Net max]],1,0)-TblPop[[#This Row],[Peasants]]-TblPop[[#This Row],[Military]]-TblPop[[#This Row],[Draft Growth]],TblPop[[#This Row],[Modded Birth]]-TblPop[[#This Row],[Draft Growth]]))</f>
        <v>-5</v>
      </c>
      <c r="X64" s="94">
        <f ca="1">ROUND(TblPop[[#This Row],[Raw Birth]]*(1+TblPop[[#This Row],[Growth]]),0)</f>
        <v>16</v>
      </c>
      <c r="Y64" s="94">
        <f ca="1">(TblPop[[#This Row],[Peasants]]-TblPop[[#This Row],[Draft Growth]])*raw_pop_growth</f>
        <v>16.259999999999998</v>
      </c>
      <c r="Z64" s="94">
        <f ca="1">ROUND(IF(TblPop[[#This Row],[Military%]]&lt;TblMili[[#This Row],[Draftrate]],ROUND(TblPop[[#This Row],[Peasants]]*Constants!$B$55,0), 0) * IF(AND(TblMagic[[#This Row],[Active DnD]]&lt;=12,TblMagic[[#This Row],[Active DnD]]&gt;6),1.6,1),0)</f>
        <v>5</v>
      </c>
      <c r="AA64" s="142"/>
      <c r="AB64" s="143">
        <f ca="1">Overview!$I$17 + IF(Magic!AF64&gt;0,Constants!$F$78) + ROUND(6*(Construction!BM65+Construction!CK64)/IF(Explore!S65&gt;0,Construction!F65-20,Construction!F65),4) + tech_6_5_2*Techs!BJ64 + tech_8_4*Techs!BT64</f>
        <v>0</v>
      </c>
      <c r="AC64" s="139">
        <f ca="1">(Overview!$I$16 + Imps!Z64+ tech_2_5*Techs!AB64 + tech_3_6*Techs!AM64 + tech_6_1*Techs!BJ64 + tech_6_5*Techs!BF64 + tech_7_3_2*Techs!BN64) * (1 + Production!O64/100*prestige_pop_multiplier) + Production!O64/100*prestige_pop_multiplier</f>
        <v>2.5000000000000001E-2</v>
      </c>
    </row>
    <row r="65" spans="1:29" x14ac:dyDescent="0.2">
      <c r="A65" s="137">
        <f>TblRezone[[#This Row],[Hour]]</f>
        <v>62</v>
      </c>
      <c r="B65" s="138">
        <f ca="1">TblImps[[#This Row],[Time]]</f>
        <v>46049.541666666519</v>
      </c>
      <c r="C65" s="94">
        <f ca="1">OFFSET(TblPop[[#This Row],[Peasants]],-1,0)+OFFSET(TblPop[[#This Row],[Net Peasant]],-1,0)+TblMili[[#This Row],[Release Draft]]</f>
        <v>542</v>
      </c>
      <c r="D65" s="94">
        <f ca="1">TblMili[[#This Row],[Military]]</f>
        <v>534</v>
      </c>
      <c r="E65" s="94">
        <f ca="1">TblMili[[#This Row],[Draftees]]</f>
        <v>534</v>
      </c>
      <c r="F65" s="94">
        <f ca="1">TblPop[[#This Row],[Peasants]]+TblPop[[#This Row],[Military]]</f>
        <v>1076</v>
      </c>
      <c r="G65" s="139">
        <f ca="1">TblPop[[#This Row],[Military]]/TblPop[[#This Row],[Total]]</f>
        <v>0.49628252788104088</v>
      </c>
      <c r="H65" s="140">
        <f ca="1">MIN(TblPop[[#This Row],[Peasants]],TblPop[[#This Row],[Jobs]])</f>
        <v>542</v>
      </c>
      <c r="I65" s="139">
        <f ca="1">MIN(OFFSET(TblPop[[#This Row],[Jobs]],1,0)/TblPop[[#This Row],[Peasants]],1)</f>
        <v>1</v>
      </c>
      <c r="J65" s="140">
        <f ca="1">SUM(TblConstr[[#This Row],[Tot Alc]:[Tot GT]],TblConstr[[#This Row],[Tot Shr]:[Tot Doc]],TblConstr[[#This Row],[Dest Alc]:[Dest GT]],TblConstr[[#This Row],[Dest Shr]:[Dest Doc]])*building_employment + TblConstr[[#This Row],[Tot Fac]]*bonus_jobs_facts</f>
        <v>1000</v>
      </c>
      <c r="K65" s="141"/>
      <c r="L65" s="61">
        <f ca="1">TblPop[[#This Row],[Draftees]]</f>
        <v>534</v>
      </c>
      <c r="M65" s="61">
        <f ca="1">TblMili[[#This Row],[Unit 1]]</f>
        <v>0</v>
      </c>
      <c r="N65" s="61">
        <f ca="1">TblMili[[#This Row],[Unit 2]]</f>
        <v>0</v>
      </c>
      <c r="O65" s="61">
        <f ca="1">TblMili[[#This Row],[Unit 3]]</f>
        <v>0</v>
      </c>
      <c r="P65" s="61">
        <f ca="1">TblMili[[#This Row],[Unit 4]]</f>
        <v>0</v>
      </c>
      <c r="Q65" s="61">
        <f ca="1">TblMili[[#This Row],[Spies]]</f>
        <v>0</v>
      </c>
      <c r="R65" s="61">
        <f ca="1">TblMili[[#This Row],[Wizards]]</f>
        <v>0</v>
      </c>
      <c r="S65" s="61">
        <f ca="1">TblMili[[#This Row],[Archmages]]</f>
        <v>0</v>
      </c>
      <c r="T65" s="142"/>
      <c r="U65" s="94">
        <f ca="1">ROUND(TblPop[[#This Row],[Raw max]]*(1+OFFSET(TblPop[[#This Row],[Max pop]],-1,0)),0)+MIN(TblPop[[#This Row],[Military]]-TblPop[[#This Row],[Draftees]]-SUM(TblMili[[#This Row],[Train Unit 1]:[Train AM]]),(barracks_size + tech_8_3*TblTech[[#This Row],[8-3]])*TblConstr[[#This Row],[Tot Bar]])</f>
        <v>1076</v>
      </c>
      <c r="V6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5" s="94">
        <f ca="1">MAX(-5%*TblPop[[#This Row],[Peasants]]-TblPop[[#This Row],[Draft Growth]],MIN(OFFSET(TblPop[[#This Row],[Net max]],1,0)-TblPop[[#This Row],[Peasants]]-TblPop[[#This Row],[Military]]-TblPop[[#This Row],[Draft Growth]],TblPop[[#This Row],[Modded Birth]]-TblPop[[#This Row],[Draft Growth]]))</f>
        <v>-5</v>
      </c>
      <c r="X65" s="94">
        <f ca="1">ROUND(TblPop[[#This Row],[Raw Birth]]*(1+TblPop[[#This Row],[Growth]]),0)</f>
        <v>16</v>
      </c>
      <c r="Y65" s="94">
        <f ca="1">(TblPop[[#This Row],[Peasants]]-TblPop[[#This Row],[Draft Growth]])*raw_pop_growth</f>
        <v>16.11</v>
      </c>
      <c r="Z65" s="94">
        <f ca="1">ROUND(IF(TblPop[[#This Row],[Military%]]&lt;TblMili[[#This Row],[Draftrate]],ROUND(TblPop[[#This Row],[Peasants]]*Constants!$B$55,0), 0) * IF(AND(TblMagic[[#This Row],[Active DnD]]&lt;=12,TblMagic[[#This Row],[Active DnD]]&gt;6),1.6,1),0)</f>
        <v>5</v>
      </c>
      <c r="AA65" s="142"/>
      <c r="AB65" s="143">
        <f ca="1">Overview!$I$17 + IF(Magic!AF65&gt;0,Constants!$F$78) + ROUND(6*(Construction!BM66+Construction!CK65)/IF(Explore!S66&gt;0,Construction!F66-20,Construction!F66),4) + tech_6_5_2*Techs!BJ65 + tech_8_4*Techs!BT65</f>
        <v>0</v>
      </c>
      <c r="AC65" s="139">
        <f ca="1">(Overview!$I$16 + Imps!Z65+ tech_2_5*Techs!AB65 + tech_3_6*Techs!AM65 + tech_6_1*Techs!BJ65 + tech_6_5*Techs!BF65 + tech_7_3_2*Techs!BN65) * (1 + Production!O65/100*prestige_pop_multiplier) + Production!O65/100*prestige_pop_multiplier</f>
        <v>2.5000000000000001E-2</v>
      </c>
    </row>
    <row r="66" spans="1:29" x14ac:dyDescent="0.2">
      <c r="A66" s="137">
        <f>TblRezone[[#This Row],[Hour]]</f>
        <v>63</v>
      </c>
      <c r="B66" s="138">
        <f ca="1">TblImps[[#This Row],[Time]]</f>
        <v>46049.583333333183</v>
      </c>
      <c r="C66" s="94">
        <f ca="1">OFFSET(TblPop[[#This Row],[Peasants]],-1,0)+OFFSET(TblPop[[#This Row],[Net Peasant]],-1,0)+TblMili[[#This Row],[Release Draft]]</f>
        <v>537</v>
      </c>
      <c r="D66" s="94">
        <f ca="1">TblMili[[#This Row],[Military]]</f>
        <v>539</v>
      </c>
      <c r="E66" s="94">
        <f ca="1">TblMili[[#This Row],[Draftees]]</f>
        <v>539</v>
      </c>
      <c r="F66" s="94">
        <f ca="1">TblPop[[#This Row],[Peasants]]+TblPop[[#This Row],[Military]]</f>
        <v>1076</v>
      </c>
      <c r="G66" s="139">
        <f ca="1">TblPop[[#This Row],[Military]]/TblPop[[#This Row],[Total]]</f>
        <v>0.50092936802973975</v>
      </c>
      <c r="H66" s="140">
        <f ca="1">MIN(TblPop[[#This Row],[Peasants]],TblPop[[#This Row],[Jobs]])</f>
        <v>537</v>
      </c>
      <c r="I66" s="139">
        <f ca="1">MIN(OFFSET(TblPop[[#This Row],[Jobs]],1,0)/TblPop[[#This Row],[Peasants]],1)</f>
        <v>1</v>
      </c>
      <c r="J66" s="140">
        <f ca="1">SUM(TblConstr[[#This Row],[Tot Alc]:[Tot GT]],TblConstr[[#This Row],[Tot Shr]:[Tot Doc]],TblConstr[[#This Row],[Dest Alc]:[Dest GT]],TblConstr[[#This Row],[Dest Shr]:[Dest Doc]])*building_employment + TblConstr[[#This Row],[Tot Fac]]*bonus_jobs_facts</f>
        <v>1000</v>
      </c>
      <c r="K66" s="141"/>
      <c r="L66" s="61">
        <f ca="1">TblPop[[#This Row],[Draftees]]</f>
        <v>539</v>
      </c>
      <c r="M66" s="61">
        <f ca="1">TblMili[[#This Row],[Unit 1]]</f>
        <v>0</v>
      </c>
      <c r="N66" s="61">
        <f ca="1">TblMili[[#This Row],[Unit 2]]</f>
        <v>0</v>
      </c>
      <c r="O66" s="61">
        <f ca="1">TblMili[[#This Row],[Unit 3]]</f>
        <v>0</v>
      </c>
      <c r="P66" s="61">
        <f ca="1">TblMili[[#This Row],[Unit 4]]</f>
        <v>0</v>
      </c>
      <c r="Q66" s="61">
        <f ca="1">TblMili[[#This Row],[Spies]]</f>
        <v>0</v>
      </c>
      <c r="R66" s="61">
        <f ca="1">TblMili[[#This Row],[Wizards]]</f>
        <v>0</v>
      </c>
      <c r="S66" s="61">
        <f ca="1">TblMili[[#This Row],[Archmages]]</f>
        <v>0</v>
      </c>
      <c r="T66" s="142"/>
      <c r="U66" s="94">
        <f ca="1">ROUND(TblPop[[#This Row],[Raw max]]*(1+OFFSET(TblPop[[#This Row],[Max pop]],-1,0)),0)+MIN(TblPop[[#This Row],[Military]]-TblPop[[#This Row],[Draftees]]-SUM(TblMili[[#This Row],[Train Unit 1]:[Train AM]]),(barracks_size + tech_8_3*TblTech[[#This Row],[8-3]])*TblConstr[[#This Row],[Tot Bar]])</f>
        <v>1076</v>
      </c>
      <c r="V6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6" s="94">
        <f ca="1">MAX(-5%*TblPop[[#This Row],[Peasants]]-TblPop[[#This Row],[Draft Growth]],MIN(OFFSET(TblPop[[#This Row],[Net max]],1,0)-TblPop[[#This Row],[Peasants]]-TblPop[[#This Row],[Military]]-TblPop[[#This Row],[Draft Growth]],TblPop[[#This Row],[Modded Birth]]-TblPop[[#This Row],[Draft Growth]]))</f>
        <v>-5</v>
      </c>
      <c r="X66" s="94">
        <f ca="1">ROUND(TblPop[[#This Row],[Raw Birth]]*(1+TblPop[[#This Row],[Growth]]),0)</f>
        <v>16</v>
      </c>
      <c r="Y66" s="94">
        <f ca="1">(TblPop[[#This Row],[Peasants]]-TblPop[[#This Row],[Draft Growth]])*raw_pop_growth</f>
        <v>15.959999999999999</v>
      </c>
      <c r="Z66" s="94">
        <f ca="1">ROUND(IF(TblPop[[#This Row],[Military%]]&lt;TblMili[[#This Row],[Draftrate]],ROUND(TblPop[[#This Row],[Peasants]]*Constants!$B$55,0), 0) * IF(AND(TblMagic[[#This Row],[Active DnD]]&lt;=12,TblMagic[[#This Row],[Active DnD]]&gt;6),1.6,1),0)</f>
        <v>5</v>
      </c>
      <c r="AA66" s="142"/>
      <c r="AB66" s="143">
        <f ca="1">Overview!$I$17 + IF(Magic!AF66&gt;0,Constants!$F$78) + ROUND(6*(Construction!BM67+Construction!CK66)/IF(Explore!S67&gt;0,Construction!F67-20,Construction!F67),4) + tech_6_5_2*Techs!BJ66 + tech_8_4*Techs!BT66</f>
        <v>0</v>
      </c>
      <c r="AC66" s="139">
        <f ca="1">(Overview!$I$16 + Imps!Z66+ tech_2_5*Techs!AB66 + tech_3_6*Techs!AM66 + tech_6_1*Techs!BJ66 + tech_6_5*Techs!BF66 + tech_7_3_2*Techs!BN66) * (1 + Production!O66/100*prestige_pop_multiplier) + Production!O66/100*prestige_pop_multiplier</f>
        <v>2.5000000000000001E-2</v>
      </c>
    </row>
    <row r="67" spans="1:29" x14ac:dyDescent="0.2">
      <c r="A67" s="137">
        <f>TblRezone[[#This Row],[Hour]]</f>
        <v>64</v>
      </c>
      <c r="B67" s="138">
        <f ca="1">TblImps[[#This Row],[Time]]</f>
        <v>46049.624999999847</v>
      </c>
      <c r="C67" s="94">
        <f ca="1">OFFSET(TblPop[[#This Row],[Peasants]],-1,0)+OFFSET(TblPop[[#This Row],[Net Peasant]],-1,0)+TblMili[[#This Row],[Release Draft]]</f>
        <v>532</v>
      </c>
      <c r="D67" s="94">
        <f ca="1">TblMili[[#This Row],[Military]]</f>
        <v>544</v>
      </c>
      <c r="E67" s="94">
        <f ca="1">TblMili[[#This Row],[Draftees]]</f>
        <v>544</v>
      </c>
      <c r="F67" s="94">
        <f ca="1">TblPop[[#This Row],[Peasants]]+TblPop[[#This Row],[Military]]</f>
        <v>1076</v>
      </c>
      <c r="G67" s="139">
        <f ca="1">TblPop[[#This Row],[Military]]/TblPop[[#This Row],[Total]]</f>
        <v>0.50557620817843862</v>
      </c>
      <c r="H67" s="140">
        <f ca="1">MIN(TblPop[[#This Row],[Peasants]],TblPop[[#This Row],[Jobs]])</f>
        <v>532</v>
      </c>
      <c r="I67" s="139">
        <f ca="1">MIN(OFFSET(TblPop[[#This Row],[Jobs]],1,0)/TblPop[[#This Row],[Peasants]],1)</f>
        <v>1</v>
      </c>
      <c r="J67" s="140">
        <f ca="1">SUM(TblConstr[[#This Row],[Tot Alc]:[Tot GT]],TblConstr[[#This Row],[Tot Shr]:[Tot Doc]],TblConstr[[#This Row],[Dest Alc]:[Dest GT]],TblConstr[[#This Row],[Dest Shr]:[Dest Doc]])*building_employment + TblConstr[[#This Row],[Tot Fac]]*bonus_jobs_facts</f>
        <v>1000</v>
      </c>
      <c r="K67" s="141"/>
      <c r="L67" s="61">
        <f ca="1">TblPop[[#This Row],[Draftees]]</f>
        <v>544</v>
      </c>
      <c r="M67" s="61">
        <f ca="1">TblMili[[#This Row],[Unit 1]]</f>
        <v>0</v>
      </c>
      <c r="N67" s="61">
        <f ca="1">TblMili[[#This Row],[Unit 2]]</f>
        <v>0</v>
      </c>
      <c r="O67" s="61">
        <f ca="1">TblMili[[#This Row],[Unit 3]]</f>
        <v>0</v>
      </c>
      <c r="P67" s="61">
        <f ca="1">TblMili[[#This Row],[Unit 4]]</f>
        <v>0</v>
      </c>
      <c r="Q67" s="61">
        <f ca="1">TblMili[[#This Row],[Spies]]</f>
        <v>0</v>
      </c>
      <c r="R67" s="61">
        <f ca="1">TblMili[[#This Row],[Wizards]]</f>
        <v>0</v>
      </c>
      <c r="S67" s="61">
        <f ca="1">TblMili[[#This Row],[Archmages]]</f>
        <v>0</v>
      </c>
      <c r="T67" s="142"/>
      <c r="U67" s="94">
        <f ca="1">ROUND(TblPop[[#This Row],[Raw max]]*(1+OFFSET(TblPop[[#This Row],[Max pop]],-1,0)),0)+MIN(TblPop[[#This Row],[Military]]-TblPop[[#This Row],[Draftees]]-SUM(TblMili[[#This Row],[Train Unit 1]:[Train AM]]),(barracks_size + tech_8_3*TblTech[[#This Row],[8-3]])*TblConstr[[#This Row],[Tot Bar]])</f>
        <v>1076</v>
      </c>
      <c r="V6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7" s="94">
        <f ca="1">MAX(-5%*TblPop[[#This Row],[Peasants]]-TblPop[[#This Row],[Draft Growth]],MIN(OFFSET(TblPop[[#This Row],[Net max]],1,0)-TblPop[[#This Row],[Peasants]]-TblPop[[#This Row],[Military]]-TblPop[[#This Row],[Draft Growth]],TblPop[[#This Row],[Modded Birth]]-TblPop[[#This Row],[Draft Growth]]))</f>
        <v>-5</v>
      </c>
      <c r="X67" s="94">
        <f ca="1">ROUND(TblPop[[#This Row],[Raw Birth]]*(1+TblPop[[#This Row],[Growth]]),0)</f>
        <v>16</v>
      </c>
      <c r="Y67" s="94">
        <f ca="1">(TblPop[[#This Row],[Peasants]]-TblPop[[#This Row],[Draft Growth]])*raw_pop_growth</f>
        <v>15.809999999999999</v>
      </c>
      <c r="Z67" s="94">
        <f ca="1">ROUND(IF(TblPop[[#This Row],[Military%]]&lt;TblMili[[#This Row],[Draftrate]],ROUND(TblPop[[#This Row],[Peasants]]*Constants!$B$55,0), 0) * IF(AND(TblMagic[[#This Row],[Active DnD]]&lt;=12,TblMagic[[#This Row],[Active DnD]]&gt;6),1.6,1),0)</f>
        <v>5</v>
      </c>
      <c r="AA67" s="142"/>
      <c r="AB67" s="143">
        <f ca="1">Overview!$I$17 + IF(Magic!AF67&gt;0,Constants!$F$78) + ROUND(6*(Construction!BM68+Construction!CK67)/IF(Explore!S68&gt;0,Construction!F68-20,Construction!F68),4) + tech_6_5_2*Techs!BJ67 + tech_8_4*Techs!BT67</f>
        <v>0</v>
      </c>
      <c r="AC67" s="139">
        <f ca="1">(Overview!$I$16 + Imps!Z67+ tech_2_5*Techs!AB67 + tech_3_6*Techs!AM67 + tech_6_1*Techs!BJ67 + tech_6_5*Techs!BF67 + tech_7_3_2*Techs!BN67) * (1 + Production!O67/100*prestige_pop_multiplier) + Production!O67/100*prestige_pop_multiplier</f>
        <v>2.5000000000000001E-2</v>
      </c>
    </row>
    <row r="68" spans="1:29" x14ac:dyDescent="0.2">
      <c r="A68" s="137">
        <f>TblRezone[[#This Row],[Hour]]</f>
        <v>65</v>
      </c>
      <c r="B68" s="138">
        <f ca="1">TblImps[[#This Row],[Time]]</f>
        <v>46049.666666666511</v>
      </c>
      <c r="C68" s="94">
        <f ca="1">OFFSET(TblPop[[#This Row],[Peasants]],-1,0)+OFFSET(TblPop[[#This Row],[Net Peasant]],-1,0)+TblMili[[#This Row],[Release Draft]]</f>
        <v>527</v>
      </c>
      <c r="D68" s="94">
        <f ca="1">TblMili[[#This Row],[Military]]</f>
        <v>549</v>
      </c>
      <c r="E68" s="94">
        <f ca="1">TblMili[[#This Row],[Draftees]]</f>
        <v>549</v>
      </c>
      <c r="F68" s="94">
        <f ca="1">TblPop[[#This Row],[Peasants]]+TblPop[[#This Row],[Military]]</f>
        <v>1076</v>
      </c>
      <c r="G68" s="139">
        <f ca="1">TblPop[[#This Row],[Military]]/TblPop[[#This Row],[Total]]</f>
        <v>0.5102230483271375</v>
      </c>
      <c r="H68" s="140">
        <f ca="1">MIN(TblPop[[#This Row],[Peasants]],TblPop[[#This Row],[Jobs]])</f>
        <v>527</v>
      </c>
      <c r="I68" s="139">
        <f ca="1">MIN(OFFSET(TblPop[[#This Row],[Jobs]],1,0)/TblPop[[#This Row],[Peasants]],1)</f>
        <v>1</v>
      </c>
      <c r="J68" s="140">
        <f ca="1">SUM(TblConstr[[#This Row],[Tot Alc]:[Tot GT]],TblConstr[[#This Row],[Tot Shr]:[Tot Doc]],TblConstr[[#This Row],[Dest Alc]:[Dest GT]],TblConstr[[#This Row],[Dest Shr]:[Dest Doc]])*building_employment + TblConstr[[#This Row],[Tot Fac]]*bonus_jobs_facts</f>
        <v>1000</v>
      </c>
      <c r="K68" s="141"/>
      <c r="L68" s="61">
        <f ca="1">TblPop[[#This Row],[Draftees]]</f>
        <v>549</v>
      </c>
      <c r="M68" s="61">
        <f ca="1">TblMili[[#This Row],[Unit 1]]</f>
        <v>0</v>
      </c>
      <c r="N68" s="61">
        <f ca="1">TblMili[[#This Row],[Unit 2]]</f>
        <v>0</v>
      </c>
      <c r="O68" s="61">
        <f ca="1">TblMili[[#This Row],[Unit 3]]</f>
        <v>0</v>
      </c>
      <c r="P68" s="61">
        <f ca="1">TblMili[[#This Row],[Unit 4]]</f>
        <v>0</v>
      </c>
      <c r="Q68" s="61">
        <f ca="1">TblMili[[#This Row],[Spies]]</f>
        <v>0</v>
      </c>
      <c r="R68" s="61">
        <f ca="1">TblMili[[#This Row],[Wizards]]</f>
        <v>0</v>
      </c>
      <c r="S68" s="61">
        <f ca="1">TblMili[[#This Row],[Archmages]]</f>
        <v>0</v>
      </c>
      <c r="T68" s="142"/>
      <c r="U68" s="94">
        <f ca="1">ROUND(TblPop[[#This Row],[Raw max]]*(1+OFFSET(TblPop[[#This Row],[Max pop]],-1,0)),0)+MIN(TblPop[[#This Row],[Military]]-TblPop[[#This Row],[Draftees]]-SUM(TblMili[[#This Row],[Train Unit 1]:[Train AM]]),(barracks_size + tech_8_3*TblTech[[#This Row],[8-3]])*TblConstr[[#This Row],[Tot Bar]])</f>
        <v>1076</v>
      </c>
      <c r="V6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8" s="94">
        <f ca="1">MAX(-5%*TblPop[[#This Row],[Peasants]]-TblPop[[#This Row],[Draft Growth]],MIN(OFFSET(TblPop[[#This Row],[Net max]],1,0)-TblPop[[#This Row],[Peasants]]-TblPop[[#This Row],[Military]]-TblPop[[#This Row],[Draft Growth]],TblPop[[#This Row],[Modded Birth]]-TblPop[[#This Row],[Draft Growth]]))</f>
        <v>-5</v>
      </c>
      <c r="X68" s="94">
        <f ca="1">ROUND(TblPop[[#This Row],[Raw Birth]]*(1+TblPop[[#This Row],[Growth]]),0)</f>
        <v>16</v>
      </c>
      <c r="Y68" s="94">
        <f ca="1">(TblPop[[#This Row],[Peasants]]-TblPop[[#This Row],[Draft Growth]])*raw_pop_growth</f>
        <v>15.66</v>
      </c>
      <c r="Z68" s="94">
        <f ca="1">ROUND(IF(TblPop[[#This Row],[Military%]]&lt;TblMili[[#This Row],[Draftrate]],ROUND(TblPop[[#This Row],[Peasants]]*Constants!$B$55,0), 0) * IF(AND(TblMagic[[#This Row],[Active DnD]]&lt;=12,TblMagic[[#This Row],[Active DnD]]&gt;6),1.6,1),0)</f>
        <v>5</v>
      </c>
      <c r="AA68" s="142"/>
      <c r="AB68" s="143">
        <f ca="1">Overview!$I$17 + IF(Magic!AF68&gt;0,Constants!$F$78) + ROUND(6*(Construction!BM69+Construction!CK68)/IF(Explore!S69&gt;0,Construction!F69-20,Construction!F69),4) + tech_6_5_2*Techs!BJ68 + tech_8_4*Techs!BT68</f>
        <v>0</v>
      </c>
      <c r="AC68" s="139">
        <f ca="1">(Overview!$I$16 + Imps!Z68+ tech_2_5*Techs!AB68 + tech_3_6*Techs!AM68 + tech_6_1*Techs!BJ68 + tech_6_5*Techs!BF68 + tech_7_3_2*Techs!BN68) * (1 + Production!O68/100*prestige_pop_multiplier) + Production!O68/100*prestige_pop_multiplier</f>
        <v>2.5000000000000001E-2</v>
      </c>
    </row>
    <row r="69" spans="1:29" x14ac:dyDescent="0.2">
      <c r="A69" s="137">
        <f>TblRezone[[#This Row],[Hour]]</f>
        <v>66</v>
      </c>
      <c r="B69" s="138">
        <f ca="1">TblImps[[#This Row],[Time]]</f>
        <v>46049.708333333176</v>
      </c>
      <c r="C69" s="94">
        <f ca="1">OFFSET(TblPop[[#This Row],[Peasants]],-1,0)+OFFSET(TblPop[[#This Row],[Net Peasant]],-1,0)+TblMili[[#This Row],[Release Draft]]</f>
        <v>522</v>
      </c>
      <c r="D69" s="94">
        <f ca="1">TblMili[[#This Row],[Military]]</f>
        <v>554</v>
      </c>
      <c r="E69" s="94">
        <f ca="1">TblMili[[#This Row],[Draftees]]</f>
        <v>554</v>
      </c>
      <c r="F69" s="94">
        <f ca="1">TblPop[[#This Row],[Peasants]]+TblPop[[#This Row],[Military]]</f>
        <v>1076</v>
      </c>
      <c r="G69" s="139">
        <f ca="1">TblPop[[#This Row],[Military]]/TblPop[[#This Row],[Total]]</f>
        <v>0.51486988847583648</v>
      </c>
      <c r="H69" s="140">
        <f ca="1">MIN(TblPop[[#This Row],[Peasants]],TblPop[[#This Row],[Jobs]])</f>
        <v>522</v>
      </c>
      <c r="I69" s="139">
        <f ca="1">MIN(OFFSET(TblPop[[#This Row],[Jobs]],1,0)/TblPop[[#This Row],[Peasants]],1)</f>
        <v>1</v>
      </c>
      <c r="J69" s="140">
        <f ca="1">SUM(TblConstr[[#This Row],[Tot Alc]:[Tot GT]],TblConstr[[#This Row],[Tot Shr]:[Tot Doc]],TblConstr[[#This Row],[Dest Alc]:[Dest GT]],TblConstr[[#This Row],[Dest Shr]:[Dest Doc]])*building_employment + TblConstr[[#This Row],[Tot Fac]]*bonus_jobs_facts</f>
        <v>1000</v>
      </c>
      <c r="K69" s="141"/>
      <c r="L69" s="61">
        <f ca="1">TblPop[[#This Row],[Draftees]]</f>
        <v>554</v>
      </c>
      <c r="M69" s="61">
        <f ca="1">TblMili[[#This Row],[Unit 1]]</f>
        <v>0</v>
      </c>
      <c r="N69" s="61">
        <f ca="1">TblMili[[#This Row],[Unit 2]]</f>
        <v>0</v>
      </c>
      <c r="O69" s="61">
        <f ca="1">TblMili[[#This Row],[Unit 3]]</f>
        <v>0</v>
      </c>
      <c r="P69" s="61">
        <f ca="1">TblMili[[#This Row],[Unit 4]]</f>
        <v>0</v>
      </c>
      <c r="Q69" s="61">
        <f ca="1">TblMili[[#This Row],[Spies]]</f>
        <v>0</v>
      </c>
      <c r="R69" s="61">
        <f ca="1">TblMili[[#This Row],[Wizards]]</f>
        <v>0</v>
      </c>
      <c r="S69" s="61">
        <f ca="1">TblMili[[#This Row],[Archmages]]</f>
        <v>0</v>
      </c>
      <c r="T69" s="142"/>
      <c r="U69" s="94">
        <f ca="1">ROUND(TblPop[[#This Row],[Raw max]]*(1+OFFSET(TblPop[[#This Row],[Max pop]],-1,0)),0)+MIN(TblPop[[#This Row],[Military]]-TblPop[[#This Row],[Draftees]]-SUM(TblMili[[#This Row],[Train Unit 1]:[Train AM]]),(barracks_size + tech_8_3*TblTech[[#This Row],[8-3]])*TblConstr[[#This Row],[Tot Bar]])</f>
        <v>1076</v>
      </c>
      <c r="V6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69" s="94">
        <f ca="1">MAX(-5%*TblPop[[#This Row],[Peasants]]-TblPop[[#This Row],[Draft Growth]],MIN(OFFSET(TblPop[[#This Row],[Net max]],1,0)-TblPop[[#This Row],[Peasants]]-TblPop[[#This Row],[Military]]-TblPop[[#This Row],[Draft Growth]],TblPop[[#This Row],[Modded Birth]]-TblPop[[#This Row],[Draft Growth]]))</f>
        <v>-5</v>
      </c>
      <c r="X69" s="94">
        <f ca="1">ROUND(TblPop[[#This Row],[Raw Birth]]*(1+TblPop[[#This Row],[Growth]]),0)</f>
        <v>16</v>
      </c>
      <c r="Y69" s="94">
        <f ca="1">(TblPop[[#This Row],[Peasants]]-TblPop[[#This Row],[Draft Growth]])*raw_pop_growth</f>
        <v>15.51</v>
      </c>
      <c r="Z69" s="94">
        <f ca="1">ROUND(IF(TblPop[[#This Row],[Military%]]&lt;TblMili[[#This Row],[Draftrate]],ROUND(TblPop[[#This Row],[Peasants]]*Constants!$B$55,0), 0) * IF(AND(TblMagic[[#This Row],[Active DnD]]&lt;=12,TblMagic[[#This Row],[Active DnD]]&gt;6),1.6,1),0)</f>
        <v>5</v>
      </c>
      <c r="AA69" s="142"/>
      <c r="AB69" s="143">
        <f ca="1">Overview!$I$17 + IF(Magic!AF69&gt;0,Constants!$F$78) + ROUND(6*(Construction!BM70+Construction!CK69)/IF(Explore!S70&gt;0,Construction!F70-20,Construction!F70),4) + tech_6_5_2*Techs!BJ69 + tech_8_4*Techs!BT69</f>
        <v>0</v>
      </c>
      <c r="AC69" s="139">
        <f ca="1">(Overview!$I$16 + Imps!Z69+ tech_2_5*Techs!AB69 + tech_3_6*Techs!AM69 + tech_6_1*Techs!BJ69 + tech_6_5*Techs!BF69 + tech_7_3_2*Techs!BN69) * (1 + Production!O69/100*prestige_pop_multiplier) + Production!O69/100*prestige_pop_multiplier</f>
        <v>2.5000000000000001E-2</v>
      </c>
    </row>
    <row r="70" spans="1:29" x14ac:dyDescent="0.2">
      <c r="A70" s="137">
        <f>TblRezone[[#This Row],[Hour]]</f>
        <v>67</v>
      </c>
      <c r="B70" s="138">
        <f ca="1">TblImps[[#This Row],[Time]]</f>
        <v>46049.74999999984</v>
      </c>
      <c r="C70" s="94">
        <f ca="1">OFFSET(TblPop[[#This Row],[Peasants]],-1,0)+OFFSET(TblPop[[#This Row],[Net Peasant]],-1,0)+TblMili[[#This Row],[Release Draft]]</f>
        <v>517</v>
      </c>
      <c r="D70" s="94">
        <f ca="1">TblMili[[#This Row],[Military]]</f>
        <v>559</v>
      </c>
      <c r="E70" s="94">
        <f ca="1">TblMili[[#This Row],[Draftees]]</f>
        <v>559</v>
      </c>
      <c r="F70" s="94">
        <f ca="1">TblPop[[#This Row],[Peasants]]+TblPop[[#This Row],[Military]]</f>
        <v>1076</v>
      </c>
      <c r="G70" s="139">
        <f ca="1">TblPop[[#This Row],[Military]]/TblPop[[#This Row],[Total]]</f>
        <v>0.51951672862453535</v>
      </c>
      <c r="H70" s="140">
        <f ca="1">MIN(TblPop[[#This Row],[Peasants]],TblPop[[#This Row],[Jobs]])</f>
        <v>517</v>
      </c>
      <c r="I70" s="139">
        <f ca="1">MIN(OFFSET(TblPop[[#This Row],[Jobs]],1,0)/TblPop[[#This Row],[Peasants]],1)</f>
        <v>1</v>
      </c>
      <c r="J70" s="140">
        <f ca="1">SUM(TblConstr[[#This Row],[Tot Alc]:[Tot GT]],TblConstr[[#This Row],[Tot Shr]:[Tot Doc]],TblConstr[[#This Row],[Dest Alc]:[Dest GT]],TblConstr[[#This Row],[Dest Shr]:[Dest Doc]])*building_employment + TblConstr[[#This Row],[Tot Fac]]*bonus_jobs_facts</f>
        <v>1000</v>
      </c>
      <c r="K70" s="141"/>
      <c r="L70" s="61">
        <f ca="1">TblPop[[#This Row],[Draftees]]</f>
        <v>559</v>
      </c>
      <c r="M70" s="61">
        <f ca="1">TblMili[[#This Row],[Unit 1]]</f>
        <v>0</v>
      </c>
      <c r="N70" s="61">
        <f ca="1">TblMili[[#This Row],[Unit 2]]</f>
        <v>0</v>
      </c>
      <c r="O70" s="61">
        <f ca="1">TblMili[[#This Row],[Unit 3]]</f>
        <v>0</v>
      </c>
      <c r="P70" s="61">
        <f ca="1">TblMili[[#This Row],[Unit 4]]</f>
        <v>0</v>
      </c>
      <c r="Q70" s="61">
        <f ca="1">TblMili[[#This Row],[Spies]]</f>
        <v>0</v>
      </c>
      <c r="R70" s="61">
        <f ca="1">TblMili[[#This Row],[Wizards]]</f>
        <v>0</v>
      </c>
      <c r="S70" s="61">
        <f ca="1">TblMili[[#This Row],[Archmages]]</f>
        <v>0</v>
      </c>
      <c r="T70" s="142"/>
      <c r="U70" s="94">
        <f ca="1">ROUND(TblPop[[#This Row],[Raw max]]*(1+OFFSET(TblPop[[#This Row],[Max pop]],-1,0)),0)+MIN(TblPop[[#This Row],[Military]]-TblPop[[#This Row],[Draftees]]-SUM(TblMili[[#This Row],[Train Unit 1]:[Train AM]]),(barracks_size + tech_8_3*TblTech[[#This Row],[8-3]])*TblConstr[[#This Row],[Tot Bar]])</f>
        <v>1076</v>
      </c>
      <c r="V7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0" s="94">
        <f ca="1">MAX(-5%*TblPop[[#This Row],[Peasants]]-TblPop[[#This Row],[Draft Growth]],MIN(OFFSET(TblPop[[#This Row],[Net max]],1,0)-TblPop[[#This Row],[Peasants]]-TblPop[[#This Row],[Military]]-TblPop[[#This Row],[Draft Growth]],TblPop[[#This Row],[Modded Birth]]-TblPop[[#This Row],[Draft Growth]]))</f>
        <v>-5</v>
      </c>
      <c r="X70" s="94">
        <f ca="1">ROUND(TblPop[[#This Row],[Raw Birth]]*(1+TblPop[[#This Row],[Growth]]),0)</f>
        <v>15</v>
      </c>
      <c r="Y70" s="94">
        <f ca="1">(TblPop[[#This Row],[Peasants]]-TblPop[[#This Row],[Draft Growth]])*raw_pop_growth</f>
        <v>15.36</v>
      </c>
      <c r="Z70" s="94">
        <f ca="1">ROUND(IF(TblPop[[#This Row],[Military%]]&lt;TblMili[[#This Row],[Draftrate]],ROUND(TblPop[[#This Row],[Peasants]]*Constants!$B$55,0), 0) * IF(AND(TblMagic[[#This Row],[Active DnD]]&lt;=12,TblMagic[[#This Row],[Active DnD]]&gt;6),1.6,1),0)</f>
        <v>5</v>
      </c>
      <c r="AA70" s="142"/>
      <c r="AB70" s="143">
        <f ca="1">Overview!$I$17 + IF(Magic!AF70&gt;0,Constants!$F$78) + ROUND(6*(Construction!BM71+Construction!CK70)/IF(Explore!S71&gt;0,Construction!F71-20,Construction!F71),4) + tech_6_5_2*Techs!BJ70 + tech_8_4*Techs!BT70</f>
        <v>0</v>
      </c>
      <c r="AC70" s="139">
        <f ca="1">(Overview!$I$16 + Imps!Z70+ tech_2_5*Techs!AB70 + tech_3_6*Techs!AM70 + tech_6_1*Techs!BJ70 + tech_6_5*Techs!BF70 + tech_7_3_2*Techs!BN70) * (1 + Production!O70/100*prestige_pop_multiplier) + Production!O70/100*prestige_pop_multiplier</f>
        <v>2.5000000000000001E-2</v>
      </c>
    </row>
    <row r="71" spans="1:29" x14ac:dyDescent="0.2">
      <c r="A71" s="137">
        <f>TblRezone[[#This Row],[Hour]]</f>
        <v>68</v>
      </c>
      <c r="B71" s="138">
        <f ca="1">TblImps[[#This Row],[Time]]</f>
        <v>46049.791666666504</v>
      </c>
      <c r="C71" s="94">
        <f ca="1">OFFSET(TblPop[[#This Row],[Peasants]],-1,0)+OFFSET(TblPop[[#This Row],[Net Peasant]],-1,0)+TblMili[[#This Row],[Release Draft]]</f>
        <v>512</v>
      </c>
      <c r="D71" s="94">
        <f ca="1">TblMili[[#This Row],[Military]]</f>
        <v>564</v>
      </c>
      <c r="E71" s="94">
        <f ca="1">TblMili[[#This Row],[Draftees]]</f>
        <v>564</v>
      </c>
      <c r="F71" s="94">
        <f ca="1">TblPop[[#This Row],[Peasants]]+TblPop[[#This Row],[Military]]</f>
        <v>1076</v>
      </c>
      <c r="G71" s="139">
        <f ca="1">TblPop[[#This Row],[Military]]/TblPop[[#This Row],[Total]]</f>
        <v>0.52416356877323422</v>
      </c>
      <c r="H71" s="140">
        <f ca="1">MIN(TblPop[[#This Row],[Peasants]],TblPop[[#This Row],[Jobs]])</f>
        <v>512</v>
      </c>
      <c r="I71" s="139">
        <f ca="1">MIN(OFFSET(TblPop[[#This Row],[Jobs]],1,0)/TblPop[[#This Row],[Peasants]],1)</f>
        <v>1</v>
      </c>
      <c r="J71" s="140">
        <f ca="1">SUM(TblConstr[[#This Row],[Tot Alc]:[Tot GT]],TblConstr[[#This Row],[Tot Shr]:[Tot Doc]],TblConstr[[#This Row],[Dest Alc]:[Dest GT]],TblConstr[[#This Row],[Dest Shr]:[Dest Doc]])*building_employment + TblConstr[[#This Row],[Tot Fac]]*bonus_jobs_facts</f>
        <v>1000</v>
      </c>
      <c r="K71" s="141"/>
      <c r="L71" s="61">
        <f ca="1">TblPop[[#This Row],[Draftees]]</f>
        <v>564</v>
      </c>
      <c r="M71" s="61">
        <f ca="1">TblMili[[#This Row],[Unit 1]]</f>
        <v>0</v>
      </c>
      <c r="N71" s="61">
        <f ca="1">TblMili[[#This Row],[Unit 2]]</f>
        <v>0</v>
      </c>
      <c r="O71" s="61">
        <f ca="1">TblMili[[#This Row],[Unit 3]]</f>
        <v>0</v>
      </c>
      <c r="P71" s="61">
        <f ca="1">TblMili[[#This Row],[Unit 4]]</f>
        <v>0</v>
      </c>
      <c r="Q71" s="61">
        <f ca="1">TblMili[[#This Row],[Spies]]</f>
        <v>0</v>
      </c>
      <c r="R71" s="61">
        <f ca="1">TblMili[[#This Row],[Wizards]]</f>
        <v>0</v>
      </c>
      <c r="S71" s="61">
        <f ca="1">TblMili[[#This Row],[Archmages]]</f>
        <v>0</v>
      </c>
      <c r="T71" s="142"/>
      <c r="U71" s="94">
        <f ca="1">ROUND(TblPop[[#This Row],[Raw max]]*(1+OFFSET(TblPop[[#This Row],[Max pop]],-1,0)),0)+MIN(TblPop[[#This Row],[Military]]-TblPop[[#This Row],[Draftees]]-SUM(TblMili[[#This Row],[Train Unit 1]:[Train AM]]),(barracks_size + tech_8_3*TblTech[[#This Row],[8-3]])*TblConstr[[#This Row],[Tot Bar]])</f>
        <v>1076</v>
      </c>
      <c r="V7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1" s="94">
        <f ca="1">MAX(-5%*TblPop[[#This Row],[Peasants]]-TblPop[[#This Row],[Draft Growth]],MIN(OFFSET(TblPop[[#This Row],[Net max]],1,0)-TblPop[[#This Row],[Peasants]]-TblPop[[#This Row],[Military]]-TblPop[[#This Row],[Draft Growth]],TblPop[[#This Row],[Modded Birth]]-TblPop[[#This Row],[Draft Growth]]))</f>
        <v>-5</v>
      </c>
      <c r="X71" s="94">
        <f ca="1">ROUND(TblPop[[#This Row],[Raw Birth]]*(1+TblPop[[#This Row],[Growth]]),0)</f>
        <v>15</v>
      </c>
      <c r="Y71" s="94">
        <f ca="1">(TblPop[[#This Row],[Peasants]]-TblPop[[#This Row],[Draft Growth]])*raw_pop_growth</f>
        <v>15.209999999999999</v>
      </c>
      <c r="Z71" s="94">
        <f ca="1">ROUND(IF(TblPop[[#This Row],[Military%]]&lt;TblMili[[#This Row],[Draftrate]],ROUND(TblPop[[#This Row],[Peasants]]*Constants!$B$55,0), 0) * IF(AND(TblMagic[[#This Row],[Active DnD]]&lt;=12,TblMagic[[#This Row],[Active DnD]]&gt;6),1.6,1),0)</f>
        <v>5</v>
      </c>
      <c r="AA71" s="142"/>
      <c r="AB71" s="143">
        <f ca="1">Overview!$I$17 + IF(Magic!AF71&gt;0,Constants!$F$78) + ROUND(6*(Construction!BM72+Construction!CK71)/IF(Explore!S72&gt;0,Construction!F72-20,Construction!F72),4) + tech_6_5_2*Techs!BJ71 + tech_8_4*Techs!BT71</f>
        <v>0</v>
      </c>
      <c r="AC71" s="139">
        <f ca="1">(Overview!$I$16 + Imps!Z71+ tech_2_5*Techs!AB71 + tech_3_6*Techs!AM71 + tech_6_1*Techs!BJ71 + tech_6_5*Techs!BF71 + tech_7_3_2*Techs!BN71) * (1 + Production!O71/100*prestige_pop_multiplier) + Production!O71/100*prestige_pop_multiplier</f>
        <v>2.5000000000000001E-2</v>
      </c>
    </row>
    <row r="72" spans="1:29" x14ac:dyDescent="0.2">
      <c r="A72" s="137">
        <f>TblRezone[[#This Row],[Hour]]</f>
        <v>69</v>
      </c>
      <c r="B72" s="138">
        <f ca="1">TblImps[[#This Row],[Time]]</f>
        <v>46049.833333333168</v>
      </c>
      <c r="C72" s="94">
        <f ca="1">OFFSET(TblPop[[#This Row],[Peasants]],-1,0)+OFFSET(TblPop[[#This Row],[Net Peasant]],-1,0)+TblMili[[#This Row],[Release Draft]]</f>
        <v>507</v>
      </c>
      <c r="D72" s="94">
        <f ca="1">TblMili[[#This Row],[Military]]</f>
        <v>569</v>
      </c>
      <c r="E72" s="94">
        <f ca="1">TblMili[[#This Row],[Draftees]]</f>
        <v>569</v>
      </c>
      <c r="F72" s="94">
        <f ca="1">TblPop[[#This Row],[Peasants]]+TblPop[[#This Row],[Military]]</f>
        <v>1076</v>
      </c>
      <c r="G72" s="139">
        <f ca="1">TblPop[[#This Row],[Military]]/TblPop[[#This Row],[Total]]</f>
        <v>0.52881040892193309</v>
      </c>
      <c r="H72" s="140">
        <f ca="1">MIN(TblPop[[#This Row],[Peasants]],TblPop[[#This Row],[Jobs]])</f>
        <v>507</v>
      </c>
      <c r="I72" s="139">
        <f ca="1">MIN(OFFSET(TblPop[[#This Row],[Jobs]],1,0)/TblPop[[#This Row],[Peasants]],1)</f>
        <v>1</v>
      </c>
      <c r="J72" s="140">
        <f ca="1">SUM(TblConstr[[#This Row],[Tot Alc]:[Tot GT]],TblConstr[[#This Row],[Tot Shr]:[Tot Doc]],TblConstr[[#This Row],[Dest Alc]:[Dest GT]],TblConstr[[#This Row],[Dest Shr]:[Dest Doc]])*building_employment + TblConstr[[#This Row],[Tot Fac]]*bonus_jobs_facts</f>
        <v>1000</v>
      </c>
      <c r="K72" s="141"/>
      <c r="L72" s="61">
        <f ca="1">TblPop[[#This Row],[Draftees]]</f>
        <v>569</v>
      </c>
      <c r="M72" s="61">
        <f ca="1">TblMili[[#This Row],[Unit 1]]</f>
        <v>0</v>
      </c>
      <c r="N72" s="61">
        <f ca="1">TblMili[[#This Row],[Unit 2]]</f>
        <v>0</v>
      </c>
      <c r="O72" s="61">
        <f ca="1">TblMili[[#This Row],[Unit 3]]</f>
        <v>0</v>
      </c>
      <c r="P72" s="61">
        <f ca="1">TblMili[[#This Row],[Unit 4]]</f>
        <v>0</v>
      </c>
      <c r="Q72" s="61">
        <f ca="1">TblMili[[#This Row],[Spies]]</f>
        <v>0</v>
      </c>
      <c r="R72" s="61">
        <f ca="1">TblMili[[#This Row],[Wizards]]</f>
        <v>0</v>
      </c>
      <c r="S72" s="61">
        <f ca="1">TblMili[[#This Row],[Archmages]]</f>
        <v>0</v>
      </c>
      <c r="T72" s="142"/>
      <c r="U72" s="94">
        <f ca="1">ROUND(TblPop[[#This Row],[Raw max]]*(1+OFFSET(TblPop[[#This Row],[Max pop]],-1,0)),0)+MIN(TblPop[[#This Row],[Military]]-TblPop[[#This Row],[Draftees]]-SUM(TblMili[[#This Row],[Train Unit 1]:[Train AM]]),(barracks_size + tech_8_3*TblTech[[#This Row],[8-3]])*TblConstr[[#This Row],[Tot Bar]])</f>
        <v>1076</v>
      </c>
      <c r="V7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2" s="94">
        <f ca="1">MAX(-5%*TblPop[[#This Row],[Peasants]]-TblPop[[#This Row],[Draft Growth]],MIN(OFFSET(TblPop[[#This Row],[Net max]],1,0)-TblPop[[#This Row],[Peasants]]-TblPop[[#This Row],[Military]]-TblPop[[#This Row],[Draft Growth]],TblPop[[#This Row],[Modded Birth]]-TblPop[[#This Row],[Draft Growth]]))</f>
        <v>-5</v>
      </c>
      <c r="X72" s="94">
        <f ca="1">ROUND(TblPop[[#This Row],[Raw Birth]]*(1+TblPop[[#This Row],[Growth]]),0)</f>
        <v>15</v>
      </c>
      <c r="Y72" s="94">
        <f ca="1">(TblPop[[#This Row],[Peasants]]-TblPop[[#This Row],[Draft Growth]])*raw_pop_growth</f>
        <v>15.059999999999999</v>
      </c>
      <c r="Z72" s="94">
        <f ca="1">ROUND(IF(TblPop[[#This Row],[Military%]]&lt;TblMili[[#This Row],[Draftrate]],ROUND(TblPop[[#This Row],[Peasants]]*Constants!$B$55,0), 0) * IF(AND(TblMagic[[#This Row],[Active DnD]]&lt;=12,TblMagic[[#This Row],[Active DnD]]&gt;6),1.6,1),0)</f>
        <v>5</v>
      </c>
      <c r="AA72" s="142"/>
      <c r="AB72" s="143">
        <f ca="1">Overview!$I$17 + IF(Magic!AF72&gt;0,Constants!$F$78) + ROUND(6*(Construction!BM73+Construction!CK72)/IF(Explore!S73&gt;0,Construction!F73-20,Construction!F73),4) + tech_6_5_2*Techs!BJ72 + tech_8_4*Techs!BT72</f>
        <v>0</v>
      </c>
      <c r="AC72" s="139">
        <f ca="1">(Overview!$I$16 + Imps!Z72+ tech_2_5*Techs!AB72 + tech_3_6*Techs!AM72 + tech_6_1*Techs!BJ72 + tech_6_5*Techs!BF72 + tech_7_3_2*Techs!BN72) * (1 + Production!O72/100*prestige_pop_multiplier) + Production!O72/100*prestige_pop_multiplier</f>
        <v>2.5000000000000001E-2</v>
      </c>
    </row>
    <row r="73" spans="1:29" x14ac:dyDescent="0.2">
      <c r="A73" s="137">
        <f>TblRezone[[#This Row],[Hour]]</f>
        <v>70</v>
      </c>
      <c r="B73" s="138">
        <f ca="1">TblImps[[#This Row],[Time]]</f>
        <v>46049.874999999833</v>
      </c>
      <c r="C73" s="94">
        <f ca="1">OFFSET(TblPop[[#This Row],[Peasants]],-1,0)+OFFSET(TblPop[[#This Row],[Net Peasant]],-1,0)+TblMili[[#This Row],[Release Draft]]</f>
        <v>502</v>
      </c>
      <c r="D73" s="94">
        <f ca="1">TblMili[[#This Row],[Military]]</f>
        <v>574</v>
      </c>
      <c r="E73" s="94">
        <f ca="1">TblMili[[#This Row],[Draftees]]</f>
        <v>574</v>
      </c>
      <c r="F73" s="94">
        <f ca="1">TblPop[[#This Row],[Peasants]]+TblPop[[#This Row],[Military]]</f>
        <v>1076</v>
      </c>
      <c r="G73" s="139">
        <f ca="1">TblPop[[#This Row],[Military]]/TblPop[[#This Row],[Total]]</f>
        <v>0.53345724907063197</v>
      </c>
      <c r="H73" s="140">
        <f ca="1">MIN(TblPop[[#This Row],[Peasants]],TblPop[[#This Row],[Jobs]])</f>
        <v>502</v>
      </c>
      <c r="I73" s="139">
        <f ca="1">MIN(OFFSET(TblPop[[#This Row],[Jobs]],1,0)/TblPop[[#This Row],[Peasants]],1)</f>
        <v>1</v>
      </c>
      <c r="J73" s="140">
        <f ca="1">SUM(TblConstr[[#This Row],[Tot Alc]:[Tot GT]],TblConstr[[#This Row],[Tot Shr]:[Tot Doc]],TblConstr[[#This Row],[Dest Alc]:[Dest GT]],TblConstr[[#This Row],[Dest Shr]:[Dest Doc]])*building_employment + TblConstr[[#This Row],[Tot Fac]]*bonus_jobs_facts</f>
        <v>1000</v>
      </c>
      <c r="K73" s="141"/>
      <c r="L73" s="61">
        <f ca="1">TblPop[[#This Row],[Draftees]]</f>
        <v>574</v>
      </c>
      <c r="M73" s="61">
        <f ca="1">TblMili[[#This Row],[Unit 1]]</f>
        <v>0</v>
      </c>
      <c r="N73" s="61">
        <f ca="1">TblMili[[#This Row],[Unit 2]]</f>
        <v>0</v>
      </c>
      <c r="O73" s="61">
        <f ca="1">TblMili[[#This Row],[Unit 3]]</f>
        <v>0</v>
      </c>
      <c r="P73" s="61">
        <f ca="1">TblMili[[#This Row],[Unit 4]]</f>
        <v>0</v>
      </c>
      <c r="Q73" s="61">
        <f ca="1">TblMili[[#This Row],[Spies]]</f>
        <v>0</v>
      </c>
      <c r="R73" s="61">
        <f ca="1">TblMili[[#This Row],[Wizards]]</f>
        <v>0</v>
      </c>
      <c r="S73" s="61">
        <f ca="1">TblMili[[#This Row],[Archmages]]</f>
        <v>0</v>
      </c>
      <c r="T73" s="142"/>
      <c r="U73" s="94">
        <f ca="1">ROUND(TblPop[[#This Row],[Raw max]]*(1+OFFSET(TblPop[[#This Row],[Max pop]],-1,0)),0)+MIN(TblPop[[#This Row],[Military]]-TblPop[[#This Row],[Draftees]]-SUM(TblMili[[#This Row],[Train Unit 1]:[Train AM]]),(barracks_size + tech_8_3*TblTech[[#This Row],[8-3]])*TblConstr[[#This Row],[Tot Bar]])</f>
        <v>1076</v>
      </c>
      <c r="V7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3" s="94">
        <f ca="1">MAX(-5%*TblPop[[#This Row],[Peasants]]-TblPop[[#This Row],[Draft Growth]],MIN(OFFSET(TblPop[[#This Row],[Net max]],1,0)-TblPop[[#This Row],[Peasants]]-TblPop[[#This Row],[Military]]-TblPop[[#This Row],[Draft Growth]],TblPop[[#This Row],[Modded Birth]]-TblPop[[#This Row],[Draft Growth]]))</f>
        <v>-5</v>
      </c>
      <c r="X73" s="94">
        <f ca="1">ROUND(TblPop[[#This Row],[Raw Birth]]*(1+TblPop[[#This Row],[Growth]]),0)</f>
        <v>15</v>
      </c>
      <c r="Y73" s="94">
        <f ca="1">(TblPop[[#This Row],[Peasants]]-TblPop[[#This Row],[Draft Growth]])*raw_pop_growth</f>
        <v>14.91</v>
      </c>
      <c r="Z73" s="94">
        <f ca="1">ROUND(IF(TblPop[[#This Row],[Military%]]&lt;TblMili[[#This Row],[Draftrate]],ROUND(TblPop[[#This Row],[Peasants]]*Constants!$B$55,0), 0) * IF(AND(TblMagic[[#This Row],[Active DnD]]&lt;=12,TblMagic[[#This Row],[Active DnD]]&gt;6),1.6,1),0)</f>
        <v>5</v>
      </c>
      <c r="AA73" s="142"/>
      <c r="AB73" s="143">
        <f ca="1">Overview!$I$17 + IF(Magic!AF73&gt;0,Constants!$F$78) + ROUND(6*(Construction!BM74+Construction!CK73)/IF(Explore!S74&gt;0,Construction!F74-20,Construction!F74),4) + tech_6_5_2*Techs!BJ73 + tech_8_4*Techs!BT73</f>
        <v>0</v>
      </c>
      <c r="AC73" s="139">
        <f ca="1">(Overview!$I$16 + Imps!Z73+ tech_2_5*Techs!AB73 + tech_3_6*Techs!AM73 + tech_6_1*Techs!BJ73 + tech_6_5*Techs!BF73 + tech_7_3_2*Techs!BN73) * (1 + Production!O73/100*prestige_pop_multiplier) + Production!O73/100*prestige_pop_multiplier</f>
        <v>2.5000000000000001E-2</v>
      </c>
    </row>
    <row r="74" spans="1:29" x14ac:dyDescent="0.2">
      <c r="A74" s="137">
        <f>TblRezone[[#This Row],[Hour]]</f>
        <v>71</v>
      </c>
      <c r="B74" s="138">
        <f ca="1">TblImps[[#This Row],[Time]]</f>
        <v>46049.916666666497</v>
      </c>
      <c r="C74" s="94">
        <f ca="1">OFFSET(TblPop[[#This Row],[Peasants]],-1,0)+OFFSET(TblPop[[#This Row],[Net Peasant]],-1,0)+TblMili[[#This Row],[Release Draft]]</f>
        <v>497</v>
      </c>
      <c r="D74" s="94">
        <f ca="1">TblMili[[#This Row],[Military]]</f>
        <v>579</v>
      </c>
      <c r="E74" s="94">
        <f ca="1">TblMili[[#This Row],[Draftees]]</f>
        <v>579</v>
      </c>
      <c r="F74" s="94">
        <f ca="1">TblPop[[#This Row],[Peasants]]+TblPop[[#This Row],[Military]]</f>
        <v>1076</v>
      </c>
      <c r="G74" s="139">
        <f ca="1">TblPop[[#This Row],[Military]]/TblPop[[#This Row],[Total]]</f>
        <v>0.53810408921933084</v>
      </c>
      <c r="H74" s="140">
        <f ca="1">MIN(TblPop[[#This Row],[Peasants]],TblPop[[#This Row],[Jobs]])</f>
        <v>497</v>
      </c>
      <c r="I74" s="139">
        <f ca="1">MIN(OFFSET(TblPop[[#This Row],[Jobs]],1,0)/TblPop[[#This Row],[Peasants]],1)</f>
        <v>1</v>
      </c>
      <c r="J74" s="140">
        <f ca="1">SUM(TblConstr[[#This Row],[Tot Alc]:[Tot GT]],TblConstr[[#This Row],[Tot Shr]:[Tot Doc]],TblConstr[[#This Row],[Dest Alc]:[Dest GT]],TblConstr[[#This Row],[Dest Shr]:[Dest Doc]])*building_employment + TblConstr[[#This Row],[Tot Fac]]*bonus_jobs_facts</f>
        <v>1000</v>
      </c>
      <c r="K74" s="141"/>
      <c r="L74" s="61">
        <f ca="1">TblPop[[#This Row],[Draftees]]</f>
        <v>579</v>
      </c>
      <c r="M74" s="61">
        <f ca="1">TblMili[[#This Row],[Unit 1]]</f>
        <v>0</v>
      </c>
      <c r="N74" s="61">
        <f ca="1">TblMili[[#This Row],[Unit 2]]</f>
        <v>0</v>
      </c>
      <c r="O74" s="61">
        <f ca="1">TblMili[[#This Row],[Unit 3]]</f>
        <v>0</v>
      </c>
      <c r="P74" s="61">
        <f ca="1">TblMili[[#This Row],[Unit 4]]</f>
        <v>0</v>
      </c>
      <c r="Q74" s="61">
        <f ca="1">TblMili[[#This Row],[Spies]]</f>
        <v>0</v>
      </c>
      <c r="R74" s="61">
        <f ca="1">TblMili[[#This Row],[Wizards]]</f>
        <v>0</v>
      </c>
      <c r="S74" s="61">
        <f ca="1">TblMili[[#This Row],[Archmages]]</f>
        <v>0</v>
      </c>
      <c r="T74" s="142"/>
      <c r="U74" s="94">
        <f ca="1">ROUND(TblPop[[#This Row],[Raw max]]*(1+OFFSET(TblPop[[#This Row],[Max pop]],-1,0)),0)+MIN(TblPop[[#This Row],[Military]]-TblPop[[#This Row],[Draftees]]-SUM(TblMili[[#This Row],[Train Unit 1]:[Train AM]]),(barracks_size + tech_8_3*TblTech[[#This Row],[8-3]])*TblConstr[[#This Row],[Tot Bar]])</f>
        <v>1076</v>
      </c>
      <c r="V7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4" s="94">
        <f ca="1">MAX(-5%*TblPop[[#This Row],[Peasants]]-TblPop[[#This Row],[Draft Growth]],MIN(OFFSET(TblPop[[#This Row],[Net max]],1,0)-TblPop[[#This Row],[Peasants]]-TblPop[[#This Row],[Military]]-TblPop[[#This Row],[Draft Growth]],TblPop[[#This Row],[Modded Birth]]-TblPop[[#This Row],[Draft Growth]]))</f>
        <v>-5</v>
      </c>
      <c r="X74" s="94">
        <f ca="1">ROUND(TblPop[[#This Row],[Raw Birth]]*(1+TblPop[[#This Row],[Growth]]),0)</f>
        <v>15</v>
      </c>
      <c r="Y74" s="94">
        <f ca="1">(TblPop[[#This Row],[Peasants]]-TblPop[[#This Row],[Draft Growth]])*raw_pop_growth</f>
        <v>14.76</v>
      </c>
      <c r="Z74" s="94">
        <f ca="1">ROUND(IF(TblPop[[#This Row],[Military%]]&lt;TblMili[[#This Row],[Draftrate]],ROUND(TblPop[[#This Row],[Peasants]]*Constants!$B$55,0), 0) * IF(AND(TblMagic[[#This Row],[Active DnD]]&lt;=12,TblMagic[[#This Row],[Active DnD]]&gt;6),1.6,1),0)</f>
        <v>5</v>
      </c>
      <c r="AA74" s="142"/>
      <c r="AB74" s="143">
        <f ca="1">Overview!$I$17 + IF(Magic!AF74&gt;0,Constants!$F$78) + ROUND(6*(Construction!BM75+Construction!CK74)/IF(Explore!S75&gt;0,Construction!F75-20,Construction!F75),4) + tech_6_5_2*Techs!BJ74 + tech_8_4*Techs!BT74</f>
        <v>0</v>
      </c>
      <c r="AC74" s="139">
        <f ca="1">(Overview!$I$16 + Imps!Z74+ tech_2_5*Techs!AB74 + tech_3_6*Techs!AM74 + tech_6_1*Techs!BJ74 + tech_6_5*Techs!BF74 + tech_7_3_2*Techs!BN74) * (1 + Production!O74/100*prestige_pop_multiplier) + Production!O74/100*prestige_pop_multiplier</f>
        <v>2.5000000000000001E-2</v>
      </c>
    </row>
    <row r="75" spans="1:29" x14ac:dyDescent="0.2">
      <c r="A75" s="137">
        <f>TblRezone[[#This Row],[Hour]]</f>
        <v>72</v>
      </c>
      <c r="B75" s="138">
        <f ca="1">TblImps[[#This Row],[Time]]</f>
        <v>46049.958333333161</v>
      </c>
      <c r="C75" s="94">
        <f ca="1">OFFSET(TblPop[[#This Row],[Peasants]],-1,0)+OFFSET(TblPop[[#This Row],[Net Peasant]],-1,0)+TblMili[[#This Row],[Release Draft]]</f>
        <v>492</v>
      </c>
      <c r="D75" s="94">
        <f ca="1">TblMili[[#This Row],[Military]]</f>
        <v>584</v>
      </c>
      <c r="E75" s="94">
        <f ca="1">TblMili[[#This Row],[Draftees]]</f>
        <v>584</v>
      </c>
      <c r="F75" s="94">
        <f ca="1">TblPop[[#This Row],[Peasants]]+TblPop[[#This Row],[Military]]</f>
        <v>1076</v>
      </c>
      <c r="G75" s="139">
        <f ca="1">TblPop[[#This Row],[Military]]/TblPop[[#This Row],[Total]]</f>
        <v>0.54275092936802971</v>
      </c>
      <c r="H75" s="140">
        <f ca="1">MIN(TblPop[[#This Row],[Peasants]],TblPop[[#This Row],[Jobs]])</f>
        <v>492</v>
      </c>
      <c r="I75" s="139">
        <f ca="1">MIN(OFFSET(TblPop[[#This Row],[Jobs]],1,0)/TblPop[[#This Row],[Peasants]],1)</f>
        <v>1</v>
      </c>
      <c r="J75" s="140">
        <f ca="1">SUM(TblConstr[[#This Row],[Tot Alc]:[Tot GT]],TblConstr[[#This Row],[Tot Shr]:[Tot Doc]],TblConstr[[#This Row],[Dest Alc]:[Dest GT]],TblConstr[[#This Row],[Dest Shr]:[Dest Doc]])*building_employment + TblConstr[[#This Row],[Tot Fac]]*bonus_jobs_facts</f>
        <v>1000</v>
      </c>
      <c r="K75" s="141"/>
      <c r="L75" s="61">
        <f ca="1">TblPop[[#This Row],[Draftees]]</f>
        <v>584</v>
      </c>
      <c r="M75" s="61">
        <f ca="1">TblMili[[#This Row],[Unit 1]]</f>
        <v>0</v>
      </c>
      <c r="N75" s="61">
        <f ca="1">TblMili[[#This Row],[Unit 2]]</f>
        <v>0</v>
      </c>
      <c r="O75" s="61">
        <f ca="1">TblMili[[#This Row],[Unit 3]]</f>
        <v>0</v>
      </c>
      <c r="P75" s="61">
        <f ca="1">TblMili[[#This Row],[Unit 4]]</f>
        <v>0</v>
      </c>
      <c r="Q75" s="61">
        <f ca="1">TblMili[[#This Row],[Spies]]</f>
        <v>0</v>
      </c>
      <c r="R75" s="61">
        <f ca="1">TblMili[[#This Row],[Wizards]]</f>
        <v>0</v>
      </c>
      <c r="S75" s="61">
        <f ca="1">TblMili[[#This Row],[Archmages]]</f>
        <v>0</v>
      </c>
      <c r="T75" s="142"/>
      <c r="U75" s="94">
        <f ca="1">ROUND(TblPop[[#This Row],[Raw max]]*(1+OFFSET(TblPop[[#This Row],[Max pop]],-1,0)),0)+MIN(TblPop[[#This Row],[Military]]-TblPop[[#This Row],[Draftees]]-SUM(TblMili[[#This Row],[Train Unit 1]:[Train AM]]),(barracks_size + tech_8_3*TblTech[[#This Row],[8-3]])*TblConstr[[#This Row],[Tot Bar]])</f>
        <v>1076</v>
      </c>
      <c r="V7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5" s="94">
        <f ca="1">MAX(-5%*TblPop[[#This Row],[Peasants]]-TblPop[[#This Row],[Draft Growth]],MIN(OFFSET(TblPop[[#This Row],[Net max]],1,0)-TblPop[[#This Row],[Peasants]]-TblPop[[#This Row],[Military]]-TblPop[[#This Row],[Draft Growth]],TblPop[[#This Row],[Modded Birth]]-TblPop[[#This Row],[Draft Growth]]))</f>
        <v>-5</v>
      </c>
      <c r="X75" s="94">
        <f ca="1">ROUND(TblPop[[#This Row],[Raw Birth]]*(1+TblPop[[#This Row],[Growth]]),0)</f>
        <v>15</v>
      </c>
      <c r="Y75" s="94">
        <f ca="1">(TblPop[[#This Row],[Peasants]]-TblPop[[#This Row],[Draft Growth]])*raw_pop_growth</f>
        <v>14.61</v>
      </c>
      <c r="Z75" s="94">
        <f ca="1">ROUND(IF(TblPop[[#This Row],[Military%]]&lt;TblMili[[#This Row],[Draftrate]],ROUND(TblPop[[#This Row],[Peasants]]*Constants!$B$55,0), 0) * IF(AND(TblMagic[[#This Row],[Active DnD]]&lt;=12,TblMagic[[#This Row],[Active DnD]]&gt;6),1.6,1),0)</f>
        <v>5</v>
      </c>
      <c r="AA75" s="142"/>
      <c r="AB75" s="143">
        <f ca="1">Overview!$I$17 + IF(Magic!AF75&gt;0,Constants!$F$78) + ROUND(6*(Construction!BM76+Construction!CK75)/IF(Explore!S76&gt;0,Construction!F76-20,Construction!F76),4) + tech_6_5_2*Techs!BJ75 + tech_8_4*Techs!BT75</f>
        <v>0</v>
      </c>
      <c r="AC75" s="139">
        <f ca="1">(Overview!$I$16 + Imps!Z75+ tech_2_5*Techs!AB75 + tech_3_6*Techs!AM75 + tech_6_1*Techs!BJ75 + tech_6_5*Techs!BF75 + tech_7_3_2*Techs!BN75) * (1 + Production!O75/100*prestige_pop_multiplier) + Production!O75/100*prestige_pop_multiplier</f>
        <v>2.5000000000000001E-2</v>
      </c>
    </row>
    <row r="76" spans="1:29" x14ac:dyDescent="0.2">
      <c r="A76" s="137">
        <f>TblRezone[[#This Row],[Hour]]</f>
        <v>73</v>
      </c>
      <c r="B76" s="138">
        <f ca="1">TblImps[[#This Row],[Time]]</f>
        <v>46049.999999999825</v>
      </c>
      <c r="C76" s="94">
        <f ca="1">OFFSET(TblPop[[#This Row],[Peasants]],-1,0)+OFFSET(TblPop[[#This Row],[Net Peasant]],-1,0)+TblMili[[#This Row],[Release Draft]]</f>
        <v>487</v>
      </c>
      <c r="D76" s="94">
        <f ca="1">TblMili[[#This Row],[Military]]</f>
        <v>589</v>
      </c>
      <c r="E76" s="94">
        <f ca="1">TblMili[[#This Row],[Draftees]]</f>
        <v>589</v>
      </c>
      <c r="F76" s="94">
        <f ca="1">TblPop[[#This Row],[Peasants]]+TblPop[[#This Row],[Military]]</f>
        <v>1076</v>
      </c>
      <c r="G76" s="139">
        <f ca="1">TblPop[[#This Row],[Military]]/TblPop[[#This Row],[Total]]</f>
        <v>0.54739776951672858</v>
      </c>
      <c r="H76" s="140">
        <f ca="1">MIN(TblPop[[#This Row],[Peasants]],TblPop[[#This Row],[Jobs]])</f>
        <v>487</v>
      </c>
      <c r="I76" s="139">
        <f ca="1">MIN(OFFSET(TblPop[[#This Row],[Jobs]],1,0)/TblPop[[#This Row],[Peasants]],1)</f>
        <v>1</v>
      </c>
      <c r="J76" s="140">
        <f ca="1">SUM(TblConstr[[#This Row],[Tot Alc]:[Tot GT]],TblConstr[[#This Row],[Tot Shr]:[Tot Doc]],TblConstr[[#This Row],[Dest Alc]:[Dest GT]],TblConstr[[#This Row],[Dest Shr]:[Dest Doc]])*building_employment + TblConstr[[#This Row],[Tot Fac]]*bonus_jobs_facts</f>
        <v>1000</v>
      </c>
      <c r="K76" s="141"/>
      <c r="L76" s="61">
        <f ca="1">TblPop[[#This Row],[Draftees]]</f>
        <v>589</v>
      </c>
      <c r="M76" s="61">
        <f ca="1">TblMili[[#This Row],[Unit 1]]</f>
        <v>0</v>
      </c>
      <c r="N76" s="61">
        <f ca="1">TblMili[[#This Row],[Unit 2]]</f>
        <v>0</v>
      </c>
      <c r="O76" s="61">
        <f ca="1">TblMili[[#This Row],[Unit 3]]</f>
        <v>0</v>
      </c>
      <c r="P76" s="61">
        <f ca="1">TblMili[[#This Row],[Unit 4]]</f>
        <v>0</v>
      </c>
      <c r="Q76" s="61">
        <f ca="1">TblMili[[#This Row],[Spies]]</f>
        <v>0</v>
      </c>
      <c r="R76" s="61">
        <f ca="1">TblMili[[#This Row],[Wizards]]</f>
        <v>0</v>
      </c>
      <c r="S76" s="61">
        <f ca="1">TblMili[[#This Row],[Archmages]]</f>
        <v>0</v>
      </c>
      <c r="T76" s="142"/>
      <c r="U76" s="94">
        <f ca="1">ROUND(TblPop[[#This Row],[Raw max]]*(1+OFFSET(TblPop[[#This Row],[Max pop]],-1,0)),0)+MIN(TblPop[[#This Row],[Military]]-TblPop[[#This Row],[Draftees]]-SUM(TblMili[[#This Row],[Train Unit 1]:[Train AM]]),(barracks_size + tech_8_3*TblTech[[#This Row],[8-3]])*TblConstr[[#This Row],[Tot Bar]])</f>
        <v>1076</v>
      </c>
      <c r="V7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6" s="94">
        <f ca="1">MAX(-5%*TblPop[[#This Row],[Peasants]]-TblPop[[#This Row],[Draft Growth]],MIN(OFFSET(TblPop[[#This Row],[Net max]],1,0)-TblPop[[#This Row],[Peasants]]-TblPop[[#This Row],[Military]]-TblPop[[#This Row],[Draft Growth]],TblPop[[#This Row],[Modded Birth]]-TblPop[[#This Row],[Draft Growth]]))</f>
        <v>-5</v>
      </c>
      <c r="X76" s="94">
        <f ca="1">ROUND(TblPop[[#This Row],[Raw Birth]]*(1+TblPop[[#This Row],[Growth]]),0)</f>
        <v>14</v>
      </c>
      <c r="Y76" s="94">
        <f ca="1">(TblPop[[#This Row],[Peasants]]-TblPop[[#This Row],[Draft Growth]])*raw_pop_growth</f>
        <v>14.459999999999999</v>
      </c>
      <c r="Z76" s="94">
        <f ca="1">ROUND(IF(TblPop[[#This Row],[Military%]]&lt;TblMili[[#This Row],[Draftrate]],ROUND(TblPop[[#This Row],[Peasants]]*Constants!$B$55,0), 0) * IF(AND(TblMagic[[#This Row],[Active DnD]]&lt;=12,TblMagic[[#This Row],[Active DnD]]&gt;6),1.6,1),0)</f>
        <v>5</v>
      </c>
      <c r="AA76" s="142"/>
      <c r="AB76" s="143">
        <f ca="1">Overview!$I$17 + IF(Magic!AF76&gt;0,Constants!$F$78) + ROUND(6*(Construction!BM77+Construction!CK76)/IF(Explore!S77&gt;0,Construction!F77-20,Construction!F77),4) + tech_6_5_2*Techs!BJ76 + tech_8_4*Techs!BT76</f>
        <v>0</v>
      </c>
      <c r="AC76" s="139">
        <f ca="1">(Overview!$I$16 + Imps!Z76+ tech_2_5*Techs!AB76 + tech_3_6*Techs!AM76 + tech_6_1*Techs!BJ76 + tech_6_5*Techs!BF76 + tech_7_3_2*Techs!BN76) * (1 + Production!O76/100*prestige_pop_multiplier) + Production!O76/100*prestige_pop_multiplier</f>
        <v>2.5000000000000001E-2</v>
      </c>
    </row>
    <row r="77" spans="1:29" x14ac:dyDescent="0.2">
      <c r="A77" s="137">
        <f>TblRezone[[#This Row],[Hour]]</f>
        <v>74</v>
      </c>
      <c r="B77" s="138">
        <f ca="1">TblImps[[#This Row],[Time]]</f>
        <v>46050.04166666649</v>
      </c>
      <c r="C77" s="94">
        <f ca="1">OFFSET(TblPop[[#This Row],[Peasants]],-1,0)+OFFSET(TblPop[[#This Row],[Net Peasant]],-1,0)+TblMili[[#This Row],[Release Draft]]</f>
        <v>482</v>
      </c>
      <c r="D77" s="94">
        <f ca="1">TblMili[[#This Row],[Military]]</f>
        <v>594</v>
      </c>
      <c r="E77" s="94">
        <f ca="1">TblMili[[#This Row],[Draftees]]</f>
        <v>594</v>
      </c>
      <c r="F77" s="94">
        <f ca="1">TblPop[[#This Row],[Peasants]]+TblPop[[#This Row],[Military]]</f>
        <v>1076</v>
      </c>
      <c r="G77" s="139">
        <f ca="1">TblPop[[#This Row],[Military]]/TblPop[[#This Row],[Total]]</f>
        <v>0.55204460966542745</v>
      </c>
      <c r="H77" s="140">
        <f ca="1">MIN(TblPop[[#This Row],[Peasants]],TblPop[[#This Row],[Jobs]])</f>
        <v>482</v>
      </c>
      <c r="I77" s="139">
        <f ca="1">MIN(OFFSET(TblPop[[#This Row],[Jobs]],1,0)/TblPop[[#This Row],[Peasants]],1)</f>
        <v>1</v>
      </c>
      <c r="J77" s="140">
        <f ca="1">SUM(TblConstr[[#This Row],[Tot Alc]:[Tot GT]],TblConstr[[#This Row],[Tot Shr]:[Tot Doc]],TblConstr[[#This Row],[Dest Alc]:[Dest GT]],TblConstr[[#This Row],[Dest Shr]:[Dest Doc]])*building_employment + TblConstr[[#This Row],[Tot Fac]]*bonus_jobs_facts</f>
        <v>1000</v>
      </c>
      <c r="K77" s="141"/>
      <c r="L77" s="61">
        <f ca="1">TblPop[[#This Row],[Draftees]]</f>
        <v>594</v>
      </c>
      <c r="M77" s="61">
        <f ca="1">TblMili[[#This Row],[Unit 1]]</f>
        <v>0</v>
      </c>
      <c r="N77" s="61">
        <f ca="1">TblMili[[#This Row],[Unit 2]]</f>
        <v>0</v>
      </c>
      <c r="O77" s="61">
        <f ca="1">TblMili[[#This Row],[Unit 3]]</f>
        <v>0</v>
      </c>
      <c r="P77" s="61">
        <f ca="1">TblMili[[#This Row],[Unit 4]]</f>
        <v>0</v>
      </c>
      <c r="Q77" s="61">
        <f ca="1">TblMili[[#This Row],[Spies]]</f>
        <v>0</v>
      </c>
      <c r="R77" s="61">
        <f ca="1">TblMili[[#This Row],[Wizards]]</f>
        <v>0</v>
      </c>
      <c r="S77" s="61">
        <f ca="1">TblMili[[#This Row],[Archmages]]</f>
        <v>0</v>
      </c>
      <c r="T77" s="142"/>
      <c r="U77" s="94">
        <f ca="1">ROUND(TblPop[[#This Row],[Raw max]]*(1+OFFSET(TblPop[[#This Row],[Max pop]],-1,0)),0)+MIN(TblPop[[#This Row],[Military]]-TblPop[[#This Row],[Draftees]]-SUM(TblMili[[#This Row],[Train Unit 1]:[Train AM]]),(barracks_size + tech_8_3*TblTech[[#This Row],[8-3]])*TblConstr[[#This Row],[Tot Bar]])</f>
        <v>1076</v>
      </c>
      <c r="V7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7" s="94">
        <f ca="1">MAX(-5%*TblPop[[#This Row],[Peasants]]-TblPop[[#This Row],[Draft Growth]],MIN(OFFSET(TblPop[[#This Row],[Net max]],1,0)-TblPop[[#This Row],[Peasants]]-TblPop[[#This Row],[Military]]-TblPop[[#This Row],[Draft Growth]],TblPop[[#This Row],[Modded Birth]]-TblPop[[#This Row],[Draft Growth]]))</f>
        <v>-5</v>
      </c>
      <c r="X77" s="94">
        <f ca="1">ROUND(TblPop[[#This Row],[Raw Birth]]*(1+TblPop[[#This Row],[Growth]]),0)</f>
        <v>14</v>
      </c>
      <c r="Y77" s="94">
        <f ca="1">(TblPop[[#This Row],[Peasants]]-TblPop[[#This Row],[Draft Growth]])*raw_pop_growth</f>
        <v>14.309999999999999</v>
      </c>
      <c r="Z77" s="94">
        <f ca="1">ROUND(IF(TblPop[[#This Row],[Military%]]&lt;TblMili[[#This Row],[Draftrate]],ROUND(TblPop[[#This Row],[Peasants]]*Constants!$B$55,0), 0) * IF(AND(TblMagic[[#This Row],[Active DnD]]&lt;=12,TblMagic[[#This Row],[Active DnD]]&gt;6),1.6,1),0)</f>
        <v>5</v>
      </c>
      <c r="AA77" s="142"/>
      <c r="AB77" s="143">
        <f ca="1">Overview!$I$17 + IF(Magic!AF77&gt;0,Constants!$F$78) + ROUND(6*(Construction!BM78+Construction!CK77)/IF(Explore!S78&gt;0,Construction!F78-20,Construction!F78),4) + tech_6_5_2*Techs!BJ77 + tech_8_4*Techs!BT77</f>
        <v>0</v>
      </c>
      <c r="AC77" s="139">
        <f ca="1">(Overview!$I$16 + Imps!Z77+ tech_2_5*Techs!AB77 + tech_3_6*Techs!AM77 + tech_6_1*Techs!BJ77 + tech_6_5*Techs!BF77 + tech_7_3_2*Techs!BN77) * (1 + Production!O77/100*prestige_pop_multiplier) + Production!O77/100*prestige_pop_multiplier</f>
        <v>2.5000000000000001E-2</v>
      </c>
    </row>
    <row r="78" spans="1:29" x14ac:dyDescent="0.2">
      <c r="A78" s="137">
        <f>TblRezone[[#This Row],[Hour]]</f>
        <v>75</v>
      </c>
      <c r="B78" s="138">
        <f ca="1">TblImps[[#This Row],[Time]]</f>
        <v>46050.083333333154</v>
      </c>
      <c r="C78" s="94">
        <f ca="1">OFFSET(TblPop[[#This Row],[Peasants]],-1,0)+OFFSET(TblPop[[#This Row],[Net Peasant]],-1,0)+TblMili[[#This Row],[Release Draft]]</f>
        <v>477</v>
      </c>
      <c r="D78" s="94">
        <f ca="1">TblMili[[#This Row],[Military]]</f>
        <v>599</v>
      </c>
      <c r="E78" s="94">
        <f ca="1">TblMili[[#This Row],[Draftees]]</f>
        <v>599</v>
      </c>
      <c r="F78" s="94">
        <f ca="1">TblPop[[#This Row],[Peasants]]+TblPop[[#This Row],[Military]]</f>
        <v>1076</v>
      </c>
      <c r="G78" s="139">
        <f ca="1">TblPop[[#This Row],[Military]]/TblPop[[#This Row],[Total]]</f>
        <v>0.55669144981412644</v>
      </c>
      <c r="H78" s="140">
        <f ca="1">MIN(TblPop[[#This Row],[Peasants]],TblPop[[#This Row],[Jobs]])</f>
        <v>477</v>
      </c>
      <c r="I78" s="139">
        <f ca="1">MIN(OFFSET(TblPop[[#This Row],[Jobs]],1,0)/TblPop[[#This Row],[Peasants]],1)</f>
        <v>1</v>
      </c>
      <c r="J78" s="140">
        <f ca="1">SUM(TblConstr[[#This Row],[Tot Alc]:[Tot GT]],TblConstr[[#This Row],[Tot Shr]:[Tot Doc]],TblConstr[[#This Row],[Dest Alc]:[Dest GT]],TblConstr[[#This Row],[Dest Shr]:[Dest Doc]])*building_employment + TblConstr[[#This Row],[Tot Fac]]*bonus_jobs_facts</f>
        <v>1000</v>
      </c>
      <c r="K78" s="141"/>
      <c r="L78" s="61">
        <f ca="1">TblPop[[#This Row],[Draftees]]</f>
        <v>599</v>
      </c>
      <c r="M78" s="61">
        <f ca="1">TblMili[[#This Row],[Unit 1]]</f>
        <v>0</v>
      </c>
      <c r="N78" s="61">
        <f ca="1">TblMili[[#This Row],[Unit 2]]</f>
        <v>0</v>
      </c>
      <c r="O78" s="61">
        <f ca="1">TblMili[[#This Row],[Unit 3]]</f>
        <v>0</v>
      </c>
      <c r="P78" s="61">
        <f ca="1">TblMili[[#This Row],[Unit 4]]</f>
        <v>0</v>
      </c>
      <c r="Q78" s="61">
        <f ca="1">TblMili[[#This Row],[Spies]]</f>
        <v>0</v>
      </c>
      <c r="R78" s="61">
        <f ca="1">TblMili[[#This Row],[Wizards]]</f>
        <v>0</v>
      </c>
      <c r="S78" s="61">
        <f ca="1">TblMili[[#This Row],[Archmages]]</f>
        <v>0</v>
      </c>
      <c r="T78" s="142"/>
      <c r="U78" s="94">
        <f ca="1">ROUND(TblPop[[#This Row],[Raw max]]*(1+OFFSET(TblPop[[#This Row],[Max pop]],-1,0)),0)+MIN(TblPop[[#This Row],[Military]]-TblPop[[#This Row],[Draftees]]-SUM(TblMili[[#This Row],[Train Unit 1]:[Train AM]]),(barracks_size + tech_8_3*TblTech[[#This Row],[8-3]])*TblConstr[[#This Row],[Tot Bar]])</f>
        <v>1076</v>
      </c>
      <c r="V7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8" s="94">
        <f ca="1">MAX(-5%*TblPop[[#This Row],[Peasants]]-TblPop[[#This Row],[Draft Growth]],MIN(OFFSET(TblPop[[#This Row],[Net max]],1,0)-TblPop[[#This Row],[Peasants]]-TblPop[[#This Row],[Military]]-TblPop[[#This Row],[Draft Growth]],TblPop[[#This Row],[Modded Birth]]-TblPop[[#This Row],[Draft Growth]]))</f>
        <v>-5</v>
      </c>
      <c r="X78" s="94">
        <f ca="1">ROUND(TblPop[[#This Row],[Raw Birth]]*(1+TblPop[[#This Row],[Growth]]),0)</f>
        <v>14</v>
      </c>
      <c r="Y78" s="94">
        <f ca="1">(TblPop[[#This Row],[Peasants]]-TblPop[[#This Row],[Draft Growth]])*raw_pop_growth</f>
        <v>14.16</v>
      </c>
      <c r="Z78" s="94">
        <f ca="1">ROUND(IF(TblPop[[#This Row],[Military%]]&lt;TblMili[[#This Row],[Draftrate]],ROUND(TblPop[[#This Row],[Peasants]]*Constants!$B$55,0), 0) * IF(AND(TblMagic[[#This Row],[Active DnD]]&lt;=12,TblMagic[[#This Row],[Active DnD]]&gt;6),1.6,1),0)</f>
        <v>5</v>
      </c>
      <c r="AA78" s="142"/>
      <c r="AB78" s="143">
        <f ca="1">Overview!$I$17 + IF(Magic!AF78&gt;0,Constants!$F$78) + ROUND(6*(Construction!BM79+Construction!CK78)/IF(Explore!S79&gt;0,Construction!F79-20,Construction!F79),4) + tech_6_5_2*Techs!BJ78 + tech_8_4*Techs!BT78</f>
        <v>0</v>
      </c>
      <c r="AC78" s="139">
        <f ca="1">(Overview!$I$16 + Imps!Z78+ tech_2_5*Techs!AB78 + tech_3_6*Techs!AM78 + tech_6_1*Techs!BJ78 + tech_6_5*Techs!BF78 + tech_7_3_2*Techs!BN78) * (1 + Production!O78/100*prestige_pop_multiplier) + Production!O78/100*prestige_pop_multiplier</f>
        <v>2.5000000000000001E-2</v>
      </c>
    </row>
    <row r="79" spans="1:29" x14ac:dyDescent="0.2">
      <c r="A79" s="137">
        <f>TblRezone[[#This Row],[Hour]]</f>
        <v>76</v>
      </c>
      <c r="B79" s="138">
        <f ca="1">TblImps[[#This Row],[Time]]</f>
        <v>46050.124999999818</v>
      </c>
      <c r="C79" s="94">
        <f ca="1">OFFSET(TblPop[[#This Row],[Peasants]],-1,0)+OFFSET(TblPop[[#This Row],[Net Peasant]],-1,0)+TblMili[[#This Row],[Release Draft]]</f>
        <v>472</v>
      </c>
      <c r="D79" s="94">
        <f ca="1">TblMili[[#This Row],[Military]]</f>
        <v>604</v>
      </c>
      <c r="E79" s="94">
        <f ca="1">TblMili[[#This Row],[Draftees]]</f>
        <v>604</v>
      </c>
      <c r="F79" s="94">
        <f ca="1">TblPop[[#This Row],[Peasants]]+TblPop[[#This Row],[Military]]</f>
        <v>1076</v>
      </c>
      <c r="G79" s="139">
        <f ca="1">TblPop[[#This Row],[Military]]/TblPop[[#This Row],[Total]]</f>
        <v>0.56133828996282531</v>
      </c>
      <c r="H79" s="140">
        <f ca="1">MIN(TblPop[[#This Row],[Peasants]],TblPop[[#This Row],[Jobs]])</f>
        <v>472</v>
      </c>
      <c r="I79" s="139">
        <f ca="1">MIN(OFFSET(TblPop[[#This Row],[Jobs]],1,0)/TblPop[[#This Row],[Peasants]],1)</f>
        <v>1</v>
      </c>
      <c r="J79" s="140">
        <f ca="1">SUM(TblConstr[[#This Row],[Tot Alc]:[Tot GT]],TblConstr[[#This Row],[Tot Shr]:[Tot Doc]],TblConstr[[#This Row],[Dest Alc]:[Dest GT]],TblConstr[[#This Row],[Dest Shr]:[Dest Doc]])*building_employment + TblConstr[[#This Row],[Tot Fac]]*bonus_jobs_facts</f>
        <v>1000</v>
      </c>
      <c r="K79" s="141"/>
      <c r="L79" s="61">
        <f ca="1">TblPop[[#This Row],[Draftees]]</f>
        <v>604</v>
      </c>
      <c r="M79" s="61">
        <f ca="1">TblMili[[#This Row],[Unit 1]]</f>
        <v>0</v>
      </c>
      <c r="N79" s="61">
        <f ca="1">TblMili[[#This Row],[Unit 2]]</f>
        <v>0</v>
      </c>
      <c r="O79" s="61">
        <f ca="1">TblMili[[#This Row],[Unit 3]]</f>
        <v>0</v>
      </c>
      <c r="P79" s="61">
        <f ca="1">TblMili[[#This Row],[Unit 4]]</f>
        <v>0</v>
      </c>
      <c r="Q79" s="61">
        <f ca="1">TblMili[[#This Row],[Spies]]</f>
        <v>0</v>
      </c>
      <c r="R79" s="61">
        <f ca="1">TblMili[[#This Row],[Wizards]]</f>
        <v>0</v>
      </c>
      <c r="S79" s="61">
        <f ca="1">TblMili[[#This Row],[Archmages]]</f>
        <v>0</v>
      </c>
      <c r="T79" s="142"/>
      <c r="U79" s="94">
        <f ca="1">ROUND(TblPop[[#This Row],[Raw max]]*(1+OFFSET(TblPop[[#This Row],[Max pop]],-1,0)),0)+MIN(TblPop[[#This Row],[Military]]-TblPop[[#This Row],[Draftees]]-SUM(TblMili[[#This Row],[Train Unit 1]:[Train AM]]),(barracks_size + tech_8_3*TblTech[[#This Row],[8-3]])*TblConstr[[#This Row],[Tot Bar]])</f>
        <v>1076</v>
      </c>
      <c r="V7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79" s="94">
        <f ca="1">MAX(-5%*TblPop[[#This Row],[Peasants]]-TblPop[[#This Row],[Draft Growth]],MIN(OFFSET(TblPop[[#This Row],[Net max]],1,0)-TblPop[[#This Row],[Peasants]]-TblPop[[#This Row],[Military]]-TblPop[[#This Row],[Draft Growth]],TblPop[[#This Row],[Modded Birth]]-TblPop[[#This Row],[Draft Growth]]))</f>
        <v>-5</v>
      </c>
      <c r="X79" s="94">
        <f ca="1">ROUND(TblPop[[#This Row],[Raw Birth]]*(1+TblPop[[#This Row],[Growth]]),0)</f>
        <v>14</v>
      </c>
      <c r="Y79" s="94">
        <f ca="1">(TblPop[[#This Row],[Peasants]]-TblPop[[#This Row],[Draft Growth]])*raw_pop_growth</f>
        <v>14.01</v>
      </c>
      <c r="Z79" s="94">
        <f ca="1">ROUND(IF(TblPop[[#This Row],[Military%]]&lt;TblMili[[#This Row],[Draftrate]],ROUND(TblPop[[#This Row],[Peasants]]*Constants!$B$55,0), 0) * IF(AND(TblMagic[[#This Row],[Active DnD]]&lt;=12,TblMagic[[#This Row],[Active DnD]]&gt;6),1.6,1),0)</f>
        <v>5</v>
      </c>
      <c r="AA79" s="142"/>
      <c r="AB79" s="143">
        <f ca="1">Overview!$I$17 + IF(Magic!AF79&gt;0,Constants!$F$78) + ROUND(6*(Construction!BM80+Construction!CK79)/IF(Explore!S80&gt;0,Construction!F80-20,Construction!F80),4) + tech_6_5_2*Techs!BJ79 + tech_8_4*Techs!BT79</f>
        <v>0</v>
      </c>
      <c r="AC79" s="139">
        <f ca="1">(Overview!$I$16 + Imps!Z79+ tech_2_5*Techs!AB79 + tech_3_6*Techs!AM79 + tech_6_1*Techs!BJ79 + tech_6_5*Techs!BF79 + tech_7_3_2*Techs!BN79) * (1 + Production!O79/100*prestige_pop_multiplier) + Production!O79/100*prestige_pop_multiplier</f>
        <v>2.5000000000000001E-2</v>
      </c>
    </row>
    <row r="80" spans="1:29" x14ac:dyDescent="0.2">
      <c r="A80" s="137">
        <f>TblRezone[[#This Row],[Hour]]</f>
        <v>77</v>
      </c>
      <c r="B80" s="138">
        <f ca="1">TblImps[[#This Row],[Time]]</f>
        <v>46050.166666666482</v>
      </c>
      <c r="C80" s="94">
        <f ca="1">OFFSET(TblPop[[#This Row],[Peasants]],-1,0)+OFFSET(TblPop[[#This Row],[Net Peasant]],-1,0)+TblMili[[#This Row],[Release Draft]]</f>
        <v>467</v>
      </c>
      <c r="D80" s="94">
        <f ca="1">TblMili[[#This Row],[Military]]</f>
        <v>609</v>
      </c>
      <c r="E80" s="94">
        <f ca="1">TblMili[[#This Row],[Draftees]]</f>
        <v>609</v>
      </c>
      <c r="F80" s="94">
        <f ca="1">TblPop[[#This Row],[Peasants]]+TblPop[[#This Row],[Military]]</f>
        <v>1076</v>
      </c>
      <c r="G80" s="139">
        <f ca="1">TblPop[[#This Row],[Military]]/TblPop[[#This Row],[Total]]</f>
        <v>0.56598513011152418</v>
      </c>
      <c r="H80" s="140">
        <f ca="1">MIN(TblPop[[#This Row],[Peasants]],TblPop[[#This Row],[Jobs]])</f>
        <v>467</v>
      </c>
      <c r="I80" s="139">
        <f ca="1">MIN(OFFSET(TblPop[[#This Row],[Jobs]],1,0)/TblPop[[#This Row],[Peasants]],1)</f>
        <v>1</v>
      </c>
      <c r="J80" s="140">
        <f ca="1">SUM(TblConstr[[#This Row],[Tot Alc]:[Tot GT]],TblConstr[[#This Row],[Tot Shr]:[Tot Doc]],TblConstr[[#This Row],[Dest Alc]:[Dest GT]],TblConstr[[#This Row],[Dest Shr]:[Dest Doc]])*building_employment + TblConstr[[#This Row],[Tot Fac]]*bonus_jobs_facts</f>
        <v>1000</v>
      </c>
      <c r="K80" s="141"/>
      <c r="L80" s="61">
        <f ca="1">TblPop[[#This Row],[Draftees]]</f>
        <v>609</v>
      </c>
      <c r="M80" s="61">
        <f ca="1">TblMili[[#This Row],[Unit 1]]</f>
        <v>0</v>
      </c>
      <c r="N80" s="61">
        <f ca="1">TblMili[[#This Row],[Unit 2]]</f>
        <v>0</v>
      </c>
      <c r="O80" s="61">
        <f ca="1">TblMili[[#This Row],[Unit 3]]</f>
        <v>0</v>
      </c>
      <c r="P80" s="61">
        <f ca="1">TblMili[[#This Row],[Unit 4]]</f>
        <v>0</v>
      </c>
      <c r="Q80" s="61">
        <f ca="1">TblMili[[#This Row],[Spies]]</f>
        <v>0</v>
      </c>
      <c r="R80" s="61">
        <f ca="1">TblMili[[#This Row],[Wizards]]</f>
        <v>0</v>
      </c>
      <c r="S80" s="61">
        <f ca="1">TblMili[[#This Row],[Archmages]]</f>
        <v>0</v>
      </c>
      <c r="T80" s="142"/>
      <c r="U80" s="94">
        <f ca="1">ROUND(TblPop[[#This Row],[Raw max]]*(1+OFFSET(TblPop[[#This Row],[Max pop]],-1,0)),0)+MIN(TblPop[[#This Row],[Military]]-TblPop[[#This Row],[Draftees]]-SUM(TblMili[[#This Row],[Train Unit 1]:[Train AM]]),(barracks_size + tech_8_3*TblTech[[#This Row],[8-3]])*TblConstr[[#This Row],[Tot Bar]])</f>
        <v>1076</v>
      </c>
      <c r="V8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0" s="94">
        <f ca="1">MAX(-5%*TblPop[[#This Row],[Peasants]]-TblPop[[#This Row],[Draft Growth]],MIN(OFFSET(TblPop[[#This Row],[Net max]],1,0)-TblPop[[#This Row],[Peasants]]-TblPop[[#This Row],[Military]]-TblPop[[#This Row],[Draft Growth]],TblPop[[#This Row],[Modded Birth]]-TblPop[[#This Row],[Draft Growth]]))</f>
        <v>-5</v>
      </c>
      <c r="X80" s="94">
        <f ca="1">ROUND(TblPop[[#This Row],[Raw Birth]]*(1+TblPop[[#This Row],[Growth]]),0)</f>
        <v>14</v>
      </c>
      <c r="Y80" s="94">
        <f ca="1">(TblPop[[#This Row],[Peasants]]-TblPop[[#This Row],[Draft Growth]])*raw_pop_growth</f>
        <v>13.86</v>
      </c>
      <c r="Z80" s="94">
        <f ca="1">ROUND(IF(TblPop[[#This Row],[Military%]]&lt;TblMili[[#This Row],[Draftrate]],ROUND(TblPop[[#This Row],[Peasants]]*Constants!$B$55,0), 0) * IF(AND(TblMagic[[#This Row],[Active DnD]]&lt;=12,TblMagic[[#This Row],[Active DnD]]&gt;6),1.6,1),0)</f>
        <v>5</v>
      </c>
      <c r="AA80" s="142"/>
      <c r="AB80" s="143">
        <f ca="1">Overview!$I$17 + IF(Magic!AF80&gt;0,Constants!$F$78) + ROUND(6*(Construction!BM81+Construction!CK80)/IF(Explore!S81&gt;0,Construction!F81-20,Construction!F81),4) + tech_6_5_2*Techs!BJ80 + tech_8_4*Techs!BT80</f>
        <v>0</v>
      </c>
      <c r="AC80" s="139">
        <f ca="1">(Overview!$I$16 + Imps!Z80+ tech_2_5*Techs!AB80 + tech_3_6*Techs!AM80 + tech_6_1*Techs!BJ80 + tech_6_5*Techs!BF80 + tech_7_3_2*Techs!BN80) * (1 + Production!O80/100*prestige_pop_multiplier) + Production!O80/100*prestige_pop_multiplier</f>
        <v>2.5000000000000001E-2</v>
      </c>
    </row>
    <row r="81" spans="1:29" x14ac:dyDescent="0.2">
      <c r="A81" s="137">
        <f>TblRezone[[#This Row],[Hour]]</f>
        <v>78</v>
      </c>
      <c r="B81" s="138">
        <f ca="1">TblImps[[#This Row],[Time]]</f>
        <v>46050.208333333147</v>
      </c>
      <c r="C81" s="94">
        <f ca="1">OFFSET(TblPop[[#This Row],[Peasants]],-1,0)+OFFSET(TblPop[[#This Row],[Net Peasant]],-1,0)+TblMili[[#This Row],[Release Draft]]</f>
        <v>462</v>
      </c>
      <c r="D81" s="94">
        <f ca="1">TblMili[[#This Row],[Military]]</f>
        <v>614</v>
      </c>
      <c r="E81" s="94">
        <f ca="1">TblMili[[#This Row],[Draftees]]</f>
        <v>614</v>
      </c>
      <c r="F81" s="94">
        <f ca="1">TblPop[[#This Row],[Peasants]]+TblPop[[#This Row],[Military]]</f>
        <v>1076</v>
      </c>
      <c r="G81" s="139">
        <f ca="1">TblPop[[#This Row],[Military]]/TblPop[[#This Row],[Total]]</f>
        <v>0.57063197026022305</v>
      </c>
      <c r="H81" s="140">
        <f ca="1">MIN(TblPop[[#This Row],[Peasants]],TblPop[[#This Row],[Jobs]])</f>
        <v>462</v>
      </c>
      <c r="I81" s="139">
        <f ca="1">MIN(OFFSET(TblPop[[#This Row],[Jobs]],1,0)/TblPop[[#This Row],[Peasants]],1)</f>
        <v>1</v>
      </c>
      <c r="J81" s="140">
        <f ca="1">SUM(TblConstr[[#This Row],[Tot Alc]:[Tot GT]],TblConstr[[#This Row],[Tot Shr]:[Tot Doc]],TblConstr[[#This Row],[Dest Alc]:[Dest GT]],TblConstr[[#This Row],[Dest Shr]:[Dest Doc]])*building_employment + TblConstr[[#This Row],[Tot Fac]]*bonus_jobs_facts</f>
        <v>1000</v>
      </c>
      <c r="K81" s="141"/>
      <c r="L81" s="61">
        <f ca="1">TblPop[[#This Row],[Draftees]]</f>
        <v>614</v>
      </c>
      <c r="M81" s="61">
        <f ca="1">TblMili[[#This Row],[Unit 1]]</f>
        <v>0</v>
      </c>
      <c r="N81" s="61">
        <f ca="1">TblMili[[#This Row],[Unit 2]]</f>
        <v>0</v>
      </c>
      <c r="O81" s="61">
        <f ca="1">TblMili[[#This Row],[Unit 3]]</f>
        <v>0</v>
      </c>
      <c r="P81" s="61">
        <f ca="1">TblMili[[#This Row],[Unit 4]]</f>
        <v>0</v>
      </c>
      <c r="Q81" s="61">
        <f ca="1">TblMili[[#This Row],[Spies]]</f>
        <v>0</v>
      </c>
      <c r="R81" s="61">
        <f ca="1">TblMili[[#This Row],[Wizards]]</f>
        <v>0</v>
      </c>
      <c r="S81" s="61">
        <f ca="1">TblMili[[#This Row],[Archmages]]</f>
        <v>0</v>
      </c>
      <c r="T81" s="142"/>
      <c r="U81" s="94">
        <f ca="1">ROUND(TblPop[[#This Row],[Raw max]]*(1+OFFSET(TblPop[[#This Row],[Max pop]],-1,0)),0)+MIN(TblPop[[#This Row],[Military]]-TblPop[[#This Row],[Draftees]]-SUM(TblMili[[#This Row],[Train Unit 1]:[Train AM]]),(barracks_size + tech_8_3*TblTech[[#This Row],[8-3]])*TblConstr[[#This Row],[Tot Bar]])</f>
        <v>1076</v>
      </c>
      <c r="V8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1" s="94">
        <f ca="1">MAX(-5%*TblPop[[#This Row],[Peasants]]-TblPop[[#This Row],[Draft Growth]],MIN(OFFSET(TblPop[[#This Row],[Net max]],1,0)-TblPop[[#This Row],[Peasants]]-TblPop[[#This Row],[Military]]-TblPop[[#This Row],[Draft Growth]],TblPop[[#This Row],[Modded Birth]]-TblPop[[#This Row],[Draft Growth]]))</f>
        <v>-5</v>
      </c>
      <c r="X81" s="94">
        <f ca="1">ROUND(TblPop[[#This Row],[Raw Birth]]*(1+TblPop[[#This Row],[Growth]]),0)</f>
        <v>14</v>
      </c>
      <c r="Y81" s="94">
        <f ca="1">(TblPop[[#This Row],[Peasants]]-TblPop[[#This Row],[Draft Growth]])*raw_pop_growth</f>
        <v>13.709999999999999</v>
      </c>
      <c r="Z81" s="94">
        <f ca="1">ROUND(IF(TblPop[[#This Row],[Military%]]&lt;TblMili[[#This Row],[Draftrate]],ROUND(TblPop[[#This Row],[Peasants]]*Constants!$B$55,0), 0) * IF(AND(TblMagic[[#This Row],[Active DnD]]&lt;=12,TblMagic[[#This Row],[Active DnD]]&gt;6),1.6,1),0)</f>
        <v>5</v>
      </c>
      <c r="AA81" s="142"/>
      <c r="AB81" s="143">
        <f ca="1">Overview!$I$17 + IF(Magic!AF81&gt;0,Constants!$F$78) + ROUND(6*(Construction!BM82+Construction!CK81)/IF(Explore!S82&gt;0,Construction!F82-20,Construction!F82),4) + tech_6_5_2*Techs!BJ81 + tech_8_4*Techs!BT81</f>
        <v>0</v>
      </c>
      <c r="AC81" s="139">
        <f ca="1">(Overview!$I$16 + Imps!Z81+ tech_2_5*Techs!AB81 + tech_3_6*Techs!AM81 + tech_6_1*Techs!BJ81 + tech_6_5*Techs!BF81 + tech_7_3_2*Techs!BN81) * (1 + Production!O81/100*prestige_pop_multiplier) + Production!O81/100*prestige_pop_multiplier</f>
        <v>2.5000000000000001E-2</v>
      </c>
    </row>
    <row r="82" spans="1:29" x14ac:dyDescent="0.2">
      <c r="A82" s="137">
        <f>TblRezone[[#This Row],[Hour]]</f>
        <v>79</v>
      </c>
      <c r="B82" s="138">
        <f ca="1">TblImps[[#This Row],[Time]]</f>
        <v>46050.249999999811</v>
      </c>
      <c r="C82" s="94">
        <f ca="1">OFFSET(TblPop[[#This Row],[Peasants]],-1,0)+OFFSET(TblPop[[#This Row],[Net Peasant]],-1,0)+TblMili[[#This Row],[Release Draft]]</f>
        <v>457</v>
      </c>
      <c r="D82" s="94">
        <f ca="1">TblMili[[#This Row],[Military]]</f>
        <v>619</v>
      </c>
      <c r="E82" s="94">
        <f ca="1">TblMili[[#This Row],[Draftees]]</f>
        <v>619</v>
      </c>
      <c r="F82" s="94">
        <f ca="1">TblPop[[#This Row],[Peasants]]+TblPop[[#This Row],[Military]]</f>
        <v>1076</v>
      </c>
      <c r="G82" s="139">
        <f ca="1">TblPop[[#This Row],[Military]]/TblPop[[#This Row],[Total]]</f>
        <v>0.57527881040892193</v>
      </c>
      <c r="H82" s="140">
        <f ca="1">MIN(TblPop[[#This Row],[Peasants]],TblPop[[#This Row],[Jobs]])</f>
        <v>457</v>
      </c>
      <c r="I82" s="139">
        <f ca="1">MIN(OFFSET(TblPop[[#This Row],[Jobs]],1,0)/TblPop[[#This Row],[Peasants]],1)</f>
        <v>1</v>
      </c>
      <c r="J82" s="140">
        <f ca="1">SUM(TblConstr[[#This Row],[Tot Alc]:[Tot GT]],TblConstr[[#This Row],[Tot Shr]:[Tot Doc]],TblConstr[[#This Row],[Dest Alc]:[Dest GT]],TblConstr[[#This Row],[Dest Shr]:[Dest Doc]])*building_employment + TblConstr[[#This Row],[Tot Fac]]*bonus_jobs_facts</f>
        <v>1000</v>
      </c>
      <c r="K82" s="141"/>
      <c r="L82" s="61">
        <f ca="1">TblPop[[#This Row],[Draftees]]</f>
        <v>619</v>
      </c>
      <c r="M82" s="61">
        <f ca="1">TblMili[[#This Row],[Unit 1]]</f>
        <v>0</v>
      </c>
      <c r="N82" s="61">
        <f ca="1">TblMili[[#This Row],[Unit 2]]</f>
        <v>0</v>
      </c>
      <c r="O82" s="61">
        <f ca="1">TblMili[[#This Row],[Unit 3]]</f>
        <v>0</v>
      </c>
      <c r="P82" s="61">
        <f ca="1">TblMili[[#This Row],[Unit 4]]</f>
        <v>0</v>
      </c>
      <c r="Q82" s="61">
        <f ca="1">TblMili[[#This Row],[Spies]]</f>
        <v>0</v>
      </c>
      <c r="R82" s="61">
        <f ca="1">TblMili[[#This Row],[Wizards]]</f>
        <v>0</v>
      </c>
      <c r="S82" s="61">
        <f ca="1">TblMili[[#This Row],[Archmages]]</f>
        <v>0</v>
      </c>
      <c r="T82" s="142"/>
      <c r="U82" s="94">
        <f ca="1">ROUND(TblPop[[#This Row],[Raw max]]*(1+OFFSET(TblPop[[#This Row],[Max pop]],-1,0)),0)+MIN(TblPop[[#This Row],[Military]]-TblPop[[#This Row],[Draftees]]-SUM(TblMili[[#This Row],[Train Unit 1]:[Train AM]]),(barracks_size + tech_8_3*TblTech[[#This Row],[8-3]])*TblConstr[[#This Row],[Tot Bar]])</f>
        <v>1076</v>
      </c>
      <c r="V8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2" s="94">
        <f ca="1">MAX(-5%*TblPop[[#This Row],[Peasants]]-TblPop[[#This Row],[Draft Growth]],MIN(OFFSET(TblPop[[#This Row],[Net max]],1,0)-TblPop[[#This Row],[Peasants]]-TblPop[[#This Row],[Military]]-TblPop[[#This Row],[Draft Growth]],TblPop[[#This Row],[Modded Birth]]-TblPop[[#This Row],[Draft Growth]]))</f>
        <v>-5</v>
      </c>
      <c r="X82" s="94">
        <f ca="1">ROUND(TblPop[[#This Row],[Raw Birth]]*(1+TblPop[[#This Row],[Growth]]),0)</f>
        <v>14</v>
      </c>
      <c r="Y82" s="94">
        <f ca="1">(TblPop[[#This Row],[Peasants]]-TblPop[[#This Row],[Draft Growth]])*raw_pop_growth</f>
        <v>13.559999999999999</v>
      </c>
      <c r="Z82" s="94">
        <f ca="1">ROUND(IF(TblPop[[#This Row],[Military%]]&lt;TblMili[[#This Row],[Draftrate]],ROUND(TblPop[[#This Row],[Peasants]]*Constants!$B$55,0), 0) * IF(AND(TblMagic[[#This Row],[Active DnD]]&lt;=12,TblMagic[[#This Row],[Active DnD]]&gt;6),1.6,1),0)</f>
        <v>5</v>
      </c>
      <c r="AA82" s="142"/>
      <c r="AB82" s="143">
        <f ca="1">Overview!$I$17 + IF(Magic!AF82&gt;0,Constants!$F$78) + ROUND(6*(Construction!BM83+Construction!CK82)/IF(Explore!S83&gt;0,Construction!F83-20,Construction!F83),4) + tech_6_5_2*Techs!BJ82 + tech_8_4*Techs!BT82</f>
        <v>0</v>
      </c>
      <c r="AC82" s="139">
        <f ca="1">(Overview!$I$16 + Imps!Z82+ tech_2_5*Techs!AB82 + tech_3_6*Techs!AM82 + tech_6_1*Techs!BJ82 + tech_6_5*Techs!BF82 + tech_7_3_2*Techs!BN82) * (1 + Production!O82/100*prestige_pop_multiplier) + Production!O82/100*prestige_pop_multiplier</f>
        <v>2.5000000000000001E-2</v>
      </c>
    </row>
    <row r="83" spans="1:29" x14ac:dyDescent="0.2">
      <c r="A83" s="137">
        <f>TblRezone[[#This Row],[Hour]]</f>
        <v>80</v>
      </c>
      <c r="B83" s="138">
        <f ca="1">TblImps[[#This Row],[Time]]</f>
        <v>46050.291666666475</v>
      </c>
      <c r="C83" s="94">
        <f ca="1">OFFSET(TblPop[[#This Row],[Peasants]],-1,0)+OFFSET(TblPop[[#This Row],[Net Peasant]],-1,0)+TblMili[[#This Row],[Release Draft]]</f>
        <v>452</v>
      </c>
      <c r="D83" s="94">
        <f ca="1">TblMili[[#This Row],[Military]]</f>
        <v>624</v>
      </c>
      <c r="E83" s="94">
        <f ca="1">TblMili[[#This Row],[Draftees]]</f>
        <v>624</v>
      </c>
      <c r="F83" s="94">
        <f ca="1">TblPop[[#This Row],[Peasants]]+TblPop[[#This Row],[Military]]</f>
        <v>1076</v>
      </c>
      <c r="G83" s="139">
        <f ca="1">TblPop[[#This Row],[Military]]/TblPop[[#This Row],[Total]]</f>
        <v>0.5799256505576208</v>
      </c>
      <c r="H83" s="140">
        <f ca="1">MIN(TblPop[[#This Row],[Peasants]],TblPop[[#This Row],[Jobs]])</f>
        <v>452</v>
      </c>
      <c r="I83" s="139">
        <f ca="1">MIN(OFFSET(TblPop[[#This Row],[Jobs]],1,0)/TblPop[[#This Row],[Peasants]],1)</f>
        <v>1</v>
      </c>
      <c r="J83" s="140">
        <f ca="1">SUM(TblConstr[[#This Row],[Tot Alc]:[Tot GT]],TblConstr[[#This Row],[Tot Shr]:[Tot Doc]],TblConstr[[#This Row],[Dest Alc]:[Dest GT]],TblConstr[[#This Row],[Dest Shr]:[Dest Doc]])*building_employment + TblConstr[[#This Row],[Tot Fac]]*bonus_jobs_facts</f>
        <v>1000</v>
      </c>
      <c r="K83" s="141"/>
      <c r="L83" s="61">
        <f ca="1">TblPop[[#This Row],[Draftees]]</f>
        <v>624</v>
      </c>
      <c r="M83" s="61">
        <f ca="1">TblMili[[#This Row],[Unit 1]]</f>
        <v>0</v>
      </c>
      <c r="N83" s="61">
        <f ca="1">TblMili[[#This Row],[Unit 2]]</f>
        <v>0</v>
      </c>
      <c r="O83" s="61">
        <f ca="1">TblMili[[#This Row],[Unit 3]]</f>
        <v>0</v>
      </c>
      <c r="P83" s="61">
        <f ca="1">TblMili[[#This Row],[Unit 4]]</f>
        <v>0</v>
      </c>
      <c r="Q83" s="61">
        <f ca="1">TblMili[[#This Row],[Spies]]</f>
        <v>0</v>
      </c>
      <c r="R83" s="61">
        <f ca="1">TblMili[[#This Row],[Wizards]]</f>
        <v>0</v>
      </c>
      <c r="S83" s="61">
        <f ca="1">TblMili[[#This Row],[Archmages]]</f>
        <v>0</v>
      </c>
      <c r="T83" s="142"/>
      <c r="U83" s="94">
        <f ca="1">ROUND(TblPop[[#This Row],[Raw max]]*(1+OFFSET(TblPop[[#This Row],[Max pop]],-1,0)),0)+MIN(TblPop[[#This Row],[Military]]-TblPop[[#This Row],[Draftees]]-SUM(TblMili[[#This Row],[Train Unit 1]:[Train AM]]),(barracks_size + tech_8_3*TblTech[[#This Row],[8-3]])*TblConstr[[#This Row],[Tot Bar]])</f>
        <v>1076</v>
      </c>
      <c r="V8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3" s="94">
        <f ca="1">MAX(-5%*TblPop[[#This Row],[Peasants]]-TblPop[[#This Row],[Draft Growth]],MIN(OFFSET(TblPop[[#This Row],[Net max]],1,0)-TblPop[[#This Row],[Peasants]]-TblPop[[#This Row],[Military]]-TblPop[[#This Row],[Draft Growth]],TblPop[[#This Row],[Modded Birth]]-TblPop[[#This Row],[Draft Growth]]))</f>
        <v>-5</v>
      </c>
      <c r="X83" s="94">
        <f ca="1">ROUND(TblPop[[#This Row],[Raw Birth]]*(1+TblPop[[#This Row],[Growth]]),0)</f>
        <v>13</v>
      </c>
      <c r="Y83" s="94">
        <f ca="1">(TblPop[[#This Row],[Peasants]]-TblPop[[#This Row],[Draft Growth]])*raw_pop_growth</f>
        <v>13.41</v>
      </c>
      <c r="Z83" s="94">
        <f ca="1">ROUND(IF(TblPop[[#This Row],[Military%]]&lt;TblMili[[#This Row],[Draftrate]],ROUND(TblPop[[#This Row],[Peasants]]*Constants!$B$55,0), 0) * IF(AND(TblMagic[[#This Row],[Active DnD]]&lt;=12,TblMagic[[#This Row],[Active DnD]]&gt;6),1.6,1),0)</f>
        <v>5</v>
      </c>
      <c r="AA83" s="142"/>
      <c r="AB83" s="143">
        <f ca="1">Overview!$I$17 + IF(Magic!AF83&gt;0,Constants!$F$78) + ROUND(6*(Construction!BM84+Construction!CK83)/IF(Explore!S84&gt;0,Construction!F84-20,Construction!F84),4) + tech_6_5_2*Techs!BJ83 + tech_8_4*Techs!BT83</f>
        <v>0</v>
      </c>
      <c r="AC83" s="139">
        <f ca="1">(Overview!$I$16 + Imps!Z83+ tech_2_5*Techs!AB83 + tech_3_6*Techs!AM83 + tech_6_1*Techs!BJ83 + tech_6_5*Techs!BF83 + tech_7_3_2*Techs!BN83) * (1 + Production!O83/100*prestige_pop_multiplier) + Production!O83/100*prestige_pop_multiplier</f>
        <v>2.5000000000000001E-2</v>
      </c>
    </row>
    <row r="84" spans="1:29" x14ac:dyDescent="0.2">
      <c r="A84" s="137">
        <f>TblRezone[[#This Row],[Hour]]</f>
        <v>81</v>
      </c>
      <c r="B84" s="138">
        <f ca="1">TblImps[[#This Row],[Time]]</f>
        <v>46050.333333333139</v>
      </c>
      <c r="C84" s="94">
        <f ca="1">OFFSET(TblPop[[#This Row],[Peasants]],-1,0)+OFFSET(TblPop[[#This Row],[Net Peasant]],-1,0)+TblMili[[#This Row],[Release Draft]]</f>
        <v>447</v>
      </c>
      <c r="D84" s="94">
        <f ca="1">TblMili[[#This Row],[Military]]</f>
        <v>629</v>
      </c>
      <c r="E84" s="94">
        <f ca="1">TblMili[[#This Row],[Draftees]]</f>
        <v>629</v>
      </c>
      <c r="F84" s="94">
        <f ca="1">TblPop[[#This Row],[Peasants]]+TblPop[[#This Row],[Military]]</f>
        <v>1076</v>
      </c>
      <c r="G84" s="139">
        <f ca="1">TblPop[[#This Row],[Military]]/TblPop[[#This Row],[Total]]</f>
        <v>0.58457249070631967</v>
      </c>
      <c r="H84" s="140">
        <f ca="1">MIN(TblPop[[#This Row],[Peasants]],TblPop[[#This Row],[Jobs]])</f>
        <v>447</v>
      </c>
      <c r="I84" s="139">
        <f ca="1">MIN(OFFSET(TblPop[[#This Row],[Jobs]],1,0)/TblPop[[#This Row],[Peasants]],1)</f>
        <v>1</v>
      </c>
      <c r="J84" s="140">
        <f ca="1">SUM(TblConstr[[#This Row],[Tot Alc]:[Tot GT]],TblConstr[[#This Row],[Tot Shr]:[Tot Doc]],TblConstr[[#This Row],[Dest Alc]:[Dest GT]],TblConstr[[#This Row],[Dest Shr]:[Dest Doc]])*building_employment + TblConstr[[#This Row],[Tot Fac]]*bonus_jobs_facts</f>
        <v>1000</v>
      </c>
      <c r="K84" s="141"/>
      <c r="L84" s="61">
        <f ca="1">TblPop[[#This Row],[Draftees]]</f>
        <v>629</v>
      </c>
      <c r="M84" s="61">
        <f ca="1">TblMili[[#This Row],[Unit 1]]</f>
        <v>0</v>
      </c>
      <c r="N84" s="61">
        <f ca="1">TblMili[[#This Row],[Unit 2]]</f>
        <v>0</v>
      </c>
      <c r="O84" s="61">
        <f ca="1">TblMili[[#This Row],[Unit 3]]</f>
        <v>0</v>
      </c>
      <c r="P84" s="61">
        <f ca="1">TblMili[[#This Row],[Unit 4]]</f>
        <v>0</v>
      </c>
      <c r="Q84" s="61">
        <f ca="1">TblMili[[#This Row],[Spies]]</f>
        <v>0</v>
      </c>
      <c r="R84" s="61">
        <f ca="1">TblMili[[#This Row],[Wizards]]</f>
        <v>0</v>
      </c>
      <c r="S84" s="61">
        <f ca="1">TblMili[[#This Row],[Archmages]]</f>
        <v>0</v>
      </c>
      <c r="T84" s="142"/>
      <c r="U84" s="94">
        <f ca="1">ROUND(TblPop[[#This Row],[Raw max]]*(1+OFFSET(TblPop[[#This Row],[Max pop]],-1,0)),0)+MIN(TblPop[[#This Row],[Military]]-TblPop[[#This Row],[Draftees]]-SUM(TblMili[[#This Row],[Train Unit 1]:[Train AM]]),(barracks_size + tech_8_3*TblTech[[#This Row],[8-3]])*TblConstr[[#This Row],[Tot Bar]])</f>
        <v>1076</v>
      </c>
      <c r="V8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4" s="94">
        <f ca="1">MAX(-5%*TblPop[[#This Row],[Peasants]]-TblPop[[#This Row],[Draft Growth]],MIN(OFFSET(TblPop[[#This Row],[Net max]],1,0)-TblPop[[#This Row],[Peasants]]-TblPop[[#This Row],[Military]]-TblPop[[#This Row],[Draft Growth]],TblPop[[#This Row],[Modded Birth]]-TblPop[[#This Row],[Draft Growth]]))</f>
        <v>-4</v>
      </c>
      <c r="X84" s="94">
        <f ca="1">ROUND(TblPop[[#This Row],[Raw Birth]]*(1+TblPop[[#This Row],[Growth]]),0)</f>
        <v>13</v>
      </c>
      <c r="Y84" s="94">
        <f ca="1">(TblPop[[#This Row],[Peasants]]-TblPop[[#This Row],[Draft Growth]])*raw_pop_growth</f>
        <v>13.29</v>
      </c>
      <c r="Z84" s="94">
        <f ca="1">ROUND(IF(TblPop[[#This Row],[Military%]]&lt;TblMili[[#This Row],[Draftrate]],ROUND(TblPop[[#This Row],[Peasants]]*Constants!$B$55,0), 0) * IF(AND(TblMagic[[#This Row],[Active DnD]]&lt;=12,TblMagic[[#This Row],[Active DnD]]&gt;6),1.6,1),0)</f>
        <v>4</v>
      </c>
      <c r="AA84" s="142"/>
      <c r="AB84" s="143">
        <f ca="1">Overview!$I$17 + IF(Magic!AF84&gt;0,Constants!$F$78) + ROUND(6*(Construction!BM85+Construction!CK84)/IF(Explore!S85&gt;0,Construction!F85-20,Construction!F85),4) + tech_6_5_2*Techs!BJ84 + tech_8_4*Techs!BT84</f>
        <v>0</v>
      </c>
      <c r="AC84" s="139">
        <f ca="1">(Overview!$I$16 + Imps!Z84+ tech_2_5*Techs!AB84 + tech_3_6*Techs!AM84 + tech_6_1*Techs!BJ84 + tech_6_5*Techs!BF84 + tech_7_3_2*Techs!BN84) * (1 + Production!O84/100*prestige_pop_multiplier) + Production!O84/100*prestige_pop_multiplier</f>
        <v>2.5000000000000001E-2</v>
      </c>
    </row>
    <row r="85" spans="1:29" x14ac:dyDescent="0.2">
      <c r="A85" s="137">
        <f>TblRezone[[#This Row],[Hour]]</f>
        <v>82</v>
      </c>
      <c r="B85" s="138">
        <f ca="1">TblImps[[#This Row],[Time]]</f>
        <v>46050.374999999804</v>
      </c>
      <c r="C85" s="94">
        <f ca="1">OFFSET(TblPop[[#This Row],[Peasants]],-1,0)+OFFSET(TblPop[[#This Row],[Net Peasant]],-1,0)+TblMili[[#This Row],[Release Draft]]</f>
        <v>443</v>
      </c>
      <c r="D85" s="94">
        <f ca="1">TblMili[[#This Row],[Military]]</f>
        <v>633</v>
      </c>
      <c r="E85" s="94">
        <f ca="1">TblMili[[#This Row],[Draftees]]</f>
        <v>633</v>
      </c>
      <c r="F85" s="94">
        <f ca="1">TblPop[[#This Row],[Peasants]]+TblPop[[#This Row],[Military]]</f>
        <v>1076</v>
      </c>
      <c r="G85" s="139">
        <f ca="1">TblPop[[#This Row],[Military]]/TblPop[[#This Row],[Total]]</f>
        <v>0.58828996282527879</v>
      </c>
      <c r="H85" s="140">
        <f ca="1">MIN(TblPop[[#This Row],[Peasants]],TblPop[[#This Row],[Jobs]])</f>
        <v>443</v>
      </c>
      <c r="I85" s="139">
        <f ca="1">MIN(OFFSET(TblPop[[#This Row],[Jobs]],1,0)/TblPop[[#This Row],[Peasants]],1)</f>
        <v>1</v>
      </c>
      <c r="J85" s="140">
        <f ca="1">SUM(TblConstr[[#This Row],[Tot Alc]:[Tot GT]],TblConstr[[#This Row],[Tot Shr]:[Tot Doc]],TblConstr[[#This Row],[Dest Alc]:[Dest GT]],TblConstr[[#This Row],[Dest Shr]:[Dest Doc]])*building_employment + TblConstr[[#This Row],[Tot Fac]]*bonus_jobs_facts</f>
        <v>1000</v>
      </c>
      <c r="K85" s="141"/>
      <c r="L85" s="61">
        <f ca="1">TblPop[[#This Row],[Draftees]]</f>
        <v>633</v>
      </c>
      <c r="M85" s="61">
        <f ca="1">TblMili[[#This Row],[Unit 1]]</f>
        <v>0</v>
      </c>
      <c r="N85" s="61">
        <f ca="1">TblMili[[#This Row],[Unit 2]]</f>
        <v>0</v>
      </c>
      <c r="O85" s="61">
        <f ca="1">TblMili[[#This Row],[Unit 3]]</f>
        <v>0</v>
      </c>
      <c r="P85" s="61">
        <f ca="1">TblMili[[#This Row],[Unit 4]]</f>
        <v>0</v>
      </c>
      <c r="Q85" s="61">
        <f ca="1">TblMili[[#This Row],[Spies]]</f>
        <v>0</v>
      </c>
      <c r="R85" s="61">
        <f ca="1">TblMili[[#This Row],[Wizards]]</f>
        <v>0</v>
      </c>
      <c r="S85" s="61">
        <f ca="1">TblMili[[#This Row],[Archmages]]</f>
        <v>0</v>
      </c>
      <c r="T85" s="142"/>
      <c r="U85" s="94">
        <f ca="1">ROUND(TblPop[[#This Row],[Raw max]]*(1+OFFSET(TblPop[[#This Row],[Max pop]],-1,0)),0)+MIN(TblPop[[#This Row],[Military]]-TblPop[[#This Row],[Draftees]]-SUM(TblMili[[#This Row],[Train Unit 1]:[Train AM]]),(barracks_size + tech_8_3*TblTech[[#This Row],[8-3]])*TblConstr[[#This Row],[Tot Bar]])</f>
        <v>1076</v>
      </c>
      <c r="V8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5" s="94">
        <f ca="1">MAX(-5%*TblPop[[#This Row],[Peasants]]-TblPop[[#This Row],[Draft Growth]],MIN(OFFSET(TblPop[[#This Row],[Net max]],1,0)-TblPop[[#This Row],[Peasants]]-TblPop[[#This Row],[Military]]-TblPop[[#This Row],[Draft Growth]],TblPop[[#This Row],[Modded Birth]]-TblPop[[#This Row],[Draft Growth]]))</f>
        <v>-4</v>
      </c>
      <c r="X85" s="94">
        <f ca="1">ROUND(TblPop[[#This Row],[Raw Birth]]*(1+TblPop[[#This Row],[Growth]]),0)</f>
        <v>13</v>
      </c>
      <c r="Y85" s="94">
        <f ca="1">(TblPop[[#This Row],[Peasants]]-TblPop[[#This Row],[Draft Growth]])*raw_pop_growth</f>
        <v>13.17</v>
      </c>
      <c r="Z85" s="94">
        <f ca="1">ROUND(IF(TblPop[[#This Row],[Military%]]&lt;TblMili[[#This Row],[Draftrate]],ROUND(TblPop[[#This Row],[Peasants]]*Constants!$B$55,0), 0) * IF(AND(TblMagic[[#This Row],[Active DnD]]&lt;=12,TblMagic[[#This Row],[Active DnD]]&gt;6),1.6,1),0)</f>
        <v>4</v>
      </c>
      <c r="AA85" s="142"/>
      <c r="AB85" s="143">
        <f ca="1">Overview!$I$17 + IF(Magic!AF85&gt;0,Constants!$F$78) + ROUND(6*(Construction!BM86+Construction!CK85)/IF(Explore!S86&gt;0,Construction!F86-20,Construction!F86),4) + tech_6_5_2*Techs!BJ85 + tech_8_4*Techs!BT85</f>
        <v>0</v>
      </c>
      <c r="AC85" s="139">
        <f ca="1">(Overview!$I$16 + Imps!Z85+ tech_2_5*Techs!AB85 + tech_3_6*Techs!AM85 + tech_6_1*Techs!BJ85 + tech_6_5*Techs!BF85 + tech_7_3_2*Techs!BN85) * (1 + Production!O85/100*prestige_pop_multiplier) + Production!O85/100*prestige_pop_multiplier</f>
        <v>2.5000000000000001E-2</v>
      </c>
    </row>
    <row r="86" spans="1:29" x14ac:dyDescent="0.2">
      <c r="A86" s="137">
        <f>TblRezone[[#This Row],[Hour]]</f>
        <v>83</v>
      </c>
      <c r="B86" s="138">
        <f ca="1">TblImps[[#This Row],[Time]]</f>
        <v>46050.416666666468</v>
      </c>
      <c r="C86" s="94">
        <f ca="1">OFFSET(TblPop[[#This Row],[Peasants]],-1,0)+OFFSET(TblPop[[#This Row],[Net Peasant]],-1,0)+TblMili[[#This Row],[Release Draft]]</f>
        <v>439</v>
      </c>
      <c r="D86" s="94">
        <f ca="1">TblMili[[#This Row],[Military]]</f>
        <v>637</v>
      </c>
      <c r="E86" s="94">
        <f ca="1">TblMili[[#This Row],[Draftees]]</f>
        <v>637</v>
      </c>
      <c r="F86" s="94">
        <f ca="1">TblPop[[#This Row],[Peasants]]+TblPop[[#This Row],[Military]]</f>
        <v>1076</v>
      </c>
      <c r="G86" s="139">
        <f ca="1">TblPop[[#This Row],[Military]]/TblPop[[#This Row],[Total]]</f>
        <v>0.59200743494423791</v>
      </c>
      <c r="H86" s="140">
        <f ca="1">MIN(TblPop[[#This Row],[Peasants]],TblPop[[#This Row],[Jobs]])</f>
        <v>439</v>
      </c>
      <c r="I86" s="139">
        <f ca="1">MIN(OFFSET(TblPop[[#This Row],[Jobs]],1,0)/TblPop[[#This Row],[Peasants]],1)</f>
        <v>1</v>
      </c>
      <c r="J86" s="140">
        <f ca="1">SUM(TblConstr[[#This Row],[Tot Alc]:[Tot GT]],TblConstr[[#This Row],[Tot Shr]:[Tot Doc]],TblConstr[[#This Row],[Dest Alc]:[Dest GT]],TblConstr[[#This Row],[Dest Shr]:[Dest Doc]])*building_employment + TblConstr[[#This Row],[Tot Fac]]*bonus_jobs_facts</f>
        <v>1000</v>
      </c>
      <c r="K86" s="141"/>
      <c r="L86" s="61">
        <f ca="1">TblPop[[#This Row],[Draftees]]</f>
        <v>637</v>
      </c>
      <c r="M86" s="61">
        <f ca="1">TblMili[[#This Row],[Unit 1]]</f>
        <v>0</v>
      </c>
      <c r="N86" s="61">
        <f ca="1">TblMili[[#This Row],[Unit 2]]</f>
        <v>0</v>
      </c>
      <c r="O86" s="61">
        <f ca="1">TblMili[[#This Row],[Unit 3]]</f>
        <v>0</v>
      </c>
      <c r="P86" s="61">
        <f ca="1">TblMili[[#This Row],[Unit 4]]</f>
        <v>0</v>
      </c>
      <c r="Q86" s="61">
        <f ca="1">TblMili[[#This Row],[Spies]]</f>
        <v>0</v>
      </c>
      <c r="R86" s="61">
        <f ca="1">TblMili[[#This Row],[Wizards]]</f>
        <v>0</v>
      </c>
      <c r="S86" s="61">
        <f ca="1">TblMili[[#This Row],[Archmages]]</f>
        <v>0</v>
      </c>
      <c r="T86" s="142"/>
      <c r="U86" s="94">
        <f ca="1">ROUND(TblPop[[#This Row],[Raw max]]*(1+OFFSET(TblPop[[#This Row],[Max pop]],-1,0)),0)+MIN(TblPop[[#This Row],[Military]]-TblPop[[#This Row],[Draftees]]-SUM(TblMili[[#This Row],[Train Unit 1]:[Train AM]]),(barracks_size + tech_8_3*TblTech[[#This Row],[8-3]])*TblConstr[[#This Row],[Tot Bar]])</f>
        <v>1076</v>
      </c>
      <c r="V8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6" s="94">
        <f ca="1">MAX(-5%*TblPop[[#This Row],[Peasants]]-TblPop[[#This Row],[Draft Growth]],MIN(OFFSET(TblPop[[#This Row],[Net max]],1,0)-TblPop[[#This Row],[Peasants]]-TblPop[[#This Row],[Military]]-TblPop[[#This Row],[Draft Growth]],TblPop[[#This Row],[Modded Birth]]-TblPop[[#This Row],[Draft Growth]]))</f>
        <v>-4</v>
      </c>
      <c r="X86" s="94">
        <f ca="1">ROUND(TblPop[[#This Row],[Raw Birth]]*(1+TblPop[[#This Row],[Growth]]),0)</f>
        <v>13</v>
      </c>
      <c r="Y86" s="94">
        <f ca="1">(TblPop[[#This Row],[Peasants]]-TblPop[[#This Row],[Draft Growth]])*raw_pop_growth</f>
        <v>13.049999999999999</v>
      </c>
      <c r="Z86" s="94">
        <f ca="1">ROUND(IF(TblPop[[#This Row],[Military%]]&lt;TblMili[[#This Row],[Draftrate]],ROUND(TblPop[[#This Row],[Peasants]]*Constants!$B$55,0), 0) * IF(AND(TblMagic[[#This Row],[Active DnD]]&lt;=12,TblMagic[[#This Row],[Active DnD]]&gt;6),1.6,1),0)</f>
        <v>4</v>
      </c>
      <c r="AA86" s="142"/>
      <c r="AB86" s="143">
        <f ca="1">Overview!$I$17 + IF(Magic!AF86&gt;0,Constants!$F$78) + ROUND(6*(Construction!BM87+Construction!CK86)/IF(Explore!S87&gt;0,Construction!F87-20,Construction!F87),4) + tech_6_5_2*Techs!BJ86 + tech_8_4*Techs!BT86</f>
        <v>0</v>
      </c>
      <c r="AC86" s="139">
        <f ca="1">(Overview!$I$16 + Imps!Z86+ tech_2_5*Techs!AB86 + tech_3_6*Techs!AM86 + tech_6_1*Techs!BJ86 + tech_6_5*Techs!BF86 + tech_7_3_2*Techs!BN86) * (1 + Production!O86/100*prestige_pop_multiplier) + Production!O86/100*prestige_pop_multiplier</f>
        <v>2.5000000000000001E-2</v>
      </c>
    </row>
    <row r="87" spans="1:29" x14ac:dyDescent="0.2">
      <c r="A87" s="137">
        <f>TblRezone[[#This Row],[Hour]]</f>
        <v>84</v>
      </c>
      <c r="B87" s="138">
        <f ca="1">TblImps[[#This Row],[Time]]</f>
        <v>46050.458333333132</v>
      </c>
      <c r="C87" s="94">
        <f ca="1">OFFSET(TblPop[[#This Row],[Peasants]],-1,0)+OFFSET(TblPop[[#This Row],[Net Peasant]],-1,0)+TblMili[[#This Row],[Release Draft]]</f>
        <v>435</v>
      </c>
      <c r="D87" s="94">
        <f ca="1">TblMili[[#This Row],[Military]]</f>
        <v>641</v>
      </c>
      <c r="E87" s="94">
        <f ca="1">TblMili[[#This Row],[Draftees]]</f>
        <v>641</v>
      </c>
      <c r="F87" s="94">
        <f ca="1">TblPop[[#This Row],[Peasants]]+TblPop[[#This Row],[Military]]</f>
        <v>1076</v>
      </c>
      <c r="G87" s="139">
        <f ca="1">TblPop[[#This Row],[Military]]/TblPop[[#This Row],[Total]]</f>
        <v>0.59572490706319703</v>
      </c>
      <c r="H87" s="140">
        <f ca="1">MIN(TblPop[[#This Row],[Peasants]],TblPop[[#This Row],[Jobs]])</f>
        <v>435</v>
      </c>
      <c r="I87" s="139">
        <f ca="1">MIN(OFFSET(TblPop[[#This Row],[Jobs]],1,0)/TblPop[[#This Row],[Peasants]],1)</f>
        <v>1</v>
      </c>
      <c r="J87" s="140">
        <f ca="1">SUM(TblConstr[[#This Row],[Tot Alc]:[Tot GT]],TblConstr[[#This Row],[Tot Shr]:[Tot Doc]],TblConstr[[#This Row],[Dest Alc]:[Dest GT]],TblConstr[[#This Row],[Dest Shr]:[Dest Doc]])*building_employment + TblConstr[[#This Row],[Tot Fac]]*bonus_jobs_facts</f>
        <v>1000</v>
      </c>
      <c r="K87" s="141"/>
      <c r="L87" s="61">
        <f ca="1">TblPop[[#This Row],[Draftees]]</f>
        <v>641</v>
      </c>
      <c r="M87" s="61">
        <f ca="1">TblMili[[#This Row],[Unit 1]]</f>
        <v>0</v>
      </c>
      <c r="N87" s="61">
        <f ca="1">TblMili[[#This Row],[Unit 2]]</f>
        <v>0</v>
      </c>
      <c r="O87" s="61">
        <f ca="1">TblMili[[#This Row],[Unit 3]]</f>
        <v>0</v>
      </c>
      <c r="P87" s="61">
        <f ca="1">TblMili[[#This Row],[Unit 4]]</f>
        <v>0</v>
      </c>
      <c r="Q87" s="61">
        <f ca="1">TblMili[[#This Row],[Spies]]</f>
        <v>0</v>
      </c>
      <c r="R87" s="61">
        <f ca="1">TblMili[[#This Row],[Wizards]]</f>
        <v>0</v>
      </c>
      <c r="S87" s="61">
        <f ca="1">TblMili[[#This Row],[Archmages]]</f>
        <v>0</v>
      </c>
      <c r="T87" s="142"/>
      <c r="U87" s="94">
        <f ca="1">ROUND(TblPop[[#This Row],[Raw max]]*(1+OFFSET(TblPop[[#This Row],[Max pop]],-1,0)),0)+MIN(TblPop[[#This Row],[Military]]-TblPop[[#This Row],[Draftees]]-SUM(TblMili[[#This Row],[Train Unit 1]:[Train AM]]),(barracks_size + tech_8_3*TblTech[[#This Row],[8-3]])*TblConstr[[#This Row],[Tot Bar]])</f>
        <v>1076</v>
      </c>
      <c r="V8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7" s="94">
        <f ca="1">MAX(-5%*TblPop[[#This Row],[Peasants]]-TblPop[[#This Row],[Draft Growth]],MIN(OFFSET(TblPop[[#This Row],[Net max]],1,0)-TblPop[[#This Row],[Peasants]]-TblPop[[#This Row],[Military]]-TblPop[[#This Row],[Draft Growth]],TblPop[[#This Row],[Modded Birth]]-TblPop[[#This Row],[Draft Growth]]))</f>
        <v>-4</v>
      </c>
      <c r="X87" s="94">
        <f ca="1">ROUND(TblPop[[#This Row],[Raw Birth]]*(1+TblPop[[#This Row],[Growth]]),0)</f>
        <v>13</v>
      </c>
      <c r="Y87" s="94">
        <f ca="1">(TblPop[[#This Row],[Peasants]]-TblPop[[#This Row],[Draft Growth]])*raw_pop_growth</f>
        <v>12.93</v>
      </c>
      <c r="Z87" s="94">
        <f ca="1">ROUND(IF(TblPop[[#This Row],[Military%]]&lt;TblMili[[#This Row],[Draftrate]],ROUND(TblPop[[#This Row],[Peasants]]*Constants!$B$55,0), 0) * IF(AND(TblMagic[[#This Row],[Active DnD]]&lt;=12,TblMagic[[#This Row],[Active DnD]]&gt;6),1.6,1),0)</f>
        <v>4</v>
      </c>
      <c r="AA87" s="142"/>
      <c r="AB87" s="143">
        <f ca="1">Overview!$I$17 + IF(Magic!AF87&gt;0,Constants!$F$78) + ROUND(6*(Construction!BM88+Construction!CK87)/IF(Explore!S88&gt;0,Construction!F88-20,Construction!F88),4) + tech_6_5_2*Techs!BJ87 + tech_8_4*Techs!BT87</f>
        <v>0</v>
      </c>
      <c r="AC87" s="139">
        <f ca="1">(Overview!$I$16 + Imps!Z87+ tech_2_5*Techs!AB87 + tech_3_6*Techs!AM87 + tech_6_1*Techs!BJ87 + tech_6_5*Techs!BF87 + tech_7_3_2*Techs!BN87) * (1 + Production!O87/100*prestige_pop_multiplier) + Production!O87/100*prestige_pop_multiplier</f>
        <v>2.5000000000000001E-2</v>
      </c>
    </row>
    <row r="88" spans="1:29" x14ac:dyDescent="0.2">
      <c r="A88" s="137">
        <f>TblRezone[[#This Row],[Hour]]</f>
        <v>85</v>
      </c>
      <c r="B88" s="138">
        <f ca="1">TblImps[[#This Row],[Time]]</f>
        <v>46050.499999999796</v>
      </c>
      <c r="C88" s="94">
        <f ca="1">OFFSET(TblPop[[#This Row],[Peasants]],-1,0)+OFFSET(TblPop[[#This Row],[Net Peasant]],-1,0)+TblMili[[#This Row],[Release Draft]]</f>
        <v>431</v>
      </c>
      <c r="D88" s="94">
        <f ca="1">TblMili[[#This Row],[Military]]</f>
        <v>645</v>
      </c>
      <c r="E88" s="94">
        <f ca="1">TblMili[[#This Row],[Draftees]]</f>
        <v>645</v>
      </c>
      <c r="F88" s="94">
        <f ca="1">TblPop[[#This Row],[Peasants]]+TblPop[[#This Row],[Military]]</f>
        <v>1076</v>
      </c>
      <c r="G88" s="139">
        <f ca="1">TblPop[[#This Row],[Military]]/TblPop[[#This Row],[Total]]</f>
        <v>0.59944237918215615</v>
      </c>
      <c r="H88" s="140">
        <f ca="1">MIN(TblPop[[#This Row],[Peasants]],TblPop[[#This Row],[Jobs]])</f>
        <v>431</v>
      </c>
      <c r="I88" s="139">
        <f ca="1">MIN(OFFSET(TblPop[[#This Row],[Jobs]],1,0)/TblPop[[#This Row],[Peasants]],1)</f>
        <v>1</v>
      </c>
      <c r="J88" s="140">
        <f ca="1">SUM(TblConstr[[#This Row],[Tot Alc]:[Tot GT]],TblConstr[[#This Row],[Tot Shr]:[Tot Doc]],TblConstr[[#This Row],[Dest Alc]:[Dest GT]],TblConstr[[#This Row],[Dest Shr]:[Dest Doc]])*building_employment + TblConstr[[#This Row],[Tot Fac]]*bonus_jobs_facts</f>
        <v>1000</v>
      </c>
      <c r="K88" s="141"/>
      <c r="L88" s="61">
        <f ca="1">TblPop[[#This Row],[Draftees]]</f>
        <v>645</v>
      </c>
      <c r="M88" s="61">
        <f ca="1">TblMili[[#This Row],[Unit 1]]</f>
        <v>0</v>
      </c>
      <c r="N88" s="61">
        <f ca="1">TblMili[[#This Row],[Unit 2]]</f>
        <v>0</v>
      </c>
      <c r="O88" s="61">
        <f ca="1">TblMili[[#This Row],[Unit 3]]</f>
        <v>0</v>
      </c>
      <c r="P88" s="61">
        <f ca="1">TblMili[[#This Row],[Unit 4]]</f>
        <v>0</v>
      </c>
      <c r="Q88" s="61">
        <f ca="1">TblMili[[#This Row],[Spies]]</f>
        <v>0</v>
      </c>
      <c r="R88" s="61">
        <f ca="1">TblMili[[#This Row],[Wizards]]</f>
        <v>0</v>
      </c>
      <c r="S88" s="61">
        <f ca="1">TblMili[[#This Row],[Archmages]]</f>
        <v>0</v>
      </c>
      <c r="T88" s="142"/>
      <c r="U88" s="94">
        <f ca="1">ROUND(TblPop[[#This Row],[Raw max]]*(1+OFFSET(TblPop[[#This Row],[Max pop]],-1,0)),0)+MIN(TblPop[[#This Row],[Military]]-TblPop[[#This Row],[Draftees]]-SUM(TblMili[[#This Row],[Train Unit 1]:[Train AM]]),(barracks_size + tech_8_3*TblTech[[#This Row],[8-3]])*TblConstr[[#This Row],[Tot Bar]])</f>
        <v>1076</v>
      </c>
      <c r="V8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8" s="94">
        <f ca="1">MAX(-5%*TblPop[[#This Row],[Peasants]]-TblPop[[#This Row],[Draft Growth]],MIN(OFFSET(TblPop[[#This Row],[Net max]],1,0)-TblPop[[#This Row],[Peasants]]-TblPop[[#This Row],[Military]]-TblPop[[#This Row],[Draft Growth]],TblPop[[#This Row],[Modded Birth]]-TblPop[[#This Row],[Draft Growth]]))</f>
        <v>-4</v>
      </c>
      <c r="X88" s="94">
        <f ca="1">ROUND(TblPop[[#This Row],[Raw Birth]]*(1+TblPop[[#This Row],[Growth]]),0)</f>
        <v>13</v>
      </c>
      <c r="Y88" s="94">
        <f ca="1">(TblPop[[#This Row],[Peasants]]-TblPop[[#This Row],[Draft Growth]])*raw_pop_growth</f>
        <v>12.809999999999999</v>
      </c>
      <c r="Z88" s="94">
        <f ca="1">ROUND(IF(TblPop[[#This Row],[Military%]]&lt;TblMili[[#This Row],[Draftrate]],ROUND(TblPop[[#This Row],[Peasants]]*Constants!$B$55,0), 0) * IF(AND(TblMagic[[#This Row],[Active DnD]]&lt;=12,TblMagic[[#This Row],[Active DnD]]&gt;6),1.6,1),0)</f>
        <v>4</v>
      </c>
      <c r="AA88" s="142"/>
      <c r="AB88" s="143">
        <f ca="1">Overview!$I$17 + IF(Magic!AF88&gt;0,Constants!$F$78) + ROUND(6*(Construction!BM89+Construction!CK88)/IF(Explore!S89&gt;0,Construction!F89-20,Construction!F89),4) + tech_6_5_2*Techs!BJ88 + tech_8_4*Techs!BT88</f>
        <v>0</v>
      </c>
      <c r="AC88" s="139">
        <f ca="1">(Overview!$I$16 + Imps!Z88+ tech_2_5*Techs!AB88 + tech_3_6*Techs!AM88 + tech_6_1*Techs!BJ88 + tech_6_5*Techs!BF88 + tech_7_3_2*Techs!BN88) * (1 + Production!O88/100*prestige_pop_multiplier) + Production!O88/100*prestige_pop_multiplier</f>
        <v>2.5000000000000001E-2</v>
      </c>
    </row>
    <row r="89" spans="1:29" x14ac:dyDescent="0.2">
      <c r="A89" s="137">
        <f>TblRezone[[#This Row],[Hour]]</f>
        <v>86</v>
      </c>
      <c r="B89" s="138">
        <f ca="1">TblImps[[#This Row],[Time]]</f>
        <v>46050.541666666461</v>
      </c>
      <c r="C89" s="94">
        <f ca="1">OFFSET(TblPop[[#This Row],[Peasants]],-1,0)+OFFSET(TblPop[[#This Row],[Net Peasant]],-1,0)+TblMili[[#This Row],[Release Draft]]</f>
        <v>427</v>
      </c>
      <c r="D89" s="94">
        <f ca="1">TblMili[[#This Row],[Military]]</f>
        <v>649</v>
      </c>
      <c r="E89" s="94">
        <f ca="1">TblMili[[#This Row],[Draftees]]</f>
        <v>649</v>
      </c>
      <c r="F89" s="94">
        <f ca="1">TblPop[[#This Row],[Peasants]]+TblPop[[#This Row],[Military]]</f>
        <v>1076</v>
      </c>
      <c r="G89" s="139">
        <f ca="1">TblPop[[#This Row],[Military]]/TblPop[[#This Row],[Total]]</f>
        <v>0.60315985130111527</v>
      </c>
      <c r="H89" s="140">
        <f ca="1">MIN(TblPop[[#This Row],[Peasants]],TblPop[[#This Row],[Jobs]])</f>
        <v>427</v>
      </c>
      <c r="I89" s="139">
        <f ca="1">MIN(OFFSET(TblPop[[#This Row],[Jobs]],1,0)/TblPop[[#This Row],[Peasants]],1)</f>
        <v>1</v>
      </c>
      <c r="J89" s="140">
        <f ca="1">SUM(TblConstr[[#This Row],[Tot Alc]:[Tot GT]],TblConstr[[#This Row],[Tot Shr]:[Tot Doc]],TblConstr[[#This Row],[Dest Alc]:[Dest GT]],TblConstr[[#This Row],[Dest Shr]:[Dest Doc]])*building_employment + TblConstr[[#This Row],[Tot Fac]]*bonus_jobs_facts</f>
        <v>1000</v>
      </c>
      <c r="K89" s="141"/>
      <c r="L89" s="61">
        <f ca="1">TblPop[[#This Row],[Draftees]]</f>
        <v>649</v>
      </c>
      <c r="M89" s="61">
        <f ca="1">TblMili[[#This Row],[Unit 1]]</f>
        <v>0</v>
      </c>
      <c r="N89" s="61">
        <f ca="1">TblMili[[#This Row],[Unit 2]]</f>
        <v>0</v>
      </c>
      <c r="O89" s="61">
        <f ca="1">TblMili[[#This Row],[Unit 3]]</f>
        <v>0</v>
      </c>
      <c r="P89" s="61">
        <f ca="1">TblMili[[#This Row],[Unit 4]]</f>
        <v>0</v>
      </c>
      <c r="Q89" s="61">
        <f ca="1">TblMili[[#This Row],[Spies]]</f>
        <v>0</v>
      </c>
      <c r="R89" s="61">
        <f ca="1">TblMili[[#This Row],[Wizards]]</f>
        <v>0</v>
      </c>
      <c r="S89" s="61">
        <f ca="1">TblMili[[#This Row],[Archmages]]</f>
        <v>0</v>
      </c>
      <c r="T89" s="142"/>
      <c r="U89" s="94">
        <f ca="1">ROUND(TblPop[[#This Row],[Raw max]]*(1+OFFSET(TblPop[[#This Row],[Max pop]],-1,0)),0)+MIN(TblPop[[#This Row],[Military]]-TblPop[[#This Row],[Draftees]]-SUM(TblMili[[#This Row],[Train Unit 1]:[Train AM]]),(barracks_size + tech_8_3*TblTech[[#This Row],[8-3]])*TblConstr[[#This Row],[Tot Bar]])</f>
        <v>1076</v>
      </c>
      <c r="V8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89" s="94">
        <f ca="1">MAX(-5%*TblPop[[#This Row],[Peasants]]-TblPop[[#This Row],[Draft Growth]],MIN(OFFSET(TblPop[[#This Row],[Net max]],1,0)-TblPop[[#This Row],[Peasants]]-TblPop[[#This Row],[Military]]-TblPop[[#This Row],[Draft Growth]],TblPop[[#This Row],[Modded Birth]]-TblPop[[#This Row],[Draft Growth]]))</f>
        <v>-4</v>
      </c>
      <c r="X89" s="94">
        <f ca="1">ROUND(TblPop[[#This Row],[Raw Birth]]*(1+TblPop[[#This Row],[Growth]]),0)</f>
        <v>13</v>
      </c>
      <c r="Y89" s="94">
        <f ca="1">(TblPop[[#This Row],[Peasants]]-TblPop[[#This Row],[Draft Growth]])*raw_pop_growth</f>
        <v>12.69</v>
      </c>
      <c r="Z89" s="94">
        <f ca="1">ROUND(IF(TblPop[[#This Row],[Military%]]&lt;TblMili[[#This Row],[Draftrate]],ROUND(TblPop[[#This Row],[Peasants]]*Constants!$B$55,0), 0) * IF(AND(TblMagic[[#This Row],[Active DnD]]&lt;=12,TblMagic[[#This Row],[Active DnD]]&gt;6),1.6,1),0)</f>
        <v>4</v>
      </c>
      <c r="AA89" s="142"/>
      <c r="AB89" s="143">
        <f ca="1">Overview!$I$17 + IF(Magic!AF89&gt;0,Constants!$F$78) + ROUND(6*(Construction!BM90+Construction!CK89)/IF(Explore!S90&gt;0,Construction!F90-20,Construction!F90),4) + tech_6_5_2*Techs!BJ89 + tech_8_4*Techs!BT89</f>
        <v>0</v>
      </c>
      <c r="AC89" s="139">
        <f ca="1">(Overview!$I$16 + Imps!Z89+ tech_2_5*Techs!AB89 + tech_3_6*Techs!AM89 + tech_6_1*Techs!BJ89 + tech_6_5*Techs!BF89 + tech_7_3_2*Techs!BN89) * (1 + Production!O89/100*prestige_pop_multiplier) + Production!O89/100*prestige_pop_multiplier</f>
        <v>2.5000000000000001E-2</v>
      </c>
    </row>
    <row r="90" spans="1:29" x14ac:dyDescent="0.2">
      <c r="A90" s="137">
        <f>TblRezone[[#This Row],[Hour]]</f>
        <v>87</v>
      </c>
      <c r="B90" s="138">
        <f ca="1">TblImps[[#This Row],[Time]]</f>
        <v>46050.583333333125</v>
      </c>
      <c r="C90" s="94">
        <f ca="1">OFFSET(TblPop[[#This Row],[Peasants]],-1,0)+OFFSET(TblPop[[#This Row],[Net Peasant]],-1,0)+TblMili[[#This Row],[Release Draft]]</f>
        <v>423</v>
      </c>
      <c r="D90" s="94">
        <f ca="1">TblMili[[#This Row],[Military]]</f>
        <v>653</v>
      </c>
      <c r="E90" s="94">
        <f ca="1">TblMili[[#This Row],[Draftees]]</f>
        <v>653</v>
      </c>
      <c r="F90" s="94">
        <f ca="1">TblPop[[#This Row],[Peasants]]+TblPop[[#This Row],[Military]]</f>
        <v>1076</v>
      </c>
      <c r="G90" s="139">
        <f ca="1">TblPop[[#This Row],[Military]]/TblPop[[#This Row],[Total]]</f>
        <v>0.60687732342007439</v>
      </c>
      <c r="H90" s="140">
        <f ca="1">MIN(TblPop[[#This Row],[Peasants]],TblPop[[#This Row],[Jobs]])</f>
        <v>423</v>
      </c>
      <c r="I90" s="139">
        <f ca="1">MIN(OFFSET(TblPop[[#This Row],[Jobs]],1,0)/TblPop[[#This Row],[Peasants]],1)</f>
        <v>1</v>
      </c>
      <c r="J90" s="140">
        <f ca="1">SUM(TblConstr[[#This Row],[Tot Alc]:[Tot GT]],TblConstr[[#This Row],[Tot Shr]:[Tot Doc]],TblConstr[[#This Row],[Dest Alc]:[Dest GT]],TblConstr[[#This Row],[Dest Shr]:[Dest Doc]])*building_employment + TblConstr[[#This Row],[Tot Fac]]*bonus_jobs_facts</f>
        <v>1000</v>
      </c>
      <c r="K90" s="141"/>
      <c r="L90" s="61">
        <f ca="1">TblPop[[#This Row],[Draftees]]</f>
        <v>653</v>
      </c>
      <c r="M90" s="61">
        <f ca="1">TblMili[[#This Row],[Unit 1]]</f>
        <v>0</v>
      </c>
      <c r="N90" s="61">
        <f ca="1">TblMili[[#This Row],[Unit 2]]</f>
        <v>0</v>
      </c>
      <c r="O90" s="61">
        <f ca="1">TblMili[[#This Row],[Unit 3]]</f>
        <v>0</v>
      </c>
      <c r="P90" s="61">
        <f ca="1">TblMili[[#This Row],[Unit 4]]</f>
        <v>0</v>
      </c>
      <c r="Q90" s="61">
        <f ca="1">TblMili[[#This Row],[Spies]]</f>
        <v>0</v>
      </c>
      <c r="R90" s="61">
        <f ca="1">TblMili[[#This Row],[Wizards]]</f>
        <v>0</v>
      </c>
      <c r="S90" s="61">
        <f ca="1">TblMili[[#This Row],[Archmages]]</f>
        <v>0</v>
      </c>
      <c r="T90" s="142"/>
      <c r="U90" s="94">
        <f ca="1">ROUND(TblPop[[#This Row],[Raw max]]*(1+OFFSET(TblPop[[#This Row],[Max pop]],-1,0)),0)+MIN(TblPop[[#This Row],[Military]]-TblPop[[#This Row],[Draftees]]-SUM(TblMili[[#This Row],[Train Unit 1]:[Train AM]]),(barracks_size + tech_8_3*TblTech[[#This Row],[8-3]])*TblConstr[[#This Row],[Tot Bar]])</f>
        <v>1076</v>
      </c>
      <c r="V9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0" s="94">
        <f ca="1">MAX(-5%*TblPop[[#This Row],[Peasants]]-TblPop[[#This Row],[Draft Growth]],MIN(OFFSET(TblPop[[#This Row],[Net max]],1,0)-TblPop[[#This Row],[Peasants]]-TblPop[[#This Row],[Military]]-TblPop[[#This Row],[Draft Growth]],TblPop[[#This Row],[Modded Birth]]-TblPop[[#This Row],[Draft Growth]]))</f>
        <v>-4</v>
      </c>
      <c r="X90" s="94">
        <f ca="1">ROUND(TblPop[[#This Row],[Raw Birth]]*(1+TblPop[[#This Row],[Growth]]),0)</f>
        <v>13</v>
      </c>
      <c r="Y90" s="94">
        <f ca="1">(TblPop[[#This Row],[Peasants]]-TblPop[[#This Row],[Draft Growth]])*raw_pop_growth</f>
        <v>12.57</v>
      </c>
      <c r="Z90" s="94">
        <f ca="1">ROUND(IF(TblPop[[#This Row],[Military%]]&lt;TblMili[[#This Row],[Draftrate]],ROUND(TblPop[[#This Row],[Peasants]]*Constants!$B$55,0), 0) * IF(AND(TblMagic[[#This Row],[Active DnD]]&lt;=12,TblMagic[[#This Row],[Active DnD]]&gt;6),1.6,1),0)</f>
        <v>4</v>
      </c>
      <c r="AA90" s="142"/>
      <c r="AB90" s="143">
        <f ca="1">Overview!$I$17 + IF(Magic!AF90&gt;0,Constants!$F$78) + ROUND(6*(Construction!BM91+Construction!CK90)/IF(Explore!S91&gt;0,Construction!F91-20,Construction!F91),4) + tech_6_5_2*Techs!BJ90 + tech_8_4*Techs!BT90</f>
        <v>0</v>
      </c>
      <c r="AC90" s="139">
        <f ca="1">(Overview!$I$16 + Imps!Z90+ tech_2_5*Techs!AB90 + tech_3_6*Techs!AM90 + tech_6_1*Techs!BJ90 + tech_6_5*Techs!BF90 + tech_7_3_2*Techs!BN90) * (1 + Production!O90/100*prestige_pop_multiplier) + Production!O90/100*prestige_pop_multiplier</f>
        <v>2.5000000000000001E-2</v>
      </c>
    </row>
    <row r="91" spans="1:29" x14ac:dyDescent="0.2">
      <c r="A91" s="137">
        <f>TblRezone[[#This Row],[Hour]]</f>
        <v>88</v>
      </c>
      <c r="B91" s="138">
        <f ca="1">TblImps[[#This Row],[Time]]</f>
        <v>46050.624999999789</v>
      </c>
      <c r="C91" s="94">
        <f ca="1">OFFSET(TblPop[[#This Row],[Peasants]],-1,0)+OFFSET(TblPop[[#This Row],[Net Peasant]],-1,0)+TblMili[[#This Row],[Release Draft]]</f>
        <v>419</v>
      </c>
      <c r="D91" s="94">
        <f ca="1">TblMili[[#This Row],[Military]]</f>
        <v>657</v>
      </c>
      <c r="E91" s="94">
        <f ca="1">TblMili[[#This Row],[Draftees]]</f>
        <v>657</v>
      </c>
      <c r="F91" s="94">
        <f ca="1">TblPop[[#This Row],[Peasants]]+TblPop[[#This Row],[Military]]</f>
        <v>1076</v>
      </c>
      <c r="G91" s="139">
        <f ca="1">TblPop[[#This Row],[Military]]/TblPop[[#This Row],[Total]]</f>
        <v>0.61059479553903351</v>
      </c>
      <c r="H91" s="140">
        <f ca="1">MIN(TblPop[[#This Row],[Peasants]],TblPop[[#This Row],[Jobs]])</f>
        <v>419</v>
      </c>
      <c r="I91" s="139">
        <f ca="1">MIN(OFFSET(TblPop[[#This Row],[Jobs]],1,0)/TblPop[[#This Row],[Peasants]],1)</f>
        <v>1</v>
      </c>
      <c r="J91" s="140">
        <f ca="1">SUM(TblConstr[[#This Row],[Tot Alc]:[Tot GT]],TblConstr[[#This Row],[Tot Shr]:[Tot Doc]],TblConstr[[#This Row],[Dest Alc]:[Dest GT]],TblConstr[[#This Row],[Dest Shr]:[Dest Doc]])*building_employment + TblConstr[[#This Row],[Tot Fac]]*bonus_jobs_facts</f>
        <v>1000</v>
      </c>
      <c r="K91" s="141"/>
      <c r="L91" s="61">
        <f ca="1">TblPop[[#This Row],[Draftees]]</f>
        <v>657</v>
      </c>
      <c r="M91" s="61">
        <f ca="1">TblMili[[#This Row],[Unit 1]]</f>
        <v>0</v>
      </c>
      <c r="N91" s="61">
        <f ca="1">TblMili[[#This Row],[Unit 2]]</f>
        <v>0</v>
      </c>
      <c r="O91" s="61">
        <f ca="1">TblMili[[#This Row],[Unit 3]]</f>
        <v>0</v>
      </c>
      <c r="P91" s="61">
        <f ca="1">TblMili[[#This Row],[Unit 4]]</f>
        <v>0</v>
      </c>
      <c r="Q91" s="61">
        <f ca="1">TblMili[[#This Row],[Spies]]</f>
        <v>0</v>
      </c>
      <c r="R91" s="61">
        <f ca="1">TblMili[[#This Row],[Wizards]]</f>
        <v>0</v>
      </c>
      <c r="S91" s="61">
        <f ca="1">TblMili[[#This Row],[Archmages]]</f>
        <v>0</v>
      </c>
      <c r="T91" s="142"/>
      <c r="U91" s="94">
        <f ca="1">ROUND(TblPop[[#This Row],[Raw max]]*(1+OFFSET(TblPop[[#This Row],[Max pop]],-1,0)),0)+MIN(TblPop[[#This Row],[Military]]-TblPop[[#This Row],[Draftees]]-SUM(TblMili[[#This Row],[Train Unit 1]:[Train AM]]),(barracks_size + tech_8_3*TblTech[[#This Row],[8-3]])*TblConstr[[#This Row],[Tot Bar]])</f>
        <v>1076</v>
      </c>
      <c r="V9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1" s="94">
        <f ca="1">MAX(-5%*TblPop[[#This Row],[Peasants]]-TblPop[[#This Row],[Draft Growth]],MIN(OFFSET(TblPop[[#This Row],[Net max]],1,0)-TblPop[[#This Row],[Peasants]]-TblPop[[#This Row],[Military]]-TblPop[[#This Row],[Draft Growth]],TblPop[[#This Row],[Modded Birth]]-TblPop[[#This Row],[Draft Growth]]))</f>
        <v>-4</v>
      </c>
      <c r="X91" s="94">
        <f ca="1">ROUND(TblPop[[#This Row],[Raw Birth]]*(1+TblPop[[#This Row],[Growth]]),0)</f>
        <v>12</v>
      </c>
      <c r="Y91" s="94">
        <f ca="1">(TblPop[[#This Row],[Peasants]]-TblPop[[#This Row],[Draft Growth]])*raw_pop_growth</f>
        <v>12.45</v>
      </c>
      <c r="Z91" s="94">
        <f ca="1">ROUND(IF(TblPop[[#This Row],[Military%]]&lt;TblMili[[#This Row],[Draftrate]],ROUND(TblPop[[#This Row],[Peasants]]*Constants!$B$55,0), 0) * IF(AND(TblMagic[[#This Row],[Active DnD]]&lt;=12,TblMagic[[#This Row],[Active DnD]]&gt;6),1.6,1),0)</f>
        <v>4</v>
      </c>
      <c r="AA91" s="142"/>
      <c r="AB91" s="143">
        <f ca="1">Overview!$I$17 + IF(Magic!AF91&gt;0,Constants!$F$78) + ROUND(6*(Construction!BM92+Construction!CK91)/IF(Explore!S92&gt;0,Construction!F92-20,Construction!F92),4) + tech_6_5_2*Techs!BJ91 + tech_8_4*Techs!BT91</f>
        <v>0</v>
      </c>
      <c r="AC91" s="139">
        <f ca="1">(Overview!$I$16 + Imps!Z91+ tech_2_5*Techs!AB91 + tech_3_6*Techs!AM91 + tech_6_1*Techs!BJ91 + tech_6_5*Techs!BF91 + tech_7_3_2*Techs!BN91) * (1 + Production!O91/100*prestige_pop_multiplier) + Production!O91/100*prestige_pop_multiplier</f>
        <v>2.5000000000000001E-2</v>
      </c>
    </row>
    <row r="92" spans="1:29" x14ac:dyDescent="0.2">
      <c r="A92" s="137">
        <f>TblRezone[[#This Row],[Hour]]</f>
        <v>89</v>
      </c>
      <c r="B92" s="138">
        <f ca="1">TblImps[[#This Row],[Time]]</f>
        <v>46050.666666666453</v>
      </c>
      <c r="C92" s="94">
        <f ca="1">OFFSET(TblPop[[#This Row],[Peasants]],-1,0)+OFFSET(TblPop[[#This Row],[Net Peasant]],-1,0)+TblMili[[#This Row],[Release Draft]]</f>
        <v>415</v>
      </c>
      <c r="D92" s="94">
        <f ca="1">TblMili[[#This Row],[Military]]</f>
        <v>661</v>
      </c>
      <c r="E92" s="94">
        <f ca="1">TblMili[[#This Row],[Draftees]]</f>
        <v>661</v>
      </c>
      <c r="F92" s="94">
        <f ca="1">TblPop[[#This Row],[Peasants]]+TblPop[[#This Row],[Military]]</f>
        <v>1076</v>
      </c>
      <c r="G92" s="139">
        <f ca="1">TblPop[[#This Row],[Military]]/TblPop[[#This Row],[Total]]</f>
        <v>0.61431226765799252</v>
      </c>
      <c r="H92" s="140">
        <f ca="1">MIN(TblPop[[#This Row],[Peasants]],TblPop[[#This Row],[Jobs]])</f>
        <v>415</v>
      </c>
      <c r="I92" s="139">
        <f ca="1">MIN(OFFSET(TblPop[[#This Row],[Jobs]],1,0)/TblPop[[#This Row],[Peasants]],1)</f>
        <v>1</v>
      </c>
      <c r="J92" s="140">
        <f ca="1">SUM(TblConstr[[#This Row],[Tot Alc]:[Tot GT]],TblConstr[[#This Row],[Tot Shr]:[Tot Doc]],TblConstr[[#This Row],[Dest Alc]:[Dest GT]],TblConstr[[#This Row],[Dest Shr]:[Dest Doc]])*building_employment + TblConstr[[#This Row],[Tot Fac]]*bonus_jobs_facts</f>
        <v>1000</v>
      </c>
      <c r="K92" s="141"/>
      <c r="L92" s="61">
        <f ca="1">TblPop[[#This Row],[Draftees]]</f>
        <v>661</v>
      </c>
      <c r="M92" s="61">
        <f ca="1">TblMili[[#This Row],[Unit 1]]</f>
        <v>0</v>
      </c>
      <c r="N92" s="61">
        <f ca="1">TblMili[[#This Row],[Unit 2]]</f>
        <v>0</v>
      </c>
      <c r="O92" s="61">
        <f ca="1">TblMili[[#This Row],[Unit 3]]</f>
        <v>0</v>
      </c>
      <c r="P92" s="61">
        <f ca="1">TblMili[[#This Row],[Unit 4]]</f>
        <v>0</v>
      </c>
      <c r="Q92" s="61">
        <f ca="1">TblMili[[#This Row],[Spies]]</f>
        <v>0</v>
      </c>
      <c r="R92" s="61">
        <f ca="1">TblMili[[#This Row],[Wizards]]</f>
        <v>0</v>
      </c>
      <c r="S92" s="61">
        <f ca="1">TblMili[[#This Row],[Archmages]]</f>
        <v>0</v>
      </c>
      <c r="T92" s="142"/>
      <c r="U92" s="94">
        <f ca="1">ROUND(TblPop[[#This Row],[Raw max]]*(1+OFFSET(TblPop[[#This Row],[Max pop]],-1,0)),0)+MIN(TblPop[[#This Row],[Military]]-TblPop[[#This Row],[Draftees]]-SUM(TblMili[[#This Row],[Train Unit 1]:[Train AM]]),(barracks_size + tech_8_3*TblTech[[#This Row],[8-3]])*TblConstr[[#This Row],[Tot Bar]])</f>
        <v>1076</v>
      </c>
      <c r="V9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2" s="94">
        <f ca="1">MAX(-5%*TblPop[[#This Row],[Peasants]]-TblPop[[#This Row],[Draft Growth]],MIN(OFFSET(TblPop[[#This Row],[Net max]],1,0)-TblPop[[#This Row],[Peasants]]-TblPop[[#This Row],[Military]]-TblPop[[#This Row],[Draft Growth]],TblPop[[#This Row],[Modded Birth]]-TblPop[[#This Row],[Draft Growth]]))</f>
        <v>-4</v>
      </c>
      <c r="X92" s="94">
        <f ca="1">ROUND(TblPop[[#This Row],[Raw Birth]]*(1+TblPop[[#This Row],[Growth]]),0)</f>
        <v>12</v>
      </c>
      <c r="Y92" s="94">
        <f ca="1">(TblPop[[#This Row],[Peasants]]-TblPop[[#This Row],[Draft Growth]])*raw_pop_growth</f>
        <v>12.33</v>
      </c>
      <c r="Z92" s="94">
        <f ca="1">ROUND(IF(TblPop[[#This Row],[Military%]]&lt;TblMili[[#This Row],[Draftrate]],ROUND(TblPop[[#This Row],[Peasants]]*Constants!$B$55,0), 0) * IF(AND(TblMagic[[#This Row],[Active DnD]]&lt;=12,TblMagic[[#This Row],[Active DnD]]&gt;6),1.6,1),0)</f>
        <v>4</v>
      </c>
      <c r="AA92" s="142"/>
      <c r="AB92" s="143">
        <f ca="1">Overview!$I$17 + IF(Magic!AF92&gt;0,Constants!$F$78) + ROUND(6*(Construction!BM93+Construction!CK92)/IF(Explore!S93&gt;0,Construction!F93-20,Construction!F93),4) + tech_6_5_2*Techs!BJ92 + tech_8_4*Techs!BT92</f>
        <v>0</v>
      </c>
      <c r="AC92" s="139">
        <f ca="1">(Overview!$I$16 + Imps!Z92+ tech_2_5*Techs!AB92 + tech_3_6*Techs!AM92 + tech_6_1*Techs!BJ92 + tech_6_5*Techs!BF92 + tech_7_3_2*Techs!BN92) * (1 + Production!O92/100*prestige_pop_multiplier) + Production!O92/100*prestige_pop_multiplier</f>
        <v>2.5000000000000001E-2</v>
      </c>
    </row>
    <row r="93" spans="1:29" x14ac:dyDescent="0.2">
      <c r="A93" s="137">
        <f>TblRezone[[#This Row],[Hour]]</f>
        <v>90</v>
      </c>
      <c r="B93" s="138">
        <f ca="1">TblImps[[#This Row],[Time]]</f>
        <v>46050.708333333117</v>
      </c>
      <c r="C93" s="94">
        <f ca="1">OFFSET(TblPop[[#This Row],[Peasants]],-1,0)+OFFSET(TblPop[[#This Row],[Net Peasant]],-1,0)+TblMili[[#This Row],[Release Draft]]</f>
        <v>411</v>
      </c>
      <c r="D93" s="94">
        <f ca="1">TblMili[[#This Row],[Military]]</f>
        <v>665</v>
      </c>
      <c r="E93" s="94">
        <f ca="1">TblMili[[#This Row],[Draftees]]</f>
        <v>665</v>
      </c>
      <c r="F93" s="94">
        <f ca="1">TblPop[[#This Row],[Peasants]]+TblPop[[#This Row],[Military]]</f>
        <v>1076</v>
      </c>
      <c r="G93" s="139">
        <f ca="1">TblPop[[#This Row],[Military]]/TblPop[[#This Row],[Total]]</f>
        <v>0.61802973977695164</v>
      </c>
      <c r="H93" s="140">
        <f ca="1">MIN(TblPop[[#This Row],[Peasants]],TblPop[[#This Row],[Jobs]])</f>
        <v>411</v>
      </c>
      <c r="I93" s="139">
        <f ca="1">MIN(OFFSET(TblPop[[#This Row],[Jobs]],1,0)/TblPop[[#This Row],[Peasants]],1)</f>
        <v>1</v>
      </c>
      <c r="J93" s="140">
        <f ca="1">SUM(TblConstr[[#This Row],[Tot Alc]:[Tot GT]],TblConstr[[#This Row],[Tot Shr]:[Tot Doc]],TblConstr[[#This Row],[Dest Alc]:[Dest GT]],TblConstr[[#This Row],[Dest Shr]:[Dest Doc]])*building_employment + TblConstr[[#This Row],[Tot Fac]]*bonus_jobs_facts</f>
        <v>1000</v>
      </c>
      <c r="K93" s="141"/>
      <c r="L93" s="61">
        <f ca="1">TblPop[[#This Row],[Draftees]]</f>
        <v>665</v>
      </c>
      <c r="M93" s="61">
        <f ca="1">TblMili[[#This Row],[Unit 1]]</f>
        <v>0</v>
      </c>
      <c r="N93" s="61">
        <f ca="1">TblMili[[#This Row],[Unit 2]]</f>
        <v>0</v>
      </c>
      <c r="O93" s="61">
        <f ca="1">TblMili[[#This Row],[Unit 3]]</f>
        <v>0</v>
      </c>
      <c r="P93" s="61">
        <f ca="1">TblMili[[#This Row],[Unit 4]]</f>
        <v>0</v>
      </c>
      <c r="Q93" s="61">
        <f ca="1">TblMili[[#This Row],[Spies]]</f>
        <v>0</v>
      </c>
      <c r="R93" s="61">
        <f ca="1">TblMili[[#This Row],[Wizards]]</f>
        <v>0</v>
      </c>
      <c r="S93" s="61">
        <f ca="1">TblMili[[#This Row],[Archmages]]</f>
        <v>0</v>
      </c>
      <c r="T93" s="142"/>
      <c r="U93" s="94">
        <f ca="1">ROUND(TblPop[[#This Row],[Raw max]]*(1+OFFSET(TblPop[[#This Row],[Max pop]],-1,0)),0)+MIN(TblPop[[#This Row],[Military]]-TblPop[[#This Row],[Draftees]]-SUM(TblMili[[#This Row],[Train Unit 1]:[Train AM]]),(barracks_size + tech_8_3*TblTech[[#This Row],[8-3]])*TblConstr[[#This Row],[Tot Bar]])</f>
        <v>1076</v>
      </c>
      <c r="V9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3" s="94">
        <f ca="1">MAX(-5%*TblPop[[#This Row],[Peasants]]-TblPop[[#This Row],[Draft Growth]],MIN(OFFSET(TblPop[[#This Row],[Net max]],1,0)-TblPop[[#This Row],[Peasants]]-TblPop[[#This Row],[Military]]-TblPop[[#This Row],[Draft Growth]],TblPop[[#This Row],[Modded Birth]]-TblPop[[#This Row],[Draft Growth]]))</f>
        <v>-4</v>
      </c>
      <c r="X93" s="94">
        <f ca="1">ROUND(TblPop[[#This Row],[Raw Birth]]*(1+TblPop[[#This Row],[Growth]]),0)</f>
        <v>12</v>
      </c>
      <c r="Y93" s="94">
        <f ca="1">(TblPop[[#This Row],[Peasants]]-TblPop[[#This Row],[Draft Growth]])*raw_pop_growth</f>
        <v>12.209999999999999</v>
      </c>
      <c r="Z93" s="94">
        <f ca="1">ROUND(IF(TblPop[[#This Row],[Military%]]&lt;TblMili[[#This Row],[Draftrate]],ROUND(TblPop[[#This Row],[Peasants]]*Constants!$B$55,0), 0) * IF(AND(TblMagic[[#This Row],[Active DnD]]&lt;=12,TblMagic[[#This Row],[Active DnD]]&gt;6),1.6,1),0)</f>
        <v>4</v>
      </c>
      <c r="AA93" s="142"/>
      <c r="AB93" s="143">
        <f ca="1">Overview!$I$17 + IF(Magic!AF93&gt;0,Constants!$F$78) + ROUND(6*(Construction!BM94+Construction!CK93)/IF(Explore!S94&gt;0,Construction!F94-20,Construction!F94),4) + tech_6_5_2*Techs!BJ93 + tech_8_4*Techs!BT93</f>
        <v>0</v>
      </c>
      <c r="AC93" s="139">
        <f ca="1">(Overview!$I$16 + Imps!Z93+ tech_2_5*Techs!AB93 + tech_3_6*Techs!AM93 + tech_6_1*Techs!BJ93 + tech_6_5*Techs!BF93 + tech_7_3_2*Techs!BN93) * (1 + Production!O93/100*prestige_pop_multiplier) + Production!O93/100*prestige_pop_multiplier</f>
        <v>2.5000000000000001E-2</v>
      </c>
    </row>
    <row r="94" spans="1:29" x14ac:dyDescent="0.2">
      <c r="A94" s="137">
        <f>TblRezone[[#This Row],[Hour]]</f>
        <v>91</v>
      </c>
      <c r="B94" s="138">
        <f ca="1">TblImps[[#This Row],[Time]]</f>
        <v>46050.749999999782</v>
      </c>
      <c r="C94" s="94">
        <f ca="1">OFFSET(TblPop[[#This Row],[Peasants]],-1,0)+OFFSET(TblPop[[#This Row],[Net Peasant]],-1,0)+TblMili[[#This Row],[Release Draft]]</f>
        <v>407</v>
      </c>
      <c r="D94" s="94">
        <f ca="1">TblMili[[#This Row],[Military]]</f>
        <v>669</v>
      </c>
      <c r="E94" s="94">
        <f ca="1">TblMili[[#This Row],[Draftees]]</f>
        <v>669</v>
      </c>
      <c r="F94" s="94">
        <f ca="1">TblPop[[#This Row],[Peasants]]+TblPop[[#This Row],[Military]]</f>
        <v>1076</v>
      </c>
      <c r="G94" s="139">
        <f ca="1">TblPop[[#This Row],[Military]]/TblPop[[#This Row],[Total]]</f>
        <v>0.62174721189591076</v>
      </c>
      <c r="H94" s="140">
        <f ca="1">MIN(TblPop[[#This Row],[Peasants]],TblPop[[#This Row],[Jobs]])</f>
        <v>407</v>
      </c>
      <c r="I94" s="139">
        <f ca="1">MIN(OFFSET(TblPop[[#This Row],[Jobs]],1,0)/TblPop[[#This Row],[Peasants]],1)</f>
        <v>1</v>
      </c>
      <c r="J94" s="140">
        <f ca="1">SUM(TblConstr[[#This Row],[Tot Alc]:[Tot GT]],TblConstr[[#This Row],[Tot Shr]:[Tot Doc]],TblConstr[[#This Row],[Dest Alc]:[Dest GT]],TblConstr[[#This Row],[Dest Shr]:[Dest Doc]])*building_employment + TblConstr[[#This Row],[Tot Fac]]*bonus_jobs_facts</f>
        <v>1000</v>
      </c>
      <c r="K94" s="141"/>
      <c r="L94" s="61">
        <f ca="1">TblPop[[#This Row],[Draftees]]</f>
        <v>669</v>
      </c>
      <c r="M94" s="61">
        <f ca="1">TblMili[[#This Row],[Unit 1]]</f>
        <v>0</v>
      </c>
      <c r="N94" s="61">
        <f ca="1">TblMili[[#This Row],[Unit 2]]</f>
        <v>0</v>
      </c>
      <c r="O94" s="61">
        <f ca="1">TblMili[[#This Row],[Unit 3]]</f>
        <v>0</v>
      </c>
      <c r="P94" s="61">
        <f ca="1">TblMili[[#This Row],[Unit 4]]</f>
        <v>0</v>
      </c>
      <c r="Q94" s="61">
        <f ca="1">TblMili[[#This Row],[Spies]]</f>
        <v>0</v>
      </c>
      <c r="R94" s="61">
        <f ca="1">TblMili[[#This Row],[Wizards]]</f>
        <v>0</v>
      </c>
      <c r="S94" s="61">
        <f ca="1">TblMili[[#This Row],[Archmages]]</f>
        <v>0</v>
      </c>
      <c r="T94" s="142"/>
      <c r="U94" s="94">
        <f ca="1">ROUND(TblPop[[#This Row],[Raw max]]*(1+OFFSET(TblPop[[#This Row],[Max pop]],-1,0)),0)+MIN(TblPop[[#This Row],[Military]]-TblPop[[#This Row],[Draftees]]-SUM(TblMili[[#This Row],[Train Unit 1]:[Train AM]]),(barracks_size + tech_8_3*TblTech[[#This Row],[8-3]])*TblConstr[[#This Row],[Tot Bar]])</f>
        <v>1076</v>
      </c>
      <c r="V9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4" s="94">
        <f ca="1">MAX(-5%*TblPop[[#This Row],[Peasants]]-TblPop[[#This Row],[Draft Growth]],MIN(OFFSET(TblPop[[#This Row],[Net max]],1,0)-TblPop[[#This Row],[Peasants]]-TblPop[[#This Row],[Military]]-TblPop[[#This Row],[Draft Growth]],TblPop[[#This Row],[Modded Birth]]-TblPop[[#This Row],[Draft Growth]]))</f>
        <v>-4</v>
      </c>
      <c r="X94" s="94">
        <f ca="1">ROUND(TblPop[[#This Row],[Raw Birth]]*(1+TblPop[[#This Row],[Growth]]),0)</f>
        <v>12</v>
      </c>
      <c r="Y94" s="94">
        <f ca="1">(TblPop[[#This Row],[Peasants]]-TblPop[[#This Row],[Draft Growth]])*raw_pop_growth</f>
        <v>12.09</v>
      </c>
      <c r="Z94" s="94">
        <f ca="1">ROUND(IF(TblPop[[#This Row],[Military%]]&lt;TblMili[[#This Row],[Draftrate]],ROUND(TblPop[[#This Row],[Peasants]]*Constants!$B$55,0), 0) * IF(AND(TblMagic[[#This Row],[Active DnD]]&lt;=12,TblMagic[[#This Row],[Active DnD]]&gt;6),1.6,1),0)</f>
        <v>4</v>
      </c>
      <c r="AA94" s="142"/>
      <c r="AB94" s="143">
        <f ca="1">Overview!$I$17 + IF(Magic!AF94&gt;0,Constants!$F$78) + ROUND(6*(Construction!BM95+Construction!CK94)/IF(Explore!S95&gt;0,Construction!F95-20,Construction!F95),4) + tech_6_5_2*Techs!BJ94 + tech_8_4*Techs!BT94</f>
        <v>0</v>
      </c>
      <c r="AC94" s="139">
        <f ca="1">(Overview!$I$16 + Imps!Z94+ tech_2_5*Techs!AB94 + tech_3_6*Techs!AM94 + tech_6_1*Techs!BJ94 + tech_6_5*Techs!BF94 + tech_7_3_2*Techs!BN94) * (1 + Production!O94/100*prestige_pop_multiplier) + Production!O94/100*prestige_pop_multiplier</f>
        <v>2.5000000000000001E-2</v>
      </c>
    </row>
    <row r="95" spans="1:29" x14ac:dyDescent="0.2">
      <c r="A95" s="137">
        <f>TblRezone[[#This Row],[Hour]]</f>
        <v>92</v>
      </c>
      <c r="B95" s="138">
        <f ca="1">TblImps[[#This Row],[Time]]</f>
        <v>46050.791666666446</v>
      </c>
      <c r="C95" s="94">
        <f ca="1">OFFSET(TblPop[[#This Row],[Peasants]],-1,0)+OFFSET(TblPop[[#This Row],[Net Peasant]],-1,0)+TblMili[[#This Row],[Release Draft]]</f>
        <v>403</v>
      </c>
      <c r="D95" s="94">
        <f ca="1">TblMili[[#This Row],[Military]]</f>
        <v>673</v>
      </c>
      <c r="E95" s="94">
        <f ca="1">TblMili[[#This Row],[Draftees]]</f>
        <v>673</v>
      </c>
      <c r="F95" s="94">
        <f ca="1">TblPop[[#This Row],[Peasants]]+TblPop[[#This Row],[Military]]</f>
        <v>1076</v>
      </c>
      <c r="G95" s="139">
        <f ca="1">TblPop[[#This Row],[Military]]/TblPop[[#This Row],[Total]]</f>
        <v>0.62546468401486988</v>
      </c>
      <c r="H95" s="140">
        <f ca="1">MIN(TblPop[[#This Row],[Peasants]],TblPop[[#This Row],[Jobs]])</f>
        <v>403</v>
      </c>
      <c r="I95" s="139">
        <f ca="1">MIN(OFFSET(TblPop[[#This Row],[Jobs]],1,0)/TblPop[[#This Row],[Peasants]],1)</f>
        <v>1</v>
      </c>
      <c r="J95" s="140">
        <f ca="1">SUM(TblConstr[[#This Row],[Tot Alc]:[Tot GT]],TblConstr[[#This Row],[Tot Shr]:[Tot Doc]],TblConstr[[#This Row],[Dest Alc]:[Dest GT]],TblConstr[[#This Row],[Dest Shr]:[Dest Doc]])*building_employment + TblConstr[[#This Row],[Tot Fac]]*bonus_jobs_facts</f>
        <v>1000</v>
      </c>
      <c r="K95" s="141"/>
      <c r="L95" s="61">
        <f ca="1">TblPop[[#This Row],[Draftees]]</f>
        <v>673</v>
      </c>
      <c r="M95" s="61">
        <f ca="1">TblMili[[#This Row],[Unit 1]]</f>
        <v>0</v>
      </c>
      <c r="N95" s="61">
        <f ca="1">TblMili[[#This Row],[Unit 2]]</f>
        <v>0</v>
      </c>
      <c r="O95" s="61">
        <f ca="1">TblMili[[#This Row],[Unit 3]]</f>
        <v>0</v>
      </c>
      <c r="P95" s="61">
        <f ca="1">TblMili[[#This Row],[Unit 4]]</f>
        <v>0</v>
      </c>
      <c r="Q95" s="61">
        <f ca="1">TblMili[[#This Row],[Spies]]</f>
        <v>0</v>
      </c>
      <c r="R95" s="61">
        <f ca="1">TblMili[[#This Row],[Wizards]]</f>
        <v>0</v>
      </c>
      <c r="S95" s="61">
        <f ca="1">TblMili[[#This Row],[Archmages]]</f>
        <v>0</v>
      </c>
      <c r="T95" s="142"/>
      <c r="U95" s="94">
        <f ca="1">ROUND(TblPop[[#This Row],[Raw max]]*(1+OFFSET(TblPop[[#This Row],[Max pop]],-1,0)),0)+MIN(TblPop[[#This Row],[Military]]-TblPop[[#This Row],[Draftees]]-SUM(TblMili[[#This Row],[Train Unit 1]:[Train AM]]),(barracks_size + tech_8_3*TblTech[[#This Row],[8-3]])*TblConstr[[#This Row],[Tot Bar]])</f>
        <v>1076</v>
      </c>
      <c r="V9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5" s="94">
        <f ca="1">MAX(-5%*TblPop[[#This Row],[Peasants]]-TblPop[[#This Row],[Draft Growth]],MIN(OFFSET(TblPop[[#This Row],[Net max]],1,0)-TblPop[[#This Row],[Peasants]]-TblPop[[#This Row],[Military]]-TblPop[[#This Row],[Draft Growth]],TblPop[[#This Row],[Modded Birth]]-TblPop[[#This Row],[Draft Growth]]))</f>
        <v>-4</v>
      </c>
      <c r="X95" s="94">
        <f ca="1">ROUND(TblPop[[#This Row],[Raw Birth]]*(1+TblPop[[#This Row],[Growth]]),0)</f>
        <v>12</v>
      </c>
      <c r="Y95" s="94">
        <f ca="1">(TblPop[[#This Row],[Peasants]]-TblPop[[#This Row],[Draft Growth]])*raw_pop_growth</f>
        <v>11.969999999999999</v>
      </c>
      <c r="Z95" s="94">
        <f ca="1">ROUND(IF(TblPop[[#This Row],[Military%]]&lt;TblMili[[#This Row],[Draftrate]],ROUND(TblPop[[#This Row],[Peasants]]*Constants!$B$55,0), 0) * IF(AND(TblMagic[[#This Row],[Active DnD]]&lt;=12,TblMagic[[#This Row],[Active DnD]]&gt;6),1.6,1),0)</f>
        <v>4</v>
      </c>
      <c r="AA95" s="142"/>
      <c r="AB95" s="143">
        <f ca="1">Overview!$I$17 + IF(Magic!AF95&gt;0,Constants!$F$78) + ROUND(6*(Construction!BM96+Construction!CK95)/IF(Explore!S96&gt;0,Construction!F96-20,Construction!F96),4) + tech_6_5_2*Techs!BJ95 + tech_8_4*Techs!BT95</f>
        <v>0</v>
      </c>
      <c r="AC95" s="139">
        <f ca="1">(Overview!$I$16 + Imps!Z95+ tech_2_5*Techs!AB95 + tech_3_6*Techs!AM95 + tech_6_1*Techs!BJ95 + tech_6_5*Techs!BF95 + tech_7_3_2*Techs!BN95) * (1 + Production!O95/100*prestige_pop_multiplier) + Production!O95/100*prestige_pop_multiplier</f>
        <v>2.5000000000000001E-2</v>
      </c>
    </row>
    <row r="96" spans="1:29" x14ac:dyDescent="0.2">
      <c r="A96" s="137">
        <f>TblRezone[[#This Row],[Hour]]</f>
        <v>93</v>
      </c>
      <c r="B96" s="138">
        <f ca="1">TblImps[[#This Row],[Time]]</f>
        <v>46050.83333333311</v>
      </c>
      <c r="C96" s="94">
        <f ca="1">OFFSET(TblPop[[#This Row],[Peasants]],-1,0)+OFFSET(TblPop[[#This Row],[Net Peasant]],-1,0)+TblMili[[#This Row],[Release Draft]]</f>
        <v>399</v>
      </c>
      <c r="D96" s="94">
        <f ca="1">TblMili[[#This Row],[Military]]</f>
        <v>677</v>
      </c>
      <c r="E96" s="94">
        <f ca="1">TblMili[[#This Row],[Draftees]]</f>
        <v>677</v>
      </c>
      <c r="F96" s="94">
        <f ca="1">TblPop[[#This Row],[Peasants]]+TblPop[[#This Row],[Military]]</f>
        <v>1076</v>
      </c>
      <c r="G96" s="139">
        <f ca="1">TblPop[[#This Row],[Military]]/TblPop[[#This Row],[Total]]</f>
        <v>0.629182156133829</v>
      </c>
      <c r="H96" s="140">
        <f ca="1">MIN(TblPop[[#This Row],[Peasants]],TblPop[[#This Row],[Jobs]])</f>
        <v>399</v>
      </c>
      <c r="I96" s="139">
        <f ca="1">MIN(OFFSET(TblPop[[#This Row],[Jobs]],1,0)/TblPop[[#This Row],[Peasants]],1)</f>
        <v>1</v>
      </c>
      <c r="J96" s="140">
        <f ca="1">SUM(TblConstr[[#This Row],[Tot Alc]:[Tot GT]],TblConstr[[#This Row],[Tot Shr]:[Tot Doc]],TblConstr[[#This Row],[Dest Alc]:[Dest GT]],TblConstr[[#This Row],[Dest Shr]:[Dest Doc]])*building_employment + TblConstr[[#This Row],[Tot Fac]]*bonus_jobs_facts</f>
        <v>1000</v>
      </c>
      <c r="K96" s="141"/>
      <c r="L96" s="61">
        <f ca="1">TblPop[[#This Row],[Draftees]]</f>
        <v>677</v>
      </c>
      <c r="M96" s="61">
        <f ca="1">TblMili[[#This Row],[Unit 1]]</f>
        <v>0</v>
      </c>
      <c r="N96" s="61">
        <f ca="1">TblMili[[#This Row],[Unit 2]]</f>
        <v>0</v>
      </c>
      <c r="O96" s="61">
        <f ca="1">TblMili[[#This Row],[Unit 3]]</f>
        <v>0</v>
      </c>
      <c r="P96" s="61">
        <f ca="1">TblMili[[#This Row],[Unit 4]]</f>
        <v>0</v>
      </c>
      <c r="Q96" s="61">
        <f ca="1">TblMili[[#This Row],[Spies]]</f>
        <v>0</v>
      </c>
      <c r="R96" s="61">
        <f ca="1">TblMili[[#This Row],[Wizards]]</f>
        <v>0</v>
      </c>
      <c r="S96" s="61">
        <f ca="1">TblMili[[#This Row],[Archmages]]</f>
        <v>0</v>
      </c>
      <c r="T96" s="142"/>
      <c r="U96" s="94">
        <f ca="1">ROUND(TblPop[[#This Row],[Raw max]]*(1+OFFSET(TblPop[[#This Row],[Max pop]],-1,0)),0)+MIN(TblPop[[#This Row],[Military]]-TblPop[[#This Row],[Draftees]]-SUM(TblMili[[#This Row],[Train Unit 1]:[Train AM]]),(barracks_size + tech_8_3*TblTech[[#This Row],[8-3]])*TblConstr[[#This Row],[Tot Bar]])</f>
        <v>1076</v>
      </c>
      <c r="V9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6" s="94">
        <f ca="1">MAX(-5%*TblPop[[#This Row],[Peasants]]-TblPop[[#This Row],[Draft Growth]],MIN(OFFSET(TblPop[[#This Row],[Net max]],1,0)-TblPop[[#This Row],[Peasants]]-TblPop[[#This Row],[Military]]-TblPop[[#This Row],[Draft Growth]],TblPop[[#This Row],[Modded Birth]]-TblPop[[#This Row],[Draft Growth]]))</f>
        <v>-4</v>
      </c>
      <c r="X96" s="94">
        <f ca="1">ROUND(TblPop[[#This Row],[Raw Birth]]*(1+TblPop[[#This Row],[Growth]]),0)</f>
        <v>12</v>
      </c>
      <c r="Y96" s="94">
        <f ca="1">(TblPop[[#This Row],[Peasants]]-TblPop[[#This Row],[Draft Growth]])*raw_pop_growth</f>
        <v>11.85</v>
      </c>
      <c r="Z96" s="94">
        <f ca="1">ROUND(IF(TblPop[[#This Row],[Military%]]&lt;TblMili[[#This Row],[Draftrate]],ROUND(TblPop[[#This Row],[Peasants]]*Constants!$B$55,0), 0) * IF(AND(TblMagic[[#This Row],[Active DnD]]&lt;=12,TblMagic[[#This Row],[Active DnD]]&gt;6),1.6,1),0)</f>
        <v>4</v>
      </c>
      <c r="AA96" s="142"/>
      <c r="AB96" s="143">
        <f ca="1">Overview!$I$17 + IF(Magic!AF96&gt;0,Constants!$F$78) + ROUND(6*(Construction!BM97+Construction!CK96)/IF(Explore!S97&gt;0,Construction!F97-20,Construction!F97),4) + tech_6_5_2*Techs!BJ96 + tech_8_4*Techs!BT96</f>
        <v>0</v>
      </c>
      <c r="AC96" s="139">
        <f ca="1">(Overview!$I$16 + Imps!Z96+ tech_2_5*Techs!AB96 + tech_3_6*Techs!AM96 + tech_6_1*Techs!BJ96 + tech_6_5*Techs!BF96 + tech_7_3_2*Techs!BN96) * (1 + Production!O96/100*prestige_pop_multiplier) + Production!O96/100*prestige_pop_multiplier</f>
        <v>2.5000000000000001E-2</v>
      </c>
    </row>
    <row r="97" spans="1:29" x14ac:dyDescent="0.2">
      <c r="A97" s="137">
        <f>TblRezone[[#This Row],[Hour]]</f>
        <v>94</v>
      </c>
      <c r="B97" s="138">
        <f ca="1">TblImps[[#This Row],[Time]]</f>
        <v>46050.874999999774</v>
      </c>
      <c r="C97" s="94">
        <f ca="1">OFFSET(TblPop[[#This Row],[Peasants]],-1,0)+OFFSET(TblPop[[#This Row],[Net Peasant]],-1,0)+TblMili[[#This Row],[Release Draft]]</f>
        <v>395</v>
      </c>
      <c r="D97" s="94">
        <f ca="1">TblMili[[#This Row],[Military]]</f>
        <v>681</v>
      </c>
      <c r="E97" s="94">
        <f ca="1">TblMili[[#This Row],[Draftees]]</f>
        <v>681</v>
      </c>
      <c r="F97" s="94">
        <f ca="1">TblPop[[#This Row],[Peasants]]+TblPop[[#This Row],[Military]]</f>
        <v>1076</v>
      </c>
      <c r="G97" s="139">
        <f ca="1">TblPop[[#This Row],[Military]]/TblPop[[#This Row],[Total]]</f>
        <v>0.63289962825278812</v>
      </c>
      <c r="H97" s="140">
        <f ca="1">MIN(TblPop[[#This Row],[Peasants]],TblPop[[#This Row],[Jobs]])</f>
        <v>395</v>
      </c>
      <c r="I97" s="139">
        <f ca="1">MIN(OFFSET(TblPop[[#This Row],[Jobs]],1,0)/TblPop[[#This Row],[Peasants]],1)</f>
        <v>1</v>
      </c>
      <c r="J97" s="140">
        <f ca="1">SUM(TblConstr[[#This Row],[Tot Alc]:[Tot GT]],TblConstr[[#This Row],[Tot Shr]:[Tot Doc]],TblConstr[[#This Row],[Dest Alc]:[Dest GT]],TblConstr[[#This Row],[Dest Shr]:[Dest Doc]])*building_employment + TblConstr[[#This Row],[Tot Fac]]*bonus_jobs_facts</f>
        <v>1000</v>
      </c>
      <c r="K97" s="141"/>
      <c r="L97" s="61">
        <f ca="1">TblPop[[#This Row],[Draftees]]</f>
        <v>681</v>
      </c>
      <c r="M97" s="61">
        <f ca="1">TblMili[[#This Row],[Unit 1]]</f>
        <v>0</v>
      </c>
      <c r="N97" s="61">
        <f ca="1">TblMili[[#This Row],[Unit 2]]</f>
        <v>0</v>
      </c>
      <c r="O97" s="61">
        <f ca="1">TblMili[[#This Row],[Unit 3]]</f>
        <v>0</v>
      </c>
      <c r="P97" s="61">
        <f ca="1">TblMili[[#This Row],[Unit 4]]</f>
        <v>0</v>
      </c>
      <c r="Q97" s="61">
        <f ca="1">TblMili[[#This Row],[Spies]]</f>
        <v>0</v>
      </c>
      <c r="R97" s="61">
        <f ca="1">TblMili[[#This Row],[Wizards]]</f>
        <v>0</v>
      </c>
      <c r="S97" s="61">
        <f ca="1">TblMili[[#This Row],[Archmages]]</f>
        <v>0</v>
      </c>
      <c r="T97" s="142"/>
      <c r="U97" s="94">
        <f ca="1">ROUND(TblPop[[#This Row],[Raw max]]*(1+OFFSET(TblPop[[#This Row],[Max pop]],-1,0)),0)+MIN(TblPop[[#This Row],[Military]]-TblPop[[#This Row],[Draftees]]-SUM(TblMili[[#This Row],[Train Unit 1]:[Train AM]]),(barracks_size + tech_8_3*TblTech[[#This Row],[8-3]])*TblConstr[[#This Row],[Tot Bar]])</f>
        <v>1076</v>
      </c>
      <c r="V9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7" s="94">
        <f ca="1">MAX(-5%*TblPop[[#This Row],[Peasants]]-TblPop[[#This Row],[Draft Growth]],MIN(OFFSET(TblPop[[#This Row],[Net max]],1,0)-TblPop[[#This Row],[Peasants]]-TblPop[[#This Row],[Military]]-TblPop[[#This Row],[Draft Growth]],TblPop[[#This Row],[Modded Birth]]-TblPop[[#This Row],[Draft Growth]]))</f>
        <v>-4</v>
      </c>
      <c r="X97" s="94">
        <f ca="1">ROUND(TblPop[[#This Row],[Raw Birth]]*(1+TblPop[[#This Row],[Growth]]),0)</f>
        <v>12</v>
      </c>
      <c r="Y97" s="94">
        <f ca="1">(TblPop[[#This Row],[Peasants]]-TblPop[[#This Row],[Draft Growth]])*raw_pop_growth</f>
        <v>11.73</v>
      </c>
      <c r="Z97" s="94">
        <f ca="1">ROUND(IF(TblPop[[#This Row],[Military%]]&lt;TblMili[[#This Row],[Draftrate]],ROUND(TblPop[[#This Row],[Peasants]]*Constants!$B$55,0), 0) * IF(AND(TblMagic[[#This Row],[Active DnD]]&lt;=12,TblMagic[[#This Row],[Active DnD]]&gt;6),1.6,1),0)</f>
        <v>4</v>
      </c>
      <c r="AA97" s="142"/>
      <c r="AB97" s="143">
        <f ca="1">Overview!$I$17 + IF(Magic!AF97&gt;0,Constants!$F$78) + ROUND(6*(Construction!BM98+Construction!CK97)/IF(Explore!S98&gt;0,Construction!F98-20,Construction!F98),4) + tech_6_5_2*Techs!BJ97 + tech_8_4*Techs!BT97</f>
        <v>0</v>
      </c>
      <c r="AC97" s="139">
        <f ca="1">(Overview!$I$16 + Imps!Z97+ tech_2_5*Techs!AB97 + tech_3_6*Techs!AM97 + tech_6_1*Techs!BJ97 + tech_6_5*Techs!BF97 + tech_7_3_2*Techs!BN97) * (1 + Production!O97/100*prestige_pop_multiplier) + Production!O97/100*prestige_pop_multiplier</f>
        <v>2.5000000000000001E-2</v>
      </c>
    </row>
    <row r="98" spans="1:29" x14ac:dyDescent="0.2">
      <c r="A98" s="137">
        <f>TblRezone[[#This Row],[Hour]]</f>
        <v>95</v>
      </c>
      <c r="B98" s="138">
        <f ca="1">TblImps[[#This Row],[Time]]</f>
        <v>46050.916666666439</v>
      </c>
      <c r="C98" s="94">
        <f ca="1">OFFSET(TblPop[[#This Row],[Peasants]],-1,0)+OFFSET(TblPop[[#This Row],[Net Peasant]],-1,0)+TblMili[[#This Row],[Release Draft]]</f>
        <v>391</v>
      </c>
      <c r="D98" s="94">
        <f ca="1">TblMili[[#This Row],[Military]]</f>
        <v>685</v>
      </c>
      <c r="E98" s="94">
        <f ca="1">TblMili[[#This Row],[Draftees]]</f>
        <v>685</v>
      </c>
      <c r="F98" s="94">
        <f ca="1">TblPop[[#This Row],[Peasants]]+TblPop[[#This Row],[Military]]</f>
        <v>1076</v>
      </c>
      <c r="G98" s="139">
        <f ca="1">TblPop[[#This Row],[Military]]/TblPop[[#This Row],[Total]]</f>
        <v>0.63661710037174724</v>
      </c>
      <c r="H98" s="140">
        <f ca="1">MIN(TblPop[[#This Row],[Peasants]],TblPop[[#This Row],[Jobs]])</f>
        <v>391</v>
      </c>
      <c r="I98" s="139">
        <f ca="1">MIN(OFFSET(TblPop[[#This Row],[Jobs]],1,0)/TblPop[[#This Row],[Peasants]],1)</f>
        <v>1</v>
      </c>
      <c r="J98" s="140">
        <f ca="1">SUM(TblConstr[[#This Row],[Tot Alc]:[Tot GT]],TblConstr[[#This Row],[Tot Shr]:[Tot Doc]],TblConstr[[#This Row],[Dest Alc]:[Dest GT]],TblConstr[[#This Row],[Dest Shr]:[Dest Doc]])*building_employment + TblConstr[[#This Row],[Tot Fac]]*bonus_jobs_facts</f>
        <v>1000</v>
      </c>
      <c r="K98" s="141"/>
      <c r="L98" s="61">
        <f ca="1">TblPop[[#This Row],[Draftees]]</f>
        <v>685</v>
      </c>
      <c r="M98" s="61">
        <f ca="1">TblMili[[#This Row],[Unit 1]]</f>
        <v>0</v>
      </c>
      <c r="N98" s="61">
        <f ca="1">TblMili[[#This Row],[Unit 2]]</f>
        <v>0</v>
      </c>
      <c r="O98" s="61">
        <f ca="1">TblMili[[#This Row],[Unit 3]]</f>
        <v>0</v>
      </c>
      <c r="P98" s="61">
        <f ca="1">TblMili[[#This Row],[Unit 4]]</f>
        <v>0</v>
      </c>
      <c r="Q98" s="61">
        <f ca="1">TblMili[[#This Row],[Spies]]</f>
        <v>0</v>
      </c>
      <c r="R98" s="61">
        <f ca="1">TblMili[[#This Row],[Wizards]]</f>
        <v>0</v>
      </c>
      <c r="S98" s="61">
        <f ca="1">TblMili[[#This Row],[Archmages]]</f>
        <v>0</v>
      </c>
      <c r="T98" s="142"/>
      <c r="U98" s="94">
        <f ca="1">ROUND(TblPop[[#This Row],[Raw max]]*(1+OFFSET(TblPop[[#This Row],[Max pop]],-1,0)),0)+MIN(TblPop[[#This Row],[Military]]-TblPop[[#This Row],[Draftees]]-SUM(TblMili[[#This Row],[Train Unit 1]:[Train AM]]),(barracks_size + tech_8_3*TblTech[[#This Row],[8-3]])*TblConstr[[#This Row],[Tot Bar]])</f>
        <v>1076</v>
      </c>
      <c r="V9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8" s="94">
        <f ca="1">MAX(-5%*TblPop[[#This Row],[Peasants]]-TblPop[[#This Row],[Draft Growth]],MIN(OFFSET(TblPop[[#This Row],[Net max]],1,0)-TblPop[[#This Row],[Peasants]]-TblPop[[#This Row],[Military]]-TblPop[[#This Row],[Draft Growth]],TblPop[[#This Row],[Modded Birth]]-TblPop[[#This Row],[Draft Growth]]))</f>
        <v>-4</v>
      </c>
      <c r="X98" s="94">
        <f ca="1">ROUND(TblPop[[#This Row],[Raw Birth]]*(1+TblPop[[#This Row],[Growth]]),0)</f>
        <v>12</v>
      </c>
      <c r="Y98" s="94">
        <f ca="1">(TblPop[[#This Row],[Peasants]]-TblPop[[#This Row],[Draft Growth]])*raw_pop_growth</f>
        <v>11.61</v>
      </c>
      <c r="Z98" s="94">
        <f ca="1">ROUND(IF(TblPop[[#This Row],[Military%]]&lt;TblMili[[#This Row],[Draftrate]],ROUND(TblPop[[#This Row],[Peasants]]*Constants!$B$55,0), 0) * IF(AND(TblMagic[[#This Row],[Active DnD]]&lt;=12,TblMagic[[#This Row],[Active DnD]]&gt;6),1.6,1),0)</f>
        <v>4</v>
      </c>
      <c r="AA98" s="142"/>
      <c r="AB98" s="143">
        <f ca="1">Overview!$I$17 + IF(Magic!AF98&gt;0,Constants!$F$78) + ROUND(6*(Construction!BM99+Construction!CK98)/IF(Explore!S99&gt;0,Construction!F99-20,Construction!F99),4) + tech_6_5_2*Techs!BJ98 + tech_8_4*Techs!BT98</f>
        <v>0</v>
      </c>
      <c r="AC98" s="139">
        <f ca="1">(Overview!$I$16 + Imps!Z98+ tech_2_5*Techs!AB98 + tech_3_6*Techs!AM98 + tech_6_1*Techs!BJ98 + tech_6_5*Techs!BF98 + tech_7_3_2*Techs!BN98) * (1 + Production!O98/100*prestige_pop_multiplier) + Production!O98/100*prestige_pop_multiplier</f>
        <v>2.5000000000000001E-2</v>
      </c>
    </row>
    <row r="99" spans="1:29" x14ac:dyDescent="0.2">
      <c r="A99" s="137">
        <f>TblRezone[[#This Row],[Hour]]</f>
        <v>96</v>
      </c>
      <c r="B99" s="138">
        <f ca="1">TblImps[[#This Row],[Time]]</f>
        <v>46050.958333333103</v>
      </c>
      <c r="C99" s="94">
        <f ca="1">OFFSET(TblPop[[#This Row],[Peasants]],-1,0)+OFFSET(TblPop[[#This Row],[Net Peasant]],-1,0)+TblMili[[#This Row],[Release Draft]]</f>
        <v>387</v>
      </c>
      <c r="D99" s="94">
        <f ca="1">TblMili[[#This Row],[Military]]</f>
        <v>689</v>
      </c>
      <c r="E99" s="94">
        <f ca="1">TblMili[[#This Row],[Draftees]]</f>
        <v>689</v>
      </c>
      <c r="F99" s="94">
        <f ca="1">TblPop[[#This Row],[Peasants]]+TblPop[[#This Row],[Military]]</f>
        <v>1076</v>
      </c>
      <c r="G99" s="139">
        <f ca="1">TblPop[[#This Row],[Military]]/TblPop[[#This Row],[Total]]</f>
        <v>0.64033457249070636</v>
      </c>
      <c r="H99" s="140">
        <f ca="1">MIN(TblPop[[#This Row],[Peasants]],TblPop[[#This Row],[Jobs]])</f>
        <v>387</v>
      </c>
      <c r="I99" s="139">
        <f ca="1">MIN(OFFSET(TblPop[[#This Row],[Jobs]],1,0)/TblPop[[#This Row],[Peasants]],1)</f>
        <v>1</v>
      </c>
      <c r="J99" s="140">
        <f ca="1">SUM(TblConstr[[#This Row],[Tot Alc]:[Tot GT]],TblConstr[[#This Row],[Tot Shr]:[Tot Doc]],TblConstr[[#This Row],[Dest Alc]:[Dest GT]],TblConstr[[#This Row],[Dest Shr]:[Dest Doc]])*building_employment + TblConstr[[#This Row],[Tot Fac]]*bonus_jobs_facts</f>
        <v>1000</v>
      </c>
      <c r="K99" s="141"/>
      <c r="L99" s="61">
        <f ca="1">TblPop[[#This Row],[Draftees]]</f>
        <v>689</v>
      </c>
      <c r="M99" s="61">
        <f ca="1">TblMili[[#This Row],[Unit 1]]</f>
        <v>0</v>
      </c>
      <c r="N99" s="61">
        <f ca="1">TblMili[[#This Row],[Unit 2]]</f>
        <v>0</v>
      </c>
      <c r="O99" s="61">
        <f ca="1">TblMili[[#This Row],[Unit 3]]</f>
        <v>0</v>
      </c>
      <c r="P99" s="61">
        <f ca="1">TblMili[[#This Row],[Unit 4]]</f>
        <v>0</v>
      </c>
      <c r="Q99" s="61">
        <f ca="1">TblMili[[#This Row],[Spies]]</f>
        <v>0</v>
      </c>
      <c r="R99" s="61">
        <f ca="1">TblMili[[#This Row],[Wizards]]</f>
        <v>0</v>
      </c>
      <c r="S99" s="61">
        <f ca="1">TblMili[[#This Row],[Archmages]]</f>
        <v>0</v>
      </c>
      <c r="T99" s="142"/>
      <c r="U99" s="94">
        <f ca="1">ROUND(TblPop[[#This Row],[Raw max]]*(1+OFFSET(TblPop[[#This Row],[Max pop]],-1,0)),0)+MIN(TblPop[[#This Row],[Military]]-TblPop[[#This Row],[Draftees]]-SUM(TblMili[[#This Row],[Train Unit 1]:[Train AM]]),(barracks_size + tech_8_3*TblTech[[#This Row],[8-3]])*TblConstr[[#This Row],[Tot Bar]])</f>
        <v>1076</v>
      </c>
      <c r="V9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99" s="94">
        <f ca="1">MAX(-5%*TblPop[[#This Row],[Peasants]]-TblPop[[#This Row],[Draft Growth]],MIN(OFFSET(TblPop[[#This Row],[Net max]],1,0)-TblPop[[#This Row],[Peasants]]-TblPop[[#This Row],[Military]]-TblPop[[#This Row],[Draft Growth]],TblPop[[#This Row],[Modded Birth]]-TblPop[[#This Row],[Draft Growth]]))</f>
        <v>-4</v>
      </c>
      <c r="X99" s="94">
        <f ca="1">ROUND(TblPop[[#This Row],[Raw Birth]]*(1+TblPop[[#This Row],[Growth]]),0)</f>
        <v>11</v>
      </c>
      <c r="Y99" s="94">
        <f ca="1">(TblPop[[#This Row],[Peasants]]-TblPop[[#This Row],[Draft Growth]])*raw_pop_growth</f>
        <v>11.49</v>
      </c>
      <c r="Z99" s="94">
        <f ca="1">ROUND(IF(TblPop[[#This Row],[Military%]]&lt;TblMili[[#This Row],[Draftrate]],ROUND(TblPop[[#This Row],[Peasants]]*Constants!$B$55,0), 0) * IF(AND(TblMagic[[#This Row],[Active DnD]]&lt;=12,TblMagic[[#This Row],[Active DnD]]&gt;6),1.6,1),0)</f>
        <v>4</v>
      </c>
      <c r="AA99" s="142"/>
      <c r="AB99" s="143">
        <f ca="1">Overview!$I$17 + IF(Magic!AF99&gt;0,Constants!$F$78) + ROUND(6*(Construction!BM100+Construction!CK99)/IF(Explore!S100&gt;0,Construction!F100-20,Construction!F100),4) + tech_6_5_2*Techs!BJ99 + tech_8_4*Techs!BT99</f>
        <v>0</v>
      </c>
      <c r="AC99" s="139">
        <f ca="1">(Overview!$I$16 + Imps!Z99+ tech_2_5*Techs!AB99 + tech_3_6*Techs!AM99 + tech_6_1*Techs!BJ99 + tech_6_5*Techs!BF99 + tech_7_3_2*Techs!BN99) * (1 + Production!O99/100*prestige_pop_multiplier) + Production!O99/100*prestige_pop_multiplier</f>
        <v>2.5000000000000001E-2</v>
      </c>
    </row>
    <row r="100" spans="1:29" x14ac:dyDescent="0.2">
      <c r="A100" s="137">
        <f>TblRezone[[#This Row],[Hour]]</f>
        <v>97</v>
      </c>
      <c r="B100" s="138">
        <f ca="1">TblImps[[#This Row],[Time]]</f>
        <v>46050.999999999767</v>
      </c>
      <c r="C100" s="94">
        <f ca="1">OFFSET(TblPop[[#This Row],[Peasants]],-1,0)+OFFSET(TblPop[[#This Row],[Net Peasant]],-1,0)+TblMili[[#This Row],[Release Draft]]</f>
        <v>383</v>
      </c>
      <c r="D100" s="94">
        <f ca="1">TblMili[[#This Row],[Military]]</f>
        <v>693</v>
      </c>
      <c r="E100" s="94">
        <f ca="1">TblMili[[#This Row],[Draftees]]</f>
        <v>693</v>
      </c>
      <c r="F100" s="94">
        <f ca="1">TblPop[[#This Row],[Peasants]]+TblPop[[#This Row],[Military]]</f>
        <v>1076</v>
      </c>
      <c r="G100" s="139">
        <f ca="1">TblPop[[#This Row],[Military]]/TblPop[[#This Row],[Total]]</f>
        <v>0.64405204460966547</v>
      </c>
      <c r="H100" s="140">
        <f ca="1">MIN(TblPop[[#This Row],[Peasants]],TblPop[[#This Row],[Jobs]])</f>
        <v>383</v>
      </c>
      <c r="I100" s="139">
        <f ca="1">MIN(OFFSET(TblPop[[#This Row],[Jobs]],1,0)/TblPop[[#This Row],[Peasants]],1)</f>
        <v>1</v>
      </c>
      <c r="J100" s="140">
        <f ca="1">SUM(TblConstr[[#This Row],[Tot Alc]:[Tot GT]],TblConstr[[#This Row],[Tot Shr]:[Tot Doc]],TblConstr[[#This Row],[Dest Alc]:[Dest GT]],TblConstr[[#This Row],[Dest Shr]:[Dest Doc]])*building_employment + TblConstr[[#This Row],[Tot Fac]]*bonus_jobs_facts</f>
        <v>1000</v>
      </c>
      <c r="K100" s="141"/>
      <c r="L100" s="61">
        <f ca="1">TblPop[[#This Row],[Draftees]]</f>
        <v>693</v>
      </c>
      <c r="M100" s="61">
        <f ca="1">TblMili[[#This Row],[Unit 1]]</f>
        <v>0</v>
      </c>
      <c r="N100" s="61">
        <f ca="1">TblMili[[#This Row],[Unit 2]]</f>
        <v>0</v>
      </c>
      <c r="O100" s="61">
        <f ca="1">TblMili[[#This Row],[Unit 3]]</f>
        <v>0</v>
      </c>
      <c r="P100" s="61">
        <f ca="1">TblMili[[#This Row],[Unit 4]]</f>
        <v>0</v>
      </c>
      <c r="Q100" s="61">
        <f ca="1">TblMili[[#This Row],[Spies]]</f>
        <v>0</v>
      </c>
      <c r="R100" s="61">
        <f ca="1">TblMili[[#This Row],[Wizards]]</f>
        <v>0</v>
      </c>
      <c r="S100" s="61">
        <f ca="1">TblMili[[#This Row],[Archmages]]</f>
        <v>0</v>
      </c>
      <c r="T100" s="142"/>
      <c r="U100" s="94">
        <f ca="1">ROUND(TblPop[[#This Row],[Raw max]]*(1+OFFSET(TblPop[[#This Row],[Max pop]],-1,0)),0)+MIN(TblPop[[#This Row],[Military]]-TblPop[[#This Row],[Draftees]]-SUM(TblMili[[#This Row],[Train Unit 1]:[Train AM]]),(barracks_size + tech_8_3*TblTech[[#This Row],[8-3]])*TblConstr[[#This Row],[Tot Bar]])</f>
        <v>1076</v>
      </c>
      <c r="V10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0" s="94">
        <f ca="1">MAX(-5%*TblPop[[#This Row],[Peasants]]-TblPop[[#This Row],[Draft Growth]],MIN(OFFSET(TblPop[[#This Row],[Net max]],1,0)-TblPop[[#This Row],[Peasants]]-TblPop[[#This Row],[Military]]-TblPop[[#This Row],[Draft Growth]],TblPop[[#This Row],[Modded Birth]]-TblPop[[#This Row],[Draft Growth]]))</f>
        <v>-4</v>
      </c>
      <c r="X100" s="94">
        <f ca="1">ROUND(TblPop[[#This Row],[Raw Birth]]*(1+TblPop[[#This Row],[Growth]]),0)</f>
        <v>11</v>
      </c>
      <c r="Y100" s="94">
        <f ca="1">(TblPop[[#This Row],[Peasants]]-TblPop[[#This Row],[Draft Growth]])*raw_pop_growth</f>
        <v>11.37</v>
      </c>
      <c r="Z100" s="94">
        <f ca="1">ROUND(IF(TblPop[[#This Row],[Military%]]&lt;TblMili[[#This Row],[Draftrate]],ROUND(TblPop[[#This Row],[Peasants]]*Constants!$B$55,0), 0) * IF(AND(TblMagic[[#This Row],[Active DnD]]&lt;=12,TblMagic[[#This Row],[Active DnD]]&gt;6),1.6,1),0)</f>
        <v>4</v>
      </c>
      <c r="AA100" s="142"/>
      <c r="AB100" s="143">
        <f ca="1">Overview!$I$17 + IF(Magic!AF100&gt;0,Constants!$F$78) + ROUND(6*(Construction!BM101+Construction!CK100)/IF(Explore!S101&gt;0,Construction!F101-20,Construction!F101),4) + tech_6_5_2*Techs!BJ100 + tech_8_4*Techs!BT100</f>
        <v>0</v>
      </c>
      <c r="AC100" s="139">
        <f ca="1">(Overview!$I$16 + Imps!Z100+ tech_2_5*Techs!AB100 + tech_3_6*Techs!AM100 + tech_6_1*Techs!BJ100 + tech_6_5*Techs!BF100 + tech_7_3_2*Techs!BN100) * (1 + Production!O100/100*prestige_pop_multiplier) + Production!O100/100*prestige_pop_multiplier</f>
        <v>2.5000000000000001E-2</v>
      </c>
    </row>
    <row r="101" spans="1:29" x14ac:dyDescent="0.2">
      <c r="A101" s="137">
        <f>TblRezone[[#This Row],[Hour]]</f>
        <v>98</v>
      </c>
      <c r="B101" s="138">
        <f ca="1">TblImps[[#This Row],[Time]]</f>
        <v>46051.041666666431</v>
      </c>
      <c r="C101" s="94">
        <f ca="1">OFFSET(TblPop[[#This Row],[Peasants]],-1,0)+OFFSET(TblPop[[#This Row],[Net Peasant]],-1,0)+TblMili[[#This Row],[Release Draft]]</f>
        <v>379</v>
      </c>
      <c r="D101" s="94">
        <f ca="1">TblMili[[#This Row],[Military]]</f>
        <v>697</v>
      </c>
      <c r="E101" s="94">
        <f ca="1">TblMili[[#This Row],[Draftees]]</f>
        <v>697</v>
      </c>
      <c r="F101" s="94">
        <f ca="1">TblPop[[#This Row],[Peasants]]+TblPop[[#This Row],[Military]]</f>
        <v>1076</v>
      </c>
      <c r="G101" s="139">
        <f ca="1">TblPop[[#This Row],[Military]]/TblPop[[#This Row],[Total]]</f>
        <v>0.64776951672862448</v>
      </c>
      <c r="H101" s="140">
        <f ca="1">MIN(TblPop[[#This Row],[Peasants]],TblPop[[#This Row],[Jobs]])</f>
        <v>379</v>
      </c>
      <c r="I101" s="139">
        <f ca="1">MIN(OFFSET(TblPop[[#This Row],[Jobs]],1,0)/TblPop[[#This Row],[Peasants]],1)</f>
        <v>1</v>
      </c>
      <c r="J101" s="140">
        <f ca="1">SUM(TblConstr[[#This Row],[Tot Alc]:[Tot GT]],TblConstr[[#This Row],[Tot Shr]:[Tot Doc]],TblConstr[[#This Row],[Dest Alc]:[Dest GT]],TblConstr[[#This Row],[Dest Shr]:[Dest Doc]])*building_employment + TblConstr[[#This Row],[Tot Fac]]*bonus_jobs_facts</f>
        <v>1000</v>
      </c>
      <c r="K101" s="141"/>
      <c r="L101" s="61">
        <f ca="1">TblPop[[#This Row],[Draftees]]</f>
        <v>697</v>
      </c>
      <c r="M101" s="61">
        <f ca="1">TblMili[[#This Row],[Unit 1]]</f>
        <v>0</v>
      </c>
      <c r="N101" s="61">
        <f ca="1">TblMili[[#This Row],[Unit 2]]</f>
        <v>0</v>
      </c>
      <c r="O101" s="61">
        <f ca="1">TblMili[[#This Row],[Unit 3]]</f>
        <v>0</v>
      </c>
      <c r="P101" s="61">
        <f ca="1">TblMili[[#This Row],[Unit 4]]</f>
        <v>0</v>
      </c>
      <c r="Q101" s="61">
        <f ca="1">TblMili[[#This Row],[Spies]]</f>
        <v>0</v>
      </c>
      <c r="R101" s="61">
        <f ca="1">TblMili[[#This Row],[Wizards]]</f>
        <v>0</v>
      </c>
      <c r="S101" s="61">
        <f ca="1">TblMili[[#This Row],[Archmages]]</f>
        <v>0</v>
      </c>
      <c r="T101" s="142"/>
      <c r="U101" s="94">
        <f ca="1">ROUND(TblPop[[#This Row],[Raw max]]*(1+OFFSET(TblPop[[#This Row],[Max pop]],-1,0)),0)+MIN(TblPop[[#This Row],[Military]]-TblPop[[#This Row],[Draftees]]-SUM(TblMili[[#This Row],[Train Unit 1]:[Train AM]]),(barracks_size + tech_8_3*TblTech[[#This Row],[8-3]])*TblConstr[[#This Row],[Tot Bar]])</f>
        <v>1076</v>
      </c>
      <c r="V10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1" s="94">
        <f ca="1">MAX(-5%*TblPop[[#This Row],[Peasants]]-TblPop[[#This Row],[Draft Growth]],MIN(OFFSET(TblPop[[#This Row],[Net max]],1,0)-TblPop[[#This Row],[Peasants]]-TblPop[[#This Row],[Military]]-TblPop[[#This Row],[Draft Growth]],TblPop[[#This Row],[Modded Birth]]-TblPop[[#This Row],[Draft Growth]]))</f>
        <v>-4</v>
      </c>
      <c r="X101" s="94">
        <f ca="1">ROUND(TblPop[[#This Row],[Raw Birth]]*(1+TblPop[[#This Row],[Growth]]),0)</f>
        <v>11</v>
      </c>
      <c r="Y101" s="94">
        <f ca="1">(TblPop[[#This Row],[Peasants]]-TblPop[[#This Row],[Draft Growth]])*raw_pop_growth</f>
        <v>11.25</v>
      </c>
      <c r="Z101" s="94">
        <f ca="1">ROUND(IF(TblPop[[#This Row],[Military%]]&lt;TblMili[[#This Row],[Draftrate]],ROUND(TblPop[[#This Row],[Peasants]]*Constants!$B$55,0), 0) * IF(AND(TblMagic[[#This Row],[Active DnD]]&lt;=12,TblMagic[[#This Row],[Active DnD]]&gt;6),1.6,1),0)</f>
        <v>4</v>
      </c>
      <c r="AA101" s="142"/>
      <c r="AB101" s="143">
        <f ca="1">Overview!$I$17 + IF(Magic!AF101&gt;0,Constants!$F$78) + ROUND(6*(Construction!BM102+Construction!CK101)/IF(Explore!S102&gt;0,Construction!F102-20,Construction!F102),4) + tech_6_5_2*Techs!BJ101 + tech_8_4*Techs!BT101</f>
        <v>0</v>
      </c>
      <c r="AC101" s="139">
        <f ca="1">(Overview!$I$16 + Imps!Z101+ tech_2_5*Techs!AB101 + tech_3_6*Techs!AM101 + tech_6_1*Techs!BJ101 + tech_6_5*Techs!BF101 + tech_7_3_2*Techs!BN101) * (1 + Production!O101/100*prestige_pop_multiplier) + Production!O101/100*prestige_pop_multiplier</f>
        <v>2.5000000000000001E-2</v>
      </c>
    </row>
    <row r="102" spans="1:29" x14ac:dyDescent="0.2">
      <c r="A102" s="137">
        <f>TblRezone[[#This Row],[Hour]]</f>
        <v>99</v>
      </c>
      <c r="B102" s="138">
        <f ca="1">TblImps[[#This Row],[Time]]</f>
        <v>46051.083333333096</v>
      </c>
      <c r="C102" s="94">
        <f ca="1">OFFSET(TblPop[[#This Row],[Peasants]],-1,0)+OFFSET(TblPop[[#This Row],[Net Peasant]],-1,0)+TblMili[[#This Row],[Release Draft]]</f>
        <v>375</v>
      </c>
      <c r="D102" s="94">
        <f ca="1">TblMili[[#This Row],[Military]]</f>
        <v>701</v>
      </c>
      <c r="E102" s="94">
        <f ca="1">TblMili[[#This Row],[Draftees]]</f>
        <v>701</v>
      </c>
      <c r="F102" s="94">
        <f ca="1">TblPop[[#This Row],[Peasants]]+TblPop[[#This Row],[Military]]</f>
        <v>1076</v>
      </c>
      <c r="G102" s="139">
        <f ca="1">TblPop[[#This Row],[Military]]/TblPop[[#This Row],[Total]]</f>
        <v>0.6514869888475836</v>
      </c>
      <c r="H102" s="140">
        <f ca="1">MIN(TblPop[[#This Row],[Peasants]],TblPop[[#This Row],[Jobs]])</f>
        <v>375</v>
      </c>
      <c r="I102" s="139">
        <f ca="1">MIN(OFFSET(TblPop[[#This Row],[Jobs]],1,0)/TblPop[[#This Row],[Peasants]],1)</f>
        <v>1</v>
      </c>
      <c r="J102" s="140">
        <f ca="1">SUM(TblConstr[[#This Row],[Tot Alc]:[Tot GT]],TblConstr[[#This Row],[Tot Shr]:[Tot Doc]],TblConstr[[#This Row],[Dest Alc]:[Dest GT]],TblConstr[[#This Row],[Dest Shr]:[Dest Doc]])*building_employment + TblConstr[[#This Row],[Tot Fac]]*bonus_jobs_facts</f>
        <v>1000</v>
      </c>
      <c r="K102" s="141"/>
      <c r="L102" s="61">
        <f ca="1">TblPop[[#This Row],[Draftees]]</f>
        <v>701</v>
      </c>
      <c r="M102" s="61">
        <f ca="1">TblMili[[#This Row],[Unit 1]]</f>
        <v>0</v>
      </c>
      <c r="N102" s="61">
        <f ca="1">TblMili[[#This Row],[Unit 2]]</f>
        <v>0</v>
      </c>
      <c r="O102" s="61">
        <f ca="1">TblMili[[#This Row],[Unit 3]]</f>
        <v>0</v>
      </c>
      <c r="P102" s="61">
        <f ca="1">TblMili[[#This Row],[Unit 4]]</f>
        <v>0</v>
      </c>
      <c r="Q102" s="61">
        <f ca="1">TblMili[[#This Row],[Spies]]</f>
        <v>0</v>
      </c>
      <c r="R102" s="61">
        <f ca="1">TblMili[[#This Row],[Wizards]]</f>
        <v>0</v>
      </c>
      <c r="S102" s="61">
        <f ca="1">TblMili[[#This Row],[Archmages]]</f>
        <v>0</v>
      </c>
      <c r="T102" s="142"/>
      <c r="U102" s="94">
        <f ca="1">ROUND(TblPop[[#This Row],[Raw max]]*(1+OFFSET(TblPop[[#This Row],[Max pop]],-1,0)),0)+MIN(TblPop[[#This Row],[Military]]-TblPop[[#This Row],[Draftees]]-SUM(TblMili[[#This Row],[Train Unit 1]:[Train AM]]),(barracks_size + tech_8_3*TblTech[[#This Row],[8-3]])*TblConstr[[#This Row],[Tot Bar]])</f>
        <v>1076</v>
      </c>
      <c r="V10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2" s="94">
        <f ca="1">MAX(-5%*TblPop[[#This Row],[Peasants]]-TblPop[[#This Row],[Draft Growth]],MIN(OFFSET(TblPop[[#This Row],[Net max]],1,0)-TblPop[[#This Row],[Peasants]]-TblPop[[#This Row],[Military]]-TblPop[[#This Row],[Draft Growth]],TblPop[[#This Row],[Modded Birth]]-TblPop[[#This Row],[Draft Growth]]))</f>
        <v>-4</v>
      </c>
      <c r="X102" s="94">
        <f ca="1">ROUND(TblPop[[#This Row],[Raw Birth]]*(1+TblPop[[#This Row],[Growth]]),0)</f>
        <v>11</v>
      </c>
      <c r="Y102" s="94">
        <f ca="1">(TblPop[[#This Row],[Peasants]]-TblPop[[#This Row],[Draft Growth]])*raw_pop_growth</f>
        <v>11.129999999999999</v>
      </c>
      <c r="Z102" s="94">
        <f ca="1">ROUND(IF(TblPop[[#This Row],[Military%]]&lt;TblMili[[#This Row],[Draftrate]],ROUND(TblPop[[#This Row],[Peasants]]*Constants!$B$55,0), 0) * IF(AND(TblMagic[[#This Row],[Active DnD]]&lt;=12,TblMagic[[#This Row],[Active DnD]]&gt;6),1.6,1),0)</f>
        <v>4</v>
      </c>
      <c r="AA102" s="142"/>
      <c r="AB102" s="143">
        <f ca="1">Overview!$I$17 + IF(Magic!AF102&gt;0,Constants!$F$78) + ROUND(6*(Construction!BM103+Construction!CK102)/IF(Explore!S103&gt;0,Construction!F103-20,Construction!F103),4) + tech_6_5_2*Techs!BJ102 + tech_8_4*Techs!BT102</f>
        <v>0</v>
      </c>
      <c r="AC102" s="139">
        <f ca="1">(Overview!$I$16 + Imps!Z102+ tech_2_5*Techs!AB102 + tech_3_6*Techs!AM102 + tech_6_1*Techs!BJ102 + tech_6_5*Techs!BF102 + tech_7_3_2*Techs!BN102) * (1 + Production!O102/100*prestige_pop_multiplier) + Production!O102/100*prestige_pop_multiplier</f>
        <v>2.5000000000000001E-2</v>
      </c>
    </row>
    <row r="103" spans="1:29" x14ac:dyDescent="0.2">
      <c r="A103" s="137">
        <f>TblRezone[[#This Row],[Hour]]</f>
        <v>100</v>
      </c>
      <c r="B103" s="138">
        <f ca="1">TblImps[[#This Row],[Time]]</f>
        <v>46051.12499999976</v>
      </c>
      <c r="C103" s="94">
        <f ca="1">OFFSET(TblPop[[#This Row],[Peasants]],-1,0)+OFFSET(TblPop[[#This Row],[Net Peasant]],-1,0)+TblMili[[#This Row],[Release Draft]]</f>
        <v>371</v>
      </c>
      <c r="D103" s="94">
        <f ca="1">TblMili[[#This Row],[Military]]</f>
        <v>705</v>
      </c>
      <c r="E103" s="94">
        <f ca="1">TblMili[[#This Row],[Draftees]]</f>
        <v>705</v>
      </c>
      <c r="F103" s="94">
        <f ca="1">TblPop[[#This Row],[Peasants]]+TblPop[[#This Row],[Military]]</f>
        <v>1076</v>
      </c>
      <c r="G103" s="139">
        <f ca="1">TblPop[[#This Row],[Military]]/TblPop[[#This Row],[Total]]</f>
        <v>0.65520446096654272</v>
      </c>
      <c r="H103" s="140">
        <f ca="1">MIN(TblPop[[#This Row],[Peasants]],TblPop[[#This Row],[Jobs]])</f>
        <v>371</v>
      </c>
      <c r="I103" s="139">
        <f ca="1">MIN(OFFSET(TblPop[[#This Row],[Jobs]],1,0)/TblPop[[#This Row],[Peasants]],1)</f>
        <v>1</v>
      </c>
      <c r="J103" s="140">
        <f ca="1">SUM(TblConstr[[#This Row],[Tot Alc]:[Tot GT]],TblConstr[[#This Row],[Tot Shr]:[Tot Doc]],TblConstr[[#This Row],[Dest Alc]:[Dest GT]],TblConstr[[#This Row],[Dest Shr]:[Dest Doc]])*building_employment + TblConstr[[#This Row],[Tot Fac]]*bonus_jobs_facts</f>
        <v>1000</v>
      </c>
      <c r="K103" s="141"/>
      <c r="L103" s="61">
        <f ca="1">TblPop[[#This Row],[Draftees]]</f>
        <v>705</v>
      </c>
      <c r="M103" s="61">
        <f ca="1">TblMili[[#This Row],[Unit 1]]</f>
        <v>0</v>
      </c>
      <c r="N103" s="61">
        <f ca="1">TblMili[[#This Row],[Unit 2]]</f>
        <v>0</v>
      </c>
      <c r="O103" s="61">
        <f ca="1">TblMili[[#This Row],[Unit 3]]</f>
        <v>0</v>
      </c>
      <c r="P103" s="61">
        <f ca="1">TblMili[[#This Row],[Unit 4]]</f>
        <v>0</v>
      </c>
      <c r="Q103" s="61">
        <f ca="1">TblMili[[#This Row],[Spies]]</f>
        <v>0</v>
      </c>
      <c r="R103" s="61">
        <f ca="1">TblMili[[#This Row],[Wizards]]</f>
        <v>0</v>
      </c>
      <c r="S103" s="61">
        <f ca="1">TblMili[[#This Row],[Archmages]]</f>
        <v>0</v>
      </c>
      <c r="T103" s="142"/>
      <c r="U103" s="94">
        <f ca="1">ROUND(TblPop[[#This Row],[Raw max]]*(1+OFFSET(TblPop[[#This Row],[Max pop]],-1,0)),0)+MIN(TblPop[[#This Row],[Military]]-TblPop[[#This Row],[Draftees]]-SUM(TblMili[[#This Row],[Train Unit 1]:[Train AM]]),(barracks_size + tech_8_3*TblTech[[#This Row],[8-3]])*TblConstr[[#This Row],[Tot Bar]])</f>
        <v>1076</v>
      </c>
      <c r="V10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3" s="94">
        <f ca="1">MAX(-5%*TblPop[[#This Row],[Peasants]]-TblPop[[#This Row],[Draft Growth]],MIN(OFFSET(TblPop[[#This Row],[Net max]],1,0)-TblPop[[#This Row],[Peasants]]-TblPop[[#This Row],[Military]]-TblPop[[#This Row],[Draft Growth]],TblPop[[#This Row],[Modded Birth]]-TblPop[[#This Row],[Draft Growth]]))</f>
        <v>-4</v>
      </c>
      <c r="X103" s="94">
        <f ca="1">ROUND(TblPop[[#This Row],[Raw Birth]]*(1+TblPop[[#This Row],[Growth]]),0)</f>
        <v>11</v>
      </c>
      <c r="Y103" s="94">
        <f ca="1">(TblPop[[#This Row],[Peasants]]-TblPop[[#This Row],[Draft Growth]])*raw_pop_growth</f>
        <v>11.01</v>
      </c>
      <c r="Z103" s="94">
        <f ca="1">ROUND(IF(TblPop[[#This Row],[Military%]]&lt;TblMili[[#This Row],[Draftrate]],ROUND(TblPop[[#This Row],[Peasants]]*Constants!$B$55,0), 0) * IF(AND(TblMagic[[#This Row],[Active DnD]]&lt;=12,TblMagic[[#This Row],[Active DnD]]&gt;6),1.6,1),0)</f>
        <v>4</v>
      </c>
      <c r="AA103" s="142"/>
      <c r="AB103" s="143">
        <f ca="1">Overview!$I$17 + IF(Magic!AF103&gt;0,Constants!$F$78) + ROUND(6*(Construction!BM104+Construction!CK103)/IF(Explore!S104&gt;0,Construction!F104-20,Construction!F104),4) + tech_6_5_2*Techs!BJ103 + tech_8_4*Techs!BT103</f>
        <v>0</v>
      </c>
      <c r="AC103" s="139">
        <f ca="1">(Overview!$I$16 + Imps!Z103+ tech_2_5*Techs!AB103 + tech_3_6*Techs!AM103 + tech_6_1*Techs!BJ103 + tech_6_5*Techs!BF103 + tech_7_3_2*Techs!BN103) * (1 + Production!O103/100*prestige_pop_multiplier) + Production!O103/100*prestige_pop_multiplier</f>
        <v>2.5000000000000001E-2</v>
      </c>
    </row>
    <row r="104" spans="1:29" x14ac:dyDescent="0.2">
      <c r="A104" s="137">
        <f>TblRezone[[#This Row],[Hour]]</f>
        <v>101</v>
      </c>
      <c r="B104" s="138">
        <f ca="1">TblImps[[#This Row],[Time]]</f>
        <v>46051.166666666424</v>
      </c>
      <c r="C104" s="94">
        <f ca="1">OFFSET(TblPop[[#This Row],[Peasants]],-1,0)+OFFSET(TblPop[[#This Row],[Net Peasant]],-1,0)+TblMili[[#This Row],[Release Draft]]</f>
        <v>367</v>
      </c>
      <c r="D104" s="94">
        <f ca="1">TblMili[[#This Row],[Military]]</f>
        <v>709</v>
      </c>
      <c r="E104" s="94">
        <f ca="1">TblMili[[#This Row],[Draftees]]</f>
        <v>709</v>
      </c>
      <c r="F104" s="94">
        <f ca="1">TblPop[[#This Row],[Peasants]]+TblPop[[#This Row],[Military]]</f>
        <v>1076</v>
      </c>
      <c r="G104" s="139">
        <f ca="1">TblPop[[#This Row],[Military]]/TblPop[[#This Row],[Total]]</f>
        <v>0.65892193308550184</v>
      </c>
      <c r="H104" s="140">
        <f ca="1">MIN(TblPop[[#This Row],[Peasants]],TblPop[[#This Row],[Jobs]])</f>
        <v>367</v>
      </c>
      <c r="I104" s="139">
        <f ca="1">MIN(OFFSET(TblPop[[#This Row],[Jobs]],1,0)/TblPop[[#This Row],[Peasants]],1)</f>
        <v>1</v>
      </c>
      <c r="J104" s="140">
        <f ca="1">SUM(TblConstr[[#This Row],[Tot Alc]:[Tot GT]],TblConstr[[#This Row],[Tot Shr]:[Tot Doc]],TblConstr[[#This Row],[Dest Alc]:[Dest GT]],TblConstr[[#This Row],[Dest Shr]:[Dest Doc]])*building_employment + TblConstr[[#This Row],[Tot Fac]]*bonus_jobs_facts</f>
        <v>1000</v>
      </c>
      <c r="K104" s="141"/>
      <c r="L104" s="61">
        <f ca="1">TblPop[[#This Row],[Draftees]]</f>
        <v>709</v>
      </c>
      <c r="M104" s="61">
        <f ca="1">TblMili[[#This Row],[Unit 1]]</f>
        <v>0</v>
      </c>
      <c r="N104" s="61">
        <f ca="1">TblMili[[#This Row],[Unit 2]]</f>
        <v>0</v>
      </c>
      <c r="O104" s="61">
        <f ca="1">TblMili[[#This Row],[Unit 3]]</f>
        <v>0</v>
      </c>
      <c r="P104" s="61">
        <f ca="1">TblMili[[#This Row],[Unit 4]]</f>
        <v>0</v>
      </c>
      <c r="Q104" s="61">
        <f ca="1">TblMili[[#This Row],[Spies]]</f>
        <v>0</v>
      </c>
      <c r="R104" s="61">
        <f ca="1">TblMili[[#This Row],[Wizards]]</f>
        <v>0</v>
      </c>
      <c r="S104" s="61">
        <f ca="1">TblMili[[#This Row],[Archmages]]</f>
        <v>0</v>
      </c>
      <c r="T104" s="142"/>
      <c r="U104" s="94">
        <f ca="1">ROUND(TblPop[[#This Row],[Raw max]]*(1+OFFSET(TblPop[[#This Row],[Max pop]],-1,0)),0)+MIN(TblPop[[#This Row],[Military]]-TblPop[[#This Row],[Draftees]]-SUM(TblMili[[#This Row],[Train Unit 1]:[Train AM]]),(barracks_size + tech_8_3*TblTech[[#This Row],[8-3]])*TblConstr[[#This Row],[Tot Bar]])</f>
        <v>1076</v>
      </c>
      <c r="V10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4" s="94">
        <f ca="1">MAX(-5%*TblPop[[#This Row],[Peasants]]-TblPop[[#This Row],[Draft Growth]],MIN(OFFSET(TblPop[[#This Row],[Net max]],1,0)-TblPop[[#This Row],[Peasants]]-TblPop[[#This Row],[Military]]-TblPop[[#This Row],[Draft Growth]],TblPop[[#This Row],[Modded Birth]]-TblPop[[#This Row],[Draft Growth]]))</f>
        <v>-4</v>
      </c>
      <c r="X104" s="94">
        <f ca="1">ROUND(TblPop[[#This Row],[Raw Birth]]*(1+TblPop[[#This Row],[Growth]]),0)</f>
        <v>11</v>
      </c>
      <c r="Y104" s="94">
        <f ca="1">(TblPop[[#This Row],[Peasants]]-TblPop[[#This Row],[Draft Growth]])*raw_pop_growth</f>
        <v>10.889999999999999</v>
      </c>
      <c r="Z104" s="94">
        <f ca="1">ROUND(IF(TblPop[[#This Row],[Military%]]&lt;TblMili[[#This Row],[Draftrate]],ROUND(TblPop[[#This Row],[Peasants]]*Constants!$B$55,0), 0) * IF(AND(TblMagic[[#This Row],[Active DnD]]&lt;=12,TblMagic[[#This Row],[Active DnD]]&gt;6),1.6,1),0)</f>
        <v>4</v>
      </c>
      <c r="AA104" s="142"/>
      <c r="AB104" s="143">
        <f ca="1">Overview!$I$17 + IF(Magic!AF104&gt;0,Constants!$F$78) + ROUND(6*(Construction!BM105+Construction!CK104)/IF(Explore!S105&gt;0,Construction!F105-20,Construction!F105),4) + tech_6_5_2*Techs!BJ104 + tech_8_4*Techs!BT104</f>
        <v>0</v>
      </c>
      <c r="AC104" s="139">
        <f ca="1">(Overview!$I$16 + Imps!Z104+ tech_2_5*Techs!AB104 + tech_3_6*Techs!AM104 + tech_6_1*Techs!BJ104 + tech_6_5*Techs!BF104 + tech_7_3_2*Techs!BN104) * (1 + Production!O104/100*prestige_pop_multiplier) + Production!O104/100*prestige_pop_multiplier</f>
        <v>2.5000000000000001E-2</v>
      </c>
    </row>
    <row r="105" spans="1:29" x14ac:dyDescent="0.2">
      <c r="A105" s="137">
        <f>TblRezone[[#This Row],[Hour]]</f>
        <v>102</v>
      </c>
      <c r="B105" s="138">
        <f ca="1">TblImps[[#This Row],[Time]]</f>
        <v>46051.208333333088</v>
      </c>
      <c r="C105" s="94">
        <f ca="1">OFFSET(TblPop[[#This Row],[Peasants]],-1,0)+OFFSET(TblPop[[#This Row],[Net Peasant]],-1,0)+TblMili[[#This Row],[Release Draft]]</f>
        <v>363</v>
      </c>
      <c r="D105" s="94">
        <f ca="1">TblMili[[#This Row],[Military]]</f>
        <v>713</v>
      </c>
      <c r="E105" s="94">
        <f ca="1">TblMili[[#This Row],[Draftees]]</f>
        <v>713</v>
      </c>
      <c r="F105" s="94">
        <f ca="1">TblPop[[#This Row],[Peasants]]+TblPop[[#This Row],[Military]]</f>
        <v>1076</v>
      </c>
      <c r="G105" s="139">
        <f ca="1">TblPop[[#This Row],[Military]]/TblPop[[#This Row],[Total]]</f>
        <v>0.66263940520446096</v>
      </c>
      <c r="H105" s="140">
        <f ca="1">MIN(TblPop[[#This Row],[Peasants]],TblPop[[#This Row],[Jobs]])</f>
        <v>363</v>
      </c>
      <c r="I105" s="139">
        <f ca="1">MIN(OFFSET(TblPop[[#This Row],[Jobs]],1,0)/TblPop[[#This Row],[Peasants]],1)</f>
        <v>1</v>
      </c>
      <c r="J105" s="140">
        <f ca="1">SUM(TblConstr[[#This Row],[Tot Alc]:[Tot GT]],TblConstr[[#This Row],[Tot Shr]:[Tot Doc]],TblConstr[[#This Row],[Dest Alc]:[Dest GT]],TblConstr[[#This Row],[Dest Shr]:[Dest Doc]])*building_employment + TblConstr[[#This Row],[Tot Fac]]*bonus_jobs_facts</f>
        <v>1000</v>
      </c>
      <c r="K105" s="141"/>
      <c r="L105" s="61">
        <f ca="1">TblPop[[#This Row],[Draftees]]</f>
        <v>713</v>
      </c>
      <c r="M105" s="61">
        <f ca="1">TblMili[[#This Row],[Unit 1]]</f>
        <v>0</v>
      </c>
      <c r="N105" s="61">
        <f ca="1">TblMili[[#This Row],[Unit 2]]</f>
        <v>0</v>
      </c>
      <c r="O105" s="61">
        <f ca="1">TblMili[[#This Row],[Unit 3]]</f>
        <v>0</v>
      </c>
      <c r="P105" s="61">
        <f ca="1">TblMili[[#This Row],[Unit 4]]</f>
        <v>0</v>
      </c>
      <c r="Q105" s="61">
        <f ca="1">TblMili[[#This Row],[Spies]]</f>
        <v>0</v>
      </c>
      <c r="R105" s="61">
        <f ca="1">TblMili[[#This Row],[Wizards]]</f>
        <v>0</v>
      </c>
      <c r="S105" s="61">
        <f ca="1">TblMili[[#This Row],[Archmages]]</f>
        <v>0</v>
      </c>
      <c r="T105" s="142"/>
      <c r="U105" s="94">
        <f ca="1">ROUND(TblPop[[#This Row],[Raw max]]*(1+OFFSET(TblPop[[#This Row],[Max pop]],-1,0)),0)+MIN(TblPop[[#This Row],[Military]]-TblPop[[#This Row],[Draftees]]-SUM(TblMili[[#This Row],[Train Unit 1]:[Train AM]]),(barracks_size + tech_8_3*TblTech[[#This Row],[8-3]])*TblConstr[[#This Row],[Tot Bar]])</f>
        <v>1076</v>
      </c>
      <c r="V10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5" s="94">
        <f ca="1">MAX(-5%*TblPop[[#This Row],[Peasants]]-TblPop[[#This Row],[Draft Growth]],MIN(OFFSET(TblPop[[#This Row],[Net max]],1,0)-TblPop[[#This Row],[Peasants]]-TblPop[[#This Row],[Military]]-TblPop[[#This Row],[Draft Growth]],TblPop[[#This Row],[Modded Birth]]-TblPop[[#This Row],[Draft Growth]]))</f>
        <v>-4</v>
      </c>
      <c r="X105" s="94">
        <f ca="1">ROUND(TblPop[[#This Row],[Raw Birth]]*(1+TblPop[[#This Row],[Growth]]),0)</f>
        <v>11</v>
      </c>
      <c r="Y105" s="94">
        <f ca="1">(TblPop[[#This Row],[Peasants]]-TblPop[[#This Row],[Draft Growth]])*raw_pop_growth</f>
        <v>10.77</v>
      </c>
      <c r="Z105" s="94">
        <f ca="1">ROUND(IF(TblPop[[#This Row],[Military%]]&lt;TblMili[[#This Row],[Draftrate]],ROUND(TblPop[[#This Row],[Peasants]]*Constants!$B$55,0), 0) * IF(AND(TblMagic[[#This Row],[Active DnD]]&lt;=12,TblMagic[[#This Row],[Active DnD]]&gt;6),1.6,1),0)</f>
        <v>4</v>
      </c>
      <c r="AA105" s="142"/>
      <c r="AB105" s="143">
        <f ca="1">Overview!$I$17 + IF(Magic!AF105&gt;0,Constants!$F$78) + ROUND(6*(Construction!BM106+Construction!CK105)/IF(Explore!S106&gt;0,Construction!F106-20,Construction!F106),4) + tech_6_5_2*Techs!BJ105 + tech_8_4*Techs!BT105</f>
        <v>0</v>
      </c>
      <c r="AC105" s="139">
        <f ca="1">(Overview!$I$16 + Imps!Z105+ tech_2_5*Techs!AB105 + tech_3_6*Techs!AM105 + tech_6_1*Techs!BJ105 + tech_6_5*Techs!BF105 + tech_7_3_2*Techs!BN105) * (1 + Production!O105/100*prestige_pop_multiplier) + Production!O105/100*prestige_pop_multiplier</f>
        <v>2.5000000000000001E-2</v>
      </c>
    </row>
    <row r="106" spans="1:29" x14ac:dyDescent="0.2">
      <c r="A106" s="137">
        <f>TblRezone[[#This Row],[Hour]]</f>
        <v>103</v>
      </c>
      <c r="B106" s="138">
        <f ca="1">TblImps[[#This Row],[Time]]</f>
        <v>46051.249999999753</v>
      </c>
      <c r="C106" s="94">
        <f ca="1">OFFSET(TblPop[[#This Row],[Peasants]],-1,0)+OFFSET(TblPop[[#This Row],[Net Peasant]],-1,0)+TblMili[[#This Row],[Release Draft]]</f>
        <v>359</v>
      </c>
      <c r="D106" s="94">
        <f ca="1">TblMili[[#This Row],[Military]]</f>
        <v>717</v>
      </c>
      <c r="E106" s="94">
        <f ca="1">TblMili[[#This Row],[Draftees]]</f>
        <v>717</v>
      </c>
      <c r="F106" s="94">
        <f ca="1">TblPop[[#This Row],[Peasants]]+TblPop[[#This Row],[Military]]</f>
        <v>1076</v>
      </c>
      <c r="G106" s="139">
        <f ca="1">TblPop[[#This Row],[Military]]/TblPop[[#This Row],[Total]]</f>
        <v>0.66635687732342008</v>
      </c>
      <c r="H106" s="140">
        <f ca="1">MIN(TblPop[[#This Row],[Peasants]],TblPop[[#This Row],[Jobs]])</f>
        <v>359</v>
      </c>
      <c r="I106" s="139">
        <f ca="1">MIN(OFFSET(TblPop[[#This Row],[Jobs]],1,0)/TblPop[[#This Row],[Peasants]],1)</f>
        <v>1</v>
      </c>
      <c r="J106" s="140">
        <f ca="1">SUM(TblConstr[[#This Row],[Tot Alc]:[Tot GT]],TblConstr[[#This Row],[Tot Shr]:[Tot Doc]],TblConstr[[#This Row],[Dest Alc]:[Dest GT]],TblConstr[[#This Row],[Dest Shr]:[Dest Doc]])*building_employment + TblConstr[[#This Row],[Tot Fac]]*bonus_jobs_facts</f>
        <v>1000</v>
      </c>
      <c r="K106" s="141"/>
      <c r="L106" s="61">
        <f ca="1">TblPop[[#This Row],[Draftees]]</f>
        <v>717</v>
      </c>
      <c r="M106" s="61">
        <f ca="1">TblMili[[#This Row],[Unit 1]]</f>
        <v>0</v>
      </c>
      <c r="N106" s="61">
        <f ca="1">TblMili[[#This Row],[Unit 2]]</f>
        <v>0</v>
      </c>
      <c r="O106" s="61">
        <f ca="1">TblMili[[#This Row],[Unit 3]]</f>
        <v>0</v>
      </c>
      <c r="P106" s="61">
        <f ca="1">TblMili[[#This Row],[Unit 4]]</f>
        <v>0</v>
      </c>
      <c r="Q106" s="61">
        <f ca="1">TblMili[[#This Row],[Spies]]</f>
        <v>0</v>
      </c>
      <c r="R106" s="61">
        <f ca="1">TblMili[[#This Row],[Wizards]]</f>
        <v>0</v>
      </c>
      <c r="S106" s="61">
        <f ca="1">TblMili[[#This Row],[Archmages]]</f>
        <v>0</v>
      </c>
      <c r="T106" s="142"/>
      <c r="U106" s="94">
        <f ca="1">ROUND(TblPop[[#This Row],[Raw max]]*(1+OFFSET(TblPop[[#This Row],[Max pop]],-1,0)),0)+MIN(TblPop[[#This Row],[Military]]-TblPop[[#This Row],[Draftees]]-SUM(TblMili[[#This Row],[Train Unit 1]:[Train AM]]),(barracks_size + tech_8_3*TblTech[[#This Row],[8-3]])*TblConstr[[#This Row],[Tot Bar]])</f>
        <v>1076</v>
      </c>
      <c r="V10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6" s="94">
        <f ca="1">MAX(-5%*TblPop[[#This Row],[Peasants]]-TblPop[[#This Row],[Draft Growth]],MIN(OFFSET(TblPop[[#This Row],[Net max]],1,0)-TblPop[[#This Row],[Peasants]]-TblPop[[#This Row],[Military]]-TblPop[[#This Row],[Draft Growth]],TblPop[[#This Row],[Modded Birth]]-TblPop[[#This Row],[Draft Growth]]))</f>
        <v>-4</v>
      </c>
      <c r="X106" s="94">
        <f ca="1">ROUND(TblPop[[#This Row],[Raw Birth]]*(1+TblPop[[#This Row],[Growth]]),0)</f>
        <v>11</v>
      </c>
      <c r="Y106" s="94">
        <f ca="1">(TblPop[[#This Row],[Peasants]]-TblPop[[#This Row],[Draft Growth]])*raw_pop_growth</f>
        <v>10.65</v>
      </c>
      <c r="Z106" s="94">
        <f ca="1">ROUND(IF(TblPop[[#This Row],[Military%]]&lt;TblMili[[#This Row],[Draftrate]],ROUND(TblPop[[#This Row],[Peasants]]*Constants!$B$55,0), 0) * IF(AND(TblMagic[[#This Row],[Active DnD]]&lt;=12,TblMagic[[#This Row],[Active DnD]]&gt;6),1.6,1),0)</f>
        <v>4</v>
      </c>
      <c r="AA106" s="142"/>
      <c r="AB106" s="143">
        <f ca="1">Overview!$I$17 + IF(Magic!AF106&gt;0,Constants!$F$78) + ROUND(6*(Construction!BM107+Construction!CK106)/IF(Explore!S107&gt;0,Construction!F107-20,Construction!F107),4) + tech_6_5_2*Techs!BJ106 + tech_8_4*Techs!BT106</f>
        <v>0</v>
      </c>
      <c r="AC106" s="139">
        <f ca="1">(Overview!$I$16 + Imps!Z106+ tech_2_5*Techs!AB106 + tech_3_6*Techs!AM106 + tech_6_1*Techs!BJ106 + tech_6_5*Techs!BF106 + tech_7_3_2*Techs!BN106) * (1 + Production!O106/100*prestige_pop_multiplier) + Production!O106/100*prestige_pop_multiplier</f>
        <v>2.5000000000000001E-2</v>
      </c>
    </row>
    <row r="107" spans="1:29" x14ac:dyDescent="0.2">
      <c r="A107" s="137">
        <f>TblRezone[[#This Row],[Hour]]</f>
        <v>104</v>
      </c>
      <c r="B107" s="138">
        <f ca="1">TblImps[[#This Row],[Time]]</f>
        <v>46051.291666666417</v>
      </c>
      <c r="C107" s="94">
        <f ca="1">OFFSET(TblPop[[#This Row],[Peasants]],-1,0)+OFFSET(TblPop[[#This Row],[Net Peasant]],-1,0)+TblMili[[#This Row],[Release Draft]]</f>
        <v>355</v>
      </c>
      <c r="D107" s="94">
        <f ca="1">TblMili[[#This Row],[Military]]</f>
        <v>721</v>
      </c>
      <c r="E107" s="94">
        <f ca="1">TblMili[[#This Row],[Draftees]]</f>
        <v>721</v>
      </c>
      <c r="F107" s="94">
        <f ca="1">TblPop[[#This Row],[Peasants]]+TblPop[[#This Row],[Military]]</f>
        <v>1076</v>
      </c>
      <c r="G107" s="139">
        <f ca="1">TblPop[[#This Row],[Military]]/TblPop[[#This Row],[Total]]</f>
        <v>0.6700743494423792</v>
      </c>
      <c r="H107" s="140">
        <f ca="1">MIN(TblPop[[#This Row],[Peasants]],TblPop[[#This Row],[Jobs]])</f>
        <v>355</v>
      </c>
      <c r="I107" s="139">
        <f ca="1">MIN(OFFSET(TblPop[[#This Row],[Jobs]],1,0)/TblPop[[#This Row],[Peasants]],1)</f>
        <v>1</v>
      </c>
      <c r="J107" s="140">
        <f ca="1">SUM(TblConstr[[#This Row],[Tot Alc]:[Tot GT]],TblConstr[[#This Row],[Tot Shr]:[Tot Doc]],TblConstr[[#This Row],[Dest Alc]:[Dest GT]],TblConstr[[#This Row],[Dest Shr]:[Dest Doc]])*building_employment + TblConstr[[#This Row],[Tot Fac]]*bonus_jobs_facts</f>
        <v>1000</v>
      </c>
      <c r="K107" s="141"/>
      <c r="L107" s="61">
        <f ca="1">TblPop[[#This Row],[Draftees]]</f>
        <v>721</v>
      </c>
      <c r="M107" s="61">
        <f ca="1">TblMili[[#This Row],[Unit 1]]</f>
        <v>0</v>
      </c>
      <c r="N107" s="61">
        <f ca="1">TblMili[[#This Row],[Unit 2]]</f>
        <v>0</v>
      </c>
      <c r="O107" s="61">
        <f ca="1">TblMili[[#This Row],[Unit 3]]</f>
        <v>0</v>
      </c>
      <c r="P107" s="61">
        <f ca="1">TblMili[[#This Row],[Unit 4]]</f>
        <v>0</v>
      </c>
      <c r="Q107" s="61">
        <f ca="1">TblMili[[#This Row],[Spies]]</f>
        <v>0</v>
      </c>
      <c r="R107" s="61">
        <f ca="1">TblMili[[#This Row],[Wizards]]</f>
        <v>0</v>
      </c>
      <c r="S107" s="61">
        <f ca="1">TblMili[[#This Row],[Archmages]]</f>
        <v>0</v>
      </c>
      <c r="T107" s="142"/>
      <c r="U107" s="94">
        <f ca="1">ROUND(TblPop[[#This Row],[Raw max]]*(1+OFFSET(TblPop[[#This Row],[Max pop]],-1,0)),0)+MIN(TblPop[[#This Row],[Military]]-TblPop[[#This Row],[Draftees]]-SUM(TblMili[[#This Row],[Train Unit 1]:[Train AM]]),(barracks_size + tech_8_3*TblTech[[#This Row],[8-3]])*TblConstr[[#This Row],[Tot Bar]])</f>
        <v>1076</v>
      </c>
      <c r="V10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7" s="94">
        <f ca="1">MAX(-5%*TblPop[[#This Row],[Peasants]]-TblPop[[#This Row],[Draft Growth]],MIN(OFFSET(TblPop[[#This Row],[Net max]],1,0)-TblPop[[#This Row],[Peasants]]-TblPop[[#This Row],[Military]]-TblPop[[#This Row],[Draft Growth]],TblPop[[#This Row],[Modded Birth]]-TblPop[[#This Row],[Draft Growth]]))</f>
        <v>-4</v>
      </c>
      <c r="X107" s="94">
        <f ca="1">ROUND(TblPop[[#This Row],[Raw Birth]]*(1+TblPop[[#This Row],[Growth]]),0)</f>
        <v>11</v>
      </c>
      <c r="Y107" s="94">
        <f ca="1">(TblPop[[#This Row],[Peasants]]-TblPop[[#This Row],[Draft Growth]])*raw_pop_growth</f>
        <v>10.53</v>
      </c>
      <c r="Z107" s="94">
        <f ca="1">ROUND(IF(TblPop[[#This Row],[Military%]]&lt;TblMili[[#This Row],[Draftrate]],ROUND(TblPop[[#This Row],[Peasants]]*Constants!$B$55,0), 0) * IF(AND(TblMagic[[#This Row],[Active DnD]]&lt;=12,TblMagic[[#This Row],[Active DnD]]&gt;6),1.6,1),0)</f>
        <v>4</v>
      </c>
      <c r="AA107" s="142"/>
      <c r="AB107" s="143">
        <f ca="1">Overview!$I$17 + IF(Magic!AF107&gt;0,Constants!$F$78) + ROUND(6*(Construction!BM108+Construction!CK107)/IF(Explore!S108&gt;0,Construction!F108-20,Construction!F108),4) + tech_6_5_2*Techs!BJ107 + tech_8_4*Techs!BT107</f>
        <v>0</v>
      </c>
      <c r="AC107" s="139">
        <f ca="1">(Overview!$I$16 + Imps!Z107+ tech_2_5*Techs!AB107 + tech_3_6*Techs!AM107 + tech_6_1*Techs!BJ107 + tech_6_5*Techs!BF107 + tech_7_3_2*Techs!BN107) * (1 + Production!O107/100*prestige_pop_multiplier) + Production!O107/100*prestige_pop_multiplier</f>
        <v>2.5000000000000001E-2</v>
      </c>
    </row>
    <row r="108" spans="1:29" x14ac:dyDescent="0.2">
      <c r="A108" s="137">
        <f>TblRezone[[#This Row],[Hour]]</f>
        <v>105</v>
      </c>
      <c r="B108" s="138">
        <f ca="1">TblImps[[#This Row],[Time]]</f>
        <v>46051.333333333081</v>
      </c>
      <c r="C108" s="94">
        <f ca="1">OFFSET(TblPop[[#This Row],[Peasants]],-1,0)+OFFSET(TblPop[[#This Row],[Net Peasant]],-1,0)+TblMili[[#This Row],[Release Draft]]</f>
        <v>351</v>
      </c>
      <c r="D108" s="94">
        <f ca="1">TblMili[[#This Row],[Military]]</f>
        <v>725</v>
      </c>
      <c r="E108" s="94">
        <f ca="1">TblMili[[#This Row],[Draftees]]</f>
        <v>725</v>
      </c>
      <c r="F108" s="94">
        <f ca="1">TblPop[[#This Row],[Peasants]]+TblPop[[#This Row],[Military]]</f>
        <v>1076</v>
      </c>
      <c r="G108" s="139">
        <f ca="1">TblPop[[#This Row],[Military]]/TblPop[[#This Row],[Total]]</f>
        <v>0.67379182156133832</v>
      </c>
      <c r="H108" s="140">
        <f ca="1">MIN(TblPop[[#This Row],[Peasants]],TblPop[[#This Row],[Jobs]])</f>
        <v>351</v>
      </c>
      <c r="I108" s="139">
        <f ca="1">MIN(OFFSET(TblPop[[#This Row],[Jobs]],1,0)/TblPop[[#This Row],[Peasants]],1)</f>
        <v>1</v>
      </c>
      <c r="J108" s="140">
        <f ca="1">SUM(TblConstr[[#This Row],[Tot Alc]:[Tot GT]],TblConstr[[#This Row],[Tot Shr]:[Tot Doc]],TblConstr[[#This Row],[Dest Alc]:[Dest GT]],TblConstr[[#This Row],[Dest Shr]:[Dest Doc]])*building_employment + TblConstr[[#This Row],[Tot Fac]]*bonus_jobs_facts</f>
        <v>1000</v>
      </c>
      <c r="K108" s="141"/>
      <c r="L108" s="61">
        <f ca="1">TblPop[[#This Row],[Draftees]]</f>
        <v>725</v>
      </c>
      <c r="M108" s="61">
        <f ca="1">TblMili[[#This Row],[Unit 1]]</f>
        <v>0</v>
      </c>
      <c r="N108" s="61">
        <f ca="1">TblMili[[#This Row],[Unit 2]]</f>
        <v>0</v>
      </c>
      <c r="O108" s="61">
        <f ca="1">TblMili[[#This Row],[Unit 3]]</f>
        <v>0</v>
      </c>
      <c r="P108" s="61">
        <f ca="1">TblMili[[#This Row],[Unit 4]]</f>
        <v>0</v>
      </c>
      <c r="Q108" s="61">
        <f ca="1">TblMili[[#This Row],[Spies]]</f>
        <v>0</v>
      </c>
      <c r="R108" s="61">
        <f ca="1">TblMili[[#This Row],[Wizards]]</f>
        <v>0</v>
      </c>
      <c r="S108" s="61">
        <f ca="1">TblMili[[#This Row],[Archmages]]</f>
        <v>0</v>
      </c>
      <c r="T108" s="142"/>
      <c r="U108" s="94">
        <f ca="1">ROUND(TblPop[[#This Row],[Raw max]]*(1+OFFSET(TblPop[[#This Row],[Max pop]],-1,0)),0)+MIN(TblPop[[#This Row],[Military]]-TblPop[[#This Row],[Draftees]]-SUM(TblMili[[#This Row],[Train Unit 1]:[Train AM]]),(barracks_size + tech_8_3*TblTech[[#This Row],[8-3]])*TblConstr[[#This Row],[Tot Bar]])</f>
        <v>1076</v>
      </c>
      <c r="V10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8" s="94">
        <f ca="1">MAX(-5%*TblPop[[#This Row],[Peasants]]-TblPop[[#This Row],[Draft Growth]],MIN(OFFSET(TblPop[[#This Row],[Net max]],1,0)-TblPop[[#This Row],[Peasants]]-TblPop[[#This Row],[Military]]-TblPop[[#This Row],[Draft Growth]],TblPop[[#This Row],[Modded Birth]]-TblPop[[#This Row],[Draft Growth]]))</f>
        <v>-4</v>
      </c>
      <c r="X108" s="94">
        <f ca="1">ROUND(TblPop[[#This Row],[Raw Birth]]*(1+TblPop[[#This Row],[Growth]]),0)</f>
        <v>10</v>
      </c>
      <c r="Y108" s="94">
        <f ca="1">(TblPop[[#This Row],[Peasants]]-TblPop[[#This Row],[Draft Growth]])*raw_pop_growth</f>
        <v>10.41</v>
      </c>
      <c r="Z108" s="94">
        <f ca="1">ROUND(IF(TblPop[[#This Row],[Military%]]&lt;TblMili[[#This Row],[Draftrate]],ROUND(TblPop[[#This Row],[Peasants]]*Constants!$B$55,0), 0) * IF(AND(TblMagic[[#This Row],[Active DnD]]&lt;=12,TblMagic[[#This Row],[Active DnD]]&gt;6),1.6,1),0)</f>
        <v>4</v>
      </c>
      <c r="AA108" s="142"/>
      <c r="AB108" s="143">
        <f ca="1">Overview!$I$17 + IF(Magic!AF108&gt;0,Constants!$F$78) + ROUND(6*(Construction!BM109+Construction!CK108)/IF(Explore!S109&gt;0,Construction!F109-20,Construction!F109),4) + tech_6_5_2*Techs!BJ108 + tech_8_4*Techs!BT108</f>
        <v>0</v>
      </c>
      <c r="AC108" s="139">
        <f ca="1">(Overview!$I$16 + Imps!Z108+ tech_2_5*Techs!AB108 + tech_3_6*Techs!AM108 + tech_6_1*Techs!BJ108 + tech_6_5*Techs!BF108 + tech_7_3_2*Techs!BN108) * (1 + Production!O108/100*prestige_pop_multiplier) + Production!O108/100*prestige_pop_multiplier</f>
        <v>2.5000000000000001E-2</v>
      </c>
    </row>
    <row r="109" spans="1:29" x14ac:dyDescent="0.2">
      <c r="A109" s="137">
        <f>TblRezone[[#This Row],[Hour]]</f>
        <v>106</v>
      </c>
      <c r="B109" s="138">
        <f ca="1">TblImps[[#This Row],[Time]]</f>
        <v>46051.374999999745</v>
      </c>
      <c r="C109" s="94">
        <f ca="1">OFFSET(TblPop[[#This Row],[Peasants]],-1,0)+OFFSET(TblPop[[#This Row],[Net Peasant]],-1,0)+TblMili[[#This Row],[Release Draft]]</f>
        <v>347</v>
      </c>
      <c r="D109" s="94">
        <f ca="1">TblMili[[#This Row],[Military]]</f>
        <v>729</v>
      </c>
      <c r="E109" s="94">
        <f ca="1">TblMili[[#This Row],[Draftees]]</f>
        <v>729</v>
      </c>
      <c r="F109" s="94">
        <f ca="1">TblPop[[#This Row],[Peasants]]+TblPop[[#This Row],[Military]]</f>
        <v>1076</v>
      </c>
      <c r="G109" s="139">
        <f ca="1">TblPop[[#This Row],[Military]]/TblPop[[#This Row],[Total]]</f>
        <v>0.67750929368029744</v>
      </c>
      <c r="H109" s="140">
        <f ca="1">MIN(TblPop[[#This Row],[Peasants]],TblPop[[#This Row],[Jobs]])</f>
        <v>347</v>
      </c>
      <c r="I109" s="139">
        <f ca="1">MIN(OFFSET(TblPop[[#This Row],[Jobs]],1,0)/TblPop[[#This Row],[Peasants]],1)</f>
        <v>1</v>
      </c>
      <c r="J109" s="140">
        <f ca="1">SUM(TblConstr[[#This Row],[Tot Alc]:[Tot GT]],TblConstr[[#This Row],[Tot Shr]:[Tot Doc]],TblConstr[[#This Row],[Dest Alc]:[Dest GT]],TblConstr[[#This Row],[Dest Shr]:[Dest Doc]])*building_employment + TblConstr[[#This Row],[Tot Fac]]*bonus_jobs_facts</f>
        <v>1000</v>
      </c>
      <c r="K109" s="141"/>
      <c r="L109" s="61">
        <f ca="1">TblPop[[#This Row],[Draftees]]</f>
        <v>729</v>
      </c>
      <c r="M109" s="61">
        <f ca="1">TblMili[[#This Row],[Unit 1]]</f>
        <v>0</v>
      </c>
      <c r="N109" s="61">
        <f ca="1">TblMili[[#This Row],[Unit 2]]</f>
        <v>0</v>
      </c>
      <c r="O109" s="61">
        <f ca="1">TblMili[[#This Row],[Unit 3]]</f>
        <v>0</v>
      </c>
      <c r="P109" s="61">
        <f ca="1">TblMili[[#This Row],[Unit 4]]</f>
        <v>0</v>
      </c>
      <c r="Q109" s="61">
        <f ca="1">TblMili[[#This Row],[Spies]]</f>
        <v>0</v>
      </c>
      <c r="R109" s="61">
        <f ca="1">TblMili[[#This Row],[Wizards]]</f>
        <v>0</v>
      </c>
      <c r="S109" s="61">
        <f ca="1">TblMili[[#This Row],[Archmages]]</f>
        <v>0</v>
      </c>
      <c r="T109" s="142"/>
      <c r="U109" s="94">
        <f ca="1">ROUND(TblPop[[#This Row],[Raw max]]*(1+OFFSET(TblPop[[#This Row],[Max pop]],-1,0)),0)+MIN(TblPop[[#This Row],[Military]]-TblPop[[#This Row],[Draftees]]-SUM(TblMili[[#This Row],[Train Unit 1]:[Train AM]]),(barracks_size + tech_8_3*TblTech[[#This Row],[8-3]])*TblConstr[[#This Row],[Tot Bar]])</f>
        <v>1076</v>
      </c>
      <c r="V10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09" s="94">
        <f ca="1">MAX(-5%*TblPop[[#This Row],[Peasants]]-TblPop[[#This Row],[Draft Growth]],MIN(OFFSET(TblPop[[#This Row],[Net max]],1,0)-TblPop[[#This Row],[Peasants]]-TblPop[[#This Row],[Military]]-TblPop[[#This Row],[Draft Growth]],TblPop[[#This Row],[Modded Birth]]-TblPop[[#This Row],[Draft Growth]]))</f>
        <v>-3</v>
      </c>
      <c r="X109" s="94">
        <f ca="1">ROUND(TblPop[[#This Row],[Raw Birth]]*(1+TblPop[[#This Row],[Growth]]),0)</f>
        <v>10</v>
      </c>
      <c r="Y109" s="94">
        <f ca="1">(TblPop[[#This Row],[Peasants]]-TblPop[[#This Row],[Draft Growth]])*raw_pop_growth</f>
        <v>10.32</v>
      </c>
      <c r="Z109" s="94">
        <f ca="1">ROUND(IF(TblPop[[#This Row],[Military%]]&lt;TblMili[[#This Row],[Draftrate]],ROUND(TblPop[[#This Row],[Peasants]]*Constants!$B$55,0), 0) * IF(AND(TblMagic[[#This Row],[Active DnD]]&lt;=12,TblMagic[[#This Row],[Active DnD]]&gt;6),1.6,1),0)</f>
        <v>3</v>
      </c>
      <c r="AA109" s="142"/>
      <c r="AB109" s="143">
        <f ca="1">Overview!$I$17 + IF(Magic!AF109&gt;0,Constants!$F$78) + ROUND(6*(Construction!BM110+Construction!CK109)/IF(Explore!S110&gt;0,Construction!F110-20,Construction!F110),4) + tech_6_5_2*Techs!BJ109 + tech_8_4*Techs!BT109</f>
        <v>0</v>
      </c>
      <c r="AC109" s="139">
        <f ca="1">(Overview!$I$16 + Imps!Z109+ tech_2_5*Techs!AB109 + tech_3_6*Techs!AM109 + tech_6_1*Techs!BJ109 + tech_6_5*Techs!BF109 + tech_7_3_2*Techs!BN109) * (1 + Production!O109/100*prestige_pop_multiplier) + Production!O109/100*prestige_pop_multiplier</f>
        <v>2.5000000000000001E-2</v>
      </c>
    </row>
    <row r="110" spans="1:29" x14ac:dyDescent="0.2">
      <c r="A110" s="137">
        <f>TblRezone[[#This Row],[Hour]]</f>
        <v>107</v>
      </c>
      <c r="B110" s="138">
        <f ca="1">TblImps[[#This Row],[Time]]</f>
        <v>46051.41666666641</v>
      </c>
      <c r="C110" s="94">
        <f ca="1">OFFSET(TblPop[[#This Row],[Peasants]],-1,0)+OFFSET(TblPop[[#This Row],[Net Peasant]],-1,0)+TblMili[[#This Row],[Release Draft]]</f>
        <v>344</v>
      </c>
      <c r="D110" s="94">
        <f ca="1">TblMili[[#This Row],[Military]]</f>
        <v>732</v>
      </c>
      <c r="E110" s="94">
        <f ca="1">TblMili[[#This Row],[Draftees]]</f>
        <v>732</v>
      </c>
      <c r="F110" s="94">
        <f ca="1">TblPop[[#This Row],[Peasants]]+TblPop[[#This Row],[Military]]</f>
        <v>1076</v>
      </c>
      <c r="G110" s="139">
        <f ca="1">TblPop[[#This Row],[Military]]/TblPop[[#This Row],[Total]]</f>
        <v>0.6802973977695167</v>
      </c>
      <c r="H110" s="140">
        <f ca="1">MIN(TblPop[[#This Row],[Peasants]],TblPop[[#This Row],[Jobs]])</f>
        <v>344</v>
      </c>
      <c r="I110" s="139">
        <f ca="1">MIN(OFFSET(TblPop[[#This Row],[Jobs]],1,0)/TblPop[[#This Row],[Peasants]],1)</f>
        <v>1</v>
      </c>
      <c r="J110" s="140">
        <f ca="1">SUM(TblConstr[[#This Row],[Tot Alc]:[Tot GT]],TblConstr[[#This Row],[Tot Shr]:[Tot Doc]],TblConstr[[#This Row],[Dest Alc]:[Dest GT]],TblConstr[[#This Row],[Dest Shr]:[Dest Doc]])*building_employment + TblConstr[[#This Row],[Tot Fac]]*bonus_jobs_facts</f>
        <v>1000</v>
      </c>
      <c r="K110" s="141"/>
      <c r="L110" s="61">
        <f ca="1">TblPop[[#This Row],[Draftees]]</f>
        <v>732</v>
      </c>
      <c r="M110" s="61">
        <f ca="1">TblMili[[#This Row],[Unit 1]]</f>
        <v>0</v>
      </c>
      <c r="N110" s="61">
        <f ca="1">TblMili[[#This Row],[Unit 2]]</f>
        <v>0</v>
      </c>
      <c r="O110" s="61">
        <f ca="1">TblMili[[#This Row],[Unit 3]]</f>
        <v>0</v>
      </c>
      <c r="P110" s="61">
        <f ca="1">TblMili[[#This Row],[Unit 4]]</f>
        <v>0</v>
      </c>
      <c r="Q110" s="61">
        <f ca="1">TblMili[[#This Row],[Spies]]</f>
        <v>0</v>
      </c>
      <c r="R110" s="61">
        <f ca="1">TblMili[[#This Row],[Wizards]]</f>
        <v>0</v>
      </c>
      <c r="S110" s="61">
        <f ca="1">TblMili[[#This Row],[Archmages]]</f>
        <v>0</v>
      </c>
      <c r="T110" s="142"/>
      <c r="U110" s="94">
        <f ca="1">ROUND(TblPop[[#This Row],[Raw max]]*(1+OFFSET(TblPop[[#This Row],[Max pop]],-1,0)),0)+MIN(TblPop[[#This Row],[Military]]-TblPop[[#This Row],[Draftees]]-SUM(TblMili[[#This Row],[Train Unit 1]:[Train AM]]),(barracks_size + tech_8_3*TblTech[[#This Row],[8-3]])*TblConstr[[#This Row],[Tot Bar]])</f>
        <v>1076</v>
      </c>
      <c r="V11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0" s="94">
        <f ca="1">MAX(-5%*TblPop[[#This Row],[Peasants]]-TblPop[[#This Row],[Draft Growth]],MIN(OFFSET(TblPop[[#This Row],[Net max]],1,0)-TblPop[[#This Row],[Peasants]]-TblPop[[#This Row],[Military]]-TblPop[[#This Row],[Draft Growth]],TblPop[[#This Row],[Modded Birth]]-TblPop[[#This Row],[Draft Growth]]))</f>
        <v>-3</v>
      </c>
      <c r="X110" s="94">
        <f ca="1">ROUND(TblPop[[#This Row],[Raw Birth]]*(1+TblPop[[#This Row],[Growth]]),0)</f>
        <v>10</v>
      </c>
      <c r="Y110" s="94">
        <f ca="1">(TblPop[[#This Row],[Peasants]]-TblPop[[#This Row],[Draft Growth]])*raw_pop_growth</f>
        <v>10.23</v>
      </c>
      <c r="Z110" s="94">
        <f ca="1">ROUND(IF(TblPop[[#This Row],[Military%]]&lt;TblMili[[#This Row],[Draftrate]],ROUND(TblPop[[#This Row],[Peasants]]*Constants!$B$55,0), 0) * IF(AND(TblMagic[[#This Row],[Active DnD]]&lt;=12,TblMagic[[#This Row],[Active DnD]]&gt;6),1.6,1),0)</f>
        <v>3</v>
      </c>
      <c r="AA110" s="142"/>
      <c r="AB110" s="143">
        <f ca="1">Overview!$I$17 + IF(Magic!AF110&gt;0,Constants!$F$78) + ROUND(6*(Construction!BM111+Construction!CK110)/IF(Explore!S111&gt;0,Construction!F111-20,Construction!F111),4) + tech_6_5_2*Techs!BJ110 + tech_8_4*Techs!BT110</f>
        <v>0</v>
      </c>
      <c r="AC110" s="139">
        <f ca="1">(Overview!$I$16 + Imps!Z110+ tech_2_5*Techs!AB110 + tech_3_6*Techs!AM110 + tech_6_1*Techs!BJ110 + tech_6_5*Techs!BF110 + tech_7_3_2*Techs!BN110) * (1 + Production!O110/100*prestige_pop_multiplier) + Production!O110/100*prestige_pop_multiplier</f>
        <v>2.5000000000000001E-2</v>
      </c>
    </row>
    <row r="111" spans="1:29" ht="13.5" customHeight="1" x14ac:dyDescent="0.2">
      <c r="A111" s="137">
        <f>TblRezone[[#This Row],[Hour]]</f>
        <v>108</v>
      </c>
      <c r="B111" s="138">
        <f ca="1">TblImps[[#This Row],[Time]]</f>
        <v>46051.458333333074</v>
      </c>
      <c r="C111" s="94">
        <f ca="1">OFFSET(TblPop[[#This Row],[Peasants]],-1,0)+OFFSET(TblPop[[#This Row],[Net Peasant]],-1,0)+TblMili[[#This Row],[Release Draft]]</f>
        <v>341</v>
      </c>
      <c r="D111" s="94">
        <f ca="1">TblMili[[#This Row],[Military]]</f>
        <v>735</v>
      </c>
      <c r="E111" s="94">
        <f ca="1">TblMili[[#This Row],[Draftees]]</f>
        <v>735</v>
      </c>
      <c r="F111" s="94">
        <f ca="1">TblPop[[#This Row],[Peasants]]+TblPop[[#This Row],[Military]]</f>
        <v>1076</v>
      </c>
      <c r="G111" s="139">
        <f ca="1">TblPop[[#This Row],[Military]]/TblPop[[#This Row],[Total]]</f>
        <v>0.68308550185873607</v>
      </c>
      <c r="H111" s="140">
        <f ca="1">MIN(TblPop[[#This Row],[Peasants]],TblPop[[#This Row],[Jobs]])</f>
        <v>341</v>
      </c>
      <c r="I111" s="139">
        <f ca="1">MIN(OFFSET(TblPop[[#This Row],[Jobs]],1,0)/TblPop[[#This Row],[Peasants]],1)</f>
        <v>1</v>
      </c>
      <c r="J111" s="140">
        <f ca="1">SUM(TblConstr[[#This Row],[Tot Alc]:[Tot GT]],TblConstr[[#This Row],[Tot Shr]:[Tot Doc]],TblConstr[[#This Row],[Dest Alc]:[Dest GT]],TblConstr[[#This Row],[Dest Shr]:[Dest Doc]])*building_employment + TblConstr[[#This Row],[Tot Fac]]*bonus_jobs_facts</f>
        <v>1000</v>
      </c>
      <c r="K111" s="141"/>
      <c r="L111" s="61">
        <f ca="1">TblPop[[#This Row],[Draftees]]</f>
        <v>735</v>
      </c>
      <c r="M111" s="61">
        <f ca="1">TblMili[[#This Row],[Unit 1]]</f>
        <v>0</v>
      </c>
      <c r="N111" s="61">
        <f ca="1">TblMili[[#This Row],[Unit 2]]</f>
        <v>0</v>
      </c>
      <c r="O111" s="61">
        <f ca="1">TblMili[[#This Row],[Unit 3]]</f>
        <v>0</v>
      </c>
      <c r="P111" s="61">
        <f ca="1">TblMili[[#This Row],[Unit 4]]</f>
        <v>0</v>
      </c>
      <c r="Q111" s="61">
        <f ca="1">TblMili[[#This Row],[Spies]]</f>
        <v>0</v>
      </c>
      <c r="R111" s="61">
        <f ca="1">TblMili[[#This Row],[Wizards]]</f>
        <v>0</v>
      </c>
      <c r="S111" s="61">
        <f ca="1">TblMili[[#This Row],[Archmages]]</f>
        <v>0</v>
      </c>
      <c r="T111" s="142"/>
      <c r="U111" s="94">
        <f ca="1">ROUND(TblPop[[#This Row],[Raw max]]*(1+OFFSET(TblPop[[#This Row],[Max pop]],-1,0)),0)+MIN(TblPop[[#This Row],[Military]]-TblPop[[#This Row],[Draftees]]-SUM(TblMili[[#This Row],[Train Unit 1]:[Train AM]]),(barracks_size + tech_8_3*TblTech[[#This Row],[8-3]])*TblConstr[[#This Row],[Tot Bar]])</f>
        <v>1076</v>
      </c>
      <c r="V11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1" s="94">
        <f ca="1">MAX(-5%*TblPop[[#This Row],[Peasants]]-TblPop[[#This Row],[Draft Growth]],MIN(OFFSET(TblPop[[#This Row],[Net max]],1,0)-TblPop[[#This Row],[Peasants]]-TblPop[[#This Row],[Military]]-TblPop[[#This Row],[Draft Growth]],TblPop[[#This Row],[Modded Birth]]-TblPop[[#This Row],[Draft Growth]]))</f>
        <v>-3</v>
      </c>
      <c r="X111" s="94">
        <f ca="1">ROUND(TblPop[[#This Row],[Raw Birth]]*(1+TblPop[[#This Row],[Growth]]),0)</f>
        <v>10</v>
      </c>
      <c r="Y111" s="94">
        <f ca="1">(TblPop[[#This Row],[Peasants]]-TblPop[[#This Row],[Draft Growth]])*raw_pop_growth</f>
        <v>10.139999999999999</v>
      </c>
      <c r="Z111" s="94">
        <f ca="1">ROUND(IF(TblPop[[#This Row],[Military%]]&lt;TblMili[[#This Row],[Draftrate]],ROUND(TblPop[[#This Row],[Peasants]]*Constants!$B$55,0), 0) * IF(AND(TblMagic[[#This Row],[Active DnD]]&lt;=12,TblMagic[[#This Row],[Active DnD]]&gt;6),1.6,1),0)</f>
        <v>3</v>
      </c>
      <c r="AA111" s="142"/>
      <c r="AB111" s="143">
        <f ca="1">Overview!$I$17 + IF(Magic!AF111&gt;0,Constants!$F$78) + ROUND(6*(Construction!BM112+Construction!CK111)/IF(Explore!S112&gt;0,Construction!F112-20,Construction!F112),4) + tech_6_5_2*Techs!BJ111 + tech_8_4*Techs!BT111</f>
        <v>0</v>
      </c>
      <c r="AC111" s="139">
        <f ca="1">(Overview!$I$16 + Imps!Z111+ tech_2_5*Techs!AB111 + tech_3_6*Techs!AM111 + tech_6_1*Techs!BJ111 + tech_6_5*Techs!BF111 + tech_7_3_2*Techs!BN111) * (1 + Production!O111/100*prestige_pop_multiplier) + Production!O111/100*prestige_pop_multiplier</f>
        <v>2.5000000000000001E-2</v>
      </c>
    </row>
    <row r="112" spans="1:29" x14ac:dyDescent="0.2">
      <c r="A112" s="137">
        <f>TblRezone[[#This Row],[Hour]]</f>
        <v>109</v>
      </c>
      <c r="B112" s="138">
        <f ca="1">TblImps[[#This Row],[Time]]</f>
        <v>46051.499999999738</v>
      </c>
      <c r="C112" s="94">
        <f ca="1">OFFSET(TblPop[[#This Row],[Peasants]],-1,0)+OFFSET(TblPop[[#This Row],[Net Peasant]],-1,0)+TblMili[[#This Row],[Release Draft]]</f>
        <v>338</v>
      </c>
      <c r="D112" s="94">
        <f ca="1">TblMili[[#This Row],[Military]]</f>
        <v>738</v>
      </c>
      <c r="E112" s="94">
        <f ca="1">TblMili[[#This Row],[Draftees]]</f>
        <v>738</v>
      </c>
      <c r="F112" s="94">
        <f ca="1">TblPop[[#This Row],[Peasants]]+TblPop[[#This Row],[Military]]</f>
        <v>1076</v>
      </c>
      <c r="G112" s="139">
        <f ca="1">TblPop[[#This Row],[Military]]/TblPop[[#This Row],[Total]]</f>
        <v>0.68587360594795543</v>
      </c>
      <c r="H112" s="140">
        <f ca="1">MIN(TblPop[[#This Row],[Peasants]],TblPop[[#This Row],[Jobs]])</f>
        <v>338</v>
      </c>
      <c r="I112" s="139">
        <f ca="1">MIN(OFFSET(TblPop[[#This Row],[Jobs]],1,0)/TblPop[[#This Row],[Peasants]],1)</f>
        <v>1</v>
      </c>
      <c r="J112" s="140">
        <f ca="1">SUM(TblConstr[[#This Row],[Tot Alc]:[Tot GT]],TblConstr[[#This Row],[Tot Shr]:[Tot Doc]],TblConstr[[#This Row],[Dest Alc]:[Dest GT]],TblConstr[[#This Row],[Dest Shr]:[Dest Doc]])*building_employment + TblConstr[[#This Row],[Tot Fac]]*bonus_jobs_facts</f>
        <v>1000</v>
      </c>
      <c r="K112" s="141"/>
      <c r="L112" s="61">
        <f ca="1">TblPop[[#This Row],[Draftees]]</f>
        <v>738</v>
      </c>
      <c r="M112" s="61">
        <f ca="1">TblMili[[#This Row],[Unit 1]]</f>
        <v>0</v>
      </c>
      <c r="N112" s="61">
        <f ca="1">TblMili[[#This Row],[Unit 2]]</f>
        <v>0</v>
      </c>
      <c r="O112" s="61">
        <f ca="1">TblMili[[#This Row],[Unit 3]]</f>
        <v>0</v>
      </c>
      <c r="P112" s="61">
        <f ca="1">TblMili[[#This Row],[Unit 4]]</f>
        <v>0</v>
      </c>
      <c r="Q112" s="61">
        <f ca="1">TblMili[[#This Row],[Spies]]</f>
        <v>0</v>
      </c>
      <c r="R112" s="61">
        <f ca="1">TblMili[[#This Row],[Wizards]]</f>
        <v>0</v>
      </c>
      <c r="S112" s="61">
        <f ca="1">TblMili[[#This Row],[Archmages]]</f>
        <v>0</v>
      </c>
      <c r="T112" s="142"/>
      <c r="U112" s="94">
        <f ca="1">ROUND(TblPop[[#This Row],[Raw max]]*(1+OFFSET(TblPop[[#This Row],[Max pop]],-1,0)),0)+MIN(TblPop[[#This Row],[Military]]-TblPop[[#This Row],[Draftees]]-SUM(TblMili[[#This Row],[Train Unit 1]:[Train AM]]),(barracks_size + tech_8_3*TblTech[[#This Row],[8-3]])*TblConstr[[#This Row],[Tot Bar]])</f>
        <v>1076</v>
      </c>
      <c r="V11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2" s="94">
        <f ca="1">MAX(-5%*TblPop[[#This Row],[Peasants]]-TblPop[[#This Row],[Draft Growth]],MIN(OFFSET(TblPop[[#This Row],[Net max]],1,0)-TblPop[[#This Row],[Peasants]]-TblPop[[#This Row],[Military]]-TblPop[[#This Row],[Draft Growth]],TblPop[[#This Row],[Modded Birth]]-TblPop[[#This Row],[Draft Growth]]))</f>
        <v>-3</v>
      </c>
      <c r="X112" s="94">
        <f ca="1">ROUND(TblPop[[#This Row],[Raw Birth]]*(1+TblPop[[#This Row],[Growth]]),0)</f>
        <v>10</v>
      </c>
      <c r="Y112" s="94">
        <f ca="1">(TblPop[[#This Row],[Peasants]]-TblPop[[#This Row],[Draft Growth]])*raw_pop_growth</f>
        <v>10.049999999999999</v>
      </c>
      <c r="Z112" s="94">
        <f ca="1">ROUND(IF(TblPop[[#This Row],[Military%]]&lt;TblMili[[#This Row],[Draftrate]],ROUND(TblPop[[#This Row],[Peasants]]*Constants!$B$55,0), 0) * IF(AND(TblMagic[[#This Row],[Active DnD]]&lt;=12,TblMagic[[#This Row],[Active DnD]]&gt;6),1.6,1),0)</f>
        <v>3</v>
      </c>
      <c r="AA112" s="142"/>
      <c r="AB112" s="143">
        <f ca="1">Overview!$I$17 + IF(Magic!AF112&gt;0,Constants!$F$78) + ROUND(6*(Construction!BM113+Construction!CK112)/IF(Explore!S113&gt;0,Construction!F113-20,Construction!F113),4) + tech_6_5_2*Techs!BJ112 + tech_8_4*Techs!BT112</f>
        <v>0</v>
      </c>
      <c r="AC112" s="139">
        <f ca="1">(Overview!$I$16 + Imps!Z112+ tech_2_5*Techs!AB112 + tech_3_6*Techs!AM112 + tech_6_1*Techs!BJ112 + tech_6_5*Techs!BF112 + tech_7_3_2*Techs!BN112) * (1 + Production!O112/100*prestige_pop_multiplier) + Production!O112/100*prestige_pop_multiplier</f>
        <v>2.5000000000000001E-2</v>
      </c>
    </row>
    <row r="113" spans="1:29" x14ac:dyDescent="0.2">
      <c r="A113" s="137">
        <f>TblRezone[[#This Row],[Hour]]</f>
        <v>110</v>
      </c>
      <c r="B113" s="138">
        <f ca="1">TblImps[[#This Row],[Time]]</f>
        <v>46051.541666666402</v>
      </c>
      <c r="C113" s="94">
        <f ca="1">OFFSET(TblPop[[#This Row],[Peasants]],-1,0)+OFFSET(TblPop[[#This Row],[Net Peasant]],-1,0)+TblMili[[#This Row],[Release Draft]]</f>
        <v>335</v>
      </c>
      <c r="D113" s="94">
        <f ca="1">TblMili[[#This Row],[Military]]</f>
        <v>741</v>
      </c>
      <c r="E113" s="94">
        <f ca="1">TblMili[[#This Row],[Draftees]]</f>
        <v>741</v>
      </c>
      <c r="F113" s="94">
        <f ca="1">TblPop[[#This Row],[Peasants]]+TblPop[[#This Row],[Military]]</f>
        <v>1076</v>
      </c>
      <c r="G113" s="139">
        <f ca="1">TblPop[[#This Row],[Military]]/TblPop[[#This Row],[Total]]</f>
        <v>0.68866171003717469</v>
      </c>
      <c r="H113" s="140">
        <f ca="1">MIN(TblPop[[#This Row],[Peasants]],TblPop[[#This Row],[Jobs]])</f>
        <v>335</v>
      </c>
      <c r="I113" s="139">
        <f ca="1">MIN(OFFSET(TblPop[[#This Row],[Jobs]],1,0)/TblPop[[#This Row],[Peasants]],1)</f>
        <v>1</v>
      </c>
      <c r="J113" s="140">
        <f ca="1">SUM(TblConstr[[#This Row],[Tot Alc]:[Tot GT]],TblConstr[[#This Row],[Tot Shr]:[Tot Doc]],TblConstr[[#This Row],[Dest Alc]:[Dest GT]],TblConstr[[#This Row],[Dest Shr]:[Dest Doc]])*building_employment + TblConstr[[#This Row],[Tot Fac]]*bonus_jobs_facts</f>
        <v>1000</v>
      </c>
      <c r="K113" s="141"/>
      <c r="L113" s="61">
        <f ca="1">TblPop[[#This Row],[Draftees]]</f>
        <v>741</v>
      </c>
      <c r="M113" s="61">
        <f ca="1">TblMili[[#This Row],[Unit 1]]</f>
        <v>0</v>
      </c>
      <c r="N113" s="61">
        <f ca="1">TblMili[[#This Row],[Unit 2]]</f>
        <v>0</v>
      </c>
      <c r="O113" s="61">
        <f ca="1">TblMili[[#This Row],[Unit 3]]</f>
        <v>0</v>
      </c>
      <c r="P113" s="61">
        <f ca="1">TblMili[[#This Row],[Unit 4]]</f>
        <v>0</v>
      </c>
      <c r="Q113" s="61">
        <f ca="1">TblMili[[#This Row],[Spies]]</f>
        <v>0</v>
      </c>
      <c r="R113" s="61">
        <f ca="1">TblMili[[#This Row],[Wizards]]</f>
        <v>0</v>
      </c>
      <c r="S113" s="61">
        <f ca="1">TblMili[[#This Row],[Archmages]]</f>
        <v>0</v>
      </c>
      <c r="T113" s="142"/>
      <c r="U113" s="94">
        <f ca="1">ROUND(TblPop[[#This Row],[Raw max]]*(1+OFFSET(TblPop[[#This Row],[Max pop]],-1,0)),0)+MIN(TblPop[[#This Row],[Military]]-TblPop[[#This Row],[Draftees]]-SUM(TblMili[[#This Row],[Train Unit 1]:[Train AM]]),(barracks_size + tech_8_3*TblTech[[#This Row],[8-3]])*TblConstr[[#This Row],[Tot Bar]])</f>
        <v>1076</v>
      </c>
      <c r="V11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3" s="94">
        <f ca="1">MAX(-5%*TblPop[[#This Row],[Peasants]]-TblPop[[#This Row],[Draft Growth]],MIN(OFFSET(TblPop[[#This Row],[Net max]],1,0)-TblPop[[#This Row],[Peasants]]-TblPop[[#This Row],[Military]]-TblPop[[#This Row],[Draft Growth]],TblPop[[#This Row],[Modded Birth]]-TblPop[[#This Row],[Draft Growth]]))</f>
        <v>-3</v>
      </c>
      <c r="X113" s="94">
        <f ca="1">ROUND(TblPop[[#This Row],[Raw Birth]]*(1+TblPop[[#This Row],[Growth]]),0)</f>
        <v>10</v>
      </c>
      <c r="Y113" s="94">
        <f ca="1">(TblPop[[#This Row],[Peasants]]-TblPop[[#This Row],[Draft Growth]])*raw_pop_growth</f>
        <v>9.9599999999999991</v>
      </c>
      <c r="Z113" s="94">
        <f ca="1">ROUND(IF(TblPop[[#This Row],[Military%]]&lt;TblMili[[#This Row],[Draftrate]],ROUND(TblPop[[#This Row],[Peasants]]*Constants!$B$55,0), 0) * IF(AND(TblMagic[[#This Row],[Active DnD]]&lt;=12,TblMagic[[#This Row],[Active DnD]]&gt;6),1.6,1),0)</f>
        <v>3</v>
      </c>
      <c r="AA113" s="142"/>
      <c r="AB113" s="143">
        <f ca="1">Overview!$I$17 + IF(Magic!AF113&gt;0,Constants!$F$78) + ROUND(6*(Construction!BM114+Construction!CK113)/IF(Explore!S114&gt;0,Construction!F114-20,Construction!F114),4) + tech_6_5_2*Techs!BJ113 + tech_8_4*Techs!BT113</f>
        <v>0</v>
      </c>
      <c r="AC113" s="139">
        <f ca="1">(Overview!$I$16 + Imps!Z113+ tech_2_5*Techs!AB113 + tech_3_6*Techs!AM113 + tech_6_1*Techs!BJ113 + tech_6_5*Techs!BF113 + tech_7_3_2*Techs!BN113) * (1 + Production!O113/100*prestige_pop_multiplier) + Production!O113/100*prestige_pop_multiplier</f>
        <v>2.5000000000000001E-2</v>
      </c>
    </row>
    <row r="114" spans="1:29" x14ac:dyDescent="0.2">
      <c r="A114" s="137">
        <f>TblRezone[[#This Row],[Hour]]</f>
        <v>111</v>
      </c>
      <c r="B114" s="138">
        <f ca="1">TblImps[[#This Row],[Time]]</f>
        <v>46051.583333333067</v>
      </c>
      <c r="C114" s="94">
        <f ca="1">OFFSET(TblPop[[#This Row],[Peasants]],-1,0)+OFFSET(TblPop[[#This Row],[Net Peasant]],-1,0)+TblMili[[#This Row],[Release Draft]]</f>
        <v>332</v>
      </c>
      <c r="D114" s="94">
        <f ca="1">TblMili[[#This Row],[Military]]</f>
        <v>744</v>
      </c>
      <c r="E114" s="94">
        <f ca="1">TblMili[[#This Row],[Draftees]]</f>
        <v>744</v>
      </c>
      <c r="F114" s="94">
        <f ca="1">TblPop[[#This Row],[Peasants]]+TblPop[[#This Row],[Military]]</f>
        <v>1076</v>
      </c>
      <c r="G114" s="139">
        <f ca="1">TblPop[[#This Row],[Military]]/TblPop[[#This Row],[Total]]</f>
        <v>0.69144981412639406</v>
      </c>
      <c r="H114" s="140">
        <f ca="1">MIN(TblPop[[#This Row],[Peasants]],TblPop[[#This Row],[Jobs]])</f>
        <v>332</v>
      </c>
      <c r="I114" s="139">
        <f ca="1">MIN(OFFSET(TblPop[[#This Row],[Jobs]],1,0)/TblPop[[#This Row],[Peasants]],1)</f>
        <v>1</v>
      </c>
      <c r="J114" s="140">
        <f ca="1">SUM(TblConstr[[#This Row],[Tot Alc]:[Tot GT]],TblConstr[[#This Row],[Tot Shr]:[Tot Doc]],TblConstr[[#This Row],[Dest Alc]:[Dest GT]],TblConstr[[#This Row],[Dest Shr]:[Dest Doc]])*building_employment + TblConstr[[#This Row],[Tot Fac]]*bonus_jobs_facts</f>
        <v>1000</v>
      </c>
      <c r="K114" s="141"/>
      <c r="L114" s="61">
        <f ca="1">TblPop[[#This Row],[Draftees]]</f>
        <v>744</v>
      </c>
      <c r="M114" s="61">
        <f ca="1">TblMili[[#This Row],[Unit 1]]</f>
        <v>0</v>
      </c>
      <c r="N114" s="61">
        <f ca="1">TblMili[[#This Row],[Unit 2]]</f>
        <v>0</v>
      </c>
      <c r="O114" s="61">
        <f ca="1">TblMili[[#This Row],[Unit 3]]</f>
        <v>0</v>
      </c>
      <c r="P114" s="61">
        <f ca="1">TblMili[[#This Row],[Unit 4]]</f>
        <v>0</v>
      </c>
      <c r="Q114" s="61">
        <f ca="1">TblMili[[#This Row],[Spies]]</f>
        <v>0</v>
      </c>
      <c r="R114" s="61">
        <f ca="1">TblMili[[#This Row],[Wizards]]</f>
        <v>0</v>
      </c>
      <c r="S114" s="61">
        <f ca="1">TblMili[[#This Row],[Archmages]]</f>
        <v>0</v>
      </c>
      <c r="T114" s="142"/>
      <c r="U114" s="94">
        <f ca="1">ROUND(TblPop[[#This Row],[Raw max]]*(1+OFFSET(TblPop[[#This Row],[Max pop]],-1,0)),0)+MIN(TblPop[[#This Row],[Military]]-TblPop[[#This Row],[Draftees]]-SUM(TblMili[[#This Row],[Train Unit 1]:[Train AM]]),(barracks_size + tech_8_3*TblTech[[#This Row],[8-3]])*TblConstr[[#This Row],[Tot Bar]])</f>
        <v>1076</v>
      </c>
      <c r="V11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4" s="94">
        <f ca="1">MAX(-5%*TblPop[[#This Row],[Peasants]]-TblPop[[#This Row],[Draft Growth]],MIN(OFFSET(TblPop[[#This Row],[Net max]],1,0)-TblPop[[#This Row],[Peasants]]-TblPop[[#This Row],[Military]]-TblPop[[#This Row],[Draft Growth]],TblPop[[#This Row],[Modded Birth]]-TblPop[[#This Row],[Draft Growth]]))</f>
        <v>-3</v>
      </c>
      <c r="X114" s="94">
        <f ca="1">ROUND(TblPop[[#This Row],[Raw Birth]]*(1+TblPop[[#This Row],[Growth]]),0)</f>
        <v>10</v>
      </c>
      <c r="Y114" s="94">
        <f ca="1">(TblPop[[#This Row],[Peasants]]-TblPop[[#This Row],[Draft Growth]])*raw_pop_growth</f>
        <v>9.8699999999999992</v>
      </c>
      <c r="Z114" s="94">
        <f ca="1">ROUND(IF(TblPop[[#This Row],[Military%]]&lt;TblMili[[#This Row],[Draftrate]],ROUND(TblPop[[#This Row],[Peasants]]*Constants!$B$55,0), 0) * IF(AND(TblMagic[[#This Row],[Active DnD]]&lt;=12,TblMagic[[#This Row],[Active DnD]]&gt;6),1.6,1),0)</f>
        <v>3</v>
      </c>
      <c r="AA114" s="142"/>
      <c r="AB114" s="143">
        <f ca="1">Overview!$I$17 + IF(Magic!AF114&gt;0,Constants!$F$78) + ROUND(6*(Construction!BM115+Construction!CK114)/IF(Explore!S115&gt;0,Construction!F115-20,Construction!F115),4) + tech_6_5_2*Techs!BJ114 + tech_8_4*Techs!BT114</f>
        <v>0</v>
      </c>
      <c r="AC114" s="139">
        <f ca="1">(Overview!$I$16 + Imps!Z114+ tech_2_5*Techs!AB114 + tech_3_6*Techs!AM114 + tech_6_1*Techs!BJ114 + tech_6_5*Techs!BF114 + tech_7_3_2*Techs!BN114) * (1 + Production!O114/100*prestige_pop_multiplier) + Production!O114/100*prestige_pop_multiplier</f>
        <v>2.5000000000000001E-2</v>
      </c>
    </row>
    <row r="115" spans="1:29" x14ac:dyDescent="0.2">
      <c r="A115" s="137">
        <f>TblRezone[[#This Row],[Hour]]</f>
        <v>112</v>
      </c>
      <c r="B115" s="138">
        <f ca="1">TblImps[[#This Row],[Time]]</f>
        <v>46051.624999999731</v>
      </c>
      <c r="C115" s="94">
        <f ca="1">OFFSET(TblPop[[#This Row],[Peasants]],-1,0)+OFFSET(TblPop[[#This Row],[Net Peasant]],-1,0)+TblMili[[#This Row],[Release Draft]]</f>
        <v>329</v>
      </c>
      <c r="D115" s="94">
        <f ca="1">TblMili[[#This Row],[Military]]</f>
        <v>747</v>
      </c>
      <c r="E115" s="94">
        <f ca="1">TblMili[[#This Row],[Draftees]]</f>
        <v>747</v>
      </c>
      <c r="F115" s="94">
        <f ca="1">TblPop[[#This Row],[Peasants]]+TblPop[[#This Row],[Military]]</f>
        <v>1076</v>
      </c>
      <c r="G115" s="139">
        <f ca="1">TblPop[[#This Row],[Military]]/TblPop[[#This Row],[Total]]</f>
        <v>0.69423791821561343</v>
      </c>
      <c r="H115" s="140">
        <f ca="1">MIN(TblPop[[#This Row],[Peasants]],TblPop[[#This Row],[Jobs]])</f>
        <v>329</v>
      </c>
      <c r="I115" s="139">
        <f ca="1">MIN(OFFSET(TblPop[[#This Row],[Jobs]],1,0)/TblPop[[#This Row],[Peasants]],1)</f>
        <v>1</v>
      </c>
      <c r="J115" s="140">
        <f ca="1">SUM(TblConstr[[#This Row],[Tot Alc]:[Tot GT]],TblConstr[[#This Row],[Tot Shr]:[Tot Doc]],TblConstr[[#This Row],[Dest Alc]:[Dest GT]],TblConstr[[#This Row],[Dest Shr]:[Dest Doc]])*building_employment + TblConstr[[#This Row],[Tot Fac]]*bonus_jobs_facts</f>
        <v>1000</v>
      </c>
      <c r="K115" s="141"/>
      <c r="L115" s="61">
        <f ca="1">TblPop[[#This Row],[Draftees]]</f>
        <v>747</v>
      </c>
      <c r="M115" s="61">
        <f ca="1">TblMili[[#This Row],[Unit 1]]</f>
        <v>0</v>
      </c>
      <c r="N115" s="61">
        <f ca="1">TblMili[[#This Row],[Unit 2]]</f>
        <v>0</v>
      </c>
      <c r="O115" s="61">
        <f ca="1">TblMili[[#This Row],[Unit 3]]</f>
        <v>0</v>
      </c>
      <c r="P115" s="61">
        <f ca="1">TblMili[[#This Row],[Unit 4]]</f>
        <v>0</v>
      </c>
      <c r="Q115" s="61">
        <f ca="1">TblMili[[#This Row],[Spies]]</f>
        <v>0</v>
      </c>
      <c r="R115" s="61">
        <f ca="1">TblMili[[#This Row],[Wizards]]</f>
        <v>0</v>
      </c>
      <c r="S115" s="61">
        <f ca="1">TblMili[[#This Row],[Archmages]]</f>
        <v>0</v>
      </c>
      <c r="T115" s="142"/>
      <c r="U115" s="94">
        <f ca="1">ROUND(TblPop[[#This Row],[Raw max]]*(1+OFFSET(TblPop[[#This Row],[Max pop]],-1,0)),0)+MIN(TblPop[[#This Row],[Military]]-TblPop[[#This Row],[Draftees]]-SUM(TblMili[[#This Row],[Train Unit 1]:[Train AM]]),(barracks_size + tech_8_3*TblTech[[#This Row],[8-3]])*TblConstr[[#This Row],[Tot Bar]])</f>
        <v>1076</v>
      </c>
      <c r="V11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5" s="94">
        <f ca="1">MAX(-5%*TblPop[[#This Row],[Peasants]]-TblPop[[#This Row],[Draft Growth]],MIN(OFFSET(TblPop[[#This Row],[Net max]],1,0)-TblPop[[#This Row],[Peasants]]-TblPop[[#This Row],[Military]]-TblPop[[#This Row],[Draft Growth]],TblPop[[#This Row],[Modded Birth]]-TblPop[[#This Row],[Draft Growth]]))</f>
        <v>-3</v>
      </c>
      <c r="X115" s="94">
        <f ca="1">ROUND(TblPop[[#This Row],[Raw Birth]]*(1+TblPop[[#This Row],[Growth]]),0)</f>
        <v>10</v>
      </c>
      <c r="Y115" s="94">
        <f ca="1">(TblPop[[#This Row],[Peasants]]-TblPop[[#This Row],[Draft Growth]])*raw_pop_growth</f>
        <v>9.7799999999999994</v>
      </c>
      <c r="Z115" s="94">
        <f ca="1">ROUND(IF(TblPop[[#This Row],[Military%]]&lt;TblMili[[#This Row],[Draftrate]],ROUND(TblPop[[#This Row],[Peasants]]*Constants!$B$55,0), 0) * IF(AND(TblMagic[[#This Row],[Active DnD]]&lt;=12,TblMagic[[#This Row],[Active DnD]]&gt;6),1.6,1),0)</f>
        <v>3</v>
      </c>
      <c r="AA115" s="142"/>
      <c r="AB115" s="143">
        <f ca="1">Overview!$I$17 + IF(Magic!AF115&gt;0,Constants!$F$78) + ROUND(6*(Construction!BM116+Construction!CK115)/IF(Explore!S116&gt;0,Construction!F116-20,Construction!F116),4) + tech_6_5_2*Techs!BJ115 + tech_8_4*Techs!BT115</f>
        <v>0</v>
      </c>
      <c r="AC115" s="139">
        <f ca="1">(Overview!$I$16 + Imps!Z115+ tech_2_5*Techs!AB115 + tech_3_6*Techs!AM115 + tech_6_1*Techs!BJ115 + tech_6_5*Techs!BF115 + tech_7_3_2*Techs!BN115) * (1 + Production!O115/100*prestige_pop_multiplier) + Production!O115/100*prestige_pop_multiplier</f>
        <v>2.5000000000000001E-2</v>
      </c>
    </row>
    <row r="116" spans="1:29" x14ac:dyDescent="0.2">
      <c r="A116" s="137">
        <f>TblRezone[[#This Row],[Hour]]</f>
        <v>113</v>
      </c>
      <c r="B116" s="138">
        <f ca="1">TblImps[[#This Row],[Time]]</f>
        <v>46051.666666666395</v>
      </c>
      <c r="C116" s="94">
        <f ca="1">OFFSET(TblPop[[#This Row],[Peasants]],-1,0)+OFFSET(TblPop[[#This Row],[Net Peasant]],-1,0)+TblMili[[#This Row],[Release Draft]]</f>
        <v>326</v>
      </c>
      <c r="D116" s="94">
        <f ca="1">TblMili[[#This Row],[Military]]</f>
        <v>750</v>
      </c>
      <c r="E116" s="94">
        <f ca="1">TblMili[[#This Row],[Draftees]]</f>
        <v>750</v>
      </c>
      <c r="F116" s="94">
        <f ca="1">TblPop[[#This Row],[Peasants]]+TblPop[[#This Row],[Military]]</f>
        <v>1076</v>
      </c>
      <c r="G116" s="139">
        <f ca="1">TblPop[[#This Row],[Military]]/TblPop[[#This Row],[Total]]</f>
        <v>0.69702602230483268</v>
      </c>
      <c r="H116" s="140">
        <f ca="1">MIN(TblPop[[#This Row],[Peasants]],TblPop[[#This Row],[Jobs]])</f>
        <v>326</v>
      </c>
      <c r="I116" s="139">
        <f ca="1">MIN(OFFSET(TblPop[[#This Row],[Jobs]],1,0)/TblPop[[#This Row],[Peasants]],1)</f>
        <v>1</v>
      </c>
      <c r="J116" s="140">
        <f ca="1">SUM(TblConstr[[#This Row],[Tot Alc]:[Tot GT]],TblConstr[[#This Row],[Tot Shr]:[Tot Doc]],TblConstr[[#This Row],[Dest Alc]:[Dest GT]],TblConstr[[#This Row],[Dest Shr]:[Dest Doc]])*building_employment + TblConstr[[#This Row],[Tot Fac]]*bonus_jobs_facts</f>
        <v>1000</v>
      </c>
      <c r="K116" s="141"/>
      <c r="L116" s="61">
        <f ca="1">TblPop[[#This Row],[Draftees]]</f>
        <v>750</v>
      </c>
      <c r="M116" s="61">
        <f ca="1">TblMili[[#This Row],[Unit 1]]</f>
        <v>0</v>
      </c>
      <c r="N116" s="61">
        <f ca="1">TblMili[[#This Row],[Unit 2]]</f>
        <v>0</v>
      </c>
      <c r="O116" s="61">
        <f ca="1">TblMili[[#This Row],[Unit 3]]</f>
        <v>0</v>
      </c>
      <c r="P116" s="61">
        <f ca="1">TblMili[[#This Row],[Unit 4]]</f>
        <v>0</v>
      </c>
      <c r="Q116" s="61">
        <f ca="1">TblMili[[#This Row],[Spies]]</f>
        <v>0</v>
      </c>
      <c r="R116" s="61">
        <f ca="1">TblMili[[#This Row],[Wizards]]</f>
        <v>0</v>
      </c>
      <c r="S116" s="61">
        <f ca="1">TblMili[[#This Row],[Archmages]]</f>
        <v>0</v>
      </c>
      <c r="T116" s="142"/>
      <c r="U116" s="94">
        <f ca="1">ROUND(TblPop[[#This Row],[Raw max]]*(1+OFFSET(TblPop[[#This Row],[Max pop]],-1,0)),0)+MIN(TblPop[[#This Row],[Military]]-TblPop[[#This Row],[Draftees]]-SUM(TblMili[[#This Row],[Train Unit 1]:[Train AM]]),(barracks_size + tech_8_3*TblTech[[#This Row],[8-3]])*TblConstr[[#This Row],[Tot Bar]])</f>
        <v>1076</v>
      </c>
      <c r="V11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6" s="94">
        <f ca="1">MAX(-5%*TblPop[[#This Row],[Peasants]]-TblPop[[#This Row],[Draft Growth]],MIN(OFFSET(TblPop[[#This Row],[Net max]],1,0)-TblPop[[#This Row],[Peasants]]-TblPop[[#This Row],[Military]]-TblPop[[#This Row],[Draft Growth]],TblPop[[#This Row],[Modded Birth]]-TblPop[[#This Row],[Draft Growth]]))</f>
        <v>-3</v>
      </c>
      <c r="X116" s="94">
        <f ca="1">ROUND(TblPop[[#This Row],[Raw Birth]]*(1+TblPop[[#This Row],[Growth]]),0)</f>
        <v>10</v>
      </c>
      <c r="Y116" s="94">
        <f ca="1">(TblPop[[#This Row],[Peasants]]-TblPop[[#This Row],[Draft Growth]])*raw_pop_growth</f>
        <v>9.69</v>
      </c>
      <c r="Z116" s="94">
        <f ca="1">ROUND(IF(TblPop[[#This Row],[Military%]]&lt;TblMili[[#This Row],[Draftrate]],ROUND(TblPop[[#This Row],[Peasants]]*Constants!$B$55,0), 0) * IF(AND(TblMagic[[#This Row],[Active DnD]]&lt;=12,TblMagic[[#This Row],[Active DnD]]&gt;6),1.6,1),0)</f>
        <v>3</v>
      </c>
      <c r="AA116" s="142"/>
      <c r="AB116" s="143">
        <f ca="1">Overview!$I$17 + IF(Magic!AF116&gt;0,Constants!$F$78) + ROUND(6*(Construction!BM117+Construction!CK116)/IF(Explore!S117&gt;0,Construction!F117-20,Construction!F117),4) + tech_6_5_2*Techs!BJ116 + tech_8_4*Techs!BT116</f>
        <v>0</v>
      </c>
      <c r="AC116" s="139">
        <f ca="1">(Overview!$I$16 + Imps!Z116+ tech_2_5*Techs!AB116 + tech_3_6*Techs!AM116 + tech_6_1*Techs!BJ116 + tech_6_5*Techs!BF116 + tech_7_3_2*Techs!BN116) * (1 + Production!O116/100*prestige_pop_multiplier) + Production!O116/100*prestige_pop_multiplier</f>
        <v>2.5000000000000001E-2</v>
      </c>
    </row>
    <row r="117" spans="1:29" x14ac:dyDescent="0.2">
      <c r="A117" s="137">
        <f>TblRezone[[#This Row],[Hour]]</f>
        <v>114</v>
      </c>
      <c r="B117" s="138">
        <f ca="1">TblImps[[#This Row],[Time]]</f>
        <v>46051.708333333059</v>
      </c>
      <c r="C117" s="94">
        <f ca="1">OFFSET(TblPop[[#This Row],[Peasants]],-1,0)+OFFSET(TblPop[[#This Row],[Net Peasant]],-1,0)+TblMili[[#This Row],[Release Draft]]</f>
        <v>323</v>
      </c>
      <c r="D117" s="94">
        <f ca="1">TblMili[[#This Row],[Military]]</f>
        <v>753</v>
      </c>
      <c r="E117" s="94">
        <f ca="1">TblMili[[#This Row],[Draftees]]</f>
        <v>753</v>
      </c>
      <c r="F117" s="94">
        <f ca="1">TblPop[[#This Row],[Peasants]]+TblPop[[#This Row],[Military]]</f>
        <v>1076</v>
      </c>
      <c r="G117" s="139">
        <f ca="1">TblPop[[#This Row],[Military]]/TblPop[[#This Row],[Total]]</f>
        <v>0.69981412639405205</v>
      </c>
      <c r="H117" s="140">
        <f ca="1">MIN(TblPop[[#This Row],[Peasants]],TblPop[[#This Row],[Jobs]])</f>
        <v>323</v>
      </c>
      <c r="I117" s="139">
        <f ca="1">MIN(OFFSET(TblPop[[#This Row],[Jobs]],1,0)/TblPop[[#This Row],[Peasants]],1)</f>
        <v>1</v>
      </c>
      <c r="J117" s="140">
        <f ca="1">SUM(TblConstr[[#This Row],[Tot Alc]:[Tot GT]],TblConstr[[#This Row],[Tot Shr]:[Tot Doc]],TblConstr[[#This Row],[Dest Alc]:[Dest GT]],TblConstr[[#This Row],[Dest Shr]:[Dest Doc]])*building_employment + TblConstr[[#This Row],[Tot Fac]]*bonus_jobs_facts</f>
        <v>1000</v>
      </c>
      <c r="K117" s="141"/>
      <c r="L117" s="61">
        <f ca="1">TblPop[[#This Row],[Draftees]]</f>
        <v>753</v>
      </c>
      <c r="M117" s="61">
        <f ca="1">TblMili[[#This Row],[Unit 1]]</f>
        <v>0</v>
      </c>
      <c r="N117" s="61">
        <f ca="1">TblMili[[#This Row],[Unit 2]]</f>
        <v>0</v>
      </c>
      <c r="O117" s="61">
        <f ca="1">TblMili[[#This Row],[Unit 3]]</f>
        <v>0</v>
      </c>
      <c r="P117" s="61">
        <f ca="1">TblMili[[#This Row],[Unit 4]]</f>
        <v>0</v>
      </c>
      <c r="Q117" s="61">
        <f ca="1">TblMili[[#This Row],[Spies]]</f>
        <v>0</v>
      </c>
      <c r="R117" s="61">
        <f ca="1">TblMili[[#This Row],[Wizards]]</f>
        <v>0</v>
      </c>
      <c r="S117" s="61">
        <f ca="1">TblMili[[#This Row],[Archmages]]</f>
        <v>0</v>
      </c>
      <c r="T117" s="142"/>
      <c r="U117" s="94">
        <f ca="1">ROUND(TblPop[[#This Row],[Raw max]]*(1+OFFSET(TblPop[[#This Row],[Max pop]],-1,0)),0)+MIN(TblPop[[#This Row],[Military]]-TblPop[[#This Row],[Draftees]]-SUM(TblMili[[#This Row],[Train Unit 1]:[Train AM]]),(barracks_size + tech_8_3*TblTech[[#This Row],[8-3]])*TblConstr[[#This Row],[Tot Bar]])</f>
        <v>1076</v>
      </c>
      <c r="V11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7" s="94">
        <f ca="1">MAX(-5%*TblPop[[#This Row],[Peasants]]-TblPop[[#This Row],[Draft Growth]],MIN(OFFSET(TblPop[[#This Row],[Net max]],1,0)-TblPop[[#This Row],[Peasants]]-TblPop[[#This Row],[Military]]-TblPop[[#This Row],[Draft Growth]],TblPop[[#This Row],[Modded Birth]]-TblPop[[#This Row],[Draft Growth]]))</f>
        <v>-3</v>
      </c>
      <c r="X117" s="94">
        <f ca="1">ROUND(TblPop[[#This Row],[Raw Birth]]*(1+TblPop[[#This Row],[Growth]]),0)</f>
        <v>10</v>
      </c>
      <c r="Y117" s="94">
        <f ca="1">(TblPop[[#This Row],[Peasants]]-TblPop[[#This Row],[Draft Growth]])*raw_pop_growth</f>
        <v>9.6</v>
      </c>
      <c r="Z117" s="94">
        <f ca="1">ROUND(IF(TblPop[[#This Row],[Military%]]&lt;TblMili[[#This Row],[Draftrate]],ROUND(TblPop[[#This Row],[Peasants]]*Constants!$B$55,0), 0) * IF(AND(TblMagic[[#This Row],[Active DnD]]&lt;=12,TblMagic[[#This Row],[Active DnD]]&gt;6),1.6,1),0)</f>
        <v>3</v>
      </c>
      <c r="AA117" s="142"/>
      <c r="AB117" s="143">
        <f ca="1">Overview!$I$17 + IF(Magic!AF117&gt;0,Constants!$F$78) + ROUND(6*(Construction!BM118+Construction!CK117)/IF(Explore!S118&gt;0,Construction!F118-20,Construction!F118),4) + tech_6_5_2*Techs!BJ117 + tech_8_4*Techs!BT117</f>
        <v>0</v>
      </c>
      <c r="AC117" s="139">
        <f ca="1">(Overview!$I$16 + Imps!Z117+ tech_2_5*Techs!AB117 + tech_3_6*Techs!AM117 + tech_6_1*Techs!BJ117 + tech_6_5*Techs!BF117 + tech_7_3_2*Techs!BN117) * (1 + Production!O117/100*prestige_pop_multiplier) + Production!O117/100*prestige_pop_multiplier</f>
        <v>2.5000000000000001E-2</v>
      </c>
    </row>
    <row r="118" spans="1:29" x14ac:dyDescent="0.2">
      <c r="A118" s="137">
        <f>TblRezone[[#This Row],[Hour]]</f>
        <v>115</v>
      </c>
      <c r="B118" s="138">
        <f ca="1">TblImps[[#This Row],[Time]]</f>
        <v>46051.749999999724</v>
      </c>
      <c r="C118" s="94">
        <f ca="1">OFFSET(TblPop[[#This Row],[Peasants]],-1,0)+OFFSET(TblPop[[#This Row],[Net Peasant]],-1,0)+TblMili[[#This Row],[Release Draft]]</f>
        <v>320</v>
      </c>
      <c r="D118" s="94">
        <f ca="1">TblMili[[#This Row],[Military]]</f>
        <v>756</v>
      </c>
      <c r="E118" s="94">
        <f ca="1">TblMili[[#This Row],[Draftees]]</f>
        <v>756</v>
      </c>
      <c r="F118" s="94">
        <f ca="1">TblPop[[#This Row],[Peasants]]+TblPop[[#This Row],[Military]]</f>
        <v>1076</v>
      </c>
      <c r="G118" s="139">
        <f ca="1">TblPop[[#This Row],[Military]]/TblPop[[#This Row],[Total]]</f>
        <v>0.70260223048327142</v>
      </c>
      <c r="H118" s="140">
        <f ca="1">MIN(TblPop[[#This Row],[Peasants]],TblPop[[#This Row],[Jobs]])</f>
        <v>320</v>
      </c>
      <c r="I118" s="139">
        <f ca="1">MIN(OFFSET(TblPop[[#This Row],[Jobs]],1,0)/TblPop[[#This Row],[Peasants]],1)</f>
        <v>1</v>
      </c>
      <c r="J118" s="140">
        <f ca="1">SUM(TblConstr[[#This Row],[Tot Alc]:[Tot GT]],TblConstr[[#This Row],[Tot Shr]:[Tot Doc]],TblConstr[[#This Row],[Dest Alc]:[Dest GT]],TblConstr[[#This Row],[Dest Shr]:[Dest Doc]])*building_employment + TblConstr[[#This Row],[Tot Fac]]*bonus_jobs_facts</f>
        <v>1000</v>
      </c>
      <c r="K118" s="141"/>
      <c r="L118" s="61">
        <f ca="1">TblPop[[#This Row],[Draftees]]</f>
        <v>756</v>
      </c>
      <c r="M118" s="61">
        <f ca="1">TblMili[[#This Row],[Unit 1]]</f>
        <v>0</v>
      </c>
      <c r="N118" s="61">
        <f ca="1">TblMili[[#This Row],[Unit 2]]</f>
        <v>0</v>
      </c>
      <c r="O118" s="61">
        <f ca="1">TblMili[[#This Row],[Unit 3]]</f>
        <v>0</v>
      </c>
      <c r="P118" s="61">
        <f ca="1">TblMili[[#This Row],[Unit 4]]</f>
        <v>0</v>
      </c>
      <c r="Q118" s="61">
        <f ca="1">TblMili[[#This Row],[Spies]]</f>
        <v>0</v>
      </c>
      <c r="R118" s="61">
        <f ca="1">TblMili[[#This Row],[Wizards]]</f>
        <v>0</v>
      </c>
      <c r="S118" s="61">
        <f ca="1">TblMili[[#This Row],[Archmages]]</f>
        <v>0</v>
      </c>
      <c r="T118" s="142"/>
      <c r="U118" s="94">
        <f ca="1">ROUND(TblPop[[#This Row],[Raw max]]*(1+OFFSET(TblPop[[#This Row],[Max pop]],-1,0)),0)+MIN(TblPop[[#This Row],[Military]]-TblPop[[#This Row],[Draftees]]-SUM(TblMili[[#This Row],[Train Unit 1]:[Train AM]]),(barracks_size + tech_8_3*TblTech[[#This Row],[8-3]])*TblConstr[[#This Row],[Tot Bar]])</f>
        <v>1076</v>
      </c>
      <c r="V11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8" s="94">
        <f ca="1">MAX(-5%*TblPop[[#This Row],[Peasants]]-TblPop[[#This Row],[Draft Growth]],MIN(OFFSET(TblPop[[#This Row],[Net max]],1,0)-TblPop[[#This Row],[Peasants]]-TblPop[[#This Row],[Military]]-TblPop[[#This Row],[Draft Growth]],TblPop[[#This Row],[Modded Birth]]-TblPop[[#This Row],[Draft Growth]]))</f>
        <v>-3</v>
      </c>
      <c r="X118" s="94">
        <f ca="1">ROUND(TblPop[[#This Row],[Raw Birth]]*(1+TblPop[[#This Row],[Growth]]),0)</f>
        <v>10</v>
      </c>
      <c r="Y118" s="94">
        <f ca="1">(TblPop[[#This Row],[Peasants]]-TblPop[[#This Row],[Draft Growth]])*raw_pop_growth</f>
        <v>9.51</v>
      </c>
      <c r="Z118" s="94">
        <f ca="1">ROUND(IF(TblPop[[#This Row],[Military%]]&lt;TblMili[[#This Row],[Draftrate]],ROUND(TblPop[[#This Row],[Peasants]]*Constants!$B$55,0), 0) * IF(AND(TblMagic[[#This Row],[Active DnD]]&lt;=12,TblMagic[[#This Row],[Active DnD]]&gt;6),1.6,1),0)</f>
        <v>3</v>
      </c>
      <c r="AA118" s="142"/>
      <c r="AB118" s="143">
        <f ca="1">Overview!$I$17 + IF(Magic!AF118&gt;0,Constants!$F$78) + ROUND(6*(Construction!BM119+Construction!CK118)/IF(Explore!S119&gt;0,Construction!F119-20,Construction!F119),4) + tech_6_5_2*Techs!BJ118 + tech_8_4*Techs!BT118</f>
        <v>0</v>
      </c>
      <c r="AC118" s="139">
        <f ca="1">(Overview!$I$16 + Imps!Z118+ tech_2_5*Techs!AB118 + tech_3_6*Techs!AM118 + tech_6_1*Techs!BJ118 + tech_6_5*Techs!BF118 + tech_7_3_2*Techs!BN118) * (1 + Production!O118/100*prestige_pop_multiplier) + Production!O118/100*prestige_pop_multiplier</f>
        <v>2.5000000000000001E-2</v>
      </c>
    </row>
    <row r="119" spans="1:29" x14ac:dyDescent="0.2">
      <c r="A119" s="137">
        <f>TblRezone[[#This Row],[Hour]]</f>
        <v>116</v>
      </c>
      <c r="B119" s="138">
        <f ca="1">TblImps[[#This Row],[Time]]</f>
        <v>46051.791666666388</v>
      </c>
      <c r="C119" s="94">
        <f ca="1">OFFSET(TblPop[[#This Row],[Peasants]],-1,0)+OFFSET(TblPop[[#This Row],[Net Peasant]],-1,0)+TblMili[[#This Row],[Release Draft]]</f>
        <v>317</v>
      </c>
      <c r="D119" s="94">
        <f ca="1">TblMili[[#This Row],[Military]]</f>
        <v>759</v>
      </c>
      <c r="E119" s="94">
        <f ca="1">TblMili[[#This Row],[Draftees]]</f>
        <v>759</v>
      </c>
      <c r="F119" s="94">
        <f ca="1">TblPop[[#This Row],[Peasants]]+TblPop[[#This Row],[Military]]</f>
        <v>1076</v>
      </c>
      <c r="G119" s="139">
        <f ca="1">TblPop[[#This Row],[Military]]/TblPop[[#This Row],[Total]]</f>
        <v>0.70539033457249067</v>
      </c>
      <c r="H119" s="140">
        <f ca="1">MIN(TblPop[[#This Row],[Peasants]],TblPop[[#This Row],[Jobs]])</f>
        <v>317</v>
      </c>
      <c r="I119" s="139">
        <f ca="1">MIN(OFFSET(TblPop[[#This Row],[Jobs]],1,0)/TblPop[[#This Row],[Peasants]],1)</f>
        <v>1</v>
      </c>
      <c r="J119" s="140">
        <f ca="1">SUM(TblConstr[[#This Row],[Tot Alc]:[Tot GT]],TblConstr[[#This Row],[Tot Shr]:[Tot Doc]],TblConstr[[#This Row],[Dest Alc]:[Dest GT]],TblConstr[[#This Row],[Dest Shr]:[Dest Doc]])*building_employment + TblConstr[[#This Row],[Tot Fac]]*bonus_jobs_facts</f>
        <v>1000</v>
      </c>
      <c r="K119" s="141"/>
      <c r="L119" s="61">
        <f ca="1">TblPop[[#This Row],[Draftees]]</f>
        <v>759</v>
      </c>
      <c r="M119" s="61">
        <f ca="1">TblMili[[#This Row],[Unit 1]]</f>
        <v>0</v>
      </c>
      <c r="N119" s="61">
        <f ca="1">TblMili[[#This Row],[Unit 2]]</f>
        <v>0</v>
      </c>
      <c r="O119" s="61">
        <f ca="1">TblMili[[#This Row],[Unit 3]]</f>
        <v>0</v>
      </c>
      <c r="P119" s="61">
        <f ca="1">TblMili[[#This Row],[Unit 4]]</f>
        <v>0</v>
      </c>
      <c r="Q119" s="61">
        <f ca="1">TblMili[[#This Row],[Spies]]</f>
        <v>0</v>
      </c>
      <c r="R119" s="61">
        <f ca="1">TblMili[[#This Row],[Wizards]]</f>
        <v>0</v>
      </c>
      <c r="S119" s="61">
        <f ca="1">TblMili[[#This Row],[Archmages]]</f>
        <v>0</v>
      </c>
      <c r="T119" s="142"/>
      <c r="U119" s="94">
        <f ca="1">ROUND(TblPop[[#This Row],[Raw max]]*(1+OFFSET(TblPop[[#This Row],[Max pop]],-1,0)),0)+MIN(TblPop[[#This Row],[Military]]-TblPop[[#This Row],[Draftees]]-SUM(TblMili[[#This Row],[Train Unit 1]:[Train AM]]),(barracks_size + tech_8_3*TblTech[[#This Row],[8-3]])*TblConstr[[#This Row],[Tot Bar]])</f>
        <v>1076</v>
      </c>
      <c r="V11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19" s="94">
        <f ca="1">MAX(-5%*TblPop[[#This Row],[Peasants]]-TblPop[[#This Row],[Draft Growth]],MIN(OFFSET(TblPop[[#This Row],[Net max]],1,0)-TblPop[[#This Row],[Peasants]]-TblPop[[#This Row],[Military]]-TblPop[[#This Row],[Draft Growth]],TblPop[[#This Row],[Modded Birth]]-TblPop[[#This Row],[Draft Growth]]))</f>
        <v>-3</v>
      </c>
      <c r="X119" s="94">
        <f ca="1">ROUND(TblPop[[#This Row],[Raw Birth]]*(1+TblPop[[#This Row],[Growth]]),0)</f>
        <v>9</v>
      </c>
      <c r="Y119" s="94">
        <f ca="1">(TblPop[[#This Row],[Peasants]]-TblPop[[#This Row],[Draft Growth]])*raw_pop_growth</f>
        <v>9.42</v>
      </c>
      <c r="Z119" s="94">
        <f ca="1">ROUND(IF(TblPop[[#This Row],[Military%]]&lt;TblMili[[#This Row],[Draftrate]],ROUND(TblPop[[#This Row],[Peasants]]*Constants!$B$55,0), 0) * IF(AND(TblMagic[[#This Row],[Active DnD]]&lt;=12,TblMagic[[#This Row],[Active DnD]]&gt;6),1.6,1),0)</f>
        <v>3</v>
      </c>
      <c r="AA119" s="142"/>
      <c r="AB119" s="143">
        <f ca="1">Overview!$I$17 + IF(Magic!AF119&gt;0,Constants!$F$78) + ROUND(6*(Construction!BM120+Construction!CK119)/IF(Explore!S120&gt;0,Construction!F120-20,Construction!F120),4) + tech_6_5_2*Techs!BJ119 + tech_8_4*Techs!BT119</f>
        <v>0</v>
      </c>
      <c r="AC119" s="139">
        <f ca="1">(Overview!$I$16 + Imps!Z119+ tech_2_5*Techs!AB119 + tech_3_6*Techs!AM119 + tech_6_1*Techs!BJ119 + tech_6_5*Techs!BF119 + tech_7_3_2*Techs!BN119) * (1 + Production!O119/100*prestige_pop_multiplier) + Production!O119/100*prestige_pop_multiplier</f>
        <v>2.5000000000000001E-2</v>
      </c>
    </row>
    <row r="120" spans="1:29" x14ac:dyDescent="0.2">
      <c r="A120" s="137">
        <f>TblRezone[[#This Row],[Hour]]</f>
        <v>117</v>
      </c>
      <c r="B120" s="138">
        <f ca="1">TblImps[[#This Row],[Time]]</f>
        <v>46051.833333333052</v>
      </c>
      <c r="C120" s="94">
        <f ca="1">OFFSET(TblPop[[#This Row],[Peasants]],-1,0)+OFFSET(TblPop[[#This Row],[Net Peasant]],-1,0)+TblMili[[#This Row],[Release Draft]]</f>
        <v>314</v>
      </c>
      <c r="D120" s="94">
        <f ca="1">TblMili[[#This Row],[Military]]</f>
        <v>762</v>
      </c>
      <c r="E120" s="94">
        <f ca="1">TblMili[[#This Row],[Draftees]]</f>
        <v>762</v>
      </c>
      <c r="F120" s="94">
        <f ca="1">TblPop[[#This Row],[Peasants]]+TblPop[[#This Row],[Military]]</f>
        <v>1076</v>
      </c>
      <c r="G120" s="139">
        <f ca="1">TblPop[[#This Row],[Military]]/TblPop[[#This Row],[Total]]</f>
        <v>0.70817843866171004</v>
      </c>
      <c r="H120" s="140">
        <f ca="1">MIN(TblPop[[#This Row],[Peasants]],TblPop[[#This Row],[Jobs]])</f>
        <v>314</v>
      </c>
      <c r="I120" s="139">
        <f ca="1">MIN(OFFSET(TblPop[[#This Row],[Jobs]],1,0)/TblPop[[#This Row],[Peasants]],1)</f>
        <v>1</v>
      </c>
      <c r="J120" s="140">
        <f ca="1">SUM(TblConstr[[#This Row],[Tot Alc]:[Tot GT]],TblConstr[[#This Row],[Tot Shr]:[Tot Doc]],TblConstr[[#This Row],[Dest Alc]:[Dest GT]],TblConstr[[#This Row],[Dest Shr]:[Dest Doc]])*building_employment + TblConstr[[#This Row],[Tot Fac]]*bonus_jobs_facts</f>
        <v>1000</v>
      </c>
      <c r="K120" s="141"/>
      <c r="L120" s="61">
        <f ca="1">TblPop[[#This Row],[Draftees]]</f>
        <v>762</v>
      </c>
      <c r="M120" s="61">
        <f ca="1">TblMili[[#This Row],[Unit 1]]</f>
        <v>0</v>
      </c>
      <c r="N120" s="61">
        <f ca="1">TblMili[[#This Row],[Unit 2]]</f>
        <v>0</v>
      </c>
      <c r="O120" s="61">
        <f ca="1">TblMili[[#This Row],[Unit 3]]</f>
        <v>0</v>
      </c>
      <c r="P120" s="61">
        <f ca="1">TblMili[[#This Row],[Unit 4]]</f>
        <v>0</v>
      </c>
      <c r="Q120" s="61">
        <f ca="1">TblMili[[#This Row],[Spies]]</f>
        <v>0</v>
      </c>
      <c r="R120" s="61">
        <f ca="1">TblMili[[#This Row],[Wizards]]</f>
        <v>0</v>
      </c>
      <c r="S120" s="61">
        <f ca="1">TblMili[[#This Row],[Archmages]]</f>
        <v>0</v>
      </c>
      <c r="T120" s="142"/>
      <c r="U120" s="94">
        <f ca="1">ROUND(TblPop[[#This Row],[Raw max]]*(1+OFFSET(TblPop[[#This Row],[Max pop]],-1,0)),0)+MIN(TblPop[[#This Row],[Military]]-TblPop[[#This Row],[Draftees]]-SUM(TblMili[[#This Row],[Train Unit 1]:[Train AM]]),(barracks_size + tech_8_3*TblTech[[#This Row],[8-3]])*TblConstr[[#This Row],[Tot Bar]])</f>
        <v>1076</v>
      </c>
      <c r="V12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0" s="94">
        <f ca="1">MAX(-5%*TblPop[[#This Row],[Peasants]]-TblPop[[#This Row],[Draft Growth]],MIN(OFFSET(TblPop[[#This Row],[Net max]],1,0)-TblPop[[#This Row],[Peasants]]-TblPop[[#This Row],[Military]]-TblPop[[#This Row],[Draft Growth]],TblPop[[#This Row],[Modded Birth]]-TblPop[[#This Row],[Draft Growth]]))</f>
        <v>-3</v>
      </c>
      <c r="X120" s="94">
        <f ca="1">ROUND(TblPop[[#This Row],[Raw Birth]]*(1+TblPop[[#This Row],[Growth]]),0)</f>
        <v>9</v>
      </c>
      <c r="Y120" s="94">
        <f ca="1">(TblPop[[#This Row],[Peasants]]-TblPop[[#This Row],[Draft Growth]])*raw_pop_growth</f>
        <v>9.33</v>
      </c>
      <c r="Z120" s="94">
        <f ca="1">ROUND(IF(TblPop[[#This Row],[Military%]]&lt;TblMili[[#This Row],[Draftrate]],ROUND(TblPop[[#This Row],[Peasants]]*Constants!$B$55,0), 0) * IF(AND(TblMagic[[#This Row],[Active DnD]]&lt;=12,TblMagic[[#This Row],[Active DnD]]&gt;6),1.6,1),0)</f>
        <v>3</v>
      </c>
      <c r="AA120" s="142"/>
      <c r="AB120" s="143">
        <f ca="1">Overview!$I$17 + IF(Magic!AF120&gt;0,Constants!$F$78) + ROUND(6*(Construction!BM121+Construction!CK120)/IF(Explore!S121&gt;0,Construction!F121-20,Construction!F121),4) + tech_6_5_2*Techs!BJ120 + tech_8_4*Techs!BT120</f>
        <v>0</v>
      </c>
      <c r="AC120" s="139">
        <f ca="1">(Overview!$I$16 + Imps!Z120+ tech_2_5*Techs!AB120 + tech_3_6*Techs!AM120 + tech_6_1*Techs!BJ120 + tech_6_5*Techs!BF120 + tech_7_3_2*Techs!BN120) * (1 + Production!O120/100*prestige_pop_multiplier) + Production!O120/100*prestige_pop_multiplier</f>
        <v>2.5000000000000001E-2</v>
      </c>
    </row>
    <row r="121" spans="1:29" x14ac:dyDescent="0.2">
      <c r="A121" s="137">
        <f>TblRezone[[#This Row],[Hour]]</f>
        <v>118</v>
      </c>
      <c r="B121" s="138">
        <f ca="1">TblImps[[#This Row],[Time]]</f>
        <v>46051.874999999716</v>
      </c>
      <c r="C121" s="94">
        <f ca="1">OFFSET(TblPop[[#This Row],[Peasants]],-1,0)+OFFSET(TblPop[[#This Row],[Net Peasant]],-1,0)+TblMili[[#This Row],[Release Draft]]</f>
        <v>311</v>
      </c>
      <c r="D121" s="94">
        <f ca="1">TblMili[[#This Row],[Military]]</f>
        <v>765</v>
      </c>
      <c r="E121" s="94">
        <f ca="1">TblMili[[#This Row],[Draftees]]</f>
        <v>765</v>
      </c>
      <c r="F121" s="94">
        <f ca="1">TblPop[[#This Row],[Peasants]]+TblPop[[#This Row],[Military]]</f>
        <v>1076</v>
      </c>
      <c r="G121" s="139">
        <f ca="1">TblPop[[#This Row],[Military]]/TblPop[[#This Row],[Total]]</f>
        <v>0.71096654275092941</v>
      </c>
      <c r="H121" s="140">
        <f ca="1">MIN(TblPop[[#This Row],[Peasants]],TblPop[[#This Row],[Jobs]])</f>
        <v>311</v>
      </c>
      <c r="I121" s="139">
        <f ca="1">MIN(OFFSET(TblPop[[#This Row],[Jobs]],1,0)/TblPop[[#This Row],[Peasants]],1)</f>
        <v>1</v>
      </c>
      <c r="J121" s="140">
        <f ca="1">SUM(TblConstr[[#This Row],[Tot Alc]:[Tot GT]],TblConstr[[#This Row],[Tot Shr]:[Tot Doc]],TblConstr[[#This Row],[Dest Alc]:[Dest GT]],TblConstr[[#This Row],[Dest Shr]:[Dest Doc]])*building_employment + TblConstr[[#This Row],[Tot Fac]]*bonus_jobs_facts</f>
        <v>1000</v>
      </c>
      <c r="K121" s="141"/>
      <c r="L121" s="61">
        <f ca="1">TblPop[[#This Row],[Draftees]]</f>
        <v>765</v>
      </c>
      <c r="M121" s="61">
        <f ca="1">TblMili[[#This Row],[Unit 1]]</f>
        <v>0</v>
      </c>
      <c r="N121" s="61">
        <f ca="1">TblMili[[#This Row],[Unit 2]]</f>
        <v>0</v>
      </c>
      <c r="O121" s="61">
        <f ca="1">TblMili[[#This Row],[Unit 3]]</f>
        <v>0</v>
      </c>
      <c r="P121" s="61">
        <f ca="1">TblMili[[#This Row],[Unit 4]]</f>
        <v>0</v>
      </c>
      <c r="Q121" s="61">
        <f ca="1">TblMili[[#This Row],[Spies]]</f>
        <v>0</v>
      </c>
      <c r="R121" s="61">
        <f ca="1">TblMili[[#This Row],[Wizards]]</f>
        <v>0</v>
      </c>
      <c r="S121" s="61">
        <f ca="1">TblMili[[#This Row],[Archmages]]</f>
        <v>0</v>
      </c>
      <c r="T121" s="142"/>
      <c r="U121" s="94">
        <f ca="1">ROUND(TblPop[[#This Row],[Raw max]]*(1+OFFSET(TblPop[[#This Row],[Max pop]],-1,0)),0)+MIN(TblPop[[#This Row],[Military]]-TblPop[[#This Row],[Draftees]]-SUM(TblMili[[#This Row],[Train Unit 1]:[Train AM]]),(barracks_size + tech_8_3*TblTech[[#This Row],[8-3]])*TblConstr[[#This Row],[Tot Bar]])</f>
        <v>1076</v>
      </c>
      <c r="V12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1" s="94">
        <f ca="1">MAX(-5%*TblPop[[#This Row],[Peasants]]-TblPop[[#This Row],[Draft Growth]],MIN(OFFSET(TblPop[[#This Row],[Net max]],1,0)-TblPop[[#This Row],[Peasants]]-TblPop[[#This Row],[Military]]-TblPop[[#This Row],[Draft Growth]],TblPop[[#This Row],[Modded Birth]]-TblPop[[#This Row],[Draft Growth]]))</f>
        <v>-3</v>
      </c>
      <c r="X121" s="94">
        <f ca="1">ROUND(TblPop[[#This Row],[Raw Birth]]*(1+TblPop[[#This Row],[Growth]]),0)</f>
        <v>9</v>
      </c>
      <c r="Y121" s="94">
        <f ca="1">(TblPop[[#This Row],[Peasants]]-TblPop[[#This Row],[Draft Growth]])*raw_pop_growth</f>
        <v>9.24</v>
      </c>
      <c r="Z121" s="94">
        <f ca="1">ROUND(IF(TblPop[[#This Row],[Military%]]&lt;TblMili[[#This Row],[Draftrate]],ROUND(TblPop[[#This Row],[Peasants]]*Constants!$B$55,0), 0) * IF(AND(TblMagic[[#This Row],[Active DnD]]&lt;=12,TblMagic[[#This Row],[Active DnD]]&gt;6),1.6,1),0)</f>
        <v>3</v>
      </c>
      <c r="AA121" s="142"/>
      <c r="AB121" s="143">
        <f ca="1">Overview!$I$17 + IF(Magic!AF121&gt;0,Constants!$F$78) + ROUND(6*(Construction!BM122+Construction!CK121)/IF(Explore!S122&gt;0,Construction!F122-20,Construction!F122),4) + tech_6_5_2*Techs!BJ121 + tech_8_4*Techs!BT121</f>
        <v>0</v>
      </c>
      <c r="AC121" s="139">
        <f ca="1">(Overview!$I$16 + Imps!Z121+ tech_2_5*Techs!AB121 + tech_3_6*Techs!AM121 + tech_6_1*Techs!BJ121 + tech_6_5*Techs!BF121 + tech_7_3_2*Techs!BN121) * (1 + Production!O121/100*prestige_pop_multiplier) + Production!O121/100*prestige_pop_multiplier</f>
        <v>2.5000000000000001E-2</v>
      </c>
    </row>
    <row r="122" spans="1:29" x14ac:dyDescent="0.2">
      <c r="A122" s="137">
        <f>TblRezone[[#This Row],[Hour]]</f>
        <v>119</v>
      </c>
      <c r="B122" s="138">
        <f ca="1">TblImps[[#This Row],[Time]]</f>
        <v>46051.91666666638</v>
      </c>
      <c r="C122" s="94">
        <f ca="1">OFFSET(TblPop[[#This Row],[Peasants]],-1,0)+OFFSET(TblPop[[#This Row],[Net Peasant]],-1,0)+TblMili[[#This Row],[Release Draft]]</f>
        <v>308</v>
      </c>
      <c r="D122" s="94">
        <f ca="1">TblMili[[#This Row],[Military]]</f>
        <v>768</v>
      </c>
      <c r="E122" s="94">
        <f ca="1">TblMili[[#This Row],[Draftees]]</f>
        <v>768</v>
      </c>
      <c r="F122" s="94">
        <f ca="1">TblPop[[#This Row],[Peasants]]+TblPop[[#This Row],[Military]]</f>
        <v>1076</v>
      </c>
      <c r="G122" s="139">
        <f ca="1">TblPop[[#This Row],[Military]]/TblPop[[#This Row],[Total]]</f>
        <v>0.71375464684014867</v>
      </c>
      <c r="H122" s="140">
        <f ca="1">MIN(TblPop[[#This Row],[Peasants]],TblPop[[#This Row],[Jobs]])</f>
        <v>308</v>
      </c>
      <c r="I122" s="139">
        <f ca="1">MIN(OFFSET(TblPop[[#This Row],[Jobs]],1,0)/TblPop[[#This Row],[Peasants]],1)</f>
        <v>1</v>
      </c>
      <c r="J122" s="140">
        <f ca="1">SUM(TblConstr[[#This Row],[Tot Alc]:[Tot GT]],TblConstr[[#This Row],[Tot Shr]:[Tot Doc]],TblConstr[[#This Row],[Dest Alc]:[Dest GT]],TblConstr[[#This Row],[Dest Shr]:[Dest Doc]])*building_employment + TblConstr[[#This Row],[Tot Fac]]*bonus_jobs_facts</f>
        <v>1000</v>
      </c>
      <c r="K122" s="141"/>
      <c r="L122" s="61">
        <f ca="1">TblPop[[#This Row],[Draftees]]</f>
        <v>768</v>
      </c>
      <c r="M122" s="61">
        <f ca="1">TblMili[[#This Row],[Unit 1]]</f>
        <v>0</v>
      </c>
      <c r="N122" s="61">
        <f ca="1">TblMili[[#This Row],[Unit 2]]</f>
        <v>0</v>
      </c>
      <c r="O122" s="61">
        <f ca="1">TblMili[[#This Row],[Unit 3]]</f>
        <v>0</v>
      </c>
      <c r="P122" s="61">
        <f ca="1">TblMili[[#This Row],[Unit 4]]</f>
        <v>0</v>
      </c>
      <c r="Q122" s="61">
        <f ca="1">TblMili[[#This Row],[Spies]]</f>
        <v>0</v>
      </c>
      <c r="R122" s="61">
        <f ca="1">TblMili[[#This Row],[Wizards]]</f>
        <v>0</v>
      </c>
      <c r="S122" s="61">
        <f ca="1">TblMili[[#This Row],[Archmages]]</f>
        <v>0</v>
      </c>
      <c r="T122" s="142"/>
      <c r="U122" s="94">
        <f ca="1">ROUND(TblPop[[#This Row],[Raw max]]*(1+OFFSET(TblPop[[#This Row],[Max pop]],-1,0)),0)+MIN(TblPop[[#This Row],[Military]]-TblPop[[#This Row],[Draftees]]-SUM(TblMili[[#This Row],[Train Unit 1]:[Train AM]]),(barracks_size + tech_8_3*TblTech[[#This Row],[8-3]])*TblConstr[[#This Row],[Tot Bar]])</f>
        <v>1076</v>
      </c>
      <c r="V12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2" s="94">
        <f ca="1">MAX(-5%*TblPop[[#This Row],[Peasants]]-TblPop[[#This Row],[Draft Growth]],MIN(OFFSET(TblPop[[#This Row],[Net max]],1,0)-TblPop[[#This Row],[Peasants]]-TblPop[[#This Row],[Military]]-TblPop[[#This Row],[Draft Growth]],TblPop[[#This Row],[Modded Birth]]-TblPop[[#This Row],[Draft Growth]]))</f>
        <v>-3</v>
      </c>
      <c r="X122" s="94">
        <f ca="1">ROUND(TblPop[[#This Row],[Raw Birth]]*(1+TblPop[[#This Row],[Growth]]),0)</f>
        <v>9</v>
      </c>
      <c r="Y122" s="94">
        <f ca="1">(TblPop[[#This Row],[Peasants]]-TblPop[[#This Row],[Draft Growth]])*raw_pop_growth</f>
        <v>9.15</v>
      </c>
      <c r="Z122" s="94">
        <f ca="1">ROUND(IF(TblPop[[#This Row],[Military%]]&lt;TblMili[[#This Row],[Draftrate]],ROUND(TblPop[[#This Row],[Peasants]]*Constants!$B$55,0), 0) * IF(AND(TblMagic[[#This Row],[Active DnD]]&lt;=12,TblMagic[[#This Row],[Active DnD]]&gt;6),1.6,1),0)</f>
        <v>3</v>
      </c>
      <c r="AA122" s="142"/>
      <c r="AB122" s="143">
        <f ca="1">Overview!$I$17 + IF(Magic!AF122&gt;0,Constants!$F$78) + ROUND(6*(Construction!BM123+Construction!CK122)/IF(Explore!S123&gt;0,Construction!F123-20,Construction!F123),4) + tech_6_5_2*Techs!BJ122 + tech_8_4*Techs!BT122</f>
        <v>0</v>
      </c>
      <c r="AC122" s="139">
        <f ca="1">(Overview!$I$16 + Imps!Z122+ tech_2_5*Techs!AB122 + tech_3_6*Techs!AM122 + tech_6_1*Techs!BJ122 + tech_6_5*Techs!BF122 + tech_7_3_2*Techs!BN122) * (1 + Production!O122/100*prestige_pop_multiplier) + Production!O122/100*prestige_pop_multiplier</f>
        <v>2.5000000000000001E-2</v>
      </c>
    </row>
    <row r="123" spans="1:29" x14ac:dyDescent="0.2">
      <c r="A123" s="137">
        <f>TblRezone[[#This Row],[Hour]]</f>
        <v>120</v>
      </c>
      <c r="B123" s="138">
        <f ca="1">TblImps[[#This Row],[Time]]</f>
        <v>46051.958333333045</v>
      </c>
      <c r="C123" s="94">
        <f ca="1">OFFSET(TblPop[[#This Row],[Peasants]],-1,0)+OFFSET(TblPop[[#This Row],[Net Peasant]],-1,0)+TblMili[[#This Row],[Release Draft]]</f>
        <v>305</v>
      </c>
      <c r="D123" s="94">
        <f ca="1">TblMili[[#This Row],[Military]]</f>
        <v>771</v>
      </c>
      <c r="E123" s="94">
        <f ca="1">TblMili[[#This Row],[Draftees]]</f>
        <v>771</v>
      </c>
      <c r="F123" s="94">
        <f ca="1">TblPop[[#This Row],[Peasants]]+TblPop[[#This Row],[Military]]</f>
        <v>1076</v>
      </c>
      <c r="G123" s="139">
        <f ca="1">TblPop[[#This Row],[Military]]/TblPop[[#This Row],[Total]]</f>
        <v>0.71654275092936803</v>
      </c>
      <c r="H123" s="140">
        <f ca="1">MIN(TblPop[[#This Row],[Peasants]],TblPop[[#This Row],[Jobs]])</f>
        <v>305</v>
      </c>
      <c r="I123" s="139">
        <f ca="1">MIN(OFFSET(TblPop[[#This Row],[Jobs]],1,0)/TblPop[[#This Row],[Peasants]],1)</f>
        <v>1</v>
      </c>
      <c r="J123" s="140">
        <f ca="1">SUM(TblConstr[[#This Row],[Tot Alc]:[Tot GT]],TblConstr[[#This Row],[Tot Shr]:[Tot Doc]],TblConstr[[#This Row],[Dest Alc]:[Dest GT]],TblConstr[[#This Row],[Dest Shr]:[Dest Doc]])*building_employment + TblConstr[[#This Row],[Tot Fac]]*bonus_jobs_facts</f>
        <v>1000</v>
      </c>
      <c r="K123" s="141"/>
      <c r="L123" s="61">
        <f ca="1">TblPop[[#This Row],[Draftees]]</f>
        <v>771</v>
      </c>
      <c r="M123" s="61">
        <f ca="1">TblMili[[#This Row],[Unit 1]]</f>
        <v>0</v>
      </c>
      <c r="N123" s="61">
        <f ca="1">TblMili[[#This Row],[Unit 2]]</f>
        <v>0</v>
      </c>
      <c r="O123" s="61">
        <f ca="1">TblMili[[#This Row],[Unit 3]]</f>
        <v>0</v>
      </c>
      <c r="P123" s="61">
        <f ca="1">TblMili[[#This Row],[Unit 4]]</f>
        <v>0</v>
      </c>
      <c r="Q123" s="61">
        <f ca="1">TblMili[[#This Row],[Spies]]</f>
        <v>0</v>
      </c>
      <c r="R123" s="61">
        <f ca="1">TblMili[[#This Row],[Wizards]]</f>
        <v>0</v>
      </c>
      <c r="S123" s="61">
        <f ca="1">TblMili[[#This Row],[Archmages]]</f>
        <v>0</v>
      </c>
      <c r="T123" s="142"/>
      <c r="U123" s="94">
        <f ca="1">ROUND(TblPop[[#This Row],[Raw max]]*(1+OFFSET(TblPop[[#This Row],[Max pop]],-1,0)),0)+MIN(TblPop[[#This Row],[Military]]-TblPop[[#This Row],[Draftees]]-SUM(TblMili[[#This Row],[Train Unit 1]:[Train AM]]),(barracks_size + tech_8_3*TblTech[[#This Row],[8-3]])*TblConstr[[#This Row],[Tot Bar]])</f>
        <v>1076</v>
      </c>
      <c r="V12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3" s="94">
        <f ca="1">MAX(-5%*TblPop[[#This Row],[Peasants]]-TblPop[[#This Row],[Draft Growth]],MIN(OFFSET(TblPop[[#This Row],[Net max]],1,0)-TblPop[[#This Row],[Peasants]]-TblPop[[#This Row],[Military]]-TblPop[[#This Row],[Draft Growth]],TblPop[[#This Row],[Modded Birth]]-TblPop[[#This Row],[Draft Growth]]))</f>
        <v>-3</v>
      </c>
      <c r="X123" s="94">
        <f ca="1">ROUND(TblPop[[#This Row],[Raw Birth]]*(1+TblPop[[#This Row],[Growth]]),0)</f>
        <v>9</v>
      </c>
      <c r="Y123" s="94">
        <f ca="1">(TblPop[[#This Row],[Peasants]]-TblPop[[#This Row],[Draft Growth]])*raw_pop_growth</f>
        <v>9.06</v>
      </c>
      <c r="Z123" s="94">
        <f ca="1">ROUND(IF(TblPop[[#This Row],[Military%]]&lt;TblMili[[#This Row],[Draftrate]],ROUND(TblPop[[#This Row],[Peasants]]*Constants!$B$55,0), 0) * IF(AND(TblMagic[[#This Row],[Active DnD]]&lt;=12,TblMagic[[#This Row],[Active DnD]]&gt;6),1.6,1),0)</f>
        <v>3</v>
      </c>
      <c r="AA123" s="142"/>
      <c r="AB123" s="143">
        <f ca="1">Overview!$I$17 + IF(Magic!AF123&gt;0,Constants!$F$78) + ROUND(6*(Construction!BM124+Construction!CK123)/IF(Explore!S124&gt;0,Construction!F124-20,Construction!F124),4) + tech_6_5_2*Techs!BJ123 + tech_8_4*Techs!BT123</f>
        <v>0</v>
      </c>
      <c r="AC123" s="139">
        <f ca="1">(Overview!$I$16 + Imps!Z123+ tech_2_5*Techs!AB123 + tech_3_6*Techs!AM123 + tech_6_1*Techs!BJ123 + tech_6_5*Techs!BF123 + tech_7_3_2*Techs!BN123) * (1 + Production!O123/100*prestige_pop_multiplier) + Production!O123/100*prestige_pop_multiplier</f>
        <v>2.5000000000000001E-2</v>
      </c>
    </row>
    <row r="124" spans="1:29" x14ac:dyDescent="0.2">
      <c r="A124" s="137">
        <f>TblRezone[[#This Row],[Hour]]</f>
        <v>121</v>
      </c>
      <c r="B124" s="138">
        <f ca="1">TblImps[[#This Row],[Time]]</f>
        <v>46051.999999999709</v>
      </c>
      <c r="C124" s="94">
        <f ca="1">OFFSET(TblPop[[#This Row],[Peasants]],-1,0)+OFFSET(TblPop[[#This Row],[Net Peasant]],-1,0)+TblMili[[#This Row],[Release Draft]]</f>
        <v>302</v>
      </c>
      <c r="D124" s="94">
        <f ca="1">TblMili[[#This Row],[Military]]</f>
        <v>774</v>
      </c>
      <c r="E124" s="94">
        <f ca="1">TblMili[[#This Row],[Draftees]]</f>
        <v>774</v>
      </c>
      <c r="F124" s="94">
        <f ca="1">TblPop[[#This Row],[Peasants]]+TblPop[[#This Row],[Military]]</f>
        <v>1076</v>
      </c>
      <c r="G124" s="139">
        <f ca="1">TblPop[[#This Row],[Military]]/TblPop[[#This Row],[Total]]</f>
        <v>0.7193308550185874</v>
      </c>
      <c r="H124" s="140">
        <f ca="1">MIN(TblPop[[#This Row],[Peasants]],TblPop[[#This Row],[Jobs]])</f>
        <v>302</v>
      </c>
      <c r="I124" s="139">
        <f ca="1">MIN(OFFSET(TblPop[[#This Row],[Jobs]],1,0)/TblPop[[#This Row],[Peasants]],1)</f>
        <v>1</v>
      </c>
      <c r="J124" s="140">
        <f ca="1">SUM(TblConstr[[#This Row],[Tot Alc]:[Tot GT]],TblConstr[[#This Row],[Tot Shr]:[Tot Doc]],TblConstr[[#This Row],[Dest Alc]:[Dest GT]],TblConstr[[#This Row],[Dest Shr]:[Dest Doc]])*building_employment + TblConstr[[#This Row],[Tot Fac]]*bonus_jobs_facts</f>
        <v>1000</v>
      </c>
      <c r="K124" s="141"/>
      <c r="L124" s="61">
        <f ca="1">TblPop[[#This Row],[Draftees]]</f>
        <v>774</v>
      </c>
      <c r="M124" s="61">
        <f ca="1">TblMili[[#This Row],[Unit 1]]</f>
        <v>0</v>
      </c>
      <c r="N124" s="61">
        <f ca="1">TblMili[[#This Row],[Unit 2]]</f>
        <v>0</v>
      </c>
      <c r="O124" s="61">
        <f ca="1">TblMili[[#This Row],[Unit 3]]</f>
        <v>0</v>
      </c>
      <c r="P124" s="61">
        <f ca="1">TblMili[[#This Row],[Unit 4]]</f>
        <v>0</v>
      </c>
      <c r="Q124" s="61">
        <f ca="1">TblMili[[#This Row],[Spies]]</f>
        <v>0</v>
      </c>
      <c r="R124" s="61">
        <f ca="1">TblMili[[#This Row],[Wizards]]</f>
        <v>0</v>
      </c>
      <c r="S124" s="61">
        <f ca="1">TblMili[[#This Row],[Archmages]]</f>
        <v>0</v>
      </c>
      <c r="T124" s="142"/>
      <c r="U124" s="94">
        <f ca="1">ROUND(TblPop[[#This Row],[Raw max]]*(1+OFFSET(TblPop[[#This Row],[Max pop]],-1,0)),0)+MIN(TblPop[[#This Row],[Military]]-TblPop[[#This Row],[Draftees]]-SUM(TblMili[[#This Row],[Train Unit 1]:[Train AM]]),(barracks_size + tech_8_3*TblTech[[#This Row],[8-3]])*TblConstr[[#This Row],[Tot Bar]])</f>
        <v>1076</v>
      </c>
      <c r="V12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4" s="94">
        <f ca="1">MAX(-5%*TblPop[[#This Row],[Peasants]]-TblPop[[#This Row],[Draft Growth]],MIN(OFFSET(TblPop[[#This Row],[Net max]],1,0)-TblPop[[#This Row],[Peasants]]-TblPop[[#This Row],[Military]]-TblPop[[#This Row],[Draft Growth]],TblPop[[#This Row],[Modded Birth]]-TblPop[[#This Row],[Draft Growth]]))</f>
        <v>-3</v>
      </c>
      <c r="X124" s="94">
        <f ca="1">ROUND(TblPop[[#This Row],[Raw Birth]]*(1+TblPop[[#This Row],[Growth]]),0)</f>
        <v>9</v>
      </c>
      <c r="Y124" s="94">
        <f ca="1">(TblPop[[#This Row],[Peasants]]-TblPop[[#This Row],[Draft Growth]])*raw_pop_growth</f>
        <v>8.9699999999999989</v>
      </c>
      <c r="Z124" s="94">
        <f ca="1">ROUND(IF(TblPop[[#This Row],[Military%]]&lt;TblMili[[#This Row],[Draftrate]],ROUND(TblPop[[#This Row],[Peasants]]*Constants!$B$55,0), 0) * IF(AND(TblMagic[[#This Row],[Active DnD]]&lt;=12,TblMagic[[#This Row],[Active DnD]]&gt;6),1.6,1),0)</f>
        <v>3</v>
      </c>
      <c r="AA124" s="142"/>
      <c r="AB124" s="143">
        <f ca="1">Overview!$I$17 + IF(Magic!AF124&gt;0,Constants!$F$78) + ROUND(6*(Construction!BM125+Construction!CK124)/IF(Explore!S125&gt;0,Construction!F125-20,Construction!F125),4) + tech_6_5_2*Techs!BJ124 + tech_8_4*Techs!BT124</f>
        <v>0</v>
      </c>
      <c r="AC124" s="139">
        <f ca="1">(Overview!$I$16 + Imps!Z124+ tech_2_5*Techs!AB124 + tech_3_6*Techs!AM124 + tech_6_1*Techs!BJ124 + tech_6_5*Techs!BF124 + tech_7_3_2*Techs!BN124) * (1 + Production!O124/100*prestige_pop_multiplier) + Production!O124/100*prestige_pop_multiplier</f>
        <v>2.5000000000000001E-2</v>
      </c>
    </row>
    <row r="125" spans="1:29" x14ac:dyDescent="0.2">
      <c r="A125" s="137">
        <f>TblRezone[[#This Row],[Hour]]</f>
        <v>122</v>
      </c>
      <c r="B125" s="138">
        <f ca="1">TblImps[[#This Row],[Time]]</f>
        <v>46052.041666666373</v>
      </c>
      <c r="C125" s="94">
        <f ca="1">OFFSET(TblPop[[#This Row],[Peasants]],-1,0)+OFFSET(TblPop[[#This Row],[Net Peasant]],-1,0)+TblMili[[#This Row],[Release Draft]]</f>
        <v>299</v>
      </c>
      <c r="D125" s="94">
        <f ca="1">TblMili[[#This Row],[Military]]</f>
        <v>777</v>
      </c>
      <c r="E125" s="94">
        <f ca="1">TblMili[[#This Row],[Draftees]]</f>
        <v>777</v>
      </c>
      <c r="F125" s="94">
        <f ca="1">TblPop[[#This Row],[Peasants]]+TblPop[[#This Row],[Military]]</f>
        <v>1076</v>
      </c>
      <c r="G125" s="139">
        <f ca="1">TblPop[[#This Row],[Military]]/TblPop[[#This Row],[Total]]</f>
        <v>0.72211895910780666</v>
      </c>
      <c r="H125" s="140">
        <f ca="1">MIN(TblPop[[#This Row],[Peasants]],TblPop[[#This Row],[Jobs]])</f>
        <v>299</v>
      </c>
      <c r="I125" s="139">
        <f ca="1">MIN(OFFSET(TblPop[[#This Row],[Jobs]],1,0)/TblPop[[#This Row],[Peasants]],1)</f>
        <v>1</v>
      </c>
      <c r="J125" s="140">
        <f ca="1">SUM(TblConstr[[#This Row],[Tot Alc]:[Tot GT]],TblConstr[[#This Row],[Tot Shr]:[Tot Doc]],TblConstr[[#This Row],[Dest Alc]:[Dest GT]],TblConstr[[#This Row],[Dest Shr]:[Dest Doc]])*building_employment + TblConstr[[#This Row],[Tot Fac]]*bonus_jobs_facts</f>
        <v>1000</v>
      </c>
      <c r="K125" s="141"/>
      <c r="L125" s="61">
        <f ca="1">TblPop[[#This Row],[Draftees]]</f>
        <v>777</v>
      </c>
      <c r="M125" s="61">
        <f ca="1">TblMili[[#This Row],[Unit 1]]</f>
        <v>0</v>
      </c>
      <c r="N125" s="61">
        <f ca="1">TblMili[[#This Row],[Unit 2]]</f>
        <v>0</v>
      </c>
      <c r="O125" s="61">
        <f ca="1">TblMili[[#This Row],[Unit 3]]</f>
        <v>0</v>
      </c>
      <c r="P125" s="61">
        <f ca="1">TblMili[[#This Row],[Unit 4]]</f>
        <v>0</v>
      </c>
      <c r="Q125" s="61">
        <f ca="1">TblMili[[#This Row],[Spies]]</f>
        <v>0</v>
      </c>
      <c r="R125" s="61">
        <f ca="1">TblMili[[#This Row],[Wizards]]</f>
        <v>0</v>
      </c>
      <c r="S125" s="61">
        <f ca="1">TblMili[[#This Row],[Archmages]]</f>
        <v>0</v>
      </c>
      <c r="T125" s="142"/>
      <c r="U125" s="94">
        <f ca="1">ROUND(TblPop[[#This Row],[Raw max]]*(1+OFFSET(TblPop[[#This Row],[Max pop]],-1,0)),0)+MIN(TblPop[[#This Row],[Military]]-TblPop[[#This Row],[Draftees]]-SUM(TblMili[[#This Row],[Train Unit 1]:[Train AM]]),(barracks_size + tech_8_3*TblTech[[#This Row],[8-3]])*TblConstr[[#This Row],[Tot Bar]])</f>
        <v>1076</v>
      </c>
      <c r="V12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5" s="94">
        <f ca="1">MAX(-5%*TblPop[[#This Row],[Peasants]]-TblPop[[#This Row],[Draft Growth]],MIN(OFFSET(TblPop[[#This Row],[Net max]],1,0)-TblPop[[#This Row],[Peasants]]-TblPop[[#This Row],[Military]]-TblPop[[#This Row],[Draft Growth]],TblPop[[#This Row],[Modded Birth]]-TblPop[[#This Row],[Draft Growth]]))</f>
        <v>-3</v>
      </c>
      <c r="X125" s="94">
        <f ca="1">ROUND(TblPop[[#This Row],[Raw Birth]]*(1+TblPop[[#This Row],[Growth]]),0)</f>
        <v>9</v>
      </c>
      <c r="Y125" s="94">
        <f ca="1">(TblPop[[#This Row],[Peasants]]-TblPop[[#This Row],[Draft Growth]])*raw_pop_growth</f>
        <v>8.879999999999999</v>
      </c>
      <c r="Z125" s="94">
        <f ca="1">ROUND(IF(TblPop[[#This Row],[Military%]]&lt;TblMili[[#This Row],[Draftrate]],ROUND(TblPop[[#This Row],[Peasants]]*Constants!$B$55,0), 0) * IF(AND(TblMagic[[#This Row],[Active DnD]]&lt;=12,TblMagic[[#This Row],[Active DnD]]&gt;6),1.6,1),0)</f>
        <v>3</v>
      </c>
      <c r="AA125" s="142"/>
      <c r="AB125" s="143">
        <f ca="1">Overview!$I$17 + IF(Magic!AF125&gt;0,Constants!$F$78) + ROUND(6*(Construction!BM126+Construction!CK125)/IF(Explore!S126&gt;0,Construction!F126-20,Construction!F126),4) + tech_6_5_2*Techs!BJ125 + tech_8_4*Techs!BT125</f>
        <v>0</v>
      </c>
      <c r="AC125" s="139">
        <f ca="1">(Overview!$I$16 + Imps!Z125+ tech_2_5*Techs!AB125 + tech_3_6*Techs!AM125 + tech_6_1*Techs!BJ125 + tech_6_5*Techs!BF125 + tech_7_3_2*Techs!BN125) * (1 + Production!O125/100*prestige_pop_multiplier) + Production!O125/100*prestige_pop_multiplier</f>
        <v>2.5000000000000001E-2</v>
      </c>
    </row>
    <row r="126" spans="1:29" x14ac:dyDescent="0.2">
      <c r="A126" s="137">
        <f>TblRezone[[#This Row],[Hour]]</f>
        <v>123</v>
      </c>
      <c r="B126" s="138">
        <f ca="1">TblImps[[#This Row],[Time]]</f>
        <v>46052.083333333037</v>
      </c>
      <c r="C126" s="94">
        <f ca="1">OFFSET(TblPop[[#This Row],[Peasants]],-1,0)+OFFSET(TblPop[[#This Row],[Net Peasant]],-1,0)+TblMili[[#This Row],[Release Draft]]</f>
        <v>296</v>
      </c>
      <c r="D126" s="94">
        <f ca="1">TblMili[[#This Row],[Military]]</f>
        <v>780</v>
      </c>
      <c r="E126" s="94">
        <f ca="1">TblMili[[#This Row],[Draftees]]</f>
        <v>780</v>
      </c>
      <c r="F126" s="94">
        <f ca="1">TblPop[[#This Row],[Peasants]]+TblPop[[#This Row],[Military]]</f>
        <v>1076</v>
      </c>
      <c r="G126" s="139">
        <f ca="1">TblPop[[#This Row],[Military]]/TblPop[[#This Row],[Total]]</f>
        <v>0.72490706319702602</v>
      </c>
      <c r="H126" s="140">
        <f ca="1">MIN(TblPop[[#This Row],[Peasants]],TblPop[[#This Row],[Jobs]])</f>
        <v>296</v>
      </c>
      <c r="I126" s="139">
        <f ca="1">MIN(OFFSET(TblPop[[#This Row],[Jobs]],1,0)/TblPop[[#This Row],[Peasants]],1)</f>
        <v>1</v>
      </c>
      <c r="J126" s="140">
        <f ca="1">SUM(TblConstr[[#This Row],[Tot Alc]:[Tot GT]],TblConstr[[#This Row],[Tot Shr]:[Tot Doc]],TblConstr[[#This Row],[Dest Alc]:[Dest GT]],TblConstr[[#This Row],[Dest Shr]:[Dest Doc]])*building_employment + TblConstr[[#This Row],[Tot Fac]]*bonus_jobs_facts</f>
        <v>1000</v>
      </c>
      <c r="K126" s="141"/>
      <c r="L126" s="61">
        <f ca="1">TblPop[[#This Row],[Draftees]]</f>
        <v>780</v>
      </c>
      <c r="M126" s="61">
        <f ca="1">TblMili[[#This Row],[Unit 1]]</f>
        <v>0</v>
      </c>
      <c r="N126" s="61">
        <f ca="1">TblMili[[#This Row],[Unit 2]]</f>
        <v>0</v>
      </c>
      <c r="O126" s="61">
        <f ca="1">TblMili[[#This Row],[Unit 3]]</f>
        <v>0</v>
      </c>
      <c r="P126" s="61">
        <f ca="1">TblMili[[#This Row],[Unit 4]]</f>
        <v>0</v>
      </c>
      <c r="Q126" s="61">
        <f ca="1">TblMili[[#This Row],[Spies]]</f>
        <v>0</v>
      </c>
      <c r="R126" s="61">
        <f ca="1">TblMili[[#This Row],[Wizards]]</f>
        <v>0</v>
      </c>
      <c r="S126" s="61">
        <f ca="1">TblMili[[#This Row],[Archmages]]</f>
        <v>0</v>
      </c>
      <c r="T126" s="142"/>
      <c r="U126" s="94">
        <f ca="1">ROUND(TblPop[[#This Row],[Raw max]]*(1+OFFSET(TblPop[[#This Row],[Max pop]],-1,0)),0)+MIN(TblPop[[#This Row],[Military]]-TblPop[[#This Row],[Draftees]]-SUM(TblMili[[#This Row],[Train Unit 1]:[Train AM]]),(barracks_size + tech_8_3*TblTech[[#This Row],[8-3]])*TblConstr[[#This Row],[Tot Bar]])</f>
        <v>1076</v>
      </c>
      <c r="V12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6" s="94">
        <f ca="1">MAX(-5%*TblPop[[#This Row],[Peasants]]-TblPop[[#This Row],[Draft Growth]],MIN(OFFSET(TblPop[[#This Row],[Net max]],1,0)-TblPop[[#This Row],[Peasants]]-TblPop[[#This Row],[Military]]-TblPop[[#This Row],[Draft Growth]],TblPop[[#This Row],[Modded Birth]]-TblPop[[#This Row],[Draft Growth]]))</f>
        <v>-3</v>
      </c>
      <c r="X126" s="94">
        <f ca="1">ROUND(TblPop[[#This Row],[Raw Birth]]*(1+TblPop[[#This Row],[Growth]]),0)</f>
        <v>9</v>
      </c>
      <c r="Y126" s="94">
        <f ca="1">(TblPop[[#This Row],[Peasants]]-TblPop[[#This Row],[Draft Growth]])*raw_pop_growth</f>
        <v>8.7899999999999991</v>
      </c>
      <c r="Z126" s="94">
        <f ca="1">ROUND(IF(TblPop[[#This Row],[Military%]]&lt;TblMili[[#This Row],[Draftrate]],ROUND(TblPop[[#This Row],[Peasants]]*Constants!$B$55,0), 0) * IF(AND(TblMagic[[#This Row],[Active DnD]]&lt;=12,TblMagic[[#This Row],[Active DnD]]&gt;6),1.6,1),0)</f>
        <v>3</v>
      </c>
      <c r="AA126" s="142"/>
      <c r="AB126" s="143">
        <f ca="1">Overview!$I$17 + IF(Magic!AF126&gt;0,Constants!$F$78) + ROUND(6*(Construction!BM127+Construction!CK126)/IF(Explore!S127&gt;0,Construction!F127-20,Construction!F127),4) + tech_6_5_2*Techs!BJ126 + tech_8_4*Techs!BT126</f>
        <v>0</v>
      </c>
      <c r="AC126" s="139">
        <f ca="1">(Overview!$I$16 + Imps!Z126+ tech_2_5*Techs!AB126 + tech_3_6*Techs!AM126 + tech_6_1*Techs!BJ126 + tech_6_5*Techs!BF126 + tech_7_3_2*Techs!BN126) * (1 + Production!O126/100*prestige_pop_multiplier) + Production!O126/100*prestige_pop_multiplier</f>
        <v>2.5000000000000001E-2</v>
      </c>
    </row>
    <row r="127" spans="1:29" x14ac:dyDescent="0.2">
      <c r="A127" s="137">
        <f>TblRezone[[#This Row],[Hour]]</f>
        <v>124</v>
      </c>
      <c r="B127" s="138">
        <f ca="1">TblImps[[#This Row],[Time]]</f>
        <v>46052.124999999702</v>
      </c>
      <c r="C127" s="94">
        <f ca="1">OFFSET(TblPop[[#This Row],[Peasants]],-1,0)+OFFSET(TblPop[[#This Row],[Net Peasant]],-1,0)+TblMili[[#This Row],[Release Draft]]</f>
        <v>293</v>
      </c>
      <c r="D127" s="94">
        <f ca="1">TblMili[[#This Row],[Military]]</f>
        <v>783</v>
      </c>
      <c r="E127" s="94">
        <f ca="1">TblMili[[#This Row],[Draftees]]</f>
        <v>783</v>
      </c>
      <c r="F127" s="94">
        <f ca="1">TblPop[[#This Row],[Peasants]]+TblPop[[#This Row],[Military]]</f>
        <v>1076</v>
      </c>
      <c r="G127" s="139">
        <f ca="1">TblPop[[#This Row],[Military]]/TblPop[[#This Row],[Total]]</f>
        <v>0.72769516728624539</v>
      </c>
      <c r="H127" s="140">
        <f ca="1">MIN(TblPop[[#This Row],[Peasants]],TblPop[[#This Row],[Jobs]])</f>
        <v>293</v>
      </c>
      <c r="I127" s="139">
        <f ca="1">MIN(OFFSET(TblPop[[#This Row],[Jobs]],1,0)/TblPop[[#This Row],[Peasants]],1)</f>
        <v>1</v>
      </c>
      <c r="J127" s="140">
        <f ca="1">SUM(TblConstr[[#This Row],[Tot Alc]:[Tot GT]],TblConstr[[#This Row],[Tot Shr]:[Tot Doc]],TblConstr[[#This Row],[Dest Alc]:[Dest GT]],TblConstr[[#This Row],[Dest Shr]:[Dest Doc]])*building_employment + TblConstr[[#This Row],[Tot Fac]]*bonus_jobs_facts</f>
        <v>1000</v>
      </c>
      <c r="K127" s="141"/>
      <c r="L127" s="61">
        <f ca="1">TblPop[[#This Row],[Draftees]]</f>
        <v>783</v>
      </c>
      <c r="M127" s="61">
        <f ca="1">TblMili[[#This Row],[Unit 1]]</f>
        <v>0</v>
      </c>
      <c r="N127" s="61">
        <f ca="1">TblMili[[#This Row],[Unit 2]]</f>
        <v>0</v>
      </c>
      <c r="O127" s="61">
        <f ca="1">TblMili[[#This Row],[Unit 3]]</f>
        <v>0</v>
      </c>
      <c r="P127" s="61">
        <f ca="1">TblMili[[#This Row],[Unit 4]]</f>
        <v>0</v>
      </c>
      <c r="Q127" s="61">
        <f ca="1">TblMili[[#This Row],[Spies]]</f>
        <v>0</v>
      </c>
      <c r="R127" s="61">
        <f ca="1">TblMili[[#This Row],[Wizards]]</f>
        <v>0</v>
      </c>
      <c r="S127" s="61">
        <f ca="1">TblMili[[#This Row],[Archmages]]</f>
        <v>0</v>
      </c>
      <c r="T127" s="142"/>
      <c r="U127" s="94">
        <f ca="1">ROUND(TblPop[[#This Row],[Raw max]]*(1+OFFSET(TblPop[[#This Row],[Max pop]],-1,0)),0)+MIN(TblPop[[#This Row],[Military]]-TblPop[[#This Row],[Draftees]]-SUM(TblMili[[#This Row],[Train Unit 1]:[Train AM]]),(barracks_size + tech_8_3*TblTech[[#This Row],[8-3]])*TblConstr[[#This Row],[Tot Bar]])</f>
        <v>1076</v>
      </c>
      <c r="V127"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7" s="94">
        <f ca="1">MAX(-5%*TblPop[[#This Row],[Peasants]]-TblPop[[#This Row],[Draft Growth]],MIN(OFFSET(TblPop[[#This Row],[Net max]],1,0)-TblPop[[#This Row],[Peasants]]-TblPop[[#This Row],[Military]]-TblPop[[#This Row],[Draft Growth]],TblPop[[#This Row],[Modded Birth]]-TblPop[[#This Row],[Draft Growth]]))</f>
        <v>-3</v>
      </c>
      <c r="X127" s="94">
        <f ca="1">ROUND(TblPop[[#This Row],[Raw Birth]]*(1+TblPop[[#This Row],[Growth]]),0)</f>
        <v>9</v>
      </c>
      <c r="Y127" s="94">
        <f ca="1">(TblPop[[#This Row],[Peasants]]-TblPop[[#This Row],[Draft Growth]])*raw_pop_growth</f>
        <v>8.6999999999999993</v>
      </c>
      <c r="Z127" s="94">
        <f ca="1">ROUND(IF(TblPop[[#This Row],[Military%]]&lt;TblMili[[#This Row],[Draftrate]],ROUND(TblPop[[#This Row],[Peasants]]*Constants!$B$55,0), 0) * IF(AND(TblMagic[[#This Row],[Active DnD]]&lt;=12,TblMagic[[#This Row],[Active DnD]]&gt;6),1.6,1),0)</f>
        <v>3</v>
      </c>
      <c r="AA127" s="142"/>
      <c r="AB127" s="143">
        <f ca="1">Overview!$I$17 + IF(Magic!AF127&gt;0,Constants!$F$78) + ROUND(6*(Construction!BM128+Construction!CK127)/IF(Explore!S128&gt;0,Construction!F128-20,Construction!F128),4) + tech_6_5_2*Techs!BJ127 + tech_8_4*Techs!BT127</f>
        <v>0</v>
      </c>
      <c r="AC127" s="139">
        <f ca="1">(Overview!$I$16 + Imps!Z127+ tech_2_5*Techs!AB127 + tech_3_6*Techs!AM127 + tech_6_1*Techs!BJ127 + tech_6_5*Techs!BF127 + tech_7_3_2*Techs!BN127) * (1 + Production!O127/100*prestige_pop_multiplier) + Production!O127/100*prestige_pop_multiplier</f>
        <v>2.5000000000000001E-2</v>
      </c>
    </row>
    <row r="128" spans="1:29" x14ac:dyDescent="0.2">
      <c r="A128" s="137">
        <f>TblRezone[[#This Row],[Hour]]</f>
        <v>125</v>
      </c>
      <c r="B128" s="138">
        <f ca="1">TblImps[[#This Row],[Time]]</f>
        <v>46052.166666666366</v>
      </c>
      <c r="C128" s="94">
        <f ca="1">OFFSET(TblPop[[#This Row],[Peasants]],-1,0)+OFFSET(TblPop[[#This Row],[Net Peasant]],-1,0)+TblMili[[#This Row],[Release Draft]]</f>
        <v>290</v>
      </c>
      <c r="D128" s="94">
        <f ca="1">TblMili[[#This Row],[Military]]</f>
        <v>786</v>
      </c>
      <c r="E128" s="94">
        <f ca="1">TblMili[[#This Row],[Draftees]]</f>
        <v>786</v>
      </c>
      <c r="F128" s="94">
        <f ca="1">TblPop[[#This Row],[Peasants]]+TblPop[[#This Row],[Military]]</f>
        <v>1076</v>
      </c>
      <c r="G128" s="139">
        <f ca="1">TblPop[[#This Row],[Military]]/TblPop[[#This Row],[Total]]</f>
        <v>0.73048327137546465</v>
      </c>
      <c r="H128" s="140">
        <f ca="1">MIN(TblPop[[#This Row],[Peasants]],TblPop[[#This Row],[Jobs]])</f>
        <v>290</v>
      </c>
      <c r="I128" s="139">
        <f ca="1">MIN(OFFSET(TblPop[[#This Row],[Jobs]],1,0)/TblPop[[#This Row],[Peasants]],1)</f>
        <v>1</v>
      </c>
      <c r="J128" s="140">
        <f ca="1">SUM(TblConstr[[#This Row],[Tot Alc]:[Tot GT]],TblConstr[[#This Row],[Tot Shr]:[Tot Doc]],TblConstr[[#This Row],[Dest Alc]:[Dest GT]],TblConstr[[#This Row],[Dest Shr]:[Dest Doc]])*building_employment + TblConstr[[#This Row],[Tot Fac]]*bonus_jobs_facts</f>
        <v>1000</v>
      </c>
      <c r="K128" s="141"/>
      <c r="L128" s="61">
        <f ca="1">TblPop[[#This Row],[Draftees]]</f>
        <v>786</v>
      </c>
      <c r="M128" s="61">
        <f ca="1">TblMili[[#This Row],[Unit 1]]</f>
        <v>0</v>
      </c>
      <c r="N128" s="61">
        <f ca="1">TblMili[[#This Row],[Unit 2]]</f>
        <v>0</v>
      </c>
      <c r="O128" s="61">
        <f ca="1">TblMili[[#This Row],[Unit 3]]</f>
        <v>0</v>
      </c>
      <c r="P128" s="61">
        <f ca="1">TblMili[[#This Row],[Unit 4]]</f>
        <v>0</v>
      </c>
      <c r="Q128" s="61">
        <f ca="1">TblMili[[#This Row],[Spies]]</f>
        <v>0</v>
      </c>
      <c r="R128" s="61">
        <f ca="1">TblMili[[#This Row],[Wizards]]</f>
        <v>0</v>
      </c>
      <c r="S128" s="61">
        <f ca="1">TblMili[[#This Row],[Archmages]]</f>
        <v>0</v>
      </c>
      <c r="T128" s="142"/>
      <c r="U128" s="94">
        <f ca="1">ROUND(TblPop[[#This Row],[Raw max]]*(1+OFFSET(TblPop[[#This Row],[Max pop]],-1,0)),0)+MIN(TblPop[[#This Row],[Military]]-TblPop[[#This Row],[Draftees]]-SUM(TblMili[[#This Row],[Train Unit 1]:[Train AM]]),(barracks_size + tech_8_3*TblTech[[#This Row],[8-3]])*TblConstr[[#This Row],[Tot Bar]])</f>
        <v>1076</v>
      </c>
      <c r="V128"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8" s="94">
        <f ca="1">MAX(-5%*TblPop[[#This Row],[Peasants]]-TblPop[[#This Row],[Draft Growth]],MIN(OFFSET(TblPop[[#This Row],[Net max]],1,0)-TblPop[[#This Row],[Peasants]]-TblPop[[#This Row],[Military]]-TblPop[[#This Row],[Draft Growth]],TblPop[[#This Row],[Modded Birth]]-TblPop[[#This Row],[Draft Growth]]))</f>
        <v>-3</v>
      </c>
      <c r="X128" s="94">
        <f ca="1">ROUND(TblPop[[#This Row],[Raw Birth]]*(1+TblPop[[#This Row],[Growth]]),0)</f>
        <v>9</v>
      </c>
      <c r="Y128" s="94">
        <f ca="1">(TblPop[[#This Row],[Peasants]]-TblPop[[#This Row],[Draft Growth]])*raw_pop_growth</f>
        <v>8.61</v>
      </c>
      <c r="Z128" s="94">
        <f ca="1">ROUND(IF(TblPop[[#This Row],[Military%]]&lt;TblMili[[#This Row],[Draftrate]],ROUND(TblPop[[#This Row],[Peasants]]*Constants!$B$55,0), 0) * IF(AND(TblMagic[[#This Row],[Active DnD]]&lt;=12,TblMagic[[#This Row],[Active DnD]]&gt;6),1.6,1),0)</f>
        <v>3</v>
      </c>
      <c r="AA128" s="142"/>
      <c r="AB128" s="143">
        <f ca="1">Overview!$I$17 + IF(Magic!AF128&gt;0,Constants!$F$78) + ROUND(6*(Construction!BM129+Construction!CK128)/IF(Explore!S129&gt;0,Construction!F129-20,Construction!F129),4) + tech_6_5_2*Techs!BJ128 + tech_8_4*Techs!BT128</f>
        <v>0</v>
      </c>
      <c r="AC128" s="139">
        <f ca="1">(Overview!$I$16 + Imps!Z128+ tech_2_5*Techs!AB128 + tech_3_6*Techs!AM128 + tech_6_1*Techs!BJ128 + tech_6_5*Techs!BF128 + tech_7_3_2*Techs!BN128) * (1 + Production!O128/100*prestige_pop_multiplier) + Production!O128/100*prestige_pop_multiplier</f>
        <v>2.5000000000000001E-2</v>
      </c>
    </row>
    <row r="129" spans="1:29" x14ac:dyDescent="0.2">
      <c r="A129" s="137">
        <f>TblRezone[[#This Row],[Hour]]</f>
        <v>126</v>
      </c>
      <c r="B129" s="138">
        <f ca="1">TblImps[[#This Row],[Time]]</f>
        <v>46052.20833333303</v>
      </c>
      <c r="C129" s="94">
        <f ca="1">OFFSET(TblPop[[#This Row],[Peasants]],-1,0)+OFFSET(TblPop[[#This Row],[Net Peasant]],-1,0)+TblMili[[#This Row],[Release Draft]]</f>
        <v>287</v>
      </c>
      <c r="D129" s="94">
        <f ca="1">TblMili[[#This Row],[Military]]</f>
        <v>789</v>
      </c>
      <c r="E129" s="94">
        <f ca="1">TblMili[[#This Row],[Draftees]]</f>
        <v>789</v>
      </c>
      <c r="F129" s="94">
        <f ca="1">TblPop[[#This Row],[Peasants]]+TblPop[[#This Row],[Military]]</f>
        <v>1076</v>
      </c>
      <c r="G129" s="139">
        <f ca="1">TblPop[[#This Row],[Military]]/TblPop[[#This Row],[Total]]</f>
        <v>0.73327137546468402</v>
      </c>
      <c r="H129" s="140">
        <f ca="1">MIN(TblPop[[#This Row],[Peasants]],TblPop[[#This Row],[Jobs]])</f>
        <v>287</v>
      </c>
      <c r="I129" s="139">
        <f ca="1">MIN(OFFSET(TblPop[[#This Row],[Jobs]],1,0)/TblPop[[#This Row],[Peasants]],1)</f>
        <v>1</v>
      </c>
      <c r="J129" s="140">
        <f ca="1">SUM(TblConstr[[#This Row],[Tot Alc]:[Tot GT]],TblConstr[[#This Row],[Tot Shr]:[Tot Doc]],TblConstr[[#This Row],[Dest Alc]:[Dest GT]],TblConstr[[#This Row],[Dest Shr]:[Dest Doc]])*building_employment + TblConstr[[#This Row],[Tot Fac]]*bonus_jobs_facts</f>
        <v>1000</v>
      </c>
      <c r="K129" s="141"/>
      <c r="L129" s="61">
        <f ca="1">TblPop[[#This Row],[Draftees]]</f>
        <v>789</v>
      </c>
      <c r="M129" s="61">
        <f ca="1">TblMili[[#This Row],[Unit 1]]</f>
        <v>0</v>
      </c>
      <c r="N129" s="61">
        <f ca="1">TblMili[[#This Row],[Unit 2]]</f>
        <v>0</v>
      </c>
      <c r="O129" s="61">
        <f ca="1">TblMili[[#This Row],[Unit 3]]</f>
        <v>0</v>
      </c>
      <c r="P129" s="61">
        <f ca="1">TblMili[[#This Row],[Unit 4]]</f>
        <v>0</v>
      </c>
      <c r="Q129" s="61">
        <f ca="1">TblMili[[#This Row],[Spies]]</f>
        <v>0</v>
      </c>
      <c r="R129" s="61">
        <f ca="1">TblMili[[#This Row],[Wizards]]</f>
        <v>0</v>
      </c>
      <c r="S129" s="61">
        <f ca="1">TblMili[[#This Row],[Archmages]]</f>
        <v>0</v>
      </c>
      <c r="T129" s="142"/>
      <c r="U129" s="94">
        <f ca="1">ROUND(TblPop[[#This Row],[Raw max]]*(1+OFFSET(TblPop[[#This Row],[Max pop]],-1,0)),0)+MIN(TblPop[[#This Row],[Military]]-TblPop[[#This Row],[Draftees]]-SUM(TblMili[[#This Row],[Train Unit 1]:[Train AM]]),(barracks_size + tech_8_3*TblTech[[#This Row],[8-3]])*TblConstr[[#This Row],[Tot Bar]])</f>
        <v>1076</v>
      </c>
      <c r="V129"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29" s="94">
        <f ca="1">MAX(-5%*TblPop[[#This Row],[Peasants]]-TblPop[[#This Row],[Draft Growth]],MIN(OFFSET(TblPop[[#This Row],[Net max]],1,0)-TblPop[[#This Row],[Peasants]]-TblPop[[#This Row],[Military]]-TblPop[[#This Row],[Draft Growth]],TblPop[[#This Row],[Modded Birth]]-TblPop[[#This Row],[Draft Growth]]))</f>
        <v>-3</v>
      </c>
      <c r="X129" s="94">
        <f ca="1">ROUND(TblPop[[#This Row],[Raw Birth]]*(1+TblPop[[#This Row],[Growth]]),0)</f>
        <v>9</v>
      </c>
      <c r="Y129" s="94">
        <f ca="1">(TblPop[[#This Row],[Peasants]]-TblPop[[#This Row],[Draft Growth]])*raw_pop_growth</f>
        <v>8.52</v>
      </c>
      <c r="Z129" s="94">
        <f ca="1">ROUND(IF(TblPop[[#This Row],[Military%]]&lt;TblMili[[#This Row],[Draftrate]],ROUND(TblPop[[#This Row],[Peasants]]*Constants!$B$55,0), 0) * IF(AND(TblMagic[[#This Row],[Active DnD]]&lt;=12,TblMagic[[#This Row],[Active DnD]]&gt;6),1.6,1),0)</f>
        <v>3</v>
      </c>
      <c r="AA129" s="142"/>
      <c r="AB129" s="143">
        <f ca="1">Overview!$I$17 + IF(Magic!AF129&gt;0,Constants!$F$78) + ROUND(6*(Construction!BM130+Construction!CK129)/IF(Explore!S130&gt;0,Construction!F130-20,Construction!F130),4) + tech_6_5_2*Techs!BJ129 + tech_8_4*Techs!BT129</f>
        <v>0</v>
      </c>
      <c r="AC129" s="139">
        <f ca="1">(Overview!$I$16 + Imps!Z129+ tech_2_5*Techs!AB129 + tech_3_6*Techs!AM129 + tech_6_1*Techs!BJ129 + tech_6_5*Techs!BF129 + tech_7_3_2*Techs!BN129) * (1 + Production!O129/100*prestige_pop_multiplier) + Production!O129/100*prestige_pop_multiplier</f>
        <v>2.5000000000000001E-2</v>
      </c>
    </row>
    <row r="130" spans="1:29" x14ac:dyDescent="0.2">
      <c r="A130" s="137">
        <f>TblRezone[[#This Row],[Hour]]</f>
        <v>127</v>
      </c>
      <c r="B130" s="138">
        <f ca="1">TblImps[[#This Row],[Time]]</f>
        <v>46052.249999999694</v>
      </c>
      <c r="C130" s="94">
        <f ca="1">OFFSET(TblPop[[#This Row],[Peasants]],-1,0)+OFFSET(TblPop[[#This Row],[Net Peasant]],-1,0)+TblMili[[#This Row],[Release Draft]]</f>
        <v>284</v>
      </c>
      <c r="D130" s="94">
        <f ca="1">TblMili[[#This Row],[Military]]</f>
        <v>792</v>
      </c>
      <c r="E130" s="94">
        <f ca="1">TblMili[[#This Row],[Draftees]]</f>
        <v>792</v>
      </c>
      <c r="F130" s="94">
        <f ca="1">TblPop[[#This Row],[Peasants]]+TblPop[[#This Row],[Military]]</f>
        <v>1076</v>
      </c>
      <c r="G130" s="139">
        <f ca="1">TblPop[[#This Row],[Military]]/TblPop[[#This Row],[Total]]</f>
        <v>0.73605947955390338</v>
      </c>
      <c r="H130" s="140">
        <f ca="1">MIN(TblPop[[#This Row],[Peasants]],TblPop[[#This Row],[Jobs]])</f>
        <v>284</v>
      </c>
      <c r="I130" s="139">
        <f ca="1">MIN(OFFSET(TblPop[[#This Row],[Jobs]],1,0)/TblPop[[#This Row],[Peasants]],1)</f>
        <v>1</v>
      </c>
      <c r="J130" s="140">
        <f ca="1">SUM(TblConstr[[#This Row],[Tot Alc]:[Tot GT]],TblConstr[[#This Row],[Tot Shr]:[Tot Doc]],TblConstr[[#This Row],[Dest Alc]:[Dest GT]],TblConstr[[#This Row],[Dest Shr]:[Dest Doc]])*building_employment + TblConstr[[#This Row],[Tot Fac]]*bonus_jobs_facts</f>
        <v>1000</v>
      </c>
      <c r="K130" s="141"/>
      <c r="L130" s="61">
        <f ca="1">TblPop[[#This Row],[Draftees]]</f>
        <v>792</v>
      </c>
      <c r="M130" s="61">
        <f ca="1">TblMili[[#This Row],[Unit 1]]</f>
        <v>0</v>
      </c>
      <c r="N130" s="61">
        <f ca="1">TblMili[[#This Row],[Unit 2]]</f>
        <v>0</v>
      </c>
      <c r="O130" s="61">
        <f ca="1">TblMili[[#This Row],[Unit 3]]</f>
        <v>0</v>
      </c>
      <c r="P130" s="61">
        <f ca="1">TblMili[[#This Row],[Unit 4]]</f>
        <v>0</v>
      </c>
      <c r="Q130" s="61">
        <f ca="1">TblMili[[#This Row],[Spies]]</f>
        <v>0</v>
      </c>
      <c r="R130" s="61">
        <f ca="1">TblMili[[#This Row],[Wizards]]</f>
        <v>0</v>
      </c>
      <c r="S130" s="61">
        <f ca="1">TblMili[[#This Row],[Archmages]]</f>
        <v>0</v>
      </c>
      <c r="T130" s="142"/>
      <c r="U130" s="94">
        <f ca="1">ROUND(TblPop[[#This Row],[Raw max]]*(1+OFFSET(TblPop[[#This Row],[Max pop]],-1,0)),0)+MIN(TblPop[[#This Row],[Military]]-TblPop[[#This Row],[Draftees]]-SUM(TblMili[[#This Row],[Train Unit 1]:[Train AM]]),(barracks_size + tech_8_3*TblTech[[#This Row],[8-3]])*TblConstr[[#This Row],[Tot Bar]])</f>
        <v>1076</v>
      </c>
      <c r="V130"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0" s="94">
        <f ca="1">MAX(-5%*TblPop[[#This Row],[Peasants]]-TblPop[[#This Row],[Draft Growth]],MIN(OFFSET(TblPop[[#This Row],[Net max]],1,0)-TblPop[[#This Row],[Peasants]]-TblPop[[#This Row],[Military]]-TblPop[[#This Row],[Draft Growth]],TblPop[[#This Row],[Modded Birth]]-TblPop[[#This Row],[Draft Growth]]))</f>
        <v>-3</v>
      </c>
      <c r="X130" s="94">
        <f ca="1">ROUND(TblPop[[#This Row],[Raw Birth]]*(1+TblPop[[#This Row],[Growth]]),0)</f>
        <v>8</v>
      </c>
      <c r="Y130" s="94">
        <f ca="1">(TblPop[[#This Row],[Peasants]]-TblPop[[#This Row],[Draft Growth]])*raw_pop_growth</f>
        <v>8.43</v>
      </c>
      <c r="Z130" s="94">
        <f ca="1">ROUND(IF(TblPop[[#This Row],[Military%]]&lt;TblMili[[#This Row],[Draftrate]],ROUND(TblPop[[#This Row],[Peasants]]*Constants!$B$55,0), 0) * IF(AND(TblMagic[[#This Row],[Active DnD]]&lt;=12,TblMagic[[#This Row],[Active DnD]]&gt;6),1.6,1),0)</f>
        <v>3</v>
      </c>
      <c r="AA130" s="142"/>
      <c r="AB130" s="143">
        <f ca="1">Overview!$I$17 + IF(Magic!AF130&gt;0,Constants!$F$78) + ROUND(6*(Construction!BM131+Construction!CK130)/IF(Explore!S131&gt;0,Construction!F131-20,Construction!F131),4) + tech_6_5_2*Techs!BJ130 + tech_8_4*Techs!BT130</f>
        <v>0</v>
      </c>
      <c r="AC130" s="139">
        <f ca="1">(Overview!$I$16 + Imps!Z130+ tech_2_5*Techs!AB130 + tech_3_6*Techs!AM130 + tech_6_1*Techs!BJ130 + tech_6_5*Techs!BF130 + tech_7_3_2*Techs!BN130) * (1 + Production!O130/100*prestige_pop_multiplier) + Production!O130/100*prestige_pop_multiplier</f>
        <v>2.5000000000000001E-2</v>
      </c>
    </row>
    <row r="131" spans="1:29" x14ac:dyDescent="0.2">
      <c r="A131" s="137">
        <f>TblRezone[[#This Row],[Hour]]</f>
        <v>128</v>
      </c>
      <c r="B131" s="138">
        <f ca="1">TblImps[[#This Row],[Time]]</f>
        <v>46052.291666666359</v>
      </c>
      <c r="C131" s="94">
        <f ca="1">OFFSET(TblPop[[#This Row],[Peasants]],-1,0)+OFFSET(TblPop[[#This Row],[Net Peasant]],-1,0)+TblMili[[#This Row],[Release Draft]]</f>
        <v>281</v>
      </c>
      <c r="D131" s="94">
        <f ca="1">TblMili[[#This Row],[Military]]</f>
        <v>795</v>
      </c>
      <c r="E131" s="94">
        <f ca="1">TblMili[[#This Row],[Draftees]]</f>
        <v>795</v>
      </c>
      <c r="F131" s="94">
        <f ca="1">TblPop[[#This Row],[Peasants]]+TblPop[[#This Row],[Military]]</f>
        <v>1076</v>
      </c>
      <c r="G131" s="139">
        <f ca="1">TblPop[[#This Row],[Military]]/TblPop[[#This Row],[Total]]</f>
        <v>0.73884758364312264</v>
      </c>
      <c r="H131" s="140">
        <f ca="1">MIN(TblPop[[#This Row],[Peasants]],TblPop[[#This Row],[Jobs]])</f>
        <v>281</v>
      </c>
      <c r="I131" s="139">
        <f ca="1">MIN(OFFSET(TblPop[[#This Row],[Jobs]],1,0)/TblPop[[#This Row],[Peasants]],1)</f>
        <v>1</v>
      </c>
      <c r="J131" s="140">
        <f ca="1">SUM(TblConstr[[#This Row],[Tot Alc]:[Tot GT]],TblConstr[[#This Row],[Tot Shr]:[Tot Doc]],TblConstr[[#This Row],[Dest Alc]:[Dest GT]],TblConstr[[#This Row],[Dest Shr]:[Dest Doc]])*building_employment + TblConstr[[#This Row],[Tot Fac]]*bonus_jobs_facts</f>
        <v>1000</v>
      </c>
      <c r="K131" s="141"/>
      <c r="L131" s="61">
        <f ca="1">TblPop[[#This Row],[Draftees]]</f>
        <v>795</v>
      </c>
      <c r="M131" s="61">
        <f ca="1">TblMili[[#This Row],[Unit 1]]</f>
        <v>0</v>
      </c>
      <c r="N131" s="61">
        <f ca="1">TblMili[[#This Row],[Unit 2]]</f>
        <v>0</v>
      </c>
      <c r="O131" s="61">
        <f ca="1">TblMili[[#This Row],[Unit 3]]</f>
        <v>0</v>
      </c>
      <c r="P131" s="61">
        <f ca="1">TblMili[[#This Row],[Unit 4]]</f>
        <v>0</v>
      </c>
      <c r="Q131" s="61">
        <f ca="1">TblMili[[#This Row],[Spies]]</f>
        <v>0</v>
      </c>
      <c r="R131" s="61">
        <f ca="1">TblMili[[#This Row],[Wizards]]</f>
        <v>0</v>
      </c>
      <c r="S131" s="61">
        <f ca="1">TblMili[[#This Row],[Archmages]]</f>
        <v>0</v>
      </c>
      <c r="T131" s="142"/>
      <c r="U131" s="94">
        <f ca="1">ROUND(TblPop[[#This Row],[Raw max]]*(1+OFFSET(TblPop[[#This Row],[Max pop]],-1,0)),0)+MIN(TblPop[[#This Row],[Military]]-TblPop[[#This Row],[Draftees]]-SUM(TblMili[[#This Row],[Train Unit 1]:[Train AM]]),(barracks_size + tech_8_3*TblTech[[#This Row],[8-3]])*TblConstr[[#This Row],[Tot Bar]])</f>
        <v>1076</v>
      </c>
      <c r="V131"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1" s="94">
        <f ca="1">MAX(-5%*TblPop[[#This Row],[Peasants]]-TblPop[[#This Row],[Draft Growth]],MIN(OFFSET(TblPop[[#This Row],[Net max]],1,0)-TblPop[[#This Row],[Peasants]]-TblPop[[#This Row],[Military]]-TblPop[[#This Row],[Draft Growth]],TblPop[[#This Row],[Modded Birth]]-TblPop[[#This Row],[Draft Growth]]))</f>
        <v>-3</v>
      </c>
      <c r="X131" s="94">
        <f ca="1">ROUND(TblPop[[#This Row],[Raw Birth]]*(1+TblPop[[#This Row],[Growth]]),0)</f>
        <v>8</v>
      </c>
      <c r="Y131" s="94">
        <f ca="1">(TblPop[[#This Row],[Peasants]]-TblPop[[#This Row],[Draft Growth]])*raw_pop_growth</f>
        <v>8.34</v>
      </c>
      <c r="Z131" s="94">
        <f ca="1">ROUND(IF(TblPop[[#This Row],[Military%]]&lt;TblMili[[#This Row],[Draftrate]],ROUND(TblPop[[#This Row],[Peasants]]*Constants!$B$55,0), 0) * IF(AND(TblMagic[[#This Row],[Active DnD]]&lt;=12,TblMagic[[#This Row],[Active DnD]]&gt;6),1.6,1),0)</f>
        <v>3</v>
      </c>
      <c r="AA131" s="142"/>
      <c r="AB131" s="143">
        <f ca="1">Overview!$I$17 + IF(Magic!AF131&gt;0,Constants!$F$78) + ROUND(6*(Construction!BM132+Construction!CK131)/IF(Explore!S132&gt;0,Construction!F132-20,Construction!F132),4) + tech_6_5_2*Techs!BJ131 + tech_8_4*Techs!BT131</f>
        <v>0</v>
      </c>
      <c r="AC131" s="139">
        <f ca="1">(Overview!$I$16 + Imps!Z131+ tech_2_5*Techs!AB131 + tech_3_6*Techs!AM131 + tech_6_1*Techs!BJ131 + tech_6_5*Techs!BF131 + tech_7_3_2*Techs!BN131) * (1 + Production!O131/100*prestige_pop_multiplier) + Production!O131/100*prestige_pop_multiplier</f>
        <v>2.5000000000000001E-2</v>
      </c>
    </row>
    <row r="132" spans="1:29" x14ac:dyDescent="0.2">
      <c r="A132" s="137">
        <f>TblRezone[[#This Row],[Hour]]</f>
        <v>129</v>
      </c>
      <c r="B132" s="138">
        <f ca="1">TblImps[[#This Row],[Time]]</f>
        <v>46052.333333333023</v>
      </c>
      <c r="C132" s="94">
        <f ca="1">OFFSET(TblPop[[#This Row],[Peasants]],-1,0)+OFFSET(TblPop[[#This Row],[Net Peasant]],-1,0)+TblMili[[#This Row],[Release Draft]]</f>
        <v>278</v>
      </c>
      <c r="D132" s="94">
        <f ca="1">TblMili[[#This Row],[Military]]</f>
        <v>798</v>
      </c>
      <c r="E132" s="94">
        <f ca="1">TblMili[[#This Row],[Draftees]]</f>
        <v>798</v>
      </c>
      <c r="F132" s="94">
        <f ca="1">TblPop[[#This Row],[Peasants]]+TblPop[[#This Row],[Military]]</f>
        <v>1076</v>
      </c>
      <c r="G132" s="139">
        <f ca="1">TblPop[[#This Row],[Military]]/TblPop[[#This Row],[Total]]</f>
        <v>0.74163568773234201</v>
      </c>
      <c r="H132" s="140">
        <f ca="1">MIN(TblPop[[#This Row],[Peasants]],TblPop[[#This Row],[Jobs]])</f>
        <v>278</v>
      </c>
      <c r="I132" s="139">
        <f ca="1">MIN(OFFSET(TblPop[[#This Row],[Jobs]],1,0)/TblPop[[#This Row],[Peasants]],1)</f>
        <v>1</v>
      </c>
      <c r="J132" s="140">
        <f ca="1">SUM(TblConstr[[#This Row],[Tot Alc]:[Tot GT]],TblConstr[[#This Row],[Tot Shr]:[Tot Doc]],TblConstr[[#This Row],[Dest Alc]:[Dest GT]],TblConstr[[#This Row],[Dest Shr]:[Dest Doc]])*building_employment + TblConstr[[#This Row],[Tot Fac]]*bonus_jobs_facts</f>
        <v>1000</v>
      </c>
      <c r="K132" s="141"/>
      <c r="L132" s="61">
        <f ca="1">TblPop[[#This Row],[Draftees]]</f>
        <v>798</v>
      </c>
      <c r="M132" s="61">
        <f ca="1">TblMili[[#This Row],[Unit 1]]</f>
        <v>0</v>
      </c>
      <c r="N132" s="61">
        <f ca="1">TblMili[[#This Row],[Unit 2]]</f>
        <v>0</v>
      </c>
      <c r="O132" s="61">
        <f ca="1">TblMili[[#This Row],[Unit 3]]</f>
        <v>0</v>
      </c>
      <c r="P132" s="61">
        <f ca="1">TblMili[[#This Row],[Unit 4]]</f>
        <v>0</v>
      </c>
      <c r="Q132" s="61">
        <f ca="1">TblMili[[#This Row],[Spies]]</f>
        <v>0</v>
      </c>
      <c r="R132" s="61">
        <f ca="1">TblMili[[#This Row],[Wizards]]</f>
        <v>0</v>
      </c>
      <c r="S132" s="61">
        <f ca="1">TblMili[[#This Row],[Archmages]]</f>
        <v>0</v>
      </c>
      <c r="T132" s="142"/>
      <c r="U132" s="94">
        <f ca="1">ROUND(TblPop[[#This Row],[Raw max]]*(1+OFFSET(TblPop[[#This Row],[Max pop]],-1,0)),0)+MIN(TblPop[[#This Row],[Military]]-TblPop[[#This Row],[Draftees]]-SUM(TblMili[[#This Row],[Train Unit 1]:[Train AM]]),(barracks_size + tech_8_3*TblTech[[#This Row],[8-3]])*TblConstr[[#This Row],[Tot Bar]])</f>
        <v>1076</v>
      </c>
      <c r="V132"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2" s="94">
        <f ca="1">MAX(-5%*TblPop[[#This Row],[Peasants]]-TblPop[[#This Row],[Draft Growth]],MIN(OFFSET(TblPop[[#This Row],[Net max]],1,0)-TblPop[[#This Row],[Peasants]]-TblPop[[#This Row],[Military]]-TblPop[[#This Row],[Draft Growth]],TblPop[[#This Row],[Modded Birth]]-TblPop[[#This Row],[Draft Growth]]))</f>
        <v>-3</v>
      </c>
      <c r="X132" s="94">
        <f ca="1">ROUND(TblPop[[#This Row],[Raw Birth]]*(1+TblPop[[#This Row],[Growth]]),0)</f>
        <v>8</v>
      </c>
      <c r="Y132" s="94">
        <f ca="1">(TblPop[[#This Row],[Peasants]]-TblPop[[#This Row],[Draft Growth]])*raw_pop_growth</f>
        <v>8.25</v>
      </c>
      <c r="Z132" s="94">
        <f ca="1">ROUND(IF(TblPop[[#This Row],[Military%]]&lt;TblMili[[#This Row],[Draftrate]],ROUND(TblPop[[#This Row],[Peasants]]*Constants!$B$55,0), 0) * IF(AND(TblMagic[[#This Row],[Active DnD]]&lt;=12,TblMagic[[#This Row],[Active DnD]]&gt;6),1.6,1),0)</f>
        <v>3</v>
      </c>
      <c r="AA132" s="142"/>
      <c r="AB132" s="143">
        <f ca="1">Overview!$I$17 + IF(Magic!AF132&gt;0,Constants!$F$78) + ROUND(6*(Construction!BM133+Construction!CK132)/IF(Explore!S133&gt;0,Construction!F133-20,Construction!F133),4) + tech_6_5_2*Techs!BJ132 + tech_8_4*Techs!BT132</f>
        <v>0</v>
      </c>
      <c r="AC132" s="139">
        <f ca="1">(Overview!$I$16 + Imps!Z132+ tech_2_5*Techs!AB132 + tech_3_6*Techs!AM132 + tech_6_1*Techs!BJ132 + tech_6_5*Techs!BF132 + tech_7_3_2*Techs!BN132) * (1 + Production!O132/100*prestige_pop_multiplier) + Production!O132/100*prestige_pop_multiplier</f>
        <v>2.5000000000000001E-2</v>
      </c>
    </row>
    <row r="133" spans="1:29" x14ac:dyDescent="0.2">
      <c r="A133" s="137">
        <f>TblRezone[[#This Row],[Hour]]</f>
        <v>130</v>
      </c>
      <c r="B133" s="138">
        <f ca="1">TblImps[[#This Row],[Time]]</f>
        <v>46052.374999999687</v>
      </c>
      <c r="C133" s="94">
        <f ca="1">OFFSET(TblPop[[#This Row],[Peasants]],-1,0)+OFFSET(TblPop[[#This Row],[Net Peasant]],-1,0)+TblMili[[#This Row],[Release Draft]]</f>
        <v>275</v>
      </c>
      <c r="D133" s="94">
        <f ca="1">TblMili[[#This Row],[Military]]</f>
        <v>801</v>
      </c>
      <c r="E133" s="94">
        <f ca="1">TblMili[[#This Row],[Draftees]]</f>
        <v>801</v>
      </c>
      <c r="F133" s="94">
        <f ca="1">TblPop[[#This Row],[Peasants]]+TblPop[[#This Row],[Military]]</f>
        <v>1076</v>
      </c>
      <c r="G133" s="139">
        <f ca="1">TblPop[[#This Row],[Military]]/TblPop[[#This Row],[Total]]</f>
        <v>0.74442379182156138</v>
      </c>
      <c r="H133" s="140">
        <f ca="1">MIN(TblPop[[#This Row],[Peasants]],TblPop[[#This Row],[Jobs]])</f>
        <v>275</v>
      </c>
      <c r="I133" s="139">
        <f ca="1">MIN(OFFSET(TblPop[[#This Row],[Jobs]],1,0)/TblPop[[#This Row],[Peasants]],1)</f>
        <v>1</v>
      </c>
      <c r="J133" s="140">
        <f ca="1">SUM(TblConstr[[#This Row],[Tot Alc]:[Tot GT]],TblConstr[[#This Row],[Tot Shr]:[Tot Doc]],TblConstr[[#This Row],[Dest Alc]:[Dest GT]],TblConstr[[#This Row],[Dest Shr]:[Dest Doc]])*building_employment + TblConstr[[#This Row],[Tot Fac]]*bonus_jobs_facts</f>
        <v>1000</v>
      </c>
      <c r="K133" s="141"/>
      <c r="L133" s="61">
        <f ca="1">TblPop[[#This Row],[Draftees]]</f>
        <v>801</v>
      </c>
      <c r="M133" s="61">
        <f ca="1">TblMili[[#This Row],[Unit 1]]</f>
        <v>0</v>
      </c>
      <c r="N133" s="61">
        <f ca="1">TblMili[[#This Row],[Unit 2]]</f>
        <v>0</v>
      </c>
      <c r="O133" s="61">
        <f ca="1">TblMili[[#This Row],[Unit 3]]</f>
        <v>0</v>
      </c>
      <c r="P133" s="61">
        <f ca="1">TblMili[[#This Row],[Unit 4]]</f>
        <v>0</v>
      </c>
      <c r="Q133" s="61">
        <f ca="1">TblMili[[#This Row],[Spies]]</f>
        <v>0</v>
      </c>
      <c r="R133" s="61">
        <f ca="1">TblMili[[#This Row],[Wizards]]</f>
        <v>0</v>
      </c>
      <c r="S133" s="61">
        <f ca="1">TblMili[[#This Row],[Archmages]]</f>
        <v>0</v>
      </c>
      <c r="T133" s="142"/>
      <c r="U133" s="94">
        <f ca="1">ROUND(TblPop[[#This Row],[Raw max]]*(1+OFFSET(TblPop[[#This Row],[Max pop]],-1,0)),0)+MIN(TblPop[[#This Row],[Military]]-TblPop[[#This Row],[Draftees]]-SUM(TblMili[[#This Row],[Train Unit 1]:[Train AM]]),(barracks_size + tech_8_3*TblTech[[#This Row],[8-3]])*TblConstr[[#This Row],[Tot Bar]])</f>
        <v>1076</v>
      </c>
      <c r="V133"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3" s="94">
        <f ca="1">MAX(-5%*TblPop[[#This Row],[Peasants]]-TblPop[[#This Row],[Draft Growth]],MIN(OFFSET(TblPop[[#This Row],[Net max]],1,0)-TblPop[[#This Row],[Peasants]]-TblPop[[#This Row],[Military]]-TblPop[[#This Row],[Draft Growth]],TblPop[[#This Row],[Modded Birth]]-TblPop[[#This Row],[Draft Growth]]))</f>
        <v>-3</v>
      </c>
      <c r="X133" s="94">
        <f ca="1">ROUND(TblPop[[#This Row],[Raw Birth]]*(1+TblPop[[#This Row],[Growth]]),0)</f>
        <v>8</v>
      </c>
      <c r="Y133" s="94">
        <f ca="1">(TblPop[[#This Row],[Peasants]]-TblPop[[#This Row],[Draft Growth]])*raw_pop_growth</f>
        <v>8.16</v>
      </c>
      <c r="Z133" s="94">
        <f ca="1">ROUND(IF(TblPop[[#This Row],[Military%]]&lt;TblMili[[#This Row],[Draftrate]],ROUND(TblPop[[#This Row],[Peasants]]*Constants!$B$55,0), 0) * IF(AND(TblMagic[[#This Row],[Active DnD]]&lt;=12,TblMagic[[#This Row],[Active DnD]]&gt;6),1.6,1),0)</f>
        <v>3</v>
      </c>
      <c r="AA133" s="142"/>
      <c r="AB133" s="143">
        <f ca="1">Overview!$I$17 + IF(Magic!AF133&gt;0,Constants!$F$78) + ROUND(6*(Construction!BM134+Construction!CK133)/IF(Explore!S134&gt;0,Construction!F134-20,Construction!F134),4) + tech_6_5_2*Techs!BJ133 + tech_8_4*Techs!BT133</f>
        <v>0</v>
      </c>
      <c r="AC133" s="139">
        <f ca="1">(Overview!$I$16 + Imps!Z133+ tech_2_5*Techs!AB133 + tech_3_6*Techs!AM133 + tech_6_1*Techs!BJ133 + tech_6_5*Techs!BF133 + tech_7_3_2*Techs!BN133) * (1 + Production!O133/100*prestige_pop_multiplier) + Production!O133/100*prestige_pop_multiplier</f>
        <v>2.5000000000000001E-2</v>
      </c>
    </row>
    <row r="134" spans="1:29" x14ac:dyDescent="0.2">
      <c r="A134" s="137">
        <f>TblRezone[[#This Row],[Hour]]</f>
        <v>131</v>
      </c>
      <c r="B134" s="138">
        <f ca="1">TblImps[[#This Row],[Time]]</f>
        <v>46052.416666666351</v>
      </c>
      <c r="C134" s="94">
        <f ca="1">OFFSET(TblPop[[#This Row],[Peasants]],-1,0)+OFFSET(TblPop[[#This Row],[Net Peasant]],-1,0)+TblMili[[#This Row],[Release Draft]]</f>
        <v>272</v>
      </c>
      <c r="D134" s="94">
        <f ca="1">TblMili[[#This Row],[Military]]</f>
        <v>804</v>
      </c>
      <c r="E134" s="94">
        <f ca="1">TblMili[[#This Row],[Draftees]]</f>
        <v>804</v>
      </c>
      <c r="F134" s="94">
        <f ca="1">TblPop[[#This Row],[Peasants]]+TblPop[[#This Row],[Military]]</f>
        <v>1076</v>
      </c>
      <c r="G134" s="139">
        <f ca="1">TblPop[[#This Row],[Military]]/TblPop[[#This Row],[Total]]</f>
        <v>0.74721189591078063</v>
      </c>
      <c r="H134" s="140">
        <f ca="1">MIN(TblPop[[#This Row],[Peasants]],TblPop[[#This Row],[Jobs]])</f>
        <v>272</v>
      </c>
      <c r="I134" s="139">
        <f ca="1">MIN(OFFSET(TblPop[[#This Row],[Jobs]],1,0)/TblPop[[#This Row],[Peasants]],1)</f>
        <v>1</v>
      </c>
      <c r="J134" s="140">
        <f ca="1">SUM(TblConstr[[#This Row],[Tot Alc]:[Tot GT]],TblConstr[[#This Row],[Tot Shr]:[Tot Doc]],TblConstr[[#This Row],[Dest Alc]:[Dest GT]],TblConstr[[#This Row],[Dest Shr]:[Dest Doc]])*building_employment + TblConstr[[#This Row],[Tot Fac]]*bonus_jobs_facts</f>
        <v>1000</v>
      </c>
      <c r="K134" s="141"/>
      <c r="L134" s="61">
        <f ca="1">TblPop[[#This Row],[Draftees]]</f>
        <v>804</v>
      </c>
      <c r="M134" s="61">
        <f ca="1">TblMili[[#This Row],[Unit 1]]</f>
        <v>0</v>
      </c>
      <c r="N134" s="61">
        <f ca="1">TblMili[[#This Row],[Unit 2]]</f>
        <v>0</v>
      </c>
      <c r="O134" s="61">
        <f ca="1">TblMili[[#This Row],[Unit 3]]</f>
        <v>0</v>
      </c>
      <c r="P134" s="61">
        <f ca="1">TblMili[[#This Row],[Unit 4]]</f>
        <v>0</v>
      </c>
      <c r="Q134" s="61">
        <f ca="1">TblMili[[#This Row],[Spies]]</f>
        <v>0</v>
      </c>
      <c r="R134" s="61">
        <f ca="1">TblMili[[#This Row],[Wizards]]</f>
        <v>0</v>
      </c>
      <c r="S134" s="61">
        <f ca="1">TblMili[[#This Row],[Archmages]]</f>
        <v>0</v>
      </c>
      <c r="T134" s="142"/>
      <c r="U134" s="94">
        <f ca="1">ROUND(TblPop[[#This Row],[Raw max]]*(1+OFFSET(TblPop[[#This Row],[Max pop]],-1,0)),0)+MIN(TblPop[[#This Row],[Military]]-TblPop[[#This Row],[Draftees]]-SUM(TblMili[[#This Row],[Train Unit 1]:[Train AM]]),(barracks_size + tech_8_3*TblTech[[#This Row],[8-3]])*TblConstr[[#This Row],[Tot Bar]])</f>
        <v>1076</v>
      </c>
      <c r="V134"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4" s="94">
        <f ca="1">MAX(-5%*TblPop[[#This Row],[Peasants]]-TblPop[[#This Row],[Draft Growth]],MIN(OFFSET(TblPop[[#This Row],[Net max]],1,0)-TblPop[[#This Row],[Peasants]]-TblPop[[#This Row],[Military]]-TblPop[[#This Row],[Draft Growth]],TblPop[[#This Row],[Modded Birth]]-TblPop[[#This Row],[Draft Growth]]))</f>
        <v>-3</v>
      </c>
      <c r="X134" s="94">
        <f ca="1">ROUND(TblPop[[#This Row],[Raw Birth]]*(1+TblPop[[#This Row],[Growth]]),0)</f>
        <v>8</v>
      </c>
      <c r="Y134" s="94">
        <f ca="1">(TblPop[[#This Row],[Peasants]]-TblPop[[#This Row],[Draft Growth]])*raw_pop_growth</f>
        <v>8.07</v>
      </c>
      <c r="Z134" s="94">
        <f ca="1">ROUND(IF(TblPop[[#This Row],[Military%]]&lt;TblMili[[#This Row],[Draftrate]],ROUND(TblPop[[#This Row],[Peasants]]*Constants!$B$55,0), 0) * IF(AND(TblMagic[[#This Row],[Active DnD]]&lt;=12,TblMagic[[#This Row],[Active DnD]]&gt;6),1.6,1),0)</f>
        <v>3</v>
      </c>
      <c r="AA134" s="142"/>
      <c r="AB134" s="143">
        <f ca="1">Overview!$I$17 + IF(Magic!AF134&gt;0,Constants!$F$78) + ROUND(6*(Construction!BM135+Construction!CK134)/IF(Explore!S135&gt;0,Construction!F135-20,Construction!F135),4) + tech_6_5_2*Techs!BJ134 + tech_8_4*Techs!BT134</f>
        <v>0</v>
      </c>
      <c r="AC134" s="139">
        <f ca="1">(Overview!$I$16 + Imps!Z134+ tech_2_5*Techs!AB134 + tech_3_6*Techs!AM134 + tech_6_1*Techs!BJ134 + tech_6_5*Techs!BF134 + tech_7_3_2*Techs!BN134) * (1 + Production!O134/100*prestige_pop_multiplier) + Production!O134/100*prestige_pop_multiplier</f>
        <v>2.5000000000000001E-2</v>
      </c>
    </row>
    <row r="135" spans="1:29" x14ac:dyDescent="0.2">
      <c r="A135" s="137">
        <f>TblRezone[[#This Row],[Hour]]</f>
        <v>132</v>
      </c>
      <c r="B135" s="138">
        <f ca="1">TblImps[[#This Row],[Time]]</f>
        <v>46052.458333333016</v>
      </c>
      <c r="C135" s="94">
        <f ca="1">OFFSET(TblPop[[#This Row],[Peasants]],-1,0)+OFFSET(TblPop[[#This Row],[Net Peasant]],-1,0)+TblMili[[#This Row],[Release Draft]]</f>
        <v>269</v>
      </c>
      <c r="D135" s="94">
        <f ca="1">TblMili[[#This Row],[Military]]</f>
        <v>807</v>
      </c>
      <c r="E135" s="94">
        <f ca="1">TblMili[[#This Row],[Draftees]]</f>
        <v>807</v>
      </c>
      <c r="F135" s="94">
        <f ca="1">TblPop[[#This Row],[Peasants]]+TblPop[[#This Row],[Military]]</f>
        <v>1076</v>
      </c>
      <c r="G135" s="139">
        <f ca="1">TblPop[[#This Row],[Military]]/TblPop[[#This Row],[Total]]</f>
        <v>0.75</v>
      </c>
      <c r="H135" s="140">
        <f ca="1">MIN(TblPop[[#This Row],[Peasants]],TblPop[[#This Row],[Jobs]])</f>
        <v>269</v>
      </c>
      <c r="I135" s="139">
        <f ca="1">MIN(OFFSET(TblPop[[#This Row],[Jobs]],1,0)/TblPop[[#This Row],[Peasants]],1)</f>
        <v>1</v>
      </c>
      <c r="J135" s="140">
        <f ca="1">SUM(TblConstr[[#This Row],[Tot Alc]:[Tot GT]],TblConstr[[#This Row],[Tot Shr]:[Tot Doc]],TblConstr[[#This Row],[Dest Alc]:[Dest GT]],TblConstr[[#This Row],[Dest Shr]:[Dest Doc]])*building_employment + TblConstr[[#This Row],[Tot Fac]]*bonus_jobs_facts</f>
        <v>1000</v>
      </c>
      <c r="K135" s="141"/>
      <c r="L135" s="61">
        <f ca="1">TblPop[[#This Row],[Draftees]]</f>
        <v>807</v>
      </c>
      <c r="M135" s="61">
        <f ca="1">TblMili[[#This Row],[Unit 1]]</f>
        <v>0</v>
      </c>
      <c r="N135" s="61">
        <f ca="1">TblMili[[#This Row],[Unit 2]]</f>
        <v>0</v>
      </c>
      <c r="O135" s="61">
        <f ca="1">TblMili[[#This Row],[Unit 3]]</f>
        <v>0</v>
      </c>
      <c r="P135" s="61">
        <f ca="1">TblMili[[#This Row],[Unit 4]]</f>
        <v>0</v>
      </c>
      <c r="Q135" s="61">
        <f ca="1">TblMili[[#This Row],[Spies]]</f>
        <v>0</v>
      </c>
      <c r="R135" s="61">
        <f ca="1">TblMili[[#This Row],[Wizards]]</f>
        <v>0</v>
      </c>
      <c r="S135" s="61">
        <f ca="1">TblMili[[#This Row],[Archmages]]</f>
        <v>0</v>
      </c>
      <c r="T135" s="142"/>
      <c r="U135" s="94">
        <f ca="1">ROUND(TblPop[[#This Row],[Raw max]]*(1+OFFSET(TblPop[[#This Row],[Max pop]],-1,0)),0)+MIN(TblPop[[#This Row],[Military]]-TblPop[[#This Row],[Draftees]]-SUM(TblMili[[#This Row],[Train Unit 1]:[Train AM]]),(barracks_size + tech_8_3*TblTech[[#This Row],[8-3]])*TblConstr[[#This Row],[Tot Bar]])</f>
        <v>1076</v>
      </c>
      <c r="V135"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5" s="94">
        <f ca="1">MAX(-5%*TblPop[[#This Row],[Peasants]]-TblPop[[#This Row],[Draft Growth]],MIN(OFFSET(TblPop[[#This Row],[Net max]],1,0)-TblPop[[#This Row],[Peasants]]-TblPop[[#This Row],[Military]]-TblPop[[#This Row],[Draft Growth]],TblPop[[#This Row],[Modded Birth]]-TblPop[[#This Row],[Draft Growth]]))</f>
        <v>-3</v>
      </c>
      <c r="X135" s="94">
        <f ca="1">ROUND(TblPop[[#This Row],[Raw Birth]]*(1+TblPop[[#This Row],[Growth]]),0)</f>
        <v>8</v>
      </c>
      <c r="Y135" s="94">
        <f ca="1">(TblPop[[#This Row],[Peasants]]-TblPop[[#This Row],[Draft Growth]])*raw_pop_growth</f>
        <v>7.9799999999999995</v>
      </c>
      <c r="Z135" s="94">
        <f ca="1">ROUND(IF(TblPop[[#This Row],[Military%]]&lt;TblMili[[#This Row],[Draftrate]],ROUND(TblPop[[#This Row],[Peasants]]*Constants!$B$55,0), 0) * IF(AND(TblMagic[[#This Row],[Active DnD]]&lt;=12,TblMagic[[#This Row],[Active DnD]]&gt;6),1.6,1),0)</f>
        <v>3</v>
      </c>
      <c r="AA135" s="142"/>
      <c r="AB135" s="143">
        <f ca="1">Overview!$I$17 + IF(Magic!AF135&gt;0,Constants!$F$78) + ROUND(6*(Construction!BM136+Construction!CK135)/IF(Explore!S136&gt;0,Construction!F136-20,Construction!F136),4) + tech_6_5_2*Techs!BJ135 + tech_8_4*Techs!BT135</f>
        <v>0</v>
      </c>
      <c r="AC135" s="139">
        <f ca="1">(Overview!$I$16 + Imps!Z135+ tech_2_5*Techs!AB135 + tech_3_6*Techs!AM135 + tech_6_1*Techs!BJ135 + tech_6_5*Techs!BF135 + tech_7_3_2*Techs!BN135) * (1 + Production!O135/100*prestige_pop_multiplier) + Production!O135/100*prestige_pop_multiplier</f>
        <v>2.5000000000000001E-2</v>
      </c>
    </row>
    <row r="136" spans="1:29" x14ac:dyDescent="0.2">
      <c r="A136" s="137">
        <f>TblRezone[[#This Row],[Hour]]</f>
        <v>133</v>
      </c>
      <c r="B136" s="138">
        <f ca="1">TblImps[[#This Row],[Time]]</f>
        <v>46052.49999999968</v>
      </c>
      <c r="C136" s="94">
        <f ca="1">OFFSET(TblPop[[#This Row],[Peasants]],-1,0)+OFFSET(TblPop[[#This Row],[Net Peasant]],-1,0)+TblMili[[#This Row],[Release Draft]]</f>
        <v>266</v>
      </c>
      <c r="D136" s="94">
        <f ca="1">TblMili[[#This Row],[Military]]</f>
        <v>810</v>
      </c>
      <c r="E136" s="94">
        <f ca="1">TblMili[[#This Row],[Draftees]]</f>
        <v>810</v>
      </c>
      <c r="F136" s="94">
        <f ca="1">TblPop[[#This Row],[Peasants]]+TblPop[[#This Row],[Military]]</f>
        <v>1076</v>
      </c>
      <c r="G136" s="139">
        <f ca="1">TblPop[[#This Row],[Military]]/TblPop[[#This Row],[Total]]</f>
        <v>0.75278810408921937</v>
      </c>
      <c r="H136" s="140">
        <f ca="1">MIN(TblPop[[#This Row],[Peasants]],TblPop[[#This Row],[Jobs]])</f>
        <v>266</v>
      </c>
      <c r="I136" s="139">
        <f ca="1">MIN(OFFSET(TblPop[[#This Row],[Jobs]],1,0)/TblPop[[#This Row],[Peasants]],1)</f>
        <v>0</v>
      </c>
      <c r="J136" s="140">
        <f ca="1">SUM(TblConstr[[#This Row],[Tot Alc]:[Tot GT]],TblConstr[[#This Row],[Tot Shr]:[Tot Doc]],TblConstr[[#This Row],[Dest Alc]:[Dest GT]],TblConstr[[#This Row],[Dest Shr]:[Dest Doc]])*building_employment + TblConstr[[#This Row],[Tot Fac]]*bonus_jobs_facts</f>
        <v>1000</v>
      </c>
      <c r="K136" s="141"/>
      <c r="L136" s="61">
        <f ca="1">TblPop[[#This Row],[Draftees]]</f>
        <v>810</v>
      </c>
      <c r="M136" s="61">
        <f ca="1">TblMili[[#This Row],[Unit 1]]</f>
        <v>0</v>
      </c>
      <c r="N136" s="61">
        <f ca="1">TblMili[[#This Row],[Unit 2]]</f>
        <v>0</v>
      </c>
      <c r="O136" s="61">
        <f ca="1">TblMili[[#This Row],[Unit 3]]</f>
        <v>0</v>
      </c>
      <c r="P136" s="61">
        <f ca="1">TblMili[[#This Row],[Unit 4]]</f>
        <v>0</v>
      </c>
      <c r="Q136" s="61">
        <f ca="1">TblMili[[#This Row],[Spies]]</f>
        <v>0</v>
      </c>
      <c r="R136" s="61">
        <f ca="1">TblMili[[#This Row],[Wizards]]</f>
        <v>0</v>
      </c>
      <c r="S136" s="61">
        <f ca="1">TblMili[[#This Row],[Archmages]]</f>
        <v>0</v>
      </c>
      <c r="T136" s="142"/>
      <c r="U136" s="94">
        <f ca="1">ROUND(TblPop[[#This Row],[Raw max]]*(1+OFFSET(TblPop[[#This Row],[Max pop]],-1,0)),0)+MIN(TblPop[[#This Row],[Military]]-TblPop[[#This Row],[Draftees]]-SUM(TblMili[[#This Row],[Train Unit 1]:[Train AM]]),(barracks_size + tech_8_3*TblTech[[#This Row],[8-3]])*TblConstr[[#This Row],[Tot Bar]])</f>
        <v>1076</v>
      </c>
      <c r="V136" s="94">
        <f ca="1">(TblConstr[[#This Row],[Tot Hom]]+TblConstr[[#This Row],[Dest Hom]])*pop_in_home+(SUM(TblConstr[[#This Row],[Tot Alc]:[Tot Doc]])+TblConstr[[#This Row],[Incoming]]-TblConstr[[#This Row],[Tot Bar]])*pop_in_building+(SUM(TblConstr[[#This Row],[Plain]:[Water]])-TblExplore[[#This Row],[Land Bonus]]*20)*pop_on_barren-(SUM(TblConstr[[#This Row],[Hom]:[Doc]])-SUM(TblConstr[[#This Row],[Dest Alc]:[Dest Doc]]))*(15-pop_on_barren)-pop_on_barren*TblConstr[[#This Row],[Dest Hom]]</f>
        <v>1050</v>
      </c>
      <c r="W136" s="94" t="e">
        <f ca="1">MAX(-5%*TblPop[[#This Row],[Peasants]]-TblPop[[#This Row],[Draft Growth]],MIN(OFFSET(TblPop[[#This Row],[Net max]],1,0)-TblPop[[#This Row],[Peasants]]-TblPop[[#This Row],[Military]]-TblPop[[#This Row],[Draft Growth]],TblPop[[#This Row],[Modded Birth]]-TblPop[[#This Row],[Draft Growth]]))</f>
        <v>#DIV/0!</v>
      </c>
      <c r="X136" s="94" t="e">
        <f ca="1">ROUND(TblPop[[#This Row],[Raw Birth]]*(1+TblPop[[#This Row],[Growth]]),0)</f>
        <v>#DIV/0!</v>
      </c>
      <c r="Y136" s="94">
        <f ca="1">(TblPop[[#This Row],[Peasants]]-TblPop[[#This Row],[Draft Growth]])*raw_pop_growth</f>
        <v>7.89</v>
      </c>
      <c r="Z136" s="94">
        <f ca="1">ROUND(IF(TblPop[[#This Row],[Military%]]&lt;TblMili[[#This Row],[Draftrate]],ROUND(TblPop[[#This Row],[Peasants]]*Constants!$B$55,0), 0) * IF(AND(TblMagic[[#This Row],[Active DnD]]&lt;=12,TblMagic[[#This Row],[Active DnD]]&gt;6),1.6,1),0)</f>
        <v>3</v>
      </c>
      <c r="AA136" s="142"/>
      <c r="AB136" s="143" t="e">
        <f ca="1">Overview!$I$17 + IF(Magic!AF136&gt;0,Constants!$F$78) + ROUND(6*(Construction!BM137+Construction!CK136)/IF(Explore!S137&gt;0,Construction!E137-20,Construction!E137),4) + tech_6_5_2*Techs!BJ136 + tech_8_4*Techs!BT136</f>
        <v>#DIV/0!</v>
      </c>
      <c r="AC136" s="139">
        <f ca="1">(Overview!$I$16 + Imps!Z136+ tech_2_5*Techs!AB136 + tech_3_6*Techs!AM136 + tech_6_1*Techs!BJ136 + tech_6_5*Techs!BF136 + tech_7_3_2*Techs!BN136) * (1 + Production!O136/100*prestige_pop_multiplier) + Production!O136/100*prestige_pop_multiplier</f>
        <v>2.5000000000000001E-2</v>
      </c>
    </row>
    <row r="1269" spans="3:26" x14ac:dyDescent="0.2">
      <c r="C1269" s="530" t="s">
        <v>314</v>
      </c>
      <c r="D1269" s="486"/>
      <c r="W1269" s="94"/>
      <c r="X1269" s="94"/>
      <c r="Y1269" s="94"/>
      <c r="Z1269" s="94"/>
    </row>
    <row r="1270" spans="3:26" x14ac:dyDescent="0.2">
      <c r="C1270" s="28">
        <f>Overview!E17</f>
        <v>0</v>
      </c>
      <c r="D1270" s="28"/>
      <c r="W1270" s="94"/>
      <c r="X1270" s="94"/>
      <c r="Y1270" s="94"/>
      <c r="Z1270" s="94"/>
    </row>
  </sheetData>
  <mergeCells count="6">
    <mergeCell ref="C1269:D1269"/>
    <mergeCell ref="C1:I1"/>
    <mergeCell ref="W1:Z1"/>
    <mergeCell ref="AA1:AD1"/>
    <mergeCell ref="L1:S1"/>
    <mergeCell ref="U1:V1"/>
  </mergeCells>
  <phoneticPr fontId="0" type="noConversion"/>
  <conditionalFormatting sqref="C4:S136">
    <cfRule type="expression" dxfId="879" priority="1" stopIfTrue="1">
      <formula>OR(C4&lt;0,ROW()-3=$C$1270)</formula>
    </cfRule>
  </conditionalFormatting>
  <conditionalFormatting sqref="A1269:XFD1270">
    <cfRule type="expression" dxfId="878" priority="106" stopIfTrue="1">
      <formula>$C$1270&gt;144</formula>
    </cfRule>
  </conditionalFormatting>
  <conditionalFormatting sqref="A4:AC136">
    <cfRule type="expression" dxfId="877" priority="12" stopIfTrue="1">
      <formula>ROW()-3=$C$1270</formula>
    </cfRule>
    <cfRule type="expression" dxfId="876" priority="112">
      <formula>$A4=49</formula>
    </cfRule>
    <cfRule type="expression" dxfId="875" priority="113">
      <formula>ROUND(($A4-1)/12,0)=INT($A4-1)/12</formula>
    </cfRule>
  </conditionalFormatting>
  <conditionalFormatting sqref="A1:XFD3">
    <cfRule type="expression" dxfId="874" priority="114">
      <formula>$C$1270&lt;0</formula>
    </cfRule>
  </conditionalFormatting>
  <pageMargins left="0.75" right="0.75" top="1" bottom="1" header="0.5" footer="0.5"/>
  <pageSetup paperSize="9" orientation="portrait" horizontalDpi="300" verticalDpi="300" r:id="rId1"/>
  <headerFooter alignWithMargins="0"/>
  <ignoredErrors>
    <ignoredError sqref="U4" calculatedColumn="1"/>
  </ignoredErrors>
  <tableParts count="1">
    <tablePart r:id="rId2"/>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0070C0"/>
    <pageSetUpPr autoPageBreaks="0"/>
  </sheetPr>
  <dimension ref="A1:BM1270"/>
  <sheetViews>
    <sheetView zoomScale="85" zoomScaleNormal="85" workbookViewId="0">
      <pane ySplit="3" topLeftCell="A4" activePane="bottomLeft" state="frozenSplit"/>
      <selection activeCell="A3" sqref="A3"/>
      <selection pane="bottomLeft" activeCell="C4" sqref="C4"/>
    </sheetView>
  </sheetViews>
  <sheetFormatPr defaultColWidth="9.140625" defaultRowHeight="12.75" x14ac:dyDescent="0.2"/>
  <cols>
    <col min="1" max="1" width="8.5703125" style="57" customWidth="1"/>
    <col min="2" max="2" width="8.5703125" style="45" customWidth="1"/>
    <col min="3" max="3" width="7.140625" style="45" customWidth="1"/>
    <col min="4" max="4" width="3.85546875" style="45" customWidth="1"/>
    <col min="5" max="17" width="13" style="45" customWidth="1"/>
    <col min="18" max="18" width="3.7109375" style="45" customWidth="1"/>
    <col min="19" max="19" width="9.140625" style="45" customWidth="1"/>
    <col min="20" max="20" width="10.28515625" style="45" customWidth="1"/>
    <col min="21" max="21" width="13.140625" style="45" customWidth="1"/>
    <col min="22" max="22" width="10.5703125" style="45" customWidth="1"/>
    <col min="23" max="23" width="9.140625" style="45" customWidth="1"/>
    <col min="24" max="24" width="11.28515625" style="45" customWidth="1"/>
    <col min="25" max="25" width="10.85546875" style="45" customWidth="1"/>
    <col min="26" max="26" width="3.42578125" style="45" customWidth="1"/>
    <col min="27" max="27" width="10.140625" style="45" customWidth="1"/>
    <col min="28" max="28" width="11.28515625" style="45" customWidth="1"/>
    <col min="29" max="29" width="14.140625" style="45" customWidth="1"/>
    <col min="30" max="30" width="11.5703125" style="45" customWidth="1"/>
    <col min="31" max="31" width="10.140625" style="45" customWidth="1"/>
    <col min="32" max="32" width="12.28515625" style="45" customWidth="1"/>
    <col min="33" max="33" width="3.28515625" style="45" customWidth="1"/>
    <col min="34" max="34" width="11.140625" style="45" customWidth="1"/>
    <col min="35" max="35" width="12.28515625" style="45" customWidth="1"/>
    <col min="36" max="36" width="15.140625" style="45" customWidth="1"/>
    <col min="37" max="37" width="12.5703125" style="45" customWidth="1"/>
    <col min="38" max="38" width="11.140625" style="45" customWidth="1"/>
    <col min="39" max="39" width="13.28515625" style="45" customWidth="1"/>
    <col min="40" max="40" width="3.5703125" style="45" customWidth="1"/>
    <col min="41" max="41" width="13.5703125" style="45" customWidth="1"/>
    <col min="42" max="42" width="13.42578125" style="45" customWidth="1"/>
    <col min="43" max="43" width="13.7109375" style="45" customWidth="1"/>
    <col min="44" max="44" width="13.28515625" style="45" customWidth="1"/>
    <col min="45" max="45" width="3.85546875" style="45" customWidth="1"/>
    <col min="46" max="50" width="12.7109375" style="45" customWidth="1"/>
    <col min="51" max="51" width="4.140625" style="45" customWidth="1"/>
    <col min="52" max="52" width="9.42578125" style="45" bestFit="1" customWidth="1"/>
    <col min="53" max="53" width="8.7109375" style="45" customWidth="1"/>
    <col min="54" max="54" width="9.5703125" style="45" customWidth="1"/>
    <col min="55" max="58" width="12.7109375" style="45" customWidth="1"/>
    <col min="59" max="59" width="9.85546875" style="45" customWidth="1"/>
    <col min="60" max="60" width="6.85546875" style="45" customWidth="1"/>
    <col min="61" max="65" width="14.42578125" style="45" customWidth="1"/>
    <col min="66" max="16384" width="9.140625" style="45"/>
  </cols>
  <sheetData>
    <row r="1" spans="1:65" s="5" customFormat="1" x14ac:dyDescent="0.2">
      <c r="A1" s="28"/>
      <c r="C1" s="5" t="s">
        <v>228</v>
      </c>
      <c r="E1" s="5" t="s">
        <v>17</v>
      </c>
      <c r="S1" s="533" t="s">
        <v>247</v>
      </c>
      <c r="T1" s="533"/>
      <c r="U1" s="533"/>
      <c r="AA1" s="533" t="s">
        <v>85</v>
      </c>
      <c r="AB1" s="533"/>
      <c r="AH1" s="533" t="s">
        <v>164</v>
      </c>
      <c r="AI1" s="533"/>
      <c r="AJ1" s="533"/>
      <c r="AK1" s="533"/>
      <c r="AL1" s="533"/>
      <c r="AM1" s="533"/>
      <c r="AO1" s="5" t="s">
        <v>19</v>
      </c>
      <c r="AT1" s="533" t="s">
        <v>184</v>
      </c>
      <c r="AU1" s="533"/>
      <c r="BC1" s="5" t="s">
        <v>419</v>
      </c>
      <c r="BI1" s="5" t="s">
        <v>17</v>
      </c>
    </row>
    <row r="2" spans="1:65" s="5" customFormat="1" x14ac:dyDescent="0.2">
      <c r="A2" s="28"/>
    </row>
    <row r="3" spans="1:65" s="151" customFormat="1" ht="25.5" x14ac:dyDescent="0.2">
      <c r="A3" s="135" t="s">
        <v>0</v>
      </c>
      <c r="B3" s="135" t="s">
        <v>309</v>
      </c>
      <c r="C3" s="135" t="s">
        <v>320</v>
      </c>
      <c r="D3" s="135" t="s">
        <v>769</v>
      </c>
      <c r="E3" s="135" t="s">
        <v>1</v>
      </c>
      <c r="F3" s="135" t="s">
        <v>21</v>
      </c>
      <c r="G3" s="135" t="s">
        <v>230</v>
      </c>
      <c r="H3" s="135" t="s">
        <v>2</v>
      </c>
      <c r="I3" s="135" t="s">
        <v>5</v>
      </c>
      <c r="J3" s="135" t="s">
        <v>7</v>
      </c>
      <c r="K3" s="135" t="s">
        <v>12</v>
      </c>
      <c r="L3" s="135" t="s">
        <v>3</v>
      </c>
      <c r="M3" s="135" t="s">
        <v>4</v>
      </c>
      <c r="N3" s="135" t="s">
        <v>82</v>
      </c>
      <c r="O3" s="135" t="s">
        <v>350</v>
      </c>
      <c r="P3" s="135" t="s">
        <v>370</v>
      </c>
      <c r="Q3" s="135" t="s">
        <v>371</v>
      </c>
      <c r="R3" s="135" t="s">
        <v>770</v>
      </c>
      <c r="S3" s="135" t="s">
        <v>6</v>
      </c>
      <c r="T3" s="135" t="s">
        <v>9</v>
      </c>
      <c r="U3" s="135" t="s">
        <v>8</v>
      </c>
      <c r="V3" s="135" t="s">
        <v>13</v>
      </c>
      <c r="W3" s="135" t="s">
        <v>10</v>
      </c>
      <c r="X3" s="135" t="s">
        <v>11</v>
      </c>
      <c r="Y3" s="135" t="s">
        <v>50</v>
      </c>
      <c r="Z3" s="135" t="s">
        <v>771</v>
      </c>
      <c r="AA3" s="135" t="s">
        <v>832</v>
      </c>
      <c r="AB3" s="135" t="s">
        <v>833</v>
      </c>
      <c r="AC3" s="135" t="s">
        <v>834</v>
      </c>
      <c r="AD3" s="135" t="s">
        <v>835</v>
      </c>
      <c r="AE3" s="135" t="s">
        <v>836</v>
      </c>
      <c r="AF3" s="135" t="s">
        <v>837</v>
      </c>
      <c r="AG3" s="135" t="s">
        <v>772</v>
      </c>
      <c r="AH3" s="135" t="s">
        <v>838</v>
      </c>
      <c r="AI3" s="135" t="s">
        <v>839</v>
      </c>
      <c r="AJ3" s="135" t="s">
        <v>840</v>
      </c>
      <c r="AK3" s="135" t="s">
        <v>841</v>
      </c>
      <c r="AL3" s="135" t="s">
        <v>842</v>
      </c>
      <c r="AM3" s="135" t="s">
        <v>843</v>
      </c>
      <c r="AN3" s="135" t="s">
        <v>784</v>
      </c>
      <c r="AO3" s="135" t="s">
        <v>14</v>
      </c>
      <c r="AP3" s="135" t="s">
        <v>20</v>
      </c>
      <c r="AQ3" s="135" t="s">
        <v>16</v>
      </c>
      <c r="AR3" s="135" t="s">
        <v>15</v>
      </c>
      <c r="AS3" s="135" t="s">
        <v>785</v>
      </c>
      <c r="AT3" s="135" t="s">
        <v>844</v>
      </c>
      <c r="AU3" s="135" t="s">
        <v>845</v>
      </c>
      <c r="AV3" s="135" t="s">
        <v>846</v>
      </c>
      <c r="AW3" s="135" t="s">
        <v>847</v>
      </c>
      <c r="AX3" s="135" t="s">
        <v>848</v>
      </c>
      <c r="AY3" s="135" t="s">
        <v>786</v>
      </c>
      <c r="AZ3" s="135" t="s">
        <v>324</v>
      </c>
      <c r="BA3" s="135" t="s">
        <v>325</v>
      </c>
      <c r="BB3" s="135" t="s">
        <v>849</v>
      </c>
      <c r="BC3" s="135" t="s">
        <v>850</v>
      </c>
      <c r="BD3" s="135" t="s">
        <v>851</v>
      </c>
      <c r="BE3" s="135" t="s">
        <v>852</v>
      </c>
      <c r="BF3" s="135" t="s">
        <v>853</v>
      </c>
      <c r="BG3" s="135" t="s">
        <v>854</v>
      </c>
      <c r="BH3" s="135" t="s">
        <v>193</v>
      </c>
      <c r="BI3" s="135" t="s">
        <v>855</v>
      </c>
      <c r="BJ3" s="135" t="s">
        <v>856</v>
      </c>
      <c r="BK3" s="135" t="s">
        <v>857</v>
      </c>
      <c r="BL3" s="135" t="s">
        <v>858</v>
      </c>
      <c r="BM3" s="135" t="s">
        <v>859</v>
      </c>
    </row>
    <row r="4" spans="1:65" x14ac:dyDescent="0.2">
      <c r="A4" s="137">
        <f>TblRezone[[#This Row],[Hour]]</f>
        <v>1</v>
      </c>
      <c r="B4" s="152">
        <f>TblImps[[#This Row],[Time]]</f>
        <v>46047</v>
      </c>
      <c r="C4" s="153"/>
      <c r="D4" s="154"/>
      <c r="E4" s="94">
        <f ca="1">TblConstr[[#This Row],[Land]]</f>
        <v>50</v>
      </c>
      <c r="F4" s="94">
        <f ca="1">TblPop[[#This Row],[Peasants]]</f>
        <v>469</v>
      </c>
      <c r="G4" s="94">
        <f ca="1">TblMili[[#This Row],[Networth (2)]]</f>
        <v>1250</v>
      </c>
      <c r="H4" s="378">
        <f ca="1">start_plat - TblProd[[#This Row],[Expenses Platinum]] + IF(TblProd[[#This Row],[Plat Bonus]],TblPop[[#This Row],[Peasants]]*4)+days_late*days_late_plat + SUM(TblConstr[[#This Row],[Dest Hom]:[Dest Doc]])*Construction!AM4*tech_3_3_2*TblTech[[#This Row],[3-3]]</f>
        <v>50000</v>
      </c>
      <c r="I4" s="378">
        <f>start_food+days_late*days_late_food</f>
        <v>15000</v>
      </c>
      <c r="J4" s="378">
        <f ca="1">start_lumber - TblProd[[#This Row],[Expenses Lumber]]+days_late*days_late_lumber + SUM(TblConstr[[#This Row],[Dest Hom]:[Dest Doc]])*TblConstr[[#This Row],[CPA Lumber -DB]]*tech_3_3_2*TblTech[[#This Row],[3-3]]</f>
        <v>15000</v>
      </c>
      <c r="K4" s="378">
        <f ca="1">start_mana - TblProd[[#This Row],[Expenses Mana]]+days_late*days_late_mana</f>
        <v>0</v>
      </c>
      <c r="L4" s="378">
        <f ca="1">start_ore - TblProd[[#This Row],[Expenses Ore]]+days_late*days_late_ore</f>
        <v>0</v>
      </c>
      <c r="M4" s="378">
        <f>start_gems - TblProd[[#This Row],[Expenses Gems]]</f>
        <v>0</v>
      </c>
      <c r="N4" s="378">
        <f>start_boats</f>
        <v>0</v>
      </c>
      <c r="O4" s="378">
        <f>start_prestige</f>
        <v>250</v>
      </c>
      <c r="P4" s="379">
        <f ca="1">ROUNDDOWN(-TblProd[[#This Row],[Required]]*TblTech[[#This Row],[…]],0) + IF(TblProd[[#This Row],[Plat Bonus]]&lt;&gt;"",350,0)</f>
        <v>0</v>
      </c>
      <c r="Q4" s="109">
        <f ca="1">MAX(_xlfn.CEILING.MATH(TblProd[[#This Row],[Land]]*2.5+IFERROR(OFFSET(TblTech[[#This Row],[Sum of tech]],-1,0)*50,0)),3750)</f>
        <v>3750</v>
      </c>
      <c r="R4" s="142"/>
      <c r="S4" s="94">
        <f ca="1">ROUNDDOWN(TblProd[[#This Row],[Raw Plat/hr]]*(1+TblProd[[#This Row],[Bonus Plat/hr]]),0)</f>
        <v>1266</v>
      </c>
      <c r="T4" s="94">
        <f ca="1">ROUND(TblProd[[#This Row],[Raw Food/hr]]*(1+TblProd[[#This Row],[Bonus Food/hr]])-TblProd[[#This Row],[Food decay]]-TblProd[[#This Row],[Food eaten]],0)</f>
        <v>2275</v>
      </c>
      <c r="U4" s="94">
        <f ca="1">ROUND(TblProd[[#This Row],[Raw Lumber/hr]]*(1+TblProd[[#This Row],[Bonus Lumber/hr]])-TblProd[[#This Row],[Lumber rot]],0)</f>
        <v>850</v>
      </c>
      <c r="V4" s="94">
        <f ca="1">ROUND(TblProd[[#This Row],[Raw Mana/hr]]*(1+TblProd[[#This Row],[Bonus Mana/hr]])-TblProd[[#This Row],[Mana drain]],0)</f>
        <v>0</v>
      </c>
      <c r="W4" s="94">
        <f ca="1">ROUNDDOWN(TblProd[[#This Row],[Raw Ore/hr]]*(1+TblProd[[#This Row],[Bonux Ore/hr]]),0)</f>
        <v>0</v>
      </c>
      <c r="X4" s="94">
        <f ca="1">ROUNDDOWN(TblProd[[#This Row],[Raw Gems/hr]]*(1+TblProd[[#This Row],[Bonus Gems/hr]]),0)</f>
        <v>0</v>
      </c>
      <c r="Y4" s="155">
        <f ca="1">OFFSET(TblConstr[[#This Row],[Tot Doc]],1,0)*dock_boats_hr * (1 + tech_4_1*TblTech[[#This Row],[4-1]])</f>
        <v>0</v>
      </c>
      <c r="Z4" s="154"/>
      <c r="AA4" s="94">
        <f ca="1">TblPop[[#This Row],[Peasants]]*tax*TblPop[[#This Row],[Employment]] + (Construction!AZ5+Construction!BX5)*(alch_plat+(Magic!AN4&gt;0)*alchemist_flame_bonus)</f>
        <v>1266.3000000000002</v>
      </c>
      <c r="AB4" s="94">
        <f>TblConstr[[#This Row],[Tot Farm]]*farm_food + TblConstr[[#This Row],[Tot Doc]]*dock_food</f>
        <v>2400</v>
      </c>
      <c r="AC4" s="94">
        <f>TblConstr[[#This Row],[Tot Ly]]*ly_lumber + TblConstr[[#This Row],[Tot Hav]]*fh_lumber + IF(race="Wood Elf",TblMili[[#This Row],[Unit 2]]*MIN(TblMili[[#This Row],[Homeland%]]/wisp_bonus,wisp_cap),0)</f>
        <v>1000</v>
      </c>
      <c r="AD4" s="94">
        <f ca="1">OFFSET(TblConstr[[#This Row],[Tot Tow]],1,0)*(tower_mana + tech_4_5*TblTech[[#This Row],[4-5]]) + OFFSET(TblConstr[[#This Row],[Tot WG]],1,0)*wg_mana_prod</f>
        <v>0</v>
      </c>
      <c r="AE4" s="94">
        <f ca="1">OFFSET(TblConstr[[#This Row],[Tot OM]],1,0)*om_ore+IF(race="Dwarf",TblMili[[#This Row],[Unit 2]]*0.5,0)</f>
        <v>0</v>
      </c>
      <c r="AF4" s="94">
        <f ca="1">OFFSET(TblConstr[[#This Row],[Tot DM]],1,0)*dm_gems</f>
        <v>0</v>
      </c>
      <c r="AG4" s="142"/>
      <c r="AH4" s="156">
        <f ca="1">MIN(race_platinum_bonus + IF(TblMagic[[#This Row],[Active Alch Frost]]&gt;0,alch_frost_bonus,IF(Magic!AE4&gt;0,midas_bonus)) + TblImps[[#This Row],[Science]] - TblProd[[#This Row],[Guard]]*(0.02 + tech_5_7*TblTech[[#This Row],[5-7]]) + tech_1_5*TblTech[[#This Row],[1-5]] + tech_4_4*TblTech[[#This Row],[4-4]] + IF(TblMagic[[#This Row],[Active Infernal Command]]&gt;0,demonic_pact_plat,0), 0.5)</f>
        <v>0</v>
      </c>
      <c r="AI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 s="156">
        <f>race_lumber_bonus+ IF(TblMagic[[#This Row],[Active Gaia''s Blessing]]&gt;0,gaias_blessing_lumber)+ tech_1_3*TblTech[[#This Row],[1-3]] + tech_1_6*TblTech[[#This Row],[1-6]] + tech_3_3*TblTech[[#This Row],[3-3]]</f>
        <v>0</v>
      </c>
      <c r="AK4" s="156">
        <f ca="1">race_mana_bonus+ 0 + TblImps[[#This Row],[Spires]] + tech_1_2*TblTech[[#This Row],[1-2]] + tech_3_4*TblTech[[#This Row],[3-4]]</f>
        <v>0</v>
      </c>
      <c r="AL4" s="156">
        <f>race_ore_bonus + IF(TblMagic[[#This Row],[Active Miner''s Sight]]&gt;0,miners_sight_bonus,IF(TblMagic[[#This Row],[Active Mining Strength]]&gt;0,mining_strength_bonus)) +  tech_1_6*TblTech[[#This Row],[1-6]]</f>
        <v>0</v>
      </c>
      <c r="AM4" s="156">
        <f>race_gem_bonus+ tech_3_2*TblTech[[#This Row],[3-2]] + tech_4_3*TblTech[[#This Row],[4-3]] + tech_6_2*TblTech[[#This Row],[6-2]]</f>
        <v>0</v>
      </c>
      <c r="AN4" s="142"/>
      <c r="AO4" s="94">
        <f>TblProd[[#This Row],[Food]]*food_decay * (1 + tech_2_1*TblTech[[#This Row],[2-1]] + tech_2_8*TblTech[[#This Row],[2-8]] + IF(AND(TblMagic[[#This Row],[Active DnD]]&lt;12,TblMagic[[#This Row],[Active DnD]]&gt;5),1,0))</f>
        <v>150</v>
      </c>
      <c r="AP4" s="94">
        <f ca="1">(1+race_food_consumption)*TblPop[[#This Row],[Total]]*food_per_person*(1+tech_1_10*TblTech[[#This Row],[1-10]]+tech_7_5*TblTech[[#This Row],[7-5]] + IF(TblMagic[[#This Row],[Active Infernal Command]]&gt;0,demonic_pact_food_cons,0))</f>
        <v>154.75</v>
      </c>
      <c r="AQ4" s="94">
        <f ca="1">TblProd[[#This Row],[Lumber]]*lumber_rot * (1 + tech_2_1*TblTech[[#This Row],[2-1]] + tech_2_8*TblTech[[#This Row],[2-8]] + tech_5_2*TblTech[[#This Row],[5-2]] + IF(AND(TblMagic[[#This Row],[Active DnD]]&lt;12,TblMagic[[#This Row],[Active DnD]]&gt;5),1,0))</f>
        <v>150</v>
      </c>
      <c r="AR4" s="94">
        <f ca="1">TblProd[[#This Row],[Mana]]*mana_drain * (1 + tech_2_1*TblTech[[#This Row],[2-1]] + tech_2_8*TblTech[[#This Row],[2-8]])</f>
        <v>0</v>
      </c>
      <c r="AS4" s="154"/>
      <c r="AT4" s="94">
        <f ca="1">TblExplore[[#This Row],[Platinum (2)]]+TblConstr[[#This Row],[Total Plat Cost]]+TblMili[[#This Row],[Plat Cost]]+TblRezone[[#This Row],[Platinum cost]]+TblImps[[#This Row],[P1]]-TblProd[[#This Row],[Bank Plat]]</f>
        <v>0</v>
      </c>
      <c r="AU4" s="94">
        <f ca="1">TblConstr[[#This Row],[Total Lum Cost]]+TblImps[[#This Row],[L1]]-TblProd[[#This Row],[Bank Lumber]] + Military!$CO$25*TblMili[[#This Row],[Sec. rec. Cost]]</f>
        <v>0</v>
      </c>
      <c r="AV4" s="94">
        <f ca="1">TblMagic[[#This Row],[Mana cost]] + Military!$CO$26*TblMili[[#This Row],[Sec. rec. Cost]]</f>
        <v>0</v>
      </c>
      <c r="AW4" s="94">
        <f ca="1">Military!$CO$24*TblMili[[#This Row],[Sec. rec. Cost]]+TblImps[[#This Row],[O1]]-TblProd[[#This Row],[Bank Ore]]</f>
        <v>0</v>
      </c>
      <c r="AX4" s="94">
        <f>TblImps[[#This Row],[G1]]-TblProd[[#This Row],[Bank Gems]]</f>
        <v>0</v>
      </c>
      <c r="AY4" s="142"/>
      <c r="AZ4" s="61" t="b">
        <f>IF(TblProd[[#This Row],[Set Guard]]&lt;&gt;"",TblProd[[#This Row],[Set Guard]],FALSE)</f>
        <v>0</v>
      </c>
      <c r="BA4" s="153"/>
      <c r="BB4" s="45">
        <f>TblProd[[#This Row],[Hour]]</f>
        <v>1</v>
      </c>
      <c r="BC4" s="158">
        <f>-TblProd[[#This Row],[Bank Lumber]] / 2 + -TblProd[[#This Row],[Bank Gems]] * 2 + -TblProd[[#This Row],[Bank Ore]] / 2</f>
        <v>0</v>
      </c>
      <c r="BD4" s="158"/>
      <c r="BE4" s="158"/>
      <c r="BF4" s="158"/>
      <c r="BG4" s="159">
        <f>TblProd[[#This Row],[Time]]</f>
        <v>46047</v>
      </c>
      <c r="BH4" s="45" t="str">
        <f>IF(AND(TblProd[[#This Row],[Bank Plat]]=0,TblProd[[#This Row],[Bank Lumber]]=0,TblProd[[#This Row],[Bank Ore]]=0,TblProd[[#This Row],[Bank Gems]]=0),"",IF(TblProd[[#This Row],[Bank Plat]]&gt;0,IF((TblProd[[#This Row],[Bank Lumber]]+TblProd[[#This Row],[Bank Ore]])/2+TblProd[[#This Row],[Bank Gems]]*2+ROUNDUP(TblProd[[#This Row],[Bank Plat]]/(1 + tech_2_2*Techs!Y4),0)=0,"Ok","Nope"),IF(TblProd[[#This Row],[Bank Lumber]]&gt;0,IF((TblProd[[#This Row],[Bank Plat]]+TblProd[[#This Row],[Bank Ore]])/2+TblProd[[#This Row],[Bank Gems]]*2+ROUNDUP(TblProd[[#This Row],[Bank Lumber]]/(1 + tech_2_2*Techs!Y4),0)=0,"Ok","Nope"),IF(TblProd[[#This Row],[Bank Ore]]&gt;0,IF((TblProd[[#This Row],[Bank Plat]]+TblProd[[#This Row],[Bank Lumber]])/2+TblProd[[#This Row],[Bank Gems]]*2+ROUNDUP(TblProd[[#This Row],[Bank Ore]]/(1 + tech_2_2*Techs!Y4),0)=0,"Ok","Nope")))))</f>
        <v/>
      </c>
      <c r="BI4" s="94">
        <f ca="1">TblProd[[#This Row],[Platinum]]</f>
        <v>50000</v>
      </c>
      <c r="BJ4" s="94">
        <f>TblProd[[#This Row],[Food]]</f>
        <v>15000</v>
      </c>
      <c r="BK4" s="94">
        <f ca="1">TblProd[[#This Row],[Lumber]]</f>
        <v>15000</v>
      </c>
      <c r="BL4" s="94">
        <f ca="1">TblProd[[#This Row],[Mana]]</f>
        <v>0</v>
      </c>
      <c r="BM4" s="94">
        <f ca="1">TblProd[[#This Row],[Ore]]</f>
        <v>0</v>
      </c>
    </row>
    <row r="5" spans="1:65" hidden="1" x14ac:dyDescent="0.2">
      <c r="A5" s="137">
        <v>2</v>
      </c>
      <c r="B5" s="152">
        <f ca="1">TblImps[[#This Row],[Time]]</f>
        <v>46047.041666666664</v>
      </c>
      <c r="C5" s="61"/>
      <c r="D5" s="154"/>
      <c r="E5" s="94">
        <f ca="1">TblConstr[[#This Row],[Land]]</f>
        <v>50</v>
      </c>
      <c r="F5" s="94">
        <f ca="1">TblPop[[#This Row],[Peasants]]</f>
        <v>478</v>
      </c>
      <c r="G5" s="94">
        <f ca="1">TblMili[[#This Row],[Networth (2)]]</f>
        <v>1250</v>
      </c>
      <c r="H5" s="94">
        <f ca="1">OFFSET(TblProd[[#This Row],[Platinum]],-1,0)+OFFSET(TblProd[[#This Row],[Plat/hr]],-1,0) - TblProd[[#This Row],[Expenses Platinum]] + IF(TblProd[[#This Row],[Plat Bonus]],TblPop[[#This Row],[Peasants]]*4) + SUM(TblConstr[[#This Row],[Dest Hom]:[Dest Doc]])*TblConstr[[#This Row],[CPA Platinum -DB]]*tech_3_3_2*TblTech[[#This Row],[3-3]]</f>
        <v>51266</v>
      </c>
      <c r="I5" s="94">
        <f ca="1">OFFSET(TblProd[[#This Row],[Food]],-1,0)+OFFSET(TblProd[[#This Row],[Food/hr]],-1,0)+ROUNDUP((TblConstr[[#This Row],[Farms]]*80+TblConstr[[#This Row],[Docks]]*35)*(1+OFFSET(TblProd[[#This Row],[Bonus Food/hr]],-1,0)),0)</f>
        <v>17275</v>
      </c>
      <c r="J5" s="94">
        <f ca="1">OFFSET(TblProd[[#This Row],[Lumber]],-1,0)+OFFSET(TblProd[[#This Row],[Lumber/hr]],-1,0) - TblProd[[#This Row],[Expenses Lumber]] + SUM(TblConstr[[#This Row],[Dest Hom]:[Dest Doc]])*TblConstr[[#This Row],[CPA Lumber -DB]]*tech_3_3_2*TblTech[[#This Row],[3-3]]</f>
        <v>15850</v>
      </c>
      <c r="K5" s="94">
        <f ca="1">OFFSET(TblProd[[#This Row],[Mana]],-1,0)+OFFSET(TblProd[[#This Row],[Mana/hr]],-1,0)- TblProd[[#This Row],[Expenses Mana]]</f>
        <v>0</v>
      </c>
      <c r="L5" s="94">
        <f ca="1">OFFSET(TblProd[[#This Row],[Ore]],-1,0)+OFFSET(TblProd[[#This Row],[Ore/hr]],-1,0) -TblProd[[#This Row],[Expenses Ore]]</f>
        <v>0</v>
      </c>
      <c r="M5" s="94">
        <f ca="1">OFFSET(TblProd[[#This Row],[Gems]],-1,0)+OFFSET(TblProd[[#This Row],[Gems/hr]],-1,0) - TblProd[[#This Row],[Expenses Gems]]</f>
        <v>0</v>
      </c>
      <c r="N5" s="94">
        <f ca="1">OFFSET(TblProd[[#This Row],[Boats]],-1,0)+OFFSET(TblProd[[#This Row],[Boats/hr]],-1,0)</f>
        <v>0</v>
      </c>
      <c r="O5" s="94">
        <f ca="1">OFFSET(TblProd[[#This Row],[Prestige]],-1,0)</f>
        <v>250</v>
      </c>
      <c r="P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 s="94">
        <f ca="1">MAX(_xlfn.CEILING.MATH(TblProd[[#This Row],[Land]]*2.5+IFERROR(OFFSET(TblTech[[#This Row],[Sum of tech]],-1,0)*50,0)),3750)</f>
        <v>3750</v>
      </c>
      <c r="R5" s="142"/>
      <c r="S5" s="94">
        <f ca="1">ROUNDDOWN(TblProd[[#This Row],[Raw Plat/hr]]*(1+TblProd[[#This Row],[Bonus Plat/hr]]),0)</f>
        <v>1290</v>
      </c>
      <c r="T5" s="94">
        <f ca="1">ROUND(TblProd[[#This Row],[Raw Food/hr]]*(1+TblProd[[#This Row],[Bonus Food/hr]])-TblProd[[#This Row],[Food decay]]-TblProd[[#This Row],[Food eaten]],0)</f>
        <v>2249</v>
      </c>
      <c r="U5" s="94">
        <f ca="1">ROUND(TblProd[[#This Row],[Raw Lumber/hr]]*(1+TblProd[[#This Row],[Bonus Lumber/hr]])-TblProd[[#This Row],[Lumber rot]],0)</f>
        <v>842</v>
      </c>
      <c r="V5" s="94">
        <f ca="1">ROUND(TblProd[[#This Row],[Raw Mana/hr]]*(1+TblProd[[#This Row],[Bonus Mana/hr]])-TblProd[[#This Row],[Mana drain]],0)</f>
        <v>0</v>
      </c>
      <c r="W5" s="94">
        <f ca="1">ROUNDDOWN(TblProd[[#This Row],[Raw Ore/hr]]*(1+TblProd[[#This Row],[Bonux Ore/hr]]),0)</f>
        <v>0</v>
      </c>
      <c r="X5" s="94">
        <f ca="1">ROUNDDOWN(TblProd[[#This Row],[Raw Gems/hr]]*(1+TblProd[[#This Row],[Bonus Gems/hr]]),0)</f>
        <v>0</v>
      </c>
      <c r="Y5" s="155">
        <f ca="1">OFFSET(TblConstr[[#This Row],[Tot Doc]],1,0)*dock_boats_hr * (1 + tech_4_1*TblTech[[#This Row],[4-1]])</f>
        <v>0</v>
      </c>
      <c r="Z5" s="154"/>
      <c r="AA5" s="94">
        <f ca="1">TblPop[[#This Row],[Peasants]]*tax*TblPop[[#This Row],[Employment]] + (Construction!AZ6+Construction!BX6)*(alch_plat+(Magic!AN5&gt;0)*alchemist_flame_bonus)</f>
        <v>1290.6000000000001</v>
      </c>
      <c r="AB5" s="94">
        <f ca="1">TblConstr[[#This Row],[Tot Farm]]*farm_food + TblConstr[[#This Row],[Tot Doc]]*dock_food</f>
        <v>2400</v>
      </c>
      <c r="AC5" s="94">
        <f ca="1">TblConstr[[#This Row],[Tot Ly]]*ly_lumber + TblConstr[[#This Row],[Tot Hav]]*fh_lumber + IF(race="Wood Elf",TblMili[[#This Row],[Unit 2]]*MIN(TblMili[[#This Row],[Homeland%]]/wisp_bonus,wisp_cap),0)</f>
        <v>1000</v>
      </c>
      <c r="AD5" s="94">
        <f ca="1">OFFSET(TblConstr[[#This Row],[Tot Tow]],1,0)*(tower_mana + tech_4_5*TblTech[[#This Row],[4-5]]) + OFFSET(TblConstr[[#This Row],[Tot WG]],1,0)*wg_mana_prod</f>
        <v>0</v>
      </c>
      <c r="AE5" s="94">
        <f ca="1">OFFSET(TblConstr[[#This Row],[Tot OM]],1,0)*om_ore+IF(race="Dwarf",TblMili[[#This Row],[Unit 2]]*0.5,0)</f>
        <v>0</v>
      </c>
      <c r="AF5" s="94">
        <f ca="1">OFFSET(TblConstr[[#This Row],[Tot DM]],1,0)*dm_gems</f>
        <v>0</v>
      </c>
      <c r="AG5" s="142"/>
      <c r="AH5" s="156">
        <f ca="1">MIN(race_platinum_bonus + IF(TblMagic[[#This Row],[Active Alch Frost]]&gt;0,alch_frost_bonus,IF(Magic!AE5&gt;0,midas_bonus)) + TblImps[[#This Row],[Science]] - TblProd[[#This Row],[Guard]]*(0.02 + tech_5_7*TblTech[[#This Row],[5-7]]) + tech_1_5*TblTech[[#This Row],[1-5]] + tech_4_4*TblTech[[#This Row],[4-4]] + IF(TblMagic[[#This Row],[Active Infernal Command]]&gt;0,demonic_pact_plat,0), 0.5)</f>
        <v>0</v>
      </c>
      <c r="AI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 s="156">
        <f ca="1">race_lumber_bonus+ IF(TblMagic[[#This Row],[Active Gaia''s Blessing]]&gt;0,gaias_blessing_lumber)+ tech_1_3*TblTech[[#This Row],[1-3]] + tech_1_6*TblTech[[#This Row],[1-6]] + tech_3_3*TblTech[[#This Row],[3-3]]</f>
        <v>0</v>
      </c>
      <c r="AK5" s="156">
        <f ca="1">race_mana_bonus+ 0 + TblImps[[#This Row],[Spires]] + tech_1_2*TblTech[[#This Row],[1-2]] + tech_3_4*TblTech[[#This Row],[3-4]]</f>
        <v>0</v>
      </c>
      <c r="AL5" s="156">
        <f ca="1">race_ore_bonus + IF(TblMagic[[#This Row],[Active Miner''s Sight]]&gt;0,miners_sight_bonus,IF(TblMagic[[#This Row],[Active Mining Strength]]&gt;0,mining_strength_bonus)) +  tech_1_6*TblTech[[#This Row],[1-6]]</f>
        <v>0</v>
      </c>
      <c r="AM5" s="156">
        <f>race_gem_bonus+ tech_3_2*TblTech[[#This Row],[3-2]] + tech_4_3*TblTech[[#This Row],[4-3]] + tech_6_2*TblTech[[#This Row],[6-2]]</f>
        <v>0</v>
      </c>
      <c r="AN5" s="142"/>
      <c r="AO5" s="94">
        <f ca="1">TblProd[[#This Row],[Food]]*food_decay * (1 + tech_2_1*TblTech[[#This Row],[2-1]] + tech_2_8*TblTech[[#This Row],[2-8]] + IF(AND(TblMagic[[#This Row],[Active DnD]]&lt;12,TblMagic[[#This Row],[Active DnD]]&gt;5),1,0))</f>
        <v>172.75</v>
      </c>
      <c r="AP5" s="94">
        <f ca="1">(1+race_food_consumption)*TblPop[[#This Row],[Total]]*food_per_person*(1+tech_1_10*TblTech[[#This Row],[1-10]]+tech_7_5*TblTech[[#This Row],[7-5]] + IF(TblMagic[[#This Row],[Active Infernal Command]]&gt;0,demonic_pact_food_cons,0))</f>
        <v>158.25</v>
      </c>
      <c r="AQ5" s="94">
        <f ca="1">TblProd[[#This Row],[Lumber]]*lumber_rot * (1 + tech_2_1*TblTech[[#This Row],[2-1]] + tech_2_8*TblTech[[#This Row],[2-8]] + tech_5_2*TblTech[[#This Row],[5-2]] + IF(AND(TblMagic[[#This Row],[Active DnD]]&lt;12,TblMagic[[#This Row],[Active DnD]]&gt;5),1,0))</f>
        <v>158.5</v>
      </c>
      <c r="AR5" s="94">
        <f ca="1">TblProd[[#This Row],[Mana]]*mana_drain * (1 + tech_2_1*TblTech[[#This Row],[2-1]] + tech_2_8*TblTech[[#This Row],[2-8]])</f>
        <v>0</v>
      </c>
      <c r="AS5" s="154"/>
      <c r="AT5" s="94">
        <f ca="1">TblExplore[[#This Row],[Platinum (2)]]+TblConstr[[#This Row],[Total Plat Cost]]+TblMili[[#This Row],[Plat Cost]]+TblRezone[[#This Row],[Platinum cost]]+TblImps[[#This Row],[P1]]-TblProd[[#This Row],[Bank Plat]]</f>
        <v>0</v>
      </c>
      <c r="AU5" s="94">
        <f ca="1">TblConstr[[#This Row],[Total Lum Cost]]+TblImps[[#This Row],[L1]]-TblProd[[#This Row],[Bank Lumber]] + Military!$CO$25*TblMili[[#This Row],[Sec. rec. Cost]]</f>
        <v>0</v>
      </c>
      <c r="AV5" s="94">
        <f ca="1">TblMagic[[#This Row],[Mana cost]] + Military!$CO$26*TblMili[[#This Row],[Sec. rec. Cost]]</f>
        <v>0</v>
      </c>
      <c r="AW5" s="94">
        <f ca="1">Military!$CO$24*TblMili[[#This Row],[Sec. rec. Cost]]+TblImps[[#This Row],[O1]]-TblProd[[#This Row],[Bank Ore]]</f>
        <v>0</v>
      </c>
      <c r="AX5" s="94">
        <f>TblImps[[#This Row],[G1]]-TblProd[[#This Row],[Bank Gems]]</f>
        <v>0</v>
      </c>
      <c r="AY5" s="142"/>
      <c r="AZ5" s="61" t="b">
        <f ca="1">IF(TblProd[[#This Row],[Set Guard]]&lt;&gt;"",TblProd[[#This Row],[Set Guard]],OFFSET(TblProd[[#This Row],[Guard]],-1,0))</f>
        <v>0</v>
      </c>
      <c r="BA5" s="61"/>
      <c r="BB5" s="45">
        <f>TblProd[[#This Row],[Hour]]</f>
        <v>2</v>
      </c>
      <c r="BC5" s="94">
        <f>-TblProd[[#This Row],[Bank Lumber]] / 2 + -TblProd[[#This Row],[Bank Gems]] * 2 + -TblProd[[#This Row],[Bank Ore]] / 2</f>
        <v>0</v>
      </c>
      <c r="BD5" s="94"/>
      <c r="BE5" s="94"/>
      <c r="BF5" s="94"/>
      <c r="BG5" s="159">
        <f ca="1">TblProd[[#This Row],[Time]]</f>
        <v>46047.041666666664</v>
      </c>
      <c r="BH5" s="45" t="str">
        <f>IF(AND(TblProd[[#This Row],[Bank Plat]]=0,TblProd[[#This Row],[Bank Lumber]]=0,TblProd[[#This Row],[Bank Ore]]=0,TblProd[[#This Row],[Bank Gems]]=0),"",IF(TblProd[[#This Row],[Bank Plat]]&gt;0,IF((TblProd[[#This Row],[Bank Lumber]]+TblProd[[#This Row],[Bank Ore]])/2+TblProd[[#This Row],[Bank Gems]]*2+ROUNDUP(TblProd[[#This Row],[Bank Plat]]/(1 + tech_2_2*Techs!Y5),0)=0,"Ok","Nope"),IF(TblProd[[#This Row],[Bank Lumber]]&gt;0,IF((TblProd[[#This Row],[Bank Plat]]+TblProd[[#This Row],[Bank Ore]])/2+TblProd[[#This Row],[Bank Gems]]*2+ROUNDUP(TblProd[[#This Row],[Bank Lumber]]/(1 + tech_2_2*Techs!Y5),0)=0,"Ok","Nope"),IF(TblProd[[#This Row],[Bank Ore]]&gt;0,IF((TblProd[[#This Row],[Bank Plat]]+TblProd[[#This Row],[Bank Lumber]])/2+TblProd[[#This Row],[Bank Gems]]*2+ROUNDUP(TblProd[[#This Row],[Bank Ore]]/(1 + tech_2_2*Techs!Y5),0)=0,"Ok","Nope")))))</f>
        <v/>
      </c>
      <c r="BI5" s="94">
        <f ca="1">TblProd[[#This Row],[Platinum]]</f>
        <v>51266</v>
      </c>
      <c r="BJ5" s="94">
        <f ca="1">TblProd[[#This Row],[Food]]</f>
        <v>17275</v>
      </c>
      <c r="BK5" s="94">
        <f ca="1">TblProd[[#This Row],[Lumber]]</f>
        <v>15850</v>
      </c>
      <c r="BL5" s="94">
        <f ca="1">TblProd[[#This Row],[Mana]]</f>
        <v>0</v>
      </c>
      <c r="BM5" s="94">
        <f ca="1">TblProd[[#This Row],[Ore]]</f>
        <v>0</v>
      </c>
    </row>
    <row r="6" spans="1:65" hidden="1" x14ac:dyDescent="0.2">
      <c r="A6" s="137">
        <v>3</v>
      </c>
      <c r="B6" s="152">
        <f ca="1">TblImps[[#This Row],[Time]]</f>
        <v>46047.083333333328</v>
      </c>
      <c r="C6" s="61"/>
      <c r="D6" s="154"/>
      <c r="E6" s="94">
        <f ca="1">TblConstr[[#This Row],[Land]]</f>
        <v>50</v>
      </c>
      <c r="F6" s="94">
        <f ca="1">TblPop[[#This Row],[Peasants]]</f>
        <v>487</v>
      </c>
      <c r="G6" s="94">
        <f ca="1">TblMili[[#This Row],[Networth (2)]]</f>
        <v>1250</v>
      </c>
      <c r="H6" s="94">
        <f ca="1">OFFSET(TblProd[[#This Row],[Platinum]],-1,0)+OFFSET(TblProd[[#This Row],[Plat/hr]],-1,0) - TblProd[[#This Row],[Expenses Platinum]] + IF(TblProd[[#This Row],[Plat Bonus]],TblPop[[#This Row],[Peasants]]*4) + SUM(TblConstr[[#This Row],[Dest Hom]:[Dest Doc]])*TblConstr[[#This Row],[CPA Platinum -DB]]*tech_3_3_2*TblTech[[#This Row],[3-3]]</f>
        <v>52556</v>
      </c>
      <c r="I6" s="94">
        <f ca="1">OFFSET(TblProd[[#This Row],[Food]],-1,0)+OFFSET(TblProd[[#This Row],[Food/hr]],-1,0)+ROUNDUP((TblConstr[[#This Row],[Farms]]*80+TblConstr[[#This Row],[Docks]]*35)*(1+OFFSET(TblProd[[#This Row],[Bonus Food/hr]],-1,0)),0)</f>
        <v>19524</v>
      </c>
      <c r="J6" s="94">
        <f ca="1">OFFSET(TblProd[[#This Row],[Lumber]],-1,0)+OFFSET(TblProd[[#This Row],[Lumber/hr]],-1,0) - TblProd[[#This Row],[Expenses Lumber]] + SUM(TblConstr[[#This Row],[Dest Hom]:[Dest Doc]])*TblConstr[[#This Row],[CPA Lumber -DB]]*tech_3_3_2*TblTech[[#This Row],[3-3]]</f>
        <v>16692</v>
      </c>
      <c r="K6" s="94">
        <f ca="1">OFFSET(TblProd[[#This Row],[Mana]],-1,0)+OFFSET(TblProd[[#This Row],[Mana/hr]],-1,0)- TblProd[[#This Row],[Expenses Mana]]</f>
        <v>0</v>
      </c>
      <c r="L6" s="94">
        <f ca="1">OFFSET(TblProd[[#This Row],[Ore]],-1,0)+OFFSET(TblProd[[#This Row],[Ore/hr]],-1,0) -TblProd[[#This Row],[Expenses Ore]]</f>
        <v>0</v>
      </c>
      <c r="M6" s="94">
        <f ca="1">OFFSET(TblProd[[#This Row],[Gems]],-1,0)+OFFSET(TblProd[[#This Row],[Gems/hr]],-1,0) - TblProd[[#This Row],[Expenses Gems]]</f>
        <v>0</v>
      </c>
      <c r="N6" s="94">
        <f ca="1">OFFSET(TblProd[[#This Row],[Boats]],-1,0)+OFFSET(TblProd[[#This Row],[Boats/hr]],-1,0)</f>
        <v>0</v>
      </c>
      <c r="O6" s="94">
        <f ca="1">OFFSET(TblProd[[#This Row],[Prestige]],-1,0)</f>
        <v>250</v>
      </c>
      <c r="P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 s="94">
        <f ca="1">MAX(_xlfn.CEILING.MATH(TblProd[[#This Row],[Land]]*2.5+IFERROR(OFFSET(TblTech[[#This Row],[Sum of tech]],-1,0)*50,0)),3750)</f>
        <v>3750</v>
      </c>
      <c r="R6" s="142"/>
      <c r="S6" s="94">
        <f ca="1">ROUNDDOWN(TblProd[[#This Row],[Raw Plat/hr]]*(1+TblProd[[#This Row],[Bonus Plat/hr]]),0)</f>
        <v>1314</v>
      </c>
      <c r="T6" s="94">
        <f ca="1">ROUND(TblProd[[#This Row],[Raw Food/hr]]*(1+TblProd[[#This Row],[Bonus Food/hr]])-TblProd[[#This Row],[Food decay]]-TblProd[[#This Row],[Food eaten]],0)</f>
        <v>2223</v>
      </c>
      <c r="U6" s="94">
        <f ca="1">ROUND(TblProd[[#This Row],[Raw Lumber/hr]]*(1+TblProd[[#This Row],[Bonus Lumber/hr]])-TblProd[[#This Row],[Lumber rot]],0)</f>
        <v>833</v>
      </c>
      <c r="V6" s="94">
        <f ca="1">ROUND(TblProd[[#This Row],[Raw Mana/hr]]*(1+TblProd[[#This Row],[Bonus Mana/hr]])-TblProd[[#This Row],[Mana drain]],0)</f>
        <v>0</v>
      </c>
      <c r="W6" s="94">
        <f ca="1">ROUNDDOWN(TblProd[[#This Row],[Raw Ore/hr]]*(1+TblProd[[#This Row],[Bonux Ore/hr]]),0)</f>
        <v>0</v>
      </c>
      <c r="X6" s="94">
        <f ca="1">ROUNDDOWN(TblProd[[#This Row],[Raw Gems/hr]]*(1+TblProd[[#This Row],[Bonus Gems/hr]]),0)</f>
        <v>0</v>
      </c>
      <c r="Y6" s="155">
        <f ca="1">OFFSET(TblConstr[[#This Row],[Tot Doc]],1,0)*dock_boats_hr * (1 + tech_4_1*TblTech[[#This Row],[4-1]])</f>
        <v>0</v>
      </c>
      <c r="Z6" s="154"/>
      <c r="AA6" s="94">
        <f ca="1">TblPop[[#This Row],[Peasants]]*tax*TblPop[[#This Row],[Employment]] + (Construction!AZ7+Construction!BX7)*(alch_plat+(Magic!AN6&gt;0)*alchemist_flame_bonus)</f>
        <v>1314.9</v>
      </c>
      <c r="AB6" s="94">
        <f ca="1">TblConstr[[#This Row],[Tot Farm]]*farm_food + TblConstr[[#This Row],[Tot Doc]]*dock_food</f>
        <v>2400</v>
      </c>
      <c r="AC6" s="94">
        <f ca="1">TblConstr[[#This Row],[Tot Ly]]*ly_lumber + TblConstr[[#This Row],[Tot Hav]]*fh_lumber + IF(race="Wood Elf",TblMili[[#This Row],[Unit 2]]*MIN(TblMili[[#This Row],[Homeland%]]/wisp_bonus,wisp_cap),0)</f>
        <v>1000</v>
      </c>
      <c r="AD6" s="94">
        <f ca="1">OFFSET(TblConstr[[#This Row],[Tot Tow]],1,0)*(tower_mana + tech_4_5*TblTech[[#This Row],[4-5]]) + OFFSET(TblConstr[[#This Row],[Tot WG]],1,0)*wg_mana_prod</f>
        <v>0</v>
      </c>
      <c r="AE6" s="94">
        <f ca="1">OFFSET(TblConstr[[#This Row],[Tot OM]],1,0)*om_ore+IF(race="Dwarf",TblMili[[#This Row],[Unit 2]]*0.5,0)</f>
        <v>0</v>
      </c>
      <c r="AF6" s="94">
        <f ca="1">OFFSET(TblConstr[[#This Row],[Tot DM]],1,0)*dm_gems</f>
        <v>0</v>
      </c>
      <c r="AG6" s="142"/>
      <c r="AH6" s="156">
        <f ca="1">MIN(race_platinum_bonus + IF(TblMagic[[#This Row],[Active Alch Frost]]&gt;0,alch_frost_bonus,IF(Magic!AE6&gt;0,midas_bonus)) + TblImps[[#This Row],[Science]] - TblProd[[#This Row],[Guard]]*(0.02 + tech_5_7*TblTech[[#This Row],[5-7]]) + tech_1_5*TblTech[[#This Row],[1-5]] + tech_4_4*TblTech[[#This Row],[4-4]] + IF(TblMagic[[#This Row],[Active Infernal Command]]&gt;0,demonic_pact_plat,0), 0.5)</f>
        <v>0</v>
      </c>
      <c r="AI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 s="156">
        <f ca="1">race_lumber_bonus+ IF(TblMagic[[#This Row],[Active Gaia''s Blessing]]&gt;0,gaias_blessing_lumber)+ tech_1_3*TblTech[[#This Row],[1-3]] + tech_1_6*TblTech[[#This Row],[1-6]] + tech_3_3*TblTech[[#This Row],[3-3]]</f>
        <v>0</v>
      </c>
      <c r="AK6" s="156">
        <f ca="1">race_mana_bonus+ 0 + TblImps[[#This Row],[Spires]] + tech_1_2*TblTech[[#This Row],[1-2]] + tech_3_4*TblTech[[#This Row],[3-4]]</f>
        <v>0</v>
      </c>
      <c r="AL6" s="156">
        <f ca="1">race_ore_bonus + IF(TblMagic[[#This Row],[Active Miner''s Sight]]&gt;0,miners_sight_bonus,IF(TblMagic[[#This Row],[Active Mining Strength]]&gt;0,mining_strength_bonus)) +  tech_1_6*TblTech[[#This Row],[1-6]]</f>
        <v>0</v>
      </c>
      <c r="AM6" s="156">
        <f>race_gem_bonus+ tech_3_2*TblTech[[#This Row],[3-2]] + tech_4_3*TblTech[[#This Row],[4-3]] + tech_6_2*TblTech[[#This Row],[6-2]]</f>
        <v>0</v>
      </c>
      <c r="AN6" s="142"/>
      <c r="AO6" s="94">
        <f ca="1">TblProd[[#This Row],[Food]]*food_decay * (1 + tech_2_1*TblTech[[#This Row],[2-1]] + tech_2_8*TblTech[[#This Row],[2-8]] + IF(AND(TblMagic[[#This Row],[Active DnD]]&lt;12,TblMagic[[#This Row],[Active DnD]]&gt;5),1,0))</f>
        <v>195.24</v>
      </c>
      <c r="AP6" s="94">
        <f ca="1">(1+race_food_consumption)*TblPop[[#This Row],[Total]]*food_per_person*(1+tech_1_10*TblTech[[#This Row],[1-10]]+tech_7_5*TblTech[[#This Row],[7-5]] + IF(TblMagic[[#This Row],[Active Infernal Command]]&gt;0,demonic_pact_food_cons,0))</f>
        <v>161.75</v>
      </c>
      <c r="AQ6" s="94">
        <f ca="1">TblProd[[#This Row],[Lumber]]*lumber_rot * (1 + tech_2_1*TblTech[[#This Row],[2-1]] + tech_2_8*TblTech[[#This Row],[2-8]] + tech_5_2*TblTech[[#This Row],[5-2]] + IF(AND(TblMagic[[#This Row],[Active DnD]]&lt;12,TblMagic[[#This Row],[Active DnD]]&gt;5),1,0))</f>
        <v>166.92000000000002</v>
      </c>
      <c r="AR6" s="94">
        <f ca="1">TblProd[[#This Row],[Mana]]*mana_drain * (1 + tech_2_1*TblTech[[#This Row],[2-1]] + tech_2_8*TblTech[[#This Row],[2-8]])</f>
        <v>0</v>
      </c>
      <c r="AS6" s="154"/>
      <c r="AT6" s="94">
        <f ca="1">TblExplore[[#This Row],[Platinum (2)]]+TblConstr[[#This Row],[Total Plat Cost]]+TblMili[[#This Row],[Plat Cost]]+TblRezone[[#This Row],[Platinum cost]]+TblImps[[#This Row],[P1]]-TblProd[[#This Row],[Bank Plat]]</f>
        <v>0</v>
      </c>
      <c r="AU6" s="94">
        <f ca="1">TblConstr[[#This Row],[Total Lum Cost]]+TblImps[[#This Row],[L1]]-TblProd[[#This Row],[Bank Lumber]] + Military!$CO$25*TblMili[[#This Row],[Sec. rec. Cost]]</f>
        <v>0</v>
      </c>
      <c r="AV6" s="94">
        <f ca="1">TblMagic[[#This Row],[Mana cost]] + Military!$CO$26*TblMili[[#This Row],[Sec. rec. Cost]]</f>
        <v>0</v>
      </c>
      <c r="AW6" s="94">
        <f ca="1">Military!$CO$24*TblMili[[#This Row],[Sec. rec. Cost]]+TblImps[[#This Row],[O1]]-TblProd[[#This Row],[Bank Ore]]</f>
        <v>0</v>
      </c>
      <c r="AX6" s="94">
        <f>TblImps[[#This Row],[G1]]-TblProd[[#This Row],[Bank Gems]]</f>
        <v>0</v>
      </c>
      <c r="AY6" s="142"/>
      <c r="AZ6" s="61" t="b">
        <f ca="1">IF(TblProd[[#This Row],[Set Guard]]&lt;&gt;"",TblProd[[#This Row],[Set Guard]],OFFSET(TblProd[[#This Row],[Guard]],-1,0))</f>
        <v>0</v>
      </c>
      <c r="BA6" s="61"/>
      <c r="BB6" s="45">
        <f>TblProd[[#This Row],[Hour]]</f>
        <v>3</v>
      </c>
      <c r="BC6" s="94">
        <f>-TblProd[[#This Row],[Bank Lumber]] / 2 + -TblProd[[#This Row],[Bank Gems]] * 2 + -TblProd[[#This Row],[Bank Ore]] / 2</f>
        <v>0</v>
      </c>
      <c r="BD6" s="94"/>
      <c r="BE6" s="94"/>
      <c r="BF6" s="94"/>
      <c r="BG6" s="159">
        <f ca="1">TblProd[[#This Row],[Time]]</f>
        <v>46047.083333333328</v>
      </c>
      <c r="BH6" s="45" t="str">
        <f>IF(AND(TblProd[[#This Row],[Bank Plat]]=0,TblProd[[#This Row],[Bank Lumber]]=0,TblProd[[#This Row],[Bank Ore]]=0,TblProd[[#This Row],[Bank Gems]]=0),"",IF(TblProd[[#This Row],[Bank Plat]]&gt;0,IF((TblProd[[#This Row],[Bank Lumber]]+TblProd[[#This Row],[Bank Ore]])/2+TblProd[[#This Row],[Bank Gems]]*2+ROUNDUP(TblProd[[#This Row],[Bank Plat]]/(1 + tech_2_2*Techs!Y6),0)=0,"Ok","Nope"),IF(TblProd[[#This Row],[Bank Lumber]]&gt;0,IF((TblProd[[#This Row],[Bank Plat]]+TblProd[[#This Row],[Bank Ore]])/2+TblProd[[#This Row],[Bank Gems]]*2+ROUNDUP(TblProd[[#This Row],[Bank Lumber]]/(1 + tech_2_2*Techs!Y6),0)=0,"Ok","Nope"),IF(TblProd[[#This Row],[Bank Ore]]&gt;0,IF((TblProd[[#This Row],[Bank Plat]]+TblProd[[#This Row],[Bank Lumber]])/2+TblProd[[#This Row],[Bank Gems]]*2+ROUNDUP(TblProd[[#This Row],[Bank Ore]]/(1 + tech_2_2*Techs!Y6),0)=0,"Ok","Nope")))))</f>
        <v/>
      </c>
      <c r="BI6" s="94">
        <f ca="1">TblProd[[#This Row],[Platinum]]</f>
        <v>52556</v>
      </c>
      <c r="BJ6" s="94">
        <f ca="1">TblProd[[#This Row],[Food]]</f>
        <v>19524</v>
      </c>
      <c r="BK6" s="94">
        <f ca="1">TblProd[[#This Row],[Lumber]]</f>
        <v>16692</v>
      </c>
      <c r="BL6" s="94">
        <f ca="1">TblProd[[#This Row],[Mana]]</f>
        <v>0</v>
      </c>
      <c r="BM6" s="94">
        <f ca="1">TblProd[[#This Row],[Ore]]</f>
        <v>0</v>
      </c>
    </row>
    <row r="7" spans="1:65" hidden="1" x14ac:dyDescent="0.2">
      <c r="A7" s="137">
        <v>4</v>
      </c>
      <c r="B7" s="152">
        <f ca="1">TblImps[[#This Row],[Time]]</f>
        <v>46047.124999999993</v>
      </c>
      <c r="C7" s="61"/>
      <c r="D7" s="154"/>
      <c r="E7" s="94">
        <f ca="1">TblConstr[[#This Row],[Land]]</f>
        <v>50</v>
      </c>
      <c r="F7" s="94">
        <f ca="1">TblPop[[#This Row],[Peasants]]</f>
        <v>496</v>
      </c>
      <c r="G7" s="94">
        <f ca="1">TblMili[[#This Row],[Networth (2)]]</f>
        <v>1250</v>
      </c>
      <c r="H7" s="94">
        <f ca="1">OFFSET(TblProd[[#This Row],[Platinum]],-1,0)+OFFSET(TblProd[[#This Row],[Plat/hr]],-1,0) - TblProd[[#This Row],[Expenses Platinum]] + IF(TblProd[[#This Row],[Plat Bonus]],TblPop[[#This Row],[Peasants]]*4) + SUM(TblConstr[[#This Row],[Dest Hom]:[Dest Doc]])*TblConstr[[#This Row],[CPA Platinum -DB]]*tech_3_3_2*TblTech[[#This Row],[3-3]]</f>
        <v>53870</v>
      </c>
      <c r="I7" s="94">
        <f ca="1">OFFSET(TblProd[[#This Row],[Food]],-1,0)+OFFSET(TblProd[[#This Row],[Food/hr]],-1,0)+ROUNDUP((TblConstr[[#This Row],[Farms]]*80+TblConstr[[#This Row],[Docks]]*35)*(1+OFFSET(TblProd[[#This Row],[Bonus Food/hr]],-1,0)),0)</f>
        <v>21747</v>
      </c>
      <c r="J7" s="94">
        <f ca="1">OFFSET(TblProd[[#This Row],[Lumber]],-1,0)+OFFSET(TblProd[[#This Row],[Lumber/hr]],-1,0) - TblProd[[#This Row],[Expenses Lumber]] + SUM(TblConstr[[#This Row],[Dest Hom]:[Dest Doc]])*TblConstr[[#This Row],[CPA Lumber -DB]]*tech_3_3_2*TblTech[[#This Row],[3-3]]</f>
        <v>17525</v>
      </c>
      <c r="K7" s="94">
        <f ca="1">OFFSET(TblProd[[#This Row],[Mana]],-1,0)+OFFSET(TblProd[[#This Row],[Mana/hr]],-1,0)- TblProd[[#This Row],[Expenses Mana]]</f>
        <v>0</v>
      </c>
      <c r="L7" s="94">
        <f ca="1">OFFSET(TblProd[[#This Row],[Ore]],-1,0)+OFFSET(TblProd[[#This Row],[Ore/hr]],-1,0) -TblProd[[#This Row],[Expenses Ore]]</f>
        <v>0</v>
      </c>
      <c r="M7" s="94">
        <f ca="1">OFFSET(TblProd[[#This Row],[Gems]],-1,0)+OFFSET(TblProd[[#This Row],[Gems/hr]],-1,0) - TblProd[[#This Row],[Expenses Gems]]</f>
        <v>0</v>
      </c>
      <c r="N7" s="94">
        <f ca="1">OFFSET(TblProd[[#This Row],[Boats]],-1,0)+OFFSET(TblProd[[#This Row],[Boats/hr]],-1,0)</f>
        <v>0</v>
      </c>
      <c r="O7" s="94">
        <f ca="1">OFFSET(TblProd[[#This Row],[Prestige]],-1,0)</f>
        <v>250</v>
      </c>
      <c r="P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 s="94">
        <f ca="1">MAX(_xlfn.CEILING.MATH(TblProd[[#This Row],[Land]]*2.5+IFERROR(OFFSET(TblTech[[#This Row],[Sum of tech]],-1,0)*50,0)),3750)</f>
        <v>3750</v>
      </c>
      <c r="R7" s="142"/>
      <c r="S7" s="94">
        <f ca="1">ROUNDDOWN(TblProd[[#This Row],[Raw Plat/hr]]*(1+TblProd[[#This Row],[Bonus Plat/hr]]),0)</f>
        <v>1339</v>
      </c>
      <c r="T7" s="94">
        <f ca="1">ROUND(TblProd[[#This Row],[Raw Food/hr]]*(1+TblProd[[#This Row],[Bonus Food/hr]])-TblProd[[#This Row],[Food decay]]-TblProd[[#This Row],[Food eaten]],0)</f>
        <v>2197</v>
      </c>
      <c r="U7" s="94">
        <f ca="1">ROUND(TblProd[[#This Row],[Raw Lumber/hr]]*(1+TblProd[[#This Row],[Bonus Lumber/hr]])-TblProd[[#This Row],[Lumber rot]],0)</f>
        <v>825</v>
      </c>
      <c r="V7" s="94">
        <f ca="1">ROUND(TblProd[[#This Row],[Raw Mana/hr]]*(1+TblProd[[#This Row],[Bonus Mana/hr]])-TblProd[[#This Row],[Mana drain]],0)</f>
        <v>0</v>
      </c>
      <c r="W7" s="94">
        <f ca="1">ROUNDDOWN(TblProd[[#This Row],[Raw Ore/hr]]*(1+TblProd[[#This Row],[Bonux Ore/hr]]),0)</f>
        <v>0</v>
      </c>
      <c r="X7" s="94">
        <f ca="1">ROUNDDOWN(TblProd[[#This Row],[Raw Gems/hr]]*(1+TblProd[[#This Row],[Bonus Gems/hr]]),0)</f>
        <v>0</v>
      </c>
      <c r="Y7" s="155">
        <f ca="1">OFFSET(TblConstr[[#This Row],[Tot Doc]],1,0)*dock_boats_hr * (1 + tech_4_1*TblTech[[#This Row],[4-1]])</f>
        <v>0</v>
      </c>
      <c r="Z7" s="154"/>
      <c r="AA7" s="94">
        <f ca="1">TblPop[[#This Row],[Peasants]]*tax*TblPop[[#This Row],[Employment]] + (Construction!AZ8+Construction!BX8)*(alch_plat+(Magic!AN7&gt;0)*alchemist_flame_bonus)</f>
        <v>1339.2</v>
      </c>
      <c r="AB7" s="94">
        <f ca="1">TblConstr[[#This Row],[Tot Farm]]*farm_food + TblConstr[[#This Row],[Tot Doc]]*dock_food</f>
        <v>2400</v>
      </c>
      <c r="AC7" s="94">
        <f ca="1">TblConstr[[#This Row],[Tot Ly]]*ly_lumber + TblConstr[[#This Row],[Tot Hav]]*fh_lumber + IF(race="Wood Elf",TblMili[[#This Row],[Unit 2]]*MIN(TblMili[[#This Row],[Homeland%]]/wisp_bonus,wisp_cap),0)</f>
        <v>1000</v>
      </c>
      <c r="AD7" s="94">
        <f ca="1">OFFSET(TblConstr[[#This Row],[Tot Tow]],1,0)*(tower_mana + tech_4_5*TblTech[[#This Row],[4-5]]) + OFFSET(TblConstr[[#This Row],[Tot WG]],1,0)*wg_mana_prod</f>
        <v>0</v>
      </c>
      <c r="AE7" s="94">
        <f ca="1">OFFSET(TblConstr[[#This Row],[Tot OM]],1,0)*om_ore+IF(race="Dwarf",TblMili[[#This Row],[Unit 2]]*0.5,0)</f>
        <v>0</v>
      </c>
      <c r="AF7" s="94">
        <f ca="1">OFFSET(TblConstr[[#This Row],[Tot DM]],1,0)*dm_gems</f>
        <v>0</v>
      </c>
      <c r="AG7" s="142"/>
      <c r="AH7" s="156">
        <f ca="1">MIN(race_platinum_bonus + IF(TblMagic[[#This Row],[Active Alch Frost]]&gt;0,alch_frost_bonus,IF(Magic!AE7&gt;0,midas_bonus)) + TblImps[[#This Row],[Science]] - TblProd[[#This Row],[Guard]]*(0.02 + tech_5_7*TblTech[[#This Row],[5-7]]) + tech_1_5*TblTech[[#This Row],[1-5]] + tech_4_4*TblTech[[#This Row],[4-4]] + IF(TblMagic[[#This Row],[Active Infernal Command]]&gt;0,demonic_pact_plat,0), 0.5)</f>
        <v>0</v>
      </c>
      <c r="AI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 s="156">
        <f ca="1">race_lumber_bonus+ IF(TblMagic[[#This Row],[Active Gaia''s Blessing]]&gt;0,gaias_blessing_lumber)+ tech_1_3*TblTech[[#This Row],[1-3]] + tech_1_6*TblTech[[#This Row],[1-6]] + tech_3_3*TblTech[[#This Row],[3-3]]</f>
        <v>0</v>
      </c>
      <c r="AK7" s="156">
        <f ca="1">race_mana_bonus+ 0 + TblImps[[#This Row],[Spires]] + tech_1_2*TblTech[[#This Row],[1-2]] + tech_3_4*TblTech[[#This Row],[3-4]]</f>
        <v>0</v>
      </c>
      <c r="AL7" s="156">
        <f ca="1">race_ore_bonus + IF(TblMagic[[#This Row],[Active Miner''s Sight]]&gt;0,miners_sight_bonus,IF(TblMagic[[#This Row],[Active Mining Strength]]&gt;0,mining_strength_bonus)) +  tech_1_6*TblTech[[#This Row],[1-6]]</f>
        <v>0</v>
      </c>
      <c r="AM7" s="156">
        <f>race_gem_bonus+ tech_3_2*TblTech[[#This Row],[3-2]] + tech_4_3*TblTech[[#This Row],[4-3]] + tech_6_2*TblTech[[#This Row],[6-2]]</f>
        <v>0</v>
      </c>
      <c r="AN7" s="142"/>
      <c r="AO7" s="94">
        <f ca="1">TblProd[[#This Row],[Food]]*food_decay * (1 + tech_2_1*TblTech[[#This Row],[2-1]] + tech_2_8*TblTech[[#This Row],[2-8]] + IF(AND(TblMagic[[#This Row],[Active DnD]]&lt;12,TblMagic[[#This Row],[Active DnD]]&gt;5),1,0))</f>
        <v>217.47</v>
      </c>
      <c r="AP7" s="94">
        <f ca="1">(1+race_food_consumption)*TblPop[[#This Row],[Total]]*food_per_person*(1+tech_1_10*TblTech[[#This Row],[1-10]]+tech_7_5*TblTech[[#This Row],[7-5]] + IF(TblMagic[[#This Row],[Active Infernal Command]]&gt;0,demonic_pact_food_cons,0))</f>
        <v>165.25</v>
      </c>
      <c r="AQ7" s="94">
        <f ca="1">TblProd[[#This Row],[Lumber]]*lumber_rot * (1 + tech_2_1*TblTech[[#This Row],[2-1]] + tech_2_8*TblTech[[#This Row],[2-8]] + tech_5_2*TblTech[[#This Row],[5-2]] + IF(AND(TblMagic[[#This Row],[Active DnD]]&lt;12,TblMagic[[#This Row],[Active DnD]]&gt;5),1,0))</f>
        <v>175.25</v>
      </c>
      <c r="AR7" s="94">
        <f ca="1">TblProd[[#This Row],[Mana]]*mana_drain * (1 + tech_2_1*TblTech[[#This Row],[2-1]] + tech_2_8*TblTech[[#This Row],[2-8]])</f>
        <v>0</v>
      </c>
      <c r="AS7" s="154"/>
      <c r="AT7" s="94">
        <f ca="1">TblExplore[[#This Row],[Platinum (2)]]+TblConstr[[#This Row],[Total Plat Cost]]+TblMili[[#This Row],[Plat Cost]]+TblRezone[[#This Row],[Platinum cost]]+TblImps[[#This Row],[P1]]-TblProd[[#This Row],[Bank Plat]]</f>
        <v>0</v>
      </c>
      <c r="AU7" s="94">
        <f ca="1">TblConstr[[#This Row],[Total Lum Cost]]+TblImps[[#This Row],[L1]]-TblProd[[#This Row],[Bank Lumber]] + Military!$CO$25*TblMili[[#This Row],[Sec. rec. Cost]]</f>
        <v>0</v>
      </c>
      <c r="AV7" s="94">
        <f ca="1">TblMagic[[#This Row],[Mana cost]] + Military!$CO$26*TblMili[[#This Row],[Sec. rec. Cost]]</f>
        <v>0</v>
      </c>
      <c r="AW7" s="94">
        <f ca="1">Military!$CO$24*TblMili[[#This Row],[Sec. rec. Cost]]+TblImps[[#This Row],[O1]]-TblProd[[#This Row],[Bank Ore]]</f>
        <v>0</v>
      </c>
      <c r="AX7" s="94">
        <f>TblImps[[#This Row],[G1]]-TblProd[[#This Row],[Bank Gems]]</f>
        <v>0</v>
      </c>
      <c r="AY7" s="142"/>
      <c r="AZ7" s="61" t="b">
        <f ca="1">IF(TblProd[[#This Row],[Set Guard]]&lt;&gt;"",TblProd[[#This Row],[Set Guard]],OFFSET(TblProd[[#This Row],[Guard]],-1,0))</f>
        <v>0</v>
      </c>
      <c r="BA7" s="61"/>
      <c r="BB7" s="45">
        <f>TblProd[[#This Row],[Hour]]</f>
        <v>4</v>
      </c>
      <c r="BC7" s="94">
        <f>-TblProd[[#This Row],[Bank Lumber]] / 2 + -TblProd[[#This Row],[Bank Gems]] * 2 + -TblProd[[#This Row],[Bank Ore]] / 2</f>
        <v>0</v>
      </c>
      <c r="BD7" s="94"/>
      <c r="BE7" s="94"/>
      <c r="BF7" s="94"/>
      <c r="BG7" s="159">
        <f ca="1">TblProd[[#This Row],[Time]]</f>
        <v>46047.124999999993</v>
      </c>
      <c r="BH7" s="45" t="str">
        <f>IF(AND(TblProd[[#This Row],[Bank Plat]]=0,TblProd[[#This Row],[Bank Lumber]]=0,TblProd[[#This Row],[Bank Ore]]=0,TblProd[[#This Row],[Bank Gems]]=0),"",IF(TblProd[[#This Row],[Bank Plat]]&gt;0,IF((TblProd[[#This Row],[Bank Lumber]]+TblProd[[#This Row],[Bank Ore]])/2+TblProd[[#This Row],[Bank Gems]]*2+ROUNDUP(TblProd[[#This Row],[Bank Plat]]/(1 + tech_2_2*Techs!Y7),0)=0,"Ok","Nope"),IF(TblProd[[#This Row],[Bank Lumber]]&gt;0,IF((TblProd[[#This Row],[Bank Plat]]+TblProd[[#This Row],[Bank Ore]])/2+TblProd[[#This Row],[Bank Gems]]*2+ROUNDUP(TblProd[[#This Row],[Bank Lumber]]/(1 + tech_2_2*Techs!Y7),0)=0,"Ok","Nope"),IF(TblProd[[#This Row],[Bank Ore]]&gt;0,IF((TblProd[[#This Row],[Bank Plat]]+TblProd[[#This Row],[Bank Lumber]])/2+TblProd[[#This Row],[Bank Gems]]*2+ROUNDUP(TblProd[[#This Row],[Bank Ore]]/(1 + tech_2_2*Techs!Y7),0)=0,"Ok","Nope")))))</f>
        <v/>
      </c>
      <c r="BI7" s="94">
        <f ca="1">TblProd[[#This Row],[Platinum]]</f>
        <v>53870</v>
      </c>
      <c r="BJ7" s="94">
        <f ca="1">TblProd[[#This Row],[Food]]</f>
        <v>21747</v>
      </c>
      <c r="BK7" s="94">
        <f ca="1">TblProd[[#This Row],[Lumber]]</f>
        <v>17525</v>
      </c>
      <c r="BL7" s="94">
        <f ca="1">TblProd[[#This Row],[Mana]]</f>
        <v>0</v>
      </c>
      <c r="BM7" s="94">
        <f ca="1">TblProd[[#This Row],[Ore]]</f>
        <v>0</v>
      </c>
    </row>
    <row r="8" spans="1:65" hidden="1" x14ac:dyDescent="0.2">
      <c r="A8" s="137">
        <v>5</v>
      </c>
      <c r="B8" s="152">
        <f ca="1">TblImps[[#This Row],[Time]]</f>
        <v>46047.166666666657</v>
      </c>
      <c r="C8" s="61"/>
      <c r="D8" s="154"/>
      <c r="E8" s="94">
        <f ca="1">TblConstr[[#This Row],[Land]]</f>
        <v>50</v>
      </c>
      <c r="F8" s="94">
        <f ca="1">TblPop[[#This Row],[Peasants]]</f>
        <v>506</v>
      </c>
      <c r="G8" s="94">
        <f ca="1">TblMili[[#This Row],[Networth (2)]]</f>
        <v>1250</v>
      </c>
      <c r="H8" s="94">
        <f ca="1">OFFSET(TblProd[[#This Row],[Platinum]],-1,0)+OFFSET(TblProd[[#This Row],[Plat/hr]],-1,0) - TblProd[[#This Row],[Expenses Platinum]] + IF(TblProd[[#This Row],[Plat Bonus]],TblPop[[#This Row],[Peasants]]*4) + SUM(TblConstr[[#This Row],[Dest Hom]:[Dest Doc]])*TblConstr[[#This Row],[CPA Platinum -DB]]*tech_3_3_2*TblTech[[#This Row],[3-3]]</f>
        <v>55209</v>
      </c>
      <c r="I8" s="94">
        <f ca="1">OFFSET(TblProd[[#This Row],[Food]],-1,0)+OFFSET(TblProd[[#This Row],[Food/hr]],-1,0)+ROUNDUP((TblConstr[[#This Row],[Farms]]*80+TblConstr[[#This Row],[Docks]]*35)*(1+OFFSET(TblProd[[#This Row],[Bonus Food/hr]],-1,0)),0)</f>
        <v>23944</v>
      </c>
      <c r="J8" s="94">
        <f ca="1">OFFSET(TblProd[[#This Row],[Lumber]],-1,0)+OFFSET(TblProd[[#This Row],[Lumber/hr]],-1,0) - TblProd[[#This Row],[Expenses Lumber]] + SUM(TblConstr[[#This Row],[Dest Hom]:[Dest Doc]])*TblConstr[[#This Row],[CPA Lumber -DB]]*tech_3_3_2*TblTech[[#This Row],[3-3]]</f>
        <v>18350</v>
      </c>
      <c r="K8" s="94">
        <f ca="1">OFFSET(TblProd[[#This Row],[Mana]],-1,0)+OFFSET(TblProd[[#This Row],[Mana/hr]],-1,0)- TblProd[[#This Row],[Expenses Mana]]</f>
        <v>0</v>
      </c>
      <c r="L8" s="94">
        <f ca="1">OFFSET(TblProd[[#This Row],[Ore]],-1,0)+OFFSET(TblProd[[#This Row],[Ore/hr]],-1,0) -TblProd[[#This Row],[Expenses Ore]]</f>
        <v>0</v>
      </c>
      <c r="M8" s="94">
        <f ca="1">OFFSET(TblProd[[#This Row],[Gems]],-1,0)+OFFSET(TblProd[[#This Row],[Gems/hr]],-1,0) - TblProd[[#This Row],[Expenses Gems]]</f>
        <v>0</v>
      </c>
      <c r="N8" s="94">
        <f ca="1">OFFSET(TblProd[[#This Row],[Boats]],-1,0)+OFFSET(TblProd[[#This Row],[Boats/hr]],-1,0)</f>
        <v>0</v>
      </c>
      <c r="O8" s="94">
        <f ca="1">OFFSET(TblProd[[#This Row],[Prestige]],-1,0)</f>
        <v>250</v>
      </c>
      <c r="P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 s="94">
        <f ca="1">MAX(_xlfn.CEILING.MATH(TblProd[[#This Row],[Land]]*2.5+IFERROR(OFFSET(TblTech[[#This Row],[Sum of tech]],-1,0)*50,0)),3750)</f>
        <v>3750</v>
      </c>
      <c r="R8" s="142"/>
      <c r="S8" s="94">
        <f ca="1">ROUNDDOWN(TblProd[[#This Row],[Raw Plat/hr]]*(1+TblProd[[#This Row],[Bonus Plat/hr]]),0)</f>
        <v>1366</v>
      </c>
      <c r="T8" s="94">
        <f ca="1">ROUND(TblProd[[#This Row],[Raw Food/hr]]*(1+TblProd[[#This Row],[Bonus Food/hr]])-TblProd[[#This Row],[Food decay]]-TblProd[[#This Row],[Food eaten]],0)</f>
        <v>2172</v>
      </c>
      <c r="U8" s="94">
        <f ca="1">ROUND(TblProd[[#This Row],[Raw Lumber/hr]]*(1+TblProd[[#This Row],[Bonus Lumber/hr]])-TblProd[[#This Row],[Lumber rot]],0)</f>
        <v>817</v>
      </c>
      <c r="V8" s="94">
        <f ca="1">ROUND(TblProd[[#This Row],[Raw Mana/hr]]*(1+TblProd[[#This Row],[Bonus Mana/hr]])-TblProd[[#This Row],[Mana drain]],0)</f>
        <v>0</v>
      </c>
      <c r="W8" s="94">
        <f ca="1">ROUNDDOWN(TblProd[[#This Row],[Raw Ore/hr]]*(1+TblProd[[#This Row],[Bonux Ore/hr]]),0)</f>
        <v>0</v>
      </c>
      <c r="X8" s="94">
        <f ca="1">ROUNDDOWN(TblProd[[#This Row],[Raw Gems/hr]]*(1+TblProd[[#This Row],[Bonus Gems/hr]]),0)</f>
        <v>0</v>
      </c>
      <c r="Y8" s="155">
        <f ca="1">OFFSET(TblConstr[[#This Row],[Tot Doc]],1,0)*dock_boats_hr * (1 + tech_4_1*TblTech[[#This Row],[4-1]])</f>
        <v>0</v>
      </c>
      <c r="Z8" s="154"/>
      <c r="AA8" s="94">
        <f ca="1">TblPop[[#This Row],[Peasants]]*tax*TblPop[[#This Row],[Employment]] + (Construction!AZ9+Construction!BX9)*(alch_plat+(Magic!AN8&gt;0)*alchemist_flame_bonus)</f>
        <v>1366.2</v>
      </c>
      <c r="AB8" s="94">
        <f ca="1">TblConstr[[#This Row],[Tot Farm]]*farm_food + TblConstr[[#This Row],[Tot Doc]]*dock_food</f>
        <v>2400</v>
      </c>
      <c r="AC8" s="94">
        <f ca="1">TblConstr[[#This Row],[Tot Ly]]*ly_lumber + TblConstr[[#This Row],[Tot Hav]]*fh_lumber + IF(race="Wood Elf",TblMili[[#This Row],[Unit 2]]*MIN(TblMili[[#This Row],[Homeland%]]/wisp_bonus,wisp_cap),0)</f>
        <v>1000</v>
      </c>
      <c r="AD8" s="94">
        <f ca="1">OFFSET(TblConstr[[#This Row],[Tot Tow]],1,0)*(tower_mana + tech_4_5*TblTech[[#This Row],[4-5]]) + OFFSET(TblConstr[[#This Row],[Tot WG]],1,0)*wg_mana_prod</f>
        <v>0</v>
      </c>
      <c r="AE8" s="94">
        <f ca="1">OFFSET(TblConstr[[#This Row],[Tot OM]],1,0)*om_ore+IF(race="Dwarf",TblMili[[#This Row],[Unit 2]]*0.5,0)</f>
        <v>0</v>
      </c>
      <c r="AF8" s="94">
        <f ca="1">OFFSET(TblConstr[[#This Row],[Tot DM]],1,0)*dm_gems</f>
        <v>0</v>
      </c>
      <c r="AG8" s="142"/>
      <c r="AH8" s="156">
        <f ca="1">MIN(race_platinum_bonus + IF(TblMagic[[#This Row],[Active Alch Frost]]&gt;0,alch_frost_bonus,IF(Magic!AE8&gt;0,midas_bonus)) + TblImps[[#This Row],[Science]] - TblProd[[#This Row],[Guard]]*(0.02 + tech_5_7*TblTech[[#This Row],[5-7]]) + tech_1_5*TblTech[[#This Row],[1-5]] + tech_4_4*TblTech[[#This Row],[4-4]] + IF(TblMagic[[#This Row],[Active Infernal Command]]&gt;0,demonic_pact_plat,0), 0.5)</f>
        <v>0</v>
      </c>
      <c r="AI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 s="156">
        <f ca="1">race_lumber_bonus+ IF(TblMagic[[#This Row],[Active Gaia''s Blessing]]&gt;0,gaias_blessing_lumber)+ tech_1_3*TblTech[[#This Row],[1-3]] + tech_1_6*TblTech[[#This Row],[1-6]] + tech_3_3*TblTech[[#This Row],[3-3]]</f>
        <v>0</v>
      </c>
      <c r="AK8" s="156">
        <f ca="1">race_mana_bonus+ 0 + TblImps[[#This Row],[Spires]] + tech_1_2*TblTech[[#This Row],[1-2]] + tech_3_4*TblTech[[#This Row],[3-4]]</f>
        <v>0</v>
      </c>
      <c r="AL8" s="156">
        <f ca="1">race_ore_bonus + IF(TblMagic[[#This Row],[Active Miner''s Sight]]&gt;0,miners_sight_bonus,IF(TblMagic[[#This Row],[Active Mining Strength]]&gt;0,mining_strength_bonus)) +  tech_1_6*TblTech[[#This Row],[1-6]]</f>
        <v>0</v>
      </c>
      <c r="AM8" s="156">
        <f>race_gem_bonus+ tech_3_2*TblTech[[#This Row],[3-2]] + tech_4_3*TblTech[[#This Row],[4-3]] + tech_6_2*TblTech[[#This Row],[6-2]]</f>
        <v>0</v>
      </c>
      <c r="AN8" s="142"/>
      <c r="AO8" s="94">
        <f ca="1">TblProd[[#This Row],[Food]]*food_decay * (1 + tech_2_1*TblTech[[#This Row],[2-1]] + tech_2_8*TblTech[[#This Row],[2-8]] + IF(AND(TblMagic[[#This Row],[Active DnD]]&lt;12,TblMagic[[#This Row],[Active DnD]]&gt;5),1,0))</f>
        <v>239.44</v>
      </c>
      <c r="AP8" s="94">
        <f ca="1">(1+race_food_consumption)*TblPop[[#This Row],[Total]]*food_per_person*(1+tech_1_10*TblTech[[#This Row],[1-10]]+tech_7_5*TblTech[[#This Row],[7-5]] + IF(TblMagic[[#This Row],[Active Infernal Command]]&gt;0,demonic_pact_food_cons,0))</f>
        <v>169</v>
      </c>
      <c r="AQ8" s="94">
        <f ca="1">TblProd[[#This Row],[Lumber]]*lumber_rot * (1 + tech_2_1*TblTech[[#This Row],[2-1]] + tech_2_8*TblTech[[#This Row],[2-8]] + tech_5_2*TblTech[[#This Row],[5-2]] + IF(AND(TblMagic[[#This Row],[Active DnD]]&lt;12,TblMagic[[#This Row],[Active DnD]]&gt;5),1,0))</f>
        <v>183.5</v>
      </c>
      <c r="AR8" s="94">
        <f ca="1">TblProd[[#This Row],[Mana]]*mana_drain * (1 + tech_2_1*TblTech[[#This Row],[2-1]] + tech_2_8*TblTech[[#This Row],[2-8]])</f>
        <v>0</v>
      </c>
      <c r="AS8" s="154"/>
      <c r="AT8" s="94">
        <f ca="1">TblExplore[[#This Row],[Platinum (2)]]+TblConstr[[#This Row],[Total Plat Cost]]+TblMili[[#This Row],[Plat Cost]]+TblRezone[[#This Row],[Platinum cost]]+TblImps[[#This Row],[P1]]-TblProd[[#This Row],[Bank Plat]]</f>
        <v>0</v>
      </c>
      <c r="AU8" s="94">
        <f ca="1">TblConstr[[#This Row],[Total Lum Cost]]+TblImps[[#This Row],[L1]]-TblProd[[#This Row],[Bank Lumber]] + Military!$CO$25*TblMili[[#This Row],[Sec. rec. Cost]]</f>
        <v>0</v>
      </c>
      <c r="AV8" s="94">
        <f ca="1">TblMagic[[#This Row],[Mana cost]] + Military!$CO$26*TblMili[[#This Row],[Sec. rec. Cost]]</f>
        <v>0</v>
      </c>
      <c r="AW8" s="94">
        <f ca="1">Military!$CO$24*TblMili[[#This Row],[Sec. rec. Cost]]+TblImps[[#This Row],[O1]]-TblProd[[#This Row],[Bank Ore]]</f>
        <v>0</v>
      </c>
      <c r="AX8" s="94">
        <f>TblImps[[#This Row],[G1]]-TblProd[[#This Row],[Bank Gems]]</f>
        <v>0</v>
      </c>
      <c r="AY8" s="142"/>
      <c r="AZ8" s="61" t="b">
        <f ca="1">IF(TblProd[[#This Row],[Set Guard]]&lt;&gt;"",TblProd[[#This Row],[Set Guard]],OFFSET(TblProd[[#This Row],[Guard]],-1,0))</f>
        <v>0</v>
      </c>
      <c r="BA8" s="61"/>
      <c r="BB8" s="45">
        <f>TblProd[[#This Row],[Hour]]</f>
        <v>5</v>
      </c>
      <c r="BC8" s="94">
        <f>-TblProd[[#This Row],[Bank Lumber]] / 2 + -TblProd[[#This Row],[Bank Gems]] * 2 + -TblProd[[#This Row],[Bank Ore]] / 2</f>
        <v>0</v>
      </c>
      <c r="BD8" s="94"/>
      <c r="BE8" s="94"/>
      <c r="BF8" s="94"/>
      <c r="BG8" s="159">
        <f ca="1">TblProd[[#This Row],[Time]]</f>
        <v>46047.166666666657</v>
      </c>
      <c r="BH8" s="45" t="str">
        <f>IF(AND(TblProd[[#This Row],[Bank Plat]]=0,TblProd[[#This Row],[Bank Lumber]]=0,TblProd[[#This Row],[Bank Ore]]=0,TblProd[[#This Row],[Bank Gems]]=0),"",IF(TblProd[[#This Row],[Bank Plat]]&gt;0,IF((TblProd[[#This Row],[Bank Lumber]]+TblProd[[#This Row],[Bank Ore]])/2+TblProd[[#This Row],[Bank Gems]]*2+ROUNDUP(TblProd[[#This Row],[Bank Plat]]/(1 + tech_2_2*Techs!Y8),0)=0,"Ok","Nope"),IF(TblProd[[#This Row],[Bank Lumber]]&gt;0,IF((TblProd[[#This Row],[Bank Plat]]+TblProd[[#This Row],[Bank Ore]])/2+TblProd[[#This Row],[Bank Gems]]*2+ROUNDUP(TblProd[[#This Row],[Bank Lumber]]/(1 + tech_2_2*Techs!Y8),0)=0,"Ok","Nope"),IF(TblProd[[#This Row],[Bank Ore]]&gt;0,IF((TblProd[[#This Row],[Bank Plat]]+TblProd[[#This Row],[Bank Lumber]])/2+TblProd[[#This Row],[Bank Gems]]*2+ROUNDUP(TblProd[[#This Row],[Bank Ore]]/(1 + tech_2_2*Techs!Y8),0)=0,"Ok","Nope")))))</f>
        <v/>
      </c>
      <c r="BI8" s="94">
        <f ca="1">TblProd[[#This Row],[Platinum]]</f>
        <v>55209</v>
      </c>
      <c r="BJ8" s="94">
        <f ca="1">TblProd[[#This Row],[Food]]</f>
        <v>23944</v>
      </c>
      <c r="BK8" s="94">
        <f ca="1">TblProd[[#This Row],[Lumber]]</f>
        <v>18350</v>
      </c>
      <c r="BL8" s="94">
        <f ca="1">TblProd[[#This Row],[Mana]]</f>
        <v>0</v>
      </c>
      <c r="BM8" s="94">
        <f ca="1">TblProd[[#This Row],[Ore]]</f>
        <v>0</v>
      </c>
    </row>
    <row r="9" spans="1:65" hidden="1" x14ac:dyDescent="0.2">
      <c r="A9" s="137">
        <v>6</v>
      </c>
      <c r="B9" s="152">
        <f ca="1">TblImps[[#This Row],[Time]]</f>
        <v>46047.208333333321</v>
      </c>
      <c r="C9" s="61"/>
      <c r="D9" s="154"/>
      <c r="E9" s="94">
        <f ca="1">TblConstr[[#This Row],[Land]]</f>
        <v>50</v>
      </c>
      <c r="F9" s="94">
        <f ca="1">TblPop[[#This Row],[Peasants]]</f>
        <v>516</v>
      </c>
      <c r="G9" s="94">
        <f ca="1">TblMili[[#This Row],[Networth (2)]]</f>
        <v>1250</v>
      </c>
      <c r="H9" s="94">
        <f ca="1">OFFSET(TblProd[[#This Row],[Platinum]],-1,0)+OFFSET(TblProd[[#This Row],[Plat/hr]],-1,0) - TblProd[[#This Row],[Expenses Platinum]] + IF(TblProd[[#This Row],[Plat Bonus]],TblPop[[#This Row],[Peasants]]*4) + SUM(TblConstr[[#This Row],[Dest Hom]:[Dest Doc]])*TblConstr[[#This Row],[CPA Platinum -DB]]*tech_3_3_2*TblTech[[#This Row],[3-3]]</f>
        <v>56575</v>
      </c>
      <c r="I9" s="94">
        <f ca="1">OFFSET(TblProd[[#This Row],[Food]],-1,0)+OFFSET(TblProd[[#This Row],[Food/hr]],-1,0)+ROUNDUP((TblConstr[[#This Row],[Farms]]*80+TblConstr[[#This Row],[Docks]]*35)*(1+OFFSET(TblProd[[#This Row],[Bonus Food/hr]],-1,0)),0)</f>
        <v>26116</v>
      </c>
      <c r="J9" s="94">
        <f ca="1">OFFSET(TblProd[[#This Row],[Lumber]],-1,0)+OFFSET(TblProd[[#This Row],[Lumber/hr]],-1,0) - TblProd[[#This Row],[Expenses Lumber]] + SUM(TblConstr[[#This Row],[Dest Hom]:[Dest Doc]])*TblConstr[[#This Row],[CPA Lumber -DB]]*tech_3_3_2*TblTech[[#This Row],[3-3]]</f>
        <v>19167</v>
      </c>
      <c r="K9" s="94">
        <f ca="1">OFFSET(TblProd[[#This Row],[Mana]],-1,0)+OFFSET(TblProd[[#This Row],[Mana/hr]],-1,0)- TblProd[[#This Row],[Expenses Mana]]</f>
        <v>0</v>
      </c>
      <c r="L9" s="94">
        <f ca="1">OFFSET(TblProd[[#This Row],[Ore]],-1,0)+OFFSET(TblProd[[#This Row],[Ore/hr]],-1,0) -TblProd[[#This Row],[Expenses Ore]]</f>
        <v>0</v>
      </c>
      <c r="M9" s="94">
        <f ca="1">OFFSET(TblProd[[#This Row],[Gems]],-1,0)+OFFSET(TblProd[[#This Row],[Gems/hr]],-1,0) - TblProd[[#This Row],[Expenses Gems]]</f>
        <v>0</v>
      </c>
      <c r="N9" s="94">
        <f ca="1">OFFSET(TblProd[[#This Row],[Boats]],-1,0)+OFFSET(TblProd[[#This Row],[Boats/hr]],-1,0)</f>
        <v>0</v>
      </c>
      <c r="O9" s="94">
        <f ca="1">OFFSET(TblProd[[#This Row],[Prestige]],-1,0)</f>
        <v>250</v>
      </c>
      <c r="P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 s="94">
        <f ca="1">MAX(_xlfn.CEILING.MATH(TblProd[[#This Row],[Land]]*2.5+IFERROR(OFFSET(TblTech[[#This Row],[Sum of tech]],-1,0)*50,0)),3750)</f>
        <v>3750</v>
      </c>
      <c r="R9" s="142"/>
      <c r="S9" s="94">
        <f ca="1">ROUNDDOWN(TblProd[[#This Row],[Raw Plat/hr]]*(1+TblProd[[#This Row],[Bonus Plat/hr]]),0)</f>
        <v>1393</v>
      </c>
      <c r="T9" s="94">
        <f ca="1">ROUND(TblProd[[#This Row],[Raw Food/hr]]*(1+TblProd[[#This Row],[Bonus Food/hr]])-TblProd[[#This Row],[Food decay]]-TblProd[[#This Row],[Food eaten]],0)</f>
        <v>2146</v>
      </c>
      <c r="U9" s="94">
        <f ca="1">ROUND(TblProd[[#This Row],[Raw Lumber/hr]]*(1+TblProd[[#This Row],[Bonus Lumber/hr]])-TblProd[[#This Row],[Lumber rot]],0)</f>
        <v>808</v>
      </c>
      <c r="V9" s="94">
        <f ca="1">ROUND(TblProd[[#This Row],[Raw Mana/hr]]*(1+TblProd[[#This Row],[Bonus Mana/hr]])-TblProd[[#This Row],[Mana drain]],0)</f>
        <v>0</v>
      </c>
      <c r="W9" s="94">
        <f ca="1">ROUNDDOWN(TblProd[[#This Row],[Raw Ore/hr]]*(1+TblProd[[#This Row],[Bonux Ore/hr]]),0)</f>
        <v>0</v>
      </c>
      <c r="X9" s="94">
        <f ca="1">ROUNDDOWN(TblProd[[#This Row],[Raw Gems/hr]]*(1+TblProd[[#This Row],[Bonus Gems/hr]]),0)</f>
        <v>0</v>
      </c>
      <c r="Y9" s="155">
        <f ca="1">OFFSET(TblConstr[[#This Row],[Tot Doc]],1,0)*dock_boats_hr * (1 + tech_4_1*TblTech[[#This Row],[4-1]])</f>
        <v>0</v>
      </c>
      <c r="Z9" s="154"/>
      <c r="AA9" s="94">
        <f ca="1">TblPop[[#This Row],[Peasants]]*tax*TblPop[[#This Row],[Employment]] + (Construction!AZ10+Construction!BX10)*(alch_plat+(Magic!AN9&gt;0)*alchemist_flame_bonus)</f>
        <v>1393.2</v>
      </c>
      <c r="AB9" s="94">
        <f ca="1">TblConstr[[#This Row],[Tot Farm]]*farm_food + TblConstr[[#This Row],[Tot Doc]]*dock_food</f>
        <v>2400</v>
      </c>
      <c r="AC9" s="94">
        <f ca="1">TblConstr[[#This Row],[Tot Ly]]*ly_lumber + TblConstr[[#This Row],[Tot Hav]]*fh_lumber + IF(race="Wood Elf",TblMili[[#This Row],[Unit 2]]*MIN(TblMili[[#This Row],[Homeland%]]/wisp_bonus,wisp_cap),0)</f>
        <v>1000</v>
      </c>
      <c r="AD9" s="94">
        <f ca="1">OFFSET(TblConstr[[#This Row],[Tot Tow]],1,0)*(tower_mana + tech_4_5*TblTech[[#This Row],[4-5]]) + OFFSET(TblConstr[[#This Row],[Tot WG]],1,0)*wg_mana_prod</f>
        <v>0</v>
      </c>
      <c r="AE9" s="94">
        <f ca="1">OFFSET(TblConstr[[#This Row],[Tot OM]],1,0)*om_ore+IF(race="Dwarf",TblMili[[#This Row],[Unit 2]]*0.5,0)</f>
        <v>0</v>
      </c>
      <c r="AF9" s="94">
        <f ca="1">OFFSET(TblConstr[[#This Row],[Tot DM]],1,0)*dm_gems</f>
        <v>0</v>
      </c>
      <c r="AG9" s="142"/>
      <c r="AH9" s="156">
        <f ca="1">MIN(race_platinum_bonus + IF(TblMagic[[#This Row],[Active Alch Frost]]&gt;0,alch_frost_bonus,IF(Magic!AE9&gt;0,midas_bonus)) + TblImps[[#This Row],[Science]] - TblProd[[#This Row],[Guard]]*(0.02 + tech_5_7*TblTech[[#This Row],[5-7]]) + tech_1_5*TblTech[[#This Row],[1-5]] + tech_4_4*TblTech[[#This Row],[4-4]] + IF(TblMagic[[#This Row],[Active Infernal Command]]&gt;0,demonic_pact_plat,0), 0.5)</f>
        <v>0</v>
      </c>
      <c r="AI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 s="156">
        <f ca="1">race_lumber_bonus+ IF(TblMagic[[#This Row],[Active Gaia''s Blessing]]&gt;0,gaias_blessing_lumber)+ tech_1_3*TblTech[[#This Row],[1-3]] + tech_1_6*TblTech[[#This Row],[1-6]] + tech_3_3*TblTech[[#This Row],[3-3]]</f>
        <v>0</v>
      </c>
      <c r="AK9" s="156">
        <f ca="1">race_mana_bonus+ 0 + TblImps[[#This Row],[Spires]] + tech_1_2*TblTech[[#This Row],[1-2]] + tech_3_4*TblTech[[#This Row],[3-4]]</f>
        <v>0</v>
      </c>
      <c r="AL9" s="156">
        <f ca="1">race_ore_bonus + IF(TblMagic[[#This Row],[Active Miner''s Sight]]&gt;0,miners_sight_bonus,IF(TblMagic[[#This Row],[Active Mining Strength]]&gt;0,mining_strength_bonus)) +  tech_1_6*TblTech[[#This Row],[1-6]]</f>
        <v>0</v>
      </c>
      <c r="AM9" s="156">
        <f>race_gem_bonus+ tech_3_2*TblTech[[#This Row],[3-2]] + tech_4_3*TblTech[[#This Row],[4-3]] + tech_6_2*TblTech[[#This Row],[6-2]]</f>
        <v>0</v>
      </c>
      <c r="AN9" s="142"/>
      <c r="AO9" s="94">
        <f ca="1">TblProd[[#This Row],[Food]]*food_decay * (1 + tech_2_1*TblTech[[#This Row],[2-1]] + tech_2_8*TblTech[[#This Row],[2-8]] + IF(AND(TblMagic[[#This Row],[Active DnD]]&lt;12,TblMagic[[#This Row],[Active DnD]]&gt;5),1,0))</f>
        <v>261.16000000000003</v>
      </c>
      <c r="AP9" s="94">
        <f ca="1">(1+race_food_consumption)*TblPop[[#This Row],[Total]]*food_per_person*(1+tech_1_10*TblTech[[#This Row],[1-10]]+tech_7_5*TblTech[[#This Row],[7-5]] + IF(TblMagic[[#This Row],[Active Infernal Command]]&gt;0,demonic_pact_food_cons,0))</f>
        <v>172.75</v>
      </c>
      <c r="AQ9" s="94">
        <f ca="1">TblProd[[#This Row],[Lumber]]*lumber_rot * (1 + tech_2_1*TblTech[[#This Row],[2-1]] + tech_2_8*TblTech[[#This Row],[2-8]] + tech_5_2*TblTech[[#This Row],[5-2]] + IF(AND(TblMagic[[#This Row],[Active DnD]]&lt;12,TblMagic[[#This Row],[Active DnD]]&gt;5),1,0))</f>
        <v>191.67000000000002</v>
      </c>
      <c r="AR9" s="94">
        <f ca="1">TblProd[[#This Row],[Mana]]*mana_drain * (1 + tech_2_1*TblTech[[#This Row],[2-1]] + tech_2_8*TblTech[[#This Row],[2-8]])</f>
        <v>0</v>
      </c>
      <c r="AS9" s="154"/>
      <c r="AT9" s="94">
        <f ca="1">TblExplore[[#This Row],[Platinum (2)]]+TblConstr[[#This Row],[Total Plat Cost]]+TblMili[[#This Row],[Plat Cost]]+TblRezone[[#This Row],[Platinum cost]]+TblImps[[#This Row],[P1]]-TblProd[[#This Row],[Bank Plat]]</f>
        <v>0</v>
      </c>
      <c r="AU9" s="94">
        <f ca="1">TblConstr[[#This Row],[Total Lum Cost]]+TblImps[[#This Row],[L1]]-TblProd[[#This Row],[Bank Lumber]] + Military!$CO$25*TblMili[[#This Row],[Sec. rec. Cost]]</f>
        <v>0</v>
      </c>
      <c r="AV9" s="94">
        <f ca="1">TblMagic[[#This Row],[Mana cost]] + Military!$CO$26*TblMili[[#This Row],[Sec. rec. Cost]]</f>
        <v>0</v>
      </c>
      <c r="AW9" s="94">
        <f ca="1">Military!$CO$24*TblMili[[#This Row],[Sec. rec. Cost]]+TblImps[[#This Row],[O1]]-TblProd[[#This Row],[Bank Ore]]</f>
        <v>0</v>
      </c>
      <c r="AX9" s="94">
        <f>TblImps[[#This Row],[G1]]-TblProd[[#This Row],[Bank Gems]]</f>
        <v>0</v>
      </c>
      <c r="AY9" s="142"/>
      <c r="AZ9" s="61" t="b">
        <f ca="1">IF(TblProd[[#This Row],[Set Guard]]&lt;&gt;"",TblProd[[#This Row],[Set Guard]],OFFSET(TblProd[[#This Row],[Guard]],-1,0))</f>
        <v>0</v>
      </c>
      <c r="BA9" s="61"/>
      <c r="BB9" s="45">
        <f>TblProd[[#This Row],[Hour]]</f>
        <v>6</v>
      </c>
      <c r="BC9" s="94">
        <f>-TblProd[[#This Row],[Bank Lumber]] / 2 + -TblProd[[#This Row],[Bank Gems]] * 2 + -TblProd[[#This Row],[Bank Ore]] / 2</f>
        <v>0</v>
      </c>
      <c r="BD9" s="94"/>
      <c r="BE9" s="94"/>
      <c r="BF9" s="94"/>
      <c r="BG9" s="159">
        <f ca="1">TblProd[[#This Row],[Time]]</f>
        <v>46047.208333333321</v>
      </c>
      <c r="BH9" s="45" t="str">
        <f>IF(AND(TblProd[[#This Row],[Bank Plat]]=0,TblProd[[#This Row],[Bank Lumber]]=0,TblProd[[#This Row],[Bank Ore]]=0,TblProd[[#This Row],[Bank Gems]]=0),"",IF(TblProd[[#This Row],[Bank Plat]]&gt;0,IF((TblProd[[#This Row],[Bank Lumber]]+TblProd[[#This Row],[Bank Ore]])/2+TblProd[[#This Row],[Bank Gems]]*2+ROUNDUP(TblProd[[#This Row],[Bank Plat]]/(1 + tech_2_2*Techs!Y9),0)=0,"Ok","Nope"),IF(TblProd[[#This Row],[Bank Lumber]]&gt;0,IF((TblProd[[#This Row],[Bank Plat]]+TblProd[[#This Row],[Bank Ore]])/2+TblProd[[#This Row],[Bank Gems]]*2+ROUNDUP(TblProd[[#This Row],[Bank Lumber]]/(1 + tech_2_2*Techs!Y9),0)=0,"Ok","Nope"),IF(TblProd[[#This Row],[Bank Ore]]&gt;0,IF((TblProd[[#This Row],[Bank Plat]]+TblProd[[#This Row],[Bank Lumber]])/2+TblProd[[#This Row],[Bank Gems]]*2+ROUNDUP(TblProd[[#This Row],[Bank Ore]]/(1 + tech_2_2*Techs!Y9),0)=0,"Ok","Nope")))))</f>
        <v/>
      </c>
      <c r="BI9" s="94">
        <f ca="1">TblProd[[#This Row],[Platinum]]</f>
        <v>56575</v>
      </c>
      <c r="BJ9" s="94">
        <f ca="1">TblProd[[#This Row],[Food]]</f>
        <v>26116</v>
      </c>
      <c r="BK9" s="94">
        <f ca="1">TblProd[[#This Row],[Lumber]]</f>
        <v>19167</v>
      </c>
      <c r="BL9" s="94">
        <f ca="1">TblProd[[#This Row],[Mana]]</f>
        <v>0</v>
      </c>
      <c r="BM9" s="94">
        <f ca="1">TblProd[[#This Row],[Ore]]</f>
        <v>0</v>
      </c>
    </row>
    <row r="10" spans="1:65" hidden="1" x14ac:dyDescent="0.2">
      <c r="A10" s="137">
        <v>7</v>
      </c>
      <c r="B10" s="152">
        <f ca="1">TblImps[[#This Row],[Time]]</f>
        <v>46047.249999999985</v>
      </c>
      <c r="C10" s="61"/>
      <c r="D10" s="154"/>
      <c r="E10" s="94">
        <f ca="1">TblConstr[[#This Row],[Land]]</f>
        <v>50</v>
      </c>
      <c r="F10" s="94">
        <f ca="1">TblPop[[#This Row],[Peasants]]</f>
        <v>526</v>
      </c>
      <c r="G10" s="94">
        <f ca="1">TblMili[[#This Row],[Networth (2)]]</f>
        <v>1250</v>
      </c>
      <c r="H10" s="94">
        <f ca="1">OFFSET(TblProd[[#This Row],[Platinum]],-1,0)+OFFSET(TblProd[[#This Row],[Plat/hr]],-1,0) - TblProd[[#This Row],[Expenses Platinum]] + IF(TblProd[[#This Row],[Plat Bonus]],TblPop[[#This Row],[Peasants]]*4) + SUM(TblConstr[[#This Row],[Dest Hom]:[Dest Doc]])*TblConstr[[#This Row],[CPA Platinum -DB]]*tech_3_3_2*TblTech[[#This Row],[3-3]]</f>
        <v>57968</v>
      </c>
      <c r="I10" s="94">
        <f ca="1">OFFSET(TblProd[[#This Row],[Food]],-1,0)+OFFSET(TblProd[[#This Row],[Food/hr]],-1,0)+ROUNDUP((TblConstr[[#This Row],[Farms]]*80+TblConstr[[#This Row],[Docks]]*35)*(1+OFFSET(TblProd[[#This Row],[Bonus Food/hr]],-1,0)),0)</f>
        <v>28262</v>
      </c>
      <c r="J10" s="94">
        <f ca="1">OFFSET(TblProd[[#This Row],[Lumber]],-1,0)+OFFSET(TblProd[[#This Row],[Lumber/hr]],-1,0) - TblProd[[#This Row],[Expenses Lumber]] + SUM(TblConstr[[#This Row],[Dest Hom]:[Dest Doc]])*TblConstr[[#This Row],[CPA Lumber -DB]]*tech_3_3_2*TblTech[[#This Row],[3-3]]</f>
        <v>19975</v>
      </c>
      <c r="K10" s="94">
        <f ca="1">OFFSET(TblProd[[#This Row],[Mana]],-1,0)+OFFSET(TblProd[[#This Row],[Mana/hr]],-1,0)- TblProd[[#This Row],[Expenses Mana]]</f>
        <v>0</v>
      </c>
      <c r="L10" s="94">
        <f ca="1">OFFSET(TblProd[[#This Row],[Ore]],-1,0)+OFFSET(TblProd[[#This Row],[Ore/hr]],-1,0) -TblProd[[#This Row],[Expenses Ore]]</f>
        <v>0</v>
      </c>
      <c r="M10" s="94">
        <f ca="1">OFFSET(TblProd[[#This Row],[Gems]],-1,0)+OFFSET(TblProd[[#This Row],[Gems/hr]],-1,0) - TblProd[[#This Row],[Expenses Gems]]</f>
        <v>0</v>
      </c>
      <c r="N10" s="94">
        <f ca="1">OFFSET(TblProd[[#This Row],[Boats]],-1,0)+OFFSET(TblProd[[#This Row],[Boats/hr]],-1,0)</f>
        <v>0</v>
      </c>
      <c r="O10" s="94">
        <f ca="1">OFFSET(TblProd[[#This Row],[Prestige]],-1,0)</f>
        <v>250</v>
      </c>
      <c r="P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 s="94">
        <f ca="1">MAX(_xlfn.CEILING.MATH(TblProd[[#This Row],[Land]]*2.5+IFERROR(OFFSET(TblTech[[#This Row],[Sum of tech]],-1,0)*50,0)),3750)</f>
        <v>3750</v>
      </c>
      <c r="R10" s="142"/>
      <c r="S10" s="94">
        <f ca="1">ROUNDDOWN(TblProd[[#This Row],[Raw Plat/hr]]*(1+TblProd[[#This Row],[Bonus Plat/hr]]),0)</f>
        <v>1420</v>
      </c>
      <c r="T10" s="94">
        <f ca="1">ROUND(TblProd[[#This Row],[Raw Food/hr]]*(1+TblProd[[#This Row],[Bonus Food/hr]])-TblProd[[#This Row],[Food decay]]-TblProd[[#This Row],[Food eaten]],0)</f>
        <v>2121</v>
      </c>
      <c r="U10" s="94">
        <f ca="1">ROUND(TblProd[[#This Row],[Raw Lumber/hr]]*(1+TblProd[[#This Row],[Bonus Lumber/hr]])-TblProd[[#This Row],[Lumber rot]],0)</f>
        <v>800</v>
      </c>
      <c r="V10" s="94">
        <f ca="1">ROUND(TblProd[[#This Row],[Raw Mana/hr]]*(1+TblProd[[#This Row],[Bonus Mana/hr]])-TblProd[[#This Row],[Mana drain]],0)</f>
        <v>0</v>
      </c>
      <c r="W10" s="94">
        <f ca="1">ROUNDDOWN(TblProd[[#This Row],[Raw Ore/hr]]*(1+TblProd[[#This Row],[Bonux Ore/hr]]),0)</f>
        <v>0</v>
      </c>
      <c r="X10" s="94">
        <f ca="1">ROUNDDOWN(TblProd[[#This Row],[Raw Gems/hr]]*(1+TblProd[[#This Row],[Bonus Gems/hr]]),0)</f>
        <v>0</v>
      </c>
      <c r="Y10" s="155">
        <f ca="1">OFFSET(TblConstr[[#This Row],[Tot Doc]],1,0)*dock_boats_hr * (1 + tech_4_1*TblTech[[#This Row],[4-1]])</f>
        <v>0</v>
      </c>
      <c r="Z10" s="154"/>
      <c r="AA10" s="94">
        <f ca="1">TblPop[[#This Row],[Peasants]]*tax*TblPop[[#This Row],[Employment]] + (Construction!AZ11+Construction!BX11)*(alch_plat+(Magic!AN10&gt;0)*alchemist_flame_bonus)</f>
        <v>1420.2</v>
      </c>
      <c r="AB10" s="94">
        <f ca="1">TblConstr[[#This Row],[Tot Farm]]*farm_food + TblConstr[[#This Row],[Tot Doc]]*dock_food</f>
        <v>2400</v>
      </c>
      <c r="AC10" s="94">
        <f ca="1">TblConstr[[#This Row],[Tot Ly]]*ly_lumber + TblConstr[[#This Row],[Tot Hav]]*fh_lumber + IF(race="Wood Elf",TblMili[[#This Row],[Unit 2]]*MIN(TblMili[[#This Row],[Homeland%]]/wisp_bonus,wisp_cap),0)</f>
        <v>1000</v>
      </c>
      <c r="AD10" s="94">
        <f ca="1">OFFSET(TblConstr[[#This Row],[Tot Tow]],1,0)*(tower_mana + tech_4_5*TblTech[[#This Row],[4-5]]) + OFFSET(TblConstr[[#This Row],[Tot WG]],1,0)*wg_mana_prod</f>
        <v>0</v>
      </c>
      <c r="AE10" s="94">
        <f ca="1">OFFSET(TblConstr[[#This Row],[Tot OM]],1,0)*om_ore+IF(race="Dwarf",TblMili[[#This Row],[Unit 2]]*0.5,0)</f>
        <v>0</v>
      </c>
      <c r="AF10" s="94">
        <f ca="1">OFFSET(TblConstr[[#This Row],[Tot DM]],1,0)*dm_gems</f>
        <v>0</v>
      </c>
      <c r="AG10" s="142"/>
      <c r="AH10" s="156">
        <f ca="1">MIN(race_platinum_bonus + IF(TblMagic[[#This Row],[Active Alch Frost]]&gt;0,alch_frost_bonus,IF(Magic!AE10&gt;0,midas_bonus)) + TblImps[[#This Row],[Science]] - TblProd[[#This Row],[Guard]]*(0.02 + tech_5_7*TblTech[[#This Row],[5-7]]) + tech_1_5*TblTech[[#This Row],[1-5]] + tech_4_4*TblTech[[#This Row],[4-4]] + IF(TblMagic[[#This Row],[Active Infernal Command]]&gt;0,demonic_pact_plat,0), 0.5)</f>
        <v>0</v>
      </c>
      <c r="AI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 s="156">
        <f ca="1">race_lumber_bonus+ IF(TblMagic[[#This Row],[Active Gaia''s Blessing]]&gt;0,gaias_blessing_lumber)+ tech_1_3*TblTech[[#This Row],[1-3]] + tech_1_6*TblTech[[#This Row],[1-6]] + tech_3_3*TblTech[[#This Row],[3-3]]</f>
        <v>0</v>
      </c>
      <c r="AK10" s="156">
        <f ca="1">race_mana_bonus+ 0 + TblImps[[#This Row],[Spires]] + tech_1_2*TblTech[[#This Row],[1-2]] + tech_3_4*TblTech[[#This Row],[3-4]]</f>
        <v>0</v>
      </c>
      <c r="AL10" s="156">
        <f ca="1">race_ore_bonus + IF(TblMagic[[#This Row],[Active Miner''s Sight]]&gt;0,miners_sight_bonus,IF(TblMagic[[#This Row],[Active Mining Strength]]&gt;0,mining_strength_bonus)) +  tech_1_6*TblTech[[#This Row],[1-6]]</f>
        <v>0</v>
      </c>
      <c r="AM10" s="156">
        <f>race_gem_bonus+ tech_3_2*TblTech[[#This Row],[3-2]] + tech_4_3*TblTech[[#This Row],[4-3]] + tech_6_2*TblTech[[#This Row],[6-2]]</f>
        <v>0</v>
      </c>
      <c r="AN10" s="142"/>
      <c r="AO10" s="94">
        <f ca="1">TblProd[[#This Row],[Food]]*food_decay * (1 + tech_2_1*TblTech[[#This Row],[2-1]] + tech_2_8*TblTech[[#This Row],[2-8]] + IF(AND(TblMagic[[#This Row],[Active DnD]]&lt;12,TblMagic[[#This Row],[Active DnD]]&gt;5),1,0))</f>
        <v>282.62</v>
      </c>
      <c r="AP10" s="94">
        <f ca="1">(1+race_food_consumption)*TblPop[[#This Row],[Total]]*food_per_person*(1+tech_1_10*TblTech[[#This Row],[1-10]]+tech_7_5*TblTech[[#This Row],[7-5]] + IF(TblMagic[[#This Row],[Active Infernal Command]]&gt;0,demonic_pact_food_cons,0))</f>
        <v>176.5</v>
      </c>
      <c r="AQ10" s="94">
        <f ca="1">TblProd[[#This Row],[Lumber]]*lumber_rot * (1 + tech_2_1*TblTech[[#This Row],[2-1]] + tech_2_8*TblTech[[#This Row],[2-8]] + tech_5_2*TblTech[[#This Row],[5-2]] + IF(AND(TblMagic[[#This Row],[Active DnD]]&lt;12,TblMagic[[#This Row],[Active DnD]]&gt;5),1,0))</f>
        <v>199.75</v>
      </c>
      <c r="AR10" s="94">
        <f ca="1">TblProd[[#This Row],[Mana]]*mana_drain * (1 + tech_2_1*TblTech[[#This Row],[2-1]] + tech_2_8*TblTech[[#This Row],[2-8]])</f>
        <v>0</v>
      </c>
      <c r="AS10" s="154"/>
      <c r="AT10" s="94">
        <f ca="1">TblExplore[[#This Row],[Platinum (2)]]+TblConstr[[#This Row],[Total Plat Cost]]+TblMili[[#This Row],[Plat Cost]]+TblRezone[[#This Row],[Platinum cost]]+TblImps[[#This Row],[P1]]-TblProd[[#This Row],[Bank Plat]]</f>
        <v>0</v>
      </c>
      <c r="AU10" s="94">
        <f ca="1">TblConstr[[#This Row],[Total Lum Cost]]+TblImps[[#This Row],[L1]]-TblProd[[#This Row],[Bank Lumber]] + Military!$CO$25*TblMili[[#This Row],[Sec. rec. Cost]]</f>
        <v>0</v>
      </c>
      <c r="AV10" s="94">
        <f ca="1">TblMagic[[#This Row],[Mana cost]] + Military!$CO$26*TblMili[[#This Row],[Sec. rec. Cost]]</f>
        <v>0</v>
      </c>
      <c r="AW10" s="94">
        <f ca="1">Military!$CO$24*TblMili[[#This Row],[Sec. rec. Cost]]+TblImps[[#This Row],[O1]]-TblProd[[#This Row],[Bank Ore]]</f>
        <v>0</v>
      </c>
      <c r="AX10" s="94">
        <f>TblImps[[#This Row],[G1]]-TblProd[[#This Row],[Bank Gems]]</f>
        <v>0</v>
      </c>
      <c r="AY10" s="142"/>
      <c r="AZ10" s="61" t="b">
        <f ca="1">IF(TblProd[[#This Row],[Set Guard]]&lt;&gt;"",TblProd[[#This Row],[Set Guard]],OFFSET(TblProd[[#This Row],[Guard]],-1,0))</f>
        <v>0</v>
      </c>
      <c r="BA10" s="61"/>
      <c r="BB10" s="45">
        <f>TblProd[[#This Row],[Hour]]</f>
        <v>7</v>
      </c>
      <c r="BC10" s="94">
        <f>-TblProd[[#This Row],[Bank Lumber]] / 2 + -TblProd[[#This Row],[Bank Gems]] * 2 + -TblProd[[#This Row],[Bank Ore]] / 2</f>
        <v>0</v>
      </c>
      <c r="BD10" s="94"/>
      <c r="BE10" s="94"/>
      <c r="BF10" s="94"/>
      <c r="BG10" s="159">
        <f ca="1">TblProd[[#This Row],[Time]]</f>
        <v>46047.249999999985</v>
      </c>
      <c r="BH10" s="45" t="str">
        <f>IF(AND(TblProd[[#This Row],[Bank Plat]]=0,TblProd[[#This Row],[Bank Lumber]]=0,TblProd[[#This Row],[Bank Ore]]=0,TblProd[[#This Row],[Bank Gems]]=0),"",IF(TblProd[[#This Row],[Bank Plat]]&gt;0,IF((TblProd[[#This Row],[Bank Lumber]]+TblProd[[#This Row],[Bank Ore]])/2+TblProd[[#This Row],[Bank Gems]]*2+ROUNDUP(TblProd[[#This Row],[Bank Plat]]/(1 + tech_2_2*Techs!Y10),0)=0,"Ok","Nope"),IF(TblProd[[#This Row],[Bank Lumber]]&gt;0,IF((TblProd[[#This Row],[Bank Plat]]+TblProd[[#This Row],[Bank Ore]])/2+TblProd[[#This Row],[Bank Gems]]*2+ROUNDUP(TblProd[[#This Row],[Bank Lumber]]/(1 + tech_2_2*Techs!Y10),0)=0,"Ok","Nope"),IF(TblProd[[#This Row],[Bank Ore]]&gt;0,IF((TblProd[[#This Row],[Bank Plat]]+TblProd[[#This Row],[Bank Lumber]])/2+TblProd[[#This Row],[Bank Gems]]*2+ROUNDUP(TblProd[[#This Row],[Bank Ore]]/(1 + tech_2_2*Techs!Y10),0)=0,"Ok","Nope")))))</f>
        <v/>
      </c>
      <c r="BI10" s="94">
        <f ca="1">TblProd[[#This Row],[Platinum]]</f>
        <v>57968</v>
      </c>
      <c r="BJ10" s="94">
        <f ca="1">TblProd[[#This Row],[Food]]</f>
        <v>28262</v>
      </c>
      <c r="BK10" s="94">
        <f ca="1">TblProd[[#This Row],[Lumber]]</f>
        <v>19975</v>
      </c>
      <c r="BL10" s="94">
        <f ca="1">TblProd[[#This Row],[Mana]]</f>
        <v>0</v>
      </c>
      <c r="BM10" s="94">
        <f ca="1">TblProd[[#This Row],[Ore]]</f>
        <v>0</v>
      </c>
    </row>
    <row r="11" spans="1:65" hidden="1" x14ac:dyDescent="0.2">
      <c r="A11" s="137">
        <v>8</v>
      </c>
      <c r="B11" s="152">
        <f ca="1">TblImps[[#This Row],[Time]]</f>
        <v>46047.29166666665</v>
      </c>
      <c r="C11" s="61"/>
      <c r="D11" s="154"/>
      <c r="E11" s="94">
        <f ca="1">TblConstr[[#This Row],[Land]]</f>
        <v>50</v>
      </c>
      <c r="F11" s="94">
        <f ca="1">TblPop[[#This Row],[Peasants]]</f>
        <v>537</v>
      </c>
      <c r="G11" s="94">
        <f ca="1">TblMili[[#This Row],[Networth (2)]]</f>
        <v>1250</v>
      </c>
      <c r="H11" s="94">
        <f ca="1">OFFSET(TblProd[[#This Row],[Platinum]],-1,0)+OFFSET(TblProd[[#This Row],[Plat/hr]],-1,0) - TblProd[[#This Row],[Expenses Platinum]] + IF(TblProd[[#This Row],[Plat Bonus]],TblPop[[#This Row],[Peasants]]*4) + SUM(TblConstr[[#This Row],[Dest Hom]:[Dest Doc]])*TblConstr[[#This Row],[CPA Platinum -DB]]*tech_3_3_2*TblTech[[#This Row],[3-3]]</f>
        <v>59388</v>
      </c>
      <c r="I11" s="94">
        <f ca="1">OFFSET(TblProd[[#This Row],[Food]],-1,0)+OFFSET(TblProd[[#This Row],[Food/hr]],-1,0)+ROUNDUP((TblConstr[[#This Row],[Farms]]*80+TblConstr[[#This Row],[Docks]]*35)*(1+OFFSET(TblProd[[#This Row],[Bonus Food/hr]],-1,0)),0)</f>
        <v>30383</v>
      </c>
      <c r="J11" s="94">
        <f ca="1">OFFSET(TblProd[[#This Row],[Lumber]],-1,0)+OFFSET(TblProd[[#This Row],[Lumber/hr]],-1,0) - TblProd[[#This Row],[Expenses Lumber]] + SUM(TblConstr[[#This Row],[Dest Hom]:[Dest Doc]])*TblConstr[[#This Row],[CPA Lumber -DB]]*tech_3_3_2*TblTech[[#This Row],[3-3]]</f>
        <v>20775</v>
      </c>
      <c r="K11" s="94">
        <f ca="1">OFFSET(TblProd[[#This Row],[Mana]],-1,0)+OFFSET(TblProd[[#This Row],[Mana/hr]],-1,0)- TblProd[[#This Row],[Expenses Mana]]</f>
        <v>0</v>
      </c>
      <c r="L11" s="94">
        <f ca="1">OFFSET(TblProd[[#This Row],[Ore]],-1,0)+OFFSET(TblProd[[#This Row],[Ore/hr]],-1,0) -TblProd[[#This Row],[Expenses Ore]]</f>
        <v>0</v>
      </c>
      <c r="M11" s="94">
        <f ca="1">OFFSET(TblProd[[#This Row],[Gems]],-1,0)+OFFSET(TblProd[[#This Row],[Gems/hr]],-1,0) - TblProd[[#This Row],[Expenses Gems]]</f>
        <v>0</v>
      </c>
      <c r="N11" s="94">
        <f ca="1">OFFSET(TblProd[[#This Row],[Boats]],-1,0)+OFFSET(TblProd[[#This Row],[Boats/hr]],-1,0)</f>
        <v>0</v>
      </c>
      <c r="O11" s="94">
        <f ca="1">OFFSET(TblProd[[#This Row],[Prestige]],-1,0)</f>
        <v>250</v>
      </c>
      <c r="P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 s="94">
        <f ca="1">MAX(_xlfn.CEILING.MATH(TblProd[[#This Row],[Land]]*2.5+IFERROR(OFFSET(TblTech[[#This Row],[Sum of tech]],-1,0)*50,0)),3750)</f>
        <v>3750</v>
      </c>
      <c r="R11" s="142"/>
      <c r="S11" s="94">
        <f ca="1">ROUNDDOWN(TblProd[[#This Row],[Raw Plat/hr]]*(1+TblProd[[#This Row],[Bonus Plat/hr]]),0)</f>
        <v>1449</v>
      </c>
      <c r="T11" s="94">
        <f ca="1">ROUND(TblProd[[#This Row],[Raw Food/hr]]*(1+TblProd[[#This Row],[Bonus Food/hr]])-TblProd[[#This Row],[Food decay]]-TblProd[[#This Row],[Food eaten]],0)</f>
        <v>2096</v>
      </c>
      <c r="U11" s="94">
        <f ca="1">ROUND(TblProd[[#This Row],[Raw Lumber/hr]]*(1+TblProd[[#This Row],[Bonus Lumber/hr]])-TblProd[[#This Row],[Lumber rot]],0)</f>
        <v>792</v>
      </c>
      <c r="V11" s="94">
        <f ca="1">ROUND(TblProd[[#This Row],[Raw Mana/hr]]*(1+TblProd[[#This Row],[Bonus Mana/hr]])-TblProd[[#This Row],[Mana drain]],0)</f>
        <v>0</v>
      </c>
      <c r="W11" s="94">
        <f ca="1">ROUNDDOWN(TblProd[[#This Row],[Raw Ore/hr]]*(1+TblProd[[#This Row],[Bonux Ore/hr]]),0)</f>
        <v>0</v>
      </c>
      <c r="X11" s="94">
        <f ca="1">ROUNDDOWN(TblProd[[#This Row],[Raw Gems/hr]]*(1+TblProd[[#This Row],[Bonus Gems/hr]]),0)</f>
        <v>0</v>
      </c>
      <c r="Y11" s="155">
        <f ca="1">OFFSET(TblConstr[[#This Row],[Tot Doc]],1,0)*dock_boats_hr * (1 + tech_4_1*TblTech[[#This Row],[4-1]])</f>
        <v>0</v>
      </c>
      <c r="Z11" s="154"/>
      <c r="AA11" s="94">
        <f ca="1">TblPop[[#This Row],[Peasants]]*tax*TblPop[[#This Row],[Employment]] + (Construction!AZ12+Construction!BX12)*(alch_plat+(Magic!AN11&gt;0)*alchemist_flame_bonus)</f>
        <v>1449.9</v>
      </c>
      <c r="AB11" s="94">
        <f ca="1">TblConstr[[#This Row],[Tot Farm]]*farm_food + TblConstr[[#This Row],[Tot Doc]]*dock_food</f>
        <v>2400</v>
      </c>
      <c r="AC11" s="94">
        <f ca="1">TblConstr[[#This Row],[Tot Ly]]*ly_lumber + TblConstr[[#This Row],[Tot Hav]]*fh_lumber + IF(race="Wood Elf",TblMili[[#This Row],[Unit 2]]*MIN(TblMili[[#This Row],[Homeland%]]/wisp_bonus,wisp_cap),0)</f>
        <v>1000</v>
      </c>
      <c r="AD11" s="94">
        <f ca="1">OFFSET(TblConstr[[#This Row],[Tot Tow]],1,0)*(tower_mana + tech_4_5*TblTech[[#This Row],[4-5]]) + OFFSET(TblConstr[[#This Row],[Tot WG]],1,0)*wg_mana_prod</f>
        <v>0</v>
      </c>
      <c r="AE11" s="94">
        <f ca="1">OFFSET(TblConstr[[#This Row],[Tot OM]],1,0)*om_ore+IF(race="Dwarf",TblMili[[#This Row],[Unit 2]]*0.5,0)</f>
        <v>0</v>
      </c>
      <c r="AF11" s="94">
        <f ca="1">OFFSET(TblConstr[[#This Row],[Tot DM]],1,0)*dm_gems</f>
        <v>0</v>
      </c>
      <c r="AG11" s="142"/>
      <c r="AH11" s="156">
        <f ca="1">MIN(race_platinum_bonus + IF(TblMagic[[#This Row],[Active Alch Frost]]&gt;0,alch_frost_bonus,IF(Magic!AE11&gt;0,midas_bonus)) + TblImps[[#This Row],[Science]] - TblProd[[#This Row],[Guard]]*(0.02 + tech_5_7*TblTech[[#This Row],[5-7]]) + tech_1_5*TblTech[[#This Row],[1-5]] + tech_4_4*TblTech[[#This Row],[4-4]] + IF(TblMagic[[#This Row],[Active Infernal Command]]&gt;0,demonic_pact_plat,0), 0.5)</f>
        <v>0</v>
      </c>
      <c r="AI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 s="156">
        <f ca="1">race_lumber_bonus+ IF(TblMagic[[#This Row],[Active Gaia''s Blessing]]&gt;0,gaias_blessing_lumber)+ tech_1_3*TblTech[[#This Row],[1-3]] + tech_1_6*TblTech[[#This Row],[1-6]] + tech_3_3*TblTech[[#This Row],[3-3]]</f>
        <v>0</v>
      </c>
      <c r="AK11" s="156">
        <f ca="1">race_mana_bonus+ 0 + TblImps[[#This Row],[Spires]] + tech_1_2*TblTech[[#This Row],[1-2]] + tech_3_4*TblTech[[#This Row],[3-4]]</f>
        <v>0</v>
      </c>
      <c r="AL11" s="156">
        <f ca="1">race_ore_bonus + IF(TblMagic[[#This Row],[Active Miner''s Sight]]&gt;0,miners_sight_bonus,IF(TblMagic[[#This Row],[Active Mining Strength]]&gt;0,mining_strength_bonus)) +  tech_1_6*TblTech[[#This Row],[1-6]]</f>
        <v>0</v>
      </c>
      <c r="AM11" s="156">
        <f>race_gem_bonus+ tech_3_2*TblTech[[#This Row],[3-2]] + tech_4_3*TblTech[[#This Row],[4-3]] + tech_6_2*TblTech[[#This Row],[6-2]]</f>
        <v>0</v>
      </c>
      <c r="AN11" s="142"/>
      <c r="AO11" s="94">
        <f ca="1">TblProd[[#This Row],[Food]]*food_decay * (1 + tech_2_1*TblTech[[#This Row],[2-1]] + tech_2_8*TblTech[[#This Row],[2-8]] + IF(AND(TblMagic[[#This Row],[Active DnD]]&lt;12,TblMagic[[#This Row],[Active DnD]]&gt;5),1,0))</f>
        <v>303.83</v>
      </c>
      <c r="AP11" s="94">
        <f ca="1">(1+race_food_consumption)*TblPop[[#This Row],[Total]]*food_per_person*(1+tech_1_10*TblTech[[#This Row],[1-10]]+tech_7_5*TblTech[[#This Row],[7-5]] + IF(TblMagic[[#This Row],[Active Infernal Command]]&gt;0,demonic_pact_food_cons,0))</f>
        <v>180.5</v>
      </c>
      <c r="AQ11" s="94">
        <f ca="1">TblProd[[#This Row],[Lumber]]*lumber_rot * (1 + tech_2_1*TblTech[[#This Row],[2-1]] + tech_2_8*TblTech[[#This Row],[2-8]] + tech_5_2*TblTech[[#This Row],[5-2]] + IF(AND(TblMagic[[#This Row],[Active DnD]]&lt;12,TblMagic[[#This Row],[Active DnD]]&gt;5),1,0))</f>
        <v>207.75</v>
      </c>
      <c r="AR11" s="94">
        <f ca="1">TblProd[[#This Row],[Mana]]*mana_drain * (1 + tech_2_1*TblTech[[#This Row],[2-1]] + tech_2_8*TblTech[[#This Row],[2-8]])</f>
        <v>0</v>
      </c>
      <c r="AS11" s="154"/>
      <c r="AT11" s="94">
        <f ca="1">TblExplore[[#This Row],[Platinum (2)]]+TblConstr[[#This Row],[Total Plat Cost]]+TblMili[[#This Row],[Plat Cost]]+TblRezone[[#This Row],[Platinum cost]]+TblImps[[#This Row],[P1]]-TblProd[[#This Row],[Bank Plat]]</f>
        <v>0</v>
      </c>
      <c r="AU11" s="94">
        <f ca="1">TblConstr[[#This Row],[Total Lum Cost]]+TblImps[[#This Row],[L1]]-TblProd[[#This Row],[Bank Lumber]] + Military!$CO$25*TblMili[[#This Row],[Sec. rec. Cost]]</f>
        <v>0</v>
      </c>
      <c r="AV11" s="94">
        <f ca="1">TblMagic[[#This Row],[Mana cost]] + Military!$CO$26*TblMili[[#This Row],[Sec. rec. Cost]]</f>
        <v>0</v>
      </c>
      <c r="AW11" s="94">
        <f ca="1">Military!$CO$24*TblMili[[#This Row],[Sec. rec. Cost]]+TblImps[[#This Row],[O1]]-TblProd[[#This Row],[Bank Ore]]</f>
        <v>0</v>
      </c>
      <c r="AX11" s="94">
        <f>TblImps[[#This Row],[G1]]-TblProd[[#This Row],[Bank Gems]]</f>
        <v>0</v>
      </c>
      <c r="AY11" s="142"/>
      <c r="AZ11" s="61" t="b">
        <f ca="1">IF(TblProd[[#This Row],[Set Guard]]&lt;&gt;"",TblProd[[#This Row],[Set Guard]],OFFSET(TblProd[[#This Row],[Guard]],-1,0))</f>
        <v>0</v>
      </c>
      <c r="BA11" s="61"/>
      <c r="BB11" s="45">
        <f>TblProd[[#This Row],[Hour]]</f>
        <v>8</v>
      </c>
      <c r="BC11" s="94">
        <f>-TblProd[[#This Row],[Bank Lumber]] / 2 + -TblProd[[#This Row],[Bank Gems]] * 2 + -TblProd[[#This Row],[Bank Ore]] / 2</f>
        <v>0</v>
      </c>
      <c r="BD11" s="94"/>
      <c r="BE11" s="94"/>
      <c r="BF11" s="94"/>
      <c r="BG11" s="159">
        <f ca="1">TblProd[[#This Row],[Time]]</f>
        <v>46047.29166666665</v>
      </c>
      <c r="BH11" s="45" t="str">
        <f>IF(AND(TblProd[[#This Row],[Bank Plat]]=0,TblProd[[#This Row],[Bank Lumber]]=0,TblProd[[#This Row],[Bank Ore]]=0,TblProd[[#This Row],[Bank Gems]]=0),"",IF(TblProd[[#This Row],[Bank Plat]]&gt;0,IF((TblProd[[#This Row],[Bank Lumber]]+TblProd[[#This Row],[Bank Ore]])/2+TblProd[[#This Row],[Bank Gems]]*2+ROUNDUP(TblProd[[#This Row],[Bank Plat]]/(1 + tech_2_2*Techs!Y11),0)=0,"Ok","Nope"),IF(TblProd[[#This Row],[Bank Lumber]]&gt;0,IF((TblProd[[#This Row],[Bank Plat]]+TblProd[[#This Row],[Bank Ore]])/2+TblProd[[#This Row],[Bank Gems]]*2+ROUNDUP(TblProd[[#This Row],[Bank Lumber]]/(1 + tech_2_2*Techs!Y11),0)=0,"Ok","Nope"),IF(TblProd[[#This Row],[Bank Ore]]&gt;0,IF((TblProd[[#This Row],[Bank Plat]]+TblProd[[#This Row],[Bank Lumber]])/2+TblProd[[#This Row],[Bank Gems]]*2+ROUNDUP(TblProd[[#This Row],[Bank Ore]]/(1 + tech_2_2*Techs!Y11),0)=0,"Ok","Nope")))))</f>
        <v/>
      </c>
      <c r="BI11" s="94">
        <f ca="1">TblProd[[#This Row],[Platinum]]</f>
        <v>59388</v>
      </c>
      <c r="BJ11" s="94">
        <f ca="1">TblProd[[#This Row],[Food]]</f>
        <v>30383</v>
      </c>
      <c r="BK11" s="94">
        <f ca="1">TblProd[[#This Row],[Lumber]]</f>
        <v>20775</v>
      </c>
      <c r="BL11" s="94">
        <f ca="1">TblProd[[#This Row],[Mana]]</f>
        <v>0</v>
      </c>
      <c r="BM11" s="94">
        <f ca="1">TblProd[[#This Row],[Ore]]</f>
        <v>0</v>
      </c>
    </row>
    <row r="12" spans="1:65" hidden="1" x14ac:dyDescent="0.2">
      <c r="A12" s="137">
        <v>9</v>
      </c>
      <c r="B12" s="152">
        <f ca="1">TblImps[[#This Row],[Time]]</f>
        <v>46047.333333333314</v>
      </c>
      <c r="C12" s="61"/>
      <c r="D12" s="154"/>
      <c r="E12" s="94">
        <f ca="1">TblConstr[[#This Row],[Land]]</f>
        <v>50</v>
      </c>
      <c r="F12" s="94">
        <f ca="1">TblPop[[#This Row],[Peasants]]</f>
        <v>548</v>
      </c>
      <c r="G12" s="94">
        <f ca="1">TblMili[[#This Row],[Networth (2)]]</f>
        <v>1250</v>
      </c>
      <c r="H12" s="94">
        <f ca="1">OFFSET(TblProd[[#This Row],[Platinum]],-1,0)+OFFSET(TblProd[[#This Row],[Plat/hr]],-1,0) - TblProd[[#This Row],[Expenses Platinum]] + IF(TblProd[[#This Row],[Plat Bonus]],TblPop[[#This Row],[Peasants]]*4) + SUM(TblConstr[[#This Row],[Dest Hom]:[Dest Doc]])*TblConstr[[#This Row],[CPA Platinum -DB]]*tech_3_3_2*TblTech[[#This Row],[3-3]]</f>
        <v>60837</v>
      </c>
      <c r="I12" s="94">
        <f ca="1">OFFSET(TblProd[[#This Row],[Food]],-1,0)+OFFSET(TblProd[[#This Row],[Food/hr]],-1,0)+ROUNDUP((TblConstr[[#This Row],[Farms]]*80+TblConstr[[#This Row],[Docks]]*35)*(1+OFFSET(TblProd[[#This Row],[Bonus Food/hr]],-1,0)),0)</f>
        <v>32479</v>
      </c>
      <c r="J12" s="94">
        <f ca="1">OFFSET(TblProd[[#This Row],[Lumber]],-1,0)+OFFSET(TblProd[[#This Row],[Lumber/hr]],-1,0) - TblProd[[#This Row],[Expenses Lumber]] + SUM(TblConstr[[#This Row],[Dest Hom]:[Dest Doc]])*TblConstr[[#This Row],[CPA Lumber -DB]]*tech_3_3_2*TblTech[[#This Row],[3-3]]</f>
        <v>21567</v>
      </c>
      <c r="K12" s="94">
        <f ca="1">OFFSET(TblProd[[#This Row],[Mana]],-1,0)+OFFSET(TblProd[[#This Row],[Mana/hr]],-1,0)- TblProd[[#This Row],[Expenses Mana]]</f>
        <v>0</v>
      </c>
      <c r="L12" s="94">
        <f ca="1">OFFSET(TblProd[[#This Row],[Ore]],-1,0)+OFFSET(TblProd[[#This Row],[Ore/hr]],-1,0) -TblProd[[#This Row],[Expenses Ore]]</f>
        <v>0</v>
      </c>
      <c r="M12" s="94">
        <f ca="1">OFFSET(TblProd[[#This Row],[Gems]],-1,0)+OFFSET(TblProd[[#This Row],[Gems/hr]],-1,0) - TblProd[[#This Row],[Expenses Gems]]</f>
        <v>0</v>
      </c>
      <c r="N12" s="94">
        <f ca="1">OFFSET(TblProd[[#This Row],[Boats]],-1,0)+OFFSET(TblProd[[#This Row],[Boats/hr]],-1,0)</f>
        <v>0</v>
      </c>
      <c r="O12" s="94">
        <f ca="1">OFFSET(TblProd[[#This Row],[Prestige]],-1,0)</f>
        <v>250</v>
      </c>
      <c r="P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 s="94">
        <f ca="1">MAX(_xlfn.CEILING.MATH(TblProd[[#This Row],[Land]]*2.5+IFERROR(OFFSET(TblTech[[#This Row],[Sum of tech]],-1,0)*50,0)),3750)</f>
        <v>3750</v>
      </c>
      <c r="R12" s="142"/>
      <c r="S12" s="94">
        <f ca="1">ROUNDDOWN(TblProd[[#This Row],[Raw Plat/hr]]*(1+TblProd[[#This Row],[Bonus Plat/hr]]),0)</f>
        <v>1479</v>
      </c>
      <c r="T12" s="94">
        <f ca="1">ROUND(TblProd[[#This Row],[Raw Food/hr]]*(1+TblProd[[#This Row],[Bonus Food/hr]])-TblProd[[#This Row],[Food decay]]-TblProd[[#This Row],[Food eaten]],0)</f>
        <v>2071</v>
      </c>
      <c r="U12" s="94">
        <f ca="1">ROUND(TblProd[[#This Row],[Raw Lumber/hr]]*(1+TblProd[[#This Row],[Bonus Lumber/hr]])-TblProd[[#This Row],[Lumber rot]],0)</f>
        <v>784</v>
      </c>
      <c r="V12" s="94">
        <f ca="1">ROUND(TblProd[[#This Row],[Raw Mana/hr]]*(1+TblProd[[#This Row],[Bonus Mana/hr]])-TblProd[[#This Row],[Mana drain]],0)</f>
        <v>0</v>
      </c>
      <c r="W12" s="94">
        <f ca="1">ROUNDDOWN(TblProd[[#This Row],[Raw Ore/hr]]*(1+TblProd[[#This Row],[Bonux Ore/hr]]),0)</f>
        <v>0</v>
      </c>
      <c r="X12" s="94">
        <f ca="1">ROUNDDOWN(TblProd[[#This Row],[Raw Gems/hr]]*(1+TblProd[[#This Row],[Bonus Gems/hr]]),0)</f>
        <v>0</v>
      </c>
      <c r="Y12" s="155">
        <f ca="1">OFFSET(TblConstr[[#This Row],[Tot Doc]],1,0)*dock_boats_hr * (1 + tech_4_1*TblTech[[#This Row],[4-1]])</f>
        <v>0</v>
      </c>
      <c r="Z12" s="154"/>
      <c r="AA12" s="94">
        <f ca="1">TblPop[[#This Row],[Peasants]]*tax*TblPop[[#This Row],[Employment]] + (Construction!AZ13+Construction!BX13)*(alch_plat+(Magic!AN12&gt;0)*alchemist_flame_bonus)</f>
        <v>1479.6000000000001</v>
      </c>
      <c r="AB12" s="94">
        <f ca="1">TblConstr[[#This Row],[Tot Farm]]*farm_food + TblConstr[[#This Row],[Tot Doc]]*dock_food</f>
        <v>2400</v>
      </c>
      <c r="AC12" s="94">
        <f ca="1">TblConstr[[#This Row],[Tot Ly]]*ly_lumber + TblConstr[[#This Row],[Tot Hav]]*fh_lumber + IF(race="Wood Elf",TblMili[[#This Row],[Unit 2]]*MIN(TblMili[[#This Row],[Homeland%]]/wisp_bonus,wisp_cap),0)</f>
        <v>1000</v>
      </c>
      <c r="AD12" s="94">
        <f ca="1">OFFSET(TblConstr[[#This Row],[Tot Tow]],1,0)*(tower_mana + tech_4_5*TblTech[[#This Row],[4-5]]) + OFFSET(TblConstr[[#This Row],[Tot WG]],1,0)*wg_mana_prod</f>
        <v>0</v>
      </c>
      <c r="AE12" s="94">
        <f ca="1">OFFSET(TblConstr[[#This Row],[Tot OM]],1,0)*om_ore+IF(race="Dwarf",TblMili[[#This Row],[Unit 2]]*0.5,0)</f>
        <v>0</v>
      </c>
      <c r="AF12" s="94">
        <f ca="1">OFFSET(TblConstr[[#This Row],[Tot DM]],1,0)*dm_gems</f>
        <v>0</v>
      </c>
      <c r="AG12" s="142"/>
      <c r="AH12" s="156">
        <f ca="1">MIN(race_platinum_bonus + IF(TblMagic[[#This Row],[Active Alch Frost]]&gt;0,alch_frost_bonus,IF(Magic!AE12&gt;0,midas_bonus)) + TblImps[[#This Row],[Science]] - TblProd[[#This Row],[Guard]]*(0.02 + tech_5_7*TblTech[[#This Row],[5-7]]) + tech_1_5*TblTech[[#This Row],[1-5]] + tech_4_4*TblTech[[#This Row],[4-4]] + IF(TblMagic[[#This Row],[Active Infernal Command]]&gt;0,demonic_pact_plat,0), 0.5)</f>
        <v>0</v>
      </c>
      <c r="AI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 s="156">
        <f ca="1">race_lumber_bonus+ IF(TblMagic[[#This Row],[Active Gaia''s Blessing]]&gt;0,gaias_blessing_lumber)+ tech_1_3*TblTech[[#This Row],[1-3]] + tech_1_6*TblTech[[#This Row],[1-6]] + tech_3_3*TblTech[[#This Row],[3-3]]</f>
        <v>0</v>
      </c>
      <c r="AK12" s="156">
        <f ca="1">race_mana_bonus+ 0 + TblImps[[#This Row],[Spires]] + tech_1_2*TblTech[[#This Row],[1-2]] + tech_3_4*TblTech[[#This Row],[3-4]]</f>
        <v>0</v>
      </c>
      <c r="AL12" s="156">
        <f ca="1">race_ore_bonus + IF(TblMagic[[#This Row],[Active Miner''s Sight]]&gt;0,miners_sight_bonus,IF(TblMagic[[#This Row],[Active Mining Strength]]&gt;0,mining_strength_bonus)) +  tech_1_6*TblTech[[#This Row],[1-6]]</f>
        <v>0</v>
      </c>
      <c r="AM12" s="156">
        <f>race_gem_bonus+ tech_3_2*TblTech[[#This Row],[3-2]] + tech_4_3*TblTech[[#This Row],[4-3]] + tech_6_2*TblTech[[#This Row],[6-2]]</f>
        <v>0</v>
      </c>
      <c r="AN12" s="142"/>
      <c r="AO12" s="94">
        <f ca="1">TblProd[[#This Row],[Food]]*food_decay * (1 + tech_2_1*TblTech[[#This Row],[2-1]] + tech_2_8*TblTech[[#This Row],[2-8]] + IF(AND(TblMagic[[#This Row],[Active DnD]]&lt;12,TblMagic[[#This Row],[Active DnD]]&gt;5),1,0))</f>
        <v>324.79000000000002</v>
      </c>
      <c r="AP12" s="94">
        <f ca="1">(1+race_food_consumption)*TblPop[[#This Row],[Total]]*food_per_person*(1+tech_1_10*TblTech[[#This Row],[1-10]]+tech_7_5*TblTech[[#This Row],[7-5]] + IF(TblMagic[[#This Row],[Active Infernal Command]]&gt;0,demonic_pact_food_cons,0))</f>
        <v>184.5</v>
      </c>
      <c r="AQ12" s="94">
        <f ca="1">TblProd[[#This Row],[Lumber]]*lumber_rot * (1 + tech_2_1*TblTech[[#This Row],[2-1]] + tech_2_8*TblTech[[#This Row],[2-8]] + tech_5_2*TblTech[[#This Row],[5-2]] + IF(AND(TblMagic[[#This Row],[Active DnD]]&lt;12,TblMagic[[#This Row],[Active DnD]]&gt;5),1,0))</f>
        <v>215.67000000000002</v>
      </c>
      <c r="AR12" s="94">
        <f ca="1">TblProd[[#This Row],[Mana]]*mana_drain * (1 + tech_2_1*TblTech[[#This Row],[2-1]] + tech_2_8*TblTech[[#This Row],[2-8]])</f>
        <v>0</v>
      </c>
      <c r="AS12" s="154"/>
      <c r="AT12" s="94">
        <f ca="1">TblExplore[[#This Row],[Platinum (2)]]+TblConstr[[#This Row],[Total Plat Cost]]+TblMili[[#This Row],[Plat Cost]]+TblRezone[[#This Row],[Platinum cost]]+TblImps[[#This Row],[P1]]-TblProd[[#This Row],[Bank Plat]]</f>
        <v>0</v>
      </c>
      <c r="AU12" s="94">
        <f ca="1">TblConstr[[#This Row],[Total Lum Cost]]+TblImps[[#This Row],[L1]]-TblProd[[#This Row],[Bank Lumber]] + Military!$CO$25*TblMili[[#This Row],[Sec. rec. Cost]]</f>
        <v>0</v>
      </c>
      <c r="AV12" s="94">
        <f ca="1">TblMagic[[#This Row],[Mana cost]] + Military!$CO$26*TblMili[[#This Row],[Sec. rec. Cost]]</f>
        <v>0</v>
      </c>
      <c r="AW12" s="94">
        <f ca="1">Military!$CO$24*TblMili[[#This Row],[Sec. rec. Cost]]+TblImps[[#This Row],[O1]]-TblProd[[#This Row],[Bank Ore]]</f>
        <v>0</v>
      </c>
      <c r="AX12" s="94">
        <f>TblImps[[#This Row],[G1]]-TblProd[[#This Row],[Bank Gems]]</f>
        <v>0</v>
      </c>
      <c r="AY12" s="142"/>
      <c r="AZ12" s="61" t="b">
        <f ca="1">IF(TblProd[[#This Row],[Set Guard]]&lt;&gt;"",TblProd[[#This Row],[Set Guard]],OFFSET(TblProd[[#This Row],[Guard]],-1,0))</f>
        <v>0</v>
      </c>
      <c r="BA12" s="61"/>
      <c r="BB12" s="45">
        <f>TblProd[[#This Row],[Hour]]</f>
        <v>9</v>
      </c>
      <c r="BC12" s="94">
        <f>-TblProd[[#This Row],[Bank Lumber]] / 2 + -TblProd[[#This Row],[Bank Gems]] * 2 + -TblProd[[#This Row],[Bank Ore]] / 2</f>
        <v>0</v>
      </c>
      <c r="BD12" s="94"/>
      <c r="BE12" s="94"/>
      <c r="BF12" s="94"/>
      <c r="BG12" s="159">
        <f ca="1">TblProd[[#This Row],[Time]]</f>
        <v>46047.333333333314</v>
      </c>
      <c r="BH12" s="45" t="str">
        <f>IF(AND(TblProd[[#This Row],[Bank Plat]]=0,TblProd[[#This Row],[Bank Lumber]]=0,TblProd[[#This Row],[Bank Ore]]=0,TblProd[[#This Row],[Bank Gems]]=0),"",IF(TblProd[[#This Row],[Bank Plat]]&gt;0,IF((TblProd[[#This Row],[Bank Lumber]]+TblProd[[#This Row],[Bank Ore]])/2+TblProd[[#This Row],[Bank Gems]]*2+ROUNDUP(TblProd[[#This Row],[Bank Plat]]/(1 + tech_2_2*Techs!Y12),0)=0,"Ok","Nope"),IF(TblProd[[#This Row],[Bank Lumber]]&gt;0,IF((TblProd[[#This Row],[Bank Plat]]+TblProd[[#This Row],[Bank Ore]])/2+TblProd[[#This Row],[Bank Gems]]*2+ROUNDUP(TblProd[[#This Row],[Bank Lumber]]/(1 + tech_2_2*Techs!Y12),0)=0,"Ok","Nope"),IF(TblProd[[#This Row],[Bank Ore]]&gt;0,IF((TblProd[[#This Row],[Bank Plat]]+TblProd[[#This Row],[Bank Lumber]])/2+TblProd[[#This Row],[Bank Gems]]*2+ROUNDUP(TblProd[[#This Row],[Bank Ore]]/(1 + tech_2_2*Techs!Y12),0)=0,"Ok","Nope")))))</f>
        <v/>
      </c>
      <c r="BI12" s="94">
        <f ca="1">TblProd[[#This Row],[Platinum]]</f>
        <v>60837</v>
      </c>
      <c r="BJ12" s="94">
        <f ca="1">TblProd[[#This Row],[Food]]</f>
        <v>32479</v>
      </c>
      <c r="BK12" s="94">
        <f ca="1">TblProd[[#This Row],[Lumber]]</f>
        <v>21567</v>
      </c>
      <c r="BL12" s="94">
        <f ca="1">TblProd[[#This Row],[Mana]]</f>
        <v>0</v>
      </c>
      <c r="BM12" s="94">
        <f ca="1">TblProd[[#This Row],[Ore]]</f>
        <v>0</v>
      </c>
    </row>
    <row r="13" spans="1:65" hidden="1" x14ac:dyDescent="0.2">
      <c r="A13" s="137">
        <v>10</v>
      </c>
      <c r="B13" s="152">
        <f ca="1">TblImps[[#This Row],[Time]]</f>
        <v>46047.374999999978</v>
      </c>
      <c r="C13" s="61"/>
      <c r="D13" s="154"/>
      <c r="E13" s="94">
        <f ca="1">TblConstr[[#This Row],[Land]]</f>
        <v>50</v>
      </c>
      <c r="F13" s="94">
        <f ca="1">TblPop[[#This Row],[Peasants]]</f>
        <v>559</v>
      </c>
      <c r="G13" s="94">
        <f ca="1">TblMili[[#This Row],[Networth (2)]]</f>
        <v>1250</v>
      </c>
      <c r="H13" s="94">
        <f ca="1">OFFSET(TblProd[[#This Row],[Platinum]],-1,0)+OFFSET(TblProd[[#This Row],[Plat/hr]],-1,0) - TblProd[[#This Row],[Expenses Platinum]] + IF(TblProd[[#This Row],[Plat Bonus]],TblPop[[#This Row],[Peasants]]*4) + SUM(TblConstr[[#This Row],[Dest Hom]:[Dest Doc]])*TblConstr[[#This Row],[CPA Platinum -DB]]*tech_3_3_2*TblTech[[#This Row],[3-3]]</f>
        <v>62316</v>
      </c>
      <c r="I13" s="94">
        <f ca="1">OFFSET(TblProd[[#This Row],[Food]],-1,0)+OFFSET(TblProd[[#This Row],[Food/hr]],-1,0)+ROUNDUP((TblConstr[[#This Row],[Farms]]*80+TblConstr[[#This Row],[Docks]]*35)*(1+OFFSET(TblProd[[#This Row],[Bonus Food/hr]],-1,0)),0)</f>
        <v>34550</v>
      </c>
      <c r="J13" s="94">
        <f ca="1">OFFSET(TblProd[[#This Row],[Lumber]],-1,0)+OFFSET(TblProd[[#This Row],[Lumber/hr]],-1,0) - TblProd[[#This Row],[Expenses Lumber]] + SUM(TblConstr[[#This Row],[Dest Hom]:[Dest Doc]])*TblConstr[[#This Row],[CPA Lumber -DB]]*tech_3_3_2*TblTech[[#This Row],[3-3]]</f>
        <v>22351</v>
      </c>
      <c r="K13" s="94">
        <f ca="1">OFFSET(TblProd[[#This Row],[Mana]],-1,0)+OFFSET(TblProd[[#This Row],[Mana/hr]],-1,0)- TblProd[[#This Row],[Expenses Mana]]</f>
        <v>0</v>
      </c>
      <c r="L13" s="94">
        <f ca="1">OFFSET(TblProd[[#This Row],[Ore]],-1,0)+OFFSET(TblProd[[#This Row],[Ore/hr]],-1,0) -TblProd[[#This Row],[Expenses Ore]]</f>
        <v>0</v>
      </c>
      <c r="M13" s="94">
        <f ca="1">OFFSET(TblProd[[#This Row],[Gems]],-1,0)+OFFSET(TblProd[[#This Row],[Gems/hr]],-1,0) - TblProd[[#This Row],[Expenses Gems]]</f>
        <v>0</v>
      </c>
      <c r="N13" s="94">
        <f ca="1">OFFSET(TblProd[[#This Row],[Boats]],-1,0)+OFFSET(TblProd[[#This Row],[Boats/hr]],-1,0)</f>
        <v>0</v>
      </c>
      <c r="O13" s="94">
        <f ca="1">OFFSET(TblProd[[#This Row],[Prestige]],-1,0)</f>
        <v>250</v>
      </c>
      <c r="P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 s="94">
        <f ca="1">MAX(_xlfn.CEILING.MATH(TblProd[[#This Row],[Land]]*2.5+IFERROR(OFFSET(TblTech[[#This Row],[Sum of tech]],-1,0)*50,0)),3750)</f>
        <v>3750</v>
      </c>
      <c r="R13" s="142"/>
      <c r="S13" s="94">
        <f ca="1">ROUNDDOWN(TblProd[[#This Row],[Raw Plat/hr]]*(1+TblProd[[#This Row],[Bonus Plat/hr]]),0)</f>
        <v>1509</v>
      </c>
      <c r="T13" s="94">
        <f ca="1">ROUND(TblProd[[#This Row],[Raw Food/hr]]*(1+TblProd[[#This Row],[Bonus Food/hr]])-TblProd[[#This Row],[Food decay]]-TblProd[[#This Row],[Food eaten]],0)</f>
        <v>2046</v>
      </c>
      <c r="U13" s="94">
        <f ca="1">ROUND(TblProd[[#This Row],[Raw Lumber/hr]]*(1+TblProd[[#This Row],[Bonus Lumber/hr]])-TblProd[[#This Row],[Lumber rot]],0)</f>
        <v>776</v>
      </c>
      <c r="V13" s="94">
        <f ca="1">ROUND(TblProd[[#This Row],[Raw Mana/hr]]*(1+TblProd[[#This Row],[Bonus Mana/hr]])-TblProd[[#This Row],[Mana drain]],0)</f>
        <v>0</v>
      </c>
      <c r="W13" s="94">
        <f ca="1">ROUNDDOWN(TblProd[[#This Row],[Raw Ore/hr]]*(1+TblProd[[#This Row],[Bonux Ore/hr]]),0)</f>
        <v>0</v>
      </c>
      <c r="X13" s="94">
        <f ca="1">ROUNDDOWN(TblProd[[#This Row],[Raw Gems/hr]]*(1+TblProd[[#This Row],[Bonus Gems/hr]]),0)</f>
        <v>0</v>
      </c>
      <c r="Y13" s="155">
        <f ca="1">OFFSET(TblConstr[[#This Row],[Tot Doc]],1,0)*dock_boats_hr * (1 + tech_4_1*TblTech[[#This Row],[4-1]])</f>
        <v>0</v>
      </c>
      <c r="Z13" s="154"/>
      <c r="AA13" s="94">
        <f ca="1">TblPop[[#This Row],[Peasants]]*tax*TblPop[[#This Row],[Employment]] + (Construction!AZ14+Construction!BX14)*(alch_plat+(Magic!AN13&gt;0)*alchemist_flame_bonus)</f>
        <v>1509.3000000000002</v>
      </c>
      <c r="AB13" s="94">
        <f ca="1">TblConstr[[#This Row],[Tot Farm]]*farm_food + TblConstr[[#This Row],[Tot Doc]]*dock_food</f>
        <v>2400</v>
      </c>
      <c r="AC13" s="94">
        <f ca="1">TblConstr[[#This Row],[Tot Ly]]*ly_lumber + TblConstr[[#This Row],[Tot Hav]]*fh_lumber + IF(race="Wood Elf",TblMili[[#This Row],[Unit 2]]*MIN(TblMili[[#This Row],[Homeland%]]/wisp_bonus,wisp_cap),0)</f>
        <v>1000</v>
      </c>
      <c r="AD13" s="94">
        <f ca="1">OFFSET(TblConstr[[#This Row],[Tot Tow]],1,0)*(tower_mana + tech_4_5*TblTech[[#This Row],[4-5]]) + OFFSET(TblConstr[[#This Row],[Tot WG]],1,0)*wg_mana_prod</f>
        <v>0</v>
      </c>
      <c r="AE13" s="94">
        <f ca="1">OFFSET(TblConstr[[#This Row],[Tot OM]],1,0)*om_ore+IF(race="Dwarf",TblMili[[#This Row],[Unit 2]]*0.5,0)</f>
        <v>0</v>
      </c>
      <c r="AF13" s="94">
        <f ca="1">OFFSET(TblConstr[[#This Row],[Tot DM]],1,0)*dm_gems</f>
        <v>0</v>
      </c>
      <c r="AG13" s="142"/>
      <c r="AH13" s="156">
        <f ca="1">MIN(race_platinum_bonus + IF(TblMagic[[#This Row],[Active Alch Frost]]&gt;0,alch_frost_bonus,IF(Magic!AE13&gt;0,midas_bonus)) + TblImps[[#This Row],[Science]] - TblProd[[#This Row],[Guard]]*(0.02 + tech_5_7*TblTech[[#This Row],[5-7]]) + tech_1_5*TblTech[[#This Row],[1-5]] + tech_4_4*TblTech[[#This Row],[4-4]] + IF(TblMagic[[#This Row],[Active Infernal Command]]&gt;0,demonic_pact_plat,0), 0.5)</f>
        <v>0</v>
      </c>
      <c r="AI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 s="156">
        <f ca="1">race_lumber_bonus+ IF(TblMagic[[#This Row],[Active Gaia''s Blessing]]&gt;0,gaias_blessing_lumber)+ tech_1_3*TblTech[[#This Row],[1-3]] + tech_1_6*TblTech[[#This Row],[1-6]] + tech_3_3*TblTech[[#This Row],[3-3]]</f>
        <v>0</v>
      </c>
      <c r="AK13" s="156">
        <f ca="1">race_mana_bonus+ 0 + TblImps[[#This Row],[Spires]] + tech_1_2*TblTech[[#This Row],[1-2]] + tech_3_4*TblTech[[#This Row],[3-4]]</f>
        <v>0</v>
      </c>
      <c r="AL13" s="156">
        <f ca="1">race_ore_bonus + IF(TblMagic[[#This Row],[Active Miner''s Sight]]&gt;0,miners_sight_bonus,IF(TblMagic[[#This Row],[Active Mining Strength]]&gt;0,mining_strength_bonus)) +  tech_1_6*TblTech[[#This Row],[1-6]]</f>
        <v>0</v>
      </c>
      <c r="AM13" s="156">
        <f>race_gem_bonus+ tech_3_2*TblTech[[#This Row],[3-2]] + tech_4_3*TblTech[[#This Row],[4-3]] + tech_6_2*TblTech[[#This Row],[6-2]]</f>
        <v>0</v>
      </c>
      <c r="AN13" s="142"/>
      <c r="AO13" s="94">
        <f ca="1">TblProd[[#This Row],[Food]]*food_decay * (1 + tech_2_1*TblTech[[#This Row],[2-1]] + tech_2_8*TblTech[[#This Row],[2-8]] + IF(AND(TblMagic[[#This Row],[Active DnD]]&lt;12,TblMagic[[#This Row],[Active DnD]]&gt;5),1,0))</f>
        <v>345.5</v>
      </c>
      <c r="AP13" s="94">
        <f ca="1">(1+race_food_consumption)*TblPop[[#This Row],[Total]]*food_per_person*(1+tech_1_10*TblTech[[#This Row],[1-10]]+tech_7_5*TblTech[[#This Row],[7-5]] + IF(TblMagic[[#This Row],[Active Infernal Command]]&gt;0,demonic_pact_food_cons,0))</f>
        <v>188.5</v>
      </c>
      <c r="AQ13" s="94">
        <f ca="1">TblProd[[#This Row],[Lumber]]*lumber_rot * (1 + tech_2_1*TblTech[[#This Row],[2-1]] + tech_2_8*TblTech[[#This Row],[2-8]] + tech_5_2*TblTech[[#This Row],[5-2]] + IF(AND(TblMagic[[#This Row],[Active DnD]]&lt;12,TblMagic[[#This Row],[Active DnD]]&gt;5),1,0))</f>
        <v>223.51</v>
      </c>
      <c r="AR13" s="94">
        <f ca="1">TblProd[[#This Row],[Mana]]*mana_drain * (1 + tech_2_1*TblTech[[#This Row],[2-1]] + tech_2_8*TblTech[[#This Row],[2-8]])</f>
        <v>0</v>
      </c>
      <c r="AS13" s="154"/>
      <c r="AT13" s="94">
        <f ca="1">TblExplore[[#This Row],[Platinum (2)]]+TblConstr[[#This Row],[Total Plat Cost]]+TblMili[[#This Row],[Plat Cost]]+TblRezone[[#This Row],[Platinum cost]]+TblImps[[#This Row],[P1]]-TblProd[[#This Row],[Bank Plat]]</f>
        <v>0</v>
      </c>
      <c r="AU13" s="94">
        <f ca="1">TblConstr[[#This Row],[Total Lum Cost]]+TblImps[[#This Row],[L1]]-TblProd[[#This Row],[Bank Lumber]] + Military!$CO$25*TblMili[[#This Row],[Sec. rec. Cost]]</f>
        <v>0</v>
      </c>
      <c r="AV13" s="94">
        <f ca="1">TblMagic[[#This Row],[Mana cost]] + Military!$CO$26*TblMili[[#This Row],[Sec. rec. Cost]]</f>
        <v>0</v>
      </c>
      <c r="AW13" s="94">
        <f ca="1">Military!$CO$24*TblMili[[#This Row],[Sec. rec. Cost]]+TblImps[[#This Row],[O1]]-TblProd[[#This Row],[Bank Ore]]</f>
        <v>0</v>
      </c>
      <c r="AX13" s="94">
        <f>TblImps[[#This Row],[G1]]-TblProd[[#This Row],[Bank Gems]]</f>
        <v>0</v>
      </c>
      <c r="AY13" s="142"/>
      <c r="AZ13" s="61" t="b">
        <f ca="1">IF(TblProd[[#This Row],[Set Guard]]&lt;&gt;"",TblProd[[#This Row],[Set Guard]],OFFSET(TblProd[[#This Row],[Guard]],-1,0))</f>
        <v>0</v>
      </c>
      <c r="BA13" s="61"/>
      <c r="BB13" s="45">
        <f>TblProd[[#This Row],[Hour]]</f>
        <v>10</v>
      </c>
      <c r="BC13" s="94">
        <f>-TblProd[[#This Row],[Bank Lumber]] / 2 + -TblProd[[#This Row],[Bank Gems]] * 2 + -TblProd[[#This Row],[Bank Ore]] / 2</f>
        <v>0</v>
      </c>
      <c r="BD13" s="94"/>
      <c r="BE13" s="94"/>
      <c r="BF13" s="94"/>
      <c r="BG13" s="159">
        <f ca="1">TblProd[[#This Row],[Time]]</f>
        <v>46047.374999999978</v>
      </c>
      <c r="BH13" s="45" t="str">
        <f>IF(AND(TblProd[[#This Row],[Bank Plat]]=0,TblProd[[#This Row],[Bank Lumber]]=0,TblProd[[#This Row],[Bank Ore]]=0,TblProd[[#This Row],[Bank Gems]]=0),"",IF(TblProd[[#This Row],[Bank Plat]]&gt;0,IF((TblProd[[#This Row],[Bank Lumber]]+TblProd[[#This Row],[Bank Ore]])/2+TblProd[[#This Row],[Bank Gems]]*2+ROUNDUP(TblProd[[#This Row],[Bank Plat]]/(1 + tech_2_2*Techs!Y13),0)=0,"Ok","Nope"),IF(TblProd[[#This Row],[Bank Lumber]]&gt;0,IF((TblProd[[#This Row],[Bank Plat]]+TblProd[[#This Row],[Bank Ore]])/2+TblProd[[#This Row],[Bank Gems]]*2+ROUNDUP(TblProd[[#This Row],[Bank Lumber]]/(1 + tech_2_2*Techs!Y13),0)=0,"Ok","Nope"),IF(TblProd[[#This Row],[Bank Ore]]&gt;0,IF((TblProd[[#This Row],[Bank Plat]]+TblProd[[#This Row],[Bank Lumber]])/2+TblProd[[#This Row],[Bank Gems]]*2+ROUNDUP(TblProd[[#This Row],[Bank Ore]]/(1 + tech_2_2*Techs!Y13),0)=0,"Ok","Nope")))))</f>
        <v/>
      </c>
      <c r="BI13" s="94">
        <f ca="1">TblProd[[#This Row],[Platinum]]</f>
        <v>62316</v>
      </c>
      <c r="BJ13" s="94">
        <f ca="1">TblProd[[#This Row],[Food]]</f>
        <v>34550</v>
      </c>
      <c r="BK13" s="94">
        <f ca="1">TblProd[[#This Row],[Lumber]]</f>
        <v>22351</v>
      </c>
      <c r="BL13" s="94">
        <f ca="1">TblProd[[#This Row],[Mana]]</f>
        <v>0</v>
      </c>
      <c r="BM13" s="94">
        <f ca="1">TblProd[[#This Row],[Ore]]</f>
        <v>0</v>
      </c>
    </row>
    <row r="14" spans="1:65" hidden="1" x14ac:dyDescent="0.2">
      <c r="A14" s="137">
        <v>11</v>
      </c>
      <c r="B14" s="152">
        <f ca="1">TblImps[[#This Row],[Time]]</f>
        <v>46047.416666666642</v>
      </c>
      <c r="C14" s="61"/>
      <c r="D14" s="154"/>
      <c r="E14" s="94">
        <f ca="1">TblConstr[[#This Row],[Land]]</f>
        <v>50</v>
      </c>
      <c r="F14" s="94">
        <f ca="1">TblPop[[#This Row],[Peasants]]</f>
        <v>568</v>
      </c>
      <c r="G14" s="94">
        <f ca="1">TblMili[[#This Row],[Networth (2)]]</f>
        <v>1250</v>
      </c>
      <c r="H14" s="94">
        <f ca="1">OFFSET(TblProd[[#This Row],[Platinum]],-1,0)+OFFSET(TblProd[[#This Row],[Plat/hr]],-1,0) - TblProd[[#This Row],[Expenses Platinum]] + IF(TblProd[[#This Row],[Plat Bonus]],TblPop[[#This Row],[Peasants]]*4) + SUM(TblConstr[[#This Row],[Dest Hom]:[Dest Doc]])*TblConstr[[#This Row],[CPA Platinum -DB]]*tech_3_3_2*TblTech[[#This Row],[3-3]]</f>
        <v>63825</v>
      </c>
      <c r="I14" s="94">
        <f ca="1">OFFSET(TblProd[[#This Row],[Food]],-1,0)+OFFSET(TblProd[[#This Row],[Food/hr]],-1,0)+ROUNDUP((TblConstr[[#This Row],[Farms]]*80+TblConstr[[#This Row],[Docks]]*35)*(1+OFFSET(TblProd[[#This Row],[Bonus Food/hr]],-1,0)),0)</f>
        <v>36596</v>
      </c>
      <c r="J14" s="94">
        <f ca="1">OFFSET(TblProd[[#This Row],[Lumber]],-1,0)+OFFSET(TblProd[[#This Row],[Lumber/hr]],-1,0) - TblProd[[#This Row],[Expenses Lumber]] + SUM(TblConstr[[#This Row],[Dest Hom]:[Dest Doc]])*TblConstr[[#This Row],[CPA Lumber -DB]]*tech_3_3_2*TblTech[[#This Row],[3-3]]</f>
        <v>23127</v>
      </c>
      <c r="K14" s="94">
        <f ca="1">OFFSET(TblProd[[#This Row],[Mana]],-1,0)+OFFSET(TblProd[[#This Row],[Mana/hr]],-1,0)- TblProd[[#This Row],[Expenses Mana]]</f>
        <v>0</v>
      </c>
      <c r="L14" s="94">
        <f ca="1">OFFSET(TblProd[[#This Row],[Ore]],-1,0)+OFFSET(TblProd[[#This Row],[Ore/hr]],-1,0) -TblProd[[#This Row],[Expenses Ore]]</f>
        <v>0</v>
      </c>
      <c r="M14" s="94">
        <f ca="1">OFFSET(TblProd[[#This Row],[Gems]],-1,0)+OFFSET(TblProd[[#This Row],[Gems/hr]],-1,0) - TblProd[[#This Row],[Expenses Gems]]</f>
        <v>0</v>
      </c>
      <c r="N14" s="94">
        <f ca="1">OFFSET(TblProd[[#This Row],[Boats]],-1,0)+OFFSET(TblProd[[#This Row],[Boats/hr]],-1,0)</f>
        <v>0</v>
      </c>
      <c r="O14" s="94">
        <f ca="1">OFFSET(TblProd[[#This Row],[Prestige]],-1,0)</f>
        <v>250</v>
      </c>
      <c r="P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4" s="94">
        <f ca="1">MAX(_xlfn.CEILING.MATH(TblProd[[#This Row],[Land]]*2.5+IFERROR(OFFSET(TblTech[[#This Row],[Sum of tech]],-1,0)*50,0)),3750)</f>
        <v>3750</v>
      </c>
      <c r="R14" s="142"/>
      <c r="S14" s="94">
        <f ca="1">ROUNDDOWN(TblProd[[#This Row],[Raw Plat/hr]]*(1+TblProd[[#This Row],[Bonus Plat/hr]]),0)</f>
        <v>1533</v>
      </c>
      <c r="T14" s="94">
        <f ca="1">ROUND(TblProd[[#This Row],[Raw Food/hr]]*(1+TblProd[[#This Row],[Bonus Food/hr]])-TblProd[[#This Row],[Food decay]]-TblProd[[#This Row],[Food eaten]],0)</f>
        <v>2022</v>
      </c>
      <c r="U14" s="94">
        <f ca="1">ROUND(TblProd[[#This Row],[Raw Lumber/hr]]*(1+TblProd[[#This Row],[Bonus Lumber/hr]])-TblProd[[#This Row],[Lumber rot]],0)</f>
        <v>769</v>
      </c>
      <c r="V14" s="94">
        <f ca="1">ROUND(TblProd[[#This Row],[Raw Mana/hr]]*(1+TblProd[[#This Row],[Bonus Mana/hr]])-TblProd[[#This Row],[Mana drain]],0)</f>
        <v>0</v>
      </c>
      <c r="W14" s="94">
        <f ca="1">ROUNDDOWN(TblProd[[#This Row],[Raw Ore/hr]]*(1+TblProd[[#This Row],[Bonux Ore/hr]]),0)</f>
        <v>0</v>
      </c>
      <c r="X14" s="94">
        <f ca="1">ROUNDDOWN(TblProd[[#This Row],[Raw Gems/hr]]*(1+TblProd[[#This Row],[Bonus Gems/hr]]),0)</f>
        <v>0</v>
      </c>
      <c r="Y14" s="155">
        <f ca="1">OFFSET(TblConstr[[#This Row],[Tot Doc]],1,0)*dock_boats_hr * (1 + tech_4_1*TblTech[[#This Row],[4-1]])</f>
        <v>0</v>
      </c>
      <c r="Z14" s="154"/>
      <c r="AA14" s="94">
        <f ca="1">TblPop[[#This Row],[Peasants]]*tax*TblPop[[#This Row],[Employment]] + (Construction!AZ15+Construction!BX15)*(alch_plat+(Magic!AN14&gt;0)*alchemist_flame_bonus)</f>
        <v>1533.6000000000001</v>
      </c>
      <c r="AB14" s="94">
        <f ca="1">TblConstr[[#This Row],[Tot Farm]]*farm_food + TblConstr[[#This Row],[Tot Doc]]*dock_food</f>
        <v>2400</v>
      </c>
      <c r="AC14" s="94">
        <f ca="1">TblConstr[[#This Row],[Tot Ly]]*ly_lumber + TblConstr[[#This Row],[Tot Hav]]*fh_lumber + IF(race="Wood Elf",TblMili[[#This Row],[Unit 2]]*MIN(TblMili[[#This Row],[Homeland%]]/wisp_bonus,wisp_cap),0)</f>
        <v>1000</v>
      </c>
      <c r="AD14" s="94">
        <f ca="1">OFFSET(TblConstr[[#This Row],[Tot Tow]],1,0)*(tower_mana + tech_4_5*TblTech[[#This Row],[4-5]]) + OFFSET(TblConstr[[#This Row],[Tot WG]],1,0)*wg_mana_prod</f>
        <v>0</v>
      </c>
      <c r="AE14" s="94">
        <f ca="1">OFFSET(TblConstr[[#This Row],[Tot OM]],1,0)*om_ore+IF(race="Dwarf",TblMili[[#This Row],[Unit 2]]*0.5,0)</f>
        <v>0</v>
      </c>
      <c r="AF14" s="94">
        <f ca="1">OFFSET(TblConstr[[#This Row],[Tot DM]],1,0)*dm_gems</f>
        <v>0</v>
      </c>
      <c r="AG14" s="142"/>
      <c r="AH14" s="156">
        <f ca="1">MIN(race_platinum_bonus + IF(TblMagic[[#This Row],[Active Alch Frost]]&gt;0,alch_frost_bonus,IF(Magic!AE14&gt;0,midas_bonus)) + TblImps[[#This Row],[Science]] - TblProd[[#This Row],[Guard]]*(0.02 + tech_5_7*TblTech[[#This Row],[5-7]]) + tech_1_5*TblTech[[#This Row],[1-5]] + tech_4_4*TblTech[[#This Row],[4-4]] + IF(TblMagic[[#This Row],[Active Infernal Command]]&gt;0,demonic_pact_plat,0), 0.5)</f>
        <v>0</v>
      </c>
      <c r="AI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4" s="156">
        <f ca="1">race_lumber_bonus+ IF(TblMagic[[#This Row],[Active Gaia''s Blessing]]&gt;0,gaias_blessing_lumber)+ tech_1_3*TblTech[[#This Row],[1-3]] + tech_1_6*TblTech[[#This Row],[1-6]] + tech_3_3*TblTech[[#This Row],[3-3]]</f>
        <v>0</v>
      </c>
      <c r="AK14" s="156">
        <f ca="1">race_mana_bonus+ 0 + TblImps[[#This Row],[Spires]] + tech_1_2*TblTech[[#This Row],[1-2]] + tech_3_4*TblTech[[#This Row],[3-4]]</f>
        <v>0</v>
      </c>
      <c r="AL14" s="156">
        <f ca="1">race_ore_bonus + IF(TblMagic[[#This Row],[Active Miner''s Sight]]&gt;0,miners_sight_bonus,IF(TblMagic[[#This Row],[Active Mining Strength]]&gt;0,mining_strength_bonus)) +  tech_1_6*TblTech[[#This Row],[1-6]]</f>
        <v>0</v>
      </c>
      <c r="AM14" s="156">
        <f>race_gem_bonus+ tech_3_2*TblTech[[#This Row],[3-2]] + tech_4_3*TblTech[[#This Row],[4-3]] + tech_6_2*TblTech[[#This Row],[6-2]]</f>
        <v>0</v>
      </c>
      <c r="AN14" s="142"/>
      <c r="AO14" s="94">
        <f ca="1">TblProd[[#This Row],[Food]]*food_decay * (1 + tech_2_1*TblTech[[#This Row],[2-1]] + tech_2_8*TblTech[[#This Row],[2-8]] + IF(AND(TblMagic[[#This Row],[Active DnD]]&lt;12,TblMagic[[#This Row],[Active DnD]]&gt;5),1,0))</f>
        <v>365.96</v>
      </c>
      <c r="AP14" s="94">
        <f ca="1">(1+race_food_consumption)*TblPop[[#This Row],[Total]]*food_per_person*(1+tech_1_10*TblTech[[#This Row],[1-10]]+tech_7_5*TblTech[[#This Row],[7-5]] + IF(TblMagic[[#This Row],[Active Infernal Command]]&gt;0,demonic_pact_food_cons,0))</f>
        <v>192.25</v>
      </c>
      <c r="AQ14" s="94">
        <f ca="1">TblProd[[#This Row],[Lumber]]*lumber_rot * (1 + tech_2_1*TblTech[[#This Row],[2-1]] + tech_2_8*TblTech[[#This Row],[2-8]] + tech_5_2*TblTech[[#This Row],[5-2]] + IF(AND(TblMagic[[#This Row],[Active DnD]]&lt;12,TblMagic[[#This Row],[Active DnD]]&gt;5),1,0))</f>
        <v>231.27</v>
      </c>
      <c r="AR14" s="94">
        <f ca="1">TblProd[[#This Row],[Mana]]*mana_drain * (1 + tech_2_1*TblTech[[#This Row],[2-1]] + tech_2_8*TblTech[[#This Row],[2-8]])</f>
        <v>0</v>
      </c>
      <c r="AS14" s="154"/>
      <c r="AT14" s="94">
        <f ca="1">TblExplore[[#This Row],[Platinum (2)]]+TblConstr[[#This Row],[Total Plat Cost]]+TblMili[[#This Row],[Plat Cost]]+TblRezone[[#This Row],[Platinum cost]]+TblImps[[#This Row],[P1]]-TblProd[[#This Row],[Bank Plat]]</f>
        <v>0</v>
      </c>
      <c r="AU14" s="94">
        <f ca="1">TblConstr[[#This Row],[Total Lum Cost]]+TblImps[[#This Row],[L1]]-TblProd[[#This Row],[Bank Lumber]] + Military!$CO$25*TblMili[[#This Row],[Sec. rec. Cost]]</f>
        <v>0</v>
      </c>
      <c r="AV14" s="94">
        <f ca="1">TblMagic[[#This Row],[Mana cost]] + Military!$CO$26*TblMili[[#This Row],[Sec. rec. Cost]]</f>
        <v>0</v>
      </c>
      <c r="AW14" s="94">
        <f ca="1">Military!$CO$24*TblMili[[#This Row],[Sec. rec. Cost]]+TblImps[[#This Row],[O1]]-TblProd[[#This Row],[Bank Ore]]</f>
        <v>0</v>
      </c>
      <c r="AX14" s="94">
        <f>TblImps[[#This Row],[G1]]-TblProd[[#This Row],[Bank Gems]]</f>
        <v>0</v>
      </c>
      <c r="AY14" s="142"/>
      <c r="AZ14" s="61" t="b">
        <f ca="1">IF(TblProd[[#This Row],[Set Guard]]&lt;&gt;"",TblProd[[#This Row],[Set Guard]],OFFSET(TblProd[[#This Row],[Guard]],-1,0))</f>
        <v>0</v>
      </c>
      <c r="BA14" s="61"/>
      <c r="BB14" s="45">
        <f>TblProd[[#This Row],[Hour]]</f>
        <v>11</v>
      </c>
      <c r="BC14" s="94">
        <f>-TblProd[[#This Row],[Bank Lumber]] / 2 + -TblProd[[#This Row],[Bank Gems]] * 2 + -TblProd[[#This Row],[Bank Ore]] / 2</f>
        <v>0</v>
      </c>
      <c r="BD14" s="94"/>
      <c r="BE14" s="94"/>
      <c r="BF14" s="94"/>
      <c r="BG14" s="159">
        <f ca="1">TblProd[[#This Row],[Time]]</f>
        <v>46047.416666666642</v>
      </c>
      <c r="BH14" s="45" t="str">
        <f>IF(AND(TblProd[[#This Row],[Bank Plat]]=0,TblProd[[#This Row],[Bank Lumber]]=0,TblProd[[#This Row],[Bank Ore]]=0,TblProd[[#This Row],[Bank Gems]]=0),"",IF(TblProd[[#This Row],[Bank Plat]]&gt;0,IF((TblProd[[#This Row],[Bank Lumber]]+TblProd[[#This Row],[Bank Ore]])/2+TblProd[[#This Row],[Bank Gems]]*2+ROUNDUP(TblProd[[#This Row],[Bank Plat]]/(1 + tech_2_2*Techs!Y14),0)=0,"Ok","Nope"),IF(TblProd[[#This Row],[Bank Lumber]]&gt;0,IF((TblProd[[#This Row],[Bank Plat]]+TblProd[[#This Row],[Bank Ore]])/2+TblProd[[#This Row],[Bank Gems]]*2+ROUNDUP(TblProd[[#This Row],[Bank Lumber]]/(1 + tech_2_2*Techs!Y14),0)=0,"Ok","Nope"),IF(TblProd[[#This Row],[Bank Ore]]&gt;0,IF((TblProd[[#This Row],[Bank Plat]]+TblProd[[#This Row],[Bank Lumber]])/2+TblProd[[#This Row],[Bank Gems]]*2+ROUNDUP(TblProd[[#This Row],[Bank Ore]]/(1 + tech_2_2*Techs!Y14),0)=0,"Ok","Nope")))))</f>
        <v/>
      </c>
      <c r="BI14" s="94">
        <f ca="1">TblProd[[#This Row],[Platinum]]</f>
        <v>63825</v>
      </c>
      <c r="BJ14" s="94">
        <f ca="1">TblProd[[#This Row],[Food]]</f>
        <v>36596</v>
      </c>
      <c r="BK14" s="94">
        <f ca="1">TblProd[[#This Row],[Lumber]]</f>
        <v>23127</v>
      </c>
      <c r="BL14" s="94">
        <f ca="1">TblProd[[#This Row],[Mana]]</f>
        <v>0</v>
      </c>
      <c r="BM14" s="94">
        <f ca="1">TblProd[[#This Row],[Ore]]</f>
        <v>0</v>
      </c>
    </row>
    <row r="15" spans="1:65" hidden="1" x14ac:dyDescent="0.2">
      <c r="A15" s="137">
        <v>12</v>
      </c>
      <c r="B15" s="152">
        <f ca="1">TblImps[[#This Row],[Time]]</f>
        <v>46047.458333333307</v>
      </c>
      <c r="C15" s="61"/>
      <c r="D15" s="154"/>
      <c r="E15" s="94">
        <f ca="1">TblConstr[[#This Row],[Land]]</f>
        <v>50</v>
      </c>
      <c r="F15" s="94">
        <f ca="1">TblPop[[#This Row],[Peasants]]</f>
        <v>562</v>
      </c>
      <c r="G15" s="94">
        <f ca="1">TblMili[[#This Row],[Networth (2)]]</f>
        <v>1250</v>
      </c>
      <c r="H15" s="94">
        <f ca="1">OFFSET(TblProd[[#This Row],[Platinum]],-1,0)+OFFSET(TblProd[[#This Row],[Plat/hr]],-1,0) - TblProd[[#This Row],[Expenses Platinum]] + IF(TblProd[[#This Row],[Plat Bonus]],TblPop[[#This Row],[Peasants]]*4) + SUM(TblConstr[[#This Row],[Dest Hom]:[Dest Doc]])*TblConstr[[#This Row],[CPA Platinum -DB]]*tech_3_3_2*TblTech[[#This Row],[3-3]]</f>
        <v>65358</v>
      </c>
      <c r="I15" s="94">
        <f ca="1">OFFSET(TblProd[[#This Row],[Food]],-1,0)+OFFSET(TblProd[[#This Row],[Food/hr]],-1,0)+ROUNDUP((TblConstr[[#This Row],[Farms]]*80+TblConstr[[#This Row],[Docks]]*35)*(1+OFFSET(TblProd[[#This Row],[Bonus Food/hr]],-1,0)),0)</f>
        <v>38618</v>
      </c>
      <c r="J15" s="94">
        <f ca="1">OFFSET(TblProd[[#This Row],[Lumber]],-1,0)+OFFSET(TblProd[[#This Row],[Lumber/hr]],-1,0) - TblProd[[#This Row],[Expenses Lumber]] + SUM(TblConstr[[#This Row],[Dest Hom]:[Dest Doc]])*TblConstr[[#This Row],[CPA Lumber -DB]]*tech_3_3_2*TblTech[[#This Row],[3-3]]</f>
        <v>23896</v>
      </c>
      <c r="K15" s="94">
        <f ca="1">OFFSET(TblProd[[#This Row],[Mana]],-1,0)+OFFSET(TblProd[[#This Row],[Mana/hr]],-1,0)- TblProd[[#This Row],[Expenses Mana]]</f>
        <v>0</v>
      </c>
      <c r="L15" s="94">
        <f ca="1">OFFSET(TblProd[[#This Row],[Ore]],-1,0)+OFFSET(TblProd[[#This Row],[Ore/hr]],-1,0) -TblProd[[#This Row],[Expenses Ore]]</f>
        <v>0</v>
      </c>
      <c r="M15" s="94">
        <f ca="1">OFFSET(TblProd[[#This Row],[Gems]],-1,0)+OFFSET(TblProd[[#This Row],[Gems/hr]],-1,0) - TblProd[[#This Row],[Expenses Gems]]</f>
        <v>0</v>
      </c>
      <c r="N15" s="94">
        <f ca="1">OFFSET(TblProd[[#This Row],[Boats]],-1,0)+OFFSET(TblProd[[#This Row],[Boats/hr]],-1,0)</f>
        <v>0</v>
      </c>
      <c r="O15" s="94">
        <f ca="1">OFFSET(TblProd[[#This Row],[Prestige]],-1,0)</f>
        <v>250</v>
      </c>
      <c r="P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5" s="94">
        <f ca="1">MAX(_xlfn.CEILING.MATH(TblProd[[#This Row],[Land]]*2.5+IFERROR(OFFSET(TblTech[[#This Row],[Sum of tech]],-1,0)*50,0)),3750)</f>
        <v>3750</v>
      </c>
      <c r="R15" s="142"/>
      <c r="S15" s="94">
        <f ca="1">ROUNDDOWN(TblProd[[#This Row],[Raw Plat/hr]]*(1+TblProd[[#This Row],[Bonus Plat/hr]]),0)</f>
        <v>1517</v>
      </c>
      <c r="T15" s="94">
        <f ca="1">ROUND(TblProd[[#This Row],[Raw Food/hr]]*(1+TblProd[[#This Row],[Bonus Food/hr]])-TblProd[[#This Row],[Food decay]]-TblProd[[#This Row],[Food eaten]],0)</f>
        <v>2002</v>
      </c>
      <c r="U15" s="94">
        <f ca="1">ROUND(TblProd[[#This Row],[Raw Lumber/hr]]*(1+TblProd[[#This Row],[Bonus Lumber/hr]])-TblProd[[#This Row],[Lumber rot]],0)</f>
        <v>761</v>
      </c>
      <c r="V15" s="94">
        <f ca="1">ROUND(TblProd[[#This Row],[Raw Mana/hr]]*(1+TblProd[[#This Row],[Bonus Mana/hr]])-TblProd[[#This Row],[Mana drain]],0)</f>
        <v>0</v>
      </c>
      <c r="W15" s="94">
        <f ca="1">ROUNDDOWN(TblProd[[#This Row],[Raw Ore/hr]]*(1+TblProd[[#This Row],[Bonux Ore/hr]]),0)</f>
        <v>0</v>
      </c>
      <c r="X15" s="94">
        <f ca="1">ROUNDDOWN(TblProd[[#This Row],[Raw Gems/hr]]*(1+TblProd[[#This Row],[Bonus Gems/hr]]),0)</f>
        <v>0</v>
      </c>
      <c r="Y15" s="155">
        <f ca="1">OFFSET(TblConstr[[#This Row],[Tot Doc]],1,0)*dock_boats_hr * (1 + tech_4_1*TblTech[[#This Row],[4-1]])</f>
        <v>0</v>
      </c>
      <c r="Z15" s="154"/>
      <c r="AA15" s="94">
        <f ca="1">TblPop[[#This Row],[Peasants]]*tax*TblPop[[#This Row],[Employment]] + (Construction!AZ16+Construction!BX16)*(alch_plat+(Magic!AN15&gt;0)*alchemist_flame_bonus)</f>
        <v>1517.4</v>
      </c>
      <c r="AB15" s="94">
        <f ca="1">TblConstr[[#This Row],[Tot Farm]]*farm_food + TblConstr[[#This Row],[Tot Doc]]*dock_food</f>
        <v>2400</v>
      </c>
      <c r="AC15" s="94">
        <f ca="1">TblConstr[[#This Row],[Tot Ly]]*ly_lumber + TblConstr[[#This Row],[Tot Hav]]*fh_lumber + IF(race="Wood Elf",TblMili[[#This Row],[Unit 2]]*MIN(TblMili[[#This Row],[Homeland%]]/wisp_bonus,wisp_cap),0)</f>
        <v>1000</v>
      </c>
      <c r="AD15" s="94">
        <f ca="1">OFFSET(TblConstr[[#This Row],[Tot Tow]],1,0)*(tower_mana + tech_4_5*TblTech[[#This Row],[4-5]]) + OFFSET(TblConstr[[#This Row],[Tot WG]],1,0)*wg_mana_prod</f>
        <v>0</v>
      </c>
      <c r="AE15" s="94">
        <f ca="1">OFFSET(TblConstr[[#This Row],[Tot OM]],1,0)*om_ore+IF(race="Dwarf",TblMili[[#This Row],[Unit 2]]*0.5,0)</f>
        <v>0</v>
      </c>
      <c r="AF15" s="94">
        <f ca="1">OFFSET(TblConstr[[#This Row],[Tot DM]],1,0)*dm_gems</f>
        <v>0</v>
      </c>
      <c r="AG15" s="142"/>
      <c r="AH15" s="156">
        <f ca="1">MIN(race_platinum_bonus + IF(TblMagic[[#This Row],[Active Alch Frost]]&gt;0,alch_frost_bonus,IF(Magic!AE15&gt;0,midas_bonus)) + TblImps[[#This Row],[Science]] - TblProd[[#This Row],[Guard]]*(0.02 + tech_5_7*TblTech[[#This Row],[5-7]]) + tech_1_5*TblTech[[#This Row],[1-5]] + tech_4_4*TblTech[[#This Row],[4-4]] + IF(TblMagic[[#This Row],[Active Infernal Command]]&gt;0,demonic_pact_plat,0), 0.5)</f>
        <v>0</v>
      </c>
      <c r="AI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5" s="156">
        <f ca="1">race_lumber_bonus+ IF(TblMagic[[#This Row],[Active Gaia''s Blessing]]&gt;0,gaias_blessing_lumber)+ tech_1_3*TblTech[[#This Row],[1-3]] + tech_1_6*TblTech[[#This Row],[1-6]] + tech_3_3*TblTech[[#This Row],[3-3]]</f>
        <v>0</v>
      </c>
      <c r="AK15" s="156">
        <f ca="1">race_mana_bonus+ 0 + TblImps[[#This Row],[Spires]] + tech_1_2*TblTech[[#This Row],[1-2]] + tech_3_4*TblTech[[#This Row],[3-4]]</f>
        <v>0</v>
      </c>
      <c r="AL15" s="156">
        <f ca="1">race_ore_bonus + IF(TblMagic[[#This Row],[Active Miner''s Sight]]&gt;0,miners_sight_bonus,IF(TblMagic[[#This Row],[Active Mining Strength]]&gt;0,mining_strength_bonus)) +  tech_1_6*TblTech[[#This Row],[1-6]]</f>
        <v>0</v>
      </c>
      <c r="AM15" s="156">
        <f>race_gem_bonus+ tech_3_2*TblTech[[#This Row],[3-2]] + tech_4_3*TblTech[[#This Row],[4-3]] + tech_6_2*TblTech[[#This Row],[6-2]]</f>
        <v>0</v>
      </c>
      <c r="AN15" s="142"/>
      <c r="AO15" s="94">
        <f ca="1">TblProd[[#This Row],[Food]]*food_decay * (1 + tech_2_1*TblTech[[#This Row],[2-1]] + tech_2_8*TblTech[[#This Row],[2-8]] + IF(AND(TblMagic[[#This Row],[Active DnD]]&lt;12,TblMagic[[#This Row],[Active DnD]]&gt;5),1,0))</f>
        <v>386.18</v>
      </c>
      <c r="AP15" s="94">
        <f ca="1">(1+race_food_consumption)*TblPop[[#This Row],[Total]]*food_per_person*(1+tech_1_10*TblTech[[#This Row],[1-10]]+tech_7_5*TblTech[[#This Row],[7-5]] + IF(TblMagic[[#This Row],[Active Infernal Command]]&gt;0,demonic_pact_food_cons,0))</f>
        <v>192.25</v>
      </c>
      <c r="AQ15" s="94">
        <f ca="1">TblProd[[#This Row],[Lumber]]*lumber_rot * (1 + tech_2_1*TblTech[[#This Row],[2-1]] + tech_2_8*TblTech[[#This Row],[2-8]] + tech_5_2*TblTech[[#This Row],[5-2]] + IF(AND(TblMagic[[#This Row],[Active DnD]]&lt;12,TblMagic[[#This Row],[Active DnD]]&gt;5),1,0))</f>
        <v>238.96</v>
      </c>
      <c r="AR15" s="94">
        <f ca="1">TblProd[[#This Row],[Mana]]*mana_drain * (1 + tech_2_1*TblTech[[#This Row],[2-1]] + tech_2_8*TblTech[[#This Row],[2-8]])</f>
        <v>0</v>
      </c>
      <c r="AS15" s="154"/>
      <c r="AT15" s="94">
        <f ca="1">TblExplore[[#This Row],[Platinum (2)]]+TblConstr[[#This Row],[Total Plat Cost]]+TblMili[[#This Row],[Plat Cost]]+TblRezone[[#This Row],[Platinum cost]]+TblImps[[#This Row],[P1]]-TblProd[[#This Row],[Bank Plat]]</f>
        <v>0</v>
      </c>
      <c r="AU15" s="94">
        <f ca="1">TblConstr[[#This Row],[Total Lum Cost]]+TblImps[[#This Row],[L1]]-TblProd[[#This Row],[Bank Lumber]] + Military!$CO$25*TblMili[[#This Row],[Sec. rec. Cost]]</f>
        <v>0</v>
      </c>
      <c r="AV15" s="94">
        <f ca="1">TblMagic[[#This Row],[Mana cost]] + Military!$CO$26*TblMili[[#This Row],[Sec. rec. Cost]]</f>
        <v>0</v>
      </c>
      <c r="AW15" s="94">
        <f ca="1">Military!$CO$24*TblMili[[#This Row],[Sec. rec. Cost]]+TblImps[[#This Row],[O1]]-TblProd[[#This Row],[Bank Ore]]</f>
        <v>0</v>
      </c>
      <c r="AX15" s="94">
        <f>TblImps[[#This Row],[G1]]-TblProd[[#This Row],[Bank Gems]]</f>
        <v>0</v>
      </c>
      <c r="AY15" s="142"/>
      <c r="AZ15" s="61" t="b">
        <f ca="1">IF(TblProd[[#This Row],[Set Guard]]&lt;&gt;"",TblProd[[#This Row],[Set Guard]],OFFSET(TblProd[[#This Row],[Guard]],-1,0))</f>
        <v>0</v>
      </c>
      <c r="BA15" s="61"/>
      <c r="BB15" s="45">
        <f>TblProd[[#This Row],[Hour]]</f>
        <v>12</v>
      </c>
      <c r="BC15" s="94">
        <f>-TblProd[[#This Row],[Bank Lumber]] / 2 + -TblProd[[#This Row],[Bank Gems]] * 2 + -TblProd[[#This Row],[Bank Ore]] / 2</f>
        <v>0</v>
      </c>
      <c r="BD15" s="94"/>
      <c r="BE15" s="94"/>
      <c r="BF15" s="94"/>
      <c r="BG15" s="159">
        <f ca="1">TblProd[[#This Row],[Time]]</f>
        <v>46047.458333333307</v>
      </c>
      <c r="BH15" s="45" t="str">
        <f>IF(AND(TblProd[[#This Row],[Bank Plat]]=0,TblProd[[#This Row],[Bank Lumber]]=0,TblProd[[#This Row],[Bank Ore]]=0,TblProd[[#This Row],[Bank Gems]]=0),"",IF(TblProd[[#This Row],[Bank Plat]]&gt;0,IF((TblProd[[#This Row],[Bank Lumber]]+TblProd[[#This Row],[Bank Ore]])/2+TblProd[[#This Row],[Bank Gems]]*2+ROUNDUP(TblProd[[#This Row],[Bank Plat]]/(1 + tech_2_2*Techs!Y15),0)=0,"Ok","Nope"),IF(TblProd[[#This Row],[Bank Lumber]]&gt;0,IF((TblProd[[#This Row],[Bank Plat]]+TblProd[[#This Row],[Bank Ore]])/2+TblProd[[#This Row],[Bank Gems]]*2+ROUNDUP(TblProd[[#This Row],[Bank Lumber]]/(1 + tech_2_2*Techs!Y15),0)=0,"Ok","Nope"),IF(TblProd[[#This Row],[Bank Ore]]&gt;0,IF((TblProd[[#This Row],[Bank Plat]]+TblProd[[#This Row],[Bank Lumber]])/2+TblProd[[#This Row],[Bank Gems]]*2+ROUNDUP(TblProd[[#This Row],[Bank Ore]]/(1 + tech_2_2*Techs!Y15),0)=0,"Ok","Nope")))))</f>
        <v/>
      </c>
      <c r="BI15" s="94">
        <f ca="1">TblProd[[#This Row],[Platinum]]</f>
        <v>65358</v>
      </c>
      <c r="BJ15" s="94">
        <f ca="1">TblProd[[#This Row],[Food]]</f>
        <v>38618</v>
      </c>
      <c r="BK15" s="94">
        <f ca="1">TblProd[[#This Row],[Lumber]]</f>
        <v>23896</v>
      </c>
      <c r="BL15" s="94">
        <f ca="1">TblProd[[#This Row],[Mana]]</f>
        <v>0</v>
      </c>
      <c r="BM15" s="94">
        <f ca="1">TblProd[[#This Row],[Ore]]</f>
        <v>0</v>
      </c>
    </row>
    <row r="16" spans="1:65" x14ac:dyDescent="0.2">
      <c r="A16" s="137">
        <v>13</v>
      </c>
      <c r="B16" s="152">
        <f ca="1">TblImps[[#This Row],[Time]]</f>
        <v>46047.499999999971</v>
      </c>
      <c r="C16" s="153"/>
      <c r="D16" s="154"/>
      <c r="E16" s="94">
        <f ca="1">TblConstr[[#This Row],[Land]]</f>
        <v>110</v>
      </c>
      <c r="F16" s="94">
        <f ca="1">TblPop[[#This Row],[Peasants]]</f>
        <v>573</v>
      </c>
      <c r="G16" s="94">
        <f ca="1">TblMili[[#This Row],[Networth (2)]]</f>
        <v>2450</v>
      </c>
      <c r="H16" s="94">
        <f ca="1">OFFSET(TblProd[[#This Row],[Platinum]],-1,0)+OFFSET(TblProd[[#This Row],[Plat/hr]],-1,0) - TblProd[[#This Row],[Expenses Platinum]] + IF(TblProd[[#This Row],[Plat Bonus]],TblPop[[#This Row],[Peasants]]*4) + SUM(TblConstr[[#This Row],[Dest Hom]:[Dest Doc]])*TblConstr[[#This Row],[CPA Platinum -DB]]*tech_3_3_2*TblTech[[#This Row],[3-3]]</f>
        <v>66875</v>
      </c>
      <c r="I16" s="94">
        <f ca="1">OFFSET(TblProd[[#This Row],[Food]],-1,0)+OFFSET(TblProd[[#This Row],[Food/hr]],-1,0)+ROUNDUP((TblConstr[[#This Row],[Farms]]*80+TblConstr[[#This Row],[Docks]]*35)*(1+OFFSET(TblProd[[#This Row],[Bonus Food/hr]],-1,0)),0)</f>
        <v>40620</v>
      </c>
      <c r="J16" s="94">
        <f ca="1">OFFSET(TblProd[[#This Row],[Lumber]],-1,0)+OFFSET(TblProd[[#This Row],[Lumber/hr]],-1,0) - TblProd[[#This Row],[Expenses Lumber]] + SUM(TblConstr[[#This Row],[Dest Hom]:[Dest Doc]])*TblConstr[[#This Row],[CPA Lumber -DB]]*tech_3_3_2*TblTech[[#This Row],[3-3]]</f>
        <v>24657</v>
      </c>
      <c r="K16" s="94">
        <f ca="1">OFFSET(TblProd[[#This Row],[Mana]],-1,0)+OFFSET(TblProd[[#This Row],[Mana/hr]],-1,0)- TblProd[[#This Row],[Expenses Mana]]</f>
        <v>0</v>
      </c>
      <c r="L16" s="94">
        <f ca="1">OFFSET(TblProd[[#This Row],[Ore]],-1,0)+OFFSET(TblProd[[#This Row],[Ore/hr]],-1,0) -TblProd[[#This Row],[Expenses Ore]]</f>
        <v>0</v>
      </c>
      <c r="M16" s="94">
        <f ca="1">OFFSET(TblProd[[#This Row],[Gems]],-1,0)+OFFSET(TblProd[[#This Row],[Gems/hr]],-1,0) - TblProd[[#This Row],[Expenses Gems]]</f>
        <v>0</v>
      </c>
      <c r="N16" s="94">
        <f ca="1">OFFSET(TblProd[[#This Row],[Boats]],-1,0)+OFFSET(TblProd[[#This Row],[Boats/hr]],-1,0)</f>
        <v>0</v>
      </c>
      <c r="O16" s="94">
        <f ca="1">OFFSET(TblProd[[#This Row],[Prestige]],-1,0)</f>
        <v>250</v>
      </c>
      <c r="P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6" s="94">
        <f ca="1">MAX(_xlfn.CEILING.MATH(TblProd[[#This Row],[Land]]*2.5+IFERROR(OFFSET(TblTech[[#This Row],[Sum of tech]],-1,0)*50,0)),3750)</f>
        <v>3750</v>
      </c>
      <c r="R16" s="142"/>
      <c r="S16" s="94">
        <f ca="1">ROUNDDOWN(TblProd[[#This Row],[Raw Plat/hr]]*(1+TblProd[[#This Row],[Bonus Plat/hr]]),0)</f>
        <v>1547</v>
      </c>
      <c r="T16" s="94">
        <f ca="1">ROUND(TblProd[[#This Row],[Raw Food/hr]]*(1+TblProd[[#This Row],[Bonus Food/hr]])-TblProd[[#This Row],[Food decay]]-TblProd[[#This Row],[Food eaten]],0)</f>
        <v>1977</v>
      </c>
      <c r="U16" s="94">
        <f ca="1">ROUND(TblProd[[#This Row],[Raw Lumber/hr]]*(1+TblProd[[#This Row],[Bonus Lumber/hr]])-TblProd[[#This Row],[Lumber rot]],0)</f>
        <v>753</v>
      </c>
      <c r="V16" s="94">
        <f ca="1">ROUND(TblProd[[#This Row],[Raw Mana/hr]]*(1+TblProd[[#This Row],[Bonus Mana/hr]])-TblProd[[#This Row],[Mana drain]],0)</f>
        <v>0</v>
      </c>
      <c r="W16" s="94">
        <f ca="1">ROUNDDOWN(TblProd[[#This Row],[Raw Ore/hr]]*(1+TblProd[[#This Row],[Bonux Ore/hr]]),0)</f>
        <v>0</v>
      </c>
      <c r="X16" s="94">
        <f ca="1">ROUNDDOWN(TblProd[[#This Row],[Raw Gems/hr]]*(1+TblProd[[#This Row],[Bonus Gems/hr]]),0)</f>
        <v>0</v>
      </c>
      <c r="Y16" s="155">
        <f ca="1">OFFSET(TblConstr[[#This Row],[Tot Doc]],1,0)*dock_boats_hr * (1 + tech_4_1*TblTech[[#This Row],[4-1]])</f>
        <v>0</v>
      </c>
      <c r="Z16" s="154"/>
      <c r="AA16" s="94">
        <f ca="1">TblPop[[#This Row],[Peasants]]*tax*TblPop[[#This Row],[Employment]] + (Construction!AZ17+Construction!BX17)*(alch_plat+(Magic!AN16&gt;0)*alchemist_flame_bonus)</f>
        <v>1547.1000000000001</v>
      </c>
      <c r="AB16" s="94">
        <f ca="1">TblConstr[[#This Row],[Tot Farm]]*farm_food + TblConstr[[#This Row],[Tot Doc]]*dock_food</f>
        <v>2400</v>
      </c>
      <c r="AC16" s="94">
        <f ca="1">TblConstr[[#This Row],[Tot Ly]]*ly_lumber + TblConstr[[#This Row],[Tot Hav]]*fh_lumber + IF(race="Wood Elf",TblMili[[#This Row],[Unit 2]]*MIN(TblMili[[#This Row],[Homeland%]]/wisp_bonus,wisp_cap),0)</f>
        <v>1000</v>
      </c>
      <c r="AD16" s="94">
        <f ca="1">OFFSET(TblConstr[[#This Row],[Tot Tow]],1,0)*(tower_mana + tech_4_5*TblTech[[#This Row],[4-5]]) + OFFSET(TblConstr[[#This Row],[Tot WG]],1,0)*wg_mana_prod</f>
        <v>0</v>
      </c>
      <c r="AE16" s="94">
        <f ca="1">OFFSET(TblConstr[[#This Row],[Tot OM]],1,0)*om_ore+IF(race="Dwarf",TblMili[[#This Row],[Unit 2]]*0.5,0)</f>
        <v>0</v>
      </c>
      <c r="AF16" s="94">
        <f ca="1">OFFSET(TblConstr[[#This Row],[Tot DM]],1,0)*dm_gems</f>
        <v>0</v>
      </c>
      <c r="AG16" s="142"/>
      <c r="AH16" s="156">
        <f ca="1">MIN(race_platinum_bonus + IF(TblMagic[[#This Row],[Active Alch Frost]]&gt;0,alch_frost_bonus,IF(Magic!AE16&gt;0,midas_bonus)) + TblImps[[#This Row],[Science]] - TblProd[[#This Row],[Guard]]*(0.02 + tech_5_7*TblTech[[#This Row],[5-7]]) + tech_1_5*TblTech[[#This Row],[1-5]] + tech_4_4*TblTech[[#This Row],[4-4]] + IF(TblMagic[[#This Row],[Active Infernal Command]]&gt;0,demonic_pact_plat,0), 0.5)</f>
        <v>0</v>
      </c>
      <c r="AI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6" s="156">
        <f ca="1">race_lumber_bonus+ IF(TblMagic[[#This Row],[Active Gaia''s Blessing]]&gt;0,gaias_blessing_lumber)+ tech_1_3*TblTech[[#This Row],[1-3]] + tech_1_6*TblTech[[#This Row],[1-6]] + tech_3_3*TblTech[[#This Row],[3-3]]</f>
        <v>0</v>
      </c>
      <c r="AK16" s="156">
        <f ca="1">race_mana_bonus+ 0 + TblImps[[#This Row],[Spires]] + tech_1_2*TblTech[[#This Row],[1-2]] + tech_3_4*TblTech[[#This Row],[3-4]]</f>
        <v>0</v>
      </c>
      <c r="AL16" s="156">
        <f ca="1">race_ore_bonus + IF(TblMagic[[#This Row],[Active Miner''s Sight]]&gt;0,miners_sight_bonus,IF(TblMagic[[#This Row],[Active Mining Strength]]&gt;0,mining_strength_bonus)) +  tech_1_6*TblTech[[#This Row],[1-6]]</f>
        <v>0</v>
      </c>
      <c r="AM16" s="156">
        <f>race_gem_bonus+ tech_3_2*TblTech[[#This Row],[3-2]] + tech_4_3*TblTech[[#This Row],[4-3]] + tech_6_2*TblTech[[#This Row],[6-2]]</f>
        <v>0</v>
      </c>
      <c r="AN16" s="142"/>
      <c r="AO16" s="94">
        <f ca="1">TblProd[[#This Row],[Food]]*food_decay * (1 + tech_2_1*TblTech[[#This Row],[2-1]] + tech_2_8*TblTech[[#This Row],[2-8]] + IF(AND(TblMagic[[#This Row],[Active DnD]]&lt;12,TblMagic[[#This Row],[Active DnD]]&gt;5),1,0))</f>
        <v>406.2</v>
      </c>
      <c r="AP16" s="94">
        <f ca="1">(1+race_food_consumption)*TblPop[[#This Row],[Total]]*food_per_person*(1+tech_1_10*TblTech[[#This Row],[1-10]]+tech_7_5*TblTech[[#This Row],[7-5]] + IF(TblMagic[[#This Row],[Active Infernal Command]]&gt;0,demonic_pact_food_cons,0))</f>
        <v>196.5</v>
      </c>
      <c r="AQ16" s="94">
        <f ca="1">TblProd[[#This Row],[Lumber]]*lumber_rot * (1 + tech_2_1*TblTech[[#This Row],[2-1]] + tech_2_8*TblTech[[#This Row],[2-8]] + tech_5_2*TblTech[[#This Row],[5-2]] + IF(AND(TblMagic[[#This Row],[Active DnD]]&lt;12,TblMagic[[#This Row],[Active DnD]]&gt;5),1,0))</f>
        <v>246.57</v>
      </c>
      <c r="AR16" s="94">
        <f ca="1">TblProd[[#This Row],[Mana]]*mana_drain * (1 + tech_2_1*TblTech[[#This Row],[2-1]] + tech_2_8*TblTech[[#This Row],[2-8]])</f>
        <v>0</v>
      </c>
      <c r="AS16" s="154"/>
      <c r="AT16" s="94">
        <f ca="1">TblExplore[[#This Row],[Platinum (2)]]+TblConstr[[#This Row],[Total Plat Cost]]+TblMili[[#This Row],[Plat Cost]]+TblRezone[[#This Row],[Platinum cost]]+TblImps[[#This Row],[P1]]-TblProd[[#This Row],[Bank Plat]]</f>
        <v>0</v>
      </c>
      <c r="AU16" s="94">
        <f ca="1">TblConstr[[#This Row],[Total Lum Cost]]+TblImps[[#This Row],[L1]]-TblProd[[#This Row],[Bank Lumber]] + Military!$CO$25*TblMili[[#This Row],[Sec. rec. Cost]]</f>
        <v>0</v>
      </c>
      <c r="AV16" s="94">
        <f ca="1">TblMagic[[#This Row],[Mana cost]] + Military!$CO$26*TblMili[[#This Row],[Sec. rec. Cost]]</f>
        <v>0</v>
      </c>
      <c r="AW16" s="94">
        <f ca="1">Military!$CO$24*TblMili[[#This Row],[Sec. rec. Cost]]+TblImps[[#This Row],[O1]]-TblProd[[#This Row],[Bank Ore]]</f>
        <v>0</v>
      </c>
      <c r="AX16" s="94">
        <f>TblImps[[#This Row],[G1]]-TblProd[[#This Row],[Bank Gems]]</f>
        <v>0</v>
      </c>
      <c r="AY16" s="142"/>
      <c r="AZ16" s="61" t="b">
        <f ca="1">IF(TblProd[[#This Row],[Set Guard]]&lt;&gt;"",TblProd[[#This Row],[Set Guard]],OFFSET(TblProd[[#This Row],[Guard]],-1,0))</f>
        <v>0</v>
      </c>
      <c r="BA16" s="153"/>
      <c r="BB16" s="45">
        <f>TblProd[[#This Row],[Hour]]</f>
        <v>13</v>
      </c>
      <c r="BC16" s="158">
        <f>-TblProd[[#This Row],[Bank Lumber]] / 2 + -TblProd[[#This Row],[Bank Gems]] * 2 + -TblProd[[#This Row],[Bank Ore]] / 2</f>
        <v>0</v>
      </c>
      <c r="BD16" s="158"/>
      <c r="BE16" s="158"/>
      <c r="BF16" s="158"/>
      <c r="BG16" s="159">
        <f ca="1">TblProd[[#This Row],[Time]]</f>
        <v>46047.499999999971</v>
      </c>
      <c r="BH16" s="45" t="str">
        <f>IF(AND(TblProd[[#This Row],[Bank Plat]]=0,TblProd[[#This Row],[Bank Lumber]]=0,TblProd[[#This Row],[Bank Ore]]=0,TblProd[[#This Row],[Bank Gems]]=0),"",IF(TblProd[[#This Row],[Bank Plat]]&gt;0,IF((TblProd[[#This Row],[Bank Lumber]]+TblProd[[#This Row],[Bank Ore]])/2+TblProd[[#This Row],[Bank Gems]]*2+ROUNDUP(TblProd[[#This Row],[Bank Plat]]/(1 + tech_2_2*Techs!Y16),0)=0,"Ok","Nope"),IF(TblProd[[#This Row],[Bank Lumber]]&gt;0,IF((TblProd[[#This Row],[Bank Plat]]+TblProd[[#This Row],[Bank Ore]])/2+TblProd[[#This Row],[Bank Gems]]*2+ROUNDUP(TblProd[[#This Row],[Bank Lumber]]/(1 + tech_2_2*Techs!Y16),0)=0,"Ok","Nope"),IF(TblProd[[#This Row],[Bank Ore]]&gt;0,IF((TblProd[[#This Row],[Bank Plat]]+TblProd[[#This Row],[Bank Lumber]])/2+TblProd[[#This Row],[Bank Gems]]*2+ROUNDUP(TblProd[[#This Row],[Bank Ore]]/(1 + tech_2_2*Techs!Y16),0)=0,"Ok","Nope")))))</f>
        <v/>
      </c>
      <c r="BI16" s="94">
        <f ca="1">TblProd[[#This Row],[Platinum]]</f>
        <v>66875</v>
      </c>
      <c r="BJ16" s="94">
        <f ca="1">TblProd[[#This Row],[Food]]</f>
        <v>40620</v>
      </c>
      <c r="BK16" s="94">
        <f ca="1">TblProd[[#This Row],[Lumber]]</f>
        <v>24657</v>
      </c>
      <c r="BL16" s="94">
        <f ca="1">TblProd[[#This Row],[Mana]]</f>
        <v>0</v>
      </c>
      <c r="BM16" s="94">
        <f ca="1">TblProd[[#This Row],[Ore]]</f>
        <v>0</v>
      </c>
    </row>
    <row r="17" spans="1:65" hidden="1" x14ac:dyDescent="0.2">
      <c r="A17" s="137">
        <v>14</v>
      </c>
      <c r="B17" s="152">
        <f ca="1">TblImps[[#This Row],[Time]]</f>
        <v>46047.541666666635</v>
      </c>
      <c r="C17" s="61"/>
      <c r="D17" s="154"/>
      <c r="E17" s="94">
        <f ca="1">TblConstr[[#This Row],[Land]]</f>
        <v>110</v>
      </c>
      <c r="F17" s="94">
        <f ca="1">TblPop[[#This Row],[Peasants]]</f>
        <v>584</v>
      </c>
      <c r="G17" s="94">
        <f ca="1">TblMili[[#This Row],[Networth (2)]]</f>
        <v>2450</v>
      </c>
      <c r="H17" s="94">
        <f ca="1">OFFSET(TblProd[[#This Row],[Platinum]],-1,0)+OFFSET(TblProd[[#This Row],[Plat/hr]],-1,0) - TblProd[[#This Row],[Expenses Platinum]] + IF(TblProd[[#This Row],[Plat Bonus]],TblPop[[#This Row],[Peasants]]*4) + SUM(TblConstr[[#This Row],[Dest Hom]:[Dest Doc]])*TblConstr[[#This Row],[CPA Platinum -DB]]*tech_3_3_2*TblTech[[#This Row],[3-3]]</f>
        <v>68422</v>
      </c>
      <c r="I17" s="94">
        <f ca="1">OFFSET(TblProd[[#This Row],[Food]],-1,0)+OFFSET(TblProd[[#This Row],[Food/hr]],-1,0)+ROUNDUP((TblConstr[[#This Row],[Farms]]*80+TblConstr[[#This Row],[Docks]]*35)*(1+OFFSET(TblProd[[#This Row],[Bonus Food/hr]],-1,0)),0)</f>
        <v>42597</v>
      </c>
      <c r="J17" s="94">
        <f ca="1">OFFSET(TblProd[[#This Row],[Lumber]],-1,0)+OFFSET(TblProd[[#This Row],[Lumber/hr]],-1,0) - TblProd[[#This Row],[Expenses Lumber]] + SUM(TblConstr[[#This Row],[Dest Hom]:[Dest Doc]])*TblConstr[[#This Row],[CPA Lumber -DB]]*tech_3_3_2*TblTech[[#This Row],[3-3]]</f>
        <v>25410</v>
      </c>
      <c r="K17" s="94">
        <f ca="1">OFFSET(TblProd[[#This Row],[Mana]],-1,0)+OFFSET(TblProd[[#This Row],[Mana/hr]],-1,0)- TblProd[[#This Row],[Expenses Mana]]</f>
        <v>0</v>
      </c>
      <c r="L17" s="94">
        <f ca="1">OFFSET(TblProd[[#This Row],[Ore]],-1,0)+OFFSET(TblProd[[#This Row],[Ore/hr]],-1,0) -TblProd[[#This Row],[Expenses Ore]]</f>
        <v>0</v>
      </c>
      <c r="M17" s="94">
        <f ca="1">OFFSET(TblProd[[#This Row],[Gems]],-1,0)+OFFSET(TblProd[[#This Row],[Gems/hr]],-1,0) - TblProd[[#This Row],[Expenses Gems]]</f>
        <v>0</v>
      </c>
      <c r="N17" s="94">
        <f ca="1">OFFSET(TblProd[[#This Row],[Boats]],-1,0)+OFFSET(TblProd[[#This Row],[Boats/hr]],-1,0)</f>
        <v>0</v>
      </c>
      <c r="O17" s="94">
        <f ca="1">OFFSET(TblProd[[#This Row],[Prestige]],-1,0)</f>
        <v>250</v>
      </c>
      <c r="P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7" s="94">
        <f ca="1">MAX(_xlfn.CEILING.MATH(TblProd[[#This Row],[Land]]*2.5+IFERROR(OFFSET(TblTech[[#This Row],[Sum of tech]],-1,0)*50,0)),3750)</f>
        <v>3750</v>
      </c>
      <c r="R17" s="142"/>
      <c r="S17" s="94">
        <f ca="1">ROUNDDOWN(TblProd[[#This Row],[Raw Plat/hr]]*(1+TblProd[[#This Row],[Bonus Plat/hr]]),0)</f>
        <v>1576</v>
      </c>
      <c r="T17" s="94">
        <f ca="1">ROUND(TblProd[[#This Row],[Raw Food/hr]]*(1+TblProd[[#This Row],[Bonus Food/hr]])-TblProd[[#This Row],[Food decay]]-TblProd[[#This Row],[Food eaten]],0)</f>
        <v>1953</v>
      </c>
      <c r="U17" s="94">
        <f ca="1">ROUND(TblProd[[#This Row],[Raw Lumber/hr]]*(1+TblProd[[#This Row],[Bonus Lumber/hr]])-TblProd[[#This Row],[Lumber rot]],0)</f>
        <v>746</v>
      </c>
      <c r="V17" s="94">
        <f ca="1">ROUND(TblProd[[#This Row],[Raw Mana/hr]]*(1+TblProd[[#This Row],[Bonus Mana/hr]])-TblProd[[#This Row],[Mana drain]],0)</f>
        <v>0</v>
      </c>
      <c r="W17" s="94">
        <f ca="1">ROUNDDOWN(TblProd[[#This Row],[Raw Ore/hr]]*(1+TblProd[[#This Row],[Bonux Ore/hr]]),0)</f>
        <v>0</v>
      </c>
      <c r="X17" s="94">
        <f ca="1">ROUNDDOWN(TblProd[[#This Row],[Raw Gems/hr]]*(1+TblProd[[#This Row],[Bonus Gems/hr]]),0)</f>
        <v>0</v>
      </c>
      <c r="Y17" s="155">
        <f ca="1">OFFSET(TblConstr[[#This Row],[Tot Doc]],1,0)*dock_boats_hr * (1 + tech_4_1*TblTech[[#This Row],[4-1]])</f>
        <v>0</v>
      </c>
      <c r="Z17" s="154"/>
      <c r="AA17" s="94">
        <f ca="1">TblPop[[#This Row],[Peasants]]*tax*TblPop[[#This Row],[Employment]] + (Construction!AZ18+Construction!BX18)*(alch_plat+(Magic!AN17&gt;0)*alchemist_flame_bonus)</f>
        <v>1576.8000000000002</v>
      </c>
      <c r="AB17" s="94">
        <f ca="1">TblConstr[[#This Row],[Tot Farm]]*farm_food + TblConstr[[#This Row],[Tot Doc]]*dock_food</f>
        <v>2400</v>
      </c>
      <c r="AC17" s="94">
        <f ca="1">TblConstr[[#This Row],[Tot Ly]]*ly_lumber + TblConstr[[#This Row],[Tot Hav]]*fh_lumber + IF(race="Wood Elf",TblMili[[#This Row],[Unit 2]]*MIN(TblMili[[#This Row],[Homeland%]]/wisp_bonus,wisp_cap),0)</f>
        <v>1000</v>
      </c>
      <c r="AD17" s="94">
        <f ca="1">OFFSET(TblConstr[[#This Row],[Tot Tow]],1,0)*(tower_mana + tech_4_5*TblTech[[#This Row],[4-5]]) + OFFSET(TblConstr[[#This Row],[Tot WG]],1,0)*wg_mana_prod</f>
        <v>0</v>
      </c>
      <c r="AE17" s="94">
        <f ca="1">OFFSET(TblConstr[[#This Row],[Tot OM]],1,0)*om_ore+IF(race="Dwarf",TblMili[[#This Row],[Unit 2]]*0.5,0)</f>
        <v>0</v>
      </c>
      <c r="AF17" s="94">
        <f ca="1">OFFSET(TblConstr[[#This Row],[Tot DM]],1,0)*dm_gems</f>
        <v>0</v>
      </c>
      <c r="AG17" s="142"/>
      <c r="AH17" s="156">
        <f ca="1">MIN(race_platinum_bonus + IF(TblMagic[[#This Row],[Active Alch Frost]]&gt;0,alch_frost_bonus,IF(Magic!AE17&gt;0,midas_bonus)) + TblImps[[#This Row],[Science]] - TblProd[[#This Row],[Guard]]*(0.02 + tech_5_7*TblTech[[#This Row],[5-7]]) + tech_1_5*TblTech[[#This Row],[1-5]] + tech_4_4*TblTech[[#This Row],[4-4]] + IF(TblMagic[[#This Row],[Active Infernal Command]]&gt;0,demonic_pact_plat,0), 0.5)</f>
        <v>0</v>
      </c>
      <c r="AI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7" s="156">
        <f ca="1">race_lumber_bonus+ IF(TblMagic[[#This Row],[Active Gaia''s Blessing]]&gt;0,gaias_blessing_lumber)+ tech_1_3*TblTech[[#This Row],[1-3]] + tech_1_6*TblTech[[#This Row],[1-6]] + tech_3_3*TblTech[[#This Row],[3-3]]</f>
        <v>0</v>
      </c>
      <c r="AK17" s="156">
        <f ca="1">race_mana_bonus+ 0 + TblImps[[#This Row],[Spires]] + tech_1_2*TblTech[[#This Row],[1-2]] + tech_3_4*TblTech[[#This Row],[3-4]]</f>
        <v>0</v>
      </c>
      <c r="AL17" s="156">
        <f ca="1">race_ore_bonus + IF(TblMagic[[#This Row],[Active Miner''s Sight]]&gt;0,miners_sight_bonus,IF(TblMagic[[#This Row],[Active Mining Strength]]&gt;0,mining_strength_bonus)) +  tech_1_6*TblTech[[#This Row],[1-6]]</f>
        <v>0</v>
      </c>
      <c r="AM17" s="156">
        <f>race_gem_bonus+ tech_3_2*TblTech[[#This Row],[3-2]] + tech_4_3*TblTech[[#This Row],[4-3]] + tech_6_2*TblTech[[#This Row],[6-2]]</f>
        <v>0</v>
      </c>
      <c r="AN17" s="142"/>
      <c r="AO17" s="94">
        <f ca="1">TblProd[[#This Row],[Food]]*food_decay * (1 + tech_2_1*TblTech[[#This Row],[2-1]] + tech_2_8*TblTech[[#This Row],[2-8]] + IF(AND(TblMagic[[#This Row],[Active DnD]]&lt;12,TblMagic[[#This Row],[Active DnD]]&gt;5),1,0))</f>
        <v>425.97</v>
      </c>
      <c r="AP17" s="94">
        <f ca="1">(1+race_food_consumption)*TblPop[[#This Row],[Total]]*food_per_person*(1+tech_1_10*TblTech[[#This Row],[1-10]]+tech_7_5*TblTech[[#This Row],[7-5]] + IF(TblMagic[[#This Row],[Active Infernal Command]]&gt;0,demonic_pact_food_cons,0))</f>
        <v>200.75</v>
      </c>
      <c r="AQ17" s="94">
        <f ca="1">TblProd[[#This Row],[Lumber]]*lumber_rot * (1 + tech_2_1*TblTech[[#This Row],[2-1]] + tech_2_8*TblTech[[#This Row],[2-8]] + tech_5_2*TblTech[[#This Row],[5-2]] + IF(AND(TblMagic[[#This Row],[Active DnD]]&lt;12,TblMagic[[#This Row],[Active DnD]]&gt;5),1,0))</f>
        <v>254.1</v>
      </c>
      <c r="AR17" s="94">
        <f ca="1">TblProd[[#This Row],[Mana]]*mana_drain * (1 + tech_2_1*TblTech[[#This Row],[2-1]] + tech_2_8*TblTech[[#This Row],[2-8]])</f>
        <v>0</v>
      </c>
      <c r="AS17" s="154"/>
      <c r="AT17" s="94">
        <f ca="1">TblExplore[[#This Row],[Platinum (2)]]+TblConstr[[#This Row],[Total Plat Cost]]+TblMili[[#This Row],[Plat Cost]]+TblRezone[[#This Row],[Platinum cost]]+TblImps[[#This Row],[P1]]-TblProd[[#This Row],[Bank Plat]]</f>
        <v>0</v>
      </c>
      <c r="AU17" s="94">
        <f ca="1">TblConstr[[#This Row],[Total Lum Cost]]+TblImps[[#This Row],[L1]]-TblProd[[#This Row],[Bank Lumber]] + Military!$CO$25*TblMili[[#This Row],[Sec. rec. Cost]]</f>
        <v>0</v>
      </c>
      <c r="AV17" s="94">
        <f ca="1">TblMagic[[#This Row],[Mana cost]] + Military!$CO$26*TblMili[[#This Row],[Sec. rec. Cost]]</f>
        <v>0</v>
      </c>
      <c r="AW17" s="94">
        <f ca="1">Military!$CO$24*TblMili[[#This Row],[Sec. rec. Cost]]+TblImps[[#This Row],[O1]]-TblProd[[#This Row],[Bank Ore]]</f>
        <v>0</v>
      </c>
      <c r="AX17" s="94">
        <f>TblImps[[#This Row],[G1]]-TblProd[[#This Row],[Bank Gems]]</f>
        <v>0</v>
      </c>
      <c r="AY17" s="142"/>
      <c r="AZ17" s="61" t="b">
        <f ca="1">IF(TblProd[[#This Row],[Set Guard]]&lt;&gt;"",TblProd[[#This Row],[Set Guard]],OFFSET(TblProd[[#This Row],[Guard]],-1,0))</f>
        <v>0</v>
      </c>
      <c r="BA17" s="61"/>
      <c r="BB17" s="45">
        <f>TblProd[[#This Row],[Hour]]</f>
        <v>14</v>
      </c>
      <c r="BC17" s="94">
        <f>-TblProd[[#This Row],[Bank Lumber]] / 2 + -TblProd[[#This Row],[Bank Gems]] * 2 + -TblProd[[#This Row],[Bank Ore]] / 2</f>
        <v>0</v>
      </c>
      <c r="BD17" s="94"/>
      <c r="BE17" s="94"/>
      <c r="BF17" s="94"/>
      <c r="BG17" s="159">
        <f ca="1">TblProd[[#This Row],[Time]]</f>
        <v>46047.541666666635</v>
      </c>
      <c r="BH17" s="45" t="str">
        <f>IF(AND(TblProd[[#This Row],[Bank Plat]]=0,TblProd[[#This Row],[Bank Lumber]]=0,TblProd[[#This Row],[Bank Ore]]=0,TblProd[[#This Row],[Bank Gems]]=0),"",IF(TblProd[[#This Row],[Bank Plat]]&gt;0,IF((TblProd[[#This Row],[Bank Lumber]]+TblProd[[#This Row],[Bank Ore]])/2+TblProd[[#This Row],[Bank Gems]]*2+ROUNDUP(TblProd[[#This Row],[Bank Plat]]/(1 + tech_2_2*Techs!Y17),0)=0,"Ok","Nope"),IF(TblProd[[#This Row],[Bank Lumber]]&gt;0,IF((TblProd[[#This Row],[Bank Plat]]+TblProd[[#This Row],[Bank Ore]])/2+TblProd[[#This Row],[Bank Gems]]*2+ROUNDUP(TblProd[[#This Row],[Bank Lumber]]/(1 + tech_2_2*Techs!Y17),0)=0,"Ok","Nope"),IF(TblProd[[#This Row],[Bank Ore]]&gt;0,IF((TblProd[[#This Row],[Bank Plat]]+TblProd[[#This Row],[Bank Lumber]])/2+TblProd[[#This Row],[Bank Gems]]*2+ROUNDUP(TblProd[[#This Row],[Bank Ore]]/(1 + tech_2_2*Techs!Y17),0)=0,"Ok","Nope")))))</f>
        <v/>
      </c>
      <c r="BI17" s="94">
        <f ca="1">TblProd[[#This Row],[Platinum]]</f>
        <v>68422</v>
      </c>
      <c r="BJ17" s="94">
        <f ca="1">TblProd[[#This Row],[Food]]</f>
        <v>42597</v>
      </c>
      <c r="BK17" s="94">
        <f ca="1">TblProd[[#This Row],[Lumber]]</f>
        <v>25410</v>
      </c>
      <c r="BL17" s="94">
        <f ca="1">TblProd[[#This Row],[Mana]]</f>
        <v>0</v>
      </c>
      <c r="BM17" s="94">
        <f ca="1">TblProd[[#This Row],[Ore]]</f>
        <v>0</v>
      </c>
    </row>
    <row r="18" spans="1:65" hidden="1" x14ac:dyDescent="0.2">
      <c r="A18" s="137">
        <v>15</v>
      </c>
      <c r="B18" s="152">
        <f ca="1">TblImps[[#This Row],[Time]]</f>
        <v>46047.583333333299</v>
      </c>
      <c r="C18" s="61"/>
      <c r="D18" s="154"/>
      <c r="E18" s="94">
        <f ca="1">TblConstr[[#This Row],[Land]]</f>
        <v>110</v>
      </c>
      <c r="F18" s="94">
        <f ca="1">TblPop[[#This Row],[Peasants]]</f>
        <v>595</v>
      </c>
      <c r="G18" s="94">
        <f ca="1">TblMili[[#This Row],[Networth (2)]]</f>
        <v>2450</v>
      </c>
      <c r="H18" s="94">
        <f ca="1">OFFSET(TblProd[[#This Row],[Platinum]],-1,0)+OFFSET(TblProd[[#This Row],[Plat/hr]],-1,0) - TblProd[[#This Row],[Expenses Platinum]] + IF(TblProd[[#This Row],[Plat Bonus]],TblPop[[#This Row],[Peasants]]*4) + SUM(TblConstr[[#This Row],[Dest Hom]:[Dest Doc]])*TblConstr[[#This Row],[CPA Platinum -DB]]*tech_3_3_2*TblTech[[#This Row],[3-3]]</f>
        <v>69998</v>
      </c>
      <c r="I18" s="94">
        <f ca="1">OFFSET(TblProd[[#This Row],[Food]],-1,0)+OFFSET(TblProd[[#This Row],[Food/hr]],-1,0)+ROUNDUP((TblConstr[[#This Row],[Farms]]*80+TblConstr[[#This Row],[Docks]]*35)*(1+OFFSET(TblProd[[#This Row],[Bonus Food/hr]],-1,0)),0)</f>
        <v>44550</v>
      </c>
      <c r="J18" s="94">
        <f ca="1">OFFSET(TblProd[[#This Row],[Lumber]],-1,0)+OFFSET(TblProd[[#This Row],[Lumber/hr]],-1,0) - TblProd[[#This Row],[Expenses Lumber]] + SUM(TblConstr[[#This Row],[Dest Hom]:[Dest Doc]])*TblConstr[[#This Row],[CPA Lumber -DB]]*tech_3_3_2*TblTech[[#This Row],[3-3]]</f>
        <v>26156</v>
      </c>
      <c r="K18" s="94">
        <f ca="1">OFFSET(TblProd[[#This Row],[Mana]],-1,0)+OFFSET(TblProd[[#This Row],[Mana/hr]],-1,0)- TblProd[[#This Row],[Expenses Mana]]</f>
        <v>0</v>
      </c>
      <c r="L18" s="94">
        <f ca="1">OFFSET(TblProd[[#This Row],[Ore]],-1,0)+OFFSET(TblProd[[#This Row],[Ore/hr]],-1,0) -TblProd[[#This Row],[Expenses Ore]]</f>
        <v>0</v>
      </c>
      <c r="M18" s="94">
        <f ca="1">OFFSET(TblProd[[#This Row],[Gems]],-1,0)+OFFSET(TblProd[[#This Row],[Gems/hr]],-1,0) - TblProd[[#This Row],[Expenses Gems]]</f>
        <v>0</v>
      </c>
      <c r="N18" s="94">
        <f ca="1">OFFSET(TblProd[[#This Row],[Boats]],-1,0)+OFFSET(TblProd[[#This Row],[Boats/hr]],-1,0)</f>
        <v>0</v>
      </c>
      <c r="O18" s="94">
        <f ca="1">OFFSET(TblProd[[#This Row],[Prestige]],-1,0)</f>
        <v>250</v>
      </c>
      <c r="P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8" s="94">
        <f ca="1">MAX(_xlfn.CEILING.MATH(TblProd[[#This Row],[Land]]*2.5+IFERROR(OFFSET(TblTech[[#This Row],[Sum of tech]],-1,0)*50,0)),3750)</f>
        <v>3750</v>
      </c>
      <c r="R18" s="142"/>
      <c r="S18" s="94">
        <f ca="1">ROUNDDOWN(TblProd[[#This Row],[Raw Plat/hr]]*(1+TblProd[[#This Row],[Bonus Plat/hr]]),0)</f>
        <v>1606</v>
      </c>
      <c r="T18" s="94">
        <f ca="1">ROUND(TblProd[[#This Row],[Raw Food/hr]]*(1+TblProd[[#This Row],[Bonus Food/hr]])-TblProd[[#This Row],[Food decay]]-TblProd[[#This Row],[Food eaten]],0)</f>
        <v>1930</v>
      </c>
      <c r="U18" s="94">
        <f ca="1">ROUND(TblProd[[#This Row],[Raw Lumber/hr]]*(1+TblProd[[#This Row],[Bonus Lumber/hr]])-TblProd[[#This Row],[Lumber rot]],0)</f>
        <v>738</v>
      </c>
      <c r="V18" s="94">
        <f ca="1">ROUND(TblProd[[#This Row],[Raw Mana/hr]]*(1+TblProd[[#This Row],[Bonus Mana/hr]])-TblProd[[#This Row],[Mana drain]],0)</f>
        <v>0</v>
      </c>
      <c r="W18" s="94">
        <f ca="1">ROUNDDOWN(TblProd[[#This Row],[Raw Ore/hr]]*(1+TblProd[[#This Row],[Bonux Ore/hr]]),0)</f>
        <v>0</v>
      </c>
      <c r="X18" s="94">
        <f ca="1">ROUNDDOWN(TblProd[[#This Row],[Raw Gems/hr]]*(1+TblProd[[#This Row],[Bonus Gems/hr]]),0)</f>
        <v>0</v>
      </c>
      <c r="Y18" s="155">
        <f ca="1">OFFSET(TblConstr[[#This Row],[Tot Doc]],1,0)*dock_boats_hr * (1 + tech_4_1*TblTech[[#This Row],[4-1]])</f>
        <v>0</v>
      </c>
      <c r="Z18" s="154"/>
      <c r="AA18" s="94">
        <f ca="1">TblPop[[#This Row],[Peasants]]*tax*TblPop[[#This Row],[Employment]] + (Construction!AZ19+Construction!BX19)*(alch_plat+(Magic!AN18&gt;0)*alchemist_flame_bonus)</f>
        <v>1606.5</v>
      </c>
      <c r="AB18" s="94">
        <f ca="1">TblConstr[[#This Row],[Tot Farm]]*farm_food + TblConstr[[#This Row],[Tot Doc]]*dock_food</f>
        <v>2400</v>
      </c>
      <c r="AC18" s="94">
        <f ca="1">TblConstr[[#This Row],[Tot Ly]]*ly_lumber + TblConstr[[#This Row],[Tot Hav]]*fh_lumber + IF(race="Wood Elf",TblMili[[#This Row],[Unit 2]]*MIN(TblMili[[#This Row],[Homeland%]]/wisp_bonus,wisp_cap),0)</f>
        <v>1000</v>
      </c>
      <c r="AD18" s="94">
        <f ca="1">OFFSET(TblConstr[[#This Row],[Tot Tow]],1,0)*(tower_mana + tech_4_5*TblTech[[#This Row],[4-5]]) + OFFSET(TblConstr[[#This Row],[Tot WG]],1,0)*wg_mana_prod</f>
        <v>0</v>
      </c>
      <c r="AE18" s="94">
        <f ca="1">OFFSET(TblConstr[[#This Row],[Tot OM]],1,0)*om_ore+IF(race="Dwarf",TblMili[[#This Row],[Unit 2]]*0.5,0)</f>
        <v>0</v>
      </c>
      <c r="AF18" s="94">
        <f ca="1">OFFSET(TblConstr[[#This Row],[Tot DM]],1,0)*dm_gems</f>
        <v>0</v>
      </c>
      <c r="AG18" s="142"/>
      <c r="AH18" s="156">
        <f ca="1">MIN(race_platinum_bonus + IF(TblMagic[[#This Row],[Active Alch Frost]]&gt;0,alch_frost_bonus,IF(Magic!AE18&gt;0,midas_bonus)) + TblImps[[#This Row],[Science]] - TblProd[[#This Row],[Guard]]*(0.02 + tech_5_7*TblTech[[#This Row],[5-7]]) + tech_1_5*TblTech[[#This Row],[1-5]] + tech_4_4*TblTech[[#This Row],[4-4]] + IF(TblMagic[[#This Row],[Active Infernal Command]]&gt;0,demonic_pact_plat,0), 0.5)</f>
        <v>0</v>
      </c>
      <c r="AI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8" s="156">
        <f ca="1">race_lumber_bonus+ IF(TblMagic[[#This Row],[Active Gaia''s Blessing]]&gt;0,gaias_blessing_lumber)+ tech_1_3*TblTech[[#This Row],[1-3]] + tech_1_6*TblTech[[#This Row],[1-6]] + tech_3_3*TblTech[[#This Row],[3-3]]</f>
        <v>0</v>
      </c>
      <c r="AK18" s="156">
        <f ca="1">race_mana_bonus+ 0 + TblImps[[#This Row],[Spires]] + tech_1_2*TblTech[[#This Row],[1-2]] + tech_3_4*TblTech[[#This Row],[3-4]]</f>
        <v>0</v>
      </c>
      <c r="AL18" s="156">
        <f ca="1">race_ore_bonus + IF(TblMagic[[#This Row],[Active Miner''s Sight]]&gt;0,miners_sight_bonus,IF(TblMagic[[#This Row],[Active Mining Strength]]&gt;0,mining_strength_bonus)) +  tech_1_6*TblTech[[#This Row],[1-6]]</f>
        <v>0</v>
      </c>
      <c r="AM18" s="156">
        <f>race_gem_bonus+ tech_3_2*TblTech[[#This Row],[3-2]] + tech_4_3*TblTech[[#This Row],[4-3]] + tech_6_2*TblTech[[#This Row],[6-2]]</f>
        <v>0</v>
      </c>
      <c r="AN18" s="142"/>
      <c r="AO18" s="94">
        <f ca="1">TblProd[[#This Row],[Food]]*food_decay * (1 + tech_2_1*TblTech[[#This Row],[2-1]] + tech_2_8*TblTech[[#This Row],[2-8]] + IF(AND(TblMagic[[#This Row],[Active DnD]]&lt;12,TblMagic[[#This Row],[Active DnD]]&gt;5),1,0))</f>
        <v>445.5</v>
      </c>
      <c r="AP18" s="94">
        <f ca="1">(1+race_food_consumption)*TblPop[[#This Row],[Total]]*food_per_person*(1+tech_1_10*TblTech[[#This Row],[1-10]]+tech_7_5*TblTech[[#This Row],[7-5]] + IF(TblMagic[[#This Row],[Active Infernal Command]]&gt;0,demonic_pact_food_cons,0))</f>
        <v>205</v>
      </c>
      <c r="AQ18" s="94">
        <f ca="1">TblProd[[#This Row],[Lumber]]*lumber_rot * (1 + tech_2_1*TblTech[[#This Row],[2-1]] + tech_2_8*TblTech[[#This Row],[2-8]] + tech_5_2*TblTech[[#This Row],[5-2]] + IF(AND(TblMagic[[#This Row],[Active DnD]]&lt;12,TblMagic[[#This Row],[Active DnD]]&gt;5),1,0))</f>
        <v>261.56</v>
      </c>
      <c r="AR18" s="94">
        <f ca="1">TblProd[[#This Row],[Mana]]*mana_drain * (1 + tech_2_1*TblTech[[#This Row],[2-1]] + tech_2_8*TblTech[[#This Row],[2-8]])</f>
        <v>0</v>
      </c>
      <c r="AS18" s="154"/>
      <c r="AT18" s="94">
        <f ca="1">TblExplore[[#This Row],[Platinum (2)]]+TblConstr[[#This Row],[Total Plat Cost]]+TblMili[[#This Row],[Plat Cost]]+TblRezone[[#This Row],[Platinum cost]]+TblImps[[#This Row],[P1]]-TblProd[[#This Row],[Bank Plat]]</f>
        <v>0</v>
      </c>
      <c r="AU18" s="94">
        <f ca="1">TblConstr[[#This Row],[Total Lum Cost]]+TblImps[[#This Row],[L1]]-TblProd[[#This Row],[Bank Lumber]] + Military!$CO$25*TblMili[[#This Row],[Sec. rec. Cost]]</f>
        <v>0</v>
      </c>
      <c r="AV18" s="94">
        <f ca="1">TblMagic[[#This Row],[Mana cost]] + Military!$CO$26*TblMili[[#This Row],[Sec. rec. Cost]]</f>
        <v>0</v>
      </c>
      <c r="AW18" s="94">
        <f ca="1">Military!$CO$24*TblMili[[#This Row],[Sec. rec. Cost]]+TblImps[[#This Row],[O1]]-TblProd[[#This Row],[Bank Ore]]</f>
        <v>0</v>
      </c>
      <c r="AX18" s="94">
        <f>TblImps[[#This Row],[G1]]-TblProd[[#This Row],[Bank Gems]]</f>
        <v>0</v>
      </c>
      <c r="AY18" s="142"/>
      <c r="AZ18" s="61" t="b">
        <f ca="1">IF(TblProd[[#This Row],[Set Guard]]&lt;&gt;"",TblProd[[#This Row],[Set Guard]],OFFSET(TblProd[[#This Row],[Guard]],-1,0))</f>
        <v>0</v>
      </c>
      <c r="BA18" s="61"/>
      <c r="BB18" s="45">
        <f>TblProd[[#This Row],[Hour]]</f>
        <v>15</v>
      </c>
      <c r="BC18" s="94">
        <f>-TblProd[[#This Row],[Bank Lumber]] / 2 + -TblProd[[#This Row],[Bank Gems]] * 2 + -TblProd[[#This Row],[Bank Ore]] / 2</f>
        <v>0</v>
      </c>
      <c r="BD18" s="94"/>
      <c r="BE18" s="94"/>
      <c r="BF18" s="94"/>
      <c r="BG18" s="159">
        <f ca="1">TblProd[[#This Row],[Time]]</f>
        <v>46047.583333333299</v>
      </c>
      <c r="BH18" s="45" t="str">
        <f>IF(AND(TblProd[[#This Row],[Bank Plat]]=0,TblProd[[#This Row],[Bank Lumber]]=0,TblProd[[#This Row],[Bank Ore]]=0,TblProd[[#This Row],[Bank Gems]]=0),"",IF(TblProd[[#This Row],[Bank Plat]]&gt;0,IF((TblProd[[#This Row],[Bank Lumber]]+TblProd[[#This Row],[Bank Ore]])/2+TblProd[[#This Row],[Bank Gems]]*2+ROUNDUP(TblProd[[#This Row],[Bank Plat]]/(1 + tech_2_2*Techs!Y18),0)=0,"Ok","Nope"),IF(TblProd[[#This Row],[Bank Lumber]]&gt;0,IF((TblProd[[#This Row],[Bank Plat]]+TblProd[[#This Row],[Bank Ore]])/2+TblProd[[#This Row],[Bank Gems]]*2+ROUNDUP(TblProd[[#This Row],[Bank Lumber]]/(1 + tech_2_2*Techs!Y18),0)=0,"Ok","Nope"),IF(TblProd[[#This Row],[Bank Ore]]&gt;0,IF((TblProd[[#This Row],[Bank Plat]]+TblProd[[#This Row],[Bank Lumber]])/2+TblProd[[#This Row],[Bank Gems]]*2+ROUNDUP(TblProd[[#This Row],[Bank Ore]]/(1 + tech_2_2*Techs!Y18),0)=0,"Ok","Nope")))))</f>
        <v/>
      </c>
      <c r="BI18" s="94">
        <f ca="1">TblProd[[#This Row],[Platinum]]</f>
        <v>69998</v>
      </c>
      <c r="BJ18" s="94">
        <f ca="1">TblProd[[#This Row],[Food]]</f>
        <v>44550</v>
      </c>
      <c r="BK18" s="94">
        <f ca="1">TblProd[[#This Row],[Lumber]]</f>
        <v>26156</v>
      </c>
      <c r="BL18" s="94">
        <f ca="1">TblProd[[#This Row],[Mana]]</f>
        <v>0</v>
      </c>
      <c r="BM18" s="94">
        <f ca="1">TblProd[[#This Row],[Ore]]</f>
        <v>0</v>
      </c>
    </row>
    <row r="19" spans="1:65" hidden="1" x14ac:dyDescent="0.2">
      <c r="A19" s="137">
        <v>16</v>
      </c>
      <c r="B19" s="152">
        <f ca="1">TblImps[[#This Row],[Time]]</f>
        <v>46047.624999999964</v>
      </c>
      <c r="C19" s="61"/>
      <c r="D19" s="154"/>
      <c r="E19" s="94">
        <f ca="1">TblConstr[[#This Row],[Land]]</f>
        <v>110</v>
      </c>
      <c r="F19" s="94">
        <f ca="1">TblPop[[#This Row],[Peasants]]</f>
        <v>607</v>
      </c>
      <c r="G19" s="94">
        <f ca="1">TblMili[[#This Row],[Networth (2)]]</f>
        <v>2450</v>
      </c>
      <c r="H19" s="94">
        <f ca="1">OFFSET(TblProd[[#This Row],[Platinum]],-1,0)+OFFSET(TblProd[[#This Row],[Plat/hr]],-1,0) - TblProd[[#This Row],[Expenses Platinum]] + IF(TblProd[[#This Row],[Plat Bonus]],TblPop[[#This Row],[Peasants]]*4) + SUM(TblConstr[[#This Row],[Dest Hom]:[Dest Doc]])*TblConstr[[#This Row],[CPA Platinum -DB]]*tech_3_3_2*TblTech[[#This Row],[3-3]]</f>
        <v>71604</v>
      </c>
      <c r="I19" s="94">
        <f ca="1">OFFSET(TblProd[[#This Row],[Food]],-1,0)+OFFSET(TblProd[[#This Row],[Food/hr]],-1,0)+ROUNDUP((TblConstr[[#This Row],[Farms]]*80+TblConstr[[#This Row],[Docks]]*35)*(1+OFFSET(TblProd[[#This Row],[Bonus Food/hr]],-1,0)),0)</f>
        <v>46480</v>
      </c>
      <c r="J19" s="94">
        <f ca="1">OFFSET(TblProd[[#This Row],[Lumber]],-1,0)+OFFSET(TblProd[[#This Row],[Lumber/hr]],-1,0) - TblProd[[#This Row],[Expenses Lumber]] + SUM(TblConstr[[#This Row],[Dest Hom]:[Dest Doc]])*TblConstr[[#This Row],[CPA Lumber -DB]]*tech_3_3_2*TblTech[[#This Row],[3-3]]</f>
        <v>26894</v>
      </c>
      <c r="K19" s="94">
        <f ca="1">OFFSET(TblProd[[#This Row],[Mana]],-1,0)+OFFSET(TblProd[[#This Row],[Mana/hr]],-1,0)- TblProd[[#This Row],[Expenses Mana]]</f>
        <v>0</v>
      </c>
      <c r="L19" s="94">
        <f ca="1">OFFSET(TblProd[[#This Row],[Ore]],-1,0)+OFFSET(TblProd[[#This Row],[Ore/hr]],-1,0) -TblProd[[#This Row],[Expenses Ore]]</f>
        <v>0</v>
      </c>
      <c r="M19" s="94">
        <f ca="1">OFFSET(TblProd[[#This Row],[Gems]],-1,0)+OFFSET(TblProd[[#This Row],[Gems/hr]],-1,0) - TblProd[[#This Row],[Expenses Gems]]</f>
        <v>0</v>
      </c>
      <c r="N19" s="94">
        <f ca="1">OFFSET(TblProd[[#This Row],[Boats]],-1,0)+OFFSET(TblProd[[#This Row],[Boats/hr]],-1,0)</f>
        <v>0</v>
      </c>
      <c r="O19" s="94">
        <f ca="1">OFFSET(TblProd[[#This Row],[Prestige]],-1,0)</f>
        <v>250</v>
      </c>
      <c r="P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9" s="94">
        <f ca="1">MAX(_xlfn.CEILING.MATH(TblProd[[#This Row],[Land]]*2.5+IFERROR(OFFSET(TblTech[[#This Row],[Sum of tech]],-1,0)*50,0)),3750)</f>
        <v>3750</v>
      </c>
      <c r="R19" s="142"/>
      <c r="S19" s="94">
        <f ca="1">ROUNDDOWN(TblProd[[#This Row],[Raw Plat/hr]]*(1+TblProd[[#This Row],[Bonus Plat/hr]]),0)</f>
        <v>1638</v>
      </c>
      <c r="T19" s="94">
        <f ca="1">ROUND(TblProd[[#This Row],[Raw Food/hr]]*(1+TblProd[[#This Row],[Bonus Food/hr]])-TblProd[[#This Row],[Food decay]]-TblProd[[#This Row],[Food eaten]],0)</f>
        <v>1906</v>
      </c>
      <c r="U19" s="94">
        <f ca="1">ROUND(TblProd[[#This Row],[Raw Lumber/hr]]*(1+TblProd[[#This Row],[Bonus Lumber/hr]])-TblProd[[#This Row],[Lumber rot]],0)</f>
        <v>731</v>
      </c>
      <c r="V19" s="94">
        <f ca="1">ROUND(TblProd[[#This Row],[Raw Mana/hr]]*(1+TblProd[[#This Row],[Bonus Mana/hr]])-TblProd[[#This Row],[Mana drain]],0)</f>
        <v>0</v>
      </c>
      <c r="W19" s="94">
        <f ca="1">ROUNDDOWN(TblProd[[#This Row],[Raw Ore/hr]]*(1+TblProd[[#This Row],[Bonux Ore/hr]]),0)</f>
        <v>0</v>
      </c>
      <c r="X19" s="94">
        <f ca="1">ROUNDDOWN(TblProd[[#This Row],[Raw Gems/hr]]*(1+TblProd[[#This Row],[Bonus Gems/hr]]),0)</f>
        <v>0</v>
      </c>
      <c r="Y19" s="155">
        <f ca="1">OFFSET(TblConstr[[#This Row],[Tot Doc]],1,0)*dock_boats_hr * (1 + tech_4_1*TblTech[[#This Row],[4-1]])</f>
        <v>0</v>
      </c>
      <c r="Z19" s="154"/>
      <c r="AA19" s="94">
        <f ca="1">TblPop[[#This Row],[Peasants]]*tax*TblPop[[#This Row],[Employment]] + (Construction!AZ20+Construction!BX20)*(alch_plat+(Magic!AN19&gt;0)*alchemist_flame_bonus)</f>
        <v>1638.9</v>
      </c>
      <c r="AB19" s="94">
        <f ca="1">TblConstr[[#This Row],[Tot Farm]]*farm_food + TblConstr[[#This Row],[Tot Doc]]*dock_food</f>
        <v>2400</v>
      </c>
      <c r="AC19" s="94">
        <f ca="1">TblConstr[[#This Row],[Tot Ly]]*ly_lumber + TblConstr[[#This Row],[Tot Hav]]*fh_lumber + IF(race="Wood Elf",TblMili[[#This Row],[Unit 2]]*MIN(TblMili[[#This Row],[Homeland%]]/wisp_bonus,wisp_cap),0)</f>
        <v>1000</v>
      </c>
      <c r="AD19" s="94">
        <f ca="1">OFFSET(TblConstr[[#This Row],[Tot Tow]],1,0)*(tower_mana + tech_4_5*TblTech[[#This Row],[4-5]]) + OFFSET(TblConstr[[#This Row],[Tot WG]],1,0)*wg_mana_prod</f>
        <v>0</v>
      </c>
      <c r="AE19" s="94">
        <f ca="1">OFFSET(TblConstr[[#This Row],[Tot OM]],1,0)*om_ore+IF(race="Dwarf",TblMili[[#This Row],[Unit 2]]*0.5,0)</f>
        <v>0</v>
      </c>
      <c r="AF19" s="94">
        <f ca="1">OFFSET(TblConstr[[#This Row],[Tot DM]],1,0)*dm_gems</f>
        <v>0</v>
      </c>
      <c r="AG19" s="142"/>
      <c r="AH19" s="156">
        <f ca="1">MIN(race_platinum_bonus + IF(TblMagic[[#This Row],[Active Alch Frost]]&gt;0,alch_frost_bonus,IF(Magic!AE19&gt;0,midas_bonus)) + TblImps[[#This Row],[Science]] - TblProd[[#This Row],[Guard]]*(0.02 + tech_5_7*TblTech[[#This Row],[5-7]]) + tech_1_5*TblTech[[#This Row],[1-5]] + tech_4_4*TblTech[[#This Row],[4-4]] + IF(TblMagic[[#This Row],[Active Infernal Command]]&gt;0,demonic_pact_plat,0), 0.5)</f>
        <v>0</v>
      </c>
      <c r="AI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9" s="156">
        <f ca="1">race_lumber_bonus+ IF(TblMagic[[#This Row],[Active Gaia''s Blessing]]&gt;0,gaias_blessing_lumber)+ tech_1_3*TblTech[[#This Row],[1-3]] + tech_1_6*TblTech[[#This Row],[1-6]] + tech_3_3*TblTech[[#This Row],[3-3]]</f>
        <v>0</v>
      </c>
      <c r="AK19" s="156">
        <f ca="1">race_mana_bonus+ 0 + TblImps[[#This Row],[Spires]] + tech_1_2*TblTech[[#This Row],[1-2]] + tech_3_4*TblTech[[#This Row],[3-4]]</f>
        <v>0</v>
      </c>
      <c r="AL19" s="156">
        <f ca="1">race_ore_bonus + IF(TblMagic[[#This Row],[Active Miner''s Sight]]&gt;0,miners_sight_bonus,IF(TblMagic[[#This Row],[Active Mining Strength]]&gt;0,mining_strength_bonus)) +  tech_1_6*TblTech[[#This Row],[1-6]]</f>
        <v>0</v>
      </c>
      <c r="AM19" s="156">
        <f>race_gem_bonus+ tech_3_2*TblTech[[#This Row],[3-2]] + tech_4_3*TblTech[[#This Row],[4-3]] + tech_6_2*TblTech[[#This Row],[6-2]]</f>
        <v>0</v>
      </c>
      <c r="AN19" s="142"/>
      <c r="AO19" s="94">
        <f ca="1">TblProd[[#This Row],[Food]]*food_decay * (1 + tech_2_1*TblTech[[#This Row],[2-1]] + tech_2_8*TblTech[[#This Row],[2-8]] + IF(AND(TblMagic[[#This Row],[Active DnD]]&lt;12,TblMagic[[#This Row],[Active DnD]]&gt;5),1,0))</f>
        <v>464.8</v>
      </c>
      <c r="AP19" s="94">
        <f ca="1">(1+race_food_consumption)*TblPop[[#This Row],[Total]]*food_per_person*(1+tech_1_10*TblTech[[#This Row],[1-10]]+tech_7_5*TblTech[[#This Row],[7-5]] + IF(TblMagic[[#This Row],[Active Infernal Command]]&gt;0,demonic_pact_food_cons,0))</f>
        <v>209.5</v>
      </c>
      <c r="AQ19" s="94">
        <f ca="1">TblProd[[#This Row],[Lumber]]*lumber_rot * (1 + tech_2_1*TblTech[[#This Row],[2-1]] + tech_2_8*TblTech[[#This Row],[2-8]] + tech_5_2*TblTech[[#This Row],[5-2]] + IF(AND(TblMagic[[#This Row],[Active DnD]]&lt;12,TblMagic[[#This Row],[Active DnD]]&gt;5),1,0))</f>
        <v>268.94</v>
      </c>
      <c r="AR19" s="94">
        <f ca="1">TblProd[[#This Row],[Mana]]*mana_drain * (1 + tech_2_1*TblTech[[#This Row],[2-1]] + tech_2_8*TblTech[[#This Row],[2-8]])</f>
        <v>0</v>
      </c>
      <c r="AS19" s="154"/>
      <c r="AT19" s="94">
        <f ca="1">TblExplore[[#This Row],[Platinum (2)]]+TblConstr[[#This Row],[Total Plat Cost]]+TblMili[[#This Row],[Plat Cost]]+TblRezone[[#This Row],[Platinum cost]]+TblImps[[#This Row],[P1]]-TblProd[[#This Row],[Bank Plat]]</f>
        <v>0</v>
      </c>
      <c r="AU19" s="94">
        <f ca="1">TblConstr[[#This Row],[Total Lum Cost]]+TblImps[[#This Row],[L1]]-TblProd[[#This Row],[Bank Lumber]] + Military!$CO$25*TblMili[[#This Row],[Sec. rec. Cost]]</f>
        <v>0</v>
      </c>
      <c r="AV19" s="94">
        <f ca="1">TblMagic[[#This Row],[Mana cost]] + Military!$CO$26*TblMili[[#This Row],[Sec. rec. Cost]]</f>
        <v>0</v>
      </c>
      <c r="AW19" s="94">
        <f ca="1">Military!$CO$24*TblMili[[#This Row],[Sec. rec. Cost]]+TblImps[[#This Row],[O1]]-TblProd[[#This Row],[Bank Ore]]</f>
        <v>0</v>
      </c>
      <c r="AX19" s="94">
        <f>TblImps[[#This Row],[G1]]-TblProd[[#This Row],[Bank Gems]]</f>
        <v>0</v>
      </c>
      <c r="AY19" s="142"/>
      <c r="AZ19" s="61" t="b">
        <f ca="1">IF(TblProd[[#This Row],[Set Guard]]&lt;&gt;"",TblProd[[#This Row],[Set Guard]],OFFSET(TblProd[[#This Row],[Guard]],-1,0))</f>
        <v>0</v>
      </c>
      <c r="BA19" s="61"/>
      <c r="BB19" s="45">
        <f>TblProd[[#This Row],[Hour]]</f>
        <v>16</v>
      </c>
      <c r="BC19" s="94">
        <f>-TblProd[[#This Row],[Bank Lumber]] / 2 + -TblProd[[#This Row],[Bank Gems]] * 2 + -TblProd[[#This Row],[Bank Ore]] / 2</f>
        <v>0</v>
      </c>
      <c r="BD19" s="94"/>
      <c r="BE19" s="94"/>
      <c r="BF19" s="94"/>
      <c r="BG19" s="159">
        <f ca="1">TblProd[[#This Row],[Time]]</f>
        <v>46047.624999999964</v>
      </c>
      <c r="BH19" s="45" t="str">
        <f>IF(AND(TblProd[[#This Row],[Bank Plat]]=0,TblProd[[#This Row],[Bank Lumber]]=0,TblProd[[#This Row],[Bank Ore]]=0,TblProd[[#This Row],[Bank Gems]]=0),"",IF(TblProd[[#This Row],[Bank Plat]]&gt;0,IF((TblProd[[#This Row],[Bank Lumber]]+TblProd[[#This Row],[Bank Ore]])/2+TblProd[[#This Row],[Bank Gems]]*2+ROUNDUP(TblProd[[#This Row],[Bank Plat]]/(1 + tech_2_2*Techs!Y19),0)=0,"Ok","Nope"),IF(TblProd[[#This Row],[Bank Lumber]]&gt;0,IF((TblProd[[#This Row],[Bank Plat]]+TblProd[[#This Row],[Bank Ore]])/2+TblProd[[#This Row],[Bank Gems]]*2+ROUNDUP(TblProd[[#This Row],[Bank Lumber]]/(1 + tech_2_2*Techs!Y19),0)=0,"Ok","Nope"),IF(TblProd[[#This Row],[Bank Ore]]&gt;0,IF((TblProd[[#This Row],[Bank Plat]]+TblProd[[#This Row],[Bank Lumber]])/2+TblProd[[#This Row],[Bank Gems]]*2+ROUNDUP(TblProd[[#This Row],[Bank Ore]]/(1 + tech_2_2*Techs!Y19),0)=0,"Ok","Nope")))))</f>
        <v/>
      </c>
      <c r="BI19" s="94">
        <f ca="1">TblProd[[#This Row],[Platinum]]</f>
        <v>71604</v>
      </c>
      <c r="BJ19" s="94">
        <f ca="1">TblProd[[#This Row],[Food]]</f>
        <v>46480</v>
      </c>
      <c r="BK19" s="94">
        <f ca="1">TblProd[[#This Row],[Lumber]]</f>
        <v>26894</v>
      </c>
      <c r="BL19" s="94">
        <f ca="1">TblProd[[#This Row],[Mana]]</f>
        <v>0</v>
      </c>
      <c r="BM19" s="94">
        <f ca="1">TblProd[[#This Row],[Ore]]</f>
        <v>0</v>
      </c>
    </row>
    <row r="20" spans="1:65" hidden="1" x14ac:dyDescent="0.2">
      <c r="A20" s="137">
        <v>17</v>
      </c>
      <c r="B20" s="152">
        <f ca="1">TblImps[[#This Row],[Time]]</f>
        <v>46047.666666666628</v>
      </c>
      <c r="C20" s="61"/>
      <c r="D20" s="154"/>
      <c r="E20" s="94">
        <f ca="1">TblConstr[[#This Row],[Land]]</f>
        <v>110</v>
      </c>
      <c r="F20" s="94">
        <f ca="1">TblPop[[#This Row],[Peasants]]</f>
        <v>619</v>
      </c>
      <c r="G20" s="94">
        <f ca="1">TblMili[[#This Row],[Networth (2)]]</f>
        <v>2450</v>
      </c>
      <c r="H20" s="94">
        <f ca="1">OFFSET(TblProd[[#This Row],[Platinum]],-1,0)+OFFSET(TblProd[[#This Row],[Plat/hr]],-1,0) - TblProd[[#This Row],[Expenses Platinum]] + IF(TblProd[[#This Row],[Plat Bonus]],TblPop[[#This Row],[Peasants]]*4) + SUM(TblConstr[[#This Row],[Dest Hom]:[Dest Doc]])*TblConstr[[#This Row],[CPA Platinum -DB]]*tech_3_3_2*TblTech[[#This Row],[3-3]]</f>
        <v>73242</v>
      </c>
      <c r="I20" s="94">
        <f ca="1">OFFSET(TblProd[[#This Row],[Food]],-1,0)+OFFSET(TblProd[[#This Row],[Food/hr]],-1,0)+ROUNDUP((TblConstr[[#This Row],[Farms]]*80+TblConstr[[#This Row],[Docks]]*35)*(1+OFFSET(TblProd[[#This Row],[Bonus Food/hr]],-1,0)),0)</f>
        <v>48386</v>
      </c>
      <c r="J20" s="94">
        <f ca="1">OFFSET(TblProd[[#This Row],[Lumber]],-1,0)+OFFSET(TblProd[[#This Row],[Lumber/hr]],-1,0) - TblProd[[#This Row],[Expenses Lumber]] + SUM(TblConstr[[#This Row],[Dest Hom]:[Dest Doc]])*TblConstr[[#This Row],[CPA Lumber -DB]]*tech_3_3_2*TblTech[[#This Row],[3-3]]</f>
        <v>27625</v>
      </c>
      <c r="K20" s="94">
        <f ca="1">OFFSET(TblProd[[#This Row],[Mana]],-1,0)+OFFSET(TblProd[[#This Row],[Mana/hr]],-1,0)- TblProd[[#This Row],[Expenses Mana]]</f>
        <v>0</v>
      </c>
      <c r="L20" s="94">
        <f ca="1">OFFSET(TblProd[[#This Row],[Ore]],-1,0)+OFFSET(TblProd[[#This Row],[Ore/hr]],-1,0) -TblProd[[#This Row],[Expenses Ore]]</f>
        <v>0</v>
      </c>
      <c r="M20" s="94">
        <f ca="1">OFFSET(TblProd[[#This Row],[Gems]],-1,0)+OFFSET(TblProd[[#This Row],[Gems/hr]],-1,0) - TblProd[[#This Row],[Expenses Gems]]</f>
        <v>0</v>
      </c>
      <c r="N20" s="94">
        <f ca="1">OFFSET(TblProd[[#This Row],[Boats]],-1,0)+OFFSET(TblProd[[#This Row],[Boats/hr]],-1,0)</f>
        <v>0</v>
      </c>
      <c r="O20" s="94">
        <f ca="1">OFFSET(TblProd[[#This Row],[Prestige]],-1,0)</f>
        <v>250</v>
      </c>
      <c r="P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0" s="94">
        <f ca="1">MAX(_xlfn.CEILING.MATH(TblProd[[#This Row],[Land]]*2.5+IFERROR(OFFSET(TblTech[[#This Row],[Sum of tech]],-1,0)*50,0)),3750)</f>
        <v>3750</v>
      </c>
      <c r="R20" s="142"/>
      <c r="S20" s="94">
        <f ca="1">ROUNDDOWN(TblProd[[#This Row],[Raw Plat/hr]]*(1+TblProd[[#This Row],[Bonus Plat/hr]]),0)</f>
        <v>1671</v>
      </c>
      <c r="T20" s="94">
        <f ca="1">ROUND(TblProd[[#This Row],[Raw Food/hr]]*(1+TblProd[[#This Row],[Bonus Food/hr]])-TblProd[[#This Row],[Food decay]]-TblProd[[#This Row],[Food eaten]],0)</f>
        <v>1882</v>
      </c>
      <c r="U20" s="94">
        <f ca="1">ROUND(TblProd[[#This Row],[Raw Lumber/hr]]*(1+TblProd[[#This Row],[Bonus Lumber/hr]])-TblProd[[#This Row],[Lumber rot]],0)</f>
        <v>724</v>
      </c>
      <c r="V20" s="94">
        <f ca="1">ROUND(TblProd[[#This Row],[Raw Mana/hr]]*(1+TblProd[[#This Row],[Bonus Mana/hr]])-TblProd[[#This Row],[Mana drain]],0)</f>
        <v>0</v>
      </c>
      <c r="W20" s="94">
        <f ca="1">ROUNDDOWN(TblProd[[#This Row],[Raw Ore/hr]]*(1+TblProd[[#This Row],[Bonux Ore/hr]]),0)</f>
        <v>0</v>
      </c>
      <c r="X20" s="94">
        <f ca="1">ROUNDDOWN(TblProd[[#This Row],[Raw Gems/hr]]*(1+TblProd[[#This Row],[Bonus Gems/hr]]),0)</f>
        <v>0</v>
      </c>
      <c r="Y20" s="155">
        <f ca="1">OFFSET(TblConstr[[#This Row],[Tot Doc]],1,0)*dock_boats_hr * (1 + tech_4_1*TblTech[[#This Row],[4-1]])</f>
        <v>0</v>
      </c>
      <c r="Z20" s="154"/>
      <c r="AA20" s="94">
        <f ca="1">TblPop[[#This Row],[Peasants]]*tax*TblPop[[#This Row],[Employment]] + (Construction!AZ21+Construction!BX21)*(alch_plat+(Magic!AN20&gt;0)*alchemist_flame_bonus)</f>
        <v>1671.3000000000002</v>
      </c>
      <c r="AB20" s="94">
        <f ca="1">TblConstr[[#This Row],[Tot Farm]]*farm_food + TblConstr[[#This Row],[Tot Doc]]*dock_food</f>
        <v>2400</v>
      </c>
      <c r="AC20" s="94">
        <f ca="1">TblConstr[[#This Row],[Tot Ly]]*ly_lumber + TblConstr[[#This Row],[Tot Hav]]*fh_lumber + IF(race="Wood Elf",TblMili[[#This Row],[Unit 2]]*MIN(TblMili[[#This Row],[Homeland%]]/wisp_bonus,wisp_cap),0)</f>
        <v>1000</v>
      </c>
      <c r="AD20" s="94">
        <f ca="1">OFFSET(TblConstr[[#This Row],[Tot Tow]],1,0)*(tower_mana + tech_4_5*TblTech[[#This Row],[4-5]]) + OFFSET(TblConstr[[#This Row],[Tot WG]],1,0)*wg_mana_prod</f>
        <v>0</v>
      </c>
      <c r="AE20" s="94">
        <f ca="1">OFFSET(TblConstr[[#This Row],[Tot OM]],1,0)*om_ore+IF(race="Dwarf",TblMili[[#This Row],[Unit 2]]*0.5,0)</f>
        <v>0</v>
      </c>
      <c r="AF20" s="94">
        <f ca="1">OFFSET(TblConstr[[#This Row],[Tot DM]],1,0)*dm_gems</f>
        <v>0</v>
      </c>
      <c r="AG20" s="142"/>
      <c r="AH20" s="156">
        <f ca="1">MIN(race_platinum_bonus + IF(TblMagic[[#This Row],[Active Alch Frost]]&gt;0,alch_frost_bonus,IF(Magic!AE20&gt;0,midas_bonus)) + TblImps[[#This Row],[Science]] - TblProd[[#This Row],[Guard]]*(0.02 + tech_5_7*TblTech[[#This Row],[5-7]]) + tech_1_5*TblTech[[#This Row],[1-5]] + tech_4_4*TblTech[[#This Row],[4-4]] + IF(TblMagic[[#This Row],[Active Infernal Command]]&gt;0,demonic_pact_plat,0), 0.5)</f>
        <v>0</v>
      </c>
      <c r="AI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0" s="156">
        <f ca="1">race_lumber_bonus+ IF(TblMagic[[#This Row],[Active Gaia''s Blessing]]&gt;0,gaias_blessing_lumber)+ tech_1_3*TblTech[[#This Row],[1-3]] + tech_1_6*TblTech[[#This Row],[1-6]] + tech_3_3*TblTech[[#This Row],[3-3]]</f>
        <v>0</v>
      </c>
      <c r="AK20" s="156">
        <f ca="1">race_mana_bonus+ 0 + TblImps[[#This Row],[Spires]] + tech_1_2*TblTech[[#This Row],[1-2]] + tech_3_4*TblTech[[#This Row],[3-4]]</f>
        <v>0</v>
      </c>
      <c r="AL20" s="156">
        <f ca="1">race_ore_bonus + IF(TblMagic[[#This Row],[Active Miner''s Sight]]&gt;0,miners_sight_bonus,IF(TblMagic[[#This Row],[Active Mining Strength]]&gt;0,mining_strength_bonus)) +  tech_1_6*TblTech[[#This Row],[1-6]]</f>
        <v>0</v>
      </c>
      <c r="AM20" s="156">
        <f>race_gem_bonus+ tech_3_2*TblTech[[#This Row],[3-2]] + tech_4_3*TblTech[[#This Row],[4-3]] + tech_6_2*TblTech[[#This Row],[6-2]]</f>
        <v>0</v>
      </c>
      <c r="AN20" s="142"/>
      <c r="AO20" s="94">
        <f ca="1">TblProd[[#This Row],[Food]]*food_decay * (1 + tech_2_1*TblTech[[#This Row],[2-1]] + tech_2_8*TblTech[[#This Row],[2-8]] + IF(AND(TblMagic[[#This Row],[Active DnD]]&lt;12,TblMagic[[#This Row],[Active DnD]]&gt;5),1,0))</f>
        <v>483.86</v>
      </c>
      <c r="AP20" s="94">
        <f ca="1">(1+race_food_consumption)*TblPop[[#This Row],[Total]]*food_per_person*(1+tech_1_10*TblTech[[#This Row],[1-10]]+tech_7_5*TblTech[[#This Row],[7-5]] + IF(TblMagic[[#This Row],[Active Infernal Command]]&gt;0,demonic_pact_food_cons,0))</f>
        <v>214</v>
      </c>
      <c r="AQ20" s="94">
        <f ca="1">TblProd[[#This Row],[Lumber]]*lumber_rot * (1 + tech_2_1*TblTech[[#This Row],[2-1]] + tech_2_8*TblTech[[#This Row],[2-8]] + tech_5_2*TblTech[[#This Row],[5-2]] + IF(AND(TblMagic[[#This Row],[Active DnD]]&lt;12,TblMagic[[#This Row],[Active DnD]]&gt;5),1,0))</f>
        <v>276.25</v>
      </c>
      <c r="AR20" s="94">
        <f ca="1">TblProd[[#This Row],[Mana]]*mana_drain * (1 + tech_2_1*TblTech[[#This Row],[2-1]] + tech_2_8*TblTech[[#This Row],[2-8]])</f>
        <v>0</v>
      </c>
      <c r="AS20" s="154"/>
      <c r="AT20" s="94">
        <f ca="1">TblExplore[[#This Row],[Platinum (2)]]+TblConstr[[#This Row],[Total Plat Cost]]+TblMili[[#This Row],[Plat Cost]]+TblRezone[[#This Row],[Platinum cost]]+TblImps[[#This Row],[P1]]-TblProd[[#This Row],[Bank Plat]]</f>
        <v>0</v>
      </c>
      <c r="AU20" s="94">
        <f ca="1">TblConstr[[#This Row],[Total Lum Cost]]+TblImps[[#This Row],[L1]]-TblProd[[#This Row],[Bank Lumber]] + Military!$CO$25*TblMili[[#This Row],[Sec. rec. Cost]]</f>
        <v>0</v>
      </c>
      <c r="AV20" s="94">
        <f ca="1">TblMagic[[#This Row],[Mana cost]] + Military!$CO$26*TblMili[[#This Row],[Sec. rec. Cost]]</f>
        <v>0</v>
      </c>
      <c r="AW20" s="94">
        <f ca="1">Military!$CO$24*TblMili[[#This Row],[Sec. rec. Cost]]+TblImps[[#This Row],[O1]]-TblProd[[#This Row],[Bank Ore]]</f>
        <v>0</v>
      </c>
      <c r="AX20" s="94">
        <f>TblImps[[#This Row],[G1]]-TblProd[[#This Row],[Bank Gems]]</f>
        <v>0</v>
      </c>
      <c r="AY20" s="142"/>
      <c r="AZ20" s="61" t="b">
        <f ca="1">IF(TblProd[[#This Row],[Set Guard]]&lt;&gt;"",TblProd[[#This Row],[Set Guard]],OFFSET(TblProd[[#This Row],[Guard]],-1,0))</f>
        <v>0</v>
      </c>
      <c r="BA20" s="61"/>
      <c r="BB20" s="45">
        <f>TblProd[[#This Row],[Hour]]</f>
        <v>17</v>
      </c>
      <c r="BC20" s="94">
        <f>-TblProd[[#This Row],[Bank Lumber]] / 2 + -TblProd[[#This Row],[Bank Gems]] * 2 + -TblProd[[#This Row],[Bank Ore]] / 2</f>
        <v>0</v>
      </c>
      <c r="BD20" s="94"/>
      <c r="BE20" s="94"/>
      <c r="BF20" s="94"/>
      <c r="BG20" s="159">
        <f ca="1">TblProd[[#This Row],[Time]]</f>
        <v>46047.666666666628</v>
      </c>
      <c r="BH20" s="45" t="str">
        <f>IF(AND(TblProd[[#This Row],[Bank Plat]]=0,TblProd[[#This Row],[Bank Lumber]]=0,TblProd[[#This Row],[Bank Ore]]=0,TblProd[[#This Row],[Bank Gems]]=0),"",IF(TblProd[[#This Row],[Bank Plat]]&gt;0,IF((TblProd[[#This Row],[Bank Lumber]]+TblProd[[#This Row],[Bank Ore]])/2+TblProd[[#This Row],[Bank Gems]]*2+ROUNDUP(TblProd[[#This Row],[Bank Plat]]/(1 + tech_2_2*Techs!Y20),0)=0,"Ok","Nope"),IF(TblProd[[#This Row],[Bank Lumber]]&gt;0,IF((TblProd[[#This Row],[Bank Plat]]+TblProd[[#This Row],[Bank Ore]])/2+TblProd[[#This Row],[Bank Gems]]*2+ROUNDUP(TblProd[[#This Row],[Bank Lumber]]/(1 + tech_2_2*Techs!Y20),0)=0,"Ok","Nope"),IF(TblProd[[#This Row],[Bank Ore]]&gt;0,IF((TblProd[[#This Row],[Bank Plat]]+TblProd[[#This Row],[Bank Lumber]])/2+TblProd[[#This Row],[Bank Gems]]*2+ROUNDUP(TblProd[[#This Row],[Bank Ore]]/(1 + tech_2_2*Techs!Y20),0)=0,"Ok","Nope")))))</f>
        <v/>
      </c>
      <c r="BI20" s="94">
        <f ca="1">TblProd[[#This Row],[Platinum]]</f>
        <v>73242</v>
      </c>
      <c r="BJ20" s="94">
        <f ca="1">TblProd[[#This Row],[Food]]</f>
        <v>48386</v>
      </c>
      <c r="BK20" s="94">
        <f ca="1">TblProd[[#This Row],[Lumber]]</f>
        <v>27625</v>
      </c>
      <c r="BL20" s="94">
        <f ca="1">TblProd[[#This Row],[Mana]]</f>
        <v>0</v>
      </c>
      <c r="BM20" s="94">
        <f ca="1">TblProd[[#This Row],[Ore]]</f>
        <v>0</v>
      </c>
    </row>
    <row r="21" spans="1:65" hidden="1" x14ac:dyDescent="0.2">
      <c r="A21" s="137">
        <v>18</v>
      </c>
      <c r="B21" s="152">
        <f ca="1">TblImps[[#This Row],[Time]]</f>
        <v>46047.708333333292</v>
      </c>
      <c r="C21" s="61"/>
      <c r="D21" s="154"/>
      <c r="E21" s="94">
        <f ca="1">TblConstr[[#This Row],[Land]]</f>
        <v>110</v>
      </c>
      <c r="F21" s="94">
        <f ca="1">TblPop[[#This Row],[Peasants]]</f>
        <v>631</v>
      </c>
      <c r="G21" s="94">
        <f ca="1">TblMili[[#This Row],[Networth (2)]]</f>
        <v>2450</v>
      </c>
      <c r="H21" s="94">
        <f ca="1">OFFSET(TblProd[[#This Row],[Platinum]],-1,0)+OFFSET(TblProd[[#This Row],[Plat/hr]],-1,0) - TblProd[[#This Row],[Expenses Platinum]] + IF(TblProd[[#This Row],[Plat Bonus]],TblPop[[#This Row],[Peasants]]*4) + SUM(TblConstr[[#This Row],[Dest Hom]:[Dest Doc]])*TblConstr[[#This Row],[CPA Platinum -DB]]*tech_3_3_2*TblTech[[#This Row],[3-3]]</f>
        <v>74913</v>
      </c>
      <c r="I21" s="94">
        <f ca="1">OFFSET(TblProd[[#This Row],[Food]],-1,0)+OFFSET(TblProd[[#This Row],[Food/hr]],-1,0)+ROUNDUP((TblConstr[[#This Row],[Farms]]*80+TblConstr[[#This Row],[Docks]]*35)*(1+OFFSET(TblProd[[#This Row],[Bonus Food/hr]],-1,0)),0)</f>
        <v>50268</v>
      </c>
      <c r="J21" s="94">
        <f ca="1">OFFSET(TblProd[[#This Row],[Lumber]],-1,0)+OFFSET(TblProd[[#This Row],[Lumber/hr]],-1,0) - TblProd[[#This Row],[Expenses Lumber]] + SUM(TblConstr[[#This Row],[Dest Hom]:[Dest Doc]])*TblConstr[[#This Row],[CPA Lumber -DB]]*tech_3_3_2*TblTech[[#This Row],[3-3]]</f>
        <v>28349</v>
      </c>
      <c r="K21" s="94">
        <f ca="1">OFFSET(TblProd[[#This Row],[Mana]],-1,0)+OFFSET(TblProd[[#This Row],[Mana/hr]],-1,0)- TblProd[[#This Row],[Expenses Mana]]</f>
        <v>0</v>
      </c>
      <c r="L21" s="94">
        <f ca="1">OFFSET(TblProd[[#This Row],[Ore]],-1,0)+OFFSET(TblProd[[#This Row],[Ore/hr]],-1,0) -TblProd[[#This Row],[Expenses Ore]]</f>
        <v>0</v>
      </c>
      <c r="M21" s="94">
        <f ca="1">OFFSET(TblProd[[#This Row],[Gems]],-1,0)+OFFSET(TblProd[[#This Row],[Gems/hr]],-1,0) - TblProd[[#This Row],[Expenses Gems]]</f>
        <v>0</v>
      </c>
      <c r="N21" s="94">
        <f ca="1">OFFSET(TblProd[[#This Row],[Boats]],-1,0)+OFFSET(TblProd[[#This Row],[Boats/hr]],-1,0)</f>
        <v>0</v>
      </c>
      <c r="O21" s="94">
        <f ca="1">OFFSET(TblProd[[#This Row],[Prestige]],-1,0)</f>
        <v>250</v>
      </c>
      <c r="P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1" s="94">
        <f ca="1">MAX(_xlfn.CEILING.MATH(TblProd[[#This Row],[Land]]*2.5+IFERROR(OFFSET(TblTech[[#This Row],[Sum of tech]],-1,0)*50,0)),3750)</f>
        <v>3750</v>
      </c>
      <c r="R21" s="142"/>
      <c r="S21" s="94">
        <f ca="1">ROUNDDOWN(TblProd[[#This Row],[Raw Plat/hr]]*(1+TblProd[[#This Row],[Bonus Plat/hr]]),0)</f>
        <v>1703</v>
      </c>
      <c r="T21" s="94">
        <f ca="1">ROUND(TblProd[[#This Row],[Raw Food/hr]]*(1+TblProd[[#This Row],[Bonus Food/hr]])-TblProd[[#This Row],[Food decay]]-TblProd[[#This Row],[Food eaten]],0)</f>
        <v>1859</v>
      </c>
      <c r="U21" s="94">
        <f ca="1">ROUND(TblProd[[#This Row],[Raw Lumber/hr]]*(1+TblProd[[#This Row],[Bonus Lumber/hr]])-TblProd[[#This Row],[Lumber rot]],0)</f>
        <v>717</v>
      </c>
      <c r="V21" s="94">
        <f ca="1">ROUND(TblProd[[#This Row],[Raw Mana/hr]]*(1+TblProd[[#This Row],[Bonus Mana/hr]])-TblProd[[#This Row],[Mana drain]],0)</f>
        <v>0</v>
      </c>
      <c r="W21" s="94">
        <f ca="1">ROUNDDOWN(TblProd[[#This Row],[Raw Ore/hr]]*(1+TblProd[[#This Row],[Bonux Ore/hr]]),0)</f>
        <v>0</v>
      </c>
      <c r="X21" s="94">
        <f ca="1">ROUNDDOWN(TblProd[[#This Row],[Raw Gems/hr]]*(1+TblProd[[#This Row],[Bonus Gems/hr]]),0)</f>
        <v>0</v>
      </c>
      <c r="Y21" s="155">
        <f ca="1">OFFSET(TblConstr[[#This Row],[Tot Doc]],1,0)*dock_boats_hr * (1 + tech_4_1*TblTech[[#This Row],[4-1]])</f>
        <v>0</v>
      </c>
      <c r="Z21" s="154"/>
      <c r="AA21" s="94">
        <f ca="1">TblPop[[#This Row],[Peasants]]*tax*TblPop[[#This Row],[Employment]] + (Construction!AZ22+Construction!BX22)*(alch_plat+(Magic!AN21&gt;0)*alchemist_flame_bonus)</f>
        <v>1703.7</v>
      </c>
      <c r="AB21" s="94">
        <f ca="1">TblConstr[[#This Row],[Tot Farm]]*farm_food + TblConstr[[#This Row],[Tot Doc]]*dock_food</f>
        <v>2400</v>
      </c>
      <c r="AC21" s="94">
        <f ca="1">TblConstr[[#This Row],[Tot Ly]]*ly_lumber + TblConstr[[#This Row],[Tot Hav]]*fh_lumber + IF(race="Wood Elf",TblMili[[#This Row],[Unit 2]]*MIN(TblMili[[#This Row],[Homeland%]]/wisp_bonus,wisp_cap),0)</f>
        <v>1000</v>
      </c>
      <c r="AD21" s="94">
        <f ca="1">OFFSET(TblConstr[[#This Row],[Tot Tow]],1,0)*(tower_mana + tech_4_5*TblTech[[#This Row],[4-5]]) + OFFSET(TblConstr[[#This Row],[Tot WG]],1,0)*wg_mana_prod</f>
        <v>0</v>
      </c>
      <c r="AE21" s="94">
        <f ca="1">OFFSET(TblConstr[[#This Row],[Tot OM]],1,0)*om_ore+IF(race="Dwarf",TblMili[[#This Row],[Unit 2]]*0.5,0)</f>
        <v>0</v>
      </c>
      <c r="AF21" s="94">
        <f ca="1">OFFSET(TblConstr[[#This Row],[Tot DM]],1,0)*dm_gems</f>
        <v>0</v>
      </c>
      <c r="AG21" s="142"/>
      <c r="AH21" s="156">
        <f ca="1">MIN(race_platinum_bonus + IF(TblMagic[[#This Row],[Active Alch Frost]]&gt;0,alch_frost_bonus,IF(Magic!AE21&gt;0,midas_bonus)) + TblImps[[#This Row],[Science]] - TblProd[[#This Row],[Guard]]*(0.02 + tech_5_7*TblTech[[#This Row],[5-7]]) + tech_1_5*TblTech[[#This Row],[1-5]] + tech_4_4*TblTech[[#This Row],[4-4]] + IF(TblMagic[[#This Row],[Active Infernal Command]]&gt;0,demonic_pact_plat,0), 0.5)</f>
        <v>0</v>
      </c>
      <c r="AI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1" s="156">
        <f ca="1">race_lumber_bonus+ IF(TblMagic[[#This Row],[Active Gaia''s Blessing]]&gt;0,gaias_blessing_lumber)+ tech_1_3*TblTech[[#This Row],[1-3]] + tech_1_6*TblTech[[#This Row],[1-6]] + tech_3_3*TblTech[[#This Row],[3-3]]</f>
        <v>0</v>
      </c>
      <c r="AK21" s="156">
        <f ca="1">race_mana_bonus+ 0 + TblImps[[#This Row],[Spires]] + tech_1_2*TblTech[[#This Row],[1-2]] + tech_3_4*TblTech[[#This Row],[3-4]]</f>
        <v>0</v>
      </c>
      <c r="AL21" s="156">
        <f ca="1">race_ore_bonus + IF(TblMagic[[#This Row],[Active Miner''s Sight]]&gt;0,miners_sight_bonus,IF(TblMagic[[#This Row],[Active Mining Strength]]&gt;0,mining_strength_bonus)) +  tech_1_6*TblTech[[#This Row],[1-6]]</f>
        <v>0</v>
      </c>
      <c r="AM21" s="156">
        <f>race_gem_bonus+ tech_3_2*TblTech[[#This Row],[3-2]] + tech_4_3*TblTech[[#This Row],[4-3]] + tech_6_2*TblTech[[#This Row],[6-2]]</f>
        <v>0</v>
      </c>
      <c r="AN21" s="142"/>
      <c r="AO21" s="94">
        <f ca="1">TblProd[[#This Row],[Food]]*food_decay * (1 + tech_2_1*TblTech[[#This Row],[2-1]] + tech_2_8*TblTech[[#This Row],[2-8]] + IF(AND(TblMagic[[#This Row],[Active DnD]]&lt;12,TblMagic[[#This Row],[Active DnD]]&gt;5),1,0))</f>
        <v>502.68</v>
      </c>
      <c r="AP21" s="94">
        <f ca="1">(1+race_food_consumption)*TblPop[[#This Row],[Total]]*food_per_person*(1+tech_1_10*TblTech[[#This Row],[1-10]]+tech_7_5*TblTech[[#This Row],[7-5]] + IF(TblMagic[[#This Row],[Active Infernal Command]]&gt;0,demonic_pact_food_cons,0))</f>
        <v>218.5</v>
      </c>
      <c r="AQ21" s="94">
        <f ca="1">TblProd[[#This Row],[Lumber]]*lumber_rot * (1 + tech_2_1*TblTech[[#This Row],[2-1]] + tech_2_8*TblTech[[#This Row],[2-8]] + tech_5_2*TblTech[[#This Row],[5-2]] + IF(AND(TblMagic[[#This Row],[Active DnD]]&lt;12,TblMagic[[#This Row],[Active DnD]]&gt;5),1,0))</f>
        <v>283.49</v>
      </c>
      <c r="AR21" s="94">
        <f ca="1">TblProd[[#This Row],[Mana]]*mana_drain * (1 + tech_2_1*TblTech[[#This Row],[2-1]] + tech_2_8*TblTech[[#This Row],[2-8]])</f>
        <v>0</v>
      </c>
      <c r="AS21" s="154"/>
      <c r="AT21" s="94">
        <f ca="1">TblExplore[[#This Row],[Platinum (2)]]+TblConstr[[#This Row],[Total Plat Cost]]+TblMili[[#This Row],[Plat Cost]]+TblRezone[[#This Row],[Platinum cost]]+TblImps[[#This Row],[P1]]-TblProd[[#This Row],[Bank Plat]]</f>
        <v>0</v>
      </c>
      <c r="AU21" s="94">
        <f ca="1">TblConstr[[#This Row],[Total Lum Cost]]+TblImps[[#This Row],[L1]]-TblProd[[#This Row],[Bank Lumber]] + Military!$CO$25*TblMili[[#This Row],[Sec. rec. Cost]]</f>
        <v>0</v>
      </c>
      <c r="AV21" s="94">
        <f ca="1">TblMagic[[#This Row],[Mana cost]] + Military!$CO$26*TblMili[[#This Row],[Sec. rec. Cost]]</f>
        <v>0</v>
      </c>
      <c r="AW21" s="94">
        <f ca="1">Military!$CO$24*TblMili[[#This Row],[Sec. rec. Cost]]+TblImps[[#This Row],[O1]]-TblProd[[#This Row],[Bank Ore]]</f>
        <v>0</v>
      </c>
      <c r="AX21" s="94">
        <f>TblImps[[#This Row],[G1]]-TblProd[[#This Row],[Bank Gems]]</f>
        <v>0</v>
      </c>
      <c r="AY21" s="142"/>
      <c r="AZ21" s="61" t="b">
        <f ca="1">IF(TblProd[[#This Row],[Set Guard]]&lt;&gt;"",TblProd[[#This Row],[Set Guard]],OFFSET(TblProd[[#This Row],[Guard]],-1,0))</f>
        <v>0</v>
      </c>
      <c r="BA21" s="61"/>
      <c r="BB21" s="45">
        <f>TblProd[[#This Row],[Hour]]</f>
        <v>18</v>
      </c>
      <c r="BC21" s="94">
        <f>-TblProd[[#This Row],[Bank Lumber]] / 2 + -TblProd[[#This Row],[Bank Gems]] * 2 + -TblProd[[#This Row],[Bank Ore]] / 2</f>
        <v>0</v>
      </c>
      <c r="BD21" s="94"/>
      <c r="BE21" s="94"/>
      <c r="BF21" s="94"/>
      <c r="BG21" s="159">
        <f ca="1">TblProd[[#This Row],[Time]]</f>
        <v>46047.708333333292</v>
      </c>
      <c r="BH21" s="45" t="str">
        <f>IF(AND(TblProd[[#This Row],[Bank Plat]]=0,TblProd[[#This Row],[Bank Lumber]]=0,TblProd[[#This Row],[Bank Ore]]=0,TblProd[[#This Row],[Bank Gems]]=0),"",IF(TblProd[[#This Row],[Bank Plat]]&gt;0,IF((TblProd[[#This Row],[Bank Lumber]]+TblProd[[#This Row],[Bank Ore]])/2+TblProd[[#This Row],[Bank Gems]]*2+ROUNDUP(TblProd[[#This Row],[Bank Plat]]/(1 + tech_2_2*Techs!Y21),0)=0,"Ok","Nope"),IF(TblProd[[#This Row],[Bank Lumber]]&gt;0,IF((TblProd[[#This Row],[Bank Plat]]+TblProd[[#This Row],[Bank Ore]])/2+TblProd[[#This Row],[Bank Gems]]*2+ROUNDUP(TblProd[[#This Row],[Bank Lumber]]/(1 + tech_2_2*Techs!Y21),0)=0,"Ok","Nope"),IF(TblProd[[#This Row],[Bank Ore]]&gt;0,IF((TblProd[[#This Row],[Bank Plat]]+TblProd[[#This Row],[Bank Lumber]])/2+TblProd[[#This Row],[Bank Gems]]*2+ROUNDUP(TblProd[[#This Row],[Bank Ore]]/(1 + tech_2_2*Techs!Y21),0)=0,"Ok","Nope")))))</f>
        <v/>
      </c>
      <c r="BI21" s="94">
        <f ca="1">TblProd[[#This Row],[Platinum]]</f>
        <v>74913</v>
      </c>
      <c r="BJ21" s="94">
        <f ca="1">TblProd[[#This Row],[Food]]</f>
        <v>50268</v>
      </c>
      <c r="BK21" s="94">
        <f ca="1">TblProd[[#This Row],[Lumber]]</f>
        <v>28349</v>
      </c>
      <c r="BL21" s="94">
        <f ca="1">TblProd[[#This Row],[Mana]]</f>
        <v>0</v>
      </c>
      <c r="BM21" s="94">
        <f ca="1">TblProd[[#This Row],[Ore]]</f>
        <v>0</v>
      </c>
    </row>
    <row r="22" spans="1:65" hidden="1" x14ac:dyDescent="0.2">
      <c r="A22" s="137">
        <v>19</v>
      </c>
      <c r="B22" s="152">
        <f ca="1">TblImps[[#This Row],[Time]]</f>
        <v>46047.749999999956</v>
      </c>
      <c r="C22" s="61"/>
      <c r="D22" s="154"/>
      <c r="E22" s="94">
        <f ca="1">TblConstr[[#This Row],[Land]]</f>
        <v>110</v>
      </c>
      <c r="F22" s="94">
        <f ca="1">TblPop[[#This Row],[Peasants]]</f>
        <v>644</v>
      </c>
      <c r="G22" s="94">
        <f ca="1">TblMili[[#This Row],[Networth (2)]]</f>
        <v>2450</v>
      </c>
      <c r="H22" s="94">
        <f ca="1">OFFSET(TblProd[[#This Row],[Platinum]],-1,0)+OFFSET(TblProd[[#This Row],[Plat/hr]],-1,0) - TblProd[[#This Row],[Expenses Platinum]] + IF(TblProd[[#This Row],[Plat Bonus]],TblPop[[#This Row],[Peasants]]*4) + SUM(TblConstr[[#This Row],[Dest Hom]:[Dest Doc]])*TblConstr[[#This Row],[CPA Platinum -DB]]*tech_3_3_2*TblTech[[#This Row],[3-3]]</f>
        <v>76616</v>
      </c>
      <c r="I22" s="94">
        <f ca="1">OFFSET(TblProd[[#This Row],[Food]],-1,0)+OFFSET(TblProd[[#This Row],[Food/hr]],-1,0)+ROUNDUP((TblConstr[[#This Row],[Farms]]*80+TblConstr[[#This Row],[Docks]]*35)*(1+OFFSET(TblProd[[#This Row],[Bonus Food/hr]],-1,0)),0)</f>
        <v>52127</v>
      </c>
      <c r="J22" s="94">
        <f ca="1">OFFSET(TblProd[[#This Row],[Lumber]],-1,0)+OFFSET(TblProd[[#This Row],[Lumber/hr]],-1,0) - TblProd[[#This Row],[Expenses Lumber]] + SUM(TblConstr[[#This Row],[Dest Hom]:[Dest Doc]])*TblConstr[[#This Row],[CPA Lumber -DB]]*tech_3_3_2*TblTech[[#This Row],[3-3]]</f>
        <v>29066</v>
      </c>
      <c r="K22" s="94">
        <f ca="1">OFFSET(TblProd[[#This Row],[Mana]],-1,0)+OFFSET(TblProd[[#This Row],[Mana/hr]],-1,0)- TblProd[[#This Row],[Expenses Mana]]</f>
        <v>0</v>
      </c>
      <c r="L22" s="94">
        <f ca="1">OFFSET(TblProd[[#This Row],[Ore]],-1,0)+OFFSET(TblProd[[#This Row],[Ore/hr]],-1,0) -TblProd[[#This Row],[Expenses Ore]]</f>
        <v>0</v>
      </c>
      <c r="M22" s="94">
        <f ca="1">OFFSET(TblProd[[#This Row],[Gems]],-1,0)+OFFSET(TblProd[[#This Row],[Gems/hr]],-1,0) - TblProd[[#This Row],[Expenses Gems]]</f>
        <v>0</v>
      </c>
      <c r="N22" s="94">
        <f ca="1">OFFSET(TblProd[[#This Row],[Boats]],-1,0)+OFFSET(TblProd[[#This Row],[Boats/hr]],-1,0)</f>
        <v>0</v>
      </c>
      <c r="O22" s="94">
        <f ca="1">OFFSET(TblProd[[#This Row],[Prestige]],-1,0)</f>
        <v>250</v>
      </c>
      <c r="P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2" s="94">
        <f ca="1">MAX(_xlfn.CEILING.MATH(TblProd[[#This Row],[Land]]*2.5+IFERROR(OFFSET(TblTech[[#This Row],[Sum of tech]],-1,0)*50,0)),3750)</f>
        <v>3750</v>
      </c>
      <c r="R22" s="142"/>
      <c r="S22" s="94">
        <f ca="1">ROUNDDOWN(TblProd[[#This Row],[Raw Plat/hr]]*(1+TblProd[[#This Row],[Bonus Plat/hr]]),0)</f>
        <v>1738</v>
      </c>
      <c r="T22" s="94">
        <f ca="1">ROUND(TblProd[[#This Row],[Raw Food/hr]]*(1+TblProd[[#This Row],[Bonus Food/hr]])-TblProd[[#This Row],[Food decay]]-TblProd[[#This Row],[Food eaten]],0)</f>
        <v>1835</v>
      </c>
      <c r="U22" s="94">
        <f ca="1">ROUND(TblProd[[#This Row],[Raw Lumber/hr]]*(1+TblProd[[#This Row],[Bonus Lumber/hr]])-TblProd[[#This Row],[Lumber rot]],0)</f>
        <v>709</v>
      </c>
      <c r="V22" s="94">
        <f ca="1">ROUND(TblProd[[#This Row],[Raw Mana/hr]]*(1+TblProd[[#This Row],[Bonus Mana/hr]])-TblProd[[#This Row],[Mana drain]],0)</f>
        <v>0</v>
      </c>
      <c r="W22" s="94">
        <f ca="1">ROUNDDOWN(TblProd[[#This Row],[Raw Ore/hr]]*(1+TblProd[[#This Row],[Bonux Ore/hr]]),0)</f>
        <v>0</v>
      </c>
      <c r="X22" s="94">
        <f ca="1">ROUNDDOWN(TblProd[[#This Row],[Raw Gems/hr]]*(1+TblProd[[#This Row],[Bonus Gems/hr]]),0)</f>
        <v>0</v>
      </c>
      <c r="Y22" s="155">
        <f ca="1">OFFSET(TblConstr[[#This Row],[Tot Doc]],1,0)*dock_boats_hr * (1 + tech_4_1*TblTech[[#This Row],[4-1]])</f>
        <v>0</v>
      </c>
      <c r="Z22" s="154"/>
      <c r="AA22" s="94">
        <f ca="1">TblPop[[#This Row],[Peasants]]*tax*TblPop[[#This Row],[Employment]] + (Construction!AZ23+Construction!BX23)*(alch_plat+(Magic!AN22&gt;0)*alchemist_flame_bonus)</f>
        <v>1738.8000000000002</v>
      </c>
      <c r="AB22" s="94">
        <f ca="1">TblConstr[[#This Row],[Tot Farm]]*farm_food + TblConstr[[#This Row],[Tot Doc]]*dock_food</f>
        <v>2400</v>
      </c>
      <c r="AC22" s="94">
        <f ca="1">TblConstr[[#This Row],[Tot Ly]]*ly_lumber + TblConstr[[#This Row],[Tot Hav]]*fh_lumber + IF(race="Wood Elf",TblMili[[#This Row],[Unit 2]]*MIN(TblMili[[#This Row],[Homeland%]]/wisp_bonus,wisp_cap),0)</f>
        <v>1000</v>
      </c>
      <c r="AD22" s="94">
        <f ca="1">OFFSET(TblConstr[[#This Row],[Tot Tow]],1,0)*(tower_mana + tech_4_5*TblTech[[#This Row],[4-5]]) + OFFSET(TblConstr[[#This Row],[Tot WG]],1,0)*wg_mana_prod</f>
        <v>0</v>
      </c>
      <c r="AE22" s="94">
        <f ca="1">OFFSET(TblConstr[[#This Row],[Tot OM]],1,0)*om_ore+IF(race="Dwarf",TblMili[[#This Row],[Unit 2]]*0.5,0)</f>
        <v>0</v>
      </c>
      <c r="AF22" s="94">
        <f ca="1">OFFSET(TblConstr[[#This Row],[Tot DM]],1,0)*dm_gems</f>
        <v>0</v>
      </c>
      <c r="AG22" s="142"/>
      <c r="AH22" s="156">
        <f ca="1">MIN(race_platinum_bonus + IF(TblMagic[[#This Row],[Active Alch Frost]]&gt;0,alch_frost_bonus,IF(Magic!AE22&gt;0,midas_bonus)) + TblImps[[#This Row],[Science]] - TblProd[[#This Row],[Guard]]*(0.02 + tech_5_7*TblTech[[#This Row],[5-7]]) + tech_1_5*TblTech[[#This Row],[1-5]] + tech_4_4*TblTech[[#This Row],[4-4]] + IF(TblMagic[[#This Row],[Active Infernal Command]]&gt;0,demonic_pact_plat,0), 0.5)</f>
        <v>0</v>
      </c>
      <c r="AI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2" s="156">
        <f ca="1">race_lumber_bonus+ IF(TblMagic[[#This Row],[Active Gaia''s Blessing]]&gt;0,gaias_blessing_lumber)+ tech_1_3*TblTech[[#This Row],[1-3]] + tech_1_6*TblTech[[#This Row],[1-6]] + tech_3_3*TblTech[[#This Row],[3-3]]</f>
        <v>0</v>
      </c>
      <c r="AK22" s="156">
        <f ca="1">race_mana_bonus+ 0 + TblImps[[#This Row],[Spires]] + tech_1_2*TblTech[[#This Row],[1-2]] + tech_3_4*TblTech[[#This Row],[3-4]]</f>
        <v>0</v>
      </c>
      <c r="AL22" s="156">
        <f ca="1">race_ore_bonus + IF(TblMagic[[#This Row],[Active Miner''s Sight]]&gt;0,miners_sight_bonus,IF(TblMagic[[#This Row],[Active Mining Strength]]&gt;0,mining_strength_bonus)) +  tech_1_6*TblTech[[#This Row],[1-6]]</f>
        <v>0</v>
      </c>
      <c r="AM22" s="156">
        <f>race_gem_bonus+ tech_3_2*TblTech[[#This Row],[3-2]] + tech_4_3*TblTech[[#This Row],[4-3]] + tech_6_2*TblTech[[#This Row],[6-2]]</f>
        <v>0</v>
      </c>
      <c r="AN22" s="142"/>
      <c r="AO22" s="94">
        <f ca="1">TblProd[[#This Row],[Food]]*food_decay * (1 + tech_2_1*TblTech[[#This Row],[2-1]] + tech_2_8*TblTech[[#This Row],[2-8]] + IF(AND(TblMagic[[#This Row],[Active DnD]]&lt;12,TblMagic[[#This Row],[Active DnD]]&gt;5),1,0))</f>
        <v>521.27</v>
      </c>
      <c r="AP22" s="94">
        <f ca="1">(1+race_food_consumption)*TblPop[[#This Row],[Total]]*food_per_person*(1+tech_1_10*TblTech[[#This Row],[1-10]]+tech_7_5*TblTech[[#This Row],[7-5]] + IF(TblMagic[[#This Row],[Active Infernal Command]]&gt;0,demonic_pact_food_cons,0))</f>
        <v>223.25</v>
      </c>
      <c r="AQ22" s="94">
        <f ca="1">TblProd[[#This Row],[Lumber]]*lumber_rot * (1 + tech_2_1*TblTech[[#This Row],[2-1]] + tech_2_8*TblTech[[#This Row],[2-8]] + tech_5_2*TblTech[[#This Row],[5-2]] + IF(AND(TblMagic[[#This Row],[Active DnD]]&lt;12,TblMagic[[#This Row],[Active DnD]]&gt;5),1,0))</f>
        <v>290.66000000000003</v>
      </c>
      <c r="AR22" s="94">
        <f ca="1">TblProd[[#This Row],[Mana]]*mana_drain * (1 + tech_2_1*TblTech[[#This Row],[2-1]] + tech_2_8*TblTech[[#This Row],[2-8]])</f>
        <v>0</v>
      </c>
      <c r="AS22" s="154"/>
      <c r="AT22" s="94">
        <f ca="1">TblExplore[[#This Row],[Platinum (2)]]+TblConstr[[#This Row],[Total Plat Cost]]+TblMili[[#This Row],[Plat Cost]]+TblRezone[[#This Row],[Platinum cost]]+TblImps[[#This Row],[P1]]-TblProd[[#This Row],[Bank Plat]]</f>
        <v>0</v>
      </c>
      <c r="AU22" s="94">
        <f ca="1">TblConstr[[#This Row],[Total Lum Cost]]+TblImps[[#This Row],[L1]]-TblProd[[#This Row],[Bank Lumber]] + Military!$CO$25*TblMili[[#This Row],[Sec. rec. Cost]]</f>
        <v>0</v>
      </c>
      <c r="AV22" s="94">
        <f ca="1">TblMagic[[#This Row],[Mana cost]] + Military!$CO$26*TblMili[[#This Row],[Sec. rec. Cost]]</f>
        <v>0</v>
      </c>
      <c r="AW22" s="94">
        <f ca="1">Military!$CO$24*TblMili[[#This Row],[Sec. rec. Cost]]+TblImps[[#This Row],[O1]]-TblProd[[#This Row],[Bank Ore]]</f>
        <v>0</v>
      </c>
      <c r="AX22" s="94">
        <f>TblImps[[#This Row],[G1]]-TblProd[[#This Row],[Bank Gems]]</f>
        <v>0</v>
      </c>
      <c r="AY22" s="142"/>
      <c r="AZ22" s="61" t="b">
        <f ca="1">IF(TblProd[[#This Row],[Set Guard]]&lt;&gt;"",TblProd[[#This Row],[Set Guard]],OFFSET(TblProd[[#This Row],[Guard]],-1,0))</f>
        <v>0</v>
      </c>
      <c r="BA22" s="61"/>
      <c r="BB22" s="45">
        <f>TblProd[[#This Row],[Hour]]</f>
        <v>19</v>
      </c>
      <c r="BC22" s="94">
        <f>-TblProd[[#This Row],[Bank Lumber]] / 2 + -TblProd[[#This Row],[Bank Gems]] * 2 + -TblProd[[#This Row],[Bank Ore]] / 2</f>
        <v>0</v>
      </c>
      <c r="BD22" s="94"/>
      <c r="BE22" s="94"/>
      <c r="BF22" s="94"/>
      <c r="BG22" s="159">
        <f ca="1">TblProd[[#This Row],[Time]]</f>
        <v>46047.749999999956</v>
      </c>
      <c r="BH22" s="45" t="str">
        <f>IF(AND(TblProd[[#This Row],[Bank Plat]]=0,TblProd[[#This Row],[Bank Lumber]]=0,TblProd[[#This Row],[Bank Ore]]=0,TblProd[[#This Row],[Bank Gems]]=0),"",IF(TblProd[[#This Row],[Bank Plat]]&gt;0,IF((TblProd[[#This Row],[Bank Lumber]]+TblProd[[#This Row],[Bank Ore]])/2+TblProd[[#This Row],[Bank Gems]]*2+ROUNDUP(TblProd[[#This Row],[Bank Plat]]/(1 + tech_2_2*Techs!Y22),0)=0,"Ok","Nope"),IF(TblProd[[#This Row],[Bank Lumber]]&gt;0,IF((TblProd[[#This Row],[Bank Plat]]+TblProd[[#This Row],[Bank Ore]])/2+TblProd[[#This Row],[Bank Gems]]*2+ROUNDUP(TblProd[[#This Row],[Bank Lumber]]/(1 + tech_2_2*Techs!Y22),0)=0,"Ok","Nope"),IF(TblProd[[#This Row],[Bank Ore]]&gt;0,IF((TblProd[[#This Row],[Bank Plat]]+TblProd[[#This Row],[Bank Lumber]])/2+TblProd[[#This Row],[Bank Gems]]*2+ROUNDUP(TblProd[[#This Row],[Bank Ore]]/(1 + tech_2_2*Techs!Y22),0)=0,"Ok","Nope")))))</f>
        <v/>
      </c>
      <c r="BI22" s="94">
        <f ca="1">TblProd[[#This Row],[Platinum]]</f>
        <v>76616</v>
      </c>
      <c r="BJ22" s="94">
        <f ca="1">TblProd[[#This Row],[Food]]</f>
        <v>52127</v>
      </c>
      <c r="BK22" s="94">
        <f ca="1">TblProd[[#This Row],[Lumber]]</f>
        <v>29066</v>
      </c>
      <c r="BL22" s="94">
        <f ca="1">TblProd[[#This Row],[Mana]]</f>
        <v>0</v>
      </c>
      <c r="BM22" s="94">
        <f ca="1">TblProd[[#This Row],[Ore]]</f>
        <v>0</v>
      </c>
    </row>
    <row r="23" spans="1:65" hidden="1" x14ac:dyDescent="0.2">
      <c r="A23" s="137">
        <v>20</v>
      </c>
      <c r="B23" s="152">
        <f ca="1">TblImps[[#This Row],[Time]]</f>
        <v>46047.791666666621</v>
      </c>
      <c r="C23" s="61"/>
      <c r="D23" s="154"/>
      <c r="E23" s="94">
        <f ca="1">TblConstr[[#This Row],[Land]]</f>
        <v>110</v>
      </c>
      <c r="F23" s="94">
        <f ca="1">TblPop[[#This Row],[Peasants]]</f>
        <v>657</v>
      </c>
      <c r="G23" s="94">
        <f ca="1">TblMili[[#This Row],[Networth (2)]]</f>
        <v>2450</v>
      </c>
      <c r="H23" s="94">
        <f ca="1">OFFSET(TblProd[[#This Row],[Platinum]],-1,0)+OFFSET(TblProd[[#This Row],[Plat/hr]],-1,0) - TblProd[[#This Row],[Expenses Platinum]] + IF(TblProd[[#This Row],[Plat Bonus]],TblPop[[#This Row],[Peasants]]*4) + SUM(TblConstr[[#This Row],[Dest Hom]:[Dest Doc]])*TblConstr[[#This Row],[CPA Platinum -DB]]*tech_3_3_2*TblTech[[#This Row],[3-3]]</f>
        <v>78354</v>
      </c>
      <c r="I23" s="94">
        <f ca="1">OFFSET(TblProd[[#This Row],[Food]],-1,0)+OFFSET(TblProd[[#This Row],[Food/hr]],-1,0)+ROUNDUP((TblConstr[[#This Row],[Farms]]*80+TblConstr[[#This Row],[Docks]]*35)*(1+OFFSET(TblProd[[#This Row],[Bonus Food/hr]],-1,0)),0)</f>
        <v>53962</v>
      </c>
      <c r="J23" s="94">
        <f ca="1">OFFSET(TblProd[[#This Row],[Lumber]],-1,0)+OFFSET(TblProd[[#This Row],[Lumber/hr]],-1,0) - TblProd[[#This Row],[Expenses Lumber]] + SUM(TblConstr[[#This Row],[Dest Hom]:[Dest Doc]])*TblConstr[[#This Row],[CPA Lumber -DB]]*tech_3_3_2*TblTech[[#This Row],[3-3]]</f>
        <v>29775</v>
      </c>
      <c r="K23" s="94">
        <f ca="1">OFFSET(TblProd[[#This Row],[Mana]],-1,0)+OFFSET(TblProd[[#This Row],[Mana/hr]],-1,0)- TblProd[[#This Row],[Expenses Mana]]</f>
        <v>0</v>
      </c>
      <c r="L23" s="94">
        <f ca="1">OFFSET(TblProd[[#This Row],[Ore]],-1,0)+OFFSET(TblProd[[#This Row],[Ore/hr]],-1,0) -TblProd[[#This Row],[Expenses Ore]]</f>
        <v>0</v>
      </c>
      <c r="M23" s="94">
        <f ca="1">OFFSET(TblProd[[#This Row],[Gems]],-1,0)+OFFSET(TblProd[[#This Row],[Gems/hr]],-1,0) - TblProd[[#This Row],[Expenses Gems]]</f>
        <v>0</v>
      </c>
      <c r="N23" s="94">
        <f ca="1">OFFSET(TblProd[[#This Row],[Boats]],-1,0)+OFFSET(TblProd[[#This Row],[Boats/hr]],-1,0)</f>
        <v>0</v>
      </c>
      <c r="O23" s="94">
        <f ca="1">OFFSET(TblProd[[#This Row],[Prestige]],-1,0)</f>
        <v>250</v>
      </c>
      <c r="P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3" s="94">
        <f ca="1">MAX(_xlfn.CEILING.MATH(TblProd[[#This Row],[Land]]*2.5+IFERROR(OFFSET(TblTech[[#This Row],[Sum of tech]],-1,0)*50,0)),3750)</f>
        <v>3750</v>
      </c>
      <c r="R23" s="142"/>
      <c r="S23" s="94">
        <f ca="1">ROUNDDOWN(TblProd[[#This Row],[Raw Plat/hr]]*(1+TblProd[[#This Row],[Bonus Plat/hr]]),0)</f>
        <v>1773</v>
      </c>
      <c r="T23" s="94">
        <f ca="1">ROUND(TblProd[[#This Row],[Raw Food/hr]]*(1+TblProd[[#This Row],[Bonus Food/hr]])-TblProd[[#This Row],[Food decay]]-TblProd[[#This Row],[Food eaten]],0)</f>
        <v>1812</v>
      </c>
      <c r="U23" s="94">
        <f ca="1">ROUND(TblProd[[#This Row],[Raw Lumber/hr]]*(1+TblProd[[#This Row],[Bonus Lumber/hr]])-TblProd[[#This Row],[Lumber rot]],0)</f>
        <v>702</v>
      </c>
      <c r="V23" s="94">
        <f ca="1">ROUND(TblProd[[#This Row],[Raw Mana/hr]]*(1+TblProd[[#This Row],[Bonus Mana/hr]])-TblProd[[#This Row],[Mana drain]],0)</f>
        <v>0</v>
      </c>
      <c r="W23" s="94">
        <f ca="1">ROUNDDOWN(TblProd[[#This Row],[Raw Ore/hr]]*(1+TblProd[[#This Row],[Bonux Ore/hr]]),0)</f>
        <v>0</v>
      </c>
      <c r="X23" s="94">
        <f ca="1">ROUNDDOWN(TblProd[[#This Row],[Raw Gems/hr]]*(1+TblProd[[#This Row],[Bonus Gems/hr]]),0)</f>
        <v>0</v>
      </c>
      <c r="Y23" s="155">
        <f ca="1">OFFSET(TblConstr[[#This Row],[Tot Doc]],1,0)*dock_boats_hr * (1 + tech_4_1*TblTech[[#This Row],[4-1]])</f>
        <v>0</v>
      </c>
      <c r="Z23" s="154"/>
      <c r="AA23" s="94">
        <f ca="1">TblPop[[#This Row],[Peasants]]*tax*TblPop[[#This Row],[Employment]] + (Construction!AZ24+Construction!BX24)*(alch_plat+(Magic!AN23&gt;0)*alchemist_flame_bonus)</f>
        <v>1773.9</v>
      </c>
      <c r="AB23" s="94">
        <f ca="1">TblConstr[[#This Row],[Tot Farm]]*farm_food + TblConstr[[#This Row],[Tot Doc]]*dock_food</f>
        <v>2400</v>
      </c>
      <c r="AC23" s="94">
        <f ca="1">TblConstr[[#This Row],[Tot Ly]]*ly_lumber + TblConstr[[#This Row],[Tot Hav]]*fh_lumber + IF(race="Wood Elf",TblMili[[#This Row],[Unit 2]]*MIN(TblMili[[#This Row],[Homeland%]]/wisp_bonus,wisp_cap),0)</f>
        <v>1000</v>
      </c>
      <c r="AD23" s="94">
        <f ca="1">OFFSET(TblConstr[[#This Row],[Tot Tow]],1,0)*(tower_mana + tech_4_5*TblTech[[#This Row],[4-5]]) + OFFSET(TblConstr[[#This Row],[Tot WG]],1,0)*wg_mana_prod</f>
        <v>0</v>
      </c>
      <c r="AE23" s="94">
        <f ca="1">OFFSET(TblConstr[[#This Row],[Tot OM]],1,0)*om_ore+IF(race="Dwarf",TblMili[[#This Row],[Unit 2]]*0.5,0)</f>
        <v>0</v>
      </c>
      <c r="AF23" s="94">
        <f ca="1">OFFSET(TblConstr[[#This Row],[Tot DM]],1,0)*dm_gems</f>
        <v>0</v>
      </c>
      <c r="AG23" s="142"/>
      <c r="AH23" s="156">
        <f ca="1">MIN(race_platinum_bonus + IF(TblMagic[[#This Row],[Active Alch Frost]]&gt;0,alch_frost_bonus,IF(Magic!AE23&gt;0,midas_bonus)) + TblImps[[#This Row],[Science]] - TblProd[[#This Row],[Guard]]*(0.02 + tech_5_7*TblTech[[#This Row],[5-7]]) + tech_1_5*TblTech[[#This Row],[1-5]] + tech_4_4*TblTech[[#This Row],[4-4]] + IF(TblMagic[[#This Row],[Active Infernal Command]]&gt;0,demonic_pact_plat,0), 0.5)</f>
        <v>0</v>
      </c>
      <c r="AI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3" s="156">
        <f ca="1">race_lumber_bonus+ IF(TblMagic[[#This Row],[Active Gaia''s Blessing]]&gt;0,gaias_blessing_lumber)+ tech_1_3*TblTech[[#This Row],[1-3]] + tech_1_6*TblTech[[#This Row],[1-6]] + tech_3_3*TblTech[[#This Row],[3-3]]</f>
        <v>0</v>
      </c>
      <c r="AK23" s="156">
        <f ca="1">race_mana_bonus+ 0 + TblImps[[#This Row],[Spires]] + tech_1_2*TblTech[[#This Row],[1-2]] + tech_3_4*TblTech[[#This Row],[3-4]]</f>
        <v>0</v>
      </c>
      <c r="AL23" s="156">
        <f ca="1">race_ore_bonus + IF(TblMagic[[#This Row],[Active Miner''s Sight]]&gt;0,miners_sight_bonus,IF(TblMagic[[#This Row],[Active Mining Strength]]&gt;0,mining_strength_bonus)) +  tech_1_6*TblTech[[#This Row],[1-6]]</f>
        <v>0</v>
      </c>
      <c r="AM23" s="156">
        <f>race_gem_bonus+ tech_3_2*TblTech[[#This Row],[3-2]] + tech_4_3*TblTech[[#This Row],[4-3]] + tech_6_2*TblTech[[#This Row],[6-2]]</f>
        <v>0</v>
      </c>
      <c r="AN23" s="142"/>
      <c r="AO23" s="94">
        <f ca="1">TblProd[[#This Row],[Food]]*food_decay * (1 + tech_2_1*TblTech[[#This Row],[2-1]] + tech_2_8*TblTech[[#This Row],[2-8]] + IF(AND(TblMagic[[#This Row],[Active DnD]]&lt;12,TblMagic[[#This Row],[Active DnD]]&gt;5),1,0))</f>
        <v>539.62</v>
      </c>
      <c r="AP23" s="94">
        <f ca="1">(1+race_food_consumption)*TblPop[[#This Row],[Total]]*food_per_person*(1+tech_1_10*TblTech[[#This Row],[1-10]]+tech_7_5*TblTech[[#This Row],[7-5]] + IF(TblMagic[[#This Row],[Active Infernal Command]]&gt;0,demonic_pact_food_cons,0))</f>
        <v>228</v>
      </c>
      <c r="AQ23" s="94">
        <f ca="1">TblProd[[#This Row],[Lumber]]*lumber_rot * (1 + tech_2_1*TblTech[[#This Row],[2-1]] + tech_2_8*TblTech[[#This Row],[2-8]] + tech_5_2*TblTech[[#This Row],[5-2]] + IF(AND(TblMagic[[#This Row],[Active DnD]]&lt;12,TblMagic[[#This Row],[Active DnD]]&gt;5),1,0))</f>
        <v>297.75</v>
      </c>
      <c r="AR23" s="94">
        <f ca="1">TblProd[[#This Row],[Mana]]*mana_drain * (1 + tech_2_1*TblTech[[#This Row],[2-1]] + tech_2_8*TblTech[[#This Row],[2-8]])</f>
        <v>0</v>
      </c>
      <c r="AS23" s="154"/>
      <c r="AT23" s="94">
        <f ca="1">TblExplore[[#This Row],[Platinum (2)]]+TblConstr[[#This Row],[Total Plat Cost]]+TblMili[[#This Row],[Plat Cost]]+TblRezone[[#This Row],[Platinum cost]]+TblImps[[#This Row],[P1]]-TblProd[[#This Row],[Bank Plat]]</f>
        <v>0</v>
      </c>
      <c r="AU23" s="94">
        <f ca="1">TblConstr[[#This Row],[Total Lum Cost]]+TblImps[[#This Row],[L1]]-TblProd[[#This Row],[Bank Lumber]] + Military!$CO$25*TblMili[[#This Row],[Sec. rec. Cost]]</f>
        <v>0</v>
      </c>
      <c r="AV23" s="94">
        <f ca="1">TblMagic[[#This Row],[Mana cost]] + Military!$CO$26*TblMili[[#This Row],[Sec. rec. Cost]]</f>
        <v>0</v>
      </c>
      <c r="AW23" s="94">
        <f ca="1">Military!$CO$24*TblMili[[#This Row],[Sec. rec. Cost]]+TblImps[[#This Row],[O1]]-TblProd[[#This Row],[Bank Ore]]</f>
        <v>0</v>
      </c>
      <c r="AX23" s="94">
        <f>TblImps[[#This Row],[G1]]-TblProd[[#This Row],[Bank Gems]]</f>
        <v>0</v>
      </c>
      <c r="AY23" s="142"/>
      <c r="AZ23" s="61" t="b">
        <f ca="1">IF(TblProd[[#This Row],[Set Guard]]&lt;&gt;"",TblProd[[#This Row],[Set Guard]],OFFSET(TblProd[[#This Row],[Guard]],-1,0))</f>
        <v>0</v>
      </c>
      <c r="BA23" s="61"/>
      <c r="BB23" s="45">
        <f>TblProd[[#This Row],[Hour]]</f>
        <v>20</v>
      </c>
      <c r="BC23" s="94">
        <f>-TblProd[[#This Row],[Bank Lumber]] / 2 + -TblProd[[#This Row],[Bank Gems]] * 2 + -TblProd[[#This Row],[Bank Ore]] / 2</f>
        <v>0</v>
      </c>
      <c r="BD23" s="94"/>
      <c r="BE23" s="94"/>
      <c r="BF23" s="94"/>
      <c r="BG23" s="159">
        <f ca="1">TblProd[[#This Row],[Time]]</f>
        <v>46047.791666666621</v>
      </c>
      <c r="BH23" s="45" t="str">
        <f>IF(AND(TblProd[[#This Row],[Bank Plat]]=0,TblProd[[#This Row],[Bank Lumber]]=0,TblProd[[#This Row],[Bank Ore]]=0,TblProd[[#This Row],[Bank Gems]]=0),"",IF(TblProd[[#This Row],[Bank Plat]]&gt;0,IF((TblProd[[#This Row],[Bank Lumber]]+TblProd[[#This Row],[Bank Ore]])/2+TblProd[[#This Row],[Bank Gems]]*2+ROUNDUP(TblProd[[#This Row],[Bank Plat]]/(1 + tech_2_2*Techs!Y23),0)=0,"Ok","Nope"),IF(TblProd[[#This Row],[Bank Lumber]]&gt;0,IF((TblProd[[#This Row],[Bank Plat]]+TblProd[[#This Row],[Bank Ore]])/2+TblProd[[#This Row],[Bank Gems]]*2+ROUNDUP(TblProd[[#This Row],[Bank Lumber]]/(1 + tech_2_2*Techs!Y23),0)=0,"Ok","Nope"),IF(TblProd[[#This Row],[Bank Ore]]&gt;0,IF((TblProd[[#This Row],[Bank Plat]]+TblProd[[#This Row],[Bank Lumber]])/2+TblProd[[#This Row],[Bank Gems]]*2+ROUNDUP(TblProd[[#This Row],[Bank Ore]]/(1 + tech_2_2*Techs!Y23),0)=0,"Ok","Nope")))))</f>
        <v/>
      </c>
      <c r="BI23" s="94">
        <f ca="1">TblProd[[#This Row],[Platinum]]</f>
        <v>78354</v>
      </c>
      <c r="BJ23" s="94">
        <f ca="1">TblProd[[#This Row],[Food]]</f>
        <v>53962</v>
      </c>
      <c r="BK23" s="94">
        <f ca="1">TblProd[[#This Row],[Lumber]]</f>
        <v>29775</v>
      </c>
      <c r="BL23" s="94">
        <f ca="1">TblProd[[#This Row],[Mana]]</f>
        <v>0</v>
      </c>
      <c r="BM23" s="94">
        <f ca="1">TblProd[[#This Row],[Ore]]</f>
        <v>0</v>
      </c>
    </row>
    <row r="24" spans="1:65" hidden="1" x14ac:dyDescent="0.2">
      <c r="A24" s="137">
        <v>21</v>
      </c>
      <c r="B24" s="152">
        <f ca="1">TblImps[[#This Row],[Time]]</f>
        <v>46047.833333333285</v>
      </c>
      <c r="C24" s="61"/>
      <c r="D24" s="154"/>
      <c r="E24" s="94">
        <f ca="1">TblConstr[[#This Row],[Land]]</f>
        <v>110</v>
      </c>
      <c r="F24" s="94">
        <f ca="1">TblPop[[#This Row],[Peasants]]</f>
        <v>670</v>
      </c>
      <c r="G24" s="94">
        <f ca="1">TblMili[[#This Row],[Networth (2)]]</f>
        <v>2450</v>
      </c>
      <c r="H24" s="94">
        <f ca="1">OFFSET(TblProd[[#This Row],[Platinum]],-1,0)+OFFSET(TblProd[[#This Row],[Plat/hr]],-1,0) - TblProd[[#This Row],[Expenses Platinum]] + IF(TblProd[[#This Row],[Plat Bonus]],TblPop[[#This Row],[Peasants]]*4) + SUM(TblConstr[[#This Row],[Dest Hom]:[Dest Doc]])*TblConstr[[#This Row],[CPA Platinum -DB]]*tech_3_3_2*TblTech[[#This Row],[3-3]]</f>
        <v>80127</v>
      </c>
      <c r="I24" s="94">
        <f ca="1">OFFSET(TblProd[[#This Row],[Food]],-1,0)+OFFSET(TblProd[[#This Row],[Food/hr]],-1,0)+ROUNDUP((TblConstr[[#This Row],[Farms]]*80+TblConstr[[#This Row],[Docks]]*35)*(1+OFFSET(TblProd[[#This Row],[Bonus Food/hr]],-1,0)),0)</f>
        <v>55774</v>
      </c>
      <c r="J24" s="94">
        <f ca="1">OFFSET(TblProd[[#This Row],[Lumber]],-1,0)+OFFSET(TblProd[[#This Row],[Lumber/hr]],-1,0) - TblProd[[#This Row],[Expenses Lumber]] + SUM(TblConstr[[#This Row],[Dest Hom]:[Dest Doc]])*TblConstr[[#This Row],[CPA Lumber -DB]]*tech_3_3_2*TblTech[[#This Row],[3-3]]</f>
        <v>30477</v>
      </c>
      <c r="K24" s="94">
        <f ca="1">OFFSET(TblProd[[#This Row],[Mana]],-1,0)+OFFSET(TblProd[[#This Row],[Mana/hr]],-1,0)- TblProd[[#This Row],[Expenses Mana]]</f>
        <v>0</v>
      </c>
      <c r="L24" s="94">
        <f ca="1">OFFSET(TblProd[[#This Row],[Ore]],-1,0)+OFFSET(TblProd[[#This Row],[Ore/hr]],-1,0) -TblProd[[#This Row],[Expenses Ore]]</f>
        <v>0</v>
      </c>
      <c r="M24" s="94">
        <f ca="1">OFFSET(TblProd[[#This Row],[Gems]],-1,0)+OFFSET(TblProd[[#This Row],[Gems/hr]],-1,0) - TblProd[[#This Row],[Expenses Gems]]</f>
        <v>0</v>
      </c>
      <c r="N24" s="94">
        <f ca="1">OFFSET(TblProd[[#This Row],[Boats]],-1,0)+OFFSET(TblProd[[#This Row],[Boats/hr]],-1,0)</f>
        <v>0</v>
      </c>
      <c r="O24" s="94">
        <f ca="1">OFFSET(TblProd[[#This Row],[Prestige]],-1,0)</f>
        <v>250</v>
      </c>
      <c r="P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4" s="94">
        <f ca="1">MAX(_xlfn.CEILING.MATH(TblProd[[#This Row],[Land]]*2.5+IFERROR(OFFSET(TblTech[[#This Row],[Sum of tech]],-1,0)*50,0)),3750)</f>
        <v>3750</v>
      </c>
      <c r="R24" s="142"/>
      <c r="S24" s="94">
        <f ca="1">ROUNDDOWN(TblProd[[#This Row],[Raw Plat/hr]]*(1+TblProd[[#This Row],[Bonus Plat/hr]]),0)</f>
        <v>1809</v>
      </c>
      <c r="T24" s="94">
        <f ca="1">ROUND(TblProd[[#This Row],[Raw Food/hr]]*(1+TblProd[[#This Row],[Bonus Food/hr]])-TblProd[[#This Row],[Food decay]]-TblProd[[#This Row],[Food eaten]],0)</f>
        <v>1789</v>
      </c>
      <c r="U24" s="94">
        <f ca="1">ROUND(TblProd[[#This Row],[Raw Lumber/hr]]*(1+TblProd[[#This Row],[Bonus Lumber/hr]])-TblProd[[#This Row],[Lumber rot]],0)</f>
        <v>695</v>
      </c>
      <c r="V24" s="94">
        <f ca="1">ROUND(TblProd[[#This Row],[Raw Mana/hr]]*(1+TblProd[[#This Row],[Bonus Mana/hr]])-TblProd[[#This Row],[Mana drain]],0)</f>
        <v>0</v>
      </c>
      <c r="W24" s="94">
        <f ca="1">ROUNDDOWN(TblProd[[#This Row],[Raw Ore/hr]]*(1+TblProd[[#This Row],[Bonux Ore/hr]]),0)</f>
        <v>0</v>
      </c>
      <c r="X24" s="94">
        <f ca="1">ROUNDDOWN(TblProd[[#This Row],[Raw Gems/hr]]*(1+TblProd[[#This Row],[Bonus Gems/hr]]),0)</f>
        <v>0</v>
      </c>
      <c r="Y24" s="155">
        <f ca="1">OFFSET(TblConstr[[#This Row],[Tot Doc]],1,0)*dock_boats_hr * (1 + tech_4_1*TblTech[[#This Row],[4-1]])</f>
        <v>0</v>
      </c>
      <c r="Z24" s="154"/>
      <c r="AA24" s="94">
        <f ca="1">TblPop[[#This Row],[Peasants]]*tax*TblPop[[#This Row],[Employment]] + (Construction!AZ25+Construction!BX25)*(alch_plat+(Magic!AN24&gt;0)*alchemist_flame_bonus)</f>
        <v>1809.0000000000002</v>
      </c>
      <c r="AB24" s="94">
        <f ca="1">TblConstr[[#This Row],[Tot Farm]]*farm_food + TblConstr[[#This Row],[Tot Doc]]*dock_food</f>
        <v>2400</v>
      </c>
      <c r="AC24" s="94">
        <f ca="1">TblConstr[[#This Row],[Tot Ly]]*ly_lumber + TblConstr[[#This Row],[Tot Hav]]*fh_lumber + IF(race="Wood Elf",TblMili[[#This Row],[Unit 2]]*MIN(TblMili[[#This Row],[Homeland%]]/wisp_bonus,wisp_cap),0)</f>
        <v>1000</v>
      </c>
      <c r="AD24" s="94">
        <f ca="1">OFFSET(TblConstr[[#This Row],[Tot Tow]],1,0)*(tower_mana + tech_4_5*TblTech[[#This Row],[4-5]]) + OFFSET(TblConstr[[#This Row],[Tot WG]],1,0)*wg_mana_prod</f>
        <v>0</v>
      </c>
      <c r="AE24" s="94">
        <f ca="1">OFFSET(TblConstr[[#This Row],[Tot OM]],1,0)*om_ore+IF(race="Dwarf",TblMili[[#This Row],[Unit 2]]*0.5,0)</f>
        <v>0</v>
      </c>
      <c r="AF24" s="94">
        <f ca="1">OFFSET(TblConstr[[#This Row],[Tot DM]],1,0)*dm_gems</f>
        <v>0</v>
      </c>
      <c r="AG24" s="142"/>
      <c r="AH24" s="156">
        <f ca="1">MIN(race_platinum_bonus + IF(TblMagic[[#This Row],[Active Alch Frost]]&gt;0,alch_frost_bonus,IF(Magic!AE24&gt;0,midas_bonus)) + TblImps[[#This Row],[Science]] - TblProd[[#This Row],[Guard]]*(0.02 + tech_5_7*TblTech[[#This Row],[5-7]]) + tech_1_5*TblTech[[#This Row],[1-5]] + tech_4_4*TblTech[[#This Row],[4-4]] + IF(TblMagic[[#This Row],[Active Infernal Command]]&gt;0,demonic_pact_plat,0), 0.5)</f>
        <v>0</v>
      </c>
      <c r="AI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4" s="156">
        <f ca="1">race_lumber_bonus+ IF(TblMagic[[#This Row],[Active Gaia''s Blessing]]&gt;0,gaias_blessing_lumber)+ tech_1_3*TblTech[[#This Row],[1-3]] + tech_1_6*TblTech[[#This Row],[1-6]] + tech_3_3*TblTech[[#This Row],[3-3]]</f>
        <v>0</v>
      </c>
      <c r="AK24" s="156">
        <f ca="1">race_mana_bonus+ 0 + TblImps[[#This Row],[Spires]] + tech_1_2*TblTech[[#This Row],[1-2]] + tech_3_4*TblTech[[#This Row],[3-4]]</f>
        <v>0</v>
      </c>
      <c r="AL24" s="156">
        <f ca="1">race_ore_bonus + IF(TblMagic[[#This Row],[Active Miner''s Sight]]&gt;0,miners_sight_bonus,IF(TblMagic[[#This Row],[Active Mining Strength]]&gt;0,mining_strength_bonus)) +  tech_1_6*TblTech[[#This Row],[1-6]]</f>
        <v>0</v>
      </c>
      <c r="AM24" s="156">
        <f>race_gem_bonus+ tech_3_2*TblTech[[#This Row],[3-2]] + tech_4_3*TblTech[[#This Row],[4-3]] + tech_6_2*TblTech[[#This Row],[6-2]]</f>
        <v>0</v>
      </c>
      <c r="AN24" s="142"/>
      <c r="AO24" s="94">
        <f ca="1">TblProd[[#This Row],[Food]]*food_decay * (1 + tech_2_1*TblTech[[#This Row],[2-1]] + tech_2_8*TblTech[[#This Row],[2-8]] + IF(AND(TblMagic[[#This Row],[Active DnD]]&lt;12,TblMagic[[#This Row],[Active DnD]]&gt;5),1,0))</f>
        <v>557.74</v>
      </c>
      <c r="AP24" s="94">
        <f ca="1">(1+race_food_consumption)*TblPop[[#This Row],[Total]]*food_per_person*(1+tech_1_10*TblTech[[#This Row],[1-10]]+tech_7_5*TblTech[[#This Row],[7-5]] + IF(TblMagic[[#This Row],[Active Infernal Command]]&gt;0,demonic_pact_food_cons,0))</f>
        <v>233</v>
      </c>
      <c r="AQ24" s="94">
        <f ca="1">TblProd[[#This Row],[Lumber]]*lumber_rot * (1 + tech_2_1*TblTech[[#This Row],[2-1]] + tech_2_8*TblTech[[#This Row],[2-8]] + tech_5_2*TblTech[[#This Row],[5-2]] + IF(AND(TblMagic[[#This Row],[Active DnD]]&lt;12,TblMagic[[#This Row],[Active DnD]]&gt;5),1,0))</f>
        <v>304.77</v>
      </c>
      <c r="AR24" s="94">
        <f ca="1">TblProd[[#This Row],[Mana]]*mana_drain * (1 + tech_2_1*TblTech[[#This Row],[2-1]] + tech_2_8*TblTech[[#This Row],[2-8]])</f>
        <v>0</v>
      </c>
      <c r="AS24" s="154"/>
      <c r="AT24" s="94">
        <f ca="1">TblExplore[[#This Row],[Platinum (2)]]+TblConstr[[#This Row],[Total Plat Cost]]+TblMili[[#This Row],[Plat Cost]]+TblRezone[[#This Row],[Platinum cost]]+TblImps[[#This Row],[P1]]-TblProd[[#This Row],[Bank Plat]]</f>
        <v>0</v>
      </c>
      <c r="AU24" s="94">
        <f ca="1">TblConstr[[#This Row],[Total Lum Cost]]+TblImps[[#This Row],[L1]]-TblProd[[#This Row],[Bank Lumber]] + Military!$CO$25*TblMili[[#This Row],[Sec. rec. Cost]]</f>
        <v>0</v>
      </c>
      <c r="AV24" s="94">
        <f ca="1">TblMagic[[#This Row],[Mana cost]] + Military!$CO$26*TblMili[[#This Row],[Sec. rec. Cost]]</f>
        <v>0</v>
      </c>
      <c r="AW24" s="94">
        <f ca="1">Military!$CO$24*TblMili[[#This Row],[Sec. rec. Cost]]+TblImps[[#This Row],[O1]]-TblProd[[#This Row],[Bank Ore]]</f>
        <v>0</v>
      </c>
      <c r="AX24" s="94">
        <f>TblImps[[#This Row],[G1]]-TblProd[[#This Row],[Bank Gems]]</f>
        <v>0</v>
      </c>
      <c r="AY24" s="142"/>
      <c r="AZ24" s="61" t="b">
        <f ca="1">IF(TblProd[[#This Row],[Set Guard]]&lt;&gt;"",TblProd[[#This Row],[Set Guard]],OFFSET(TblProd[[#This Row],[Guard]],-1,0))</f>
        <v>0</v>
      </c>
      <c r="BA24" s="61"/>
      <c r="BB24" s="45">
        <f>TblProd[[#This Row],[Hour]]</f>
        <v>21</v>
      </c>
      <c r="BC24" s="94">
        <f>-TblProd[[#This Row],[Bank Lumber]] / 2 + -TblProd[[#This Row],[Bank Gems]] * 2 + -TblProd[[#This Row],[Bank Ore]] / 2</f>
        <v>0</v>
      </c>
      <c r="BD24" s="94"/>
      <c r="BE24" s="94"/>
      <c r="BF24" s="94"/>
      <c r="BG24" s="159">
        <f ca="1">TblProd[[#This Row],[Time]]</f>
        <v>46047.833333333285</v>
      </c>
      <c r="BH24" s="45" t="str">
        <f>IF(AND(TblProd[[#This Row],[Bank Plat]]=0,TblProd[[#This Row],[Bank Lumber]]=0,TblProd[[#This Row],[Bank Ore]]=0,TblProd[[#This Row],[Bank Gems]]=0),"",IF(TblProd[[#This Row],[Bank Plat]]&gt;0,IF((TblProd[[#This Row],[Bank Lumber]]+TblProd[[#This Row],[Bank Ore]])/2+TblProd[[#This Row],[Bank Gems]]*2+ROUNDUP(TblProd[[#This Row],[Bank Plat]]/(1 + tech_2_2*Techs!Y24),0)=0,"Ok","Nope"),IF(TblProd[[#This Row],[Bank Lumber]]&gt;0,IF((TblProd[[#This Row],[Bank Plat]]+TblProd[[#This Row],[Bank Ore]])/2+TblProd[[#This Row],[Bank Gems]]*2+ROUNDUP(TblProd[[#This Row],[Bank Lumber]]/(1 + tech_2_2*Techs!Y24),0)=0,"Ok","Nope"),IF(TblProd[[#This Row],[Bank Ore]]&gt;0,IF((TblProd[[#This Row],[Bank Plat]]+TblProd[[#This Row],[Bank Lumber]])/2+TblProd[[#This Row],[Bank Gems]]*2+ROUNDUP(TblProd[[#This Row],[Bank Ore]]/(1 + tech_2_2*Techs!Y24),0)=0,"Ok","Nope")))))</f>
        <v/>
      </c>
      <c r="BI24" s="94">
        <f ca="1">TblProd[[#This Row],[Platinum]]</f>
        <v>80127</v>
      </c>
      <c r="BJ24" s="94">
        <f ca="1">TblProd[[#This Row],[Food]]</f>
        <v>55774</v>
      </c>
      <c r="BK24" s="94">
        <f ca="1">TblProd[[#This Row],[Lumber]]</f>
        <v>30477</v>
      </c>
      <c r="BL24" s="94">
        <f ca="1">TblProd[[#This Row],[Mana]]</f>
        <v>0</v>
      </c>
      <c r="BM24" s="94">
        <f ca="1">TblProd[[#This Row],[Ore]]</f>
        <v>0</v>
      </c>
    </row>
    <row r="25" spans="1:65" hidden="1" x14ac:dyDescent="0.2">
      <c r="A25" s="137">
        <v>22</v>
      </c>
      <c r="B25" s="152">
        <f ca="1">TblImps[[#This Row],[Time]]</f>
        <v>46047.874999999949</v>
      </c>
      <c r="C25" s="61"/>
      <c r="D25" s="154"/>
      <c r="E25" s="94">
        <f ca="1">TblConstr[[#This Row],[Land]]</f>
        <v>110</v>
      </c>
      <c r="F25" s="94">
        <f ca="1">TblPop[[#This Row],[Peasants]]</f>
        <v>683</v>
      </c>
      <c r="G25" s="94">
        <f ca="1">TblMili[[#This Row],[Networth (2)]]</f>
        <v>2450</v>
      </c>
      <c r="H25" s="94">
        <f ca="1">OFFSET(TblProd[[#This Row],[Platinum]],-1,0)+OFFSET(TblProd[[#This Row],[Plat/hr]],-1,0) - TblProd[[#This Row],[Expenses Platinum]] + IF(TblProd[[#This Row],[Plat Bonus]],TblPop[[#This Row],[Peasants]]*4) + SUM(TblConstr[[#This Row],[Dest Hom]:[Dest Doc]])*TblConstr[[#This Row],[CPA Platinum -DB]]*tech_3_3_2*TblTech[[#This Row],[3-3]]</f>
        <v>81936</v>
      </c>
      <c r="I25" s="94">
        <f ca="1">OFFSET(TblProd[[#This Row],[Food]],-1,0)+OFFSET(TblProd[[#This Row],[Food/hr]],-1,0)+ROUNDUP((TblConstr[[#This Row],[Farms]]*80+TblConstr[[#This Row],[Docks]]*35)*(1+OFFSET(TblProd[[#This Row],[Bonus Food/hr]],-1,0)),0)</f>
        <v>57563</v>
      </c>
      <c r="J25" s="94">
        <f ca="1">OFFSET(TblProd[[#This Row],[Lumber]],-1,0)+OFFSET(TblProd[[#This Row],[Lumber/hr]],-1,0) - TblProd[[#This Row],[Expenses Lumber]] + SUM(TblConstr[[#This Row],[Dest Hom]:[Dest Doc]])*TblConstr[[#This Row],[CPA Lumber -DB]]*tech_3_3_2*TblTech[[#This Row],[3-3]]</f>
        <v>31172</v>
      </c>
      <c r="K25" s="94">
        <f ca="1">OFFSET(TblProd[[#This Row],[Mana]],-1,0)+OFFSET(TblProd[[#This Row],[Mana/hr]],-1,0)- TblProd[[#This Row],[Expenses Mana]]</f>
        <v>0</v>
      </c>
      <c r="L25" s="94">
        <f ca="1">OFFSET(TblProd[[#This Row],[Ore]],-1,0)+OFFSET(TblProd[[#This Row],[Ore/hr]],-1,0) -TblProd[[#This Row],[Expenses Ore]]</f>
        <v>0</v>
      </c>
      <c r="M25" s="94">
        <f ca="1">OFFSET(TblProd[[#This Row],[Gems]],-1,0)+OFFSET(TblProd[[#This Row],[Gems/hr]],-1,0) - TblProd[[#This Row],[Expenses Gems]]</f>
        <v>0</v>
      </c>
      <c r="N25" s="94">
        <f ca="1">OFFSET(TblProd[[#This Row],[Boats]],-1,0)+OFFSET(TblProd[[#This Row],[Boats/hr]],-1,0)</f>
        <v>0</v>
      </c>
      <c r="O25" s="94">
        <f ca="1">OFFSET(TblProd[[#This Row],[Prestige]],-1,0)</f>
        <v>250</v>
      </c>
      <c r="P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5" s="94">
        <f ca="1">MAX(_xlfn.CEILING.MATH(TblProd[[#This Row],[Land]]*2.5+IFERROR(OFFSET(TblTech[[#This Row],[Sum of tech]],-1,0)*50,0)),3750)</f>
        <v>3750</v>
      </c>
      <c r="R25" s="142"/>
      <c r="S25" s="94">
        <f ca="1">ROUNDDOWN(TblProd[[#This Row],[Raw Plat/hr]]*(1+TblProd[[#This Row],[Bonus Plat/hr]]),0)</f>
        <v>1844</v>
      </c>
      <c r="T25" s="94">
        <f ca="1">ROUND(TblProd[[#This Row],[Raw Food/hr]]*(1+TblProd[[#This Row],[Bonus Food/hr]])-TblProd[[#This Row],[Food decay]]-TblProd[[#This Row],[Food eaten]],0)</f>
        <v>1766</v>
      </c>
      <c r="U25" s="94">
        <f ca="1">ROUND(TblProd[[#This Row],[Raw Lumber/hr]]*(1+TblProd[[#This Row],[Bonus Lumber/hr]])-TblProd[[#This Row],[Lumber rot]],0)</f>
        <v>688</v>
      </c>
      <c r="V25" s="94">
        <f ca="1">ROUND(TblProd[[#This Row],[Raw Mana/hr]]*(1+TblProd[[#This Row],[Bonus Mana/hr]])-TblProd[[#This Row],[Mana drain]],0)</f>
        <v>0</v>
      </c>
      <c r="W25" s="94">
        <f ca="1">ROUNDDOWN(TblProd[[#This Row],[Raw Ore/hr]]*(1+TblProd[[#This Row],[Bonux Ore/hr]]),0)</f>
        <v>0</v>
      </c>
      <c r="X25" s="94">
        <f ca="1">ROUNDDOWN(TblProd[[#This Row],[Raw Gems/hr]]*(1+TblProd[[#This Row],[Bonus Gems/hr]]),0)</f>
        <v>0</v>
      </c>
      <c r="Y25" s="155">
        <f ca="1">OFFSET(TblConstr[[#This Row],[Tot Doc]],1,0)*dock_boats_hr * (1 + tech_4_1*TblTech[[#This Row],[4-1]])</f>
        <v>0</v>
      </c>
      <c r="Z25" s="154"/>
      <c r="AA25" s="94">
        <f ca="1">TblPop[[#This Row],[Peasants]]*tax*TblPop[[#This Row],[Employment]] + (Construction!AZ26+Construction!BX26)*(alch_plat+(Magic!AN25&gt;0)*alchemist_flame_bonus)</f>
        <v>1844.1000000000001</v>
      </c>
      <c r="AB25" s="94">
        <f ca="1">TblConstr[[#This Row],[Tot Farm]]*farm_food + TblConstr[[#This Row],[Tot Doc]]*dock_food</f>
        <v>2400</v>
      </c>
      <c r="AC25" s="94">
        <f ca="1">TblConstr[[#This Row],[Tot Ly]]*ly_lumber + TblConstr[[#This Row],[Tot Hav]]*fh_lumber + IF(race="Wood Elf",TblMili[[#This Row],[Unit 2]]*MIN(TblMili[[#This Row],[Homeland%]]/wisp_bonus,wisp_cap),0)</f>
        <v>1000</v>
      </c>
      <c r="AD25" s="94">
        <f ca="1">OFFSET(TblConstr[[#This Row],[Tot Tow]],1,0)*(tower_mana + tech_4_5*TblTech[[#This Row],[4-5]]) + OFFSET(TblConstr[[#This Row],[Tot WG]],1,0)*wg_mana_prod</f>
        <v>0</v>
      </c>
      <c r="AE25" s="94">
        <f ca="1">OFFSET(TblConstr[[#This Row],[Tot OM]],1,0)*om_ore+IF(race="Dwarf",TblMili[[#This Row],[Unit 2]]*0.5,0)</f>
        <v>0</v>
      </c>
      <c r="AF25" s="94">
        <f ca="1">OFFSET(TblConstr[[#This Row],[Tot DM]],1,0)*dm_gems</f>
        <v>0</v>
      </c>
      <c r="AG25" s="142"/>
      <c r="AH25" s="156">
        <f ca="1">MIN(race_platinum_bonus + IF(TblMagic[[#This Row],[Active Alch Frost]]&gt;0,alch_frost_bonus,IF(Magic!AE25&gt;0,midas_bonus)) + TblImps[[#This Row],[Science]] - TblProd[[#This Row],[Guard]]*(0.02 + tech_5_7*TblTech[[#This Row],[5-7]]) + tech_1_5*TblTech[[#This Row],[1-5]] + tech_4_4*TblTech[[#This Row],[4-4]] + IF(TblMagic[[#This Row],[Active Infernal Command]]&gt;0,demonic_pact_plat,0), 0.5)</f>
        <v>0</v>
      </c>
      <c r="AI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5" s="156">
        <f ca="1">race_lumber_bonus+ IF(TblMagic[[#This Row],[Active Gaia''s Blessing]]&gt;0,gaias_blessing_lumber)+ tech_1_3*TblTech[[#This Row],[1-3]] + tech_1_6*TblTech[[#This Row],[1-6]] + tech_3_3*TblTech[[#This Row],[3-3]]</f>
        <v>0</v>
      </c>
      <c r="AK25" s="156">
        <f ca="1">race_mana_bonus+ 0 + TblImps[[#This Row],[Spires]] + tech_1_2*TblTech[[#This Row],[1-2]] + tech_3_4*TblTech[[#This Row],[3-4]]</f>
        <v>0</v>
      </c>
      <c r="AL25" s="156">
        <f ca="1">race_ore_bonus + IF(TblMagic[[#This Row],[Active Miner''s Sight]]&gt;0,miners_sight_bonus,IF(TblMagic[[#This Row],[Active Mining Strength]]&gt;0,mining_strength_bonus)) +  tech_1_6*TblTech[[#This Row],[1-6]]</f>
        <v>0</v>
      </c>
      <c r="AM25" s="156">
        <f>race_gem_bonus+ tech_3_2*TblTech[[#This Row],[3-2]] + tech_4_3*TblTech[[#This Row],[4-3]] + tech_6_2*TblTech[[#This Row],[6-2]]</f>
        <v>0</v>
      </c>
      <c r="AN25" s="142"/>
      <c r="AO25" s="94">
        <f ca="1">TblProd[[#This Row],[Food]]*food_decay * (1 + tech_2_1*TblTech[[#This Row],[2-1]] + tech_2_8*TblTech[[#This Row],[2-8]] + IF(AND(TblMagic[[#This Row],[Active DnD]]&lt;12,TblMagic[[#This Row],[Active DnD]]&gt;5),1,0))</f>
        <v>575.63</v>
      </c>
      <c r="AP25" s="94">
        <f ca="1">(1+race_food_consumption)*TblPop[[#This Row],[Total]]*food_per_person*(1+tech_1_10*TblTech[[#This Row],[1-10]]+tech_7_5*TblTech[[#This Row],[7-5]] + IF(TblMagic[[#This Row],[Active Infernal Command]]&gt;0,demonic_pact_food_cons,0))</f>
        <v>238</v>
      </c>
      <c r="AQ25" s="94">
        <f ca="1">TblProd[[#This Row],[Lumber]]*lumber_rot * (1 + tech_2_1*TblTech[[#This Row],[2-1]] + tech_2_8*TblTech[[#This Row],[2-8]] + tech_5_2*TblTech[[#This Row],[5-2]] + IF(AND(TblMagic[[#This Row],[Active DnD]]&lt;12,TblMagic[[#This Row],[Active DnD]]&gt;5),1,0))</f>
        <v>311.72000000000003</v>
      </c>
      <c r="AR25" s="94">
        <f ca="1">TblProd[[#This Row],[Mana]]*mana_drain * (1 + tech_2_1*TblTech[[#This Row],[2-1]] + tech_2_8*TblTech[[#This Row],[2-8]])</f>
        <v>0</v>
      </c>
      <c r="AS25" s="154"/>
      <c r="AT25" s="94">
        <f ca="1">TblExplore[[#This Row],[Platinum (2)]]+TblConstr[[#This Row],[Total Plat Cost]]+TblMili[[#This Row],[Plat Cost]]+TblRezone[[#This Row],[Platinum cost]]+TblImps[[#This Row],[P1]]-TblProd[[#This Row],[Bank Plat]]</f>
        <v>0</v>
      </c>
      <c r="AU25" s="94">
        <f ca="1">TblConstr[[#This Row],[Total Lum Cost]]+TblImps[[#This Row],[L1]]-TblProd[[#This Row],[Bank Lumber]] + Military!$CO$25*TblMili[[#This Row],[Sec. rec. Cost]]</f>
        <v>0</v>
      </c>
      <c r="AV25" s="94">
        <f ca="1">TblMagic[[#This Row],[Mana cost]] + Military!$CO$26*TblMili[[#This Row],[Sec. rec. Cost]]</f>
        <v>0</v>
      </c>
      <c r="AW25" s="94">
        <f ca="1">Military!$CO$24*TblMili[[#This Row],[Sec. rec. Cost]]+TblImps[[#This Row],[O1]]-TblProd[[#This Row],[Bank Ore]]</f>
        <v>0</v>
      </c>
      <c r="AX25" s="94">
        <f>TblImps[[#This Row],[G1]]-TblProd[[#This Row],[Bank Gems]]</f>
        <v>0</v>
      </c>
      <c r="AY25" s="142"/>
      <c r="AZ25" s="61" t="b">
        <f ca="1">IF(TblProd[[#This Row],[Set Guard]]&lt;&gt;"",TblProd[[#This Row],[Set Guard]],OFFSET(TblProd[[#This Row],[Guard]],-1,0))</f>
        <v>0</v>
      </c>
      <c r="BA25" s="61"/>
      <c r="BB25" s="45">
        <f>TblProd[[#This Row],[Hour]]</f>
        <v>22</v>
      </c>
      <c r="BC25" s="94">
        <f>-TblProd[[#This Row],[Bank Lumber]] / 2 + -TblProd[[#This Row],[Bank Gems]] * 2 + -TblProd[[#This Row],[Bank Ore]] / 2</f>
        <v>0</v>
      </c>
      <c r="BD25" s="94"/>
      <c r="BE25" s="94"/>
      <c r="BF25" s="94"/>
      <c r="BG25" s="159">
        <f ca="1">TblProd[[#This Row],[Time]]</f>
        <v>46047.874999999949</v>
      </c>
      <c r="BH25" s="45" t="str">
        <f>IF(AND(TblProd[[#This Row],[Bank Plat]]=0,TblProd[[#This Row],[Bank Lumber]]=0,TblProd[[#This Row],[Bank Ore]]=0,TblProd[[#This Row],[Bank Gems]]=0),"",IF(TblProd[[#This Row],[Bank Plat]]&gt;0,IF((TblProd[[#This Row],[Bank Lumber]]+TblProd[[#This Row],[Bank Ore]])/2+TblProd[[#This Row],[Bank Gems]]*2+ROUNDUP(TblProd[[#This Row],[Bank Plat]]/(1 + tech_2_2*Techs!Y25),0)=0,"Ok","Nope"),IF(TblProd[[#This Row],[Bank Lumber]]&gt;0,IF((TblProd[[#This Row],[Bank Plat]]+TblProd[[#This Row],[Bank Ore]])/2+TblProd[[#This Row],[Bank Gems]]*2+ROUNDUP(TblProd[[#This Row],[Bank Lumber]]/(1 + tech_2_2*Techs!Y25),0)=0,"Ok","Nope"),IF(TblProd[[#This Row],[Bank Ore]]&gt;0,IF((TblProd[[#This Row],[Bank Plat]]+TblProd[[#This Row],[Bank Lumber]])/2+TblProd[[#This Row],[Bank Gems]]*2+ROUNDUP(TblProd[[#This Row],[Bank Ore]]/(1 + tech_2_2*Techs!Y25),0)=0,"Ok","Nope")))))</f>
        <v/>
      </c>
      <c r="BI25" s="94">
        <f ca="1">TblProd[[#This Row],[Platinum]]</f>
        <v>81936</v>
      </c>
      <c r="BJ25" s="94">
        <f ca="1">TblProd[[#This Row],[Food]]</f>
        <v>57563</v>
      </c>
      <c r="BK25" s="94">
        <f ca="1">TblProd[[#This Row],[Lumber]]</f>
        <v>31172</v>
      </c>
      <c r="BL25" s="94">
        <f ca="1">TblProd[[#This Row],[Mana]]</f>
        <v>0</v>
      </c>
      <c r="BM25" s="94">
        <f ca="1">TblProd[[#This Row],[Ore]]</f>
        <v>0</v>
      </c>
    </row>
    <row r="26" spans="1:65" hidden="1" x14ac:dyDescent="0.2">
      <c r="A26" s="137">
        <v>23</v>
      </c>
      <c r="B26" s="152">
        <f ca="1">TblImps[[#This Row],[Time]]</f>
        <v>46047.916666666613</v>
      </c>
      <c r="C26" s="61"/>
      <c r="D26" s="154"/>
      <c r="E26" s="94">
        <f ca="1">TblConstr[[#This Row],[Land]]</f>
        <v>110</v>
      </c>
      <c r="F26" s="94">
        <f ca="1">TblPop[[#This Row],[Peasants]]</f>
        <v>696</v>
      </c>
      <c r="G26" s="94">
        <f ca="1">TblMili[[#This Row],[Networth (2)]]</f>
        <v>2450</v>
      </c>
      <c r="H26" s="94">
        <f ca="1">OFFSET(TblProd[[#This Row],[Platinum]],-1,0)+OFFSET(TblProd[[#This Row],[Plat/hr]],-1,0) - TblProd[[#This Row],[Expenses Platinum]] + IF(TblProd[[#This Row],[Plat Bonus]],TblPop[[#This Row],[Peasants]]*4) + SUM(TblConstr[[#This Row],[Dest Hom]:[Dest Doc]])*TblConstr[[#This Row],[CPA Platinum -DB]]*tech_3_3_2*TblTech[[#This Row],[3-3]]</f>
        <v>83780</v>
      </c>
      <c r="I26" s="94">
        <f ca="1">OFFSET(TblProd[[#This Row],[Food]],-1,0)+OFFSET(TblProd[[#This Row],[Food/hr]],-1,0)+ROUNDUP((TblConstr[[#This Row],[Farms]]*80+TblConstr[[#This Row],[Docks]]*35)*(1+OFFSET(TblProd[[#This Row],[Bonus Food/hr]],-1,0)),0)</f>
        <v>59329</v>
      </c>
      <c r="J26" s="94">
        <f ca="1">OFFSET(TblProd[[#This Row],[Lumber]],-1,0)+OFFSET(TblProd[[#This Row],[Lumber/hr]],-1,0) - TblProd[[#This Row],[Expenses Lumber]] + SUM(TblConstr[[#This Row],[Dest Hom]:[Dest Doc]])*TblConstr[[#This Row],[CPA Lumber -DB]]*tech_3_3_2*TblTech[[#This Row],[3-3]]</f>
        <v>31860</v>
      </c>
      <c r="K26" s="94">
        <f ca="1">OFFSET(TblProd[[#This Row],[Mana]],-1,0)+OFFSET(TblProd[[#This Row],[Mana/hr]],-1,0)- TblProd[[#This Row],[Expenses Mana]]</f>
        <v>0</v>
      </c>
      <c r="L26" s="94">
        <f ca="1">OFFSET(TblProd[[#This Row],[Ore]],-1,0)+OFFSET(TblProd[[#This Row],[Ore/hr]],-1,0) -TblProd[[#This Row],[Expenses Ore]]</f>
        <v>0</v>
      </c>
      <c r="M26" s="94">
        <f ca="1">OFFSET(TblProd[[#This Row],[Gems]],-1,0)+OFFSET(TblProd[[#This Row],[Gems/hr]],-1,0) - TblProd[[#This Row],[Expenses Gems]]</f>
        <v>0</v>
      </c>
      <c r="N26" s="94">
        <f ca="1">OFFSET(TblProd[[#This Row],[Boats]],-1,0)+OFFSET(TblProd[[#This Row],[Boats/hr]],-1,0)</f>
        <v>0</v>
      </c>
      <c r="O26" s="94">
        <f ca="1">OFFSET(TblProd[[#This Row],[Prestige]],-1,0)</f>
        <v>250</v>
      </c>
      <c r="P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6" s="94">
        <f ca="1">MAX(_xlfn.CEILING.MATH(TblProd[[#This Row],[Land]]*2.5+IFERROR(OFFSET(TblTech[[#This Row],[Sum of tech]],-1,0)*50,0)),3750)</f>
        <v>3750</v>
      </c>
      <c r="R26" s="142"/>
      <c r="S26" s="94">
        <f ca="1">ROUNDDOWN(TblProd[[#This Row],[Raw Plat/hr]]*(1+TblProd[[#This Row],[Bonus Plat/hr]]),0)</f>
        <v>1879</v>
      </c>
      <c r="T26" s="94">
        <f ca="1">ROUND(TblProd[[#This Row],[Raw Food/hr]]*(1+TblProd[[#This Row],[Bonus Food/hr]])-TblProd[[#This Row],[Food decay]]-TblProd[[#This Row],[Food eaten]],0)</f>
        <v>1744</v>
      </c>
      <c r="U26" s="94">
        <f ca="1">ROUND(TblProd[[#This Row],[Raw Lumber/hr]]*(1+TblProd[[#This Row],[Bonus Lumber/hr]])-TblProd[[#This Row],[Lumber rot]],0)</f>
        <v>681</v>
      </c>
      <c r="V26" s="94">
        <f ca="1">ROUND(TblProd[[#This Row],[Raw Mana/hr]]*(1+TblProd[[#This Row],[Bonus Mana/hr]])-TblProd[[#This Row],[Mana drain]],0)</f>
        <v>0</v>
      </c>
      <c r="W26" s="94">
        <f ca="1">ROUNDDOWN(TblProd[[#This Row],[Raw Ore/hr]]*(1+TblProd[[#This Row],[Bonux Ore/hr]]),0)</f>
        <v>0</v>
      </c>
      <c r="X26" s="94">
        <f ca="1">ROUNDDOWN(TblProd[[#This Row],[Raw Gems/hr]]*(1+TblProd[[#This Row],[Bonus Gems/hr]]),0)</f>
        <v>0</v>
      </c>
      <c r="Y26" s="155">
        <f ca="1">OFFSET(TblConstr[[#This Row],[Tot Doc]],1,0)*dock_boats_hr * (1 + tech_4_1*TblTech[[#This Row],[4-1]])</f>
        <v>0</v>
      </c>
      <c r="Z26" s="154"/>
      <c r="AA26" s="94">
        <f ca="1">TblPop[[#This Row],[Peasants]]*tax*TblPop[[#This Row],[Employment]] + (Construction!AZ27+Construction!BX27)*(alch_plat+(Magic!AN26&gt;0)*alchemist_flame_bonus)</f>
        <v>1879.2</v>
      </c>
      <c r="AB26" s="94">
        <f ca="1">TblConstr[[#This Row],[Tot Farm]]*farm_food + TblConstr[[#This Row],[Tot Doc]]*dock_food</f>
        <v>2400</v>
      </c>
      <c r="AC26" s="94">
        <f ca="1">TblConstr[[#This Row],[Tot Ly]]*ly_lumber + TblConstr[[#This Row],[Tot Hav]]*fh_lumber + IF(race="Wood Elf",TblMili[[#This Row],[Unit 2]]*MIN(TblMili[[#This Row],[Homeland%]]/wisp_bonus,wisp_cap),0)</f>
        <v>1000</v>
      </c>
      <c r="AD26" s="94">
        <f ca="1">OFFSET(TblConstr[[#This Row],[Tot Tow]],1,0)*(tower_mana + tech_4_5*TblTech[[#This Row],[4-5]]) + OFFSET(TblConstr[[#This Row],[Tot WG]],1,0)*wg_mana_prod</f>
        <v>0</v>
      </c>
      <c r="AE26" s="94">
        <f ca="1">OFFSET(TblConstr[[#This Row],[Tot OM]],1,0)*om_ore+IF(race="Dwarf",TblMili[[#This Row],[Unit 2]]*0.5,0)</f>
        <v>0</v>
      </c>
      <c r="AF26" s="94">
        <f ca="1">OFFSET(TblConstr[[#This Row],[Tot DM]],1,0)*dm_gems</f>
        <v>0</v>
      </c>
      <c r="AG26" s="142"/>
      <c r="AH26" s="156">
        <f ca="1">MIN(race_platinum_bonus + IF(TblMagic[[#This Row],[Active Alch Frost]]&gt;0,alch_frost_bonus,IF(Magic!AE26&gt;0,midas_bonus)) + TblImps[[#This Row],[Science]] - TblProd[[#This Row],[Guard]]*(0.02 + tech_5_7*TblTech[[#This Row],[5-7]]) + tech_1_5*TblTech[[#This Row],[1-5]] + tech_4_4*TblTech[[#This Row],[4-4]] + IF(TblMagic[[#This Row],[Active Infernal Command]]&gt;0,demonic_pact_plat,0), 0.5)</f>
        <v>0</v>
      </c>
      <c r="AI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6" s="156">
        <f ca="1">race_lumber_bonus+ IF(TblMagic[[#This Row],[Active Gaia''s Blessing]]&gt;0,gaias_blessing_lumber)+ tech_1_3*TblTech[[#This Row],[1-3]] + tech_1_6*TblTech[[#This Row],[1-6]] + tech_3_3*TblTech[[#This Row],[3-3]]</f>
        <v>0</v>
      </c>
      <c r="AK26" s="156">
        <f ca="1">race_mana_bonus+ 0 + TblImps[[#This Row],[Spires]] + tech_1_2*TblTech[[#This Row],[1-2]] + tech_3_4*TblTech[[#This Row],[3-4]]</f>
        <v>0</v>
      </c>
      <c r="AL26" s="156">
        <f ca="1">race_ore_bonus + IF(TblMagic[[#This Row],[Active Miner''s Sight]]&gt;0,miners_sight_bonus,IF(TblMagic[[#This Row],[Active Mining Strength]]&gt;0,mining_strength_bonus)) +  tech_1_6*TblTech[[#This Row],[1-6]]</f>
        <v>0</v>
      </c>
      <c r="AM26" s="156">
        <f>race_gem_bonus+ tech_3_2*TblTech[[#This Row],[3-2]] + tech_4_3*TblTech[[#This Row],[4-3]] + tech_6_2*TblTech[[#This Row],[6-2]]</f>
        <v>0</v>
      </c>
      <c r="AN26" s="142"/>
      <c r="AO26" s="94">
        <f ca="1">TblProd[[#This Row],[Food]]*food_decay * (1 + tech_2_1*TblTech[[#This Row],[2-1]] + tech_2_8*TblTech[[#This Row],[2-8]] + IF(AND(TblMagic[[#This Row],[Active DnD]]&lt;12,TblMagic[[#This Row],[Active DnD]]&gt;5),1,0))</f>
        <v>593.29</v>
      </c>
      <c r="AP26" s="94">
        <f ca="1">(1+race_food_consumption)*TblPop[[#This Row],[Total]]*food_per_person*(1+tech_1_10*TblTech[[#This Row],[1-10]]+tech_7_5*TblTech[[#This Row],[7-5]] + IF(TblMagic[[#This Row],[Active Infernal Command]]&gt;0,demonic_pact_food_cons,0))</f>
        <v>243</v>
      </c>
      <c r="AQ26" s="94">
        <f ca="1">TblProd[[#This Row],[Lumber]]*lumber_rot * (1 + tech_2_1*TblTech[[#This Row],[2-1]] + tech_2_8*TblTech[[#This Row],[2-8]] + tech_5_2*TblTech[[#This Row],[5-2]] + IF(AND(TblMagic[[#This Row],[Active DnD]]&lt;12,TblMagic[[#This Row],[Active DnD]]&gt;5),1,0))</f>
        <v>318.60000000000002</v>
      </c>
      <c r="AR26" s="94">
        <f ca="1">TblProd[[#This Row],[Mana]]*mana_drain * (1 + tech_2_1*TblTech[[#This Row],[2-1]] + tech_2_8*TblTech[[#This Row],[2-8]])</f>
        <v>0</v>
      </c>
      <c r="AS26" s="154"/>
      <c r="AT26" s="94">
        <f ca="1">TblExplore[[#This Row],[Platinum (2)]]+TblConstr[[#This Row],[Total Plat Cost]]+TblMili[[#This Row],[Plat Cost]]+TblRezone[[#This Row],[Platinum cost]]+TblImps[[#This Row],[P1]]-TblProd[[#This Row],[Bank Plat]]</f>
        <v>0</v>
      </c>
      <c r="AU26" s="94">
        <f ca="1">TblConstr[[#This Row],[Total Lum Cost]]+TblImps[[#This Row],[L1]]-TblProd[[#This Row],[Bank Lumber]] + Military!$CO$25*TblMili[[#This Row],[Sec. rec. Cost]]</f>
        <v>0</v>
      </c>
      <c r="AV26" s="94">
        <f ca="1">TblMagic[[#This Row],[Mana cost]] + Military!$CO$26*TblMili[[#This Row],[Sec. rec. Cost]]</f>
        <v>0</v>
      </c>
      <c r="AW26" s="94">
        <f ca="1">Military!$CO$24*TblMili[[#This Row],[Sec. rec. Cost]]+TblImps[[#This Row],[O1]]-TblProd[[#This Row],[Bank Ore]]</f>
        <v>0</v>
      </c>
      <c r="AX26" s="94">
        <f>TblImps[[#This Row],[G1]]-TblProd[[#This Row],[Bank Gems]]</f>
        <v>0</v>
      </c>
      <c r="AY26" s="142"/>
      <c r="AZ26" s="61" t="b">
        <f ca="1">IF(TblProd[[#This Row],[Set Guard]]&lt;&gt;"",TblProd[[#This Row],[Set Guard]],OFFSET(TblProd[[#This Row],[Guard]],-1,0))</f>
        <v>0</v>
      </c>
      <c r="BA26" s="61"/>
      <c r="BB26" s="45">
        <f>TblProd[[#This Row],[Hour]]</f>
        <v>23</v>
      </c>
      <c r="BC26" s="94">
        <f>-TblProd[[#This Row],[Bank Lumber]] / 2 + -TblProd[[#This Row],[Bank Gems]] * 2 + -TblProd[[#This Row],[Bank Ore]] / 2</f>
        <v>0</v>
      </c>
      <c r="BD26" s="94"/>
      <c r="BE26" s="94"/>
      <c r="BF26" s="94"/>
      <c r="BG26" s="159">
        <f ca="1">TblProd[[#This Row],[Time]]</f>
        <v>46047.916666666613</v>
      </c>
      <c r="BH26" s="45" t="str">
        <f>IF(AND(TblProd[[#This Row],[Bank Plat]]=0,TblProd[[#This Row],[Bank Lumber]]=0,TblProd[[#This Row],[Bank Ore]]=0,TblProd[[#This Row],[Bank Gems]]=0),"",IF(TblProd[[#This Row],[Bank Plat]]&gt;0,IF((TblProd[[#This Row],[Bank Lumber]]+TblProd[[#This Row],[Bank Ore]])/2+TblProd[[#This Row],[Bank Gems]]*2+ROUNDUP(TblProd[[#This Row],[Bank Plat]]/(1 + tech_2_2*Techs!Y26),0)=0,"Ok","Nope"),IF(TblProd[[#This Row],[Bank Lumber]]&gt;0,IF((TblProd[[#This Row],[Bank Plat]]+TblProd[[#This Row],[Bank Ore]])/2+TblProd[[#This Row],[Bank Gems]]*2+ROUNDUP(TblProd[[#This Row],[Bank Lumber]]/(1 + tech_2_2*Techs!Y26),0)=0,"Ok","Nope"),IF(TblProd[[#This Row],[Bank Ore]]&gt;0,IF((TblProd[[#This Row],[Bank Plat]]+TblProd[[#This Row],[Bank Lumber]])/2+TblProd[[#This Row],[Bank Gems]]*2+ROUNDUP(TblProd[[#This Row],[Bank Ore]]/(1 + tech_2_2*Techs!Y26),0)=0,"Ok","Nope")))))</f>
        <v/>
      </c>
      <c r="BI26" s="94">
        <f ca="1">TblProd[[#This Row],[Platinum]]</f>
        <v>83780</v>
      </c>
      <c r="BJ26" s="94">
        <f ca="1">TblProd[[#This Row],[Food]]</f>
        <v>59329</v>
      </c>
      <c r="BK26" s="94">
        <f ca="1">TblProd[[#This Row],[Lumber]]</f>
        <v>31860</v>
      </c>
      <c r="BL26" s="94">
        <f ca="1">TblProd[[#This Row],[Mana]]</f>
        <v>0</v>
      </c>
      <c r="BM26" s="94">
        <f ca="1">TblProd[[#This Row],[Ore]]</f>
        <v>0</v>
      </c>
    </row>
    <row r="27" spans="1:65" hidden="1" x14ac:dyDescent="0.2">
      <c r="A27" s="137">
        <v>24</v>
      </c>
      <c r="B27" s="152">
        <f ca="1">TblImps[[#This Row],[Time]]</f>
        <v>46047.958333333278</v>
      </c>
      <c r="C27" s="61"/>
      <c r="D27" s="154"/>
      <c r="E27" s="94">
        <f ca="1">TblConstr[[#This Row],[Land]]</f>
        <v>110</v>
      </c>
      <c r="F27" s="94">
        <f ca="1">TblPop[[#This Row],[Peasants]]</f>
        <v>710</v>
      </c>
      <c r="G27" s="94">
        <f ca="1">TblMili[[#This Row],[Networth (2)]]</f>
        <v>2450</v>
      </c>
      <c r="H27" s="94">
        <f ca="1">OFFSET(TblProd[[#This Row],[Platinum]],-1,0)+OFFSET(TblProd[[#This Row],[Plat/hr]],-1,0) - TblProd[[#This Row],[Expenses Platinum]] + IF(TblProd[[#This Row],[Plat Bonus]],TblPop[[#This Row],[Peasants]]*4) + SUM(TblConstr[[#This Row],[Dest Hom]:[Dest Doc]])*TblConstr[[#This Row],[CPA Platinum -DB]]*tech_3_3_2*TblTech[[#This Row],[3-3]]</f>
        <v>85659</v>
      </c>
      <c r="I27" s="94">
        <f ca="1">OFFSET(TblProd[[#This Row],[Food]],-1,0)+OFFSET(TblProd[[#This Row],[Food/hr]],-1,0)+ROUNDUP((TblConstr[[#This Row],[Farms]]*80+TblConstr[[#This Row],[Docks]]*35)*(1+OFFSET(TblProd[[#This Row],[Bonus Food/hr]],-1,0)),0)</f>
        <v>61073</v>
      </c>
      <c r="J27" s="94">
        <f ca="1">OFFSET(TblProd[[#This Row],[Lumber]],-1,0)+OFFSET(TblProd[[#This Row],[Lumber/hr]],-1,0) - TblProd[[#This Row],[Expenses Lumber]] + SUM(TblConstr[[#This Row],[Dest Hom]:[Dest Doc]])*TblConstr[[#This Row],[CPA Lumber -DB]]*tech_3_3_2*TblTech[[#This Row],[3-3]]</f>
        <v>32541</v>
      </c>
      <c r="K27" s="94">
        <f ca="1">OFFSET(TblProd[[#This Row],[Mana]],-1,0)+OFFSET(TblProd[[#This Row],[Mana/hr]],-1,0)- TblProd[[#This Row],[Expenses Mana]]</f>
        <v>0</v>
      </c>
      <c r="L27" s="94">
        <f ca="1">OFFSET(TblProd[[#This Row],[Ore]],-1,0)+OFFSET(TblProd[[#This Row],[Ore/hr]],-1,0) -TblProd[[#This Row],[Expenses Ore]]</f>
        <v>0</v>
      </c>
      <c r="M27" s="94">
        <f ca="1">OFFSET(TblProd[[#This Row],[Gems]],-1,0)+OFFSET(TblProd[[#This Row],[Gems/hr]],-1,0) - TblProd[[#This Row],[Expenses Gems]]</f>
        <v>0</v>
      </c>
      <c r="N27" s="94">
        <f ca="1">OFFSET(TblProd[[#This Row],[Boats]],-1,0)+OFFSET(TblProd[[#This Row],[Boats/hr]],-1,0)</f>
        <v>0</v>
      </c>
      <c r="O27" s="94">
        <f ca="1">OFFSET(TblProd[[#This Row],[Prestige]],-1,0)</f>
        <v>250</v>
      </c>
      <c r="P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7" s="94">
        <f ca="1">MAX(_xlfn.CEILING.MATH(TblProd[[#This Row],[Land]]*2.5+IFERROR(OFFSET(TblTech[[#This Row],[Sum of tech]],-1,0)*50,0)),3750)</f>
        <v>3750</v>
      </c>
      <c r="R27" s="142"/>
      <c r="S27" s="94">
        <f ca="1">ROUNDDOWN(TblProd[[#This Row],[Raw Plat/hr]]*(1+TblProd[[#This Row],[Bonus Plat/hr]]),0)</f>
        <v>1917</v>
      </c>
      <c r="T27" s="94">
        <f ca="1">ROUND(TblProd[[#This Row],[Raw Food/hr]]*(1+TblProd[[#This Row],[Bonus Food/hr]])-TblProd[[#This Row],[Food decay]]-TblProd[[#This Row],[Food eaten]],0)</f>
        <v>1721</v>
      </c>
      <c r="U27" s="94">
        <f ca="1">ROUND(TblProd[[#This Row],[Raw Lumber/hr]]*(1+TblProd[[#This Row],[Bonus Lumber/hr]])-TblProd[[#This Row],[Lumber rot]],0)</f>
        <v>675</v>
      </c>
      <c r="V27" s="94">
        <f ca="1">ROUND(TblProd[[#This Row],[Raw Mana/hr]]*(1+TblProd[[#This Row],[Bonus Mana/hr]])-TblProd[[#This Row],[Mana drain]],0)</f>
        <v>0</v>
      </c>
      <c r="W27" s="94">
        <f ca="1">ROUNDDOWN(TblProd[[#This Row],[Raw Ore/hr]]*(1+TblProd[[#This Row],[Bonux Ore/hr]]),0)</f>
        <v>0</v>
      </c>
      <c r="X27" s="94">
        <f ca="1">ROUNDDOWN(TblProd[[#This Row],[Raw Gems/hr]]*(1+TblProd[[#This Row],[Bonus Gems/hr]]),0)</f>
        <v>0</v>
      </c>
      <c r="Y27" s="155">
        <f ca="1">OFFSET(TblConstr[[#This Row],[Tot Doc]],1,0)*dock_boats_hr * (1 + tech_4_1*TblTech[[#This Row],[4-1]])</f>
        <v>0</v>
      </c>
      <c r="Z27" s="154"/>
      <c r="AA27" s="94">
        <f ca="1">TblPop[[#This Row],[Peasants]]*tax*TblPop[[#This Row],[Employment]] + (Construction!AZ28+Construction!BX28)*(alch_plat+(Magic!AN27&gt;0)*alchemist_flame_bonus)</f>
        <v>1917.0000000000002</v>
      </c>
      <c r="AB27" s="94">
        <f ca="1">TblConstr[[#This Row],[Tot Farm]]*farm_food + TblConstr[[#This Row],[Tot Doc]]*dock_food</f>
        <v>2400</v>
      </c>
      <c r="AC27" s="94">
        <f ca="1">TblConstr[[#This Row],[Tot Ly]]*ly_lumber + TblConstr[[#This Row],[Tot Hav]]*fh_lumber + IF(race="Wood Elf",TblMili[[#This Row],[Unit 2]]*MIN(TblMili[[#This Row],[Homeland%]]/wisp_bonus,wisp_cap),0)</f>
        <v>1000</v>
      </c>
      <c r="AD27" s="94">
        <f ca="1">OFFSET(TblConstr[[#This Row],[Tot Tow]],1,0)*(tower_mana + tech_4_5*TblTech[[#This Row],[4-5]]) + OFFSET(TblConstr[[#This Row],[Tot WG]],1,0)*wg_mana_prod</f>
        <v>0</v>
      </c>
      <c r="AE27" s="94">
        <f ca="1">OFFSET(TblConstr[[#This Row],[Tot OM]],1,0)*om_ore+IF(race="Dwarf",TblMili[[#This Row],[Unit 2]]*0.5,0)</f>
        <v>0</v>
      </c>
      <c r="AF27" s="94">
        <f ca="1">OFFSET(TblConstr[[#This Row],[Tot DM]],1,0)*dm_gems</f>
        <v>0</v>
      </c>
      <c r="AG27" s="142"/>
      <c r="AH27" s="156">
        <f ca="1">MIN(race_platinum_bonus + IF(TblMagic[[#This Row],[Active Alch Frost]]&gt;0,alch_frost_bonus,IF(Magic!AE27&gt;0,midas_bonus)) + TblImps[[#This Row],[Science]] - TblProd[[#This Row],[Guard]]*(0.02 + tech_5_7*TblTech[[#This Row],[5-7]]) + tech_1_5*TblTech[[#This Row],[1-5]] + tech_4_4*TblTech[[#This Row],[4-4]] + IF(TblMagic[[#This Row],[Active Infernal Command]]&gt;0,demonic_pact_plat,0), 0.5)</f>
        <v>0</v>
      </c>
      <c r="AI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7" s="156">
        <f ca="1">race_lumber_bonus+ IF(TblMagic[[#This Row],[Active Gaia''s Blessing]]&gt;0,gaias_blessing_lumber)+ tech_1_3*TblTech[[#This Row],[1-3]] + tech_1_6*TblTech[[#This Row],[1-6]] + tech_3_3*TblTech[[#This Row],[3-3]]</f>
        <v>0</v>
      </c>
      <c r="AK27" s="156">
        <f ca="1">race_mana_bonus+ 0 + TblImps[[#This Row],[Spires]] + tech_1_2*TblTech[[#This Row],[1-2]] + tech_3_4*TblTech[[#This Row],[3-4]]</f>
        <v>0</v>
      </c>
      <c r="AL27" s="156">
        <f ca="1">race_ore_bonus + IF(TblMagic[[#This Row],[Active Miner''s Sight]]&gt;0,miners_sight_bonus,IF(TblMagic[[#This Row],[Active Mining Strength]]&gt;0,mining_strength_bonus)) +  tech_1_6*TblTech[[#This Row],[1-6]]</f>
        <v>0</v>
      </c>
      <c r="AM27" s="156">
        <f>race_gem_bonus+ tech_3_2*TblTech[[#This Row],[3-2]] + tech_4_3*TblTech[[#This Row],[4-3]] + tech_6_2*TblTech[[#This Row],[6-2]]</f>
        <v>0</v>
      </c>
      <c r="AN27" s="142"/>
      <c r="AO27" s="94">
        <f ca="1">TblProd[[#This Row],[Food]]*food_decay * (1 + tech_2_1*TblTech[[#This Row],[2-1]] + tech_2_8*TblTech[[#This Row],[2-8]] + IF(AND(TblMagic[[#This Row],[Active DnD]]&lt;12,TblMagic[[#This Row],[Active DnD]]&gt;5),1,0))</f>
        <v>610.73</v>
      </c>
      <c r="AP27" s="94">
        <f ca="1">(1+race_food_consumption)*TblPop[[#This Row],[Total]]*food_per_person*(1+tech_1_10*TblTech[[#This Row],[1-10]]+tech_7_5*TblTech[[#This Row],[7-5]] + IF(TblMagic[[#This Row],[Active Infernal Command]]&gt;0,demonic_pact_food_cons,0))</f>
        <v>248.25</v>
      </c>
      <c r="AQ27" s="94">
        <f ca="1">TblProd[[#This Row],[Lumber]]*lumber_rot * (1 + tech_2_1*TblTech[[#This Row],[2-1]] + tech_2_8*TblTech[[#This Row],[2-8]] + tech_5_2*TblTech[[#This Row],[5-2]] + IF(AND(TblMagic[[#This Row],[Active DnD]]&lt;12,TblMagic[[#This Row],[Active DnD]]&gt;5),1,0))</f>
        <v>325.41000000000003</v>
      </c>
      <c r="AR27" s="94">
        <f ca="1">TblProd[[#This Row],[Mana]]*mana_drain * (1 + tech_2_1*TblTech[[#This Row],[2-1]] + tech_2_8*TblTech[[#This Row],[2-8]])</f>
        <v>0</v>
      </c>
      <c r="AS27" s="154"/>
      <c r="AT27" s="94">
        <f ca="1">TblExplore[[#This Row],[Platinum (2)]]+TblConstr[[#This Row],[Total Plat Cost]]+TblMili[[#This Row],[Plat Cost]]+TblRezone[[#This Row],[Platinum cost]]+TblImps[[#This Row],[P1]]-TblProd[[#This Row],[Bank Plat]]</f>
        <v>0</v>
      </c>
      <c r="AU27" s="94">
        <f ca="1">TblConstr[[#This Row],[Total Lum Cost]]+TblImps[[#This Row],[L1]]-TblProd[[#This Row],[Bank Lumber]] + Military!$CO$25*TblMili[[#This Row],[Sec. rec. Cost]]</f>
        <v>0</v>
      </c>
      <c r="AV27" s="94">
        <f ca="1">TblMagic[[#This Row],[Mana cost]] + Military!$CO$26*TblMili[[#This Row],[Sec. rec. Cost]]</f>
        <v>0</v>
      </c>
      <c r="AW27" s="94">
        <f ca="1">Military!$CO$24*TblMili[[#This Row],[Sec. rec. Cost]]+TblImps[[#This Row],[O1]]-TblProd[[#This Row],[Bank Ore]]</f>
        <v>0</v>
      </c>
      <c r="AX27" s="94">
        <f>TblImps[[#This Row],[G1]]-TblProd[[#This Row],[Bank Gems]]</f>
        <v>0</v>
      </c>
      <c r="AY27" s="142"/>
      <c r="AZ27" s="61" t="b">
        <f ca="1">IF(TblProd[[#This Row],[Set Guard]]&lt;&gt;"",TblProd[[#This Row],[Set Guard]],OFFSET(TblProd[[#This Row],[Guard]],-1,0))</f>
        <v>0</v>
      </c>
      <c r="BA27" s="61"/>
      <c r="BB27" s="45">
        <f>TblProd[[#This Row],[Hour]]</f>
        <v>24</v>
      </c>
      <c r="BC27" s="94">
        <f>-TblProd[[#This Row],[Bank Lumber]] / 2 + -TblProd[[#This Row],[Bank Gems]] * 2 + -TblProd[[#This Row],[Bank Ore]] / 2</f>
        <v>0</v>
      </c>
      <c r="BD27" s="94"/>
      <c r="BE27" s="94"/>
      <c r="BF27" s="94"/>
      <c r="BG27" s="159">
        <f ca="1">TblProd[[#This Row],[Time]]</f>
        <v>46047.958333333278</v>
      </c>
      <c r="BH27" s="45" t="str">
        <f>IF(AND(TblProd[[#This Row],[Bank Plat]]=0,TblProd[[#This Row],[Bank Lumber]]=0,TblProd[[#This Row],[Bank Ore]]=0,TblProd[[#This Row],[Bank Gems]]=0),"",IF(TblProd[[#This Row],[Bank Plat]]&gt;0,IF((TblProd[[#This Row],[Bank Lumber]]+TblProd[[#This Row],[Bank Ore]])/2+TblProd[[#This Row],[Bank Gems]]*2+ROUNDUP(TblProd[[#This Row],[Bank Plat]]/(1 + tech_2_2*Techs!Y27),0)=0,"Ok","Nope"),IF(TblProd[[#This Row],[Bank Lumber]]&gt;0,IF((TblProd[[#This Row],[Bank Plat]]+TblProd[[#This Row],[Bank Ore]])/2+TblProd[[#This Row],[Bank Gems]]*2+ROUNDUP(TblProd[[#This Row],[Bank Lumber]]/(1 + tech_2_2*Techs!Y27),0)=0,"Ok","Nope"),IF(TblProd[[#This Row],[Bank Ore]]&gt;0,IF((TblProd[[#This Row],[Bank Plat]]+TblProd[[#This Row],[Bank Lumber]])/2+TblProd[[#This Row],[Bank Gems]]*2+ROUNDUP(TblProd[[#This Row],[Bank Ore]]/(1 + tech_2_2*Techs!Y27),0)=0,"Ok","Nope")))))</f>
        <v/>
      </c>
      <c r="BI27" s="94">
        <f ca="1">TblProd[[#This Row],[Platinum]]</f>
        <v>85659</v>
      </c>
      <c r="BJ27" s="94">
        <f ca="1">TblProd[[#This Row],[Food]]</f>
        <v>61073</v>
      </c>
      <c r="BK27" s="94">
        <f ca="1">TblProd[[#This Row],[Lumber]]</f>
        <v>32541</v>
      </c>
      <c r="BL27" s="94">
        <f ca="1">TblProd[[#This Row],[Mana]]</f>
        <v>0</v>
      </c>
      <c r="BM27" s="94">
        <f ca="1">TblProd[[#This Row],[Ore]]</f>
        <v>0</v>
      </c>
    </row>
    <row r="28" spans="1:65" x14ac:dyDescent="0.2">
      <c r="A28" s="137">
        <v>25</v>
      </c>
      <c r="B28" s="152">
        <f ca="1">TblImps[[#This Row],[Time]]</f>
        <v>46047.999999999942</v>
      </c>
      <c r="C28" s="153"/>
      <c r="D28" s="154"/>
      <c r="E28" s="94">
        <f ca="1">TblConstr[[#This Row],[Land]]</f>
        <v>110</v>
      </c>
      <c r="F28" s="94">
        <f ca="1">TblPop[[#This Row],[Peasants]]</f>
        <v>724</v>
      </c>
      <c r="G28" s="94">
        <f ca="1">TblMili[[#This Row],[Networth (2)]]</f>
        <v>2450</v>
      </c>
      <c r="H28" s="94">
        <f ca="1">OFFSET(TblProd[[#This Row],[Platinum]],-1,0)+OFFSET(TblProd[[#This Row],[Plat/hr]],-1,0) - TblProd[[#This Row],[Expenses Platinum]] + IF(TblProd[[#This Row],[Plat Bonus]],TblPop[[#This Row],[Peasants]]*4) + SUM(TblConstr[[#This Row],[Dest Hom]:[Dest Doc]])*TblConstr[[#This Row],[CPA Platinum -DB]]*tech_3_3_2*TblTech[[#This Row],[3-3]]</f>
        <v>87576</v>
      </c>
      <c r="I28" s="94">
        <f ca="1">OFFSET(TblProd[[#This Row],[Food]],-1,0)+OFFSET(TblProd[[#This Row],[Food/hr]],-1,0)+ROUNDUP((TblConstr[[#This Row],[Farms]]*80+TblConstr[[#This Row],[Docks]]*35)*(1+OFFSET(TblProd[[#This Row],[Bonus Food/hr]],-1,0)),0)</f>
        <v>62794</v>
      </c>
      <c r="J28" s="94">
        <f ca="1">OFFSET(TblProd[[#This Row],[Lumber]],-1,0)+OFFSET(TblProd[[#This Row],[Lumber/hr]],-1,0) - TblProd[[#This Row],[Expenses Lumber]] + SUM(TblConstr[[#This Row],[Dest Hom]:[Dest Doc]])*TblConstr[[#This Row],[CPA Lumber -DB]]*tech_3_3_2*TblTech[[#This Row],[3-3]]</f>
        <v>33216</v>
      </c>
      <c r="K28" s="94">
        <f ca="1">OFFSET(TblProd[[#This Row],[Mana]],-1,0)+OFFSET(TblProd[[#This Row],[Mana/hr]],-1,0)- TblProd[[#This Row],[Expenses Mana]]</f>
        <v>0</v>
      </c>
      <c r="L28" s="94">
        <f ca="1">OFFSET(TblProd[[#This Row],[Ore]],-1,0)+OFFSET(TblProd[[#This Row],[Ore/hr]],-1,0) -TblProd[[#This Row],[Expenses Ore]]</f>
        <v>0</v>
      </c>
      <c r="M28" s="94">
        <f ca="1">OFFSET(TblProd[[#This Row],[Gems]],-1,0)+OFFSET(TblProd[[#This Row],[Gems/hr]],-1,0) - TblProd[[#This Row],[Expenses Gems]]</f>
        <v>0</v>
      </c>
      <c r="N28" s="94">
        <f ca="1">OFFSET(TblProd[[#This Row],[Boats]],-1,0)+OFFSET(TblProd[[#This Row],[Boats/hr]],-1,0)</f>
        <v>0</v>
      </c>
      <c r="O28" s="94">
        <f ca="1">OFFSET(TblProd[[#This Row],[Prestige]],-1,0)</f>
        <v>250</v>
      </c>
      <c r="P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8" s="94">
        <f ca="1">MAX(_xlfn.CEILING.MATH(TblProd[[#This Row],[Land]]*2.5+IFERROR(OFFSET(TblTech[[#This Row],[Sum of tech]],-1,0)*50,0)),3750)</f>
        <v>3750</v>
      </c>
      <c r="R28" s="142"/>
      <c r="S28" s="94">
        <f ca="1">ROUNDDOWN(TblProd[[#This Row],[Raw Plat/hr]]*(1+TblProd[[#This Row],[Bonus Plat/hr]]),0)</f>
        <v>1954</v>
      </c>
      <c r="T28" s="94">
        <f ca="1">ROUND(TblProd[[#This Row],[Raw Food/hr]]*(1+TblProd[[#This Row],[Bonus Food/hr]])-TblProd[[#This Row],[Food decay]]-TblProd[[#This Row],[Food eaten]],0)</f>
        <v>1699</v>
      </c>
      <c r="U28" s="94">
        <f ca="1">ROUND(TblProd[[#This Row],[Raw Lumber/hr]]*(1+TblProd[[#This Row],[Bonus Lumber/hr]])-TblProd[[#This Row],[Lumber rot]],0)</f>
        <v>668</v>
      </c>
      <c r="V28" s="94">
        <f ca="1">ROUND(TblProd[[#This Row],[Raw Mana/hr]]*(1+TblProd[[#This Row],[Bonus Mana/hr]])-TblProd[[#This Row],[Mana drain]],0)</f>
        <v>0</v>
      </c>
      <c r="W28" s="94">
        <f ca="1">ROUNDDOWN(TblProd[[#This Row],[Raw Ore/hr]]*(1+TblProd[[#This Row],[Bonux Ore/hr]]),0)</f>
        <v>0</v>
      </c>
      <c r="X28" s="94">
        <f ca="1">ROUNDDOWN(TblProd[[#This Row],[Raw Gems/hr]]*(1+TblProd[[#This Row],[Bonus Gems/hr]]),0)</f>
        <v>0</v>
      </c>
      <c r="Y28" s="155">
        <f ca="1">OFFSET(TblConstr[[#This Row],[Tot Doc]],1,0)*dock_boats_hr * (1 + tech_4_1*TblTech[[#This Row],[4-1]])</f>
        <v>0</v>
      </c>
      <c r="Z28" s="154"/>
      <c r="AA28" s="94">
        <f ca="1">TblPop[[#This Row],[Peasants]]*tax*TblPop[[#This Row],[Employment]] + (Construction!AZ29+Construction!BX29)*(alch_plat+(Magic!AN28&gt;0)*alchemist_flame_bonus)</f>
        <v>1954.8000000000002</v>
      </c>
      <c r="AB28" s="94">
        <f ca="1">TblConstr[[#This Row],[Tot Farm]]*farm_food + TblConstr[[#This Row],[Tot Doc]]*dock_food</f>
        <v>2400</v>
      </c>
      <c r="AC28" s="94">
        <f ca="1">TblConstr[[#This Row],[Tot Ly]]*ly_lumber + TblConstr[[#This Row],[Tot Hav]]*fh_lumber + IF(race="Wood Elf",TblMili[[#This Row],[Unit 2]]*MIN(TblMili[[#This Row],[Homeland%]]/wisp_bonus,wisp_cap),0)</f>
        <v>1000</v>
      </c>
      <c r="AD28" s="94">
        <f ca="1">OFFSET(TblConstr[[#This Row],[Tot Tow]],1,0)*(tower_mana + tech_4_5*TblTech[[#This Row],[4-5]]) + OFFSET(TblConstr[[#This Row],[Tot WG]],1,0)*wg_mana_prod</f>
        <v>0</v>
      </c>
      <c r="AE28" s="94">
        <f ca="1">OFFSET(TblConstr[[#This Row],[Tot OM]],1,0)*om_ore+IF(race="Dwarf",TblMili[[#This Row],[Unit 2]]*0.5,0)</f>
        <v>0</v>
      </c>
      <c r="AF28" s="94">
        <f ca="1">OFFSET(TblConstr[[#This Row],[Tot DM]],1,0)*dm_gems</f>
        <v>0</v>
      </c>
      <c r="AG28" s="142"/>
      <c r="AH28" s="156">
        <f ca="1">MIN(race_platinum_bonus + IF(TblMagic[[#This Row],[Active Alch Frost]]&gt;0,alch_frost_bonus,IF(Magic!AE28&gt;0,midas_bonus)) + TblImps[[#This Row],[Science]] - TblProd[[#This Row],[Guard]]*(0.02 + tech_5_7*TblTech[[#This Row],[5-7]]) + tech_1_5*TblTech[[#This Row],[1-5]] + tech_4_4*TblTech[[#This Row],[4-4]] + IF(TblMagic[[#This Row],[Active Infernal Command]]&gt;0,demonic_pact_plat,0), 0.5)</f>
        <v>0</v>
      </c>
      <c r="AI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8" s="156">
        <f ca="1">race_lumber_bonus+ IF(TblMagic[[#This Row],[Active Gaia''s Blessing]]&gt;0,gaias_blessing_lumber)+ tech_1_3*TblTech[[#This Row],[1-3]] + tech_1_6*TblTech[[#This Row],[1-6]] + tech_3_3*TblTech[[#This Row],[3-3]]</f>
        <v>0</v>
      </c>
      <c r="AK28" s="156">
        <f ca="1">race_mana_bonus+ 0 + TblImps[[#This Row],[Spires]] + tech_1_2*TblTech[[#This Row],[1-2]] + tech_3_4*TblTech[[#This Row],[3-4]]</f>
        <v>0</v>
      </c>
      <c r="AL28" s="156">
        <f ca="1">race_ore_bonus + IF(TblMagic[[#This Row],[Active Miner''s Sight]]&gt;0,miners_sight_bonus,IF(TblMagic[[#This Row],[Active Mining Strength]]&gt;0,mining_strength_bonus)) +  tech_1_6*TblTech[[#This Row],[1-6]]</f>
        <v>0</v>
      </c>
      <c r="AM28" s="156">
        <f>race_gem_bonus+ tech_3_2*TblTech[[#This Row],[3-2]] + tech_4_3*TblTech[[#This Row],[4-3]] + tech_6_2*TblTech[[#This Row],[6-2]]</f>
        <v>0</v>
      </c>
      <c r="AN28" s="142"/>
      <c r="AO28" s="94">
        <f ca="1">TblProd[[#This Row],[Food]]*food_decay * (1 + tech_2_1*TblTech[[#This Row],[2-1]] + tech_2_8*TblTech[[#This Row],[2-8]] + IF(AND(TblMagic[[#This Row],[Active DnD]]&lt;12,TblMagic[[#This Row],[Active DnD]]&gt;5),1,0))</f>
        <v>627.94000000000005</v>
      </c>
      <c r="AP28" s="94">
        <f ca="1">(1+race_food_consumption)*TblPop[[#This Row],[Total]]*food_per_person*(1+tech_1_10*TblTech[[#This Row],[1-10]]+tech_7_5*TblTech[[#This Row],[7-5]] + IF(TblMagic[[#This Row],[Active Infernal Command]]&gt;0,demonic_pact_food_cons,0))</f>
        <v>253.5</v>
      </c>
      <c r="AQ28" s="94">
        <f ca="1">TblProd[[#This Row],[Lumber]]*lumber_rot * (1 + tech_2_1*TblTech[[#This Row],[2-1]] + tech_2_8*TblTech[[#This Row],[2-8]] + tech_5_2*TblTech[[#This Row],[5-2]] + IF(AND(TblMagic[[#This Row],[Active DnD]]&lt;12,TblMagic[[#This Row],[Active DnD]]&gt;5),1,0))</f>
        <v>332.16</v>
      </c>
      <c r="AR28" s="94">
        <f ca="1">TblProd[[#This Row],[Mana]]*mana_drain * (1 + tech_2_1*TblTech[[#This Row],[2-1]] + tech_2_8*TblTech[[#This Row],[2-8]])</f>
        <v>0</v>
      </c>
      <c r="AS28" s="154"/>
      <c r="AT28" s="94">
        <f ca="1">TblExplore[[#This Row],[Platinum (2)]]+TblConstr[[#This Row],[Total Plat Cost]]+TblMili[[#This Row],[Plat Cost]]+TblRezone[[#This Row],[Platinum cost]]+TblImps[[#This Row],[P1]]-TblProd[[#This Row],[Bank Plat]]</f>
        <v>0</v>
      </c>
      <c r="AU28" s="94">
        <f ca="1">TblConstr[[#This Row],[Total Lum Cost]]+TblImps[[#This Row],[L1]]-TblProd[[#This Row],[Bank Lumber]] + Military!$CO$25*TblMili[[#This Row],[Sec. rec. Cost]]</f>
        <v>0</v>
      </c>
      <c r="AV28" s="94">
        <f ca="1">TblMagic[[#This Row],[Mana cost]] + Military!$CO$26*TblMili[[#This Row],[Sec. rec. Cost]]</f>
        <v>0</v>
      </c>
      <c r="AW28" s="94">
        <f ca="1">Military!$CO$24*TblMili[[#This Row],[Sec. rec. Cost]]+TblImps[[#This Row],[O1]]-TblProd[[#This Row],[Bank Ore]]</f>
        <v>0</v>
      </c>
      <c r="AX28" s="94">
        <f>TblImps[[#This Row],[G1]]-TblProd[[#This Row],[Bank Gems]]</f>
        <v>0</v>
      </c>
      <c r="AY28" s="142"/>
      <c r="AZ28" s="61" t="b">
        <f ca="1">IF(TblProd[[#This Row],[Set Guard]]&lt;&gt;"",TblProd[[#This Row],[Set Guard]],OFFSET(TblProd[[#This Row],[Guard]],-1,0))</f>
        <v>0</v>
      </c>
      <c r="BA28" s="153"/>
      <c r="BB28" s="45">
        <f>TblProd[[#This Row],[Hour]]</f>
        <v>25</v>
      </c>
      <c r="BC28" s="158">
        <f>-TblProd[[#This Row],[Bank Lumber]] / 2 + -TblProd[[#This Row],[Bank Gems]] * 2 + -TblProd[[#This Row],[Bank Ore]] / 2</f>
        <v>0</v>
      </c>
      <c r="BD28" s="158"/>
      <c r="BE28" s="158"/>
      <c r="BF28" s="158"/>
      <c r="BG28" s="159">
        <f ca="1">TblProd[[#This Row],[Time]]</f>
        <v>46047.999999999942</v>
      </c>
      <c r="BH28" s="45" t="str">
        <f>IF(AND(TblProd[[#This Row],[Bank Plat]]=0,TblProd[[#This Row],[Bank Lumber]]=0,TblProd[[#This Row],[Bank Ore]]=0,TblProd[[#This Row],[Bank Gems]]=0),"",IF(TblProd[[#This Row],[Bank Plat]]&gt;0,IF((TblProd[[#This Row],[Bank Lumber]]+TblProd[[#This Row],[Bank Ore]])/2+TblProd[[#This Row],[Bank Gems]]*2+ROUNDUP(TblProd[[#This Row],[Bank Plat]]/(1 + tech_2_2*Techs!Y28),0)=0,"Ok","Nope"),IF(TblProd[[#This Row],[Bank Lumber]]&gt;0,IF((TblProd[[#This Row],[Bank Plat]]+TblProd[[#This Row],[Bank Ore]])/2+TblProd[[#This Row],[Bank Gems]]*2+ROUNDUP(TblProd[[#This Row],[Bank Lumber]]/(1 + tech_2_2*Techs!Y28),0)=0,"Ok","Nope"),IF(TblProd[[#This Row],[Bank Ore]]&gt;0,IF((TblProd[[#This Row],[Bank Plat]]+TblProd[[#This Row],[Bank Lumber]])/2+TblProd[[#This Row],[Bank Gems]]*2+ROUNDUP(TblProd[[#This Row],[Bank Ore]]/(1 + tech_2_2*Techs!Y28),0)=0,"Ok","Nope")))))</f>
        <v/>
      </c>
      <c r="BI28" s="94">
        <f ca="1">TblProd[[#This Row],[Platinum]]</f>
        <v>87576</v>
      </c>
      <c r="BJ28" s="94">
        <f ca="1">TblProd[[#This Row],[Food]]</f>
        <v>62794</v>
      </c>
      <c r="BK28" s="94">
        <f ca="1">TblProd[[#This Row],[Lumber]]</f>
        <v>33216</v>
      </c>
      <c r="BL28" s="94">
        <f ca="1">TblProd[[#This Row],[Mana]]</f>
        <v>0</v>
      </c>
      <c r="BM28" s="94">
        <f ca="1">TblProd[[#This Row],[Ore]]</f>
        <v>0</v>
      </c>
    </row>
    <row r="29" spans="1:65" x14ac:dyDescent="0.2">
      <c r="A29" s="137">
        <v>26</v>
      </c>
      <c r="B29" s="152">
        <f ca="1">TblImps[[#This Row],[Time]]</f>
        <v>46048.041666666606</v>
      </c>
      <c r="C29" s="153"/>
      <c r="D29" s="154"/>
      <c r="E29" s="94">
        <f ca="1">TblConstr[[#This Row],[Land]]</f>
        <v>110</v>
      </c>
      <c r="F29" s="94">
        <f ca="1">TblPop[[#This Row],[Peasants]]</f>
        <v>739</v>
      </c>
      <c r="G29" s="94">
        <f ca="1">TblMili[[#This Row],[Networth (2)]]</f>
        <v>2450</v>
      </c>
      <c r="H29" s="94">
        <f ca="1">OFFSET(TblProd[[#This Row],[Platinum]],-1,0)+OFFSET(TblProd[[#This Row],[Plat/hr]],-1,0) - TblProd[[#This Row],[Expenses Platinum]] + IF(TblProd[[#This Row],[Plat Bonus]],TblPop[[#This Row],[Peasants]]*4) + SUM(TblConstr[[#This Row],[Dest Hom]:[Dest Doc]])*TblConstr[[#This Row],[CPA Platinum -DB]]*tech_3_3_2*TblTech[[#This Row],[3-3]]</f>
        <v>89530</v>
      </c>
      <c r="I29" s="94">
        <f ca="1">OFFSET(TblProd[[#This Row],[Food]],-1,0)+OFFSET(TblProd[[#This Row],[Food/hr]],-1,0)+ROUNDUP((TblConstr[[#This Row],[Farms]]*80+TblConstr[[#This Row],[Docks]]*35)*(1+OFFSET(TblProd[[#This Row],[Bonus Food/hr]],-1,0)),0)</f>
        <v>64493</v>
      </c>
      <c r="J29" s="94">
        <f ca="1">OFFSET(TblProd[[#This Row],[Lumber]],-1,0)+OFFSET(TblProd[[#This Row],[Lumber/hr]],-1,0) - TblProd[[#This Row],[Expenses Lumber]] + SUM(TblConstr[[#This Row],[Dest Hom]:[Dest Doc]])*TblConstr[[#This Row],[CPA Lumber -DB]]*tech_3_3_2*TblTech[[#This Row],[3-3]]</f>
        <v>33884</v>
      </c>
      <c r="K29" s="94">
        <f ca="1">OFFSET(TblProd[[#This Row],[Mana]],-1,0)+OFFSET(TblProd[[#This Row],[Mana/hr]],-1,0)- TblProd[[#This Row],[Expenses Mana]]</f>
        <v>0</v>
      </c>
      <c r="L29" s="94">
        <f ca="1">OFFSET(TblProd[[#This Row],[Ore]],-1,0)+OFFSET(TblProd[[#This Row],[Ore/hr]],-1,0) -TblProd[[#This Row],[Expenses Ore]]</f>
        <v>0</v>
      </c>
      <c r="M29" s="94">
        <f ca="1">OFFSET(TblProd[[#This Row],[Gems]],-1,0)+OFFSET(TblProd[[#This Row],[Gems/hr]],-1,0) - TblProd[[#This Row],[Expenses Gems]]</f>
        <v>0</v>
      </c>
      <c r="N29" s="94">
        <f ca="1">OFFSET(TblProd[[#This Row],[Boats]],-1,0)+OFFSET(TblProd[[#This Row],[Boats/hr]],-1,0)</f>
        <v>0</v>
      </c>
      <c r="O29" s="94">
        <f ca="1">OFFSET(TblProd[[#This Row],[Prestige]],-1,0)</f>
        <v>250</v>
      </c>
      <c r="P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29" s="94">
        <f ca="1">MAX(_xlfn.CEILING.MATH(TblProd[[#This Row],[Land]]*2.5+IFERROR(OFFSET(TblTech[[#This Row],[Sum of tech]],-1,0)*50,0)),3750)</f>
        <v>3750</v>
      </c>
      <c r="R29" s="142"/>
      <c r="S29" s="94">
        <f ca="1">ROUNDDOWN(TblProd[[#This Row],[Raw Plat/hr]]*(1+TblProd[[#This Row],[Bonus Plat/hr]]),0)</f>
        <v>1995</v>
      </c>
      <c r="T29" s="94">
        <f ca="1">ROUND(TblProd[[#This Row],[Raw Food/hr]]*(1+TblProd[[#This Row],[Bonus Food/hr]])-TblProd[[#This Row],[Food decay]]-TblProd[[#This Row],[Food eaten]],0)</f>
        <v>1676</v>
      </c>
      <c r="U29" s="94">
        <f ca="1">ROUND(TblProd[[#This Row],[Raw Lumber/hr]]*(1+TblProd[[#This Row],[Bonus Lumber/hr]])-TblProd[[#This Row],[Lumber rot]],0)</f>
        <v>661</v>
      </c>
      <c r="V29" s="94">
        <f ca="1">ROUND(TblProd[[#This Row],[Raw Mana/hr]]*(1+TblProd[[#This Row],[Bonus Mana/hr]])-TblProd[[#This Row],[Mana drain]],0)</f>
        <v>0</v>
      </c>
      <c r="W29" s="94">
        <f ca="1">ROUNDDOWN(TblProd[[#This Row],[Raw Ore/hr]]*(1+TblProd[[#This Row],[Bonux Ore/hr]]),0)</f>
        <v>0</v>
      </c>
      <c r="X29" s="94">
        <f ca="1">ROUNDDOWN(TblProd[[#This Row],[Raw Gems/hr]]*(1+TblProd[[#This Row],[Bonus Gems/hr]]),0)</f>
        <v>0</v>
      </c>
      <c r="Y29" s="155">
        <f ca="1">OFFSET(TblConstr[[#This Row],[Tot Doc]],1,0)*dock_boats_hr * (1 + tech_4_1*TblTech[[#This Row],[4-1]])</f>
        <v>0</v>
      </c>
      <c r="Z29" s="154"/>
      <c r="AA29" s="94">
        <f ca="1">TblPop[[#This Row],[Peasants]]*tax*TblPop[[#This Row],[Employment]] + (Construction!AZ30+Construction!BX30)*(alch_plat+(Magic!AN29&gt;0)*alchemist_flame_bonus)</f>
        <v>1995.3000000000002</v>
      </c>
      <c r="AB29" s="94">
        <f ca="1">TblConstr[[#This Row],[Tot Farm]]*farm_food + TblConstr[[#This Row],[Tot Doc]]*dock_food</f>
        <v>2400</v>
      </c>
      <c r="AC29" s="94">
        <f ca="1">TblConstr[[#This Row],[Tot Ly]]*ly_lumber + TblConstr[[#This Row],[Tot Hav]]*fh_lumber + IF(race="Wood Elf",TblMili[[#This Row],[Unit 2]]*MIN(TblMili[[#This Row],[Homeland%]]/wisp_bonus,wisp_cap),0)</f>
        <v>1000</v>
      </c>
      <c r="AD29" s="94">
        <f ca="1">OFFSET(TblConstr[[#This Row],[Tot Tow]],1,0)*(tower_mana + tech_4_5*TblTech[[#This Row],[4-5]]) + OFFSET(TblConstr[[#This Row],[Tot WG]],1,0)*wg_mana_prod</f>
        <v>0</v>
      </c>
      <c r="AE29" s="94">
        <f ca="1">OFFSET(TblConstr[[#This Row],[Tot OM]],1,0)*om_ore+IF(race="Dwarf",TblMili[[#This Row],[Unit 2]]*0.5,0)</f>
        <v>0</v>
      </c>
      <c r="AF29" s="94">
        <f ca="1">OFFSET(TblConstr[[#This Row],[Tot DM]],1,0)*dm_gems</f>
        <v>0</v>
      </c>
      <c r="AG29" s="142"/>
      <c r="AH29" s="156">
        <f ca="1">MIN(race_platinum_bonus + IF(TblMagic[[#This Row],[Active Alch Frost]]&gt;0,alch_frost_bonus,IF(Magic!AE29&gt;0,midas_bonus)) + TblImps[[#This Row],[Science]] - TblProd[[#This Row],[Guard]]*(0.02 + tech_5_7*TblTech[[#This Row],[5-7]]) + tech_1_5*TblTech[[#This Row],[1-5]] + tech_4_4*TblTech[[#This Row],[4-4]] + IF(TblMagic[[#This Row],[Active Infernal Command]]&gt;0,demonic_pact_plat,0), 0.5)</f>
        <v>0</v>
      </c>
      <c r="AI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29" s="156">
        <f ca="1">race_lumber_bonus+ IF(TblMagic[[#This Row],[Active Gaia''s Blessing]]&gt;0,gaias_blessing_lumber)+ tech_1_3*TblTech[[#This Row],[1-3]] + tech_1_6*TblTech[[#This Row],[1-6]] + tech_3_3*TblTech[[#This Row],[3-3]]</f>
        <v>0</v>
      </c>
      <c r="AK29" s="156">
        <f ca="1">race_mana_bonus+ 0 + TblImps[[#This Row],[Spires]] + tech_1_2*TblTech[[#This Row],[1-2]] + tech_3_4*TblTech[[#This Row],[3-4]]</f>
        <v>0</v>
      </c>
      <c r="AL29" s="156">
        <f ca="1">race_ore_bonus + IF(TblMagic[[#This Row],[Active Miner''s Sight]]&gt;0,miners_sight_bonus,IF(TblMagic[[#This Row],[Active Mining Strength]]&gt;0,mining_strength_bonus)) +  tech_1_6*TblTech[[#This Row],[1-6]]</f>
        <v>0</v>
      </c>
      <c r="AM29" s="156">
        <f>race_gem_bonus+ tech_3_2*TblTech[[#This Row],[3-2]] + tech_4_3*TblTech[[#This Row],[4-3]] + tech_6_2*TblTech[[#This Row],[6-2]]</f>
        <v>0</v>
      </c>
      <c r="AN29" s="142"/>
      <c r="AO29" s="94">
        <f ca="1">TblProd[[#This Row],[Food]]*food_decay * (1 + tech_2_1*TblTech[[#This Row],[2-1]] + tech_2_8*TblTech[[#This Row],[2-8]] + IF(AND(TblMagic[[#This Row],[Active DnD]]&lt;12,TblMagic[[#This Row],[Active DnD]]&gt;5),1,0))</f>
        <v>644.93000000000006</v>
      </c>
      <c r="AP29" s="94">
        <f ca="1">(1+race_food_consumption)*TblPop[[#This Row],[Total]]*food_per_person*(1+tech_1_10*TblTech[[#This Row],[1-10]]+tech_7_5*TblTech[[#This Row],[7-5]] + IF(TblMagic[[#This Row],[Active Infernal Command]]&gt;0,demonic_pact_food_cons,0))</f>
        <v>259</v>
      </c>
      <c r="AQ29" s="94">
        <f ca="1">TblProd[[#This Row],[Lumber]]*lumber_rot * (1 + tech_2_1*TblTech[[#This Row],[2-1]] + tech_2_8*TblTech[[#This Row],[2-8]] + tech_5_2*TblTech[[#This Row],[5-2]] + IF(AND(TblMagic[[#This Row],[Active DnD]]&lt;12,TblMagic[[#This Row],[Active DnD]]&gt;5),1,0))</f>
        <v>338.84000000000003</v>
      </c>
      <c r="AR29" s="94">
        <f ca="1">TblProd[[#This Row],[Mana]]*mana_drain * (1 + tech_2_1*TblTech[[#This Row],[2-1]] + tech_2_8*TblTech[[#This Row],[2-8]])</f>
        <v>0</v>
      </c>
      <c r="AS29" s="154"/>
      <c r="AT29" s="94">
        <f ca="1">TblExplore[[#This Row],[Platinum (2)]]+TblConstr[[#This Row],[Total Plat Cost]]+TblMili[[#This Row],[Plat Cost]]+TblRezone[[#This Row],[Platinum cost]]+TblImps[[#This Row],[P1]]-TblProd[[#This Row],[Bank Plat]]</f>
        <v>0</v>
      </c>
      <c r="AU29" s="94">
        <f ca="1">TblConstr[[#This Row],[Total Lum Cost]]+TblImps[[#This Row],[L1]]-TblProd[[#This Row],[Bank Lumber]] + Military!$CO$25*TblMili[[#This Row],[Sec. rec. Cost]]</f>
        <v>0</v>
      </c>
      <c r="AV29" s="94">
        <f ca="1">TblMagic[[#This Row],[Mana cost]] + Military!$CO$26*TblMili[[#This Row],[Sec. rec. Cost]]</f>
        <v>0</v>
      </c>
      <c r="AW29" s="94">
        <f ca="1">Military!$CO$24*TblMili[[#This Row],[Sec. rec. Cost]]+TblImps[[#This Row],[O1]]-TblProd[[#This Row],[Bank Ore]]</f>
        <v>0</v>
      </c>
      <c r="AX29" s="94">
        <f>TblImps[[#This Row],[G1]]-TblProd[[#This Row],[Bank Gems]]</f>
        <v>0</v>
      </c>
      <c r="AY29" s="142"/>
      <c r="AZ29" s="61" t="b">
        <f ca="1">IF(TblProd[[#This Row],[Set Guard]]&lt;&gt;"",TblProd[[#This Row],[Set Guard]],OFFSET(TblProd[[#This Row],[Guard]],-1,0))</f>
        <v>0</v>
      </c>
      <c r="BA29" s="153"/>
      <c r="BB29" s="45">
        <f>TblProd[[#This Row],[Hour]]</f>
        <v>26</v>
      </c>
      <c r="BC29" s="158">
        <f>-TblProd[[#This Row],[Bank Lumber]] / 2 + -TblProd[[#This Row],[Bank Gems]] * 2 + -TblProd[[#This Row],[Bank Ore]] / 2</f>
        <v>0</v>
      </c>
      <c r="BD29" s="158"/>
      <c r="BE29" s="158"/>
      <c r="BF29" s="158"/>
      <c r="BG29" s="159">
        <f ca="1">TblProd[[#This Row],[Time]]</f>
        <v>46048.041666666606</v>
      </c>
      <c r="BH29" s="45" t="str">
        <f>IF(AND(TblProd[[#This Row],[Bank Plat]]=0,TblProd[[#This Row],[Bank Lumber]]=0,TblProd[[#This Row],[Bank Ore]]=0,TblProd[[#This Row],[Bank Gems]]=0),"",IF(TblProd[[#This Row],[Bank Plat]]&gt;0,IF((TblProd[[#This Row],[Bank Lumber]]+TblProd[[#This Row],[Bank Ore]])/2+TblProd[[#This Row],[Bank Gems]]*2+ROUNDUP(TblProd[[#This Row],[Bank Plat]]/(1 + tech_2_2*Techs!Y29),0)=0,"Ok","Nope"),IF(TblProd[[#This Row],[Bank Lumber]]&gt;0,IF((TblProd[[#This Row],[Bank Plat]]+TblProd[[#This Row],[Bank Ore]])/2+TblProd[[#This Row],[Bank Gems]]*2+ROUNDUP(TblProd[[#This Row],[Bank Lumber]]/(1 + tech_2_2*Techs!Y29),0)=0,"Ok","Nope"),IF(TblProd[[#This Row],[Bank Ore]]&gt;0,IF((TblProd[[#This Row],[Bank Plat]]+TblProd[[#This Row],[Bank Lumber]])/2+TblProd[[#This Row],[Bank Gems]]*2+ROUNDUP(TblProd[[#This Row],[Bank Ore]]/(1 + tech_2_2*Techs!Y29),0)=0,"Ok","Nope")))))</f>
        <v/>
      </c>
      <c r="BI29" s="94">
        <f ca="1">TblProd[[#This Row],[Platinum]]</f>
        <v>89530</v>
      </c>
      <c r="BJ29" s="94">
        <f ca="1">TblProd[[#This Row],[Food]]</f>
        <v>64493</v>
      </c>
      <c r="BK29" s="94">
        <f ca="1">TblProd[[#This Row],[Lumber]]</f>
        <v>33884</v>
      </c>
      <c r="BL29" s="94">
        <f ca="1">TblProd[[#This Row],[Mana]]</f>
        <v>0</v>
      </c>
      <c r="BM29" s="94">
        <f ca="1">TblProd[[#This Row],[Ore]]</f>
        <v>0</v>
      </c>
    </row>
    <row r="30" spans="1:65" x14ac:dyDescent="0.2">
      <c r="A30" s="137">
        <v>27</v>
      </c>
      <c r="B30" s="152">
        <f ca="1">TblImps[[#This Row],[Time]]</f>
        <v>46048.08333333327</v>
      </c>
      <c r="C30" s="153"/>
      <c r="D30" s="154"/>
      <c r="E30" s="94">
        <f ca="1">TblConstr[[#This Row],[Land]]</f>
        <v>110</v>
      </c>
      <c r="F30" s="94">
        <f ca="1">TblPop[[#This Row],[Peasants]]</f>
        <v>754</v>
      </c>
      <c r="G30" s="94">
        <f ca="1">TblMili[[#This Row],[Networth (2)]]</f>
        <v>2450</v>
      </c>
      <c r="H30" s="94">
        <f ca="1">OFFSET(TblProd[[#This Row],[Platinum]],-1,0)+OFFSET(TblProd[[#This Row],[Plat/hr]],-1,0) - TblProd[[#This Row],[Expenses Platinum]] + IF(TblProd[[#This Row],[Plat Bonus]],TblPop[[#This Row],[Peasants]]*4) + SUM(TblConstr[[#This Row],[Dest Hom]:[Dest Doc]])*TblConstr[[#This Row],[CPA Platinum -DB]]*tech_3_3_2*TblTech[[#This Row],[3-3]]</f>
        <v>91525</v>
      </c>
      <c r="I30" s="94">
        <f ca="1">OFFSET(TblProd[[#This Row],[Food]],-1,0)+OFFSET(TblProd[[#This Row],[Food/hr]],-1,0)+ROUNDUP((TblConstr[[#This Row],[Farms]]*80+TblConstr[[#This Row],[Docks]]*35)*(1+OFFSET(TblProd[[#This Row],[Bonus Food/hr]],-1,0)),0)</f>
        <v>66169</v>
      </c>
      <c r="J30" s="94">
        <f ca="1">OFFSET(TblProd[[#This Row],[Lumber]],-1,0)+OFFSET(TblProd[[#This Row],[Lumber/hr]],-1,0) - TblProd[[#This Row],[Expenses Lumber]] + SUM(TblConstr[[#This Row],[Dest Hom]:[Dest Doc]])*TblConstr[[#This Row],[CPA Lumber -DB]]*tech_3_3_2*TblTech[[#This Row],[3-3]]</f>
        <v>34545</v>
      </c>
      <c r="K30" s="94">
        <f ca="1">OFFSET(TblProd[[#This Row],[Mana]],-1,0)+OFFSET(TblProd[[#This Row],[Mana/hr]],-1,0)- TblProd[[#This Row],[Expenses Mana]]</f>
        <v>0</v>
      </c>
      <c r="L30" s="94">
        <f ca="1">OFFSET(TblProd[[#This Row],[Ore]],-1,0)+OFFSET(TblProd[[#This Row],[Ore/hr]],-1,0) -TblProd[[#This Row],[Expenses Ore]]</f>
        <v>0</v>
      </c>
      <c r="M30" s="94">
        <f ca="1">OFFSET(TblProd[[#This Row],[Gems]],-1,0)+OFFSET(TblProd[[#This Row],[Gems/hr]],-1,0) - TblProd[[#This Row],[Expenses Gems]]</f>
        <v>0</v>
      </c>
      <c r="N30" s="94">
        <f ca="1">OFFSET(TblProd[[#This Row],[Boats]],-1,0)+OFFSET(TblProd[[#This Row],[Boats/hr]],-1,0)</f>
        <v>0</v>
      </c>
      <c r="O30" s="94">
        <f ca="1">OFFSET(TblProd[[#This Row],[Prestige]],-1,0)</f>
        <v>250</v>
      </c>
      <c r="P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0" s="94">
        <f ca="1">MAX(_xlfn.CEILING.MATH(TblProd[[#This Row],[Land]]*2.5+IFERROR(OFFSET(TblTech[[#This Row],[Sum of tech]],-1,0)*50,0)),3750)</f>
        <v>3750</v>
      </c>
      <c r="R30" s="142"/>
      <c r="S30" s="94">
        <f ca="1">ROUNDDOWN(TblProd[[#This Row],[Raw Plat/hr]]*(1+TblProd[[#This Row],[Bonus Plat/hr]]),0)</f>
        <v>2035</v>
      </c>
      <c r="T30" s="94">
        <f ca="1">ROUND(TblProd[[#This Row],[Raw Food/hr]]*(1+TblProd[[#This Row],[Bonus Food/hr]])-TblProd[[#This Row],[Food decay]]-TblProd[[#This Row],[Food eaten]],0)</f>
        <v>1654</v>
      </c>
      <c r="U30" s="94">
        <f ca="1">ROUND(TblProd[[#This Row],[Raw Lumber/hr]]*(1+TblProd[[#This Row],[Bonus Lumber/hr]])-TblProd[[#This Row],[Lumber rot]],0)</f>
        <v>655</v>
      </c>
      <c r="V30" s="94">
        <f ca="1">ROUND(TblProd[[#This Row],[Raw Mana/hr]]*(1+TblProd[[#This Row],[Bonus Mana/hr]])-TblProd[[#This Row],[Mana drain]],0)</f>
        <v>0</v>
      </c>
      <c r="W30" s="94">
        <f ca="1">ROUNDDOWN(TblProd[[#This Row],[Raw Ore/hr]]*(1+TblProd[[#This Row],[Bonux Ore/hr]]),0)</f>
        <v>0</v>
      </c>
      <c r="X30" s="94">
        <f ca="1">ROUNDDOWN(TblProd[[#This Row],[Raw Gems/hr]]*(1+TblProd[[#This Row],[Bonus Gems/hr]]),0)</f>
        <v>0</v>
      </c>
      <c r="Y30" s="155">
        <f ca="1">OFFSET(TblConstr[[#This Row],[Tot Doc]],1,0)*dock_boats_hr * (1 + tech_4_1*TblTech[[#This Row],[4-1]])</f>
        <v>0</v>
      </c>
      <c r="Z30" s="154"/>
      <c r="AA30" s="94">
        <f ca="1">TblPop[[#This Row],[Peasants]]*tax*TblPop[[#This Row],[Employment]] + (Construction!AZ31+Construction!BX31)*(alch_plat+(Magic!AN30&gt;0)*alchemist_flame_bonus)</f>
        <v>2035.8000000000002</v>
      </c>
      <c r="AB30" s="94">
        <f ca="1">TblConstr[[#This Row],[Tot Farm]]*farm_food + TblConstr[[#This Row],[Tot Doc]]*dock_food</f>
        <v>2400</v>
      </c>
      <c r="AC30" s="94">
        <f ca="1">TblConstr[[#This Row],[Tot Ly]]*ly_lumber + TblConstr[[#This Row],[Tot Hav]]*fh_lumber + IF(race="Wood Elf",TblMili[[#This Row],[Unit 2]]*MIN(TblMili[[#This Row],[Homeland%]]/wisp_bonus,wisp_cap),0)</f>
        <v>1000</v>
      </c>
      <c r="AD30" s="94">
        <f ca="1">OFFSET(TblConstr[[#This Row],[Tot Tow]],1,0)*(tower_mana + tech_4_5*TblTech[[#This Row],[4-5]]) + OFFSET(TblConstr[[#This Row],[Tot WG]],1,0)*wg_mana_prod</f>
        <v>0</v>
      </c>
      <c r="AE30" s="94">
        <f ca="1">OFFSET(TblConstr[[#This Row],[Tot OM]],1,0)*om_ore+IF(race="Dwarf",TblMili[[#This Row],[Unit 2]]*0.5,0)</f>
        <v>0</v>
      </c>
      <c r="AF30" s="94">
        <f ca="1">OFFSET(TblConstr[[#This Row],[Tot DM]],1,0)*dm_gems</f>
        <v>0</v>
      </c>
      <c r="AG30" s="142"/>
      <c r="AH30" s="156">
        <f ca="1">MIN(race_platinum_bonus + IF(TblMagic[[#This Row],[Active Alch Frost]]&gt;0,alch_frost_bonus,IF(Magic!AE30&gt;0,midas_bonus)) + TblImps[[#This Row],[Science]] - TblProd[[#This Row],[Guard]]*(0.02 + tech_5_7*TblTech[[#This Row],[5-7]]) + tech_1_5*TblTech[[#This Row],[1-5]] + tech_4_4*TblTech[[#This Row],[4-4]] + IF(TblMagic[[#This Row],[Active Infernal Command]]&gt;0,demonic_pact_plat,0), 0.5)</f>
        <v>0</v>
      </c>
      <c r="AI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0" s="156">
        <f ca="1">race_lumber_bonus+ IF(TblMagic[[#This Row],[Active Gaia''s Blessing]]&gt;0,gaias_blessing_lumber)+ tech_1_3*TblTech[[#This Row],[1-3]] + tech_1_6*TblTech[[#This Row],[1-6]] + tech_3_3*TblTech[[#This Row],[3-3]]</f>
        <v>0</v>
      </c>
      <c r="AK30" s="156">
        <f ca="1">race_mana_bonus+ 0 + TblImps[[#This Row],[Spires]] + tech_1_2*TblTech[[#This Row],[1-2]] + tech_3_4*TblTech[[#This Row],[3-4]]</f>
        <v>0</v>
      </c>
      <c r="AL30" s="156">
        <f ca="1">race_ore_bonus + IF(TblMagic[[#This Row],[Active Miner''s Sight]]&gt;0,miners_sight_bonus,IF(TblMagic[[#This Row],[Active Mining Strength]]&gt;0,mining_strength_bonus)) +  tech_1_6*TblTech[[#This Row],[1-6]]</f>
        <v>0</v>
      </c>
      <c r="AM30" s="156">
        <f>race_gem_bonus+ tech_3_2*TblTech[[#This Row],[3-2]] + tech_4_3*TblTech[[#This Row],[4-3]] + tech_6_2*TblTech[[#This Row],[6-2]]</f>
        <v>0</v>
      </c>
      <c r="AN30" s="142"/>
      <c r="AO30" s="94">
        <f ca="1">TblProd[[#This Row],[Food]]*food_decay * (1 + tech_2_1*TblTech[[#This Row],[2-1]] + tech_2_8*TblTech[[#This Row],[2-8]] + IF(AND(TblMagic[[#This Row],[Active DnD]]&lt;12,TblMagic[[#This Row],[Active DnD]]&gt;5),1,0))</f>
        <v>661.69</v>
      </c>
      <c r="AP30" s="94">
        <f ca="1">(1+race_food_consumption)*TblPop[[#This Row],[Total]]*food_per_person*(1+tech_1_10*TblTech[[#This Row],[1-10]]+tech_7_5*TblTech[[#This Row],[7-5]] + IF(TblMagic[[#This Row],[Active Infernal Command]]&gt;0,demonic_pact_food_cons,0))</f>
        <v>264.5</v>
      </c>
      <c r="AQ30" s="94">
        <f ca="1">TblProd[[#This Row],[Lumber]]*lumber_rot * (1 + tech_2_1*TblTech[[#This Row],[2-1]] + tech_2_8*TblTech[[#This Row],[2-8]] + tech_5_2*TblTech[[#This Row],[5-2]] + IF(AND(TblMagic[[#This Row],[Active DnD]]&lt;12,TblMagic[[#This Row],[Active DnD]]&gt;5),1,0))</f>
        <v>345.45</v>
      </c>
      <c r="AR30" s="94">
        <f ca="1">TblProd[[#This Row],[Mana]]*mana_drain * (1 + tech_2_1*TblTech[[#This Row],[2-1]] + tech_2_8*TblTech[[#This Row],[2-8]])</f>
        <v>0</v>
      </c>
      <c r="AS30" s="154"/>
      <c r="AT30" s="94">
        <f ca="1">TblExplore[[#This Row],[Platinum (2)]]+TblConstr[[#This Row],[Total Plat Cost]]+TblMili[[#This Row],[Plat Cost]]+TblRezone[[#This Row],[Platinum cost]]+TblImps[[#This Row],[P1]]-TblProd[[#This Row],[Bank Plat]]</f>
        <v>0</v>
      </c>
      <c r="AU30" s="94">
        <f ca="1">TblConstr[[#This Row],[Total Lum Cost]]+TblImps[[#This Row],[L1]]-TblProd[[#This Row],[Bank Lumber]] + Military!$CO$25*TblMili[[#This Row],[Sec. rec. Cost]]</f>
        <v>0</v>
      </c>
      <c r="AV30" s="94">
        <f ca="1">TblMagic[[#This Row],[Mana cost]] + Military!$CO$26*TblMili[[#This Row],[Sec. rec. Cost]]</f>
        <v>0</v>
      </c>
      <c r="AW30" s="94">
        <f ca="1">Military!$CO$24*TblMili[[#This Row],[Sec. rec. Cost]]+TblImps[[#This Row],[O1]]-TblProd[[#This Row],[Bank Ore]]</f>
        <v>0</v>
      </c>
      <c r="AX30" s="94">
        <f>TblImps[[#This Row],[G1]]-TblProd[[#This Row],[Bank Gems]]</f>
        <v>0</v>
      </c>
      <c r="AY30" s="142"/>
      <c r="AZ30" s="61" t="b">
        <f ca="1">IF(TblProd[[#This Row],[Set Guard]]&lt;&gt;"",TblProd[[#This Row],[Set Guard]],OFFSET(TblProd[[#This Row],[Guard]],-1,0))</f>
        <v>0</v>
      </c>
      <c r="BA30" s="153"/>
      <c r="BB30" s="45">
        <f>TblProd[[#This Row],[Hour]]</f>
        <v>27</v>
      </c>
      <c r="BC30" s="158">
        <f>-TblProd[[#This Row],[Bank Lumber]] / 2 + -TblProd[[#This Row],[Bank Gems]] * 2 + -TblProd[[#This Row],[Bank Ore]] / 2</f>
        <v>0</v>
      </c>
      <c r="BD30" s="158"/>
      <c r="BE30" s="158"/>
      <c r="BF30" s="158"/>
      <c r="BG30" s="159">
        <f ca="1">TblProd[[#This Row],[Time]]</f>
        <v>46048.08333333327</v>
      </c>
      <c r="BH30" s="45" t="str">
        <f>IF(AND(TblProd[[#This Row],[Bank Plat]]=0,TblProd[[#This Row],[Bank Lumber]]=0,TblProd[[#This Row],[Bank Ore]]=0,TblProd[[#This Row],[Bank Gems]]=0),"",IF(TblProd[[#This Row],[Bank Plat]]&gt;0,IF((TblProd[[#This Row],[Bank Lumber]]+TblProd[[#This Row],[Bank Ore]])/2+TblProd[[#This Row],[Bank Gems]]*2+ROUNDUP(TblProd[[#This Row],[Bank Plat]]/(1 + tech_2_2*Techs!Y30),0)=0,"Ok","Nope"),IF(TblProd[[#This Row],[Bank Lumber]]&gt;0,IF((TblProd[[#This Row],[Bank Plat]]+TblProd[[#This Row],[Bank Ore]])/2+TblProd[[#This Row],[Bank Gems]]*2+ROUNDUP(TblProd[[#This Row],[Bank Lumber]]/(1 + tech_2_2*Techs!Y30),0)=0,"Ok","Nope"),IF(TblProd[[#This Row],[Bank Ore]]&gt;0,IF((TblProd[[#This Row],[Bank Plat]]+TblProd[[#This Row],[Bank Lumber]])/2+TblProd[[#This Row],[Bank Gems]]*2+ROUNDUP(TblProd[[#This Row],[Bank Ore]]/(1 + tech_2_2*Techs!Y30),0)=0,"Ok","Nope")))))</f>
        <v/>
      </c>
      <c r="BI30" s="94">
        <f ca="1">TblProd[[#This Row],[Platinum]]</f>
        <v>91525</v>
      </c>
      <c r="BJ30" s="94">
        <f ca="1">TblProd[[#This Row],[Food]]</f>
        <v>66169</v>
      </c>
      <c r="BK30" s="94">
        <f ca="1">TblProd[[#This Row],[Lumber]]</f>
        <v>34545</v>
      </c>
      <c r="BL30" s="94">
        <f ca="1">TblProd[[#This Row],[Mana]]</f>
        <v>0</v>
      </c>
      <c r="BM30" s="94">
        <f ca="1">TblProd[[#This Row],[Ore]]</f>
        <v>0</v>
      </c>
    </row>
    <row r="31" spans="1:65" x14ac:dyDescent="0.2">
      <c r="A31" s="137">
        <v>28</v>
      </c>
      <c r="B31" s="152">
        <f ca="1">TblImps[[#This Row],[Time]]</f>
        <v>46048.124999999935</v>
      </c>
      <c r="C31" s="153"/>
      <c r="D31" s="154"/>
      <c r="E31" s="94">
        <f ca="1">TblConstr[[#This Row],[Land]]</f>
        <v>110</v>
      </c>
      <c r="F31" s="94">
        <f ca="1">TblPop[[#This Row],[Peasants]]</f>
        <v>764</v>
      </c>
      <c r="G31" s="94">
        <f ca="1">TblMili[[#This Row],[Networth (2)]]</f>
        <v>2450</v>
      </c>
      <c r="H31" s="94">
        <f ca="1">OFFSET(TblProd[[#This Row],[Platinum]],-1,0)+OFFSET(TblProd[[#This Row],[Plat/hr]],-1,0) - TblProd[[#This Row],[Expenses Platinum]] + IF(TblProd[[#This Row],[Plat Bonus]],TblPop[[#This Row],[Peasants]]*4) + SUM(TblConstr[[#This Row],[Dest Hom]:[Dest Doc]])*TblConstr[[#This Row],[CPA Platinum -DB]]*tech_3_3_2*TblTech[[#This Row],[3-3]]</f>
        <v>93560</v>
      </c>
      <c r="I31" s="94">
        <f ca="1">OFFSET(TblProd[[#This Row],[Food]],-1,0)+OFFSET(TblProd[[#This Row],[Food/hr]],-1,0)+ROUNDUP((TblConstr[[#This Row],[Farms]]*80+TblConstr[[#This Row],[Docks]]*35)*(1+OFFSET(TblProd[[#This Row],[Bonus Food/hr]],-1,0)),0)</f>
        <v>67823</v>
      </c>
      <c r="J31" s="94">
        <f ca="1">OFFSET(TblProd[[#This Row],[Lumber]],-1,0)+OFFSET(TblProd[[#This Row],[Lumber/hr]],-1,0) - TblProd[[#This Row],[Expenses Lumber]] + SUM(TblConstr[[#This Row],[Dest Hom]:[Dest Doc]])*TblConstr[[#This Row],[CPA Lumber -DB]]*tech_3_3_2*TblTech[[#This Row],[3-3]]</f>
        <v>35200</v>
      </c>
      <c r="K31" s="94">
        <f ca="1">OFFSET(TblProd[[#This Row],[Mana]],-1,0)+OFFSET(TblProd[[#This Row],[Mana/hr]],-1,0)- TblProd[[#This Row],[Expenses Mana]]</f>
        <v>0</v>
      </c>
      <c r="L31" s="94">
        <f ca="1">OFFSET(TblProd[[#This Row],[Ore]],-1,0)+OFFSET(TblProd[[#This Row],[Ore/hr]],-1,0) -TblProd[[#This Row],[Expenses Ore]]</f>
        <v>0</v>
      </c>
      <c r="M31" s="94">
        <f ca="1">OFFSET(TblProd[[#This Row],[Gems]],-1,0)+OFFSET(TblProd[[#This Row],[Gems/hr]],-1,0) - TblProd[[#This Row],[Expenses Gems]]</f>
        <v>0</v>
      </c>
      <c r="N31" s="94">
        <f ca="1">OFFSET(TblProd[[#This Row],[Boats]],-1,0)+OFFSET(TblProd[[#This Row],[Boats/hr]],-1,0)</f>
        <v>0</v>
      </c>
      <c r="O31" s="94">
        <f ca="1">OFFSET(TblProd[[#This Row],[Prestige]],-1,0)</f>
        <v>250</v>
      </c>
      <c r="P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1" s="94">
        <f ca="1">MAX(_xlfn.CEILING.MATH(TblProd[[#This Row],[Land]]*2.5+IFERROR(OFFSET(TblTech[[#This Row],[Sum of tech]],-1,0)*50,0)),3750)</f>
        <v>3750</v>
      </c>
      <c r="R31" s="142"/>
      <c r="S31" s="94">
        <f ca="1">ROUNDDOWN(TblProd[[#This Row],[Raw Plat/hr]]*(1+TblProd[[#This Row],[Bonus Plat/hr]]),0)</f>
        <v>2062</v>
      </c>
      <c r="T31" s="94">
        <f ca="1">ROUND(TblProd[[#This Row],[Raw Food/hr]]*(1+TblProd[[#This Row],[Bonus Food/hr]])-TblProd[[#This Row],[Food decay]]-TblProd[[#This Row],[Food eaten]],0)</f>
        <v>1633</v>
      </c>
      <c r="U31" s="94">
        <f ca="1">ROUND(TblProd[[#This Row],[Raw Lumber/hr]]*(1+TblProd[[#This Row],[Bonus Lumber/hr]])-TblProd[[#This Row],[Lumber rot]],0)</f>
        <v>648</v>
      </c>
      <c r="V31" s="94">
        <f ca="1">ROUND(TblProd[[#This Row],[Raw Mana/hr]]*(1+TblProd[[#This Row],[Bonus Mana/hr]])-TblProd[[#This Row],[Mana drain]],0)</f>
        <v>0</v>
      </c>
      <c r="W31" s="94">
        <f ca="1">ROUNDDOWN(TblProd[[#This Row],[Raw Ore/hr]]*(1+TblProd[[#This Row],[Bonux Ore/hr]]),0)</f>
        <v>0</v>
      </c>
      <c r="X31" s="94">
        <f ca="1">ROUNDDOWN(TblProd[[#This Row],[Raw Gems/hr]]*(1+TblProd[[#This Row],[Bonus Gems/hr]]),0)</f>
        <v>0</v>
      </c>
      <c r="Y31" s="155">
        <f ca="1">OFFSET(TblConstr[[#This Row],[Tot Doc]],1,0)*dock_boats_hr * (1 + tech_4_1*TblTech[[#This Row],[4-1]])</f>
        <v>0</v>
      </c>
      <c r="Z31" s="154"/>
      <c r="AA31" s="94">
        <f ca="1">TblPop[[#This Row],[Peasants]]*tax*TblPop[[#This Row],[Employment]] + (Construction!AZ32+Construction!BX32)*(alch_plat+(Magic!AN31&gt;0)*alchemist_flame_bonus)</f>
        <v>2062.8000000000002</v>
      </c>
      <c r="AB31" s="94">
        <f ca="1">TblConstr[[#This Row],[Tot Farm]]*farm_food + TblConstr[[#This Row],[Tot Doc]]*dock_food</f>
        <v>2400</v>
      </c>
      <c r="AC31" s="94">
        <f ca="1">TblConstr[[#This Row],[Tot Ly]]*ly_lumber + TblConstr[[#This Row],[Tot Hav]]*fh_lumber + IF(race="Wood Elf",TblMili[[#This Row],[Unit 2]]*MIN(TblMili[[#This Row],[Homeland%]]/wisp_bonus,wisp_cap),0)</f>
        <v>1000</v>
      </c>
      <c r="AD31" s="94">
        <f ca="1">OFFSET(TblConstr[[#This Row],[Tot Tow]],1,0)*(tower_mana + tech_4_5*TblTech[[#This Row],[4-5]]) + OFFSET(TblConstr[[#This Row],[Tot WG]],1,0)*wg_mana_prod</f>
        <v>0</v>
      </c>
      <c r="AE31" s="94">
        <f ca="1">OFFSET(TblConstr[[#This Row],[Tot OM]],1,0)*om_ore+IF(race="Dwarf",TblMili[[#This Row],[Unit 2]]*0.5,0)</f>
        <v>0</v>
      </c>
      <c r="AF31" s="94">
        <f ca="1">OFFSET(TblConstr[[#This Row],[Tot DM]],1,0)*dm_gems</f>
        <v>0</v>
      </c>
      <c r="AG31" s="142"/>
      <c r="AH31" s="156">
        <f ca="1">MIN(race_platinum_bonus + IF(TblMagic[[#This Row],[Active Alch Frost]]&gt;0,alch_frost_bonus,IF(Magic!AE31&gt;0,midas_bonus)) + TblImps[[#This Row],[Science]] - TblProd[[#This Row],[Guard]]*(0.02 + tech_5_7*TblTech[[#This Row],[5-7]]) + tech_1_5*TblTech[[#This Row],[1-5]] + tech_4_4*TblTech[[#This Row],[4-4]] + IF(TblMagic[[#This Row],[Active Infernal Command]]&gt;0,demonic_pact_plat,0), 0.5)</f>
        <v>0</v>
      </c>
      <c r="AI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1" s="156">
        <f ca="1">race_lumber_bonus+ IF(TblMagic[[#This Row],[Active Gaia''s Blessing]]&gt;0,gaias_blessing_lumber)+ tech_1_3*TblTech[[#This Row],[1-3]] + tech_1_6*TblTech[[#This Row],[1-6]] + tech_3_3*TblTech[[#This Row],[3-3]]</f>
        <v>0</v>
      </c>
      <c r="AK31" s="156">
        <f ca="1">race_mana_bonus+ 0 + TblImps[[#This Row],[Spires]] + tech_1_2*TblTech[[#This Row],[1-2]] + tech_3_4*TblTech[[#This Row],[3-4]]</f>
        <v>0</v>
      </c>
      <c r="AL31" s="156">
        <f ca="1">race_ore_bonus + IF(TblMagic[[#This Row],[Active Miner''s Sight]]&gt;0,miners_sight_bonus,IF(TblMagic[[#This Row],[Active Mining Strength]]&gt;0,mining_strength_bonus)) +  tech_1_6*TblTech[[#This Row],[1-6]]</f>
        <v>0</v>
      </c>
      <c r="AM31" s="156">
        <f>race_gem_bonus+ tech_3_2*TblTech[[#This Row],[3-2]] + tech_4_3*TblTech[[#This Row],[4-3]] + tech_6_2*TblTech[[#This Row],[6-2]]</f>
        <v>0</v>
      </c>
      <c r="AN31" s="142"/>
      <c r="AO31" s="94">
        <f ca="1">TblProd[[#This Row],[Food]]*food_decay * (1 + tech_2_1*TblTech[[#This Row],[2-1]] + tech_2_8*TblTech[[#This Row],[2-8]] + IF(AND(TblMagic[[#This Row],[Active DnD]]&lt;12,TblMagic[[#This Row],[Active DnD]]&gt;5),1,0))</f>
        <v>678.23</v>
      </c>
      <c r="AP31" s="94">
        <f ca="1">(1+race_food_consumption)*TblPop[[#This Row],[Total]]*food_per_person*(1+tech_1_10*TblTech[[#This Row],[1-10]]+tech_7_5*TblTech[[#This Row],[7-5]] + IF(TblMagic[[#This Row],[Active Infernal Command]]&gt;0,demonic_pact_food_cons,0))</f>
        <v>269</v>
      </c>
      <c r="AQ31" s="94">
        <f ca="1">TblProd[[#This Row],[Lumber]]*lumber_rot * (1 + tech_2_1*TblTech[[#This Row],[2-1]] + tech_2_8*TblTech[[#This Row],[2-8]] + tech_5_2*TblTech[[#This Row],[5-2]] + IF(AND(TblMagic[[#This Row],[Active DnD]]&lt;12,TblMagic[[#This Row],[Active DnD]]&gt;5),1,0))</f>
        <v>352</v>
      </c>
      <c r="AR31" s="94">
        <f ca="1">TblProd[[#This Row],[Mana]]*mana_drain * (1 + tech_2_1*TblTech[[#This Row],[2-1]] + tech_2_8*TblTech[[#This Row],[2-8]])</f>
        <v>0</v>
      </c>
      <c r="AS31" s="154"/>
      <c r="AT31" s="94">
        <f ca="1">TblExplore[[#This Row],[Platinum (2)]]+TblConstr[[#This Row],[Total Plat Cost]]+TblMili[[#This Row],[Plat Cost]]+TblRezone[[#This Row],[Platinum cost]]+TblImps[[#This Row],[P1]]-TblProd[[#This Row],[Bank Plat]]</f>
        <v>0</v>
      </c>
      <c r="AU31" s="94">
        <f ca="1">TblConstr[[#This Row],[Total Lum Cost]]+TblImps[[#This Row],[L1]]-TblProd[[#This Row],[Bank Lumber]] + Military!$CO$25*TblMili[[#This Row],[Sec. rec. Cost]]</f>
        <v>0</v>
      </c>
      <c r="AV31" s="94">
        <f ca="1">TblMagic[[#This Row],[Mana cost]] + Military!$CO$26*TblMili[[#This Row],[Sec. rec. Cost]]</f>
        <v>0</v>
      </c>
      <c r="AW31" s="94">
        <f ca="1">Military!$CO$24*TblMili[[#This Row],[Sec. rec. Cost]]+TblImps[[#This Row],[O1]]-TblProd[[#This Row],[Bank Ore]]</f>
        <v>0</v>
      </c>
      <c r="AX31" s="94">
        <f>TblImps[[#This Row],[G1]]-TblProd[[#This Row],[Bank Gems]]</f>
        <v>0</v>
      </c>
      <c r="AY31" s="142"/>
      <c r="AZ31" s="61" t="b">
        <f ca="1">IF(TblProd[[#This Row],[Set Guard]]&lt;&gt;"",TblProd[[#This Row],[Set Guard]],OFFSET(TblProd[[#This Row],[Guard]],-1,0))</f>
        <v>0</v>
      </c>
      <c r="BA31" s="153"/>
      <c r="BB31" s="45">
        <f>TblProd[[#This Row],[Hour]]</f>
        <v>28</v>
      </c>
      <c r="BC31" s="158">
        <f>-TblProd[[#This Row],[Bank Lumber]] / 2 + -TblProd[[#This Row],[Bank Gems]] * 2 + -TblProd[[#This Row],[Bank Ore]] / 2</f>
        <v>0</v>
      </c>
      <c r="BD31" s="158"/>
      <c r="BE31" s="158"/>
      <c r="BF31" s="158"/>
      <c r="BG31" s="159">
        <f ca="1">TblProd[[#This Row],[Time]]</f>
        <v>46048.124999999935</v>
      </c>
      <c r="BH31" s="45" t="str">
        <f>IF(AND(TblProd[[#This Row],[Bank Plat]]=0,TblProd[[#This Row],[Bank Lumber]]=0,TblProd[[#This Row],[Bank Ore]]=0,TblProd[[#This Row],[Bank Gems]]=0),"",IF(TblProd[[#This Row],[Bank Plat]]&gt;0,IF((TblProd[[#This Row],[Bank Lumber]]+TblProd[[#This Row],[Bank Ore]])/2+TblProd[[#This Row],[Bank Gems]]*2+ROUNDUP(TblProd[[#This Row],[Bank Plat]]/(1 + tech_2_2*Techs!Y31),0)=0,"Ok","Nope"),IF(TblProd[[#This Row],[Bank Lumber]]&gt;0,IF((TblProd[[#This Row],[Bank Plat]]+TblProd[[#This Row],[Bank Ore]])/2+TblProd[[#This Row],[Bank Gems]]*2+ROUNDUP(TblProd[[#This Row],[Bank Lumber]]/(1 + tech_2_2*Techs!Y31),0)=0,"Ok","Nope"),IF(TblProd[[#This Row],[Bank Ore]]&gt;0,IF((TblProd[[#This Row],[Bank Plat]]+TblProd[[#This Row],[Bank Lumber]])/2+TblProd[[#This Row],[Bank Gems]]*2+ROUNDUP(TblProd[[#This Row],[Bank Ore]]/(1 + tech_2_2*Techs!Y31),0)=0,"Ok","Nope")))))</f>
        <v/>
      </c>
      <c r="BI31" s="94">
        <f ca="1">TblProd[[#This Row],[Platinum]]</f>
        <v>93560</v>
      </c>
      <c r="BJ31" s="94">
        <f ca="1">TblProd[[#This Row],[Food]]</f>
        <v>67823</v>
      </c>
      <c r="BK31" s="94">
        <f ca="1">TblProd[[#This Row],[Lumber]]</f>
        <v>35200</v>
      </c>
      <c r="BL31" s="94">
        <f ca="1">TblProd[[#This Row],[Mana]]</f>
        <v>0</v>
      </c>
      <c r="BM31" s="94">
        <f ca="1">TblProd[[#This Row],[Ore]]</f>
        <v>0</v>
      </c>
    </row>
    <row r="32" spans="1:65" x14ac:dyDescent="0.2">
      <c r="A32" s="137">
        <v>29</v>
      </c>
      <c r="B32" s="152">
        <f ca="1">TblImps[[#This Row],[Time]]</f>
        <v>46048.166666666599</v>
      </c>
      <c r="C32" s="153"/>
      <c r="D32" s="154"/>
      <c r="E32" s="94">
        <f ca="1">TblConstr[[#This Row],[Land]]</f>
        <v>110</v>
      </c>
      <c r="F32" s="94">
        <f ca="1">TblPop[[#This Row],[Peasants]]</f>
        <v>756</v>
      </c>
      <c r="G32" s="94">
        <f ca="1">TblMili[[#This Row],[Networth (2)]]</f>
        <v>2450</v>
      </c>
      <c r="H32" s="94">
        <f ca="1">OFFSET(TblProd[[#This Row],[Platinum]],-1,0)+OFFSET(TblProd[[#This Row],[Plat/hr]],-1,0) - TblProd[[#This Row],[Expenses Platinum]] + IF(TblProd[[#This Row],[Plat Bonus]],TblPop[[#This Row],[Peasants]]*4) + SUM(TblConstr[[#This Row],[Dest Hom]:[Dest Doc]])*TblConstr[[#This Row],[CPA Platinum -DB]]*tech_3_3_2*TblTech[[#This Row],[3-3]]</f>
        <v>95622</v>
      </c>
      <c r="I32" s="94">
        <f ca="1">OFFSET(TblProd[[#This Row],[Food]],-1,0)+OFFSET(TblProd[[#This Row],[Food/hr]],-1,0)+ROUNDUP((TblConstr[[#This Row],[Farms]]*80+TblConstr[[#This Row],[Docks]]*35)*(1+OFFSET(TblProd[[#This Row],[Bonus Food/hr]],-1,0)),0)</f>
        <v>69456</v>
      </c>
      <c r="J32" s="94">
        <f ca="1">OFFSET(TblProd[[#This Row],[Lumber]],-1,0)+OFFSET(TblProd[[#This Row],[Lumber/hr]],-1,0) - TblProd[[#This Row],[Expenses Lumber]] + SUM(TblConstr[[#This Row],[Dest Hom]:[Dest Doc]])*TblConstr[[#This Row],[CPA Lumber -DB]]*tech_3_3_2*TblTech[[#This Row],[3-3]]</f>
        <v>35848</v>
      </c>
      <c r="K32" s="94">
        <f ca="1">OFFSET(TblProd[[#This Row],[Mana]],-1,0)+OFFSET(TblProd[[#This Row],[Mana/hr]],-1,0)- TblProd[[#This Row],[Expenses Mana]]</f>
        <v>0</v>
      </c>
      <c r="L32" s="94">
        <f ca="1">OFFSET(TblProd[[#This Row],[Ore]],-1,0)+OFFSET(TblProd[[#This Row],[Ore/hr]],-1,0) -TblProd[[#This Row],[Expenses Ore]]</f>
        <v>0</v>
      </c>
      <c r="M32" s="94">
        <f ca="1">OFFSET(TblProd[[#This Row],[Gems]],-1,0)+OFFSET(TblProd[[#This Row],[Gems/hr]],-1,0) - TblProd[[#This Row],[Expenses Gems]]</f>
        <v>0</v>
      </c>
      <c r="N32" s="94">
        <f ca="1">OFFSET(TblProd[[#This Row],[Boats]],-1,0)+OFFSET(TblProd[[#This Row],[Boats/hr]],-1,0)</f>
        <v>0</v>
      </c>
      <c r="O32" s="94">
        <f ca="1">OFFSET(TblProd[[#This Row],[Prestige]],-1,0)</f>
        <v>250</v>
      </c>
      <c r="P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2" s="94">
        <f ca="1">MAX(_xlfn.CEILING.MATH(TblProd[[#This Row],[Land]]*2.5+IFERROR(OFFSET(TblTech[[#This Row],[Sum of tech]],-1,0)*50,0)),3750)</f>
        <v>3750</v>
      </c>
      <c r="R32" s="142"/>
      <c r="S32" s="94">
        <f ca="1">ROUNDDOWN(TblProd[[#This Row],[Raw Plat/hr]]*(1+TblProd[[#This Row],[Bonus Plat/hr]]),0)</f>
        <v>2041</v>
      </c>
      <c r="T32" s="94">
        <f ca="1">ROUND(TblProd[[#This Row],[Raw Food/hr]]*(1+TblProd[[#This Row],[Bonus Food/hr]])-TblProd[[#This Row],[Food decay]]-TblProd[[#This Row],[Food eaten]],0)</f>
        <v>1616</v>
      </c>
      <c r="U32" s="94">
        <f ca="1">ROUND(TblProd[[#This Row],[Raw Lumber/hr]]*(1+TblProd[[#This Row],[Bonus Lumber/hr]])-TblProd[[#This Row],[Lumber rot]],0)</f>
        <v>642</v>
      </c>
      <c r="V32" s="94">
        <f ca="1">ROUND(TblProd[[#This Row],[Raw Mana/hr]]*(1+TblProd[[#This Row],[Bonus Mana/hr]])-TblProd[[#This Row],[Mana drain]],0)</f>
        <v>0</v>
      </c>
      <c r="W32" s="94">
        <f ca="1">ROUNDDOWN(TblProd[[#This Row],[Raw Ore/hr]]*(1+TblProd[[#This Row],[Bonux Ore/hr]]),0)</f>
        <v>0</v>
      </c>
      <c r="X32" s="94">
        <f ca="1">ROUNDDOWN(TblProd[[#This Row],[Raw Gems/hr]]*(1+TblProd[[#This Row],[Bonus Gems/hr]]),0)</f>
        <v>0</v>
      </c>
      <c r="Y32" s="155">
        <f ca="1">OFFSET(TblConstr[[#This Row],[Tot Doc]],1,0)*dock_boats_hr * (1 + tech_4_1*TblTech[[#This Row],[4-1]])</f>
        <v>0</v>
      </c>
      <c r="Z32" s="154"/>
      <c r="AA32" s="94">
        <f ca="1">TblPop[[#This Row],[Peasants]]*tax*TblPop[[#This Row],[Employment]] + (Construction!AZ33+Construction!BX33)*(alch_plat+(Magic!AN32&gt;0)*alchemist_flame_bonus)</f>
        <v>2041.2</v>
      </c>
      <c r="AB32" s="94">
        <f ca="1">TblConstr[[#This Row],[Tot Farm]]*farm_food + TblConstr[[#This Row],[Tot Doc]]*dock_food</f>
        <v>2400</v>
      </c>
      <c r="AC32" s="94">
        <f ca="1">TblConstr[[#This Row],[Tot Ly]]*ly_lumber + TblConstr[[#This Row],[Tot Hav]]*fh_lumber + IF(race="Wood Elf",TblMili[[#This Row],[Unit 2]]*MIN(TblMili[[#This Row],[Homeland%]]/wisp_bonus,wisp_cap),0)</f>
        <v>1000</v>
      </c>
      <c r="AD32" s="94">
        <f ca="1">OFFSET(TblConstr[[#This Row],[Tot Tow]],1,0)*(tower_mana + tech_4_5*TblTech[[#This Row],[4-5]]) + OFFSET(TblConstr[[#This Row],[Tot WG]],1,0)*wg_mana_prod</f>
        <v>0</v>
      </c>
      <c r="AE32" s="94">
        <f ca="1">OFFSET(TblConstr[[#This Row],[Tot OM]],1,0)*om_ore+IF(race="Dwarf",TblMili[[#This Row],[Unit 2]]*0.5,0)</f>
        <v>0</v>
      </c>
      <c r="AF32" s="94">
        <f ca="1">OFFSET(TblConstr[[#This Row],[Tot DM]],1,0)*dm_gems</f>
        <v>0</v>
      </c>
      <c r="AG32" s="142"/>
      <c r="AH32" s="156">
        <f ca="1">MIN(race_platinum_bonus + IF(TblMagic[[#This Row],[Active Alch Frost]]&gt;0,alch_frost_bonus,IF(Magic!AE32&gt;0,midas_bonus)) + TblImps[[#This Row],[Science]] - TblProd[[#This Row],[Guard]]*(0.02 + tech_5_7*TblTech[[#This Row],[5-7]]) + tech_1_5*TblTech[[#This Row],[1-5]] + tech_4_4*TblTech[[#This Row],[4-4]] + IF(TblMagic[[#This Row],[Active Infernal Command]]&gt;0,demonic_pact_plat,0), 0.5)</f>
        <v>0</v>
      </c>
      <c r="AI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2" s="156">
        <f ca="1">race_lumber_bonus+ IF(TblMagic[[#This Row],[Active Gaia''s Blessing]]&gt;0,gaias_blessing_lumber)+ tech_1_3*TblTech[[#This Row],[1-3]] + tech_1_6*TblTech[[#This Row],[1-6]] + tech_3_3*TblTech[[#This Row],[3-3]]</f>
        <v>0</v>
      </c>
      <c r="AK32" s="156">
        <f ca="1">race_mana_bonus+ 0 + TblImps[[#This Row],[Spires]] + tech_1_2*TblTech[[#This Row],[1-2]] + tech_3_4*TblTech[[#This Row],[3-4]]</f>
        <v>0</v>
      </c>
      <c r="AL32" s="156">
        <f ca="1">race_ore_bonus + IF(TblMagic[[#This Row],[Active Miner''s Sight]]&gt;0,miners_sight_bonus,IF(TblMagic[[#This Row],[Active Mining Strength]]&gt;0,mining_strength_bonus)) +  tech_1_6*TblTech[[#This Row],[1-6]]</f>
        <v>0</v>
      </c>
      <c r="AM32" s="156">
        <f>race_gem_bonus+ tech_3_2*TblTech[[#This Row],[3-2]] + tech_4_3*TblTech[[#This Row],[4-3]] + tech_6_2*TblTech[[#This Row],[6-2]]</f>
        <v>0</v>
      </c>
      <c r="AN32" s="142"/>
      <c r="AO32" s="94">
        <f ca="1">TblProd[[#This Row],[Food]]*food_decay * (1 + tech_2_1*TblTech[[#This Row],[2-1]] + tech_2_8*TblTech[[#This Row],[2-8]] + IF(AND(TblMagic[[#This Row],[Active DnD]]&lt;12,TblMagic[[#This Row],[Active DnD]]&gt;5),1,0))</f>
        <v>694.56000000000006</v>
      </c>
      <c r="AP32" s="94">
        <f ca="1">(1+race_food_consumption)*TblPop[[#This Row],[Total]]*food_per_person*(1+tech_1_10*TblTech[[#This Row],[1-10]]+tech_7_5*TblTech[[#This Row],[7-5]] + IF(TblMagic[[#This Row],[Active Infernal Command]]&gt;0,demonic_pact_food_cons,0))</f>
        <v>269</v>
      </c>
      <c r="AQ32" s="94">
        <f ca="1">TblProd[[#This Row],[Lumber]]*lumber_rot * (1 + tech_2_1*TblTech[[#This Row],[2-1]] + tech_2_8*TblTech[[#This Row],[2-8]] + tech_5_2*TblTech[[#This Row],[5-2]] + IF(AND(TblMagic[[#This Row],[Active DnD]]&lt;12,TblMagic[[#This Row],[Active DnD]]&gt;5),1,0))</f>
        <v>358.48</v>
      </c>
      <c r="AR32" s="94">
        <f ca="1">TblProd[[#This Row],[Mana]]*mana_drain * (1 + tech_2_1*TblTech[[#This Row],[2-1]] + tech_2_8*TblTech[[#This Row],[2-8]])</f>
        <v>0</v>
      </c>
      <c r="AS32" s="154"/>
      <c r="AT32" s="94">
        <f ca="1">TblExplore[[#This Row],[Platinum (2)]]+TblConstr[[#This Row],[Total Plat Cost]]+TblMili[[#This Row],[Plat Cost]]+TblRezone[[#This Row],[Platinum cost]]+TblImps[[#This Row],[P1]]-TblProd[[#This Row],[Bank Plat]]</f>
        <v>0</v>
      </c>
      <c r="AU32" s="94">
        <f ca="1">TblConstr[[#This Row],[Total Lum Cost]]+TblImps[[#This Row],[L1]]-TblProd[[#This Row],[Bank Lumber]] + Military!$CO$25*TblMili[[#This Row],[Sec. rec. Cost]]</f>
        <v>0</v>
      </c>
      <c r="AV32" s="94">
        <f ca="1">TblMagic[[#This Row],[Mana cost]] + Military!$CO$26*TblMili[[#This Row],[Sec. rec. Cost]]</f>
        <v>0</v>
      </c>
      <c r="AW32" s="94">
        <f ca="1">Military!$CO$24*TblMili[[#This Row],[Sec. rec. Cost]]+TblImps[[#This Row],[O1]]-TblProd[[#This Row],[Bank Ore]]</f>
        <v>0</v>
      </c>
      <c r="AX32" s="94">
        <f>TblImps[[#This Row],[G1]]-TblProd[[#This Row],[Bank Gems]]</f>
        <v>0</v>
      </c>
      <c r="AY32" s="142"/>
      <c r="AZ32" s="61" t="b">
        <f ca="1">IF(TblProd[[#This Row],[Set Guard]]&lt;&gt;"",TblProd[[#This Row],[Set Guard]],OFFSET(TblProd[[#This Row],[Guard]],-1,0))</f>
        <v>0</v>
      </c>
      <c r="BA32" s="153"/>
      <c r="BB32" s="45">
        <f>TblProd[[#This Row],[Hour]]</f>
        <v>29</v>
      </c>
      <c r="BC32" s="158">
        <f>-TblProd[[#This Row],[Bank Lumber]] / 2 + -TblProd[[#This Row],[Bank Gems]] * 2 + -TblProd[[#This Row],[Bank Ore]] / 2</f>
        <v>0</v>
      </c>
      <c r="BD32" s="158"/>
      <c r="BE32" s="158"/>
      <c r="BF32" s="158"/>
      <c r="BG32" s="159">
        <f ca="1">TblProd[[#This Row],[Time]]</f>
        <v>46048.166666666599</v>
      </c>
      <c r="BH32" s="45" t="str">
        <f>IF(AND(TblProd[[#This Row],[Bank Plat]]=0,TblProd[[#This Row],[Bank Lumber]]=0,TblProd[[#This Row],[Bank Ore]]=0,TblProd[[#This Row],[Bank Gems]]=0),"",IF(TblProd[[#This Row],[Bank Plat]]&gt;0,IF((TblProd[[#This Row],[Bank Lumber]]+TblProd[[#This Row],[Bank Ore]])/2+TblProd[[#This Row],[Bank Gems]]*2+ROUNDUP(TblProd[[#This Row],[Bank Plat]]/(1 + tech_2_2*Techs!Y32),0)=0,"Ok","Nope"),IF(TblProd[[#This Row],[Bank Lumber]]&gt;0,IF((TblProd[[#This Row],[Bank Plat]]+TblProd[[#This Row],[Bank Ore]])/2+TblProd[[#This Row],[Bank Gems]]*2+ROUNDUP(TblProd[[#This Row],[Bank Lumber]]/(1 + tech_2_2*Techs!Y32),0)=0,"Ok","Nope"),IF(TblProd[[#This Row],[Bank Ore]]&gt;0,IF((TblProd[[#This Row],[Bank Plat]]+TblProd[[#This Row],[Bank Lumber]])/2+TblProd[[#This Row],[Bank Gems]]*2+ROUNDUP(TblProd[[#This Row],[Bank Ore]]/(1 + tech_2_2*Techs!Y32),0)=0,"Ok","Nope")))))</f>
        <v/>
      </c>
      <c r="BI32" s="94">
        <f ca="1">TblProd[[#This Row],[Platinum]]</f>
        <v>95622</v>
      </c>
      <c r="BJ32" s="94">
        <f ca="1">TblProd[[#This Row],[Food]]</f>
        <v>69456</v>
      </c>
      <c r="BK32" s="94">
        <f ca="1">TblProd[[#This Row],[Lumber]]</f>
        <v>35848</v>
      </c>
      <c r="BL32" s="94">
        <f ca="1">TblProd[[#This Row],[Mana]]</f>
        <v>0</v>
      </c>
      <c r="BM32" s="94">
        <f ca="1">TblProd[[#This Row],[Ore]]</f>
        <v>0</v>
      </c>
    </row>
    <row r="33" spans="1:65" x14ac:dyDescent="0.2">
      <c r="A33" s="137">
        <v>30</v>
      </c>
      <c r="B33" s="152">
        <f ca="1">TblImps[[#This Row],[Time]]</f>
        <v>46048.208333333263</v>
      </c>
      <c r="C33" s="153"/>
      <c r="D33" s="154"/>
      <c r="E33" s="94">
        <f ca="1">TblConstr[[#This Row],[Land]]</f>
        <v>110</v>
      </c>
      <c r="F33" s="94">
        <f ca="1">TblPop[[#This Row],[Peasants]]</f>
        <v>748</v>
      </c>
      <c r="G33" s="94">
        <f ca="1">TblMili[[#This Row],[Networth (2)]]</f>
        <v>2450</v>
      </c>
      <c r="H33" s="94">
        <f ca="1">OFFSET(TblProd[[#This Row],[Platinum]],-1,0)+OFFSET(TblProd[[#This Row],[Plat/hr]],-1,0) - TblProd[[#This Row],[Expenses Platinum]] + IF(TblProd[[#This Row],[Plat Bonus]],TblPop[[#This Row],[Peasants]]*4) + SUM(TblConstr[[#This Row],[Dest Hom]:[Dest Doc]])*TblConstr[[#This Row],[CPA Platinum -DB]]*tech_3_3_2*TblTech[[#This Row],[3-3]]</f>
        <v>97663</v>
      </c>
      <c r="I33" s="94">
        <f ca="1">OFFSET(TblProd[[#This Row],[Food]],-1,0)+OFFSET(TblProd[[#This Row],[Food/hr]],-1,0)+ROUNDUP((TblConstr[[#This Row],[Farms]]*80+TblConstr[[#This Row],[Docks]]*35)*(1+OFFSET(TblProd[[#This Row],[Bonus Food/hr]],-1,0)),0)</f>
        <v>71072</v>
      </c>
      <c r="J33" s="94">
        <f ca="1">OFFSET(TblProd[[#This Row],[Lumber]],-1,0)+OFFSET(TblProd[[#This Row],[Lumber/hr]],-1,0) - TblProd[[#This Row],[Expenses Lumber]] + SUM(TblConstr[[#This Row],[Dest Hom]:[Dest Doc]])*TblConstr[[#This Row],[CPA Lumber -DB]]*tech_3_3_2*TblTech[[#This Row],[3-3]]</f>
        <v>36490</v>
      </c>
      <c r="K33" s="94">
        <f ca="1">OFFSET(TblProd[[#This Row],[Mana]],-1,0)+OFFSET(TblProd[[#This Row],[Mana/hr]],-1,0)- TblProd[[#This Row],[Expenses Mana]]</f>
        <v>0</v>
      </c>
      <c r="L33" s="94">
        <f ca="1">OFFSET(TblProd[[#This Row],[Ore]],-1,0)+OFFSET(TblProd[[#This Row],[Ore/hr]],-1,0) -TblProd[[#This Row],[Expenses Ore]]</f>
        <v>0</v>
      </c>
      <c r="M33" s="94">
        <f ca="1">OFFSET(TblProd[[#This Row],[Gems]],-1,0)+OFFSET(TblProd[[#This Row],[Gems/hr]],-1,0) - TblProd[[#This Row],[Expenses Gems]]</f>
        <v>0</v>
      </c>
      <c r="N33" s="94">
        <f ca="1">OFFSET(TblProd[[#This Row],[Boats]],-1,0)+OFFSET(TblProd[[#This Row],[Boats/hr]],-1,0)</f>
        <v>0</v>
      </c>
      <c r="O33" s="94">
        <f ca="1">OFFSET(TblProd[[#This Row],[Prestige]],-1,0)</f>
        <v>250</v>
      </c>
      <c r="P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3" s="94">
        <f ca="1">MAX(_xlfn.CEILING.MATH(TblProd[[#This Row],[Land]]*2.5+IFERROR(OFFSET(TblTech[[#This Row],[Sum of tech]],-1,0)*50,0)),3750)</f>
        <v>3750</v>
      </c>
      <c r="R33" s="142"/>
      <c r="S33" s="94">
        <f ca="1">ROUNDDOWN(TblProd[[#This Row],[Raw Plat/hr]]*(1+TblProd[[#This Row],[Bonus Plat/hr]]),0)</f>
        <v>2019</v>
      </c>
      <c r="T33" s="94">
        <f ca="1">ROUND(TblProd[[#This Row],[Raw Food/hr]]*(1+TblProd[[#This Row],[Bonus Food/hr]])-TblProd[[#This Row],[Food decay]]-TblProd[[#This Row],[Food eaten]],0)</f>
        <v>1600</v>
      </c>
      <c r="U33" s="94">
        <f ca="1">ROUND(TblProd[[#This Row],[Raw Lumber/hr]]*(1+TblProd[[#This Row],[Bonus Lumber/hr]])-TblProd[[#This Row],[Lumber rot]],0)</f>
        <v>635</v>
      </c>
      <c r="V33" s="94">
        <f ca="1">ROUND(TblProd[[#This Row],[Raw Mana/hr]]*(1+TblProd[[#This Row],[Bonus Mana/hr]])-TblProd[[#This Row],[Mana drain]],0)</f>
        <v>0</v>
      </c>
      <c r="W33" s="94">
        <f ca="1">ROUNDDOWN(TblProd[[#This Row],[Raw Ore/hr]]*(1+TblProd[[#This Row],[Bonux Ore/hr]]),0)</f>
        <v>0</v>
      </c>
      <c r="X33" s="94">
        <f ca="1">ROUNDDOWN(TblProd[[#This Row],[Raw Gems/hr]]*(1+TblProd[[#This Row],[Bonus Gems/hr]]),0)</f>
        <v>0</v>
      </c>
      <c r="Y33" s="155">
        <f ca="1">OFFSET(TblConstr[[#This Row],[Tot Doc]],1,0)*dock_boats_hr * (1 + tech_4_1*TblTech[[#This Row],[4-1]])</f>
        <v>0</v>
      </c>
      <c r="Z33" s="154"/>
      <c r="AA33" s="94">
        <f ca="1">TblPop[[#This Row],[Peasants]]*tax*TblPop[[#This Row],[Employment]] + (Construction!AZ34+Construction!BX34)*(alch_plat+(Magic!AN33&gt;0)*alchemist_flame_bonus)</f>
        <v>2019.6000000000001</v>
      </c>
      <c r="AB33" s="94">
        <f ca="1">TblConstr[[#This Row],[Tot Farm]]*farm_food + TblConstr[[#This Row],[Tot Doc]]*dock_food</f>
        <v>2400</v>
      </c>
      <c r="AC33" s="94">
        <f ca="1">TblConstr[[#This Row],[Tot Ly]]*ly_lumber + TblConstr[[#This Row],[Tot Hav]]*fh_lumber + IF(race="Wood Elf",TblMili[[#This Row],[Unit 2]]*MIN(TblMili[[#This Row],[Homeland%]]/wisp_bonus,wisp_cap),0)</f>
        <v>1000</v>
      </c>
      <c r="AD33" s="94">
        <f ca="1">OFFSET(TblConstr[[#This Row],[Tot Tow]],1,0)*(tower_mana + tech_4_5*TblTech[[#This Row],[4-5]]) + OFFSET(TblConstr[[#This Row],[Tot WG]],1,0)*wg_mana_prod</f>
        <v>0</v>
      </c>
      <c r="AE33" s="94">
        <f ca="1">OFFSET(TblConstr[[#This Row],[Tot OM]],1,0)*om_ore+IF(race="Dwarf",TblMili[[#This Row],[Unit 2]]*0.5,0)</f>
        <v>0</v>
      </c>
      <c r="AF33" s="94">
        <f ca="1">OFFSET(TblConstr[[#This Row],[Tot DM]],1,0)*dm_gems</f>
        <v>0</v>
      </c>
      <c r="AG33" s="142"/>
      <c r="AH33" s="156">
        <f ca="1">MIN(race_platinum_bonus + IF(TblMagic[[#This Row],[Active Alch Frost]]&gt;0,alch_frost_bonus,IF(Magic!AE33&gt;0,midas_bonus)) + TblImps[[#This Row],[Science]] - TblProd[[#This Row],[Guard]]*(0.02 + tech_5_7*TblTech[[#This Row],[5-7]]) + tech_1_5*TblTech[[#This Row],[1-5]] + tech_4_4*TblTech[[#This Row],[4-4]] + IF(TblMagic[[#This Row],[Active Infernal Command]]&gt;0,demonic_pact_plat,0), 0.5)</f>
        <v>0</v>
      </c>
      <c r="AI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3" s="156">
        <f ca="1">race_lumber_bonus+ IF(TblMagic[[#This Row],[Active Gaia''s Blessing]]&gt;0,gaias_blessing_lumber)+ tech_1_3*TblTech[[#This Row],[1-3]] + tech_1_6*TblTech[[#This Row],[1-6]] + tech_3_3*TblTech[[#This Row],[3-3]]</f>
        <v>0</v>
      </c>
      <c r="AK33" s="156">
        <f ca="1">race_mana_bonus+ 0 + TblImps[[#This Row],[Spires]] + tech_1_2*TblTech[[#This Row],[1-2]] + tech_3_4*TblTech[[#This Row],[3-4]]</f>
        <v>0</v>
      </c>
      <c r="AL33" s="156">
        <f ca="1">race_ore_bonus + IF(TblMagic[[#This Row],[Active Miner''s Sight]]&gt;0,miners_sight_bonus,IF(TblMagic[[#This Row],[Active Mining Strength]]&gt;0,mining_strength_bonus)) +  tech_1_6*TblTech[[#This Row],[1-6]]</f>
        <v>0</v>
      </c>
      <c r="AM33" s="156">
        <f>race_gem_bonus+ tech_3_2*TblTech[[#This Row],[3-2]] + tech_4_3*TblTech[[#This Row],[4-3]] + tech_6_2*TblTech[[#This Row],[6-2]]</f>
        <v>0</v>
      </c>
      <c r="AN33" s="142"/>
      <c r="AO33" s="94">
        <f ca="1">TblProd[[#This Row],[Food]]*food_decay * (1 + tech_2_1*TblTech[[#This Row],[2-1]] + tech_2_8*TblTech[[#This Row],[2-8]] + IF(AND(TblMagic[[#This Row],[Active DnD]]&lt;12,TblMagic[[#This Row],[Active DnD]]&gt;5),1,0))</f>
        <v>710.72</v>
      </c>
      <c r="AP33" s="94">
        <f ca="1">(1+race_food_consumption)*TblPop[[#This Row],[Total]]*food_per_person*(1+tech_1_10*TblTech[[#This Row],[1-10]]+tech_7_5*TblTech[[#This Row],[7-5]] + IF(TblMagic[[#This Row],[Active Infernal Command]]&gt;0,demonic_pact_food_cons,0))</f>
        <v>269</v>
      </c>
      <c r="AQ33" s="94">
        <f ca="1">TblProd[[#This Row],[Lumber]]*lumber_rot * (1 + tech_2_1*TblTech[[#This Row],[2-1]] + tech_2_8*TblTech[[#This Row],[2-8]] + tech_5_2*TblTech[[#This Row],[5-2]] + IF(AND(TblMagic[[#This Row],[Active DnD]]&lt;12,TblMagic[[#This Row],[Active DnD]]&gt;5),1,0))</f>
        <v>364.90000000000003</v>
      </c>
      <c r="AR33" s="94">
        <f ca="1">TblProd[[#This Row],[Mana]]*mana_drain * (1 + tech_2_1*TblTech[[#This Row],[2-1]] + tech_2_8*TblTech[[#This Row],[2-8]])</f>
        <v>0</v>
      </c>
      <c r="AS33" s="154"/>
      <c r="AT33" s="94">
        <f ca="1">TblExplore[[#This Row],[Platinum (2)]]+TblConstr[[#This Row],[Total Plat Cost]]+TblMili[[#This Row],[Plat Cost]]+TblRezone[[#This Row],[Platinum cost]]+TblImps[[#This Row],[P1]]-TblProd[[#This Row],[Bank Plat]]</f>
        <v>0</v>
      </c>
      <c r="AU33" s="94">
        <f ca="1">TblConstr[[#This Row],[Total Lum Cost]]+TblImps[[#This Row],[L1]]-TblProd[[#This Row],[Bank Lumber]] + Military!$CO$25*TblMili[[#This Row],[Sec. rec. Cost]]</f>
        <v>0</v>
      </c>
      <c r="AV33" s="94">
        <f ca="1">TblMagic[[#This Row],[Mana cost]] + Military!$CO$26*TblMili[[#This Row],[Sec. rec. Cost]]</f>
        <v>0</v>
      </c>
      <c r="AW33" s="94">
        <f ca="1">Military!$CO$24*TblMili[[#This Row],[Sec. rec. Cost]]+TblImps[[#This Row],[O1]]-TblProd[[#This Row],[Bank Ore]]</f>
        <v>0</v>
      </c>
      <c r="AX33" s="94">
        <f>TblImps[[#This Row],[G1]]-TblProd[[#This Row],[Bank Gems]]</f>
        <v>0</v>
      </c>
      <c r="AY33" s="142"/>
      <c r="AZ33" s="61" t="b">
        <f ca="1">IF(TblProd[[#This Row],[Set Guard]]&lt;&gt;"",TblProd[[#This Row],[Set Guard]],OFFSET(TblProd[[#This Row],[Guard]],-1,0))</f>
        <v>0</v>
      </c>
      <c r="BA33" s="153"/>
      <c r="BB33" s="45">
        <f>TblProd[[#This Row],[Hour]]</f>
        <v>30</v>
      </c>
      <c r="BC33" s="158">
        <f>-TblProd[[#This Row],[Bank Lumber]] / 2 + -TblProd[[#This Row],[Bank Gems]] * 2 + -TblProd[[#This Row],[Bank Ore]] / 2</f>
        <v>0</v>
      </c>
      <c r="BD33" s="158"/>
      <c r="BE33" s="158"/>
      <c r="BF33" s="158"/>
      <c r="BG33" s="159">
        <f ca="1">TblProd[[#This Row],[Time]]</f>
        <v>46048.208333333263</v>
      </c>
      <c r="BH33" s="45" t="str">
        <f>IF(AND(TblProd[[#This Row],[Bank Plat]]=0,TblProd[[#This Row],[Bank Lumber]]=0,TblProd[[#This Row],[Bank Ore]]=0,TblProd[[#This Row],[Bank Gems]]=0),"",IF(TblProd[[#This Row],[Bank Plat]]&gt;0,IF((TblProd[[#This Row],[Bank Lumber]]+TblProd[[#This Row],[Bank Ore]])/2+TblProd[[#This Row],[Bank Gems]]*2+ROUNDUP(TblProd[[#This Row],[Bank Plat]]/(1 + tech_2_2*Techs!Y33),0)=0,"Ok","Nope"),IF(TblProd[[#This Row],[Bank Lumber]]&gt;0,IF((TblProd[[#This Row],[Bank Plat]]+TblProd[[#This Row],[Bank Ore]])/2+TblProd[[#This Row],[Bank Gems]]*2+ROUNDUP(TblProd[[#This Row],[Bank Lumber]]/(1 + tech_2_2*Techs!Y33),0)=0,"Ok","Nope"),IF(TblProd[[#This Row],[Bank Ore]]&gt;0,IF((TblProd[[#This Row],[Bank Plat]]+TblProd[[#This Row],[Bank Lumber]])/2+TblProd[[#This Row],[Bank Gems]]*2+ROUNDUP(TblProd[[#This Row],[Bank Ore]]/(1 + tech_2_2*Techs!Y33),0)=0,"Ok","Nope")))))</f>
        <v/>
      </c>
      <c r="BI33" s="94">
        <f ca="1">TblProd[[#This Row],[Platinum]]</f>
        <v>97663</v>
      </c>
      <c r="BJ33" s="94">
        <f ca="1">TblProd[[#This Row],[Food]]</f>
        <v>71072</v>
      </c>
      <c r="BK33" s="94">
        <f ca="1">TblProd[[#This Row],[Lumber]]</f>
        <v>36490</v>
      </c>
      <c r="BL33" s="94">
        <f ca="1">TblProd[[#This Row],[Mana]]</f>
        <v>0</v>
      </c>
      <c r="BM33" s="94">
        <f ca="1">TblProd[[#This Row],[Ore]]</f>
        <v>0</v>
      </c>
    </row>
    <row r="34" spans="1:65" x14ac:dyDescent="0.2">
      <c r="A34" s="137">
        <v>31</v>
      </c>
      <c r="B34" s="152">
        <f ca="1">TblImps[[#This Row],[Time]]</f>
        <v>46048.249999999927</v>
      </c>
      <c r="C34" s="153"/>
      <c r="D34" s="154"/>
      <c r="E34" s="94">
        <f ca="1">TblConstr[[#This Row],[Land]]</f>
        <v>110</v>
      </c>
      <c r="F34" s="94">
        <f ca="1">TblPop[[#This Row],[Peasants]]</f>
        <v>741</v>
      </c>
      <c r="G34" s="94">
        <f ca="1">TblMili[[#This Row],[Networth (2)]]</f>
        <v>2450</v>
      </c>
      <c r="H34" s="94">
        <f ca="1">OFFSET(TblProd[[#This Row],[Platinum]],-1,0)+OFFSET(TblProd[[#This Row],[Plat/hr]],-1,0) - TblProd[[#This Row],[Expenses Platinum]] + IF(TblProd[[#This Row],[Plat Bonus]],TblPop[[#This Row],[Peasants]]*4) + SUM(TblConstr[[#This Row],[Dest Hom]:[Dest Doc]])*TblConstr[[#This Row],[CPA Platinum -DB]]*tech_3_3_2*TblTech[[#This Row],[3-3]]</f>
        <v>99682</v>
      </c>
      <c r="I34" s="94">
        <f ca="1">OFFSET(TblProd[[#This Row],[Food]],-1,0)+OFFSET(TblProd[[#This Row],[Food/hr]],-1,0)+ROUNDUP((TblConstr[[#This Row],[Farms]]*80+TblConstr[[#This Row],[Docks]]*35)*(1+OFFSET(TblProd[[#This Row],[Bonus Food/hr]],-1,0)),0)</f>
        <v>72672</v>
      </c>
      <c r="J34" s="94">
        <f ca="1">OFFSET(TblProd[[#This Row],[Lumber]],-1,0)+OFFSET(TblProd[[#This Row],[Lumber/hr]],-1,0) - TblProd[[#This Row],[Expenses Lumber]] + SUM(TblConstr[[#This Row],[Dest Hom]:[Dest Doc]])*TblConstr[[#This Row],[CPA Lumber -DB]]*tech_3_3_2*TblTech[[#This Row],[3-3]]</f>
        <v>37125</v>
      </c>
      <c r="K34" s="94">
        <f ca="1">OFFSET(TblProd[[#This Row],[Mana]],-1,0)+OFFSET(TblProd[[#This Row],[Mana/hr]],-1,0)- TblProd[[#This Row],[Expenses Mana]]</f>
        <v>0</v>
      </c>
      <c r="L34" s="94">
        <f ca="1">OFFSET(TblProd[[#This Row],[Ore]],-1,0)+OFFSET(TblProd[[#This Row],[Ore/hr]],-1,0) -TblProd[[#This Row],[Expenses Ore]]</f>
        <v>0</v>
      </c>
      <c r="M34" s="94">
        <f ca="1">OFFSET(TblProd[[#This Row],[Gems]],-1,0)+OFFSET(TblProd[[#This Row],[Gems/hr]],-1,0) - TblProd[[#This Row],[Expenses Gems]]</f>
        <v>0</v>
      </c>
      <c r="N34" s="94">
        <f ca="1">OFFSET(TblProd[[#This Row],[Boats]],-1,0)+OFFSET(TblProd[[#This Row],[Boats/hr]],-1,0)</f>
        <v>0</v>
      </c>
      <c r="O34" s="94">
        <f ca="1">OFFSET(TblProd[[#This Row],[Prestige]],-1,0)</f>
        <v>250</v>
      </c>
      <c r="P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4" s="94">
        <f ca="1">MAX(_xlfn.CEILING.MATH(TblProd[[#This Row],[Land]]*2.5+IFERROR(OFFSET(TblTech[[#This Row],[Sum of tech]],-1,0)*50,0)),3750)</f>
        <v>3750</v>
      </c>
      <c r="R34" s="142"/>
      <c r="S34" s="94">
        <f ca="1">ROUNDDOWN(TblProd[[#This Row],[Raw Plat/hr]]*(1+TblProd[[#This Row],[Bonus Plat/hr]]),0)</f>
        <v>2000</v>
      </c>
      <c r="T34" s="94">
        <f ca="1">ROUND(TblProd[[#This Row],[Raw Food/hr]]*(1+TblProd[[#This Row],[Bonus Food/hr]])-TblProd[[#This Row],[Food decay]]-TblProd[[#This Row],[Food eaten]],0)</f>
        <v>1584</v>
      </c>
      <c r="U34" s="94">
        <f ca="1">ROUND(TblProd[[#This Row],[Raw Lumber/hr]]*(1+TblProd[[#This Row],[Bonus Lumber/hr]])-TblProd[[#This Row],[Lumber rot]],0)</f>
        <v>629</v>
      </c>
      <c r="V34" s="94">
        <f ca="1">ROUND(TblProd[[#This Row],[Raw Mana/hr]]*(1+TblProd[[#This Row],[Bonus Mana/hr]])-TblProd[[#This Row],[Mana drain]],0)</f>
        <v>0</v>
      </c>
      <c r="W34" s="94">
        <f ca="1">ROUNDDOWN(TblProd[[#This Row],[Raw Ore/hr]]*(1+TblProd[[#This Row],[Bonux Ore/hr]]),0)</f>
        <v>0</v>
      </c>
      <c r="X34" s="94">
        <f ca="1">ROUNDDOWN(TblProd[[#This Row],[Raw Gems/hr]]*(1+TblProd[[#This Row],[Bonus Gems/hr]]),0)</f>
        <v>0</v>
      </c>
      <c r="Y34" s="155">
        <f ca="1">OFFSET(TblConstr[[#This Row],[Tot Doc]],1,0)*dock_boats_hr * (1 + tech_4_1*TblTech[[#This Row],[4-1]])</f>
        <v>0</v>
      </c>
      <c r="Z34" s="154"/>
      <c r="AA34" s="94">
        <f ca="1">TblPop[[#This Row],[Peasants]]*tax*TblPop[[#This Row],[Employment]] + (Construction!AZ35+Construction!BX35)*(alch_plat+(Magic!AN34&gt;0)*alchemist_flame_bonus)</f>
        <v>2000.7</v>
      </c>
      <c r="AB34" s="94">
        <f ca="1">TblConstr[[#This Row],[Tot Farm]]*farm_food + TblConstr[[#This Row],[Tot Doc]]*dock_food</f>
        <v>2400</v>
      </c>
      <c r="AC34" s="94">
        <f ca="1">TblConstr[[#This Row],[Tot Ly]]*ly_lumber + TblConstr[[#This Row],[Tot Hav]]*fh_lumber + IF(race="Wood Elf",TblMili[[#This Row],[Unit 2]]*MIN(TblMili[[#This Row],[Homeland%]]/wisp_bonus,wisp_cap),0)</f>
        <v>1000</v>
      </c>
      <c r="AD34" s="94">
        <f ca="1">OFFSET(TblConstr[[#This Row],[Tot Tow]],1,0)*(tower_mana + tech_4_5*TblTech[[#This Row],[4-5]]) + OFFSET(TblConstr[[#This Row],[Tot WG]],1,0)*wg_mana_prod</f>
        <v>0</v>
      </c>
      <c r="AE34" s="94">
        <f ca="1">OFFSET(TblConstr[[#This Row],[Tot OM]],1,0)*om_ore+IF(race="Dwarf",TblMili[[#This Row],[Unit 2]]*0.5,0)</f>
        <v>0</v>
      </c>
      <c r="AF34" s="94">
        <f ca="1">OFFSET(TblConstr[[#This Row],[Tot DM]],1,0)*dm_gems</f>
        <v>0</v>
      </c>
      <c r="AG34" s="142"/>
      <c r="AH34" s="156">
        <f ca="1">MIN(race_platinum_bonus + IF(TblMagic[[#This Row],[Active Alch Frost]]&gt;0,alch_frost_bonus,IF(Magic!AE34&gt;0,midas_bonus)) + TblImps[[#This Row],[Science]] - TblProd[[#This Row],[Guard]]*(0.02 + tech_5_7*TblTech[[#This Row],[5-7]]) + tech_1_5*TblTech[[#This Row],[1-5]] + tech_4_4*TblTech[[#This Row],[4-4]] + IF(TblMagic[[#This Row],[Active Infernal Command]]&gt;0,demonic_pact_plat,0), 0.5)</f>
        <v>0</v>
      </c>
      <c r="AI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4" s="156">
        <f ca="1">race_lumber_bonus+ IF(TblMagic[[#This Row],[Active Gaia''s Blessing]]&gt;0,gaias_blessing_lumber)+ tech_1_3*TblTech[[#This Row],[1-3]] + tech_1_6*TblTech[[#This Row],[1-6]] + tech_3_3*TblTech[[#This Row],[3-3]]</f>
        <v>0</v>
      </c>
      <c r="AK34" s="156">
        <f ca="1">race_mana_bonus+ 0 + TblImps[[#This Row],[Spires]] + tech_1_2*TblTech[[#This Row],[1-2]] + tech_3_4*TblTech[[#This Row],[3-4]]</f>
        <v>0</v>
      </c>
      <c r="AL34" s="156">
        <f ca="1">race_ore_bonus + IF(TblMagic[[#This Row],[Active Miner''s Sight]]&gt;0,miners_sight_bonus,IF(TblMagic[[#This Row],[Active Mining Strength]]&gt;0,mining_strength_bonus)) +  tech_1_6*TblTech[[#This Row],[1-6]]</f>
        <v>0</v>
      </c>
      <c r="AM34" s="156">
        <f>race_gem_bonus+ tech_3_2*TblTech[[#This Row],[3-2]] + tech_4_3*TblTech[[#This Row],[4-3]] + tech_6_2*TblTech[[#This Row],[6-2]]</f>
        <v>0</v>
      </c>
      <c r="AN34" s="142"/>
      <c r="AO34" s="94">
        <f ca="1">TblProd[[#This Row],[Food]]*food_decay * (1 + tech_2_1*TblTech[[#This Row],[2-1]] + tech_2_8*TblTech[[#This Row],[2-8]] + IF(AND(TblMagic[[#This Row],[Active DnD]]&lt;12,TblMagic[[#This Row],[Active DnD]]&gt;5),1,0))</f>
        <v>726.72</v>
      </c>
      <c r="AP34" s="94">
        <f ca="1">(1+race_food_consumption)*TblPop[[#This Row],[Total]]*food_per_person*(1+tech_1_10*TblTech[[#This Row],[1-10]]+tech_7_5*TblTech[[#This Row],[7-5]] + IF(TblMagic[[#This Row],[Active Infernal Command]]&gt;0,demonic_pact_food_cons,0))</f>
        <v>269</v>
      </c>
      <c r="AQ34" s="94">
        <f ca="1">TblProd[[#This Row],[Lumber]]*lumber_rot * (1 + tech_2_1*TblTech[[#This Row],[2-1]] + tech_2_8*TblTech[[#This Row],[2-8]] + tech_5_2*TblTech[[#This Row],[5-2]] + IF(AND(TblMagic[[#This Row],[Active DnD]]&lt;12,TblMagic[[#This Row],[Active DnD]]&gt;5),1,0))</f>
        <v>371.25</v>
      </c>
      <c r="AR34" s="94">
        <f ca="1">TblProd[[#This Row],[Mana]]*mana_drain * (1 + tech_2_1*TblTech[[#This Row],[2-1]] + tech_2_8*TblTech[[#This Row],[2-8]])</f>
        <v>0</v>
      </c>
      <c r="AS34" s="154"/>
      <c r="AT34" s="94">
        <f ca="1">TblExplore[[#This Row],[Platinum (2)]]+TblConstr[[#This Row],[Total Plat Cost]]+TblMili[[#This Row],[Plat Cost]]+TblRezone[[#This Row],[Platinum cost]]+TblImps[[#This Row],[P1]]-TblProd[[#This Row],[Bank Plat]]</f>
        <v>0</v>
      </c>
      <c r="AU34" s="94">
        <f ca="1">TblConstr[[#This Row],[Total Lum Cost]]+TblImps[[#This Row],[L1]]-TblProd[[#This Row],[Bank Lumber]] + Military!$CO$25*TblMili[[#This Row],[Sec. rec. Cost]]</f>
        <v>0</v>
      </c>
      <c r="AV34" s="94">
        <f ca="1">TblMagic[[#This Row],[Mana cost]] + Military!$CO$26*TblMili[[#This Row],[Sec. rec. Cost]]</f>
        <v>0</v>
      </c>
      <c r="AW34" s="94">
        <f ca="1">Military!$CO$24*TblMili[[#This Row],[Sec. rec. Cost]]+TblImps[[#This Row],[O1]]-TblProd[[#This Row],[Bank Ore]]</f>
        <v>0</v>
      </c>
      <c r="AX34" s="94">
        <f>TblImps[[#This Row],[G1]]-TblProd[[#This Row],[Bank Gems]]</f>
        <v>0</v>
      </c>
      <c r="AY34" s="142"/>
      <c r="AZ34" s="61" t="b">
        <f ca="1">IF(TblProd[[#This Row],[Set Guard]]&lt;&gt;"",TblProd[[#This Row],[Set Guard]],OFFSET(TblProd[[#This Row],[Guard]],-1,0))</f>
        <v>0</v>
      </c>
      <c r="BA34" s="153"/>
      <c r="BB34" s="45">
        <f>TblProd[[#This Row],[Hour]]</f>
        <v>31</v>
      </c>
      <c r="BC34" s="158">
        <f>-TblProd[[#This Row],[Bank Lumber]] / 2 + -TblProd[[#This Row],[Bank Gems]] * 2 + -TblProd[[#This Row],[Bank Ore]] / 2</f>
        <v>0</v>
      </c>
      <c r="BD34" s="158"/>
      <c r="BE34" s="158"/>
      <c r="BF34" s="158"/>
      <c r="BG34" s="159">
        <f ca="1">TblProd[[#This Row],[Time]]</f>
        <v>46048.249999999927</v>
      </c>
      <c r="BH34" s="45" t="str">
        <f>IF(AND(TblProd[[#This Row],[Bank Plat]]=0,TblProd[[#This Row],[Bank Lumber]]=0,TblProd[[#This Row],[Bank Ore]]=0,TblProd[[#This Row],[Bank Gems]]=0),"",IF(TblProd[[#This Row],[Bank Plat]]&gt;0,IF((TblProd[[#This Row],[Bank Lumber]]+TblProd[[#This Row],[Bank Ore]])/2+TblProd[[#This Row],[Bank Gems]]*2+ROUNDUP(TblProd[[#This Row],[Bank Plat]]/(1 + tech_2_2*Techs!Y34),0)=0,"Ok","Nope"),IF(TblProd[[#This Row],[Bank Lumber]]&gt;0,IF((TblProd[[#This Row],[Bank Plat]]+TblProd[[#This Row],[Bank Ore]])/2+TblProd[[#This Row],[Bank Gems]]*2+ROUNDUP(TblProd[[#This Row],[Bank Lumber]]/(1 + tech_2_2*Techs!Y34),0)=0,"Ok","Nope"),IF(TblProd[[#This Row],[Bank Ore]]&gt;0,IF((TblProd[[#This Row],[Bank Plat]]+TblProd[[#This Row],[Bank Lumber]])/2+TblProd[[#This Row],[Bank Gems]]*2+ROUNDUP(TblProd[[#This Row],[Bank Ore]]/(1 + tech_2_2*Techs!Y34),0)=0,"Ok","Nope")))))</f>
        <v/>
      </c>
      <c r="BI34" s="94">
        <f ca="1">TblProd[[#This Row],[Platinum]]</f>
        <v>99682</v>
      </c>
      <c r="BJ34" s="94">
        <f ca="1">TblProd[[#This Row],[Food]]</f>
        <v>72672</v>
      </c>
      <c r="BK34" s="94">
        <f ca="1">TblProd[[#This Row],[Lumber]]</f>
        <v>37125</v>
      </c>
      <c r="BL34" s="94">
        <f ca="1">TblProd[[#This Row],[Mana]]</f>
        <v>0</v>
      </c>
      <c r="BM34" s="94">
        <f ca="1">TblProd[[#This Row],[Ore]]</f>
        <v>0</v>
      </c>
    </row>
    <row r="35" spans="1:65" x14ac:dyDescent="0.2">
      <c r="A35" s="137">
        <v>32</v>
      </c>
      <c r="B35" s="152">
        <f ca="1">TblImps[[#This Row],[Time]]</f>
        <v>46048.291666666591</v>
      </c>
      <c r="C35" s="153"/>
      <c r="D35" s="154"/>
      <c r="E35" s="94">
        <f ca="1">TblConstr[[#This Row],[Land]]</f>
        <v>110</v>
      </c>
      <c r="F35" s="94">
        <f ca="1">TblPop[[#This Row],[Peasants]]</f>
        <v>734</v>
      </c>
      <c r="G35" s="94">
        <f ca="1">TblMili[[#This Row],[Networth (2)]]</f>
        <v>2450</v>
      </c>
      <c r="H35" s="94">
        <f ca="1">OFFSET(TblProd[[#This Row],[Platinum]],-1,0)+OFFSET(TblProd[[#This Row],[Plat/hr]],-1,0) - TblProd[[#This Row],[Expenses Platinum]] + IF(TblProd[[#This Row],[Plat Bonus]],TblPop[[#This Row],[Peasants]]*4) + SUM(TblConstr[[#This Row],[Dest Hom]:[Dest Doc]])*TblConstr[[#This Row],[CPA Platinum -DB]]*tech_3_3_2*TblTech[[#This Row],[3-3]]</f>
        <v>101682</v>
      </c>
      <c r="I35" s="94">
        <f ca="1">OFFSET(TblProd[[#This Row],[Food]],-1,0)+OFFSET(TblProd[[#This Row],[Food/hr]],-1,0)+ROUNDUP((TblConstr[[#This Row],[Farms]]*80+TblConstr[[#This Row],[Docks]]*35)*(1+OFFSET(TblProd[[#This Row],[Bonus Food/hr]],-1,0)),0)</f>
        <v>74256</v>
      </c>
      <c r="J35" s="94">
        <f ca="1">OFFSET(TblProd[[#This Row],[Lumber]],-1,0)+OFFSET(TblProd[[#This Row],[Lumber/hr]],-1,0) - TblProd[[#This Row],[Expenses Lumber]] + SUM(TblConstr[[#This Row],[Dest Hom]:[Dest Doc]])*TblConstr[[#This Row],[CPA Lumber -DB]]*tech_3_3_2*TblTech[[#This Row],[3-3]]</f>
        <v>37754</v>
      </c>
      <c r="K35" s="94">
        <f ca="1">OFFSET(TblProd[[#This Row],[Mana]],-1,0)+OFFSET(TblProd[[#This Row],[Mana/hr]],-1,0)- TblProd[[#This Row],[Expenses Mana]]</f>
        <v>0</v>
      </c>
      <c r="L35" s="94">
        <f ca="1">OFFSET(TblProd[[#This Row],[Ore]],-1,0)+OFFSET(TblProd[[#This Row],[Ore/hr]],-1,0) -TblProd[[#This Row],[Expenses Ore]]</f>
        <v>0</v>
      </c>
      <c r="M35" s="94">
        <f ca="1">OFFSET(TblProd[[#This Row],[Gems]],-1,0)+OFFSET(TblProd[[#This Row],[Gems/hr]],-1,0) - TblProd[[#This Row],[Expenses Gems]]</f>
        <v>0</v>
      </c>
      <c r="N35" s="94">
        <f ca="1">OFFSET(TblProd[[#This Row],[Boats]],-1,0)+OFFSET(TblProd[[#This Row],[Boats/hr]],-1,0)</f>
        <v>0</v>
      </c>
      <c r="O35" s="94">
        <f ca="1">OFFSET(TblProd[[#This Row],[Prestige]],-1,0)</f>
        <v>250</v>
      </c>
      <c r="P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5" s="94">
        <f ca="1">MAX(_xlfn.CEILING.MATH(TblProd[[#This Row],[Land]]*2.5+IFERROR(OFFSET(TblTech[[#This Row],[Sum of tech]],-1,0)*50,0)),3750)</f>
        <v>3750</v>
      </c>
      <c r="R35" s="142"/>
      <c r="S35" s="94">
        <f ca="1">ROUNDDOWN(TblProd[[#This Row],[Raw Plat/hr]]*(1+TblProd[[#This Row],[Bonus Plat/hr]]),0)</f>
        <v>1981</v>
      </c>
      <c r="T35" s="94">
        <f ca="1">ROUND(TblProd[[#This Row],[Raw Food/hr]]*(1+TblProd[[#This Row],[Bonus Food/hr]])-TblProd[[#This Row],[Food decay]]-TblProd[[#This Row],[Food eaten]],0)</f>
        <v>1568</v>
      </c>
      <c r="U35" s="94">
        <f ca="1">ROUND(TblProd[[#This Row],[Raw Lumber/hr]]*(1+TblProd[[#This Row],[Bonus Lumber/hr]])-TblProd[[#This Row],[Lumber rot]],0)</f>
        <v>622</v>
      </c>
      <c r="V35" s="94">
        <f ca="1">ROUND(TblProd[[#This Row],[Raw Mana/hr]]*(1+TblProd[[#This Row],[Bonus Mana/hr]])-TblProd[[#This Row],[Mana drain]],0)</f>
        <v>0</v>
      </c>
      <c r="W35" s="94">
        <f ca="1">ROUNDDOWN(TblProd[[#This Row],[Raw Ore/hr]]*(1+TblProd[[#This Row],[Bonux Ore/hr]]),0)</f>
        <v>0</v>
      </c>
      <c r="X35" s="94">
        <f ca="1">ROUNDDOWN(TblProd[[#This Row],[Raw Gems/hr]]*(1+TblProd[[#This Row],[Bonus Gems/hr]]),0)</f>
        <v>0</v>
      </c>
      <c r="Y35" s="155">
        <f ca="1">OFFSET(TblConstr[[#This Row],[Tot Doc]],1,0)*dock_boats_hr * (1 + tech_4_1*TblTech[[#This Row],[4-1]])</f>
        <v>0</v>
      </c>
      <c r="Z35" s="154"/>
      <c r="AA35" s="94">
        <f ca="1">TblPop[[#This Row],[Peasants]]*tax*TblPop[[#This Row],[Employment]] + (Construction!AZ36+Construction!BX36)*(alch_plat+(Magic!AN35&gt;0)*alchemist_flame_bonus)</f>
        <v>1981.8000000000002</v>
      </c>
      <c r="AB35" s="94">
        <f ca="1">TblConstr[[#This Row],[Tot Farm]]*farm_food + TblConstr[[#This Row],[Tot Doc]]*dock_food</f>
        <v>2400</v>
      </c>
      <c r="AC35" s="94">
        <f ca="1">TblConstr[[#This Row],[Tot Ly]]*ly_lumber + TblConstr[[#This Row],[Tot Hav]]*fh_lumber + IF(race="Wood Elf",TblMili[[#This Row],[Unit 2]]*MIN(TblMili[[#This Row],[Homeland%]]/wisp_bonus,wisp_cap),0)</f>
        <v>1000</v>
      </c>
      <c r="AD35" s="94">
        <f ca="1">OFFSET(TblConstr[[#This Row],[Tot Tow]],1,0)*(tower_mana + tech_4_5*TblTech[[#This Row],[4-5]]) + OFFSET(TblConstr[[#This Row],[Tot WG]],1,0)*wg_mana_prod</f>
        <v>0</v>
      </c>
      <c r="AE35" s="94">
        <f ca="1">OFFSET(TblConstr[[#This Row],[Tot OM]],1,0)*om_ore+IF(race="Dwarf",TblMili[[#This Row],[Unit 2]]*0.5,0)</f>
        <v>0</v>
      </c>
      <c r="AF35" s="94">
        <f ca="1">OFFSET(TblConstr[[#This Row],[Tot DM]],1,0)*dm_gems</f>
        <v>0</v>
      </c>
      <c r="AG35" s="142"/>
      <c r="AH35" s="156">
        <f ca="1">MIN(race_platinum_bonus + IF(TblMagic[[#This Row],[Active Alch Frost]]&gt;0,alch_frost_bonus,IF(Magic!AE35&gt;0,midas_bonus)) + TblImps[[#This Row],[Science]] - TblProd[[#This Row],[Guard]]*(0.02 + tech_5_7*TblTech[[#This Row],[5-7]]) + tech_1_5*TblTech[[#This Row],[1-5]] + tech_4_4*TblTech[[#This Row],[4-4]] + IF(TblMagic[[#This Row],[Active Infernal Command]]&gt;0,demonic_pact_plat,0), 0.5)</f>
        <v>0</v>
      </c>
      <c r="AI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5" s="156">
        <f ca="1">race_lumber_bonus+ IF(TblMagic[[#This Row],[Active Gaia''s Blessing]]&gt;0,gaias_blessing_lumber)+ tech_1_3*TblTech[[#This Row],[1-3]] + tech_1_6*TblTech[[#This Row],[1-6]] + tech_3_3*TblTech[[#This Row],[3-3]]</f>
        <v>0</v>
      </c>
      <c r="AK35" s="156">
        <f ca="1">race_mana_bonus+ 0 + TblImps[[#This Row],[Spires]] + tech_1_2*TblTech[[#This Row],[1-2]] + tech_3_4*TblTech[[#This Row],[3-4]]</f>
        <v>0</v>
      </c>
      <c r="AL35" s="156">
        <f ca="1">race_ore_bonus + IF(TblMagic[[#This Row],[Active Miner''s Sight]]&gt;0,miners_sight_bonus,IF(TblMagic[[#This Row],[Active Mining Strength]]&gt;0,mining_strength_bonus)) +  tech_1_6*TblTech[[#This Row],[1-6]]</f>
        <v>0</v>
      </c>
      <c r="AM35" s="156">
        <f>race_gem_bonus+ tech_3_2*TblTech[[#This Row],[3-2]] + tech_4_3*TblTech[[#This Row],[4-3]] + tech_6_2*TblTech[[#This Row],[6-2]]</f>
        <v>0</v>
      </c>
      <c r="AN35" s="142"/>
      <c r="AO35" s="94">
        <f ca="1">TblProd[[#This Row],[Food]]*food_decay * (1 + tech_2_1*TblTech[[#This Row],[2-1]] + tech_2_8*TblTech[[#This Row],[2-8]] + IF(AND(TblMagic[[#This Row],[Active DnD]]&lt;12,TblMagic[[#This Row],[Active DnD]]&gt;5),1,0))</f>
        <v>742.56000000000006</v>
      </c>
      <c r="AP35" s="94">
        <f ca="1">(1+race_food_consumption)*TblPop[[#This Row],[Total]]*food_per_person*(1+tech_1_10*TblTech[[#This Row],[1-10]]+tech_7_5*TblTech[[#This Row],[7-5]] + IF(TblMagic[[#This Row],[Active Infernal Command]]&gt;0,demonic_pact_food_cons,0))</f>
        <v>269</v>
      </c>
      <c r="AQ35" s="94">
        <f ca="1">TblProd[[#This Row],[Lumber]]*lumber_rot * (1 + tech_2_1*TblTech[[#This Row],[2-1]] + tech_2_8*TblTech[[#This Row],[2-8]] + tech_5_2*TblTech[[#This Row],[5-2]] + IF(AND(TblMagic[[#This Row],[Active DnD]]&lt;12,TblMagic[[#This Row],[Active DnD]]&gt;5),1,0))</f>
        <v>377.54</v>
      </c>
      <c r="AR35" s="94">
        <f ca="1">TblProd[[#This Row],[Mana]]*mana_drain * (1 + tech_2_1*TblTech[[#This Row],[2-1]] + tech_2_8*TblTech[[#This Row],[2-8]])</f>
        <v>0</v>
      </c>
      <c r="AS35" s="154"/>
      <c r="AT35" s="94">
        <f ca="1">TblExplore[[#This Row],[Platinum (2)]]+TblConstr[[#This Row],[Total Plat Cost]]+TblMili[[#This Row],[Plat Cost]]+TblRezone[[#This Row],[Platinum cost]]+TblImps[[#This Row],[P1]]-TblProd[[#This Row],[Bank Plat]]</f>
        <v>0</v>
      </c>
      <c r="AU35" s="94">
        <f ca="1">TblConstr[[#This Row],[Total Lum Cost]]+TblImps[[#This Row],[L1]]-TblProd[[#This Row],[Bank Lumber]] + Military!$CO$25*TblMili[[#This Row],[Sec. rec. Cost]]</f>
        <v>0</v>
      </c>
      <c r="AV35" s="94">
        <f ca="1">TblMagic[[#This Row],[Mana cost]] + Military!$CO$26*TblMili[[#This Row],[Sec. rec. Cost]]</f>
        <v>0</v>
      </c>
      <c r="AW35" s="94">
        <f ca="1">Military!$CO$24*TblMili[[#This Row],[Sec. rec. Cost]]+TblImps[[#This Row],[O1]]-TblProd[[#This Row],[Bank Ore]]</f>
        <v>0</v>
      </c>
      <c r="AX35" s="94">
        <f>TblImps[[#This Row],[G1]]-TblProd[[#This Row],[Bank Gems]]</f>
        <v>0</v>
      </c>
      <c r="AY35" s="142"/>
      <c r="AZ35" s="61" t="b">
        <f ca="1">IF(TblProd[[#This Row],[Set Guard]]&lt;&gt;"",TblProd[[#This Row],[Set Guard]],OFFSET(TblProd[[#This Row],[Guard]],-1,0))</f>
        <v>0</v>
      </c>
      <c r="BA35" s="153"/>
      <c r="BB35" s="45">
        <f>TblProd[[#This Row],[Hour]]</f>
        <v>32</v>
      </c>
      <c r="BC35" s="158">
        <f>-TblProd[[#This Row],[Bank Lumber]] / 2 + -TblProd[[#This Row],[Bank Gems]] * 2 + -TblProd[[#This Row],[Bank Ore]] / 2</f>
        <v>0</v>
      </c>
      <c r="BD35" s="158"/>
      <c r="BE35" s="158"/>
      <c r="BF35" s="158"/>
      <c r="BG35" s="159">
        <f ca="1">TblProd[[#This Row],[Time]]</f>
        <v>46048.291666666591</v>
      </c>
      <c r="BH35" s="45" t="str">
        <f>IF(AND(TblProd[[#This Row],[Bank Plat]]=0,TblProd[[#This Row],[Bank Lumber]]=0,TblProd[[#This Row],[Bank Ore]]=0,TblProd[[#This Row],[Bank Gems]]=0),"",IF(TblProd[[#This Row],[Bank Plat]]&gt;0,IF((TblProd[[#This Row],[Bank Lumber]]+TblProd[[#This Row],[Bank Ore]])/2+TblProd[[#This Row],[Bank Gems]]*2+ROUNDUP(TblProd[[#This Row],[Bank Plat]]/(1 + tech_2_2*Techs!Y35),0)=0,"Ok","Nope"),IF(TblProd[[#This Row],[Bank Lumber]]&gt;0,IF((TblProd[[#This Row],[Bank Plat]]+TblProd[[#This Row],[Bank Ore]])/2+TblProd[[#This Row],[Bank Gems]]*2+ROUNDUP(TblProd[[#This Row],[Bank Lumber]]/(1 + tech_2_2*Techs!Y35),0)=0,"Ok","Nope"),IF(TblProd[[#This Row],[Bank Ore]]&gt;0,IF((TblProd[[#This Row],[Bank Plat]]+TblProd[[#This Row],[Bank Lumber]])/2+TblProd[[#This Row],[Bank Gems]]*2+ROUNDUP(TblProd[[#This Row],[Bank Ore]]/(1 + tech_2_2*Techs!Y35),0)=0,"Ok","Nope")))))</f>
        <v/>
      </c>
      <c r="BI35" s="94">
        <f ca="1">TblProd[[#This Row],[Platinum]]</f>
        <v>101682</v>
      </c>
      <c r="BJ35" s="94">
        <f ca="1">TblProd[[#This Row],[Food]]</f>
        <v>74256</v>
      </c>
      <c r="BK35" s="94">
        <f ca="1">TblProd[[#This Row],[Lumber]]</f>
        <v>37754</v>
      </c>
      <c r="BL35" s="94">
        <f ca="1">TblProd[[#This Row],[Mana]]</f>
        <v>0</v>
      </c>
      <c r="BM35" s="94">
        <f ca="1">TblProd[[#This Row],[Ore]]</f>
        <v>0</v>
      </c>
    </row>
    <row r="36" spans="1:65" x14ac:dyDescent="0.2">
      <c r="A36" s="137">
        <v>33</v>
      </c>
      <c r="B36" s="152">
        <f ca="1">TblImps[[#This Row],[Time]]</f>
        <v>46048.333333333256</v>
      </c>
      <c r="C36" s="153"/>
      <c r="D36" s="154"/>
      <c r="E36" s="94">
        <f ca="1">TblConstr[[#This Row],[Land]]</f>
        <v>110</v>
      </c>
      <c r="F36" s="94">
        <f ca="1">TblPop[[#This Row],[Peasants]]</f>
        <v>727</v>
      </c>
      <c r="G36" s="94">
        <f ca="1">TblMili[[#This Row],[Networth (2)]]</f>
        <v>2450</v>
      </c>
      <c r="H36" s="94">
        <f ca="1">OFFSET(TblProd[[#This Row],[Platinum]],-1,0)+OFFSET(TblProd[[#This Row],[Plat/hr]],-1,0) - TblProd[[#This Row],[Expenses Platinum]] + IF(TblProd[[#This Row],[Plat Bonus]],TblPop[[#This Row],[Peasants]]*4) + SUM(TblConstr[[#This Row],[Dest Hom]:[Dest Doc]])*TblConstr[[#This Row],[CPA Platinum -DB]]*tech_3_3_2*TblTech[[#This Row],[3-3]]</f>
        <v>103663</v>
      </c>
      <c r="I36" s="94">
        <f ca="1">OFFSET(TblProd[[#This Row],[Food]],-1,0)+OFFSET(TblProd[[#This Row],[Food/hr]],-1,0)+ROUNDUP((TblConstr[[#This Row],[Farms]]*80+TblConstr[[#This Row],[Docks]]*35)*(1+OFFSET(TblProd[[#This Row],[Bonus Food/hr]],-1,0)),0)</f>
        <v>75824</v>
      </c>
      <c r="J36" s="94">
        <f ca="1">OFFSET(TblProd[[#This Row],[Lumber]],-1,0)+OFFSET(TblProd[[#This Row],[Lumber/hr]],-1,0) - TblProd[[#This Row],[Expenses Lumber]] + SUM(TblConstr[[#This Row],[Dest Hom]:[Dest Doc]])*TblConstr[[#This Row],[CPA Lumber -DB]]*tech_3_3_2*TblTech[[#This Row],[3-3]]</f>
        <v>38376</v>
      </c>
      <c r="K36" s="94">
        <f ca="1">OFFSET(TblProd[[#This Row],[Mana]],-1,0)+OFFSET(TblProd[[#This Row],[Mana/hr]],-1,0)- TblProd[[#This Row],[Expenses Mana]]</f>
        <v>0</v>
      </c>
      <c r="L36" s="94">
        <f ca="1">OFFSET(TblProd[[#This Row],[Ore]],-1,0)+OFFSET(TblProd[[#This Row],[Ore/hr]],-1,0) -TblProd[[#This Row],[Expenses Ore]]</f>
        <v>0</v>
      </c>
      <c r="M36" s="94">
        <f ca="1">OFFSET(TblProd[[#This Row],[Gems]],-1,0)+OFFSET(TblProd[[#This Row],[Gems/hr]],-1,0) - TblProd[[#This Row],[Expenses Gems]]</f>
        <v>0</v>
      </c>
      <c r="N36" s="94">
        <f ca="1">OFFSET(TblProd[[#This Row],[Boats]],-1,0)+OFFSET(TblProd[[#This Row],[Boats/hr]],-1,0)</f>
        <v>0</v>
      </c>
      <c r="O36" s="94">
        <f ca="1">OFFSET(TblProd[[#This Row],[Prestige]],-1,0)</f>
        <v>250</v>
      </c>
      <c r="P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6" s="94">
        <f ca="1">MAX(_xlfn.CEILING.MATH(TblProd[[#This Row],[Land]]*2.5+IFERROR(OFFSET(TblTech[[#This Row],[Sum of tech]],-1,0)*50,0)),3750)</f>
        <v>3750</v>
      </c>
      <c r="R36" s="142"/>
      <c r="S36" s="94">
        <f ca="1">ROUNDDOWN(TblProd[[#This Row],[Raw Plat/hr]]*(1+TblProd[[#This Row],[Bonus Plat/hr]]),0)</f>
        <v>1962</v>
      </c>
      <c r="T36" s="94">
        <f ca="1">ROUND(TblProd[[#This Row],[Raw Food/hr]]*(1+TblProd[[#This Row],[Bonus Food/hr]])-TblProd[[#This Row],[Food decay]]-TblProd[[#This Row],[Food eaten]],0)</f>
        <v>1553</v>
      </c>
      <c r="U36" s="94">
        <f ca="1">ROUND(TblProd[[#This Row],[Raw Lumber/hr]]*(1+TblProd[[#This Row],[Bonus Lumber/hr]])-TblProd[[#This Row],[Lumber rot]],0)</f>
        <v>616</v>
      </c>
      <c r="V36" s="94">
        <f ca="1">ROUND(TblProd[[#This Row],[Raw Mana/hr]]*(1+TblProd[[#This Row],[Bonus Mana/hr]])-TblProd[[#This Row],[Mana drain]],0)</f>
        <v>0</v>
      </c>
      <c r="W36" s="94">
        <f ca="1">ROUNDDOWN(TblProd[[#This Row],[Raw Ore/hr]]*(1+TblProd[[#This Row],[Bonux Ore/hr]]),0)</f>
        <v>0</v>
      </c>
      <c r="X36" s="94">
        <f ca="1">ROUNDDOWN(TblProd[[#This Row],[Raw Gems/hr]]*(1+TblProd[[#This Row],[Bonus Gems/hr]]),0)</f>
        <v>0</v>
      </c>
      <c r="Y36" s="155">
        <f ca="1">OFFSET(TblConstr[[#This Row],[Tot Doc]],1,0)*dock_boats_hr * (1 + tech_4_1*TblTech[[#This Row],[4-1]])</f>
        <v>0</v>
      </c>
      <c r="Z36" s="154"/>
      <c r="AA36" s="94">
        <f ca="1">TblPop[[#This Row],[Peasants]]*tax*TblPop[[#This Row],[Employment]] + (Construction!AZ37+Construction!BX37)*(alch_plat+(Magic!AN36&gt;0)*alchemist_flame_bonus)</f>
        <v>1962.9</v>
      </c>
      <c r="AB36" s="94">
        <f ca="1">TblConstr[[#This Row],[Tot Farm]]*farm_food + TblConstr[[#This Row],[Tot Doc]]*dock_food</f>
        <v>2400</v>
      </c>
      <c r="AC36" s="94">
        <f ca="1">TblConstr[[#This Row],[Tot Ly]]*ly_lumber + TblConstr[[#This Row],[Tot Hav]]*fh_lumber + IF(race="Wood Elf",TblMili[[#This Row],[Unit 2]]*MIN(TblMili[[#This Row],[Homeland%]]/wisp_bonus,wisp_cap),0)</f>
        <v>1000</v>
      </c>
      <c r="AD36" s="94">
        <f ca="1">OFFSET(TblConstr[[#This Row],[Tot Tow]],1,0)*(tower_mana + tech_4_5*TblTech[[#This Row],[4-5]]) + OFFSET(TblConstr[[#This Row],[Tot WG]],1,0)*wg_mana_prod</f>
        <v>0</v>
      </c>
      <c r="AE36" s="94">
        <f ca="1">OFFSET(TblConstr[[#This Row],[Tot OM]],1,0)*om_ore+IF(race="Dwarf",TblMili[[#This Row],[Unit 2]]*0.5,0)</f>
        <v>0</v>
      </c>
      <c r="AF36" s="94">
        <f ca="1">OFFSET(TblConstr[[#This Row],[Tot DM]],1,0)*dm_gems</f>
        <v>0</v>
      </c>
      <c r="AG36" s="142"/>
      <c r="AH36" s="156">
        <f ca="1">MIN(race_platinum_bonus + IF(TblMagic[[#This Row],[Active Alch Frost]]&gt;0,alch_frost_bonus,IF(Magic!AE36&gt;0,midas_bonus)) + TblImps[[#This Row],[Science]] - TblProd[[#This Row],[Guard]]*(0.02 + tech_5_7*TblTech[[#This Row],[5-7]]) + tech_1_5*TblTech[[#This Row],[1-5]] + tech_4_4*TblTech[[#This Row],[4-4]] + IF(TblMagic[[#This Row],[Active Infernal Command]]&gt;0,demonic_pact_plat,0), 0.5)</f>
        <v>0</v>
      </c>
      <c r="AI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6" s="156">
        <f ca="1">race_lumber_bonus+ IF(TblMagic[[#This Row],[Active Gaia''s Blessing]]&gt;0,gaias_blessing_lumber)+ tech_1_3*TblTech[[#This Row],[1-3]] + tech_1_6*TblTech[[#This Row],[1-6]] + tech_3_3*TblTech[[#This Row],[3-3]]</f>
        <v>0</v>
      </c>
      <c r="AK36" s="156">
        <f ca="1">race_mana_bonus+ 0 + TblImps[[#This Row],[Spires]] + tech_1_2*TblTech[[#This Row],[1-2]] + tech_3_4*TblTech[[#This Row],[3-4]]</f>
        <v>0</v>
      </c>
      <c r="AL36" s="156">
        <f ca="1">race_ore_bonus + IF(TblMagic[[#This Row],[Active Miner''s Sight]]&gt;0,miners_sight_bonus,IF(TblMagic[[#This Row],[Active Mining Strength]]&gt;0,mining_strength_bonus)) +  tech_1_6*TblTech[[#This Row],[1-6]]</f>
        <v>0</v>
      </c>
      <c r="AM36" s="156">
        <f>race_gem_bonus+ tech_3_2*TblTech[[#This Row],[3-2]] + tech_4_3*TblTech[[#This Row],[4-3]] + tech_6_2*TblTech[[#This Row],[6-2]]</f>
        <v>0</v>
      </c>
      <c r="AN36" s="142"/>
      <c r="AO36" s="94">
        <f ca="1">TblProd[[#This Row],[Food]]*food_decay * (1 + tech_2_1*TblTech[[#This Row],[2-1]] + tech_2_8*TblTech[[#This Row],[2-8]] + IF(AND(TblMagic[[#This Row],[Active DnD]]&lt;12,TblMagic[[#This Row],[Active DnD]]&gt;5),1,0))</f>
        <v>758.24</v>
      </c>
      <c r="AP36" s="94">
        <f ca="1">(1+race_food_consumption)*TblPop[[#This Row],[Total]]*food_per_person*(1+tech_1_10*TblTech[[#This Row],[1-10]]+tech_7_5*TblTech[[#This Row],[7-5]] + IF(TblMagic[[#This Row],[Active Infernal Command]]&gt;0,demonic_pact_food_cons,0))</f>
        <v>269</v>
      </c>
      <c r="AQ36" s="94">
        <f ca="1">TblProd[[#This Row],[Lumber]]*lumber_rot * (1 + tech_2_1*TblTech[[#This Row],[2-1]] + tech_2_8*TblTech[[#This Row],[2-8]] + tech_5_2*TblTech[[#This Row],[5-2]] + IF(AND(TblMagic[[#This Row],[Active DnD]]&lt;12,TblMagic[[#This Row],[Active DnD]]&gt;5),1,0))</f>
        <v>383.76</v>
      </c>
      <c r="AR36" s="94">
        <f ca="1">TblProd[[#This Row],[Mana]]*mana_drain * (1 + tech_2_1*TblTech[[#This Row],[2-1]] + tech_2_8*TblTech[[#This Row],[2-8]])</f>
        <v>0</v>
      </c>
      <c r="AS36" s="154"/>
      <c r="AT36" s="94">
        <f ca="1">TblExplore[[#This Row],[Platinum (2)]]+TblConstr[[#This Row],[Total Plat Cost]]+TblMili[[#This Row],[Plat Cost]]+TblRezone[[#This Row],[Platinum cost]]+TblImps[[#This Row],[P1]]-TblProd[[#This Row],[Bank Plat]]</f>
        <v>0</v>
      </c>
      <c r="AU36" s="94">
        <f ca="1">TblConstr[[#This Row],[Total Lum Cost]]+TblImps[[#This Row],[L1]]-TblProd[[#This Row],[Bank Lumber]] + Military!$CO$25*TblMili[[#This Row],[Sec. rec. Cost]]</f>
        <v>0</v>
      </c>
      <c r="AV36" s="94">
        <f ca="1">TblMagic[[#This Row],[Mana cost]] + Military!$CO$26*TblMili[[#This Row],[Sec. rec. Cost]]</f>
        <v>0</v>
      </c>
      <c r="AW36" s="94">
        <f ca="1">Military!$CO$24*TblMili[[#This Row],[Sec. rec. Cost]]+TblImps[[#This Row],[O1]]-TblProd[[#This Row],[Bank Ore]]</f>
        <v>0</v>
      </c>
      <c r="AX36" s="94">
        <f>TblImps[[#This Row],[G1]]-TblProd[[#This Row],[Bank Gems]]</f>
        <v>0</v>
      </c>
      <c r="AY36" s="142"/>
      <c r="AZ36" s="61" t="b">
        <f ca="1">IF(TblProd[[#This Row],[Set Guard]]&lt;&gt;"",TblProd[[#This Row],[Set Guard]],OFFSET(TblProd[[#This Row],[Guard]],-1,0))</f>
        <v>0</v>
      </c>
      <c r="BA36" s="153"/>
      <c r="BB36" s="45">
        <f>TblProd[[#This Row],[Hour]]</f>
        <v>33</v>
      </c>
      <c r="BC36" s="158">
        <f>-TblProd[[#This Row],[Bank Lumber]] / 2 + -TblProd[[#This Row],[Bank Gems]] * 2 + -TblProd[[#This Row],[Bank Ore]] / 2</f>
        <v>0</v>
      </c>
      <c r="BD36" s="158"/>
      <c r="BE36" s="158"/>
      <c r="BF36" s="158"/>
      <c r="BG36" s="159">
        <f ca="1">TblProd[[#This Row],[Time]]</f>
        <v>46048.333333333256</v>
      </c>
      <c r="BH36" s="45" t="str">
        <f>IF(AND(TblProd[[#This Row],[Bank Plat]]=0,TblProd[[#This Row],[Bank Lumber]]=0,TblProd[[#This Row],[Bank Ore]]=0,TblProd[[#This Row],[Bank Gems]]=0),"",IF(TblProd[[#This Row],[Bank Plat]]&gt;0,IF((TblProd[[#This Row],[Bank Lumber]]+TblProd[[#This Row],[Bank Ore]])/2+TblProd[[#This Row],[Bank Gems]]*2+ROUNDUP(TblProd[[#This Row],[Bank Plat]]/(1 + tech_2_2*Techs!Y36),0)=0,"Ok","Nope"),IF(TblProd[[#This Row],[Bank Lumber]]&gt;0,IF((TblProd[[#This Row],[Bank Plat]]+TblProd[[#This Row],[Bank Ore]])/2+TblProd[[#This Row],[Bank Gems]]*2+ROUNDUP(TblProd[[#This Row],[Bank Lumber]]/(1 + tech_2_2*Techs!Y36),0)=0,"Ok","Nope"),IF(TblProd[[#This Row],[Bank Ore]]&gt;0,IF((TblProd[[#This Row],[Bank Plat]]+TblProd[[#This Row],[Bank Lumber]])/2+TblProd[[#This Row],[Bank Gems]]*2+ROUNDUP(TblProd[[#This Row],[Bank Ore]]/(1 + tech_2_2*Techs!Y36),0)=0,"Ok","Nope")))))</f>
        <v/>
      </c>
      <c r="BI36" s="94">
        <f ca="1">TblProd[[#This Row],[Platinum]]</f>
        <v>103663</v>
      </c>
      <c r="BJ36" s="94">
        <f ca="1">TblProd[[#This Row],[Food]]</f>
        <v>75824</v>
      </c>
      <c r="BK36" s="94">
        <f ca="1">TblProd[[#This Row],[Lumber]]</f>
        <v>38376</v>
      </c>
      <c r="BL36" s="94">
        <f ca="1">TblProd[[#This Row],[Mana]]</f>
        <v>0</v>
      </c>
      <c r="BM36" s="94">
        <f ca="1">TblProd[[#This Row],[Ore]]</f>
        <v>0</v>
      </c>
    </row>
    <row r="37" spans="1:65" x14ac:dyDescent="0.2">
      <c r="A37" s="137">
        <v>34</v>
      </c>
      <c r="B37" s="152">
        <f ca="1">TblImps[[#This Row],[Time]]</f>
        <v>46048.37499999992</v>
      </c>
      <c r="C37" s="153"/>
      <c r="D37" s="154"/>
      <c r="E37" s="94">
        <f ca="1">TblConstr[[#This Row],[Land]]</f>
        <v>110</v>
      </c>
      <c r="F37" s="94">
        <f ca="1">TblPop[[#This Row],[Peasants]]</f>
        <v>720</v>
      </c>
      <c r="G37" s="94">
        <f ca="1">TblMili[[#This Row],[Networth (2)]]</f>
        <v>2450</v>
      </c>
      <c r="H37" s="94">
        <f ca="1">OFFSET(TblProd[[#This Row],[Platinum]],-1,0)+OFFSET(TblProd[[#This Row],[Plat/hr]],-1,0) - TblProd[[#This Row],[Expenses Platinum]] + IF(TblProd[[#This Row],[Plat Bonus]],TblPop[[#This Row],[Peasants]]*4) + SUM(TblConstr[[#This Row],[Dest Hom]:[Dest Doc]])*TblConstr[[#This Row],[CPA Platinum -DB]]*tech_3_3_2*TblTech[[#This Row],[3-3]]</f>
        <v>105625</v>
      </c>
      <c r="I37" s="94">
        <f ca="1">OFFSET(TblProd[[#This Row],[Food]],-1,0)+OFFSET(TblProd[[#This Row],[Food/hr]],-1,0)+ROUNDUP((TblConstr[[#This Row],[Farms]]*80+TblConstr[[#This Row],[Docks]]*35)*(1+OFFSET(TblProd[[#This Row],[Bonus Food/hr]],-1,0)),0)</f>
        <v>77377</v>
      </c>
      <c r="J37" s="94">
        <f ca="1">OFFSET(TblProd[[#This Row],[Lumber]],-1,0)+OFFSET(TblProd[[#This Row],[Lumber/hr]],-1,0) - TblProd[[#This Row],[Expenses Lumber]] + SUM(TblConstr[[#This Row],[Dest Hom]:[Dest Doc]])*TblConstr[[#This Row],[CPA Lumber -DB]]*tech_3_3_2*TblTech[[#This Row],[3-3]]</f>
        <v>38992</v>
      </c>
      <c r="K37" s="94">
        <f ca="1">OFFSET(TblProd[[#This Row],[Mana]],-1,0)+OFFSET(TblProd[[#This Row],[Mana/hr]],-1,0)- TblProd[[#This Row],[Expenses Mana]]</f>
        <v>0</v>
      </c>
      <c r="L37" s="94">
        <f ca="1">OFFSET(TblProd[[#This Row],[Ore]],-1,0)+OFFSET(TblProd[[#This Row],[Ore/hr]],-1,0) -TblProd[[#This Row],[Expenses Ore]]</f>
        <v>0</v>
      </c>
      <c r="M37" s="94">
        <f ca="1">OFFSET(TblProd[[#This Row],[Gems]],-1,0)+OFFSET(TblProd[[#This Row],[Gems/hr]],-1,0) - TblProd[[#This Row],[Expenses Gems]]</f>
        <v>0</v>
      </c>
      <c r="N37" s="94">
        <f ca="1">OFFSET(TblProd[[#This Row],[Boats]],-1,0)+OFFSET(TblProd[[#This Row],[Boats/hr]],-1,0)</f>
        <v>0</v>
      </c>
      <c r="O37" s="94">
        <f ca="1">OFFSET(TblProd[[#This Row],[Prestige]],-1,0)</f>
        <v>250</v>
      </c>
      <c r="P3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7" s="94">
        <f ca="1">MAX(_xlfn.CEILING.MATH(TblProd[[#This Row],[Land]]*2.5+IFERROR(OFFSET(TblTech[[#This Row],[Sum of tech]],-1,0)*50,0)),3750)</f>
        <v>3750</v>
      </c>
      <c r="R37" s="142"/>
      <c r="S37" s="94">
        <f ca="1">ROUNDDOWN(TblProd[[#This Row],[Raw Plat/hr]]*(1+TblProd[[#This Row],[Bonus Plat/hr]]),0)</f>
        <v>1944</v>
      </c>
      <c r="T37" s="94">
        <f ca="1">ROUND(TblProd[[#This Row],[Raw Food/hr]]*(1+TblProd[[#This Row],[Bonus Food/hr]])-TblProd[[#This Row],[Food decay]]-TblProd[[#This Row],[Food eaten]],0)</f>
        <v>1537</v>
      </c>
      <c r="U37" s="94">
        <f ca="1">ROUND(TblProd[[#This Row],[Raw Lumber/hr]]*(1+TblProd[[#This Row],[Bonus Lumber/hr]])-TblProd[[#This Row],[Lumber rot]],0)</f>
        <v>610</v>
      </c>
      <c r="V37" s="94">
        <f ca="1">ROUND(TblProd[[#This Row],[Raw Mana/hr]]*(1+TblProd[[#This Row],[Bonus Mana/hr]])-TblProd[[#This Row],[Mana drain]],0)</f>
        <v>0</v>
      </c>
      <c r="W37" s="94">
        <f ca="1">ROUNDDOWN(TblProd[[#This Row],[Raw Ore/hr]]*(1+TblProd[[#This Row],[Bonux Ore/hr]]),0)</f>
        <v>0</v>
      </c>
      <c r="X37" s="94">
        <f ca="1">ROUNDDOWN(TblProd[[#This Row],[Raw Gems/hr]]*(1+TblProd[[#This Row],[Bonus Gems/hr]]),0)</f>
        <v>0</v>
      </c>
      <c r="Y37" s="155">
        <f ca="1">OFFSET(TblConstr[[#This Row],[Tot Doc]],1,0)*dock_boats_hr * (1 + tech_4_1*TblTech[[#This Row],[4-1]])</f>
        <v>0</v>
      </c>
      <c r="Z37" s="154"/>
      <c r="AA37" s="94">
        <f ca="1">TblPop[[#This Row],[Peasants]]*tax*TblPop[[#This Row],[Employment]] + (Construction!AZ38+Construction!BX38)*(alch_plat+(Magic!AN37&gt;0)*alchemist_flame_bonus)</f>
        <v>1944.0000000000002</v>
      </c>
      <c r="AB37" s="94">
        <f ca="1">TblConstr[[#This Row],[Tot Farm]]*farm_food + TblConstr[[#This Row],[Tot Doc]]*dock_food</f>
        <v>2400</v>
      </c>
      <c r="AC37" s="94">
        <f ca="1">TblConstr[[#This Row],[Tot Ly]]*ly_lumber + TblConstr[[#This Row],[Tot Hav]]*fh_lumber + IF(race="Wood Elf",TblMili[[#This Row],[Unit 2]]*MIN(TblMili[[#This Row],[Homeland%]]/wisp_bonus,wisp_cap),0)</f>
        <v>1000</v>
      </c>
      <c r="AD37" s="94">
        <f ca="1">OFFSET(TblConstr[[#This Row],[Tot Tow]],1,0)*(tower_mana + tech_4_5*TblTech[[#This Row],[4-5]]) + OFFSET(TblConstr[[#This Row],[Tot WG]],1,0)*wg_mana_prod</f>
        <v>0</v>
      </c>
      <c r="AE37" s="94">
        <f ca="1">OFFSET(TblConstr[[#This Row],[Tot OM]],1,0)*om_ore+IF(race="Dwarf",TblMili[[#This Row],[Unit 2]]*0.5,0)</f>
        <v>0</v>
      </c>
      <c r="AF37" s="94">
        <f ca="1">OFFSET(TblConstr[[#This Row],[Tot DM]],1,0)*dm_gems</f>
        <v>0</v>
      </c>
      <c r="AG37" s="142"/>
      <c r="AH37" s="156">
        <f ca="1">MIN(race_platinum_bonus + IF(TblMagic[[#This Row],[Active Alch Frost]]&gt;0,alch_frost_bonus,IF(Magic!AE37&gt;0,midas_bonus)) + TblImps[[#This Row],[Science]] - TblProd[[#This Row],[Guard]]*(0.02 + tech_5_7*TblTech[[#This Row],[5-7]]) + tech_1_5*TblTech[[#This Row],[1-5]] + tech_4_4*TblTech[[#This Row],[4-4]] + IF(TblMagic[[#This Row],[Active Infernal Command]]&gt;0,demonic_pact_plat,0), 0.5)</f>
        <v>0</v>
      </c>
      <c r="AI3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7" s="156">
        <f ca="1">race_lumber_bonus+ IF(TblMagic[[#This Row],[Active Gaia''s Blessing]]&gt;0,gaias_blessing_lumber)+ tech_1_3*TblTech[[#This Row],[1-3]] + tech_1_6*TblTech[[#This Row],[1-6]] + tech_3_3*TblTech[[#This Row],[3-3]]</f>
        <v>0</v>
      </c>
      <c r="AK37" s="156">
        <f ca="1">race_mana_bonus+ 0 + TblImps[[#This Row],[Spires]] + tech_1_2*TblTech[[#This Row],[1-2]] + tech_3_4*TblTech[[#This Row],[3-4]]</f>
        <v>0</v>
      </c>
      <c r="AL37" s="156">
        <f ca="1">race_ore_bonus + IF(TblMagic[[#This Row],[Active Miner''s Sight]]&gt;0,miners_sight_bonus,IF(TblMagic[[#This Row],[Active Mining Strength]]&gt;0,mining_strength_bonus)) +  tech_1_6*TblTech[[#This Row],[1-6]]</f>
        <v>0</v>
      </c>
      <c r="AM37" s="156">
        <f>race_gem_bonus+ tech_3_2*TblTech[[#This Row],[3-2]] + tech_4_3*TblTech[[#This Row],[4-3]] + tech_6_2*TblTech[[#This Row],[6-2]]</f>
        <v>0</v>
      </c>
      <c r="AN37" s="142"/>
      <c r="AO37" s="94">
        <f ca="1">TblProd[[#This Row],[Food]]*food_decay * (1 + tech_2_1*TblTech[[#This Row],[2-1]] + tech_2_8*TblTech[[#This Row],[2-8]] + IF(AND(TblMagic[[#This Row],[Active DnD]]&lt;12,TblMagic[[#This Row],[Active DnD]]&gt;5),1,0))</f>
        <v>773.77</v>
      </c>
      <c r="AP37" s="94">
        <f ca="1">(1+race_food_consumption)*TblPop[[#This Row],[Total]]*food_per_person*(1+tech_1_10*TblTech[[#This Row],[1-10]]+tech_7_5*TblTech[[#This Row],[7-5]] + IF(TblMagic[[#This Row],[Active Infernal Command]]&gt;0,demonic_pact_food_cons,0))</f>
        <v>269</v>
      </c>
      <c r="AQ37" s="94">
        <f ca="1">TblProd[[#This Row],[Lumber]]*lumber_rot * (1 + tech_2_1*TblTech[[#This Row],[2-1]] + tech_2_8*TblTech[[#This Row],[2-8]] + tech_5_2*TblTech[[#This Row],[5-2]] + IF(AND(TblMagic[[#This Row],[Active DnD]]&lt;12,TblMagic[[#This Row],[Active DnD]]&gt;5),1,0))</f>
        <v>389.92</v>
      </c>
      <c r="AR37" s="94">
        <f ca="1">TblProd[[#This Row],[Mana]]*mana_drain * (1 + tech_2_1*TblTech[[#This Row],[2-1]] + tech_2_8*TblTech[[#This Row],[2-8]])</f>
        <v>0</v>
      </c>
      <c r="AS37" s="154"/>
      <c r="AT37" s="94">
        <f ca="1">TblExplore[[#This Row],[Platinum (2)]]+TblConstr[[#This Row],[Total Plat Cost]]+TblMili[[#This Row],[Plat Cost]]+TblRezone[[#This Row],[Platinum cost]]+TblImps[[#This Row],[P1]]-TblProd[[#This Row],[Bank Plat]]</f>
        <v>0</v>
      </c>
      <c r="AU37" s="94">
        <f ca="1">TblConstr[[#This Row],[Total Lum Cost]]+TblImps[[#This Row],[L1]]-TblProd[[#This Row],[Bank Lumber]] + Military!$CO$25*TblMili[[#This Row],[Sec. rec. Cost]]</f>
        <v>0</v>
      </c>
      <c r="AV37" s="94">
        <f ca="1">TblMagic[[#This Row],[Mana cost]] + Military!$CO$26*TblMili[[#This Row],[Sec. rec. Cost]]</f>
        <v>0</v>
      </c>
      <c r="AW37" s="94">
        <f ca="1">Military!$CO$24*TblMili[[#This Row],[Sec. rec. Cost]]+TblImps[[#This Row],[O1]]-TblProd[[#This Row],[Bank Ore]]</f>
        <v>0</v>
      </c>
      <c r="AX37" s="94">
        <f>TblImps[[#This Row],[G1]]-TblProd[[#This Row],[Bank Gems]]</f>
        <v>0</v>
      </c>
      <c r="AY37" s="142"/>
      <c r="AZ37" s="61" t="b">
        <f ca="1">IF(TblProd[[#This Row],[Set Guard]]&lt;&gt;"",TblProd[[#This Row],[Set Guard]],OFFSET(TblProd[[#This Row],[Guard]],-1,0))</f>
        <v>0</v>
      </c>
      <c r="BA37" s="153"/>
      <c r="BB37" s="45">
        <f>TblProd[[#This Row],[Hour]]</f>
        <v>34</v>
      </c>
      <c r="BC37" s="158">
        <f>-TblProd[[#This Row],[Bank Lumber]] / 2 + -TblProd[[#This Row],[Bank Gems]] * 2 + -TblProd[[#This Row],[Bank Ore]] / 2</f>
        <v>0</v>
      </c>
      <c r="BD37" s="158"/>
      <c r="BE37" s="158"/>
      <c r="BF37" s="158"/>
      <c r="BG37" s="159">
        <f ca="1">TblProd[[#This Row],[Time]]</f>
        <v>46048.37499999992</v>
      </c>
      <c r="BH37" s="45" t="str">
        <f>IF(AND(TblProd[[#This Row],[Bank Plat]]=0,TblProd[[#This Row],[Bank Lumber]]=0,TblProd[[#This Row],[Bank Ore]]=0,TblProd[[#This Row],[Bank Gems]]=0),"",IF(TblProd[[#This Row],[Bank Plat]]&gt;0,IF((TblProd[[#This Row],[Bank Lumber]]+TblProd[[#This Row],[Bank Ore]])/2+TblProd[[#This Row],[Bank Gems]]*2+ROUNDUP(TblProd[[#This Row],[Bank Plat]]/(1 + tech_2_2*Techs!Y37),0)=0,"Ok","Nope"),IF(TblProd[[#This Row],[Bank Lumber]]&gt;0,IF((TblProd[[#This Row],[Bank Plat]]+TblProd[[#This Row],[Bank Ore]])/2+TblProd[[#This Row],[Bank Gems]]*2+ROUNDUP(TblProd[[#This Row],[Bank Lumber]]/(1 + tech_2_2*Techs!Y37),0)=0,"Ok","Nope"),IF(TblProd[[#This Row],[Bank Ore]]&gt;0,IF((TblProd[[#This Row],[Bank Plat]]+TblProd[[#This Row],[Bank Lumber]])/2+TblProd[[#This Row],[Bank Gems]]*2+ROUNDUP(TblProd[[#This Row],[Bank Ore]]/(1 + tech_2_2*Techs!Y37),0)=0,"Ok","Nope")))))</f>
        <v/>
      </c>
      <c r="BI37" s="94">
        <f ca="1">TblProd[[#This Row],[Platinum]]</f>
        <v>105625</v>
      </c>
      <c r="BJ37" s="94">
        <f ca="1">TblProd[[#This Row],[Food]]</f>
        <v>77377</v>
      </c>
      <c r="BK37" s="94">
        <f ca="1">TblProd[[#This Row],[Lumber]]</f>
        <v>38992</v>
      </c>
      <c r="BL37" s="94">
        <f ca="1">TblProd[[#This Row],[Mana]]</f>
        <v>0</v>
      </c>
      <c r="BM37" s="94">
        <f ca="1">TblProd[[#This Row],[Ore]]</f>
        <v>0</v>
      </c>
    </row>
    <row r="38" spans="1:65" x14ac:dyDescent="0.2">
      <c r="A38" s="137">
        <v>35</v>
      </c>
      <c r="B38" s="152">
        <f ca="1">TblImps[[#This Row],[Time]]</f>
        <v>46048.416666666584</v>
      </c>
      <c r="C38" s="153"/>
      <c r="D38" s="154"/>
      <c r="E38" s="94">
        <f ca="1">TblConstr[[#This Row],[Land]]</f>
        <v>110</v>
      </c>
      <c r="F38" s="94">
        <f ca="1">TblPop[[#This Row],[Peasants]]</f>
        <v>713</v>
      </c>
      <c r="G38" s="94">
        <f ca="1">TblMili[[#This Row],[Networth (2)]]</f>
        <v>2450</v>
      </c>
      <c r="H38" s="94">
        <f ca="1">OFFSET(TblProd[[#This Row],[Platinum]],-1,0)+OFFSET(TblProd[[#This Row],[Plat/hr]],-1,0) - TblProd[[#This Row],[Expenses Platinum]] + IF(TblProd[[#This Row],[Plat Bonus]],TblPop[[#This Row],[Peasants]]*4) + SUM(TblConstr[[#This Row],[Dest Hom]:[Dest Doc]])*TblConstr[[#This Row],[CPA Platinum -DB]]*tech_3_3_2*TblTech[[#This Row],[3-3]]</f>
        <v>107569</v>
      </c>
      <c r="I38" s="94">
        <f ca="1">OFFSET(TblProd[[#This Row],[Food]],-1,0)+OFFSET(TblProd[[#This Row],[Food/hr]],-1,0)+ROUNDUP((TblConstr[[#This Row],[Farms]]*80+TblConstr[[#This Row],[Docks]]*35)*(1+OFFSET(TblProd[[#This Row],[Bonus Food/hr]],-1,0)),0)</f>
        <v>78914</v>
      </c>
      <c r="J38" s="94">
        <f ca="1">OFFSET(TblProd[[#This Row],[Lumber]],-1,0)+OFFSET(TblProd[[#This Row],[Lumber/hr]],-1,0) - TblProd[[#This Row],[Expenses Lumber]] + SUM(TblConstr[[#This Row],[Dest Hom]:[Dest Doc]])*TblConstr[[#This Row],[CPA Lumber -DB]]*tech_3_3_2*TblTech[[#This Row],[3-3]]</f>
        <v>39602</v>
      </c>
      <c r="K38" s="94">
        <f ca="1">OFFSET(TblProd[[#This Row],[Mana]],-1,0)+OFFSET(TblProd[[#This Row],[Mana/hr]],-1,0)- TblProd[[#This Row],[Expenses Mana]]</f>
        <v>0</v>
      </c>
      <c r="L38" s="94">
        <f ca="1">OFFSET(TblProd[[#This Row],[Ore]],-1,0)+OFFSET(TblProd[[#This Row],[Ore/hr]],-1,0) -TblProd[[#This Row],[Expenses Ore]]</f>
        <v>0</v>
      </c>
      <c r="M38" s="94">
        <f ca="1">OFFSET(TblProd[[#This Row],[Gems]],-1,0)+OFFSET(TblProd[[#This Row],[Gems/hr]],-1,0) - TblProd[[#This Row],[Expenses Gems]]</f>
        <v>0</v>
      </c>
      <c r="N38" s="94">
        <f ca="1">OFFSET(TblProd[[#This Row],[Boats]],-1,0)+OFFSET(TblProd[[#This Row],[Boats/hr]],-1,0)</f>
        <v>0</v>
      </c>
      <c r="O38" s="94">
        <f ca="1">OFFSET(TblProd[[#This Row],[Prestige]],-1,0)</f>
        <v>250</v>
      </c>
      <c r="P3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8" s="94">
        <f ca="1">MAX(_xlfn.CEILING.MATH(TblProd[[#This Row],[Land]]*2.5+IFERROR(OFFSET(TblTech[[#This Row],[Sum of tech]],-1,0)*50,0)),3750)</f>
        <v>3750</v>
      </c>
      <c r="R38" s="142"/>
      <c r="S38" s="94">
        <f ca="1">ROUNDDOWN(TblProd[[#This Row],[Raw Plat/hr]]*(1+TblProd[[#This Row],[Bonus Plat/hr]]),0)</f>
        <v>1925</v>
      </c>
      <c r="T38" s="94">
        <f ca="1">ROUND(TblProd[[#This Row],[Raw Food/hr]]*(1+TblProd[[#This Row],[Bonus Food/hr]])-TblProd[[#This Row],[Food decay]]-TblProd[[#This Row],[Food eaten]],0)</f>
        <v>1522</v>
      </c>
      <c r="U38" s="94">
        <f ca="1">ROUND(TblProd[[#This Row],[Raw Lumber/hr]]*(1+TblProd[[#This Row],[Bonus Lumber/hr]])-TblProd[[#This Row],[Lumber rot]],0)</f>
        <v>604</v>
      </c>
      <c r="V38" s="94">
        <f ca="1">ROUND(TblProd[[#This Row],[Raw Mana/hr]]*(1+TblProd[[#This Row],[Bonus Mana/hr]])-TblProd[[#This Row],[Mana drain]],0)</f>
        <v>0</v>
      </c>
      <c r="W38" s="94">
        <f ca="1">ROUNDDOWN(TblProd[[#This Row],[Raw Ore/hr]]*(1+TblProd[[#This Row],[Bonux Ore/hr]]),0)</f>
        <v>0</v>
      </c>
      <c r="X38" s="94">
        <f ca="1">ROUNDDOWN(TblProd[[#This Row],[Raw Gems/hr]]*(1+TblProd[[#This Row],[Bonus Gems/hr]]),0)</f>
        <v>0</v>
      </c>
      <c r="Y38" s="155">
        <f ca="1">OFFSET(TblConstr[[#This Row],[Tot Doc]],1,0)*dock_boats_hr * (1 + tech_4_1*TblTech[[#This Row],[4-1]])</f>
        <v>0</v>
      </c>
      <c r="Z38" s="154"/>
      <c r="AA38" s="94">
        <f ca="1">TblPop[[#This Row],[Peasants]]*tax*TblPop[[#This Row],[Employment]] + (Construction!AZ39+Construction!BX39)*(alch_plat+(Magic!AN38&gt;0)*alchemist_flame_bonus)</f>
        <v>1925.1000000000001</v>
      </c>
      <c r="AB38" s="94">
        <f ca="1">TblConstr[[#This Row],[Tot Farm]]*farm_food + TblConstr[[#This Row],[Tot Doc]]*dock_food</f>
        <v>2400</v>
      </c>
      <c r="AC38" s="94">
        <f ca="1">TblConstr[[#This Row],[Tot Ly]]*ly_lumber + TblConstr[[#This Row],[Tot Hav]]*fh_lumber + IF(race="Wood Elf",TblMili[[#This Row],[Unit 2]]*MIN(TblMili[[#This Row],[Homeland%]]/wisp_bonus,wisp_cap),0)</f>
        <v>1000</v>
      </c>
      <c r="AD38" s="94">
        <f ca="1">OFFSET(TblConstr[[#This Row],[Tot Tow]],1,0)*(tower_mana + tech_4_5*TblTech[[#This Row],[4-5]]) + OFFSET(TblConstr[[#This Row],[Tot WG]],1,0)*wg_mana_prod</f>
        <v>0</v>
      </c>
      <c r="AE38" s="94">
        <f ca="1">OFFSET(TblConstr[[#This Row],[Tot OM]],1,0)*om_ore+IF(race="Dwarf",TblMili[[#This Row],[Unit 2]]*0.5,0)</f>
        <v>0</v>
      </c>
      <c r="AF38" s="94">
        <f ca="1">OFFSET(TblConstr[[#This Row],[Tot DM]],1,0)*dm_gems</f>
        <v>0</v>
      </c>
      <c r="AG38" s="142"/>
      <c r="AH38" s="156">
        <f ca="1">MIN(race_platinum_bonus + IF(TblMagic[[#This Row],[Active Alch Frost]]&gt;0,alch_frost_bonus,IF(Magic!AE38&gt;0,midas_bonus)) + TblImps[[#This Row],[Science]] - TblProd[[#This Row],[Guard]]*(0.02 + tech_5_7*TblTech[[#This Row],[5-7]]) + tech_1_5*TblTech[[#This Row],[1-5]] + tech_4_4*TblTech[[#This Row],[4-4]] + IF(TblMagic[[#This Row],[Active Infernal Command]]&gt;0,demonic_pact_plat,0), 0.5)</f>
        <v>0</v>
      </c>
      <c r="AI3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8" s="156">
        <f ca="1">race_lumber_bonus+ IF(TblMagic[[#This Row],[Active Gaia''s Blessing]]&gt;0,gaias_blessing_lumber)+ tech_1_3*TblTech[[#This Row],[1-3]] + tech_1_6*TblTech[[#This Row],[1-6]] + tech_3_3*TblTech[[#This Row],[3-3]]</f>
        <v>0</v>
      </c>
      <c r="AK38" s="156">
        <f ca="1">race_mana_bonus+ 0 + TblImps[[#This Row],[Spires]] + tech_1_2*TblTech[[#This Row],[1-2]] + tech_3_4*TblTech[[#This Row],[3-4]]</f>
        <v>0</v>
      </c>
      <c r="AL38" s="156">
        <f ca="1">race_ore_bonus + IF(TblMagic[[#This Row],[Active Miner''s Sight]]&gt;0,miners_sight_bonus,IF(TblMagic[[#This Row],[Active Mining Strength]]&gt;0,mining_strength_bonus)) +  tech_1_6*TblTech[[#This Row],[1-6]]</f>
        <v>0</v>
      </c>
      <c r="AM38" s="156">
        <f>race_gem_bonus+ tech_3_2*TblTech[[#This Row],[3-2]] + tech_4_3*TblTech[[#This Row],[4-3]] + tech_6_2*TblTech[[#This Row],[6-2]]</f>
        <v>0</v>
      </c>
      <c r="AN38" s="142"/>
      <c r="AO38" s="94">
        <f ca="1">TblProd[[#This Row],[Food]]*food_decay * (1 + tech_2_1*TblTech[[#This Row],[2-1]] + tech_2_8*TblTech[[#This Row],[2-8]] + IF(AND(TblMagic[[#This Row],[Active DnD]]&lt;12,TblMagic[[#This Row],[Active DnD]]&gt;5),1,0))</f>
        <v>789.14</v>
      </c>
      <c r="AP38" s="94">
        <f ca="1">(1+race_food_consumption)*TblPop[[#This Row],[Total]]*food_per_person*(1+tech_1_10*TblTech[[#This Row],[1-10]]+tech_7_5*TblTech[[#This Row],[7-5]] + IF(TblMagic[[#This Row],[Active Infernal Command]]&gt;0,demonic_pact_food_cons,0))</f>
        <v>269</v>
      </c>
      <c r="AQ38" s="94">
        <f ca="1">TblProd[[#This Row],[Lumber]]*lumber_rot * (1 + tech_2_1*TblTech[[#This Row],[2-1]] + tech_2_8*TblTech[[#This Row],[2-8]] + tech_5_2*TblTech[[#This Row],[5-2]] + IF(AND(TblMagic[[#This Row],[Active DnD]]&lt;12,TblMagic[[#This Row],[Active DnD]]&gt;5),1,0))</f>
        <v>396.02</v>
      </c>
      <c r="AR38" s="94">
        <f ca="1">TblProd[[#This Row],[Mana]]*mana_drain * (1 + tech_2_1*TblTech[[#This Row],[2-1]] + tech_2_8*TblTech[[#This Row],[2-8]])</f>
        <v>0</v>
      </c>
      <c r="AS38" s="154"/>
      <c r="AT38" s="94">
        <f ca="1">TblExplore[[#This Row],[Platinum (2)]]+TblConstr[[#This Row],[Total Plat Cost]]+TblMili[[#This Row],[Plat Cost]]+TblRezone[[#This Row],[Platinum cost]]+TblImps[[#This Row],[P1]]-TblProd[[#This Row],[Bank Plat]]</f>
        <v>0</v>
      </c>
      <c r="AU38" s="94">
        <f ca="1">TblConstr[[#This Row],[Total Lum Cost]]+TblImps[[#This Row],[L1]]-TblProd[[#This Row],[Bank Lumber]] + Military!$CO$25*TblMili[[#This Row],[Sec. rec. Cost]]</f>
        <v>0</v>
      </c>
      <c r="AV38" s="94">
        <f ca="1">TblMagic[[#This Row],[Mana cost]] + Military!$CO$26*TblMili[[#This Row],[Sec. rec. Cost]]</f>
        <v>0</v>
      </c>
      <c r="AW38" s="94">
        <f ca="1">Military!$CO$24*TblMili[[#This Row],[Sec. rec. Cost]]+TblImps[[#This Row],[O1]]-TblProd[[#This Row],[Bank Ore]]</f>
        <v>0</v>
      </c>
      <c r="AX38" s="94">
        <f>TblImps[[#This Row],[G1]]-TblProd[[#This Row],[Bank Gems]]</f>
        <v>0</v>
      </c>
      <c r="AY38" s="142"/>
      <c r="AZ38" s="61" t="b">
        <f ca="1">IF(TblProd[[#This Row],[Set Guard]]&lt;&gt;"",TblProd[[#This Row],[Set Guard]],OFFSET(TblProd[[#This Row],[Guard]],-1,0))</f>
        <v>0</v>
      </c>
      <c r="BA38" s="153"/>
      <c r="BB38" s="45">
        <f>TblProd[[#This Row],[Hour]]</f>
        <v>35</v>
      </c>
      <c r="BC38" s="158">
        <f>-TblProd[[#This Row],[Bank Lumber]] / 2 + -TblProd[[#This Row],[Bank Gems]] * 2 + -TblProd[[#This Row],[Bank Ore]] / 2</f>
        <v>0</v>
      </c>
      <c r="BD38" s="158"/>
      <c r="BE38" s="158"/>
      <c r="BF38" s="158"/>
      <c r="BG38" s="159">
        <f ca="1">TblProd[[#This Row],[Time]]</f>
        <v>46048.416666666584</v>
      </c>
      <c r="BH38" s="45" t="str">
        <f>IF(AND(TblProd[[#This Row],[Bank Plat]]=0,TblProd[[#This Row],[Bank Lumber]]=0,TblProd[[#This Row],[Bank Ore]]=0,TblProd[[#This Row],[Bank Gems]]=0),"",IF(TblProd[[#This Row],[Bank Plat]]&gt;0,IF((TblProd[[#This Row],[Bank Lumber]]+TblProd[[#This Row],[Bank Ore]])/2+TblProd[[#This Row],[Bank Gems]]*2+ROUNDUP(TblProd[[#This Row],[Bank Plat]]/(1 + tech_2_2*Techs!Y38),0)=0,"Ok","Nope"),IF(TblProd[[#This Row],[Bank Lumber]]&gt;0,IF((TblProd[[#This Row],[Bank Plat]]+TblProd[[#This Row],[Bank Ore]])/2+TblProd[[#This Row],[Bank Gems]]*2+ROUNDUP(TblProd[[#This Row],[Bank Lumber]]/(1 + tech_2_2*Techs!Y38),0)=0,"Ok","Nope"),IF(TblProd[[#This Row],[Bank Ore]]&gt;0,IF((TblProd[[#This Row],[Bank Plat]]+TblProd[[#This Row],[Bank Lumber]])/2+TblProd[[#This Row],[Bank Gems]]*2+ROUNDUP(TblProd[[#This Row],[Bank Ore]]/(1 + tech_2_2*Techs!Y38),0)=0,"Ok","Nope")))))</f>
        <v/>
      </c>
      <c r="BI38" s="94">
        <f ca="1">TblProd[[#This Row],[Platinum]]</f>
        <v>107569</v>
      </c>
      <c r="BJ38" s="94">
        <f ca="1">TblProd[[#This Row],[Food]]</f>
        <v>78914</v>
      </c>
      <c r="BK38" s="94">
        <f ca="1">TblProd[[#This Row],[Lumber]]</f>
        <v>39602</v>
      </c>
      <c r="BL38" s="94">
        <f ca="1">TblProd[[#This Row],[Mana]]</f>
        <v>0</v>
      </c>
      <c r="BM38" s="94">
        <f ca="1">TblProd[[#This Row],[Ore]]</f>
        <v>0</v>
      </c>
    </row>
    <row r="39" spans="1:65" x14ac:dyDescent="0.2">
      <c r="A39" s="137">
        <v>36</v>
      </c>
      <c r="B39" s="152">
        <f ca="1">TblImps[[#This Row],[Time]]</f>
        <v>46048.458333333248</v>
      </c>
      <c r="C39" s="153"/>
      <c r="D39" s="154"/>
      <c r="E39" s="94">
        <f ca="1">TblConstr[[#This Row],[Land]]</f>
        <v>110</v>
      </c>
      <c r="F39" s="94">
        <f ca="1">TblPop[[#This Row],[Peasants]]</f>
        <v>706</v>
      </c>
      <c r="G39" s="94">
        <f ca="1">TblMili[[#This Row],[Networth (2)]]</f>
        <v>2450</v>
      </c>
      <c r="H39" s="94">
        <f ca="1">OFFSET(TblProd[[#This Row],[Platinum]],-1,0)+OFFSET(TblProd[[#This Row],[Plat/hr]],-1,0) - TblProd[[#This Row],[Expenses Platinum]] + IF(TblProd[[#This Row],[Plat Bonus]],TblPop[[#This Row],[Peasants]]*4) + SUM(TblConstr[[#This Row],[Dest Hom]:[Dest Doc]])*TblConstr[[#This Row],[CPA Platinum -DB]]*tech_3_3_2*TblTech[[#This Row],[3-3]]</f>
        <v>109494</v>
      </c>
      <c r="I39" s="94">
        <f ca="1">OFFSET(TblProd[[#This Row],[Food]],-1,0)+OFFSET(TblProd[[#This Row],[Food/hr]],-1,0)+ROUNDUP((TblConstr[[#This Row],[Farms]]*80+TblConstr[[#This Row],[Docks]]*35)*(1+OFFSET(TblProd[[#This Row],[Bonus Food/hr]],-1,0)),0)</f>
        <v>80436</v>
      </c>
      <c r="J39" s="94">
        <f ca="1">OFFSET(TblProd[[#This Row],[Lumber]],-1,0)+OFFSET(TblProd[[#This Row],[Lumber/hr]],-1,0) - TblProd[[#This Row],[Expenses Lumber]] + SUM(TblConstr[[#This Row],[Dest Hom]:[Dest Doc]])*TblConstr[[#This Row],[CPA Lumber -DB]]*tech_3_3_2*TblTech[[#This Row],[3-3]]</f>
        <v>40206</v>
      </c>
      <c r="K39" s="94">
        <f ca="1">OFFSET(TblProd[[#This Row],[Mana]],-1,0)+OFFSET(TblProd[[#This Row],[Mana/hr]],-1,0)- TblProd[[#This Row],[Expenses Mana]]</f>
        <v>0</v>
      </c>
      <c r="L39" s="94">
        <f ca="1">OFFSET(TblProd[[#This Row],[Ore]],-1,0)+OFFSET(TblProd[[#This Row],[Ore/hr]],-1,0) -TblProd[[#This Row],[Expenses Ore]]</f>
        <v>0</v>
      </c>
      <c r="M39" s="94">
        <f ca="1">OFFSET(TblProd[[#This Row],[Gems]],-1,0)+OFFSET(TblProd[[#This Row],[Gems/hr]],-1,0) - TblProd[[#This Row],[Expenses Gems]]</f>
        <v>0</v>
      </c>
      <c r="N39" s="94">
        <f ca="1">OFFSET(TblProd[[#This Row],[Boats]],-1,0)+OFFSET(TblProd[[#This Row],[Boats/hr]],-1,0)</f>
        <v>0</v>
      </c>
      <c r="O39" s="94">
        <f ca="1">OFFSET(TblProd[[#This Row],[Prestige]],-1,0)</f>
        <v>250</v>
      </c>
      <c r="P3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39" s="94">
        <f ca="1">MAX(_xlfn.CEILING.MATH(TblProd[[#This Row],[Land]]*2.5+IFERROR(OFFSET(TblTech[[#This Row],[Sum of tech]],-1,0)*50,0)),3750)</f>
        <v>3750</v>
      </c>
      <c r="R39" s="142"/>
      <c r="S39" s="94">
        <f ca="1">ROUNDDOWN(TblProd[[#This Row],[Raw Plat/hr]]*(1+TblProd[[#This Row],[Bonus Plat/hr]]),0)</f>
        <v>1906</v>
      </c>
      <c r="T39" s="94">
        <f ca="1">ROUND(TblProd[[#This Row],[Raw Food/hr]]*(1+TblProd[[#This Row],[Bonus Food/hr]])-TblProd[[#This Row],[Food decay]]-TblProd[[#This Row],[Food eaten]],0)</f>
        <v>1507</v>
      </c>
      <c r="U39" s="94">
        <f ca="1">ROUND(TblProd[[#This Row],[Raw Lumber/hr]]*(1+TblProd[[#This Row],[Bonus Lumber/hr]])-TblProd[[#This Row],[Lumber rot]],0)</f>
        <v>598</v>
      </c>
      <c r="V39" s="94">
        <f ca="1">ROUND(TblProd[[#This Row],[Raw Mana/hr]]*(1+TblProd[[#This Row],[Bonus Mana/hr]])-TblProd[[#This Row],[Mana drain]],0)</f>
        <v>0</v>
      </c>
      <c r="W39" s="94">
        <f ca="1">ROUNDDOWN(TblProd[[#This Row],[Raw Ore/hr]]*(1+TblProd[[#This Row],[Bonux Ore/hr]]),0)</f>
        <v>0</v>
      </c>
      <c r="X39" s="94">
        <f ca="1">ROUNDDOWN(TblProd[[#This Row],[Raw Gems/hr]]*(1+TblProd[[#This Row],[Bonus Gems/hr]]),0)</f>
        <v>0</v>
      </c>
      <c r="Y39" s="155">
        <f ca="1">OFFSET(TblConstr[[#This Row],[Tot Doc]],1,0)*dock_boats_hr * (1 + tech_4_1*TblTech[[#This Row],[4-1]])</f>
        <v>0</v>
      </c>
      <c r="Z39" s="154"/>
      <c r="AA39" s="94">
        <f ca="1">TblPop[[#This Row],[Peasants]]*tax*TblPop[[#This Row],[Employment]] + (Construction!AZ40+Construction!BX40)*(alch_plat+(Magic!AN39&gt;0)*alchemist_flame_bonus)</f>
        <v>1906.2</v>
      </c>
      <c r="AB39" s="94">
        <f ca="1">TblConstr[[#This Row],[Tot Farm]]*farm_food + TblConstr[[#This Row],[Tot Doc]]*dock_food</f>
        <v>2400</v>
      </c>
      <c r="AC39" s="94">
        <f ca="1">TblConstr[[#This Row],[Tot Ly]]*ly_lumber + TblConstr[[#This Row],[Tot Hav]]*fh_lumber + IF(race="Wood Elf",TblMili[[#This Row],[Unit 2]]*MIN(TblMili[[#This Row],[Homeland%]]/wisp_bonus,wisp_cap),0)</f>
        <v>1000</v>
      </c>
      <c r="AD39" s="94">
        <f ca="1">OFFSET(TblConstr[[#This Row],[Tot Tow]],1,0)*(tower_mana + tech_4_5*TblTech[[#This Row],[4-5]]) + OFFSET(TblConstr[[#This Row],[Tot WG]],1,0)*wg_mana_prod</f>
        <v>0</v>
      </c>
      <c r="AE39" s="94">
        <f ca="1">OFFSET(TblConstr[[#This Row],[Tot OM]],1,0)*om_ore+IF(race="Dwarf",TblMili[[#This Row],[Unit 2]]*0.5,0)</f>
        <v>0</v>
      </c>
      <c r="AF39" s="94">
        <f ca="1">OFFSET(TblConstr[[#This Row],[Tot DM]],1,0)*dm_gems</f>
        <v>0</v>
      </c>
      <c r="AG39" s="142"/>
      <c r="AH39" s="156">
        <f ca="1">MIN(race_platinum_bonus + IF(TblMagic[[#This Row],[Active Alch Frost]]&gt;0,alch_frost_bonus,IF(Magic!AE39&gt;0,midas_bonus)) + TblImps[[#This Row],[Science]] - TblProd[[#This Row],[Guard]]*(0.02 + tech_5_7*TblTech[[#This Row],[5-7]]) + tech_1_5*TblTech[[#This Row],[1-5]] + tech_4_4*TblTech[[#This Row],[4-4]] + IF(TblMagic[[#This Row],[Active Infernal Command]]&gt;0,demonic_pact_plat,0), 0.5)</f>
        <v>0</v>
      </c>
      <c r="AI3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39" s="156">
        <f ca="1">race_lumber_bonus+ IF(TblMagic[[#This Row],[Active Gaia''s Blessing]]&gt;0,gaias_blessing_lumber)+ tech_1_3*TblTech[[#This Row],[1-3]] + tech_1_6*TblTech[[#This Row],[1-6]] + tech_3_3*TblTech[[#This Row],[3-3]]</f>
        <v>0</v>
      </c>
      <c r="AK39" s="156">
        <f ca="1">race_mana_bonus+ 0 + TblImps[[#This Row],[Spires]] + tech_1_2*TblTech[[#This Row],[1-2]] + tech_3_4*TblTech[[#This Row],[3-4]]</f>
        <v>0</v>
      </c>
      <c r="AL39" s="156">
        <f ca="1">race_ore_bonus + IF(TblMagic[[#This Row],[Active Miner''s Sight]]&gt;0,miners_sight_bonus,IF(TblMagic[[#This Row],[Active Mining Strength]]&gt;0,mining_strength_bonus)) +  tech_1_6*TblTech[[#This Row],[1-6]]</f>
        <v>0</v>
      </c>
      <c r="AM39" s="156">
        <f>race_gem_bonus+ tech_3_2*TblTech[[#This Row],[3-2]] + tech_4_3*TblTech[[#This Row],[4-3]] + tech_6_2*TblTech[[#This Row],[6-2]]</f>
        <v>0</v>
      </c>
      <c r="AN39" s="142"/>
      <c r="AO39" s="94">
        <f ca="1">TblProd[[#This Row],[Food]]*food_decay * (1 + tech_2_1*TblTech[[#This Row],[2-1]] + tech_2_8*TblTech[[#This Row],[2-8]] + IF(AND(TblMagic[[#This Row],[Active DnD]]&lt;12,TblMagic[[#This Row],[Active DnD]]&gt;5),1,0))</f>
        <v>804.36</v>
      </c>
      <c r="AP39" s="94">
        <f ca="1">(1+race_food_consumption)*TblPop[[#This Row],[Total]]*food_per_person*(1+tech_1_10*TblTech[[#This Row],[1-10]]+tech_7_5*TblTech[[#This Row],[7-5]] + IF(TblMagic[[#This Row],[Active Infernal Command]]&gt;0,demonic_pact_food_cons,0))</f>
        <v>269</v>
      </c>
      <c r="AQ39" s="94">
        <f ca="1">TblProd[[#This Row],[Lumber]]*lumber_rot * (1 + tech_2_1*TblTech[[#This Row],[2-1]] + tech_2_8*TblTech[[#This Row],[2-8]] + tech_5_2*TblTech[[#This Row],[5-2]] + IF(AND(TblMagic[[#This Row],[Active DnD]]&lt;12,TblMagic[[#This Row],[Active DnD]]&gt;5),1,0))</f>
        <v>402.06</v>
      </c>
      <c r="AR39" s="94">
        <f ca="1">TblProd[[#This Row],[Mana]]*mana_drain * (1 + tech_2_1*TblTech[[#This Row],[2-1]] + tech_2_8*TblTech[[#This Row],[2-8]])</f>
        <v>0</v>
      </c>
      <c r="AS39" s="154"/>
      <c r="AT39" s="94">
        <f ca="1">TblExplore[[#This Row],[Platinum (2)]]+TblConstr[[#This Row],[Total Plat Cost]]+TblMili[[#This Row],[Plat Cost]]+TblRezone[[#This Row],[Platinum cost]]+TblImps[[#This Row],[P1]]-TblProd[[#This Row],[Bank Plat]]</f>
        <v>0</v>
      </c>
      <c r="AU39" s="94">
        <f ca="1">TblConstr[[#This Row],[Total Lum Cost]]+TblImps[[#This Row],[L1]]-TblProd[[#This Row],[Bank Lumber]] + Military!$CO$25*TblMili[[#This Row],[Sec. rec. Cost]]</f>
        <v>0</v>
      </c>
      <c r="AV39" s="94">
        <f ca="1">TblMagic[[#This Row],[Mana cost]] + Military!$CO$26*TblMili[[#This Row],[Sec. rec. Cost]]</f>
        <v>0</v>
      </c>
      <c r="AW39" s="94">
        <f ca="1">Military!$CO$24*TblMili[[#This Row],[Sec. rec. Cost]]+TblImps[[#This Row],[O1]]-TblProd[[#This Row],[Bank Ore]]</f>
        <v>0</v>
      </c>
      <c r="AX39" s="94">
        <f>TblImps[[#This Row],[G1]]-TblProd[[#This Row],[Bank Gems]]</f>
        <v>0</v>
      </c>
      <c r="AY39" s="142"/>
      <c r="AZ39" s="61" t="b">
        <f ca="1">IF(TblProd[[#This Row],[Set Guard]]&lt;&gt;"",TblProd[[#This Row],[Set Guard]],OFFSET(TblProd[[#This Row],[Guard]],-1,0))</f>
        <v>0</v>
      </c>
      <c r="BA39" s="153"/>
      <c r="BB39" s="45">
        <f>TblProd[[#This Row],[Hour]]</f>
        <v>36</v>
      </c>
      <c r="BC39" s="158">
        <f>-TblProd[[#This Row],[Bank Lumber]] / 2 + -TblProd[[#This Row],[Bank Gems]] * 2 + -TblProd[[#This Row],[Bank Ore]] / 2</f>
        <v>0</v>
      </c>
      <c r="BD39" s="158"/>
      <c r="BE39" s="158"/>
      <c r="BF39" s="158"/>
      <c r="BG39" s="159">
        <f ca="1">TblProd[[#This Row],[Time]]</f>
        <v>46048.458333333248</v>
      </c>
      <c r="BH39" s="45" t="str">
        <f>IF(AND(TblProd[[#This Row],[Bank Plat]]=0,TblProd[[#This Row],[Bank Lumber]]=0,TblProd[[#This Row],[Bank Ore]]=0,TblProd[[#This Row],[Bank Gems]]=0),"",IF(TblProd[[#This Row],[Bank Plat]]&gt;0,IF((TblProd[[#This Row],[Bank Lumber]]+TblProd[[#This Row],[Bank Ore]])/2+TblProd[[#This Row],[Bank Gems]]*2+ROUNDUP(TblProd[[#This Row],[Bank Plat]]/(1 + tech_2_2*Techs!Y39),0)=0,"Ok","Nope"),IF(TblProd[[#This Row],[Bank Lumber]]&gt;0,IF((TblProd[[#This Row],[Bank Plat]]+TblProd[[#This Row],[Bank Ore]])/2+TblProd[[#This Row],[Bank Gems]]*2+ROUNDUP(TblProd[[#This Row],[Bank Lumber]]/(1 + tech_2_2*Techs!Y39),0)=0,"Ok","Nope"),IF(TblProd[[#This Row],[Bank Ore]]&gt;0,IF((TblProd[[#This Row],[Bank Plat]]+TblProd[[#This Row],[Bank Lumber]])/2+TblProd[[#This Row],[Bank Gems]]*2+ROUNDUP(TblProd[[#This Row],[Bank Ore]]/(1 + tech_2_2*Techs!Y39),0)=0,"Ok","Nope")))))</f>
        <v/>
      </c>
      <c r="BI39" s="94">
        <f ca="1">TblProd[[#This Row],[Platinum]]</f>
        <v>109494</v>
      </c>
      <c r="BJ39" s="94">
        <f ca="1">TblProd[[#This Row],[Food]]</f>
        <v>80436</v>
      </c>
      <c r="BK39" s="94">
        <f ca="1">TblProd[[#This Row],[Lumber]]</f>
        <v>40206</v>
      </c>
      <c r="BL39" s="94">
        <f ca="1">TblProd[[#This Row],[Mana]]</f>
        <v>0</v>
      </c>
      <c r="BM39" s="94">
        <f ca="1">TblProd[[#This Row],[Ore]]</f>
        <v>0</v>
      </c>
    </row>
    <row r="40" spans="1:65" s="5" customFormat="1" x14ac:dyDescent="0.2">
      <c r="A40" s="144" t="s">
        <v>229</v>
      </c>
      <c r="B40" s="160">
        <f ca="1">TblImps[[#This Row],[Time]]</f>
        <v>46048.499999999913</v>
      </c>
      <c r="C40" s="161"/>
      <c r="D40" s="162"/>
      <c r="E40" s="35">
        <f ca="1">TblConstr[[#This Row],[Land]]</f>
        <v>110</v>
      </c>
      <c r="F40" s="35">
        <f ca="1">TblPop[[#This Row],[Peasants]]</f>
        <v>699</v>
      </c>
      <c r="G40" s="35">
        <f ca="1">TblMili[[#This Row],[Networth (2)]]</f>
        <v>2450</v>
      </c>
      <c r="H40" s="35">
        <f ca="1">OFFSET(TblProd[[#This Row],[Platinum]],-1,0)+OFFSET(TblProd[[#This Row],[Plat/hr]],-1,0) - TblProd[[#This Row],[Expenses Platinum]] + IF(TblProd[[#This Row],[Plat Bonus]],TblPop[[#This Row],[Peasants]]*4) + SUM(TblConstr[[#This Row],[Dest Hom]:[Dest Doc]])*TblConstr[[#This Row],[CPA Platinum -DB]]*tech_3_3_2*TblTech[[#This Row],[3-3]]</f>
        <v>111400</v>
      </c>
      <c r="I40" s="35">
        <f ca="1">OFFSET(TblProd[[#This Row],[Food]],-1,0)+OFFSET(TblProd[[#This Row],[Food/hr]],-1,0)+ROUNDUP((TblConstr[[#This Row],[Farms]]*80+TblConstr[[#This Row],[Docks]]*35)*(1+OFFSET(TblProd[[#This Row],[Bonus Food/hr]],-1,0)),0)</f>
        <v>81943</v>
      </c>
      <c r="J40" s="35">
        <f ca="1">OFFSET(TblProd[[#This Row],[Lumber]],-1,0)+OFFSET(TblProd[[#This Row],[Lumber/hr]],-1,0) - TblProd[[#This Row],[Expenses Lumber]] + SUM(TblConstr[[#This Row],[Dest Hom]:[Dest Doc]])*TblConstr[[#This Row],[CPA Lumber -DB]]*tech_3_3_2*TblTech[[#This Row],[3-3]]</f>
        <v>40804</v>
      </c>
      <c r="K40" s="35">
        <f ca="1">OFFSET(TblProd[[#This Row],[Mana]],-1,0)+OFFSET(TblProd[[#This Row],[Mana/hr]],-1,0)- TblProd[[#This Row],[Expenses Mana]]</f>
        <v>0</v>
      </c>
      <c r="L40" s="35">
        <f ca="1">OFFSET(TblProd[[#This Row],[Ore]],-1,0)+OFFSET(TblProd[[#This Row],[Ore/hr]],-1,0) -TblProd[[#This Row],[Expenses Ore]]</f>
        <v>0</v>
      </c>
      <c r="M40" s="35">
        <f ca="1">OFFSET(TblProd[[#This Row],[Gems]],-1,0)+OFFSET(TblProd[[#This Row],[Gems/hr]],-1,0) - TblProd[[#This Row],[Expenses Gems]]</f>
        <v>0</v>
      </c>
      <c r="N40" s="35">
        <f ca="1">OFFSET(TblProd[[#This Row],[Boats]],-1,0)+OFFSET(TblProd[[#This Row],[Boats/hr]],-1,0)</f>
        <v>0</v>
      </c>
      <c r="O40" s="35">
        <f ca="1">OFFSET(TblProd[[#This Row],[Prestige]],-1,0)</f>
        <v>250</v>
      </c>
      <c r="P40" s="35">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0" s="35">
        <f ca="1">MAX(_xlfn.CEILING.MATH(TblProd[[#This Row],[Land]]*2.5+IFERROR(OFFSET(TblTech[[#This Row],[Sum of tech]],-1,0)*50,0)),3750)</f>
        <v>3750</v>
      </c>
      <c r="R40" s="149"/>
      <c r="S40" s="35">
        <f ca="1">ROUNDDOWN(TblProd[[#This Row],[Raw Plat/hr]]*(1+TblProd[[#This Row],[Bonus Plat/hr]]),0)</f>
        <v>1887</v>
      </c>
      <c r="T40" s="35">
        <f ca="1">ROUND(TblProd[[#This Row],[Raw Food/hr]]*(1+TblProd[[#This Row],[Bonus Food/hr]])-TblProd[[#This Row],[Food decay]]-TblProd[[#This Row],[Food eaten]],0)</f>
        <v>1492</v>
      </c>
      <c r="U40" s="35">
        <f ca="1">ROUND(TblProd[[#This Row],[Raw Lumber/hr]]*(1+TblProd[[#This Row],[Bonus Lumber/hr]])-TblProd[[#This Row],[Lumber rot]],0)</f>
        <v>592</v>
      </c>
      <c r="V40" s="35">
        <f ca="1">ROUND(TblProd[[#This Row],[Raw Mana/hr]]*(1+TblProd[[#This Row],[Bonus Mana/hr]])-TblProd[[#This Row],[Mana drain]],0)</f>
        <v>0</v>
      </c>
      <c r="W40" s="35">
        <f ca="1">ROUNDDOWN(TblProd[[#This Row],[Raw Ore/hr]]*(1+TblProd[[#This Row],[Bonux Ore/hr]]),0)</f>
        <v>0</v>
      </c>
      <c r="X40" s="35">
        <f ca="1">ROUNDDOWN(TblProd[[#This Row],[Raw Gems/hr]]*(1+TblProd[[#This Row],[Bonus Gems/hr]]),0)</f>
        <v>0</v>
      </c>
      <c r="Y40" s="163">
        <f ca="1">OFFSET(TblConstr[[#This Row],[Tot Doc]],1,0)*dock_boats_hr * (1 + tech_4_1*TblTech[[#This Row],[4-1]])</f>
        <v>0</v>
      </c>
      <c r="Z40" s="162"/>
      <c r="AA40" s="35">
        <f ca="1">TblPop[[#This Row],[Peasants]]*tax*TblPop[[#This Row],[Employment]] + (Construction!AZ41+Construction!BX41)*(alch_plat+(Magic!AN40&gt;0)*alchemist_flame_bonus)</f>
        <v>1887.3000000000002</v>
      </c>
      <c r="AB40" s="35">
        <f ca="1">TblConstr[[#This Row],[Tot Farm]]*farm_food + TblConstr[[#This Row],[Tot Doc]]*dock_food</f>
        <v>2400</v>
      </c>
      <c r="AC40" s="35">
        <f ca="1">TblConstr[[#This Row],[Tot Ly]]*ly_lumber + TblConstr[[#This Row],[Tot Hav]]*fh_lumber + IF(race="Wood Elf",TblMili[[#This Row],[Unit 2]]*MIN(TblMili[[#This Row],[Homeland%]]/wisp_bonus,wisp_cap),0)</f>
        <v>1000</v>
      </c>
      <c r="AD40" s="35">
        <f ca="1">OFFSET(TblConstr[[#This Row],[Tot Tow]],1,0)*(tower_mana + tech_4_5*TblTech[[#This Row],[4-5]]) + OFFSET(TblConstr[[#This Row],[Tot WG]],1,0)*wg_mana_prod</f>
        <v>0</v>
      </c>
      <c r="AE40" s="35">
        <f ca="1">OFFSET(TblConstr[[#This Row],[Tot OM]],1,0)*om_ore+IF(race="Dwarf",TblMili[[#This Row],[Unit 2]]*0.5,0)</f>
        <v>0</v>
      </c>
      <c r="AF40" s="35">
        <f ca="1">OFFSET(TblConstr[[#This Row],[Tot DM]],1,0)*dm_gems</f>
        <v>0</v>
      </c>
      <c r="AG40" s="149"/>
      <c r="AH40" s="164">
        <f ca="1">MIN(race_platinum_bonus + IF(TblMagic[[#This Row],[Active Alch Frost]]&gt;0,alch_frost_bonus,IF(Magic!AE40&gt;0,midas_bonus)) + TblImps[[#This Row],[Science]] - TblProd[[#This Row],[Guard]]*(0.02 + tech_5_7*TblTech[[#This Row],[5-7]]) + tech_1_5*TblTech[[#This Row],[1-5]] + tech_4_4*TblTech[[#This Row],[4-4]] + IF(TblMagic[[#This Row],[Active Infernal Command]]&gt;0,demonic_pact_plat,0), 0.5)</f>
        <v>0</v>
      </c>
      <c r="AI40" s="165">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0" s="164">
        <f ca="1">race_lumber_bonus+ IF(TblMagic[[#This Row],[Active Gaia''s Blessing]]&gt;0,gaias_blessing_lumber)+ tech_1_3*TblTech[[#This Row],[1-3]] + tech_1_6*TblTech[[#This Row],[1-6]] + tech_3_3*TblTech[[#This Row],[3-3]]</f>
        <v>0</v>
      </c>
      <c r="AK40" s="164">
        <f ca="1">race_mana_bonus+ 0 + TblImps[[#This Row],[Spires]] + tech_1_2*TblTech[[#This Row],[1-2]] + tech_3_4*TblTech[[#This Row],[3-4]]</f>
        <v>0</v>
      </c>
      <c r="AL40" s="164">
        <f ca="1">race_ore_bonus + IF(TblMagic[[#This Row],[Active Miner''s Sight]]&gt;0,miners_sight_bonus,IF(TblMagic[[#This Row],[Active Mining Strength]]&gt;0,mining_strength_bonus)) +  tech_1_6*TblTech[[#This Row],[1-6]]</f>
        <v>0</v>
      </c>
      <c r="AM40" s="164">
        <f>race_gem_bonus+ tech_3_2*TblTech[[#This Row],[3-2]] + tech_4_3*TblTech[[#This Row],[4-3]] + tech_6_2*TblTech[[#This Row],[6-2]]</f>
        <v>0</v>
      </c>
      <c r="AN40" s="149"/>
      <c r="AO40" s="35">
        <f ca="1">TblProd[[#This Row],[Food]]*food_decay * (1 + tech_2_1*TblTech[[#This Row],[2-1]] + tech_2_8*TblTech[[#This Row],[2-8]] + IF(AND(TblMagic[[#This Row],[Active DnD]]&lt;12,TblMagic[[#This Row],[Active DnD]]&gt;5),1,0))</f>
        <v>819.43000000000006</v>
      </c>
      <c r="AP40" s="35">
        <f ca="1">(1+race_food_consumption)*TblPop[[#This Row],[Total]]*food_per_person*(1+tech_1_10*TblTech[[#This Row],[1-10]]+tech_7_5*TblTech[[#This Row],[7-5]] + IF(TblMagic[[#This Row],[Active Infernal Command]]&gt;0,demonic_pact_food_cons,0))</f>
        <v>269</v>
      </c>
      <c r="AQ40" s="35">
        <f ca="1">TblProd[[#This Row],[Lumber]]*lumber_rot * (1 + tech_2_1*TblTech[[#This Row],[2-1]] + tech_2_8*TblTech[[#This Row],[2-8]] + tech_5_2*TblTech[[#This Row],[5-2]] + IF(AND(TblMagic[[#This Row],[Active DnD]]&lt;12,TblMagic[[#This Row],[Active DnD]]&gt;5),1,0))</f>
        <v>408.04</v>
      </c>
      <c r="AR40" s="35">
        <f ca="1">TblProd[[#This Row],[Mana]]*mana_drain * (1 + tech_2_1*TblTech[[#This Row],[2-1]] + tech_2_8*TblTech[[#This Row],[2-8]])</f>
        <v>0</v>
      </c>
      <c r="AS40" s="162"/>
      <c r="AT40" s="35">
        <f ca="1">TblExplore[[#This Row],[Platinum (2)]]+TblConstr[[#This Row],[Total Plat Cost]]+TblMili[[#This Row],[Plat Cost]]+TblRezone[[#This Row],[Platinum cost]]+TblImps[[#This Row],[P1]]-TblProd[[#This Row],[Bank Plat]]</f>
        <v>0</v>
      </c>
      <c r="AU40" s="35">
        <f ca="1">TblConstr[[#This Row],[Total Lum Cost]]+TblImps[[#This Row],[L1]]-TblProd[[#This Row],[Bank Lumber]] + Military!$CO$25*TblMili[[#This Row],[Sec. rec. Cost]]</f>
        <v>0</v>
      </c>
      <c r="AV40" s="35">
        <f ca="1">TblMagic[[#This Row],[Mana cost]] + Military!$CO$26*TblMili[[#This Row],[Sec. rec. Cost]]</f>
        <v>0</v>
      </c>
      <c r="AW40" s="35">
        <f ca="1">Military!$CO$24*TblMili[[#This Row],[Sec. rec. Cost]]+TblImps[[#This Row],[O1]]-TblProd[[#This Row],[Bank Ore]]</f>
        <v>0</v>
      </c>
      <c r="AX40" s="35">
        <f>TblImps[[#This Row],[G1]]-TblProd[[#This Row],[Bank Gems]]</f>
        <v>0</v>
      </c>
      <c r="AY40" s="149"/>
      <c r="AZ40" s="148" t="b">
        <f ca="1">IF(TblProd[[#This Row],[Set Guard]]&lt;&gt;"",TblProd[[#This Row],[Set Guard]],OFFSET(TblProd[[#This Row],[Guard]],-1,0))</f>
        <v>0</v>
      </c>
      <c r="BA40" s="161"/>
      <c r="BB40" s="5" t="str">
        <f>TblProd[[#This Row],[Hour]]</f>
        <v>OOP</v>
      </c>
      <c r="BC40" s="166">
        <f>-TblProd[[#This Row],[Bank Lumber]] / 2 + -TblProd[[#This Row],[Bank Gems]] * 2 + -TblProd[[#This Row],[Bank Ore]] / 2</f>
        <v>0</v>
      </c>
      <c r="BD40" s="166"/>
      <c r="BE40" s="166"/>
      <c r="BF40" s="166"/>
      <c r="BG40" s="167">
        <f ca="1">TblProd[[#This Row],[Time]]</f>
        <v>46048.499999999913</v>
      </c>
      <c r="BH40" s="5" t="str">
        <f>IF(AND(TblProd[[#This Row],[Bank Plat]]=0,TblProd[[#This Row],[Bank Lumber]]=0,TblProd[[#This Row],[Bank Ore]]=0,TblProd[[#This Row],[Bank Gems]]=0),"",IF(TblProd[[#This Row],[Bank Plat]]&gt;0,IF((TblProd[[#This Row],[Bank Lumber]]+TblProd[[#This Row],[Bank Ore]])/2+TblProd[[#This Row],[Bank Gems]]*2+ROUNDUP(TblProd[[#This Row],[Bank Plat]]/(1 + tech_2_2*Techs!Y40),0)=0,"Ok","Nope"),IF(TblProd[[#This Row],[Bank Lumber]]&gt;0,IF((TblProd[[#This Row],[Bank Plat]]+TblProd[[#This Row],[Bank Ore]])/2+TblProd[[#This Row],[Bank Gems]]*2+ROUNDUP(TblProd[[#This Row],[Bank Lumber]]/(1 + tech_2_2*Techs!Y40),0)=0,"Ok","Nope"),IF(TblProd[[#This Row],[Bank Ore]]&gt;0,IF((TblProd[[#This Row],[Bank Plat]]+TblProd[[#This Row],[Bank Lumber]])/2+TblProd[[#This Row],[Bank Gems]]*2+ROUNDUP(TblProd[[#This Row],[Bank Ore]]/(1 + tech_2_2*Techs!Y40),0)=0,"Ok","Nope")))))</f>
        <v/>
      </c>
      <c r="BI40" s="35">
        <f ca="1">TblProd[[#This Row],[Platinum]]</f>
        <v>111400</v>
      </c>
      <c r="BJ40" s="35">
        <f ca="1">TblProd[[#This Row],[Food]]</f>
        <v>81943</v>
      </c>
      <c r="BK40" s="35">
        <f ca="1">TblProd[[#This Row],[Lumber]]</f>
        <v>40804</v>
      </c>
      <c r="BL40" s="35">
        <f ca="1">TblProd[[#This Row],[Mana]]</f>
        <v>0</v>
      </c>
      <c r="BM40" s="35">
        <f ca="1">TblProd[[#This Row],[Ore]]</f>
        <v>0</v>
      </c>
    </row>
    <row r="41" spans="1:65" x14ac:dyDescent="0.2">
      <c r="A41" s="137">
        <v>2</v>
      </c>
      <c r="B41" s="152">
        <f ca="1">TblImps[[#This Row],[Time]]</f>
        <v>46048.541666666577</v>
      </c>
      <c r="C41" s="153"/>
      <c r="D41" s="154"/>
      <c r="E41" s="94">
        <f ca="1">TblConstr[[#This Row],[Land]]</f>
        <v>110</v>
      </c>
      <c r="F41" s="94">
        <f ca="1">TblPop[[#This Row],[Peasants]]</f>
        <v>692</v>
      </c>
      <c r="G41" s="94">
        <f ca="1">TblMili[[#This Row],[Networth (2)]]</f>
        <v>2450</v>
      </c>
      <c r="H41" s="94">
        <f ca="1">OFFSET(TblProd[[#This Row],[Platinum]],-1,0)+OFFSET(TblProd[[#This Row],[Plat/hr]],-1,0) - TblProd[[#This Row],[Expenses Platinum]] + IF(TblProd[[#This Row],[Plat Bonus]],TblPop[[#This Row],[Peasants]]*4) + SUM(TblConstr[[#This Row],[Dest Hom]:[Dest Doc]])*TblConstr[[#This Row],[CPA Platinum -DB]]*tech_3_3_2*TblTech[[#This Row],[3-3]]</f>
        <v>113287</v>
      </c>
      <c r="I41" s="94">
        <f ca="1">OFFSET(TblProd[[#This Row],[Food]],-1,0)+OFFSET(TblProd[[#This Row],[Food/hr]],-1,0)+ROUNDUP((TblConstr[[#This Row],[Farms]]*80+TblConstr[[#This Row],[Docks]]*35)*(1+OFFSET(TblProd[[#This Row],[Bonus Food/hr]],-1,0)),0)</f>
        <v>83435</v>
      </c>
      <c r="J41" s="94">
        <f ca="1">OFFSET(TblProd[[#This Row],[Lumber]],-1,0)+OFFSET(TblProd[[#This Row],[Lumber/hr]],-1,0) - TblProd[[#This Row],[Expenses Lumber]] + SUM(TblConstr[[#This Row],[Dest Hom]:[Dest Doc]])*TblConstr[[#This Row],[CPA Lumber -DB]]*tech_3_3_2*TblTech[[#This Row],[3-3]]</f>
        <v>41396</v>
      </c>
      <c r="K41" s="94">
        <f ca="1">OFFSET(TblProd[[#This Row],[Mana]],-1,0)+OFFSET(TblProd[[#This Row],[Mana/hr]],-1,0)- TblProd[[#This Row],[Expenses Mana]]</f>
        <v>0</v>
      </c>
      <c r="L41" s="94">
        <f ca="1">OFFSET(TblProd[[#This Row],[Ore]],-1,0)+OFFSET(TblProd[[#This Row],[Ore/hr]],-1,0) -TblProd[[#This Row],[Expenses Ore]]</f>
        <v>0</v>
      </c>
      <c r="M41" s="94">
        <f ca="1">OFFSET(TblProd[[#This Row],[Gems]],-1,0)+OFFSET(TblProd[[#This Row],[Gems/hr]],-1,0) - TblProd[[#This Row],[Expenses Gems]]</f>
        <v>0</v>
      </c>
      <c r="N41" s="94">
        <f ca="1">OFFSET(TblProd[[#This Row],[Boats]],-1,0)+OFFSET(TblProd[[#This Row],[Boats/hr]],-1,0)</f>
        <v>0</v>
      </c>
      <c r="O41" s="94">
        <f ca="1">OFFSET(TblProd[[#This Row],[Prestige]],-1,0)</f>
        <v>250</v>
      </c>
      <c r="P4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1" s="94">
        <f ca="1">MAX(_xlfn.CEILING.MATH(TblProd[[#This Row],[Land]]*2.5+IFERROR(OFFSET(TblTech[[#This Row],[Sum of tech]],-1,0)*50,0)),3750)</f>
        <v>3750</v>
      </c>
      <c r="R41" s="142"/>
      <c r="S41" s="94">
        <f ca="1">ROUNDDOWN(TblProd[[#This Row],[Raw Plat/hr]]*(1+TblProd[[#This Row],[Bonus Plat/hr]]),0)</f>
        <v>1868</v>
      </c>
      <c r="T41" s="94">
        <f ca="1">ROUND(TblProd[[#This Row],[Raw Food/hr]]*(1+TblProd[[#This Row],[Bonus Food/hr]])-TblProd[[#This Row],[Food decay]]-TblProd[[#This Row],[Food eaten]],0)</f>
        <v>1477</v>
      </c>
      <c r="U41" s="94">
        <f ca="1">ROUND(TblProd[[#This Row],[Raw Lumber/hr]]*(1+TblProd[[#This Row],[Bonus Lumber/hr]])-TblProd[[#This Row],[Lumber rot]],0)</f>
        <v>586</v>
      </c>
      <c r="V41" s="94">
        <f ca="1">ROUND(TblProd[[#This Row],[Raw Mana/hr]]*(1+TblProd[[#This Row],[Bonus Mana/hr]])-TblProd[[#This Row],[Mana drain]],0)</f>
        <v>0</v>
      </c>
      <c r="W41" s="94">
        <f ca="1">ROUNDDOWN(TblProd[[#This Row],[Raw Ore/hr]]*(1+TblProd[[#This Row],[Bonux Ore/hr]]),0)</f>
        <v>0</v>
      </c>
      <c r="X41" s="94">
        <f ca="1">ROUNDDOWN(TblProd[[#This Row],[Raw Gems/hr]]*(1+TblProd[[#This Row],[Bonus Gems/hr]]),0)</f>
        <v>0</v>
      </c>
      <c r="Y41" s="155">
        <f ca="1">OFFSET(TblConstr[[#This Row],[Tot Doc]],1,0)*dock_boats_hr * (1 + tech_4_1*TblTech[[#This Row],[4-1]])</f>
        <v>0</v>
      </c>
      <c r="Z41" s="154"/>
      <c r="AA41" s="94">
        <f ca="1">TblPop[[#This Row],[Peasants]]*tax*TblPop[[#This Row],[Employment]] + (Construction!AZ42+Construction!BX42)*(alch_plat+(Magic!AN41&gt;0)*alchemist_flame_bonus)</f>
        <v>1868.4</v>
      </c>
      <c r="AB41" s="94">
        <f ca="1">TblConstr[[#This Row],[Tot Farm]]*farm_food + TblConstr[[#This Row],[Tot Doc]]*dock_food</f>
        <v>2400</v>
      </c>
      <c r="AC41" s="94">
        <f ca="1">TblConstr[[#This Row],[Tot Ly]]*ly_lumber + TblConstr[[#This Row],[Tot Hav]]*fh_lumber + IF(race="Wood Elf",TblMili[[#This Row],[Unit 2]]*MIN(TblMili[[#This Row],[Homeland%]]/wisp_bonus,wisp_cap),0)</f>
        <v>1000</v>
      </c>
      <c r="AD41" s="94">
        <f ca="1">OFFSET(TblConstr[[#This Row],[Tot Tow]],1,0)*(tower_mana + tech_4_5*TblTech[[#This Row],[4-5]]) + OFFSET(TblConstr[[#This Row],[Tot WG]],1,0)*wg_mana_prod</f>
        <v>0</v>
      </c>
      <c r="AE41" s="94">
        <f ca="1">OFFSET(TblConstr[[#This Row],[Tot OM]],1,0)*om_ore+IF(race="Dwarf",TblMili[[#This Row],[Unit 2]]*0.5,0)</f>
        <v>0</v>
      </c>
      <c r="AF41" s="94">
        <f ca="1">OFFSET(TblConstr[[#This Row],[Tot DM]],1,0)*dm_gems</f>
        <v>0</v>
      </c>
      <c r="AG41" s="142"/>
      <c r="AH41" s="156">
        <f ca="1">MIN(race_platinum_bonus + IF(TblMagic[[#This Row],[Active Alch Frost]]&gt;0,alch_frost_bonus,IF(Magic!AE41&gt;0,midas_bonus)) + TblImps[[#This Row],[Science]] - TblProd[[#This Row],[Guard]]*(0.02 + tech_5_7*TblTech[[#This Row],[5-7]]) + tech_1_5*TblTech[[#This Row],[1-5]] + tech_4_4*TblTech[[#This Row],[4-4]] + IF(TblMagic[[#This Row],[Active Infernal Command]]&gt;0,demonic_pact_plat,0), 0.5)</f>
        <v>0</v>
      </c>
      <c r="AI4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1" s="156">
        <f ca="1">race_lumber_bonus+ IF(TblMagic[[#This Row],[Active Gaia''s Blessing]]&gt;0,gaias_blessing_lumber)+ tech_1_3*TblTech[[#This Row],[1-3]] + tech_1_6*TblTech[[#This Row],[1-6]] + tech_3_3*TblTech[[#This Row],[3-3]]</f>
        <v>0</v>
      </c>
      <c r="AK41" s="156">
        <f ca="1">race_mana_bonus+ 0 + TblImps[[#This Row],[Spires]] + tech_1_2*TblTech[[#This Row],[1-2]] + tech_3_4*TblTech[[#This Row],[3-4]]</f>
        <v>0</v>
      </c>
      <c r="AL41" s="156">
        <f ca="1">race_ore_bonus + IF(TblMagic[[#This Row],[Active Miner''s Sight]]&gt;0,miners_sight_bonus,IF(TblMagic[[#This Row],[Active Mining Strength]]&gt;0,mining_strength_bonus)) +  tech_1_6*TblTech[[#This Row],[1-6]]</f>
        <v>0</v>
      </c>
      <c r="AM41" s="156">
        <f>race_gem_bonus+ tech_3_2*TblTech[[#This Row],[3-2]] + tech_4_3*TblTech[[#This Row],[4-3]] + tech_6_2*TblTech[[#This Row],[6-2]]</f>
        <v>0</v>
      </c>
      <c r="AN41" s="142"/>
      <c r="AO41" s="94">
        <f ca="1">TblProd[[#This Row],[Food]]*food_decay * (1 + tech_2_1*TblTech[[#This Row],[2-1]] + tech_2_8*TblTech[[#This Row],[2-8]] + IF(AND(TblMagic[[#This Row],[Active DnD]]&lt;12,TblMagic[[#This Row],[Active DnD]]&gt;5),1,0))</f>
        <v>834.35</v>
      </c>
      <c r="AP41" s="94">
        <f ca="1">(1+race_food_consumption)*TblPop[[#This Row],[Total]]*food_per_person*(1+tech_1_10*TblTech[[#This Row],[1-10]]+tech_7_5*TblTech[[#This Row],[7-5]] + IF(TblMagic[[#This Row],[Active Infernal Command]]&gt;0,demonic_pact_food_cons,0))</f>
        <v>269</v>
      </c>
      <c r="AQ41" s="94">
        <f ca="1">TblProd[[#This Row],[Lumber]]*lumber_rot * (1 + tech_2_1*TblTech[[#This Row],[2-1]] + tech_2_8*TblTech[[#This Row],[2-8]] + tech_5_2*TblTech[[#This Row],[5-2]] + IF(AND(TblMagic[[#This Row],[Active DnD]]&lt;12,TblMagic[[#This Row],[Active DnD]]&gt;5),1,0))</f>
        <v>413.96000000000004</v>
      </c>
      <c r="AR41" s="94">
        <f ca="1">TblProd[[#This Row],[Mana]]*mana_drain * (1 + tech_2_1*TblTech[[#This Row],[2-1]] + tech_2_8*TblTech[[#This Row],[2-8]])</f>
        <v>0</v>
      </c>
      <c r="AS41" s="154"/>
      <c r="AT41" s="94">
        <f ca="1">TblExplore[[#This Row],[Platinum (2)]]+TblConstr[[#This Row],[Total Plat Cost]]+TblMili[[#This Row],[Plat Cost]]+TblRezone[[#This Row],[Platinum cost]]+TblImps[[#This Row],[P1]]-TblProd[[#This Row],[Bank Plat]]</f>
        <v>0</v>
      </c>
      <c r="AU41" s="94">
        <f ca="1">TblConstr[[#This Row],[Total Lum Cost]]+TblImps[[#This Row],[L1]]-TblProd[[#This Row],[Bank Lumber]] + Military!$CO$25*TblMili[[#This Row],[Sec. rec. Cost]]</f>
        <v>0</v>
      </c>
      <c r="AV41" s="94">
        <f ca="1">TblMagic[[#This Row],[Mana cost]] + Military!$CO$26*TblMili[[#This Row],[Sec. rec. Cost]]</f>
        <v>0</v>
      </c>
      <c r="AW41" s="94">
        <f ca="1">Military!$CO$24*TblMili[[#This Row],[Sec. rec. Cost]]+TblImps[[#This Row],[O1]]-TblProd[[#This Row],[Bank Ore]]</f>
        <v>0</v>
      </c>
      <c r="AX41" s="94">
        <f>TblImps[[#This Row],[G1]]-TblProd[[#This Row],[Bank Gems]]</f>
        <v>0</v>
      </c>
      <c r="AY41" s="142"/>
      <c r="AZ41" s="61" t="b">
        <f ca="1">IF(TblProd[[#This Row],[Set Guard]]&lt;&gt;"",TblProd[[#This Row],[Set Guard]],OFFSET(TblProd[[#This Row],[Guard]],-1,0))</f>
        <v>0</v>
      </c>
      <c r="BA41" s="153"/>
      <c r="BB41" s="45">
        <f>TblProd[[#This Row],[Hour]]</f>
        <v>2</v>
      </c>
      <c r="BC41" s="158">
        <f>-TblProd[[#This Row],[Bank Lumber]] / 2 + -TblProd[[#This Row],[Bank Gems]] * 2 + -TblProd[[#This Row],[Bank Ore]] / 2</f>
        <v>0</v>
      </c>
      <c r="BD41" s="158"/>
      <c r="BE41" s="158"/>
      <c r="BF41" s="158"/>
      <c r="BG41" s="159">
        <f ca="1">TblProd[[#This Row],[Time]]</f>
        <v>46048.541666666577</v>
      </c>
      <c r="BH41" s="45" t="str">
        <f>IF(AND(TblProd[[#This Row],[Bank Plat]]=0,TblProd[[#This Row],[Bank Lumber]]=0,TblProd[[#This Row],[Bank Ore]]=0,TblProd[[#This Row],[Bank Gems]]=0),"",IF(TblProd[[#This Row],[Bank Plat]]&gt;0,IF((TblProd[[#This Row],[Bank Lumber]]+TblProd[[#This Row],[Bank Ore]])/2+TblProd[[#This Row],[Bank Gems]]*2+ROUNDUP(TblProd[[#This Row],[Bank Plat]]/(1 + tech_2_2*Techs!Y41),0)=0,"Ok","Nope"),IF(TblProd[[#This Row],[Bank Lumber]]&gt;0,IF((TblProd[[#This Row],[Bank Plat]]+TblProd[[#This Row],[Bank Ore]])/2+TblProd[[#This Row],[Bank Gems]]*2+ROUNDUP(TblProd[[#This Row],[Bank Lumber]]/(1 + tech_2_2*Techs!Y41),0)=0,"Ok","Nope"),IF(TblProd[[#This Row],[Bank Ore]]&gt;0,IF((TblProd[[#This Row],[Bank Plat]]+TblProd[[#This Row],[Bank Lumber]])/2+TblProd[[#This Row],[Bank Gems]]*2+ROUNDUP(TblProd[[#This Row],[Bank Ore]]/(1 + tech_2_2*Techs!Y41),0)=0,"Ok","Nope")))))</f>
        <v/>
      </c>
      <c r="BI41" s="94">
        <f ca="1">TblProd[[#This Row],[Platinum]]</f>
        <v>113287</v>
      </c>
      <c r="BJ41" s="94">
        <f ca="1">TblProd[[#This Row],[Food]]</f>
        <v>83435</v>
      </c>
      <c r="BK41" s="94">
        <f ca="1">TblProd[[#This Row],[Lumber]]</f>
        <v>41396</v>
      </c>
      <c r="BL41" s="94">
        <f ca="1">TblProd[[#This Row],[Mana]]</f>
        <v>0</v>
      </c>
      <c r="BM41" s="94">
        <f ca="1">TblProd[[#This Row],[Ore]]</f>
        <v>0</v>
      </c>
    </row>
    <row r="42" spans="1:65" x14ac:dyDescent="0.2">
      <c r="A42" s="137">
        <f>A41+1</f>
        <v>3</v>
      </c>
      <c r="B42" s="152">
        <f ca="1">TblImps[[#This Row],[Time]]</f>
        <v>46048.583333333241</v>
      </c>
      <c r="C42" s="153"/>
      <c r="D42" s="154"/>
      <c r="E42" s="94">
        <f ca="1">TblConstr[[#This Row],[Land]]</f>
        <v>110</v>
      </c>
      <c r="F42" s="94">
        <f ca="1">TblPop[[#This Row],[Peasants]]</f>
        <v>685</v>
      </c>
      <c r="G42" s="94">
        <f ca="1">TblMili[[#This Row],[Networth (2)]]</f>
        <v>2450</v>
      </c>
      <c r="H42" s="94">
        <f ca="1">OFFSET(TblProd[[#This Row],[Platinum]],-1,0)+OFFSET(TblProd[[#This Row],[Plat/hr]],-1,0) - TblProd[[#This Row],[Expenses Platinum]] + IF(TblProd[[#This Row],[Plat Bonus]],TblPop[[#This Row],[Peasants]]*4) + SUM(TblConstr[[#This Row],[Dest Hom]:[Dest Doc]])*TblConstr[[#This Row],[CPA Platinum -DB]]*tech_3_3_2*TblTech[[#This Row],[3-3]]</f>
        <v>115155</v>
      </c>
      <c r="I42" s="94">
        <f ca="1">OFFSET(TblProd[[#This Row],[Food]],-1,0)+OFFSET(TblProd[[#This Row],[Food/hr]],-1,0)+ROUNDUP((TblConstr[[#This Row],[Farms]]*80+TblConstr[[#This Row],[Docks]]*35)*(1+OFFSET(TblProd[[#This Row],[Bonus Food/hr]],-1,0)),0)</f>
        <v>84912</v>
      </c>
      <c r="J42" s="94">
        <f ca="1">OFFSET(TblProd[[#This Row],[Lumber]],-1,0)+OFFSET(TblProd[[#This Row],[Lumber/hr]],-1,0) - TblProd[[#This Row],[Expenses Lumber]] + SUM(TblConstr[[#This Row],[Dest Hom]:[Dest Doc]])*TblConstr[[#This Row],[CPA Lumber -DB]]*tech_3_3_2*TblTech[[#This Row],[3-3]]</f>
        <v>41982</v>
      </c>
      <c r="K42" s="94">
        <f ca="1">OFFSET(TblProd[[#This Row],[Mana]],-1,0)+OFFSET(TblProd[[#This Row],[Mana/hr]],-1,0)- TblProd[[#This Row],[Expenses Mana]]</f>
        <v>0</v>
      </c>
      <c r="L42" s="94">
        <f ca="1">OFFSET(TblProd[[#This Row],[Ore]],-1,0)+OFFSET(TblProd[[#This Row],[Ore/hr]],-1,0) -TblProd[[#This Row],[Expenses Ore]]</f>
        <v>0</v>
      </c>
      <c r="M42" s="94">
        <f ca="1">OFFSET(TblProd[[#This Row],[Gems]],-1,0)+OFFSET(TblProd[[#This Row],[Gems/hr]],-1,0) - TblProd[[#This Row],[Expenses Gems]]</f>
        <v>0</v>
      </c>
      <c r="N42" s="94">
        <f ca="1">OFFSET(TblProd[[#This Row],[Boats]],-1,0)+OFFSET(TblProd[[#This Row],[Boats/hr]],-1,0)</f>
        <v>0</v>
      </c>
      <c r="O42" s="94">
        <f ca="1">OFFSET(TblProd[[#This Row],[Prestige]],-1,0)</f>
        <v>250</v>
      </c>
      <c r="P4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2" s="94">
        <f ca="1">MAX(_xlfn.CEILING.MATH(TblProd[[#This Row],[Land]]*2.5+IFERROR(OFFSET(TblTech[[#This Row],[Sum of tech]],-1,0)*50,0)),3750)</f>
        <v>3750</v>
      </c>
      <c r="R42" s="142"/>
      <c r="S42" s="94">
        <f ca="1">ROUNDDOWN(TblProd[[#This Row],[Raw Plat/hr]]*(1+TblProd[[#This Row],[Bonus Plat/hr]]),0)</f>
        <v>1849</v>
      </c>
      <c r="T42" s="94">
        <f ca="1">ROUND(TblProd[[#This Row],[Raw Food/hr]]*(1+TblProd[[#This Row],[Bonus Food/hr]])-TblProd[[#This Row],[Food decay]]-TblProd[[#This Row],[Food eaten]],0)</f>
        <v>1462</v>
      </c>
      <c r="U42" s="94">
        <f ca="1">ROUND(TblProd[[#This Row],[Raw Lumber/hr]]*(1+TblProd[[#This Row],[Bonus Lumber/hr]])-TblProd[[#This Row],[Lumber rot]],0)</f>
        <v>580</v>
      </c>
      <c r="V42" s="94">
        <f ca="1">ROUND(TblProd[[#This Row],[Raw Mana/hr]]*(1+TblProd[[#This Row],[Bonus Mana/hr]])-TblProd[[#This Row],[Mana drain]],0)</f>
        <v>0</v>
      </c>
      <c r="W42" s="94">
        <f ca="1">ROUNDDOWN(TblProd[[#This Row],[Raw Ore/hr]]*(1+TblProd[[#This Row],[Bonux Ore/hr]]),0)</f>
        <v>0</v>
      </c>
      <c r="X42" s="94">
        <f ca="1">ROUNDDOWN(TblProd[[#This Row],[Raw Gems/hr]]*(1+TblProd[[#This Row],[Bonus Gems/hr]]),0)</f>
        <v>0</v>
      </c>
      <c r="Y42" s="155">
        <f ca="1">OFFSET(TblConstr[[#This Row],[Tot Doc]],1,0)*dock_boats_hr * (1 + tech_4_1*TblTech[[#This Row],[4-1]])</f>
        <v>0</v>
      </c>
      <c r="Z42" s="154"/>
      <c r="AA42" s="94">
        <f ca="1">TblPop[[#This Row],[Peasants]]*tax*TblPop[[#This Row],[Employment]] + (Construction!AZ43+Construction!BX43)*(alch_plat+(Magic!AN42&gt;0)*alchemist_flame_bonus)</f>
        <v>1849.5000000000002</v>
      </c>
      <c r="AB42" s="94">
        <f ca="1">TblConstr[[#This Row],[Tot Farm]]*farm_food + TblConstr[[#This Row],[Tot Doc]]*dock_food</f>
        <v>2400</v>
      </c>
      <c r="AC42" s="94">
        <f ca="1">TblConstr[[#This Row],[Tot Ly]]*ly_lumber + TblConstr[[#This Row],[Tot Hav]]*fh_lumber + IF(race="Wood Elf",TblMili[[#This Row],[Unit 2]]*MIN(TblMili[[#This Row],[Homeland%]]/wisp_bonus,wisp_cap),0)</f>
        <v>1000</v>
      </c>
      <c r="AD42" s="94">
        <f ca="1">OFFSET(TblConstr[[#This Row],[Tot Tow]],1,0)*(tower_mana + tech_4_5*TblTech[[#This Row],[4-5]]) + OFFSET(TblConstr[[#This Row],[Tot WG]],1,0)*wg_mana_prod</f>
        <v>0</v>
      </c>
      <c r="AE42" s="94">
        <f ca="1">OFFSET(TblConstr[[#This Row],[Tot OM]],1,0)*om_ore+IF(race="Dwarf",TblMili[[#This Row],[Unit 2]]*0.5,0)</f>
        <v>0</v>
      </c>
      <c r="AF42" s="94">
        <f ca="1">OFFSET(TblConstr[[#This Row],[Tot DM]],1,0)*dm_gems</f>
        <v>0</v>
      </c>
      <c r="AG42" s="142"/>
      <c r="AH42" s="156">
        <f ca="1">MIN(race_platinum_bonus + IF(TblMagic[[#This Row],[Active Alch Frost]]&gt;0,alch_frost_bonus,IF(Magic!AE42&gt;0,midas_bonus)) + TblImps[[#This Row],[Science]] - TblProd[[#This Row],[Guard]]*(0.02 + tech_5_7*TblTech[[#This Row],[5-7]]) + tech_1_5*TblTech[[#This Row],[1-5]] + tech_4_4*TblTech[[#This Row],[4-4]] + IF(TblMagic[[#This Row],[Active Infernal Command]]&gt;0,demonic_pact_plat,0), 0.5)</f>
        <v>0</v>
      </c>
      <c r="AI4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2" s="156">
        <f ca="1">race_lumber_bonus+ IF(TblMagic[[#This Row],[Active Gaia''s Blessing]]&gt;0,gaias_blessing_lumber)+ tech_1_3*TblTech[[#This Row],[1-3]] + tech_1_6*TblTech[[#This Row],[1-6]] + tech_3_3*TblTech[[#This Row],[3-3]]</f>
        <v>0</v>
      </c>
      <c r="AK42" s="156">
        <f ca="1">race_mana_bonus+ 0 + TblImps[[#This Row],[Spires]] + tech_1_2*TblTech[[#This Row],[1-2]] + tech_3_4*TblTech[[#This Row],[3-4]]</f>
        <v>0</v>
      </c>
      <c r="AL42" s="156">
        <f ca="1">race_ore_bonus + IF(TblMagic[[#This Row],[Active Miner''s Sight]]&gt;0,miners_sight_bonus,IF(TblMagic[[#This Row],[Active Mining Strength]]&gt;0,mining_strength_bonus)) +  tech_1_6*TblTech[[#This Row],[1-6]]</f>
        <v>0</v>
      </c>
      <c r="AM42" s="156">
        <f>race_gem_bonus+ tech_3_2*TblTech[[#This Row],[3-2]] + tech_4_3*TblTech[[#This Row],[4-3]] + tech_6_2*TblTech[[#This Row],[6-2]]</f>
        <v>0</v>
      </c>
      <c r="AN42" s="142"/>
      <c r="AO42" s="94">
        <f ca="1">TblProd[[#This Row],[Food]]*food_decay * (1 + tech_2_1*TblTech[[#This Row],[2-1]] + tech_2_8*TblTech[[#This Row],[2-8]] + IF(AND(TblMagic[[#This Row],[Active DnD]]&lt;12,TblMagic[[#This Row],[Active DnD]]&gt;5),1,0))</f>
        <v>849.12</v>
      </c>
      <c r="AP42" s="94">
        <f ca="1">(1+race_food_consumption)*TblPop[[#This Row],[Total]]*food_per_person*(1+tech_1_10*TblTech[[#This Row],[1-10]]+tech_7_5*TblTech[[#This Row],[7-5]] + IF(TblMagic[[#This Row],[Active Infernal Command]]&gt;0,demonic_pact_food_cons,0))</f>
        <v>269</v>
      </c>
      <c r="AQ42" s="94">
        <f ca="1">TblProd[[#This Row],[Lumber]]*lumber_rot * (1 + tech_2_1*TblTech[[#This Row],[2-1]] + tech_2_8*TblTech[[#This Row],[2-8]] + tech_5_2*TblTech[[#This Row],[5-2]] + IF(AND(TblMagic[[#This Row],[Active DnD]]&lt;12,TblMagic[[#This Row],[Active DnD]]&gt;5),1,0))</f>
        <v>419.82</v>
      </c>
      <c r="AR42" s="94">
        <f ca="1">TblProd[[#This Row],[Mana]]*mana_drain * (1 + tech_2_1*TblTech[[#This Row],[2-1]] + tech_2_8*TblTech[[#This Row],[2-8]])</f>
        <v>0</v>
      </c>
      <c r="AS42" s="154"/>
      <c r="AT42" s="94">
        <f ca="1">TblExplore[[#This Row],[Platinum (2)]]+TblConstr[[#This Row],[Total Plat Cost]]+TblMili[[#This Row],[Plat Cost]]+TblRezone[[#This Row],[Platinum cost]]+TblImps[[#This Row],[P1]]-TblProd[[#This Row],[Bank Plat]]</f>
        <v>0</v>
      </c>
      <c r="AU42" s="94">
        <f ca="1">TblConstr[[#This Row],[Total Lum Cost]]+TblImps[[#This Row],[L1]]-TblProd[[#This Row],[Bank Lumber]] + Military!$CO$25*TblMili[[#This Row],[Sec. rec. Cost]]</f>
        <v>0</v>
      </c>
      <c r="AV42" s="94">
        <f ca="1">TblMagic[[#This Row],[Mana cost]] + Military!$CO$26*TblMili[[#This Row],[Sec. rec. Cost]]</f>
        <v>0</v>
      </c>
      <c r="AW42" s="94">
        <f ca="1">Military!$CO$24*TblMili[[#This Row],[Sec. rec. Cost]]+TblImps[[#This Row],[O1]]-TblProd[[#This Row],[Bank Ore]]</f>
        <v>0</v>
      </c>
      <c r="AX42" s="94">
        <f>TblImps[[#This Row],[G1]]-TblProd[[#This Row],[Bank Gems]]</f>
        <v>0</v>
      </c>
      <c r="AY42" s="142"/>
      <c r="AZ42" s="61" t="b">
        <f ca="1">IF(TblProd[[#This Row],[Set Guard]]&lt;&gt;"",TblProd[[#This Row],[Set Guard]],OFFSET(TblProd[[#This Row],[Guard]],-1,0))</f>
        <v>0</v>
      </c>
      <c r="BA42" s="153"/>
      <c r="BB42" s="45">
        <f>TblProd[[#This Row],[Hour]]</f>
        <v>3</v>
      </c>
      <c r="BC42" s="158">
        <f>-TblProd[[#This Row],[Bank Lumber]] / 2 + -TblProd[[#This Row],[Bank Gems]] * 2 + -TblProd[[#This Row],[Bank Ore]] / 2</f>
        <v>0</v>
      </c>
      <c r="BD42" s="158"/>
      <c r="BE42" s="158"/>
      <c r="BF42" s="158"/>
      <c r="BG42" s="159">
        <f ca="1">TblProd[[#This Row],[Time]]</f>
        <v>46048.583333333241</v>
      </c>
      <c r="BH42" s="45" t="str">
        <f>IF(AND(TblProd[[#This Row],[Bank Plat]]=0,TblProd[[#This Row],[Bank Lumber]]=0,TblProd[[#This Row],[Bank Ore]]=0,TblProd[[#This Row],[Bank Gems]]=0),"",IF(TblProd[[#This Row],[Bank Plat]]&gt;0,IF((TblProd[[#This Row],[Bank Lumber]]+TblProd[[#This Row],[Bank Ore]])/2+TblProd[[#This Row],[Bank Gems]]*2+ROUNDUP(TblProd[[#This Row],[Bank Plat]]/(1 + tech_2_2*Techs!Y42),0)=0,"Ok","Nope"),IF(TblProd[[#This Row],[Bank Lumber]]&gt;0,IF((TblProd[[#This Row],[Bank Plat]]+TblProd[[#This Row],[Bank Ore]])/2+TblProd[[#This Row],[Bank Gems]]*2+ROUNDUP(TblProd[[#This Row],[Bank Lumber]]/(1 + tech_2_2*Techs!Y42),0)=0,"Ok","Nope"),IF(TblProd[[#This Row],[Bank Ore]]&gt;0,IF((TblProd[[#This Row],[Bank Plat]]+TblProd[[#This Row],[Bank Lumber]])/2+TblProd[[#This Row],[Bank Gems]]*2+ROUNDUP(TblProd[[#This Row],[Bank Ore]]/(1 + tech_2_2*Techs!Y42),0)=0,"Ok","Nope")))))</f>
        <v/>
      </c>
      <c r="BI42" s="94">
        <f ca="1">TblProd[[#This Row],[Platinum]]</f>
        <v>115155</v>
      </c>
      <c r="BJ42" s="94">
        <f ca="1">TblProd[[#This Row],[Food]]</f>
        <v>84912</v>
      </c>
      <c r="BK42" s="94">
        <f ca="1">TblProd[[#This Row],[Lumber]]</f>
        <v>41982</v>
      </c>
      <c r="BL42" s="94">
        <f ca="1">TblProd[[#This Row],[Mana]]</f>
        <v>0</v>
      </c>
      <c r="BM42" s="94">
        <f ca="1">TblProd[[#This Row],[Ore]]</f>
        <v>0</v>
      </c>
    </row>
    <row r="43" spans="1:65" x14ac:dyDescent="0.2">
      <c r="A43" s="137">
        <f t="shared" ref="A43:A106" si="0">A42+1</f>
        <v>4</v>
      </c>
      <c r="B43" s="152">
        <f ca="1">TblImps[[#This Row],[Time]]</f>
        <v>46048.624999999905</v>
      </c>
      <c r="C43" s="153"/>
      <c r="D43" s="154"/>
      <c r="E43" s="94">
        <f ca="1">TblConstr[[#This Row],[Land]]</f>
        <v>110</v>
      </c>
      <c r="F43" s="94">
        <f ca="1">TblPop[[#This Row],[Peasants]]</f>
        <v>678</v>
      </c>
      <c r="G43" s="94">
        <f ca="1">TblMili[[#This Row],[Networth (2)]]</f>
        <v>2450</v>
      </c>
      <c r="H43" s="94">
        <f ca="1">OFFSET(TblProd[[#This Row],[Platinum]],-1,0)+OFFSET(TblProd[[#This Row],[Plat/hr]],-1,0) - TblProd[[#This Row],[Expenses Platinum]] + IF(TblProd[[#This Row],[Plat Bonus]],TblPop[[#This Row],[Peasants]]*4) + SUM(TblConstr[[#This Row],[Dest Hom]:[Dest Doc]])*TblConstr[[#This Row],[CPA Platinum -DB]]*tech_3_3_2*TblTech[[#This Row],[3-3]]</f>
        <v>117004</v>
      </c>
      <c r="I43" s="94">
        <f ca="1">OFFSET(TblProd[[#This Row],[Food]],-1,0)+OFFSET(TblProd[[#This Row],[Food/hr]],-1,0)+ROUNDUP((TblConstr[[#This Row],[Farms]]*80+TblConstr[[#This Row],[Docks]]*35)*(1+OFFSET(TblProd[[#This Row],[Bonus Food/hr]],-1,0)),0)</f>
        <v>86374</v>
      </c>
      <c r="J43" s="94">
        <f ca="1">OFFSET(TblProd[[#This Row],[Lumber]],-1,0)+OFFSET(TblProd[[#This Row],[Lumber/hr]],-1,0) - TblProd[[#This Row],[Expenses Lumber]] + SUM(TblConstr[[#This Row],[Dest Hom]:[Dest Doc]])*TblConstr[[#This Row],[CPA Lumber -DB]]*tech_3_3_2*TblTech[[#This Row],[3-3]]</f>
        <v>42562</v>
      </c>
      <c r="K43" s="94">
        <f ca="1">OFFSET(TblProd[[#This Row],[Mana]],-1,0)+OFFSET(TblProd[[#This Row],[Mana/hr]],-1,0)- TblProd[[#This Row],[Expenses Mana]]</f>
        <v>0</v>
      </c>
      <c r="L43" s="94">
        <f ca="1">OFFSET(TblProd[[#This Row],[Ore]],-1,0)+OFFSET(TblProd[[#This Row],[Ore/hr]],-1,0) -TblProd[[#This Row],[Expenses Ore]]</f>
        <v>0</v>
      </c>
      <c r="M43" s="94">
        <f ca="1">OFFSET(TblProd[[#This Row],[Gems]],-1,0)+OFFSET(TblProd[[#This Row],[Gems/hr]],-1,0) - TblProd[[#This Row],[Expenses Gems]]</f>
        <v>0</v>
      </c>
      <c r="N43" s="94">
        <f ca="1">OFFSET(TblProd[[#This Row],[Boats]],-1,0)+OFFSET(TblProd[[#This Row],[Boats/hr]],-1,0)</f>
        <v>0</v>
      </c>
      <c r="O43" s="94">
        <f ca="1">OFFSET(TblProd[[#This Row],[Prestige]],-1,0)</f>
        <v>250</v>
      </c>
      <c r="P4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3" s="94">
        <f ca="1">MAX(_xlfn.CEILING.MATH(TblProd[[#This Row],[Land]]*2.5+IFERROR(OFFSET(TblTech[[#This Row],[Sum of tech]],-1,0)*50,0)),3750)</f>
        <v>3750</v>
      </c>
      <c r="R43" s="142"/>
      <c r="S43" s="94">
        <f ca="1">ROUNDDOWN(TblProd[[#This Row],[Raw Plat/hr]]*(1+TblProd[[#This Row],[Bonus Plat/hr]]),0)</f>
        <v>1830</v>
      </c>
      <c r="T43" s="94">
        <f ca="1">ROUND(TblProd[[#This Row],[Raw Food/hr]]*(1+TblProd[[#This Row],[Bonus Food/hr]])-TblProd[[#This Row],[Food decay]]-TblProd[[#This Row],[Food eaten]],0)</f>
        <v>1447</v>
      </c>
      <c r="U43" s="94">
        <f ca="1">ROUND(TblProd[[#This Row],[Raw Lumber/hr]]*(1+TblProd[[#This Row],[Bonus Lumber/hr]])-TblProd[[#This Row],[Lumber rot]],0)</f>
        <v>574</v>
      </c>
      <c r="V43" s="94">
        <f ca="1">ROUND(TblProd[[#This Row],[Raw Mana/hr]]*(1+TblProd[[#This Row],[Bonus Mana/hr]])-TblProd[[#This Row],[Mana drain]],0)</f>
        <v>0</v>
      </c>
      <c r="W43" s="94">
        <f ca="1">ROUNDDOWN(TblProd[[#This Row],[Raw Ore/hr]]*(1+TblProd[[#This Row],[Bonux Ore/hr]]),0)</f>
        <v>0</v>
      </c>
      <c r="X43" s="94">
        <f ca="1">ROUNDDOWN(TblProd[[#This Row],[Raw Gems/hr]]*(1+TblProd[[#This Row],[Bonus Gems/hr]]),0)</f>
        <v>0</v>
      </c>
      <c r="Y43" s="155">
        <f ca="1">OFFSET(TblConstr[[#This Row],[Tot Doc]],1,0)*dock_boats_hr * (1 + tech_4_1*TblTech[[#This Row],[4-1]])</f>
        <v>0</v>
      </c>
      <c r="Z43" s="154"/>
      <c r="AA43" s="94">
        <f ca="1">TblPop[[#This Row],[Peasants]]*tax*TblPop[[#This Row],[Employment]] + (Construction!AZ44+Construction!BX44)*(alch_plat+(Magic!AN43&gt;0)*alchemist_flame_bonus)</f>
        <v>1830.6000000000001</v>
      </c>
      <c r="AB43" s="94">
        <f ca="1">TblConstr[[#This Row],[Tot Farm]]*farm_food + TblConstr[[#This Row],[Tot Doc]]*dock_food</f>
        <v>2400</v>
      </c>
      <c r="AC43" s="94">
        <f ca="1">TblConstr[[#This Row],[Tot Ly]]*ly_lumber + TblConstr[[#This Row],[Tot Hav]]*fh_lumber + IF(race="Wood Elf",TblMili[[#This Row],[Unit 2]]*MIN(TblMili[[#This Row],[Homeland%]]/wisp_bonus,wisp_cap),0)</f>
        <v>1000</v>
      </c>
      <c r="AD43" s="94">
        <f ca="1">OFFSET(TblConstr[[#This Row],[Tot Tow]],1,0)*(tower_mana + tech_4_5*TblTech[[#This Row],[4-5]]) + OFFSET(TblConstr[[#This Row],[Tot WG]],1,0)*wg_mana_prod</f>
        <v>0</v>
      </c>
      <c r="AE43" s="94">
        <f ca="1">OFFSET(TblConstr[[#This Row],[Tot OM]],1,0)*om_ore+IF(race="Dwarf",TblMili[[#This Row],[Unit 2]]*0.5,0)</f>
        <v>0</v>
      </c>
      <c r="AF43" s="94">
        <f ca="1">OFFSET(TblConstr[[#This Row],[Tot DM]],1,0)*dm_gems</f>
        <v>0</v>
      </c>
      <c r="AG43" s="142"/>
      <c r="AH43" s="156">
        <f ca="1">MIN(race_platinum_bonus + IF(TblMagic[[#This Row],[Active Alch Frost]]&gt;0,alch_frost_bonus,IF(Magic!AE43&gt;0,midas_bonus)) + TblImps[[#This Row],[Science]] - TblProd[[#This Row],[Guard]]*(0.02 + tech_5_7*TblTech[[#This Row],[5-7]]) + tech_1_5*TblTech[[#This Row],[1-5]] + tech_4_4*TblTech[[#This Row],[4-4]] + IF(TblMagic[[#This Row],[Active Infernal Command]]&gt;0,demonic_pact_plat,0), 0.5)</f>
        <v>0</v>
      </c>
      <c r="AI4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3" s="156">
        <f ca="1">race_lumber_bonus+ IF(TblMagic[[#This Row],[Active Gaia''s Blessing]]&gt;0,gaias_blessing_lumber)+ tech_1_3*TblTech[[#This Row],[1-3]] + tech_1_6*TblTech[[#This Row],[1-6]] + tech_3_3*TblTech[[#This Row],[3-3]]</f>
        <v>0</v>
      </c>
      <c r="AK43" s="156">
        <f ca="1">race_mana_bonus+ 0 + TblImps[[#This Row],[Spires]] + tech_1_2*TblTech[[#This Row],[1-2]] + tech_3_4*TblTech[[#This Row],[3-4]]</f>
        <v>0</v>
      </c>
      <c r="AL43" s="156">
        <f ca="1">race_ore_bonus + IF(TblMagic[[#This Row],[Active Miner''s Sight]]&gt;0,miners_sight_bonus,IF(TblMagic[[#This Row],[Active Mining Strength]]&gt;0,mining_strength_bonus)) +  tech_1_6*TblTech[[#This Row],[1-6]]</f>
        <v>0</v>
      </c>
      <c r="AM43" s="156">
        <f>race_gem_bonus+ tech_3_2*TblTech[[#This Row],[3-2]] + tech_4_3*TblTech[[#This Row],[4-3]] + tech_6_2*TblTech[[#This Row],[6-2]]</f>
        <v>0</v>
      </c>
      <c r="AN43" s="142"/>
      <c r="AO43" s="94">
        <f ca="1">TblProd[[#This Row],[Food]]*food_decay * (1 + tech_2_1*TblTech[[#This Row],[2-1]] + tech_2_8*TblTech[[#This Row],[2-8]] + IF(AND(TblMagic[[#This Row],[Active DnD]]&lt;12,TblMagic[[#This Row],[Active DnD]]&gt;5),1,0))</f>
        <v>863.74</v>
      </c>
      <c r="AP43" s="94">
        <f ca="1">(1+race_food_consumption)*TblPop[[#This Row],[Total]]*food_per_person*(1+tech_1_10*TblTech[[#This Row],[1-10]]+tech_7_5*TblTech[[#This Row],[7-5]] + IF(TblMagic[[#This Row],[Active Infernal Command]]&gt;0,demonic_pact_food_cons,0))</f>
        <v>269</v>
      </c>
      <c r="AQ43" s="94">
        <f ca="1">TblProd[[#This Row],[Lumber]]*lumber_rot * (1 + tech_2_1*TblTech[[#This Row],[2-1]] + tech_2_8*TblTech[[#This Row],[2-8]] + tech_5_2*TblTech[[#This Row],[5-2]] + IF(AND(TblMagic[[#This Row],[Active DnD]]&lt;12,TblMagic[[#This Row],[Active DnD]]&gt;5),1,0))</f>
        <v>425.62</v>
      </c>
      <c r="AR43" s="94">
        <f ca="1">TblProd[[#This Row],[Mana]]*mana_drain * (1 + tech_2_1*TblTech[[#This Row],[2-1]] + tech_2_8*TblTech[[#This Row],[2-8]])</f>
        <v>0</v>
      </c>
      <c r="AS43" s="154"/>
      <c r="AT43" s="94">
        <f ca="1">TblExplore[[#This Row],[Platinum (2)]]+TblConstr[[#This Row],[Total Plat Cost]]+TblMili[[#This Row],[Plat Cost]]+TblRezone[[#This Row],[Platinum cost]]+TblImps[[#This Row],[P1]]-TblProd[[#This Row],[Bank Plat]]</f>
        <v>0</v>
      </c>
      <c r="AU43" s="94">
        <f ca="1">TblConstr[[#This Row],[Total Lum Cost]]+TblImps[[#This Row],[L1]]-TblProd[[#This Row],[Bank Lumber]] + Military!$CO$25*TblMili[[#This Row],[Sec. rec. Cost]]</f>
        <v>0</v>
      </c>
      <c r="AV43" s="94">
        <f ca="1">TblMagic[[#This Row],[Mana cost]] + Military!$CO$26*TblMili[[#This Row],[Sec. rec. Cost]]</f>
        <v>0</v>
      </c>
      <c r="AW43" s="94">
        <f ca="1">Military!$CO$24*TblMili[[#This Row],[Sec. rec. Cost]]+TblImps[[#This Row],[O1]]-TblProd[[#This Row],[Bank Ore]]</f>
        <v>0</v>
      </c>
      <c r="AX43" s="94">
        <f>TblImps[[#This Row],[G1]]-TblProd[[#This Row],[Bank Gems]]</f>
        <v>0</v>
      </c>
      <c r="AY43" s="142"/>
      <c r="AZ43" s="61" t="b">
        <f ca="1">IF(TblProd[[#This Row],[Set Guard]]&lt;&gt;"",TblProd[[#This Row],[Set Guard]],OFFSET(TblProd[[#This Row],[Guard]],-1,0))</f>
        <v>0</v>
      </c>
      <c r="BA43" s="153"/>
      <c r="BB43" s="45">
        <f>TblProd[[#This Row],[Hour]]</f>
        <v>4</v>
      </c>
      <c r="BC43" s="158">
        <f>-TblProd[[#This Row],[Bank Lumber]] / 2 + -TblProd[[#This Row],[Bank Gems]] * 2 + -TblProd[[#This Row],[Bank Ore]] / 2</f>
        <v>0</v>
      </c>
      <c r="BD43" s="158"/>
      <c r="BE43" s="158"/>
      <c r="BF43" s="158"/>
      <c r="BG43" s="159">
        <f ca="1">TblProd[[#This Row],[Time]]</f>
        <v>46048.624999999905</v>
      </c>
      <c r="BH43" s="45" t="str">
        <f>IF(AND(TblProd[[#This Row],[Bank Plat]]=0,TblProd[[#This Row],[Bank Lumber]]=0,TblProd[[#This Row],[Bank Ore]]=0,TblProd[[#This Row],[Bank Gems]]=0),"",IF(TblProd[[#This Row],[Bank Plat]]&gt;0,IF((TblProd[[#This Row],[Bank Lumber]]+TblProd[[#This Row],[Bank Ore]])/2+TblProd[[#This Row],[Bank Gems]]*2+ROUNDUP(TblProd[[#This Row],[Bank Plat]]/(1 + tech_2_2*Techs!Y43),0)=0,"Ok","Nope"),IF(TblProd[[#This Row],[Bank Lumber]]&gt;0,IF((TblProd[[#This Row],[Bank Plat]]+TblProd[[#This Row],[Bank Ore]])/2+TblProd[[#This Row],[Bank Gems]]*2+ROUNDUP(TblProd[[#This Row],[Bank Lumber]]/(1 + tech_2_2*Techs!Y43),0)=0,"Ok","Nope"),IF(TblProd[[#This Row],[Bank Ore]]&gt;0,IF((TblProd[[#This Row],[Bank Plat]]+TblProd[[#This Row],[Bank Lumber]])/2+TblProd[[#This Row],[Bank Gems]]*2+ROUNDUP(TblProd[[#This Row],[Bank Ore]]/(1 + tech_2_2*Techs!Y43),0)=0,"Ok","Nope")))))</f>
        <v/>
      </c>
      <c r="BI43" s="94">
        <f ca="1">TblProd[[#This Row],[Platinum]]</f>
        <v>117004</v>
      </c>
      <c r="BJ43" s="94">
        <f ca="1">TblProd[[#This Row],[Food]]</f>
        <v>86374</v>
      </c>
      <c r="BK43" s="94">
        <f ca="1">TblProd[[#This Row],[Lumber]]</f>
        <v>42562</v>
      </c>
      <c r="BL43" s="94">
        <f ca="1">TblProd[[#This Row],[Mana]]</f>
        <v>0</v>
      </c>
      <c r="BM43" s="94">
        <f ca="1">TblProd[[#This Row],[Ore]]</f>
        <v>0</v>
      </c>
    </row>
    <row r="44" spans="1:65" x14ac:dyDescent="0.2">
      <c r="A44" s="137">
        <f t="shared" si="0"/>
        <v>5</v>
      </c>
      <c r="B44" s="152">
        <f ca="1">TblImps[[#This Row],[Time]]</f>
        <v>46048.66666666657</v>
      </c>
      <c r="C44" s="153"/>
      <c r="D44" s="154"/>
      <c r="E44" s="94">
        <f ca="1">TblConstr[[#This Row],[Land]]</f>
        <v>110</v>
      </c>
      <c r="F44" s="94">
        <f ca="1">TblPop[[#This Row],[Peasants]]</f>
        <v>671</v>
      </c>
      <c r="G44" s="94">
        <f ca="1">TblMili[[#This Row],[Networth (2)]]</f>
        <v>2450</v>
      </c>
      <c r="H44" s="94">
        <f ca="1">OFFSET(TblProd[[#This Row],[Platinum]],-1,0)+OFFSET(TblProd[[#This Row],[Plat/hr]],-1,0) - TblProd[[#This Row],[Expenses Platinum]] + IF(TblProd[[#This Row],[Plat Bonus]],TblPop[[#This Row],[Peasants]]*4) + SUM(TblConstr[[#This Row],[Dest Hom]:[Dest Doc]])*TblConstr[[#This Row],[CPA Platinum -DB]]*tech_3_3_2*TblTech[[#This Row],[3-3]]</f>
        <v>118834</v>
      </c>
      <c r="I44" s="94">
        <f ca="1">OFFSET(TblProd[[#This Row],[Food]],-1,0)+OFFSET(TblProd[[#This Row],[Food/hr]],-1,0)+ROUNDUP((TblConstr[[#This Row],[Farms]]*80+TblConstr[[#This Row],[Docks]]*35)*(1+OFFSET(TblProd[[#This Row],[Bonus Food/hr]],-1,0)),0)</f>
        <v>87821</v>
      </c>
      <c r="J44" s="94">
        <f ca="1">OFFSET(TblProd[[#This Row],[Lumber]],-1,0)+OFFSET(TblProd[[#This Row],[Lumber/hr]],-1,0) - TblProd[[#This Row],[Expenses Lumber]] + SUM(TblConstr[[#This Row],[Dest Hom]:[Dest Doc]])*TblConstr[[#This Row],[CPA Lumber -DB]]*tech_3_3_2*TblTech[[#This Row],[3-3]]</f>
        <v>43136</v>
      </c>
      <c r="K44" s="94">
        <f ca="1">OFFSET(TblProd[[#This Row],[Mana]],-1,0)+OFFSET(TblProd[[#This Row],[Mana/hr]],-1,0)- TblProd[[#This Row],[Expenses Mana]]</f>
        <v>0</v>
      </c>
      <c r="L44" s="94">
        <f ca="1">OFFSET(TblProd[[#This Row],[Ore]],-1,0)+OFFSET(TblProd[[#This Row],[Ore/hr]],-1,0) -TblProd[[#This Row],[Expenses Ore]]</f>
        <v>0</v>
      </c>
      <c r="M44" s="94">
        <f ca="1">OFFSET(TblProd[[#This Row],[Gems]],-1,0)+OFFSET(TblProd[[#This Row],[Gems/hr]],-1,0) - TblProd[[#This Row],[Expenses Gems]]</f>
        <v>0</v>
      </c>
      <c r="N44" s="94">
        <f ca="1">OFFSET(TblProd[[#This Row],[Boats]],-1,0)+OFFSET(TblProd[[#This Row],[Boats/hr]],-1,0)</f>
        <v>0</v>
      </c>
      <c r="O44" s="94">
        <f ca="1">OFFSET(TblProd[[#This Row],[Prestige]],-1,0)</f>
        <v>250</v>
      </c>
      <c r="P4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4" s="94">
        <f ca="1">MAX(_xlfn.CEILING.MATH(TblProd[[#This Row],[Land]]*2.5+IFERROR(OFFSET(TblTech[[#This Row],[Sum of tech]],-1,0)*50,0)),3750)</f>
        <v>3750</v>
      </c>
      <c r="R44" s="142"/>
      <c r="S44" s="94">
        <f ca="1">ROUNDDOWN(TblProd[[#This Row],[Raw Plat/hr]]*(1+TblProd[[#This Row],[Bonus Plat/hr]]),0)</f>
        <v>1811</v>
      </c>
      <c r="T44" s="94">
        <f ca="1">ROUND(TblProd[[#This Row],[Raw Food/hr]]*(1+TblProd[[#This Row],[Bonus Food/hr]])-TblProd[[#This Row],[Food decay]]-TblProd[[#This Row],[Food eaten]],0)</f>
        <v>1433</v>
      </c>
      <c r="U44" s="94">
        <f ca="1">ROUND(TblProd[[#This Row],[Raw Lumber/hr]]*(1+TblProd[[#This Row],[Bonus Lumber/hr]])-TblProd[[#This Row],[Lumber rot]],0)</f>
        <v>569</v>
      </c>
      <c r="V44" s="94">
        <f ca="1">ROUND(TblProd[[#This Row],[Raw Mana/hr]]*(1+TblProd[[#This Row],[Bonus Mana/hr]])-TblProd[[#This Row],[Mana drain]],0)</f>
        <v>0</v>
      </c>
      <c r="W44" s="94">
        <f ca="1">ROUNDDOWN(TblProd[[#This Row],[Raw Ore/hr]]*(1+TblProd[[#This Row],[Bonux Ore/hr]]),0)</f>
        <v>0</v>
      </c>
      <c r="X44" s="94">
        <f ca="1">ROUNDDOWN(TblProd[[#This Row],[Raw Gems/hr]]*(1+TblProd[[#This Row],[Bonus Gems/hr]]),0)</f>
        <v>0</v>
      </c>
      <c r="Y44" s="155">
        <f ca="1">OFFSET(TblConstr[[#This Row],[Tot Doc]],1,0)*dock_boats_hr * (1 + tech_4_1*TblTech[[#This Row],[4-1]])</f>
        <v>0</v>
      </c>
      <c r="Z44" s="154"/>
      <c r="AA44" s="94">
        <f ca="1">TblPop[[#This Row],[Peasants]]*tax*TblPop[[#This Row],[Employment]] + (Construction!AZ45+Construction!BX45)*(alch_plat+(Magic!AN44&gt;0)*alchemist_flame_bonus)</f>
        <v>1811.7</v>
      </c>
      <c r="AB44" s="94">
        <f ca="1">TblConstr[[#This Row],[Tot Farm]]*farm_food + TblConstr[[#This Row],[Tot Doc]]*dock_food</f>
        <v>2400</v>
      </c>
      <c r="AC44" s="94">
        <f ca="1">TblConstr[[#This Row],[Tot Ly]]*ly_lumber + TblConstr[[#This Row],[Tot Hav]]*fh_lumber + IF(race="Wood Elf",TblMili[[#This Row],[Unit 2]]*MIN(TblMili[[#This Row],[Homeland%]]/wisp_bonus,wisp_cap),0)</f>
        <v>1000</v>
      </c>
      <c r="AD44" s="94">
        <f ca="1">OFFSET(TblConstr[[#This Row],[Tot Tow]],1,0)*(tower_mana + tech_4_5*TblTech[[#This Row],[4-5]]) + OFFSET(TblConstr[[#This Row],[Tot WG]],1,0)*wg_mana_prod</f>
        <v>0</v>
      </c>
      <c r="AE44" s="94">
        <f ca="1">OFFSET(TblConstr[[#This Row],[Tot OM]],1,0)*om_ore+IF(race="Dwarf",TblMili[[#This Row],[Unit 2]]*0.5,0)</f>
        <v>0</v>
      </c>
      <c r="AF44" s="94">
        <f ca="1">OFFSET(TblConstr[[#This Row],[Tot DM]],1,0)*dm_gems</f>
        <v>0</v>
      </c>
      <c r="AG44" s="142"/>
      <c r="AH44" s="156">
        <f ca="1">MIN(race_platinum_bonus + IF(TblMagic[[#This Row],[Active Alch Frost]]&gt;0,alch_frost_bonus,IF(Magic!AE44&gt;0,midas_bonus)) + TblImps[[#This Row],[Science]] - TblProd[[#This Row],[Guard]]*(0.02 + tech_5_7*TblTech[[#This Row],[5-7]]) + tech_1_5*TblTech[[#This Row],[1-5]] + tech_4_4*TblTech[[#This Row],[4-4]] + IF(TblMagic[[#This Row],[Active Infernal Command]]&gt;0,demonic_pact_plat,0), 0.5)</f>
        <v>0</v>
      </c>
      <c r="AI4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4" s="156">
        <f ca="1">race_lumber_bonus+ IF(TblMagic[[#This Row],[Active Gaia''s Blessing]]&gt;0,gaias_blessing_lumber)+ tech_1_3*TblTech[[#This Row],[1-3]] + tech_1_6*TblTech[[#This Row],[1-6]] + tech_3_3*TblTech[[#This Row],[3-3]]</f>
        <v>0</v>
      </c>
      <c r="AK44" s="156">
        <f ca="1">race_mana_bonus+ 0 + TblImps[[#This Row],[Spires]] + tech_1_2*TblTech[[#This Row],[1-2]] + tech_3_4*TblTech[[#This Row],[3-4]]</f>
        <v>0</v>
      </c>
      <c r="AL44" s="156">
        <f ca="1">race_ore_bonus + IF(TblMagic[[#This Row],[Active Miner''s Sight]]&gt;0,miners_sight_bonus,IF(TblMagic[[#This Row],[Active Mining Strength]]&gt;0,mining_strength_bonus)) +  tech_1_6*TblTech[[#This Row],[1-6]]</f>
        <v>0</v>
      </c>
      <c r="AM44" s="156">
        <f>race_gem_bonus+ tech_3_2*TblTech[[#This Row],[3-2]] + tech_4_3*TblTech[[#This Row],[4-3]] + tech_6_2*TblTech[[#This Row],[6-2]]</f>
        <v>0</v>
      </c>
      <c r="AN44" s="142"/>
      <c r="AO44" s="94">
        <f ca="1">TblProd[[#This Row],[Food]]*food_decay * (1 + tech_2_1*TblTech[[#This Row],[2-1]] + tech_2_8*TblTech[[#This Row],[2-8]] + IF(AND(TblMagic[[#This Row],[Active DnD]]&lt;12,TblMagic[[#This Row],[Active DnD]]&gt;5),1,0))</f>
        <v>878.21</v>
      </c>
      <c r="AP44" s="94">
        <f ca="1">(1+race_food_consumption)*TblPop[[#This Row],[Total]]*food_per_person*(1+tech_1_10*TblTech[[#This Row],[1-10]]+tech_7_5*TblTech[[#This Row],[7-5]] + IF(TblMagic[[#This Row],[Active Infernal Command]]&gt;0,demonic_pact_food_cons,0))</f>
        <v>269</v>
      </c>
      <c r="AQ44" s="94">
        <f ca="1">TblProd[[#This Row],[Lumber]]*lumber_rot * (1 + tech_2_1*TblTech[[#This Row],[2-1]] + tech_2_8*TblTech[[#This Row],[2-8]] + tech_5_2*TblTech[[#This Row],[5-2]] + IF(AND(TblMagic[[#This Row],[Active DnD]]&lt;12,TblMagic[[#This Row],[Active DnD]]&gt;5),1,0))</f>
        <v>431.36</v>
      </c>
      <c r="AR44" s="94">
        <f ca="1">TblProd[[#This Row],[Mana]]*mana_drain * (1 + tech_2_1*TblTech[[#This Row],[2-1]] + tech_2_8*TblTech[[#This Row],[2-8]])</f>
        <v>0</v>
      </c>
      <c r="AS44" s="154"/>
      <c r="AT44" s="94">
        <f ca="1">TblExplore[[#This Row],[Platinum (2)]]+TblConstr[[#This Row],[Total Plat Cost]]+TblMili[[#This Row],[Plat Cost]]+TblRezone[[#This Row],[Platinum cost]]+TblImps[[#This Row],[P1]]-TblProd[[#This Row],[Bank Plat]]</f>
        <v>0</v>
      </c>
      <c r="AU44" s="94">
        <f ca="1">TblConstr[[#This Row],[Total Lum Cost]]+TblImps[[#This Row],[L1]]-TblProd[[#This Row],[Bank Lumber]] + Military!$CO$25*TblMili[[#This Row],[Sec. rec. Cost]]</f>
        <v>0</v>
      </c>
      <c r="AV44" s="94">
        <f ca="1">TblMagic[[#This Row],[Mana cost]] + Military!$CO$26*TblMili[[#This Row],[Sec. rec. Cost]]</f>
        <v>0</v>
      </c>
      <c r="AW44" s="94">
        <f ca="1">Military!$CO$24*TblMili[[#This Row],[Sec. rec. Cost]]+TblImps[[#This Row],[O1]]-TblProd[[#This Row],[Bank Ore]]</f>
        <v>0</v>
      </c>
      <c r="AX44" s="94">
        <f>TblImps[[#This Row],[G1]]-TblProd[[#This Row],[Bank Gems]]</f>
        <v>0</v>
      </c>
      <c r="AY44" s="142"/>
      <c r="AZ44" s="61" t="b">
        <f ca="1">IF(TblProd[[#This Row],[Set Guard]]&lt;&gt;"",TblProd[[#This Row],[Set Guard]],OFFSET(TblProd[[#This Row],[Guard]],-1,0))</f>
        <v>0</v>
      </c>
      <c r="BA44" s="153"/>
      <c r="BB44" s="45">
        <f>TblProd[[#This Row],[Hour]]</f>
        <v>5</v>
      </c>
      <c r="BC44" s="158">
        <f>-TblProd[[#This Row],[Bank Lumber]] / 2 + -TblProd[[#This Row],[Bank Gems]] * 2 + -TblProd[[#This Row],[Bank Ore]] / 2</f>
        <v>0</v>
      </c>
      <c r="BD44" s="158"/>
      <c r="BE44" s="158"/>
      <c r="BF44" s="158"/>
      <c r="BG44" s="159">
        <f ca="1">TblProd[[#This Row],[Time]]</f>
        <v>46048.66666666657</v>
      </c>
      <c r="BH44" s="45" t="str">
        <f>IF(AND(TblProd[[#This Row],[Bank Plat]]=0,TblProd[[#This Row],[Bank Lumber]]=0,TblProd[[#This Row],[Bank Ore]]=0,TblProd[[#This Row],[Bank Gems]]=0),"",IF(TblProd[[#This Row],[Bank Plat]]&gt;0,IF((TblProd[[#This Row],[Bank Lumber]]+TblProd[[#This Row],[Bank Ore]])/2+TblProd[[#This Row],[Bank Gems]]*2+ROUNDUP(TblProd[[#This Row],[Bank Plat]]/(1 + tech_2_2*Techs!Y44),0)=0,"Ok","Nope"),IF(TblProd[[#This Row],[Bank Lumber]]&gt;0,IF((TblProd[[#This Row],[Bank Plat]]+TblProd[[#This Row],[Bank Ore]])/2+TblProd[[#This Row],[Bank Gems]]*2+ROUNDUP(TblProd[[#This Row],[Bank Lumber]]/(1 + tech_2_2*Techs!Y44),0)=0,"Ok","Nope"),IF(TblProd[[#This Row],[Bank Ore]]&gt;0,IF((TblProd[[#This Row],[Bank Plat]]+TblProd[[#This Row],[Bank Lumber]])/2+TblProd[[#This Row],[Bank Gems]]*2+ROUNDUP(TblProd[[#This Row],[Bank Ore]]/(1 + tech_2_2*Techs!Y44),0)=0,"Ok","Nope")))))</f>
        <v/>
      </c>
      <c r="BI44" s="94">
        <f ca="1">TblProd[[#This Row],[Platinum]]</f>
        <v>118834</v>
      </c>
      <c r="BJ44" s="94">
        <f ca="1">TblProd[[#This Row],[Food]]</f>
        <v>87821</v>
      </c>
      <c r="BK44" s="94">
        <f ca="1">TblProd[[#This Row],[Lumber]]</f>
        <v>43136</v>
      </c>
      <c r="BL44" s="94">
        <f ca="1">TblProd[[#This Row],[Mana]]</f>
        <v>0</v>
      </c>
      <c r="BM44" s="94">
        <f ca="1">TblProd[[#This Row],[Ore]]</f>
        <v>0</v>
      </c>
    </row>
    <row r="45" spans="1:65" x14ac:dyDescent="0.2">
      <c r="A45" s="137">
        <f t="shared" si="0"/>
        <v>6</v>
      </c>
      <c r="B45" s="152">
        <f ca="1">TblImps[[#This Row],[Time]]</f>
        <v>46048.708333333234</v>
      </c>
      <c r="C45" s="153"/>
      <c r="D45" s="154"/>
      <c r="E45" s="94">
        <f ca="1">TblConstr[[#This Row],[Land]]</f>
        <v>110</v>
      </c>
      <c r="F45" s="94">
        <f ca="1">TblPop[[#This Row],[Peasants]]</f>
        <v>664</v>
      </c>
      <c r="G45" s="94">
        <f ca="1">TblMili[[#This Row],[Networth (2)]]</f>
        <v>2450</v>
      </c>
      <c r="H45" s="94">
        <f ca="1">OFFSET(TblProd[[#This Row],[Platinum]],-1,0)+OFFSET(TblProd[[#This Row],[Plat/hr]],-1,0) - TblProd[[#This Row],[Expenses Platinum]] + IF(TblProd[[#This Row],[Plat Bonus]],TblPop[[#This Row],[Peasants]]*4) + SUM(TblConstr[[#This Row],[Dest Hom]:[Dest Doc]])*TblConstr[[#This Row],[CPA Platinum -DB]]*tech_3_3_2*TblTech[[#This Row],[3-3]]</f>
        <v>120645</v>
      </c>
      <c r="I45" s="94">
        <f ca="1">OFFSET(TblProd[[#This Row],[Food]],-1,0)+OFFSET(TblProd[[#This Row],[Food/hr]],-1,0)+ROUNDUP((TblConstr[[#This Row],[Farms]]*80+TblConstr[[#This Row],[Docks]]*35)*(1+OFFSET(TblProd[[#This Row],[Bonus Food/hr]],-1,0)),0)</f>
        <v>89254</v>
      </c>
      <c r="J45" s="94">
        <f ca="1">OFFSET(TblProd[[#This Row],[Lumber]],-1,0)+OFFSET(TblProd[[#This Row],[Lumber/hr]],-1,0) - TblProd[[#This Row],[Expenses Lumber]] + SUM(TblConstr[[#This Row],[Dest Hom]:[Dest Doc]])*TblConstr[[#This Row],[CPA Lumber -DB]]*tech_3_3_2*TblTech[[#This Row],[3-3]]</f>
        <v>43705</v>
      </c>
      <c r="K45" s="94">
        <f ca="1">OFFSET(TblProd[[#This Row],[Mana]],-1,0)+OFFSET(TblProd[[#This Row],[Mana/hr]],-1,0)- TblProd[[#This Row],[Expenses Mana]]</f>
        <v>0</v>
      </c>
      <c r="L45" s="94">
        <f ca="1">OFFSET(TblProd[[#This Row],[Ore]],-1,0)+OFFSET(TblProd[[#This Row],[Ore/hr]],-1,0) -TblProd[[#This Row],[Expenses Ore]]</f>
        <v>0</v>
      </c>
      <c r="M45" s="94">
        <f ca="1">OFFSET(TblProd[[#This Row],[Gems]],-1,0)+OFFSET(TblProd[[#This Row],[Gems/hr]],-1,0) - TblProd[[#This Row],[Expenses Gems]]</f>
        <v>0</v>
      </c>
      <c r="N45" s="94">
        <f ca="1">OFFSET(TblProd[[#This Row],[Boats]],-1,0)+OFFSET(TblProd[[#This Row],[Boats/hr]],-1,0)</f>
        <v>0</v>
      </c>
      <c r="O45" s="94">
        <f ca="1">OFFSET(TblProd[[#This Row],[Prestige]],-1,0)</f>
        <v>250</v>
      </c>
      <c r="P4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5" s="94">
        <f ca="1">MAX(_xlfn.CEILING.MATH(TblProd[[#This Row],[Land]]*2.5+IFERROR(OFFSET(TblTech[[#This Row],[Sum of tech]],-1,0)*50,0)),3750)</f>
        <v>3750</v>
      </c>
      <c r="R45" s="142"/>
      <c r="S45" s="94">
        <f ca="1">ROUNDDOWN(TblProd[[#This Row],[Raw Plat/hr]]*(1+TblProd[[#This Row],[Bonus Plat/hr]]),0)</f>
        <v>1792</v>
      </c>
      <c r="T45" s="94">
        <f ca="1">ROUND(TblProd[[#This Row],[Raw Food/hr]]*(1+TblProd[[#This Row],[Bonus Food/hr]])-TblProd[[#This Row],[Food decay]]-TblProd[[#This Row],[Food eaten]],0)</f>
        <v>1418</v>
      </c>
      <c r="U45" s="94">
        <f ca="1">ROUND(TblProd[[#This Row],[Raw Lumber/hr]]*(1+TblProd[[#This Row],[Bonus Lumber/hr]])-TblProd[[#This Row],[Lumber rot]],0)</f>
        <v>563</v>
      </c>
      <c r="V45" s="94">
        <f ca="1">ROUND(TblProd[[#This Row],[Raw Mana/hr]]*(1+TblProd[[#This Row],[Bonus Mana/hr]])-TblProd[[#This Row],[Mana drain]],0)</f>
        <v>0</v>
      </c>
      <c r="W45" s="94">
        <f ca="1">ROUNDDOWN(TblProd[[#This Row],[Raw Ore/hr]]*(1+TblProd[[#This Row],[Bonux Ore/hr]]),0)</f>
        <v>0</v>
      </c>
      <c r="X45" s="94">
        <f ca="1">ROUNDDOWN(TblProd[[#This Row],[Raw Gems/hr]]*(1+TblProd[[#This Row],[Bonus Gems/hr]]),0)</f>
        <v>0</v>
      </c>
      <c r="Y45" s="155">
        <f ca="1">OFFSET(TblConstr[[#This Row],[Tot Doc]],1,0)*dock_boats_hr * (1 + tech_4_1*TblTech[[#This Row],[4-1]])</f>
        <v>0</v>
      </c>
      <c r="Z45" s="154"/>
      <c r="AA45" s="94">
        <f ca="1">TblPop[[#This Row],[Peasants]]*tax*TblPop[[#This Row],[Employment]] + (Construction!AZ46+Construction!BX46)*(alch_plat+(Magic!AN45&gt;0)*alchemist_flame_bonus)</f>
        <v>1792.8000000000002</v>
      </c>
      <c r="AB45" s="94">
        <f ca="1">TblConstr[[#This Row],[Tot Farm]]*farm_food + TblConstr[[#This Row],[Tot Doc]]*dock_food</f>
        <v>2400</v>
      </c>
      <c r="AC45" s="94">
        <f ca="1">TblConstr[[#This Row],[Tot Ly]]*ly_lumber + TblConstr[[#This Row],[Tot Hav]]*fh_lumber + IF(race="Wood Elf",TblMili[[#This Row],[Unit 2]]*MIN(TblMili[[#This Row],[Homeland%]]/wisp_bonus,wisp_cap),0)</f>
        <v>1000</v>
      </c>
      <c r="AD45" s="94">
        <f ca="1">OFFSET(TblConstr[[#This Row],[Tot Tow]],1,0)*(tower_mana + tech_4_5*TblTech[[#This Row],[4-5]]) + OFFSET(TblConstr[[#This Row],[Tot WG]],1,0)*wg_mana_prod</f>
        <v>0</v>
      </c>
      <c r="AE45" s="94">
        <f ca="1">OFFSET(TblConstr[[#This Row],[Tot OM]],1,0)*om_ore+IF(race="Dwarf",TblMili[[#This Row],[Unit 2]]*0.5,0)</f>
        <v>0</v>
      </c>
      <c r="AF45" s="94">
        <f ca="1">OFFSET(TblConstr[[#This Row],[Tot DM]],1,0)*dm_gems</f>
        <v>0</v>
      </c>
      <c r="AG45" s="142"/>
      <c r="AH45" s="156">
        <f ca="1">MIN(race_platinum_bonus + IF(TblMagic[[#This Row],[Active Alch Frost]]&gt;0,alch_frost_bonus,IF(Magic!AE45&gt;0,midas_bonus)) + TblImps[[#This Row],[Science]] - TblProd[[#This Row],[Guard]]*(0.02 + tech_5_7*TblTech[[#This Row],[5-7]]) + tech_1_5*TblTech[[#This Row],[1-5]] + tech_4_4*TblTech[[#This Row],[4-4]] + IF(TblMagic[[#This Row],[Active Infernal Command]]&gt;0,demonic_pact_plat,0), 0.5)</f>
        <v>0</v>
      </c>
      <c r="AI4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5" s="156">
        <f ca="1">race_lumber_bonus+ IF(TblMagic[[#This Row],[Active Gaia''s Blessing]]&gt;0,gaias_blessing_lumber)+ tech_1_3*TblTech[[#This Row],[1-3]] + tech_1_6*TblTech[[#This Row],[1-6]] + tech_3_3*TblTech[[#This Row],[3-3]]</f>
        <v>0</v>
      </c>
      <c r="AK45" s="156">
        <f ca="1">race_mana_bonus+ 0 + TblImps[[#This Row],[Spires]] + tech_1_2*TblTech[[#This Row],[1-2]] + tech_3_4*TblTech[[#This Row],[3-4]]</f>
        <v>0</v>
      </c>
      <c r="AL45" s="156">
        <f ca="1">race_ore_bonus + IF(TblMagic[[#This Row],[Active Miner''s Sight]]&gt;0,miners_sight_bonus,IF(TblMagic[[#This Row],[Active Mining Strength]]&gt;0,mining_strength_bonus)) +  tech_1_6*TblTech[[#This Row],[1-6]]</f>
        <v>0</v>
      </c>
      <c r="AM45" s="156">
        <f>race_gem_bonus+ tech_3_2*TblTech[[#This Row],[3-2]] + tech_4_3*TblTech[[#This Row],[4-3]] + tech_6_2*TblTech[[#This Row],[6-2]]</f>
        <v>0</v>
      </c>
      <c r="AN45" s="142"/>
      <c r="AO45" s="94">
        <f ca="1">TblProd[[#This Row],[Food]]*food_decay * (1 + tech_2_1*TblTech[[#This Row],[2-1]] + tech_2_8*TblTech[[#This Row],[2-8]] + IF(AND(TblMagic[[#This Row],[Active DnD]]&lt;12,TblMagic[[#This Row],[Active DnD]]&gt;5),1,0))</f>
        <v>892.54</v>
      </c>
      <c r="AP45" s="94">
        <f ca="1">(1+race_food_consumption)*TblPop[[#This Row],[Total]]*food_per_person*(1+tech_1_10*TblTech[[#This Row],[1-10]]+tech_7_5*TblTech[[#This Row],[7-5]] + IF(TblMagic[[#This Row],[Active Infernal Command]]&gt;0,demonic_pact_food_cons,0))</f>
        <v>269</v>
      </c>
      <c r="AQ45" s="94">
        <f ca="1">TblProd[[#This Row],[Lumber]]*lumber_rot * (1 + tech_2_1*TblTech[[#This Row],[2-1]] + tech_2_8*TblTech[[#This Row],[2-8]] + tech_5_2*TblTech[[#This Row],[5-2]] + IF(AND(TblMagic[[#This Row],[Active DnD]]&lt;12,TblMagic[[#This Row],[Active DnD]]&gt;5),1,0))</f>
        <v>437.05</v>
      </c>
      <c r="AR45" s="94">
        <f ca="1">TblProd[[#This Row],[Mana]]*mana_drain * (1 + tech_2_1*TblTech[[#This Row],[2-1]] + tech_2_8*TblTech[[#This Row],[2-8]])</f>
        <v>0</v>
      </c>
      <c r="AS45" s="154"/>
      <c r="AT45" s="94">
        <f ca="1">TblExplore[[#This Row],[Platinum (2)]]+TblConstr[[#This Row],[Total Plat Cost]]+TblMili[[#This Row],[Plat Cost]]+TblRezone[[#This Row],[Platinum cost]]+TblImps[[#This Row],[P1]]-TblProd[[#This Row],[Bank Plat]]</f>
        <v>0</v>
      </c>
      <c r="AU45" s="94">
        <f ca="1">TblConstr[[#This Row],[Total Lum Cost]]+TblImps[[#This Row],[L1]]-TblProd[[#This Row],[Bank Lumber]] + Military!$CO$25*TblMili[[#This Row],[Sec. rec. Cost]]</f>
        <v>0</v>
      </c>
      <c r="AV45" s="94">
        <f ca="1">TblMagic[[#This Row],[Mana cost]] + Military!$CO$26*TblMili[[#This Row],[Sec. rec. Cost]]</f>
        <v>0</v>
      </c>
      <c r="AW45" s="94">
        <f ca="1">Military!$CO$24*TblMili[[#This Row],[Sec. rec. Cost]]+TblImps[[#This Row],[O1]]-TblProd[[#This Row],[Bank Ore]]</f>
        <v>0</v>
      </c>
      <c r="AX45" s="94">
        <f>TblImps[[#This Row],[G1]]-TblProd[[#This Row],[Bank Gems]]</f>
        <v>0</v>
      </c>
      <c r="AY45" s="142"/>
      <c r="AZ45" s="61" t="b">
        <f ca="1">IF(TblProd[[#This Row],[Set Guard]]&lt;&gt;"",TblProd[[#This Row],[Set Guard]],OFFSET(TblProd[[#This Row],[Guard]],-1,0))</f>
        <v>0</v>
      </c>
      <c r="BA45" s="153"/>
      <c r="BB45" s="45">
        <f>TblProd[[#This Row],[Hour]]</f>
        <v>6</v>
      </c>
      <c r="BC45" s="158">
        <f>-TblProd[[#This Row],[Bank Lumber]] / 2 + -TblProd[[#This Row],[Bank Gems]] * 2 + -TblProd[[#This Row],[Bank Ore]] / 2</f>
        <v>0</v>
      </c>
      <c r="BD45" s="158"/>
      <c r="BE45" s="158"/>
      <c r="BF45" s="158"/>
      <c r="BG45" s="159">
        <f ca="1">TblProd[[#This Row],[Time]]</f>
        <v>46048.708333333234</v>
      </c>
      <c r="BH45" s="45" t="str">
        <f>IF(AND(TblProd[[#This Row],[Bank Plat]]=0,TblProd[[#This Row],[Bank Lumber]]=0,TblProd[[#This Row],[Bank Ore]]=0,TblProd[[#This Row],[Bank Gems]]=0),"",IF(TblProd[[#This Row],[Bank Plat]]&gt;0,IF((TblProd[[#This Row],[Bank Lumber]]+TblProd[[#This Row],[Bank Ore]])/2+TblProd[[#This Row],[Bank Gems]]*2+ROUNDUP(TblProd[[#This Row],[Bank Plat]]/(1 + tech_2_2*Techs!Y45),0)=0,"Ok","Nope"),IF(TblProd[[#This Row],[Bank Lumber]]&gt;0,IF((TblProd[[#This Row],[Bank Plat]]+TblProd[[#This Row],[Bank Ore]])/2+TblProd[[#This Row],[Bank Gems]]*2+ROUNDUP(TblProd[[#This Row],[Bank Lumber]]/(1 + tech_2_2*Techs!Y45),0)=0,"Ok","Nope"),IF(TblProd[[#This Row],[Bank Ore]]&gt;0,IF((TblProd[[#This Row],[Bank Plat]]+TblProd[[#This Row],[Bank Lumber]])/2+TblProd[[#This Row],[Bank Gems]]*2+ROUNDUP(TblProd[[#This Row],[Bank Ore]]/(1 + tech_2_2*Techs!Y45),0)=0,"Ok","Nope")))))</f>
        <v/>
      </c>
      <c r="BI45" s="94">
        <f ca="1">TblProd[[#This Row],[Platinum]]</f>
        <v>120645</v>
      </c>
      <c r="BJ45" s="94">
        <f ca="1">TblProd[[#This Row],[Food]]</f>
        <v>89254</v>
      </c>
      <c r="BK45" s="94">
        <f ca="1">TblProd[[#This Row],[Lumber]]</f>
        <v>43705</v>
      </c>
      <c r="BL45" s="94">
        <f ca="1">TblProd[[#This Row],[Mana]]</f>
        <v>0</v>
      </c>
      <c r="BM45" s="94">
        <f ca="1">TblProd[[#This Row],[Ore]]</f>
        <v>0</v>
      </c>
    </row>
    <row r="46" spans="1:65" x14ac:dyDescent="0.2">
      <c r="A46" s="137">
        <f t="shared" si="0"/>
        <v>7</v>
      </c>
      <c r="B46" s="152">
        <f ca="1">TblImps[[#This Row],[Time]]</f>
        <v>46048.749999999898</v>
      </c>
      <c r="C46" s="153"/>
      <c r="D46" s="154"/>
      <c r="E46" s="94">
        <f ca="1">TblConstr[[#This Row],[Land]]</f>
        <v>110</v>
      </c>
      <c r="F46" s="94">
        <f ca="1">TblPop[[#This Row],[Peasants]]</f>
        <v>657</v>
      </c>
      <c r="G46" s="94">
        <f ca="1">TblMili[[#This Row],[Networth (2)]]</f>
        <v>2450</v>
      </c>
      <c r="H46" s="94">
        <f ca="1">OFFSET(TblProd[[#This Row],[Platinum]],-1,0)+OFFSET(TblProd[[#This Row],[Plat/hr]],-1,0) - TblProd[[#This Row],[Expenses Platinum]] + IF(TblProd[[#This Row],[Plat Bonus]],TblPop[[#This Row],[Peasants]]*4) + SUM(TblConstr[[#This Row],[Dest Hom]:[Dest Doc]])*TblConstr[[#This Row],[CPA Platinum -DB]]*tech_3_3_2*TblTech[[#This Row],[3-3]]</f>
        <v>122437</v>
      </c>
      <c r="I46" s="94">
        <f ca="1">OFFSET(TblProd[[#This Row],[Food]],-1,0)+OFFSET(TblProd[[#This Row],[Food/hr]],-1,0)+ROUNDUP((TblConstr[[#This Row],[Farms]]*80+TblConstr[[#This Row],[Docks]]*35)*(1+OFFSET(TblProd[[#This Row],[Bonus Food/hr]],-1,0)),0)</f>
        <v>90672</v>
      </c>
      <c r="J46" s="94">
        <f ca="1">OFFSET(TblProd[[#This Row],[Lumber]],-1,0)+OFFSET(TblProd[[#This Row],[Lumber/hr]],-1,0) - TblProd[[#This Row],[Expenses Lumber]] + SUM(TblConstr[[#This Row],[Dest Hom]:[Dest Doc]])*TblConstr[[#This Row],[CPA Lumber -DB]]*tech_3_3_2*TblTech[[#This Row],[3-3]]</f>
        <v>44268</v>
      </c>
      <c r="K46" s="94">
        <f ca="1">OFFSET(TblProd[[#This Row],[Mana]],-1,0)+OFFSET(TblProd[[#This Row],[Mana/hr]],-1,0)- TblProd[[#This Row],[Expenses Mana]]</f>
        <v>0</v>
      </c>
      <c r="L46" s="94">
        <f ca="1">OFFSET(TblProd[[#This Row],[Ore]],-1,0)+OFFSET(TblProd[[#This Row],[Ore/hr]],-1,0) -TblProd[[#This Row],[Expenses Ore]]</f>
        <v>0</v>
      </c>
      <c r="M46" s="94">
        <f ca="1">OFFSET(TblProd[[#This Row],[Gems]],-1,0)+OFFSET(TblProd[[#This Row],[Gems/hr]],-1,0) - TblProd[[#This Row],[Expenses Gems]]</f>
        <v>0</v>
      </c>
      <c r="N46" s="94">
        <f ca="1">OFFSET(TblProd[[#This Row],[Boats]],-1,0)+OFFSET(TblProd[[#This Row],[Boats/hr]],-1,0)</f>
        <v>0</v>
      </c>
      <c r="O46" s="94">
        <f ca="1">OFFSET(TblProd[[#This Row],[Prestige]],-1,0)</f>
        <v>250</v>
      </c>
      <c r="P4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6" s="94">
        <f ca="1">MAX(_xlfn.CEILING.MATH(TblProd[[#This Row],[Land]]*2.5+IFERROR(OFFSET(TblTech[[#This Row],[Sum of tech]],-1,0)*50,0)),3750)</f>
        <v>3750</v>
      </c>
      <c r="R46" s="142"/>
      <c r="S46" s="94">
        <f ca="1">ROUNDDOWN(TblProd[[#This Row],[Raw Plat/hr]]*(1+TblProd[[#This Row],[Bonus Plat/hr]]),0)</f>
        <v>1773</v>
      </c>
      <c r="T46" s="94">
        <f ca="1">ROUND(TblProd[[#This Row],[Raw Food/hr]]*(1+TblProd[[#This Row],[Bonus Food/hr]])-TblProd[[#This Row],[Food decay]]-TblProd[[#This Row],[Food eaten]],0)</f>
        <v>1404</v>
      </c>
      <c r="U46" s="94">
        <f ca="1">ROUND(TblProd[[#This Row],[Raw Lumber/hr]]*(1+TblProd[[#This Row],[Bonus Lumber/hr]])-TblProd[[#This Row],[Lumber rot]],0)</f>
        <v>557</v>
      </c>
      <c r="V46" s="94">
        <f ca="1">ROUND(TblProd[[#This Row],[Raw Mana/hr]]*(1+TblProd[[#This Row],[Bonus Mana/hr]])-TblProd[[#This Row],[Mana drain]],0)</f>
        <v>0</v>
      </c>
      <c r="W46" s="94">
        <f ca="1">ROUNDDOWN(TblProd[[#This Row],[Raw Ore/hr]]*(1+TblProd[[#This Row],[Bonux Ore/hr]]),0)</f>
        <v>0</v>
      </c>
      <c r="X46" s="94">
        <f ca="1">ROUNDDOWN(TblProd[[#This Row],[Raw Gems/hr]]*(1+TblProd[[#This Row],[Bonus Gems/hr]]),0)</f>
        <v>0</v>
      </c>
      <c r="Y46" s="155">
        <f ca="1">OFFSET(TblConstr[[#This Row],[Tot Doc]],1,0)*dock_boats_hr * (1 + tech_4_1*TblTech[[#This Row],[4-1]])</f>
        <v>0</v>
      </c>
      <c r="Z46" s="154"/>
      <c r="AA46" s="94">
        <f ca="1">TblPop[[#This Row],[Peasants]]*tax*TblPop[[#This Row],[Employment]] + (Construction!AZ47+Construction!BX47)*(alch_plat+(Magic!AN46&gt;0)*alchemist_flame_bonus)</f>
        <v>1773.9</v>
      </c>
      <c r="AB46" s="94">
        <f ca="1">TblConstr[[#This Row],[Tot Farm]]*farm_food + TblConstr[[#This Row],[Tot Doc]]*dock_food</f>
        <v>2400</v>
      </c>
      <c r="AC46" s="94">
        <f ca="1">TblConstr[[#This Row],[Tot Ly]]*ly_lumber + TblConstr[[#This Row],[Tot Hav]]*fh_lumber + IF(race="Wood Elf",TblMili[[#This Row],[Unit 2]]*MIN(TblMili[[#This Row],[Homeland%]]/wisp_bonus,wisp_cap),0)</f>
        <v>1000</v>
      </c>
      <c r="AD46" s="94">
        <f ca="1">OFFSET(TblConstr[[#This Row],[Tot Tow]],1,0)*(tower_mana + tech_4_5*TblTech[[#This Row],[4-5]]) + OFFSET(TblConstr[[#This Row],[Tot WG]],1,0)*wg_mana_prod</f>
        <v>0</v>
      </c>
      <c r="AE46" s="94">
        <f ca="1">OFFSET(TblConstr[[#This Row],[Tot OM]],1,0)*om_ore+IF(race="Dwarf",TblMili[[#This Row],[Unit 2]]*0.5,0)</f>
        <v>0</v>
      </c>
      <c r="AF46" s="94">
        <f ca="1">OFFSET(TblConstr[[#This Row],[Tot DM]],1,0)*dm_gems</f>
        <v>0</v>
      </c>
      <c r="AG46" s="142"/>
      <c r="AH46" s="156">
        <f ca="1">MIN(race_platinum_bonus + IF(TblMagic[[#This Row],[Active Alch Frost]]&gt;0,alch_frost_bonus,IF(Magic!AE46&gt;0,midas_bonus)) + TblImps[[#This Row],[Science]] - TblProd[[#This Row],[Guard]]*(0.02 + tech_5_7*TblTech[[#This Row],[5-7]]) + tech_1_5*TblTech[[#This Row],[1-5]] + tech_4_4*TblTech[[#This Row],[4-4]] + IF(TblMagic[[#This Row],[Active Infernal Command]]&gt;0,demonic_pact_plat,0), 0.5)</f>
        <v>0</v>
      </c>
      <c r="AI4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6" s="156">
        <f ca="1">race_lumber_bonus+ IF(TblMagic[[#This Row],[Active Gaia''s Blessing]]&gt;0,gaias_blessing_lumber)+ tech_1_3*TblTech[[#This Row],[1-3]] + tech_1_6*TblTech[[#This Row],[1-6]] + tech_3_3*TblTech[[#This Row],[3-3]]</f>
        <v>0</v>
      </c>
      <c r="AK46" s="156">
        <f ca="1">race_mana_bonus+ 0 + TblImps[[#This Row],[Spires]] + tech_1_2*TblTech[[#This Row],[1-2]] + tech_3_4*TblTech[[#This Row],[3-4]]</f>
        <v>0</v>
      </c>
      <c r="AL46" s="156">
        <f ca="1">race_ore_bonus + IF(TblMagic[[#This Row],[Active Miner''s Sight]]&gt;0,miners_sight_bonus,IF(TblMagic[[#This Row],[Active Mining Strength]]&gt;0,mining_strength_bonus)) +  tech_1_6*TblTech[[#This Row],[1-6]]</f>
        <v>0</v>
      </c>
      <c r="AM46" s="156">
        <f>race_gem_bonus+ tech_3_2*TblTech[[#This Row],[3-2]] + tech_4_3*TblTech[[#This Row],[4-3]] + tech_6_2*TblTech[[#This Row],[6-2]]</f>
        <v>0</v>
      </c>
      <c r="AN46" s="142"/>
      <c r="AO46" s="94">
        <f ca="1">TblProd[[#This Row],[Food]]*food_decay * (1 + tech_2_1*TblTech[[#This Row],[2-1]] + tech_2_8*TblTech[[#This Row],[2-8]] + IF(AND(TblMagic[[#This Row],[Active DnD]]&lt;12,TblMagic[[#This Row],[Active DnD]]&gt;5),1,0))</f>
        <v>906.72</v>
      </c>
      <c r="AP46" s="94">
        <f ca="1">(1+race_food_consumption)*TblPop[[#This Row],[Total]]*food_per_person*(1+tech_1_10*TblTech[[#This Row],[1-10]]+tech_7_5*TblTech[[#This Row],[7-5]] + IF(TblMagic[[#This Row],[Active Infernal Command]]&gt;0,demonic_pact_food_cons,0))</f>
        <v>269</v>
      </c>
      <c r="AQ46" s="94">
        <f ca="1">TblProd[[#This Row],[Lumber]]*lumber_rot * (1 + tech_2_1*TblTech[[#This Row],[2-1]] + tech_2_8*TblTech[[#This Row],[2-8]] + tech_5_2*TblTech[[#This Row],[5-2]] + IF(AND(TblMagic[[#This Row],[Active DnD]]&lt;12,TblMagic[[#This Row],[Active DnD]]&gt;5),1,0))</f>
        <v>442.68</v>
      </c>
      <c r="AR46" s="94">
        <f ca="1">TblProd[[#This Row],[Mana]]*mana_drain * (1 + tech_2_1*TblTech[[#This Row],[2-1]] + tech_2_8*TblTech[[#This Row],[2-8]])</f>
        <v>0</v>
      </c>
      <c r="AS46" s="154"/>
      <c r="AT46" s="94">
        <f ca="1">TblExplore[[#This Row],[Platinum (2)]]+TblConstr[[#This Row],[Total Plat Cost]]+TblMili[[#This Row],[Plat Cost]]+TblRezone[[#This Row],[Platinum cost]]+TblImps[[#This Row],[P1]]-TblProd[[#This Row],[Bank Plat]]</f>
        <v>0</v>
      </c>
      <c r="AU46" s="94">
        <f ca="1">TblConstr[[#This Row],[Total Lum Cost]]+TblImps[[#This Row],[L1]]-TblProd[[#This Row],[Bank Lumber]] + Military!$CO$25*TblMili[[#This Row],[Sec. rec. Cost]]</f>
        <v>0</v>
      </c>
      <c r="AV46" s="94">
        <f ca="1">TblMagic[[#This Row],[Mana cost]] + Military!$CO$26*TblMili[[#This Row],[Sec. rec. Cost]]</f>
        <v>0</v>
      </c>
      <c r="AW46" s="94">
        <f ca="1">Military!$CO$24*TblMili[[#This Row],[Sec. rec. Cost]]+TblImps[[#This Row],[O1]]-TblProd[[#This Row],[Bank Ore]]</f>
        <v>0</v>
      </c>
      <c r="AX46" s="94">
        <f>TblImps[[#This Row],[G1]]-TblProd[[#This Row],[Bank Gems]]</f>
        <v>0</v>
      </c>
      <c r="AY46" s="142"/>
      <c r="AZ46" s="61" t="b">
        <f ca="1">IF(TblProd[[#This Row],[Set Guard]]&lt;&gt;"",TblProd[[#This Row],[Set Guard]],OFFSET(TblProd[[#This Row],[Guard]],-1,0))</f>
        <v>0</v>
      </c>
      <c r="BA46" s="153"/>
      <c r="BB46" s="45">
        <f>TblProd[[#This Row],[Hour]]</f>
        <v>7</v>
      </c>
      <c r="BC46" s="158">
        <f>-TblProd[[#This Row],[Bank Lumber]] / 2 + -TblProd[[#This Row],[Bank Gems]] * 2 + -TblProd[[#This Row],[Bank Ore]] / 2</f>
        <v>0</v>
      </c>
      <c r="BD46" s="158"/>
      <c r="BE46" s="158"/>
      <c r="BF46" s="158"/>
      <c r="BG46" s="159">
        <f ca="1">TblProd[[#This Row],[Time]]</f>
        <v>46048.749999999898</v>
      </c>
      <c r="BH46" s="45" t="str">
        <f>IF(AND(TblProd[[#This Row],[Bank Plat]]=0,TblProd[[#This Row],[Bank Lumber]]=0,TblProd[[#This Row],[Bank Ore]]=0,TblProd[[#This Row],[Bank Gems]]=0),"",IF(TblProd[[#This Row],[Bank Plat]]&gt;0,IF((TblProd[[#This Row],[Bank Lumber]]+TblProd[[#This Row],[Bank Ore]])/2+TblProd[[#This Row],[Bank Gems]]*2+ROUNDUP(TblProd[[#This Row],[Bank Plat]]/(1 + tech_2_2*Techs!Y46),0)=0,"Ok","Nope"),IF(TblProd[[#This Row],[Bank Lumber]]&gt;0,IF((TblProd[[#This Row],[Bank Plat]]+TblProd[[#This Row],[Bank Ore]])/2+TblProd[[#This Row],[Bank Gems]]*2+ROUNDUP(TblProd[[#This Row],[Bank Lumber]]/(1 + tech_2_2*Techs!Y46),0)=0,"Ok","Nope"),IF(TblProd[[#This Row],[Bank Ore]]&gt;0,IF((TblProd[[#This Row],[Bank Plat]]+TblProd[[#This Row],[Bank Lumber]])/2+TblProd[[#This Row],[Bank Gems]]*2+ROUNDUP(TblProd[[#This Row],[Bank Ore]]/(1 + tech_2_2*Techs!Y46),0)=0,"Ok","Nope")))))</f>
        <v/>
      </c>
      <c r="BI46" s="94">
        <f ca="1">TblProd[[#This Row],[Platinum]]</f>
        <v>122437</v>
      </c>
      <c r="BJ46" s="94">
        <f ca="1">TblProd[[#This Row],[Food]]</f>
        <v>90672</v>
      </c>
      <c r="BK46" s="94">
        <f ca="1">TblProd[[#This Row],[Lumber]]</f>
        <v>44268</v>
      </c>
      <c r="BL46" s="94">
        <f ca="1">TblProd[[#This Row],[Mana]]</f>
        <v>0</v>
      </c>
      <c r="BM46" s="94">
        <f ca="1">TblProd[[#This Row],[Ore]]</f>
        <v>0</v>
      </c>
    </row>
    <row r="47" spans="1:65" x14ac:dyDescent="0.2">
      <c r="A47" s="137">
        <f t="shared" si="0"/>
        <v>8</v>
      </c>
      <c r="B47" s="152">
        <f ca="1">TblImps[[#This Row],[Time]]</f>
        <v>46048.791666666562</v>
      </c>
      <c r="C47" s="153"/>
      <c r="D47" s="154"/>
      <c r="E47" s="94">
        <f ca="1">TblConstr[[#This Row],[Land]]</f>
        <v>110</v>
      </c>
      <c r="F47" s="94">
        <f ca="1">TblPop[[#This Row],[Peasants]]</f>
        <v>650</v>
      </c>
      <c r="G47" s="94">
        <f ca="1">TblMili[[#This Row],[Networth (2)]]</f>
        <v>2450</v>
      </c>
      <c r="H47" s="94">
        <f ca="1">OFFSET(TblProd[[#This Row],[Platinum]],-1,0)+OFFSET(TblProd[[#This Row],[Plat/hr]],-1,0) - TblProd[[#This Row],[Expenses Platinum]] + IF(TblProd[[#This Row],[Plat Bonus]],TblPop[[#This Row],[Peasants]]*4) + SUM(TblConstr[[#This Row],[Dest Hom]:[Dest Doc]])*TblConstr[[#This Row],[CPA Platinum -DB]]*tech_3_3_2*TblTech[[#This Row],[3-3]]</f>
        <v>124210</v>
      </c>
      <c r="I47" s="94">
        <f ca="1">OFFSET(TblProd[[#This Row],[Food]],-1,0)+OFFSET(TblProd[[#This Row],[Food/hr]],-1,0)+ROUNDUP((TblConstr[[#This Row],[Farms]]*80+TblConstr[[#This Row],[Docks]]*35)*(1+OFFSET(TblProd[[#This Row],[Bonus Food/hr]],-1,0)),0)</f>
        <v>92076</v>
      </c>
      <c r="J47" s="94">
        <f ca="1">OFFSET(TblProd[[#This Row],[Lumber]],-1,0)+OFFSET(TblProd[[#This Row],[Lumber/hr]],-1,0) - TblProd[[#This Row],[Expenses Lumber]] + SUM(TblConstr[[#This Row],[Dest Hom]:[Dest Doc]])*TblConstr[[#This Row],[CPA Lumber -DB]]*tech_3_3_2*TblTech[[#This Row],[3-3]]</f>
        <v>44825</v>
      </c>
      <c r="K47" s="94">
        <f ca="1">OFFSET(TblProd[[#This Row],[Mana]],-1,0)+OFFSET(TblProd[[#This Row],[Mana/hr]],-1,0)- TblProd[[#This Row],[Expenses Mana]]</f>
        <v>0</v>
      </c>
      <c r="L47" s="94">
        <f ca="1">OFFSET(TblProd[[#This Row],[Ore]],-1,0)+OFFSET(TblProd[[#This Row],[Ore/hr]],-1,0) -TblProd[[#This Row],[Expenses Ore]]</f>
        <v>0</v>
      </c>
      <c r="M47" s="94">
        <f ca="1">OFFSET(TblProd[[#This Row],[Gems]],-1,0)+OFFSET(TblProd[[#This Row],[Gems/hr]],-1,0) - TblProd[[#This Row],[Expenses Gems]]</f>
        <v>0</v>
      </c>
      <c r="N47" s="94">
        <f ca="1">OFFSET(TblProd[[#This Row],[Boats]],-1,0)+OFFSET(TblProd[[#This Row],[Boats/hr]],-1,0)</f>
        <v>0</v>
      </c>
      <c r="O47" s="94">
        <f ca="1">OFFSET(TblProd[[#This Row],[Prestige]],-1,0)</f>
        <v>250</v>
      </c>
      <c r="P4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7" s="94">
        <f ca="1">MAX(_xlfn.CEILING.MATH(TblProd[[#This Row],[Land]]*2.5+IFERROR(OFFSET(TblTech[[#This Row],[Sum of tech]],-1,0)*50,0)),3750)</f>
        <v>3750</v>
      </c>
      <c r="R47" s="142"/>
      <c r="S47" s="94">
        <f ca="1">ROUNDDOWN(TblProd[[#This Row],[Raw Plat/hr]]*(1+TblProd[[#This Row],[Bonus Plat/hr]]),0)</f>
        <v>1755</v>
      </c>
      <c r="T47" s="94">
        <f ca="1">ROUND(TblProd[[#This Row],[Raw Food/hr]]*(1+TblProd[[#This Row],[Bonus Food/hr]])-TblProd[[#This Row],[Food decay]]-TblProd[[#This Row],[Food eaten]],0)</f>
        <v>1390</v>
      </c>
      <c r="U47" s="94">
        <f ca="1">ROUND(TblProd[[#This Row],[Raw Lumber/hr]]*(1+TblProd[[#This Row],[Bonus Lumber/hr]])-TblProd[[#This Row],[Lumber rot]],0)</f>
        <v>552</v>
      </c>
      <c r="V47" s="94">
        <f ca="1">ROUND(TblProd[[#This Row],[Raw Mana/hr]]*(1+TblProd[[#This Row],[Bonus Mana/hr]])-TblProd[[#This Row],[Mana drain]],0)</f>
        <v>0</v>
      </c>
      <c r="W47" s="94">
        <f ca="1">ROUNDDOWN(TblProd[[#This Row],[Raw Ore/hr]]*(1+TblProd[[#This Row],[Bonux Ore/hr]]),0)</f>
        <v>0</v>
      </c>
      <c r="X47" s="94">
        <f ca="1">ROUNDDOWN(TblProd[[#This Row],[Raw Gems/hr]]*(1+TblProd[[#This Row],[Bonus Gems/hr]]),0)</f>
        <v>0</v>
      </c>
      <c r="Y47" s="155">
        <f ca="1">OFFSET(TblConstr[[#This Row],[Tot Doc]],1,0)*dock_boats_hr * (1 + tech_4_1*TblTech[[#This Row],[4-1]])</f>
        <v>0</v>
      </c>
      <c r="Z47" s="154"/>
      <c r="AA47" s="94">
        <f ca="1">TblPop[[#This Row],[Peasants]]*tax*TblPop[[#This Row],[Employment]] + (Construction!AZ48+Construction!BX48)*(alch_plat+(Magic!AN47&gt;0)*alchemist_flame_bonus)</f>
        <v>1755.0000000000002</v>
      </c>
      <c r="AB47" s="94">
        <f ca="1">TblConstr[[#This Row],[Tot Farm]]*farm_food + TblConstr[[#This Row],[Tot Doc]]*dock_food</f>
        <v>2400</v>
      </c>
      <c r="AC47" s="94">
        <f ca="1">TblConstr[[#This Row],[Tot Ly]]*ly_lumber + TblConstr[[#This Row],[Tot Hav]]*fh_lumber + IF(race="Wood Elf",TblMili[[#This Row],[Unit 2]]*MIN(TblMili[[#This Row],[Homeland%]]/wisp_bonus,wisp_cap),0)</f>
        <v>1000</v>
      </c>
      <c r="AD47" s="94">
        <f ca="1">OFFSET(TblConstr[[#This Row],[Tot Tow]],1,0)*(tower_mana + tech_4_5*TblTech[[#This Row],[4-5]]) + OFFSET(TblConstr[[#This Row],[Tot WG]],1,0)*wg_mana_prod</f>
        <v>0</v>
      </c>
      <c r="AE47" s="94">
        <f ca="1">OFFSET(TblConstr[[#This Row],[Tot OM]],1,0)*om_ore+IF(race="Dwarf",TblMili[[#This Row],[Unit 2]]*0.5,0)</f>
        <v>0</v>
      </c>
      <c r="AF47" s="94">
        <f ca="1">OFFSET(TblConstr[[#This Row],[Tot DM]],1,0)*dm_gems</f>
        <v>0</v>
      </c>
      <c r="AG47" s="142"/>
      <c r="AH47" s="156">
        <f ca="1">MIN(race_platinum_bonus + IF(TblMagic[[#This Row],[Active Alch Frost]]&gt;0,alch_frost_bonus,IF(Magic!AE47&gt;0,midas_bonus)) + TblImps[[#This Row],[Science]] - TblProd[[#This Row],[Guard]]*(0.02 + tech_5_7*TblTech[[#This Row],[5-7]]) + tech_1_5*TblTech[[#This Row],[1-5]] + tech_4_4*TblTech[[#This Row],[4-4]] + IF(TblMagic[[#This Row],[Active Infernal Command]]&gt;0,demonic_pact_plat,0), 0.5)</f>
        <v>0</v>
      </c>
      <c r="AI4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7" s="156">
        <f ca="1">race_lumber_bonus+ IF(TblMagic[[#This Row],[Active Gaia''s Blessing]]&gt;0,gaias_blessing_lumber)+ tech_1_3*TblTech[[#This Row],[1-3]] + tech_1_6*TblTech[[#This Row],[1-6]] + tech_3_3*TblTech[[#This Row],[3-3]]</f>
        <v>0</v>
      </c>
      <c r="AK47" s="156">
        <f ca="1">race_mana_bonus+ 0 + TblImps[[#This Row],[Spires]] + tech_1_2*TblTech[[#This Row],[1-2]] + tech_3_4*TblTech[[#This Row],[3-4]]</f>
        <v>0</v>
      </c>
      <c r="AL47" s="156">
        <f ca="1">race_ore_bonus + IF(TblMagic[[#This Row],[Active Miner''s Sight]]&gt;0,miners_sight_bonus,IF(TblMagic[[#This Row],[Active Mining Strength]]&gt;0,mining_strength_bonus)) +  tech_1_6*TblTech[[#This Row],[1-6]]</f>
        <v>0</v>
      </c>
      <c r="AM47" s="156">
        <f>race_gem_bonus+ tech_3_2*TblTech[[#This Row],[3-2]] + tech_4_3*TblTech[[#This Row],[4-3]] + tech_6_2*TblTech[[#This Row],[6-2]]</f>
        <v>0</v>
      </c>
      <c r="AN47" s="142"/>
      <c r="AO47" s="94">
        <f ca="1">TblProd[[#This Row],[Food]]*food_decay * (1 + tech_2_1*TblTech[[#This Row],[2-1]] + tech_2_8*TblTech[[#This Row],[2-8]] + IF(AND(TblMagic[[#This Row],[Active DnD]]&lt;12,TblMagic[[#This Row],[Active DnD]]&gt;5),1,0))</f>
        <v>920.76</v>
      </c>
      <c r="AP47" s="94">
        <f ca="1">(1+race_food_consumption)*TblPop[[#This Row],[Total]]*food_per_person*(1+tech_1_10*TblTech[[#This Row],[1-10]]+tech_7_5*TblTech[[#This Row],[7-5]] + IF(TblMagic[[#This Row],[Active Infernal Command]]&gt;0,demonic_pact_food_cons,0))</f>
        <v>269</v>
      </c>
      <c r="AQ47" s="94">
        <f ca="1">TblProd[[#This Row],[Lumber]]*lumber_rot * (1 + tech_2_1*TblTech[[#This Row],[2-1]] + tech_2_8*TblTech[[#This Row],[2-8]] + tech_5_2*TblTech[[#This Row],[5-2]] + IF(AND(TblMagic[[#This Row],[Active DnD]]&lt;12,TblMagic[[#This Row],[Active DnD]]&gt;5),1,0))</f>
        <v>448.25</v>
      </c>
      <c r="AR47" s="94">
        <f ca="1">TblProd[[#This Row],[Mana]]*mana_drain * (1 + tech_2_1*TblTech[[#This Row],[2-1]] + tech_2_8*TblTech[[#This Row],[2-8]])</f>
        <v>0</v>
      </c>
      <c r="AS47" s="154"/>
      <c r="AT47" s="94">
        <f ca="1">TblExplore[[#This Row],[Platinum (2)]]+TblConstr[[#This Row],[Total Plat Cost]]+TblMili[[#This Row],[Plat Cost]]+TblRezone[[#This Row],[Platinum cost]]+TblImps[[#This Row],[P1]]-TblProd[[#This Row],[Bank Plat]]</f>
        <v>0</v>
      </c>
      <c r="AU47" s="94">
        <f ca="1">TblConstr[[#This Row],[Total Lum Cost]]+TblImps[[#This Row],[L1]]-TblProd[[#This Row],[Bank Lumber]] + Military!$CO$25*TblMili[[#This Row],[Sec. rec. Cost]]</f>
        <v>0</v>
      </c>
      <c r="AV47" s="94">
        <f ca="1">TblMagic[[#This Row],[Mana cost]] + Military!$CO$26*TblMili[[#This Row],[Sec. rec. Cost]]</f>
        <v>0</v>
      </c>
      <c r="AW47" s="94">
        <f ca="1">Military!$CO$24*TblMili[[#This Row],[Sec. rec. Cost]]+TblImps[[#This Row],[O1]]-TblProd[[#This Row],[Bank Ore]]</f>
        <v>0</v>
      </c>
      <c r="AX47" s="94">
        <f>TblImps[[#This Row],[G1]]-TblProd[[#This Row],[Bank Gems]]</f>
        <v>0</v>
      </c>
      <c r="AY47" s="142"/>
      <c r="AZ47" s="61" t="b">
        <f ca="1">IF(TblProd[[#This Row],[Set Guard]]&lt;&gt;"",TblProd[[#This Row],[Set Guard]],OFFSET(TblProd[[#This Row],[Guard]],-1,0))</f>
        <v>0</v>
      </c>
      <c r="BA47" s="153"/>
      <c r="BB47" s="45">
        <f>TblProd[[#This Row],[Hour]]</f>
        <v>8</v>
      </c>
      <c r="BC47" s="158">
        <f>-TblProd[[#This Row],[Bank Lumber]] / 2 + -TblProd[[#This Row],[Bank Gems]] * 2 + -TblProd[[#This Row],[Bank Ore]] / 2</f>
        <v>0</v>
      </c>
      <c r="BD47" s="158"/>
      <c r="BE47" s="158"/>
      <c r="BF47" s="158"/>
      <c r="BG47" s="159">
        <f ca="1">TblProd[[#This Row],[Time]]</f>
        <v>46048.791666666562</v>
      </c>
      <c r="BH47" s="45" t="str">
        <f>IF(AND(TblProd[[#This Row],[Bank Plat]]=0,TblProd[[#This Row],[Bank Lumber]]=0,TblProd[[#This Row],[Bank Ore]]=0,TblProd[[#This Row],[Bank Gems]]=0),"",IF(TblProd[[#This Row],[Bank Plat]]&gt;0,IF((TblProd[[#This Row],[Bank Lumber]]+TblProd[[#This Row],[Bank Ore]])/2+TblProd[[#This Row],[Bank Gems]]*2+ROUNDUP(TblProd[[#This Row],[Bank Plat]]/(1 + tech_2_2*Techs!Y47),0)=0,"Ok","Nope"),IF(TblProd[[#This Row],[Bank Lumber]]&gt;0,IF((TblProd[[#This Row],[Bank Plat]]+TblProd[[#This Row],[Bank Ore]])/2+TblProd[[#This Row],[Bank Gems]]*2+ROUNDUP(TblProd[[#This Row],[Bank Lumber]]/(1 + tech_2_2*Techs!Y47),0)=0,"Ok","Nope"),IF(TblProd[[#This Row],[Bank Ore]]&gt;0,IF((TblProd[[#This Row],[Bank Plat]]+TblProd[[#This Row],[Bank Lumber]])/2+TblProd[[#This Row],[Bank Gems]]*2+ROUNDUP(TblProd[[#This Row],[Bank Ore]]/(1 + tech_2_2*Techs!Y47),0)=0,"Ok","Nope")))))</f>
        <v/>
      </c>
      <c r="BI47" s="94">
        <f ca="1">TblProd[[#This Row],[Platinum]]</f>
        <v>124210</v>
      </c>
      <c r="BJ47" s="94">
        <f ca="1">TblProd[[#This Row],[Food]]</f>
        <v>92076</v>
      </c>
      <c r="BK47" s="94">
        <f ca="1">TblProd[[#This Row],[Lumber]]</f>
        <v>44825</v>
      </c>
      <c r="BL47" s="94">
        <f ca="1">TblProd[[#This Row],[Mana]]</f>
        <v>0</v>
      </c>
      <c r="BM47" s="94">
        <f ca="1">TblProd[[#This Row],[Ore]]</f>
        <v>0</v>
      </c>
    </row>
    <row r="48" spans="1:65" x14ac:dyDescent="0.2">
      <c r="A48" s="137">
        <f t="shared" si="0"/>
        <v>9</v>
      </c>
      <c r="B48" s="152">
        <f ca="1">TblImps[[#This Row],[Time]]</f>
        <v>46048.833333333227</v>
      </c>
      <c r="C48" s="153"/>
      <c r="D48" s="154"/>
      <c r="E48" s="94">
        <f ca="1">TblConstr[[#This Row],[Land]]</f>
        <v>110</v>
      </c>
      <c r="F48" s="94">
        <f ca="1">TblPop[[#This Row],[Peasants]]</f>
        <v>643</v>
      </c>
      <c r="G48" s="94">
        <f ca="1">TblMili[[#This Row],[Networth (2)]]</f>
        <v>2450</v>
      </c>
      <c r="H48" s="94">
        <f ca="1">OFFSET(TblProd[[#This Row],[Platinum]],-1,0)+OFFSET(TblProd[[#This Row],[Plat/hr]],-1,0) - TblProd[[#This Row],[Expenses Platinum]] + IF(TblProd[[#This Row],[Plat Bonus]],TblPop[[#This Row],[Peasants]]*4) + SUM(TblConstr[[#This Row],[Dest Hom]:[Dest Doc]])*TblConstr[[#This Row],[CPA Platinum -DB]]*tech_3_3_2*TblTech[[#This Row],[3-3]]</f>
        <v>125965</v>
      </c>
      <c r="I48" s="94">
        <f ca="1">OFFSET(TblProd[[#This Row],[Food]],-1,0)+OFFSET(TblProd[[#This Row],[Food/hr]],-1,0)+ROUNDUP((TblConstr[[#This Row],[Farms]]*80+TblConstr[[#This Row],[Docks]]*35)*(1+OFFSET(TblProd[[#This Row],[Bonus Food/hr]],-1,0)),0)</f>
        <v>93466</v>
      </c>
      <c r="J48" s="94">
        <f ca="1">OFFSET(TblProd[[#This Row],[Lumber]],-1,0)+OFFSET(TblProd[[#This Row],[Lumber/hr]],-1,0) - TblProd[[#This Row],[Expenses Lumber]] + SUM(TblConstr[[#This Row],[Dest Hom]:[Dest Doc]])*TblConstr[[#This Row],[CPA Lumber -DB]]*tech_3_3_2*TblTech[[#This Row],[3-3]]</f>
        <v>45377</v>
      </c>
      <c r="K48" s="94">
        <f ca="1">OFFSET(TblProd[[#This Row],[Mana]],-1,0)+OFFSET(TblProd[[#This Row],[Mana/hr]],-1,0)- TblProd[[#This Row],[Expenses Mana]]</f>
        <v>0</v>
      </c>
      <c r="L48" s="94">
        <f ca="1">OFFSET(TblProd[[#This Row],[Ore]],-1,0)+OFFSET(TblProd[[#This Row],[Ore/hr]],-1,0) -TblProd[[#This Row],[Expenses Ore]]</f>
        <v>0</v>
      </c>
      <c r="M48" s="94">
        <f ca="1">OFFSET(TblProd[[#This Row],[Gems]],-1,0)+OFFSET(TblProd[[#This Row],[Gems/hr]],-1,0) - TblProd[[#This Row],[Expenses Gems]]</f>
        <v>0</v>
      </c>
      <c r="N48" s="94">
        <f ca="1">OFFSET(TblProd[[#This Row],[Boats]],-1,0)+OFFSET(TblProd[[#This Row],[Boats/hr]],-1,0)</f>
        <v>0</v>
      </c>
      <c r="O48" s="94">
        <f ca="1">OFFSET(TblProd[[#This Row],[Prestige]],-1,0)</f>
        <v>250</v>
      </c>
      <c r="P4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8" s="94">
        <f ca="1">MAX(_xlfn.CEILING.MATH(TblProd[[#This Row],[Land]]*2.5+IFERROR(OFFSET(TblTech[[#This Row],[Sum of tech]],-1,0)*50,0)),3750)</f>
        <v>3750</v>
      </c>
      <c r="R48" s="142"/>
      <c r="S48" s="94">
        <f ca="1">ROUNDDOWN(TblProd[[#This Row],[Raw Plat/hr]]*(1+TblProd[[#This Row],[Bonus Plat/hr]]),0)</f>
        <v>1736</v>
      </c>
      <c r="T48" s="94">
        <f ca="1">ROUND(TblProd[[#This Row],[Raw Food/hr]]*(1+TblProd[[#This Row],[Bonus Food/hr]])-TblProd[[#This Row],[Food decay]]-TblProd[[#This Row],[Food eaten]],0)</f>
        <v>1376</v>
      </c>
      <c r="U48" s="94">
        <f ca="1">ROUND(TblProd[[#This Row],[Raw Lumber/hr]]*(1+TblProd[[#This Row],[Bonus Lumber/hr]])-TblProd[[#This Row],[Lumber rot]],0)</f>
        <v>546</v>
      </c>
      <c r="V48" s="94">
        <f ca="1">ROUND(TblProd[[#This Row],[Raw Mana/hr]]*(1+TblProd[[#This Row],[Bonus Mana/hr]])-TblProd[[#This Row],[Mana drain]],0)</f>
        <v>0</v>
      </c>
      <c r="W48" s="94">
        <f ca="1">ROUNDDOWN(TblProd[[#This Row],[Raw Ore/hr]]*(1+TblProd[[#This Row],[Bonux Ore/hr]]),0)</f>
        <v>0</v>
      </c>
      <c r="X48" s="94">
        <f ca="1">ROUNDDOWN(TblProd[[#This Row],[Raw Gems/hr]]*(1+TblProd[[#This Row],[Bonus Gems/hr]]),0)</f>
        <v>0</v>
      </c>
      <c r="Y48" s="155">
        <f ca="1">OFFSET(TblConstr[[#This Row],[Tot Doc]],1,0)*dock_boats_hr * (1 + tech_4_1*TblTech[[#This Row],[4-1]])</f>
        <v>0</v>
      </c>
      <c r="Z48" s="154"/>
      <c r="AA48" s="94">
        <f ca="1">TblPop[[#This Row],[Peasants]]*tax*TblPop[[#This Row],[Employment]] + (Construction!AZ49+Construction!BX49)*(alch_plat+(Magic!AN48&gt;0)*alchemist_flame_bonus)</f>
        <v>1736.1000000000001</v>
      </c>
      <c r="AB48" s="94">
        <f ca="1">TblConstr[[#This Row],[Tot Farm]]*farm_food + TblConstr[[#This Row],[Tot Doc]]*dock_food</f>
        <v>2400</v>
      </c>
      <c r="AC48" s="94">
        <f ca="1">TblConstr[[#This Row],[Tot Ly]]*ly_lumber + TblConstr[[#This Row],[Tot Hav]]*fh_lumber + IF(race="Wood Elf",TblMili[[#This Row],[Unit 2]]*MIN(TblMili[[#This Row],[Homeland%]]/wisp_bonus,wisp_cap),0)</f>
        <v>1000</v>
      </c>
      <c r="AD48" s="94">
        <f ca="1">OFFSET(TblConstr[[#This Row],[Tot Tow]],1,0)*(tower_mana + tech_4_5*TblTech[[#This Row],[4-5]]) + OFFSET(TblConstr[[#This Row],[Tot WG]],1,0)*wg_mana_prod</f>
        <v>0</v>
      </c>
      <c r="AE48" s="94">
        <f ca="1">OFFSET(TblConstr[[#This Row],[Tot OM]],1,0)*om_ore+IF(race="Dwarf",TblMili[[#This Row],[Unit 2]]*0.5,0)</f>
        <v>0</v>
      </c>
      <c r="AF48" s="94">
        <f ca="1">OFFSET(TblConstr[[#This Row],[Tot DM]],1,0)*dm_gems</f>
        <v>0</v>
      </c>
      <c r="AG48" s="142"/>
      <c r="AH48" s="156">
        <f ca="1">MIN(race_platinum_bonus + IF(TblMagic[[#This Row],[Active Alch Frost]]&gt;0,alch_frost_bonus,IF(Magic!AE48&gt;0,midas_bonus)) + TblImps[[#This Row],[Science]] - TblProd[[#This Row],[Guard]]*(0.02 + tech_5_7*TblTech[[#This Row],[5-7]]) + tech_1_5*TblTech[[#This Row],[1-5]] + tech_4_4*TblTech[[#This Row],[4-4]] + IF(TblMagic[[#This Row],[Active Infernal Command]]&gt;0,demonic_pact_plat,0), 0.5)</f>
        <v>0</v>
      </c>
      <c r="AI4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8" s="156">
        <f ca="1">race_lumber_bonus+ IF(TblMagic[[#This Row],[Active Gaia''s Blessing]]&gt;0,gaias_blessing_lumber)+ tech_1_3*TblTech[[#This Row],[1-3]] + tech_1_6*TblTech[[#This Row],[1-6]] + tech_3_3*TblTech[[#This Row],[3-3]]</f>
        <v>0</v>
      </c>
      <c r="AK48" s="156">
        <f ca="1">race_mana_bonus+ 0 + TblImps[[#This Row],[Spires]] + tech_1_2*TblTech[[#This Row],[1-2]] + tech_3_4*TblTech[[#This Row],[3-4]]</f>
        <v>0</v>
      </c>
      <c r="AL48" s="156">
        <f ca="1">race_ore_bonus + IF(TblMagic[[#This Row],[Active Miner''s Sight]]&gt;0,miners_sight_bonus,IF(TblMagic[[#This Row],[Active Mining Strength]]&gt;0,mining_strength_bonus)) +  tech_1_6*TblTech[[#This Row],[1-6]]</f>
        <v>0</v>
      </c>
      <c r="AM48" s="156">
        <f>race_gem_bonus+ tech_3_2*TblTech[[#This Row],[3-2]] + tech_4_3*TblTech[[#This Row],[4-3]] + tech_6_2*TblTech[[#This Row],[6-2]]</f>
        <v>0</v>
      </c>
      <c r="AN48" s="142"/>
      <c r="AO48" s="94">
        <f ca="1">TblProd[[#This Row],[Food]]*food_decay * (1 + tech_2_1*TblTech[[#This Row],[2-1]] + tech_2_8*TblTech[[#This Row],[2-8]] + IF(AND(TblMagic[[#This Row],[Active DnD]]&lt;12,TblMagic[[#This Row],[Active DnD]]&gt;5),1,0))</f>
        <v>934.66</v>
      </c>
      <c r="AP48" s="94">
        <f ca="1">(1+race_food_consumption)*TblPop[[#This Row],[Total]]*food_per_person*(1+tech_1_10*TblTech[[#This Row],[1-10]]+tech_7_5*TblTech[[#This Row],[7-5]] + IF(TblMagic[[#This Row],[Active Infernal Command]]&gt;0,demonic_pact_food_cons,0))</f>
        <v>269</v>
      </c>
      <c r="AQ48" s="94">
        <f ca="1">TblProd[[#This Row],[Lumber]]*lumber_rot * (1 + tech_2_1*TblTech[[#This Row],[2-1]] + tech_2_8*TblTech[[#This Row],[2-8]] + tech_5_2*TblTech[[#This Row],[5-2]] + IF(AND(TblMagic[[#This Row],[Active DnD]]&lt;12,TblMagic[[#This Row],[Active DnD]]&gt;5),1,0))</f>
        <v>453.77</v>
      </c>
      <c r="AR48" s="94">
        <f ca="1">TblProd[[#This Row],[Mana]]*mana_drain * (1 + tech_2_1*TblTech[[#This Row],[2-1]] + tech_2_8*TblTech[[#This Row],[2-8]])</f>
        <v>0</v>
      </c>
      <c r="AS48" s="154"/>
      <c r="AT48" s="94">
        <f ca="1">TblExplore[[#This Row],[Platinum (2)]]+TblConstr[[#This Row],[Total Plat Cost]]+TblMili[[#This Row],[Plat Cost]]+TblRezone[[#This Row],[Platinum cost]]+TblImps[[#This Row],[P1]]-TblProd[[#This Row],[Bank Plat]]</f>
        <v>0</v>
      </c>
      <c r="AU48" s="94">
        <f ca="1">TblConstr[[#This Row],[Total Lum Cost]]+TblImps[[#This Row],[L1]]-TblProd[[#This Row],[Bank Lumber]] + Military!$CO$25*TblMili[[#This Row],[Sec. rec. Cost]]</f>
        <v>0</v>
      </c>
      <c r="AV48" s="94">
        <f ca="1">TblMagic[[#This Row],[Mana cost]] + Military!$CO$26*TblMili[[#This Row],[Sec. rec. Cost]]</f>
        <v>0</v>
      </c>
      <c r="AW48" s="94">
        <f ca="1">Military!$CO$24*TblMili[[#This Row],[Sec. rec. Cost]]+TblImps[[#This Row],[O1]]-TblProd[[#This Row],[Bank Ore]]</f>
        <v>0</v>
      </c>
      <c r="AX48" s="94">
        <f>TblImps[[#This Row],[G1]]-TblProd[[#This Row],[Bank Gems]]</f>
        <v>0</v>
      </c>
      <c r="AY48" s="142"/>
      <c r="AZ48" s="61" t="b">
        <f ca="1">IF(TblProd[[#This Row],[Set Guard]]&lt;&gt;"",TblProd[[#This Row],[Set Guard]],OFFSET(TblProd[[#This Row],[Guard]],-1,0))</f>
        <v>0</v>
      </c>
      <c r="BA48" s="153"/>
      <c r="BB48" s="45">
        <f>TblProd[[#This Row],[Hour]]</f>
        <v>9</v>
      </c>
      <c r="BC48" s="158">
        <f>-TblProd[[#This Row],[Bank Lumber]] / 2 + -TblProd[[#This Row],[Bank Gems]] * 2 + -TblProd[[#This Row],[Bank Ore]] / 2</f>
        <v>0</v>
      </c>
      <c r="BD48" s="158"/>
      <c r="BE48" s="158"/>
      <c r="BF48" s="158"/>
      <c r="BG48" s="159">
        <f ca="1">TblProd[[#This Row],[Time]]</f>
        <v>46048.833333333227</v>
      </c>
      <c r="BH48" s="45" t="str">
        <f>IF(AND(TblProd[[#This Row],[Bank Plat]]=0,TblProd[[#This Row],[Bank Lumber]]=0,TblProd[[#This Row],[Bank Ore]]=0,TblProd[[#This Row],[Bank Gems]]=0),"",IF(TblProd[[#This Row],[Bank Plat]]&gt;0,IF((TblProd[[#This Row],[Bank Lumber]]+TblProd[[#This Row],[Bank Ore]])/2+TblProd[[#This Row],[Bank Gems]]*2+ROUNDUP(TblProd[[#This Row],[Bank Plat]]/(1 + tech_2_2*Techs!Y48),0)=0,"Ok","Nope"),IF(TblProd[[#This Row],[Bank Lumber]]&gt;0,IF((TblProd[[#This Row],[Bank Plat]]+TblProd[[#This Row],[Bank Ore]])/2+TblProd[[#This Row],[Bank Gems]]*2+ROUNDUP(TblProd[[#This Row],[Bank Lumber]]/(1 + tech_2_2*Techs!Y48),0)=0,"Ok","Nope"),IF(TblProd[[#This Row],[Bank Ore]]&gt;0,IF((TblProd[[#This Row],[Bank Plat]]+TblProd[[#This Row],[Bank Lumber]])/2+TblProd[[#This Row],[Bank Gems]]*2+ROUNDUP(TblProd[[#This Row],[Bank Ore]]/(1 + tech_2_2*Techs!Y48),0)=0,"Ok","Nope")))))</f>
        <v/>
      </c>
      <c r="BI48" s="94">
        <f ca="1">TblProd[[#This Row],[Platinum]]</f>
        <v>125965</v>
      </c>
      <c r="BJ48" s="94">
        <f ca="1">TblProd[[#This Row],[Food]]</f>
        <v>93466</v>
      </c>
      <c r="BK48" s="94">
        <f ca="1">TblProd[[#This Row],[Lumber]]</f>
        <v>45377</v>
      </c>
      <c r="BL48" s="94">
        <f ca="1">TblProd[[#This Row],[Mana]]</f>
        <v>0</v>
      </c>
      <c r="BM48" s="94">
        <f ca="1">TblProd[[#This Row],[Ore]]</f>
        <v>0</v>
      </c>
    </row>
    <row r="49" spans="1:65" x14ac:dyDescent="0.2">
      <c r="A49" s="137">
        <f t="shared" si="0"/>
        <v>10</v>
      </c>
      <c r="B49" s="152">
        <f ca="1">TblImps[[#This Row],[Time]]</f>
        <v>46048.874999999891</v>
      </c>
      <c r="C49" s="153"/>
      <c r="D49" s="154"/>
      <c r="E49" s="94">
        <f ca="1">TblConstr[[#This Row],[Land]]</f>
        <v>110</v>
      </c>
      <c r="F49" s="94">
        <f ca="1">TblPop[[#This Row],[Peasants]]</f>
        <v>637</v>
      </c>
      <c r="G49" s="94">
        <f ca="1">TblMili[[#This Row],[Networth (2)]]</f>
        <v>2450</v>
      </c>
      <c r="H49" s="94">
        <f ca="1">OFFSET(TblProd[[#This Row],[Platinum]],-1,0)+OFFSET(TblProd[[#This Row],[Plat/hr]],-1,0) - TblProd[[#This Row],[Expenses Platinum]] + IF(TblProd[[#This Row],[Plat Bonus]],TblPop[[#This Row],[Peasants]]*4) + SUM(TblConstr[[#This Row],[Dest Hom]:[Dest Doc]])*TblConstr[[#This Row],[CPA Platinum -DB]]*tech_3_3_2*TblTech[[#This Row],[3-3]]</f>
        <v>127701</v>
      </c>
      <c r="I49" s="94">
        <f ca="1">OFFSET(TblProd[[#This Row],[Food]],-1,0)+OFFSET(TblProd[[#This Row],[Food/hr]],-1,0)+ROUNDUP((TblConstr[[#This Row],[Farms]]*80+TblConstr[[#This Row],[Docks]]*35)*(1+OFFSET(TblProd[[#This Row],[Bonus Food/hr]],-1,0)),0)</f>
        <v>94842</v>
      </c>
      <c r="J49" s="94">
        <f ca="1">OFFSET(TblProd[[#This Row],[Lumber]],-1,0)+OFFSET(TblProd[[#This Row],[Lumber/hr]],-1,0) - TblProd[[#This Row],[Expenses Lumber]] + SUM(TblConstr[[#This Row],[Dest Hom]:[Dest Doc]])*TblConstr[[#This Row],[CPA Lumber -DB]]*tech_3_3_2*TblTech[[#This Row],[3-3]]</f>
        <v>45923</v>
      </c>
      <c r="K49" s="94">
        <f ca="1">OFFSET(TblProd[[#This Row],[Mana]],-1,0)+OFFSET(TblProd[[#This Row],[Mana/hr]],-1,0)- TblProd[[#This Row],[Expenses Mana]]</f>
        <v>0</v>
      </c>
      <c r="L49" s="94">
        <f ca="1">OFFSET(TblProd[[#This Row],[Ore]],-1,0)+OFFSET(TblProd[[#This Row],[Ore/hr]],-1,0) -TblProd[[#This Row],[Expenses Ore]]</f>
        <v>0</v>
      </c>
      <c r="M49" s="94">
        <f ca="1">OFFSET(TblProd[[#This Row],[Gems]],-1,0)+OFFSET(TblProd[[#This Row],[Gems/hr]],-1,0) - TblProd[[#This Row],[Expenses Gems]]</f>
        <v>0</v>
      </c>
      <c r="N49" s="94">
        <f ca="1">OFFSET(TblProd[[#This Row],[Boats]],-1,0)+OFFSET(TblProd[[#This Row],[Boats/hr]],-1,0)</f>
        <v>0</v>
      </c>
      <c r="O49" s="94">
        <f ca="1">OFFSET(TblProd[[#This Row],[Prestige]],-1,0)</f>
        <v>250</v>
      </c>
      <c r="P4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49" s="94">
        <f ca="1">MAX(_xlfn.CEILING.MATH(TblProd[[#This Row],[Land]]*2.5+IFERROR(OFFSET(TblTech[[#This Row],[Sum of tech]],-1,0)*50,0)),3750)</f>
        <v>3750</v>
      </c>
      <c r="R49" s="142"/>
      <c r="S49" s="94">
        <f ca="1">ROUNDDOWN(TblProd[[#This Row],[Raw Plat/hr]]*(1+TblProd[[#This Row],[Bonus Plat/hr]]),0)</f>
        <v>1719</v>
      </c>
      <c r="T49" s="94">
        <f ca="1">ROUND(TblProd[[#This Row],[Raw Food/hr]]*(1+TblProd[[#This Row],[Bonus Food/hr]])-TblProd[[#This Row],[Food decay]]-TblProd[[#This Row],[Food eaten]],0)</f>
        <v>1363</v>
      </c>
      <c r="U49" s="94">
        <f ca="1">ROUND(TblProd[[#This Row],[Raw Lumber/hr]]*(1+TblProd[[#This Row],[Bonus Lumber/hr]])-TblProd[[#This Row],[Lumber rot]],0)</f>
        <v>541</v>
      </c>
      <c r="V49" s="94">
        <f ca="1">ROUND(TblProd[[#This Row],[Raw Mana/hr]]*(1+TblProd[[#This Row],[Bonus Mana/hr]])-TblProd[[#This Row],[Mana drain]],0)</f>
        <v>0</v>
      </c>
      <c r="W49" s="94">
        <f ca="1">ROUNDDOWN(TblProd[[#This Row],[Raw Ore/hr]]*(1+TblProd[[#This Row],[Bonux Ore/hr]]),0)</f>
        <v>0</v>
      </c>
      <c r="X49" s="94">
        <f ca="1">ROUNDDOWN(TblProd[[#This Row],[Raw Gems/hr]]*(1+TblProd[[#This Row],[Bonus Gems/hr]]),0)</f>
        <v>0</v>
      </c>
      <c r="Y49" s="155">
        <f ca="1">OFFSET(TblConstr[[#This Row],[Tot Doc]],1,0)*dock_boats_hr * (1 + tech_4_1*TblTech[[#This Row],[4-1]])</f>
        <v>0</v>
      </c>
      <c r="Z49" s="154"/>
      <c r="AA49" s="94">
        <f ca="1">TblPop[[#This Row],[Peasants]]*tax*TblPop[[#This Row],[Employment]] + (Construction!AZ50+Construction!BX50)*(alch_plat+(Magic!AN49&gt;0)*alchemist_flame_bonus)</f>
        <v>1719.9</v>
      </c>
      <c r="AB49" s="94">
        <f ca="1">TblConstr[[#This Row],[Tot Farm]]*farm_food + TblConstr[[#This Row],[Tot Doc]]*dock_food</f>
        <v>2400</v>
      </c>
      <c r="AC49" s="94">
        <f ca="1">TblConstr[[#This Row],[Tot Ly]]*ly_lumber + TblConstr[[#This Row],[Tot Hav]]*fh_lumber + IF(race="Wood Elf",TblMili[[#This Row],[Unit 2]]*MIN(TblMili[[#This Row],[Homeland%]]/wisp_bonus,wisp_cap),0)</f>
        <v>1000</v>
      </c>
      <c r="AD49" s="94">
        <f ca="1">OFFSET(TblConstr[[#This Row],[Tot Tow]],1,0)*(tower_mana + tech_4_5*TblTech[[#This Row],[4-5]]) + OFFSET(TblConstr[[#This Row],[Tot WG]],1,0)*wg_mana_prod</f>
        <v>0</v>
      </c>
      <c r="AE49" s="94">
        <f ca="1">OFFSET(TblConstr[[#This Row],[Tot OM]],1,0)*om_ore+IF(race="Dwarf",TblMili[[#This Row],[Unit 2]]*0.5,0)</f>
        <v>0</v>
      </c>
      <c r="AF49" s="94">
        <f ca="1">OFFSET(TblConstr[[#This Row],[Tot DM]],1,0)*dm_gems</f>
        <v>0</v>
      </c>
      <c r="AG49" s="142"/>
      <c r="AH49" s="156">
        <f ca="1">MIN(race_platinum_bonus + IF(TblMagic[[#This Row],[Active Alch Frost]]&gt;0,alch_frost_bonus,IF(Magic!AE49&gt;0,midas_bonus)) + TblImps[[#This Row],[Science]] - TblProd[[#This Row],[Guard]]*(0.02 + tech_5_7*TblTech[[#This Row],[5-7]]) + tech_1_5*TblTech[[#This Row],[1-5]] + tech_4_4*TblTech[[#This Row],[4-4]] + IF(TblMagic[[#This Row],[Active Infernal Command]]&gt;0,demonic_pact_plat,0), 0.5)</f>
        <v>0</v>
      </c>
      <c r="AI4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49" s="156">
        <f ca="1">race_lumber_bonus+ IF(TblMagic[[#This Row],[Active Gaia''s Blessing]]&gt;0,gaias_blessing_lumber)+ tech_1_3*TblTech[[#This Row],[1-3]] + tech_1_6*TblTech[[#This Row],[1-6]] + tech_3_3*TblTech[[#This Row],[3-3]]</f>
        <v>0</v>
      </c>
      <c r="AK49" s="156">
        <f ca="1">race_mana_bonus+ 0 + TblImps[[#This Row],[Spires]] + tech_1_2*TblTech[[#This Row],[1-2]] + tech_3_4*TblTech[[#This Row],[3-4]]</f>
        <v>0</v>
      </c>
      <c r="AL49" s="156">
        <f ca="1">race_ore_bonus + IF(TblMagic[[#This Row],[Active Miner''s Sight]]&gt;0,miners_sight_bonus,IF(TblMagic[[#This Row],[Active Mining Strength]]&gt;0,mining_strength_bonus)) +  tech_1_6*TblTech[[#This Row],[1-6]]</f>
        <v>0</v>
      </c>
      <c r="AM49" s="156">
        <f>race_gem_bonus+ tech_3_2*TblTech[[#This Row],[3-2]] + tech_4_3*TblTech[[#This Row],[4-3]] + tech_6_2*TblTech[[#This Row],[6-2]]</f>
        <v>0</v>
      </c>
      <c r="AN49" s="142"/>
      <c r="AO49" s="94">
        <f ca="1">TblProd[[#This Row],[Food]]*food_decay * (1 + tech_2_1*TblTech[[#This Row],[2-1]] + tech_2_8*TblTech[[#This Row],[2-8]] + IF(AND(TblMagic[[#This Row],[Active DnD]]&lt;12,TblMagic[[#This Row],[Active DnD]]&gt;5),1,0))</f>
        <v>948.42000000000007</v>
      </c>
      <c r="AP49" s="94">
        <f ca="1">(1+race_food_consumption)*TblPop[[#This Row],[Total]]*food_per_person*(1+tech_1_10*TblTech[[#This Row],[1-10]]+tech_7_5*TblTech[[#This Row],[7-5]] + IF(TblMagic[[#This Row],[Active Infernal Command]]&gt;0,demonic_pact_food_cons,0))</f>
        <v>269</v>
      </c>
      <c r="AQ49" s="94">
        <f ca="1">TblProd[[#This Row],[Lumber]]*lumber_rot * (1 + tech_2_1*TblTech[[#This Row],[2-1]] + tech_2_8*TblTech[[#This Row],[2-8]] + tech_5_2*TblTech[[#This Row],[5-2]] + IF(AND(TblMagic[[#This Row],[Active DnD]]&lt;12,TblMagic[[#This Row],[Active DnD]]&gt;5),1,0))</f>
        <v>459.23</v>
      </c>
      <c r="AR49" s="94">
        <f ca="1">TblProd[[#This Row],[Mana]]*mana_drain * (1 + tech_2_1*TblTech[[#This Row],[2-1]] + tech_2_8*TblTech[[#This Row],[2-8]])</f>
        <v>0</v>
      </c>
      <c r="AS49" s="154"/>
      <c r="AT49" s="94">
        <f ca="1">TblExplore[[#This Row],[Platinum (2)]]+TblConstr[[#This Row],[Total Plat Cost]]+TblMili[[#This Row],[Plat Cost]]+TblRezone[[#This Row],[Platinum cost]]+TblImps[[#This Row],[P1]]-TblProd[[#This Row],[Bank Plat]]</f>
        <v>0</v>
      </c>
      <c r="AU49" s="94">
        <f ca="1">TblConstr[[#This Row],[Total Lum Cost]]+TblImps[[#This Row],[L1]]-TblProd[[#This Row],[Bank Lumber]] + Military!$CO$25*TblMili[[#This Row],[Sec. rec. Cost]]</f>
        <v>0</v>
      </c>
      <c r="AV49" s="94">
        <f ca="1">TblMagic[[#This Row],[Mana cost]] + Military!$CO$26*TblMili[[#This Row],[Sec. rec. Cost]]</f>
        <v>0</v>
      </c>
      <c r="AW49" s="94">
        <f ca="1">Military!$CO$24*TblMili[[#This Row],[Sec. rec. Cost]]+TblImps[[#This Row],[O1]]-TblProd[[#This Row],[Bank Ore]]</f>
        <v>0</v>
      </c>
      <c r="AX49" s="94">
        <f>TblImps[[#This Row],[G1]]-TblProd[[#This Row],[Bank Gems]]</f>
        <v>0</v>
      </c>
      <c r="AY49" s="142"/>
      <c r="AZ49" s="61" t="b">
        <f ca="1">IF(TblProd[[#This Row],[Set Guard]]&lt;&gt;"",TblProd[[#This Row],[Set Guard]],OFFSET(TblProd[[#This Row],[Guard]],-1,0))</f>
        <v>0</v>
      </c>
      <c r="BA49" s="153"/>
      <c r="BB49" s="45">
        <f>TblProd[[#This Row],[Hour]]</f>
        <v>10</v>
      </c>
      <c r="BC49" s="158">
        <f>-TblProd[[#This Row],[Bank Lumber]] / 2 + -TblProd[[#This Row],[Bank Gems]] * 2 + -TblProd[[#This Row],[Bank Ore]] / 2</f>
        <v>0</v>
      </c>
      <c r="BD49" s="158"/>
      <c r="BE49" s="158"/>
      <c r="BF49" s="158"/>
      <c r="BG49" s="159">
        <f ca="1">TblProd[[#This Row],[Time]]</f>
        <v>46048.874999999891</v>
      </c>
      <c r="BH49" s="45" t="str">
        <f>IF(AND(TblProd[[#This Row],[Bank Plat]]=0,TblProd[[#This Row],[Bank Lumber]]=0,TblProd[[#This Row],[Bank Ore]]=0,TblProd[[#This Row],[Bank Gems]]=0),"",IF(TblProd[[#This Row],[Bank Plat]]&gt;0,IF((TblProd[[#This Row],[Bank Lumber]]+TblProd[[#This Row],[Bank Ore]])/2+TblProd[[#This Row],[Bank Gems]]*2+ROUNDUP(TblProd[[#This Row],[Bank Plat]]/(1 + tech_2_2*Techs!Y49),0)=0,"Ok","Nope"),IF(TblProd[[#This Row],[Bank Lumber]]&gt;0,IF((TblProd[[#This Row],[Bank Plat]]+TblProd[[#This Row],[Bank Ore]])/2+TblProd[[#This Row],[Bank Gems]]*2+ROUNDUP(TblProd[[#This Row],[Bank Lumber]]/(1 + tech_2_2*Techs!Y49),0)=0,"Ok","Nope"),IF(TblProd[[#This Row],[Bank Ore]]&gt;0,IF((TblProd[[#This Row],[Bank Plat]]+TblProd[[#This Row],[Bank Lumber]])/2+TblProd[[#This Row],[Bank Gems]]*2+ROUNDUP(TblProd[[#This Row],[Bank Ore]]/(1 + tech_2_2*Techs!Y49),0)=0,"Ok","Nope")))))</f>
        <v/>
      </c>
      <c r="BI49" s="94">
        <f ca="1">TblProd[[#This Row],[Platinum]]</f>
        <v>127701</v>
      </c>
      <c r="BJ49" s="94">
        <f ca="1">TblProd[[#This Row],[Food]]</f>
        <v>94842</v>
      </c>
      <c r="BK49" s="94">
        <f ca="1">TblProd[[#This Row],[Lumber]]</f>
        <v>45923</v>
      </c>
      <c r="BL49" s="94">
        <f ca="1">TblProd[[#This Row],[Mana]]</f>
        <v>0</v>
      </c>
      <c r="BM49" s="94">
        <f ca="1">TblProd[[#This Row],[Ore]]</f>
        <v>0</v>
      </c>
    </row>
    <row r="50" spans="1:65" x14ac:dyDescent="0.2">
      <c r="A50" s="137">
        <f t="shared" si="0"/>
        <v>11</v>
      </c>
      <c r="B50" s="152">
        <f ca="1">TblImps[[#This Row],[Time]]</f>
        <v>46048.916666666555</v>
      </c>
      <c r="C50" s="153"/>
      <c r="D50" s="154"/>
      <c r="E50" s="94">
        <f ca="1">TblConstr[[#This Row],[Land]]</f>
        <v>110</v>
      </c>
      <c r="F50" s="94">
        <f ca="1">TblPop[[#This Row],[Peasants]]</f>
        <v>631</v>
      </c>
      <c r="G50" s="94">
        <f ca="1">TblMili[[#This Row],[Networth (2)]]</f>
        <v>2450</v>
      </c>
      <c r="H50" s="94">
        <f ca="1">OFFSET(TblProd[[#This Row],[Platinum]],-1,0)+OFFSET(TblProd[[#This Row],[Plat/hr]],-1,0) - TblProd[[#This Row],[Expenses Platinum]] + IF(TblProd[[#This Row],[Plat Bonus]],TblPop[[#This Row],[Peasants]]*4) + SUM(TblConstr[[#This Row],[Dest Hom]:[Dest Doc]])*TblConstr[[#This Row],[CPA Platinum -DB]]*tech_3_3_2*TblTech[[#This Row],[3-3]]</f>
        <v>129420</v>
      </c>
      <c r="I50" s="94">
        <f ca="1">OFFSET(TblProd[[#This Row],[Food]],-1,0)+OFFSET(TblProd[[#This Row],[Food/hr]],-1,0)+ROUNDUP((TblConstr[[#This Row],[Farms]]*80+TblConstr[[#This Row],[Docks]]*35)*(1+OFFSET(TblProd[[#This Row],[Bonus Food/hr]],-1,0)),0)</f>
        <v>96205</v>
      </c>
      <c r="J50" s="94">
        <f ca="1">OFFSET(TblProd[[#This Row],[Lumber]],-1,0)+OFFSET(TblProd[[#This Row],[Lumber/hr]],-1,0) - TblProd[[#This Row],[Expenses Lumber]] + SUM(TblConstr[[#This Row],[Dest Hom]:[Dest Doc]])*TblConstr[[#This Row],[CPA Lumber -DB]]*tech_3_3_2*TblTech[[#This Row],[3-3]]</f>
        <v>46464</v>
      </c>
      <c r="K50" s="94">
        <f ca="1">OFFSET(TblProd[[#This Row],[Mana]],-1,0)+OFFSET(TblProd[[#This Row],[Mana/hr]],-1,0)- TblProd[[#This Row],[Expenses Mana]]</f>
        <v>0</v>
      </c>
      <c r="L50" s="94">
        <f ca="1">OFFSET(TblProd[[#This Row],[Ore]],-1,0)+OFFSET(TblProd[[#This Row],[Ore/hr]],-1,0) -TblProd[[#This Row],[Expenses Ore]]</f>
        <v>0</v>
      </c>
      <c r="M50" s="94">
        <f ca="1">OFFSET(TblProd[[#This Row],[Gems]],-1,0)+OFFSET(TblProd[[#This Row],[Gems/hr]],-1,0) - TblProd[[#This Row],[Expenses Gems]]</f>
        <v>0</v>
      </c>
      <c r="N50" s="94">
        <f ca="1">OFFSET(TblProd[[#This Row],[Boats]],-1,0)+OFFSET(TblProd[[#This Row],[Boats/hr]],-1,0)</f>
        <v>0</v>
      </c>
      <c r="O50" s="94">
        <f ca="1">OFFSET(TblProd[[#This Row],[Prestige]],-1,0)</f>
        <v>250</v>
      </c>
      <c r="P5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0" s="94">
        <f ca="1">MAX(_xlfn.CEILING.MATH(TblProd[[#This Row],[Land]]*2.5+IFERROR(OFFSET(TblTech[[#This Row],[Sum of tech]],-1,0)*50,0)),3750)</f>
        <v>3750</v>
      </c>
      <c r="R50" s="142"/>
      <c r="S50" s="94">
        <f ca="1">ROUNDDOWN(TblProd[[#This Row],[Raw Plat/hr]]*(1+TblProd[[#This Row],[Bonus Plat/hr]]),0)</f>
        <v>1703</v>
      </c>
      <c r="T50" s="94">
        <f ca="1">ROUND(TblProd[[#This Row],[Raw Food/hr]]*(1+TblProd[[#This Row],[Bonus Food/hr]])-TblProd[[#This Row],[Food decay]]-TblProd[[#This Row],[Food eaten]],0)</f>
        <v>1349</v>
      </c>
      <c r="U50" s="94">
        <f ca="1">ROUND(TblProd[[#This Row],[Raw Lumber/hr]]*(1+TblProd[[#This Row],[Bonus Lumber/hr]])-TblProd[[#This Row],[Lumber rot]],0)</f>
        <v>535</v>
      </c>
      <c r="V50" s="94">
        <f ca="1">ROUND(TblProd[[#This Row],[Raw Mana/hr]]*(1+TblProd[[#This Row],[Bonus Mana/hr]])-TblProd[[#This Row],[Mana drain]],0)</f>
        <v>0</v>
      </c>
      <c r="W50" s="94">
        <f ca="1">ROUNDDOWN(TblProd[[#This Row],[Raw Ore/hr]]*(1+TblProd[[#This Row],[Bonux Ore/hr]]),0)</f>
        <v>0</v>
      </c>
      <c r="X50" s="94">
        <f ca="1">ROUNDDOWN(TblProd[[#This Row],[Raw Gems/hr]]*(1+TblProd[[#This Row],[Bonus Gems/hr]]),0)</f>
        <v>0</v>
      </c>
      <c r="Y50" s="155">
        <f ca="1">OFFSET(TblConstr[[#This Row],[Tot Doc]],1,0)*dock_boats_hr * (1 + tech_4_1*TblTech[[#This Row],[4-1]])</f>
        <v>0</v>
      </c>
      <c r="Z50" s="154"/>
      <c r="AA50" s="94">
        <f ca="1">TblPop[[#This Row],[Peasants]]*tax*TblPop[[#This Row],[Employment]] + (Construction!AZ51+Construction!BX51)*(alch_plat+(Magic!AN50&gt;0)*alchemist_flame_bonus)</f>
        <v>1703.7</v>
      </c>
      <c r="AB50" s="94">
        <f ca="1">TblConstr[[#This Row],[Tot Farm]]*farm_food + TblConstr[[#This Row],[Tot Doc]]*dock_food</f>
        <v>2400</v>
      </c>
      <c r="AC50" s="94">
        <f ca="1">TblConstr[[#This Row],[Tot Ly]]*ly_lumber + TblConstr[[#This Row],[Tot Hav]]*fh_lumber + IF(race="Wood Elf",TblMili[[#This Row],[Unit 2]]*MIN(TblMili[[#This Row],[Homeland%]]/wisp_bonus,wisp_cap),0)</f>
        <v>1000</v>
      </c>
      <c r="AD50" s="94">
        <f ca="1">OFFSET(TblConstr[[#This Row],[Tot Tow]],1,0)*(tower_mana + tech_4_5*TblTech[[#This Row],[4-5]]) + OFFSET(TblConstr[[#This Row],[Tot WG]],1,0)*wg_mana_prod</f>
        <v>0</v>
      </c>
      <c r="AE50" s="94">
        <f ca="1">OFFSET(TblConstr[[#This Row],[Tot OM]],1,0)*om_ore+IF(race="Dwarf",TblMili[[#This Row],[Unit 2]]*0.5,0)</f>
        <v>0</v>
      </c>
      <c r="AF50" s="94">
        <f ca="1">OFFSET(TblConstr[[#This Row],[Tot DM]],1,0)*dm_gems</f>
        <v>0</v>
      </c>
      <c r="AG50" s="142"/>
      <c r="AH50" s="156">
        <f ca="1">MIN(race_platinum_bonus + IF(TblMagic[[#This Row],[Active Alch Frost]]&gt;0,alch_frost_bonus,IF(Magic!AE50&gt;0,midas_bonus)) + TblImps[[#This Row],[Science]] - TblProd[[#This Row],[Guard]]*(0.02 + tech_5_7*TblTech[[#This Row],[5-7]]) + tech_1_5*TblTech[[#This Row],[1-5]] + tech_4_4*TblTech[[#This Row],[4-4]] + IF(TblMagic[[#This Row],[Active Infernal Command]]&gt;0,demonic_pact_plat,0), 0.5)</f>
        <v>0</v>
      </c>
      <c r="AI5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0" s="156">
        <f ca="1">race_lumber_bonus+ IF(TblMagic[[#This Row],[Active Gaia''s Blessing]]&gt;0,gaias_blessing_lumber)+ tech_1_3*TblTech[[#This Row],[1-3]] + tech_1_6*TblTech[[#This Row],[1-6]] + tech_3_3*TblTech[[#This Row],[3-3]]</f>
        <v>0</v>
      </c>
      <c r="AK50" s="156">
        <f ca="1">race_mana_bonus+ 0 + TblImps[[#This Row],[Spires]] + tech_1_2*TblTech[[#This Row],[1-2]] + tech_3_4*TblTech[[#This Row],[3-4]]</f>
        <v>0</v>
      </c>
      <c r="AL50" s="156">
        <f ca="1">race_ore_bonus + IF(TblMagic[[#This Row],[Active Miner''s Sight]]&gt;0,miners_sight_bonus,IF(TblMagic[[#This Row],[Active Mining Strength]]&gt;0,mining_strength_bonus)) +  tech_1_6*TblTech[[#This Row],[1-6]]</f>
        <v>0</v>
      </c>
      <c r="AM50" s="156">
        <f>race_gem_bonus+ tech_3_2*TblTech[[#This Row],[3-2]] + tech_4_3*TblTech[[#This Row],[4-3]] + tech_6_2*TblTech[[#This Row],[6-2]]</f>
        <v>0</v>
      </c>
      <c r="AN50" s="142"/>
      <c r="AO50" s="94">
        <f ca="1">TblProd[[#This Row],[Food]]*food_decay * (1 + tech_2_1*TblTech[[#This Row],[2-1]] + tech_2_8*TblTech[[#This Row],[2-8]] + IF(AND(TblMagic[[#This Row],[Active DnD]]&lt;12,TblMagic[[#This Row],[Active DnD]]&gt;5),1,0))</f>
        <v>962.05000000000007</v>
      </c>
      <c r="AP50" s="94">
        <f ca="1">(1+race_food_consumption)*TblPop[[#This Row],[Total]]*food_per_person*(1+tech_1_10*TblTech[[#This Row],[1-10]]+tech_7_5*TblTech[[#This Row],[7-5]] + IF(TblMagic[[#This Row],[Active Infernal Command]]&gt;0,demonic_pact_food_cons,0))</f>
        <v>269</v>
      </c>
      <c r="AQ50" s="94">
        <f ca="1">TblProd[[#This Row],[Lumber]]*lumber_rot * (1 + tech_2_1*TblTech[[#This Row],[2-1]] + tech_2_8*TblTech[[#This Row],[2-8]] + tech_5_2*TblTech[[#This Row],[5-2]] + IF(AND(TblMagic[[#This Row],[Active DnD]]&lt;12,TblMagic[[#This Row],[Active DnD]]&gt;5),1,0))</f>
        <v>464.64</v>
      </c>
      <c r="AR50" s="94">
        <f ca="1">TblProd[[#This Row],[Mana]]*mana_drain * (1 + tech_2_1*TblTech[[#This Row],[2-1]] + tech_2_8*TblTech[[#This Row],[2-8]])</f>
        <v>0</v>
      </c>
      <c r="AS50" s="154"/>
      <c r="AT50" s="94">
        <f ca="1">TblExplore[[#This Row],[Platinum (2)]]+TblConstr[[#This Row],[Total Plat Cost]]+TblMili[[#This Row],[Plat Cost]]+TblRezone[[#This Row],[Platinum cost]]+TblImps[[#This Row],[P1]]-TblProd[[#This Row],[Bank Plat]]</f>
        <v>0</v>
      </c>
      <c r="AU50" s="94">
        <f ca="1">TblConstr[[#This Row],[Total Lum Cost]]+TblImps[[#This Row],[L1]]-TblProd[[#This Row],[Bank Lumber]] + Military!$CO$25*TblMili[[#This Row],[Sec. rec. Cost]]</f>
        <v>0</v>
      </c>
      <c r="AV50" s="94">
        <f ca="1">TblMagic[[#This Row],[Mana cost]] + Military!$CO$26*TblMili[[#This Row],[Sec. rec. Cost]]</f>
        <v>0</v>
      </c>
      <c r="AW50" s="94">
        <f ca="1">Military!$CO$24*TblMili[[#This Row],[Sec. rec. Cost]]+TblImps[[#This Row],[O1]]-TblProd[[#This Row],[Bank Ore]]</f>
        <v>0</v>
      </c>
      <c r="AX50" s="94">
        <f>TblImps[[#This Row],[G1]]-TblProd[[#This Row],[Bank Gems]]</f>
        <v>0</v>
      </c>
      <c r="AY50" s="142"/>
      <c r="AZ50" s="61" t="b">
        <f ca="1">IF(TblProd[[#This Row],[Set Guard]]&lt;&gt;"",TblProd[[#This Row],[Set Guard]],OFFSET(TblProd[[#This Row],[Guard]],-1,0))</f>
        <v>0</v>
      </c>
      <c r="BA50" s="153"/>
      <c r="BB50" s="45">
        <f>TblProd[[#This Row],[Hour]]</f>
        <v>11</v>
      </c>
      <c r="BC50" s="158">
        <f>-TblProd[[#This Row],[Bank Lumber]] / 2 + -TblProd[[#This Row],[Bank Gems]] * 2 + -TblProd[[#This Row],[Bank Ore]] / 2</f>
        <v>0</v>
      </c>
      <c r="BD50" s="158"/>
      <c r="BE50" s="158"/>
      <c r="BF50" s="158"/>
      <c r="BG50" s="159">
        <f ca="1">TblProd[[#This Row],[Time]]</f>
        <v>46048.916666666555</v>
      </c>
      <c r="BH50" s="45" t="str">
        <f>IF(AND(TblProd[[#This Row],[Bank Plat]]=0,TblProd[[#This Row],[Bank Lumber]]=0,TblProd[[#This Row],[Bank Ore]]=0,TblProd[[#This Row],[Bank Gems]]=0),"",IF(TblProd[[#This Row],[Bank Plat]]&gt;0,IF((TblProd[[#This Row],[Bank Lumber]]+TblProd[[#This Row],[Bank Ore]])/2+TblProd[[#This Row],[Bank Gems]]*2+ROUNDUP(TblProd[[#This Row],[Bank Plat]]/(1 + tech_2_2*Techs!Y50),0)=0,"Ok","Nope"),IF(TblProd[[#This Row],[Bank Lumber]]&gt;0,IF((TblProd[[#This Row],[Bank Plat]]+TblProd[[#This Row],[Bank Ore]])/2+TblProd[[#This Row],[Bank Gems]]*2+ROUNDUP(TblProd[[#This Row],[Bank Lumber]]/(1 + tech_2_2*Techs!Y50),0)=0,"Ok","Nope"),IF(TblProd[[#This Row],[Bank Ore]]&gt;0,IF((TblProd[[#This Row],[Bank Plat]]+TblProd[[#This Row],[Bank Lumber]])/2+TblProd[[#This Row],[Bank Gems]]*2+ROUNDUP(TblProd[[#This Row],[Bank Ore]]/(1 + tech_2_2*Techs!Y50),0)=0,"Ok","Nope")))))</f>
        <v/>
      </c>
      <c r="BI50" s="94">
        <f ca="1">TblProd[[#This Row],[Platinum]]</f>
        <v>129420</v>
      </c>
      <c r="BJ50" s="94">
        <f ca="1">TblProd[[#This Row],[Food]]</f>
        <v>96205</v>
      </c>
      <c r="BK50" s="94">
        <f ca="1">TblProd[[#This Row],[Lumber]]</f>
        <v>46464</v>
      </c>
      <c r="BL50" s="94">
        <f ca="1">TblProd[[#This Row],[Mana]]</f>
        <v>0</v>
      </c>
      <c r="BM50" s="94">
        <f ca="1">TblProd[[#This Row],[Ore]]</f>
        <v>0</v>
      </c>
    </row>
    <row r="51" spans="1:65" x14ac:dyDescent="0.2">
      <c r="A51" s="137">
        <f t="shared" si="0"/>
        <v>12</v>
      </c>
      <c r="B51" s="152">
        <f ca="1">TblImps[[#This Row],[Time]]</f>
        <v>46048.958333333219</v>
      </c>
      <c r="C51" s="153"/>
      <c r="D51" s="154"/>
      <c r="E51" s="94">
        <f ca="1">TblConstr[[#This Row],[Land]]</f>
        <v>110</v>
      </c>
      <c r="F51" s="94">
        <f ca="1">TblPop[[#This Row],[Peasants]]</f>
        <v>625</v>
      </c>
      <c r="G51" s="94">
        <f ca="1">TblMili[[#This Row],[Networth (2)]]</f>
        <v>2450</v>
      </c>
      <c r="H51" s="94">
        <f ca="1">OFFSET(TblProd[[#This Row],[Platinum]],-1,0)+OFFSET(TblProd[[#This Row],[Plat/hr]],-1,0) - TblProd[[#This Row],[Expenses Platinum]] + IF(TblProd[[#This Row],[Plat Bonus]],TblPop[[#This Row],[Peasants]]*4) + SUM(TblConstr[[#This Row],[Dest Hom]:[Dest Doc]])*TblConstr[[#This Row],[CPA Platinum -DB]]*tech_3_3_2*TblTech[[#This Row],[3-3]]</f>
        <v>131123</v>
      </c>
      <c r="I51" s="94">
        <f ca="1">OFFSET(TblProd[[#This Row],[Food]],-1,0)+OFFSET(TblProd[[#This Row],[Food/hr]],-1,0)+ROUNDUP((TblConstr[[#This Row],[Farms]]*80+TblConstr[[#This Row],[Docks]]*35)*(1+OFFSET(TblProd[[#This Row],[Bonus Food/hr]],-1,0)),0)</f>
        <v>97554</v>
      </c>
      <c r="J51" s="94">
        <f ca="1">OFFSET(TblProd[[#This Row],[Lumber]],-1,0)+OFFSET(TblProd[[#This Row],[Lumber/hr]],-1,0) - TblProd[[#This Row],[Expenses Lumber]] + SUM(TblConstr[[#This Row],[Dest Hom]:[Dest Doc]])*TblConstr[[#This Row],[CPA Lumber -DB]]*tech_3_3_2*TblTech[[#This Row],[3-3]]</f>
        <v>46999</v>
      </c>
      <c r="K51" s="94">
        <f ca="1">OFFSET(TblProd[[#This Row],[Mana]],-1,0)+OFFSET(TblProd[[#This Row],[Mana/hr]],-1,0)- TblProd[[#This Row],[Expenses Mana]]</f>
        <v>0</v>
      </c>
      <c r="L51" s="94">
        <f ca="1">OFFSET(TblProd[[#This Row],[Ore]],-1,0)+OFFSET(TblProd[[#This Row],[Ore/hr]],-1,0) -TblProd[[#This Row],[Expenses Ore]]</f>
        <v>0</v>
      </c>
      <c r="M51" s="94">
        <f ca="1">OFFSET(TblProd[[#This Row],[Gems]],-1,0)+OFFSET(TblProd[[#This Row],[Gems/hr]],-1,0) - TblProd[[#This Row],[Expenses Gems]]</f>
        <v>0</v>
      </c>
      <c r="N51" s="94">
        <f ca="1">OFFSET(TblProd[[#This Row],[Boats]],-1,0)+OFFSET(TblProd[[#This Row],[Boats/hr]],-1,0)</f>
        <v>0</v>
      </c>
      <c r="O51" s="94">
        <f ca="1">OFFSET(TblProd[[#This Row],[Prestige]],-1,0)</f>
        <v>250</v>
      </c>
      <c r="P5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1" s="94">
        <f ca="1">MAX(_xlfn.CEILING.MATH(TblProd[[#This Row],[Land]]*2.5+IFERROR(OFFSET(TblTech[[#This Row],[Sum of tech]],-1,0)*50,0)),3750)</f>
        <v>3750</v>
      </c>
      <c r="R51" s="142"/>
      <c r="S51" s="94">
        <f ca="1">ROUNDDOWN(TblProd[[#This Row],[Raw Plat/hr]]*(1+TblProd[[#This Row],[Bonus Plat/hr]]),0)</f>
        <v>1687</v>
      </c>
      <c r="T51" s="94">
        <f ca="1">ROUND(TblProd[[#This Row],[Raw Food/hr]]*(1+TblProd[[#This Row],[Bonus Food/hr]])-TblProd[[#This Row],[Food decay]]-TblProd[[#This Row],[Food eaten]],0)</f>
        <v>1335</v>
      </c>
      <c r="U51" s="94">
        <f ca="1">ROUND(TblProd[[#This Row],[Raw Lumber/hr]]*(1+TblProd[[#This Row],[Bonus Lumber/hr]])-TblProd[[#This Row],[Lumber rot]],0)</f>
        <v>530</v>
      </c>
      <c r="V51" s="94">
        <f ca="1">ROUND(TblProd[[#This Row],[Raw Mana/hr]]*(1+TblProd[[#This Row],[Bonus Mana/hr]])-TblProd[[#This Row],[Mana drain]],0)</f>
        <v>0</v>
      </c>
      <c r="W51" s="94">
        <f ca="1">ROUNDDOWN(TblProd[[#This Row],[Raw Ore/hr]]*(1+TblProd[[#This Row],[Bonux Ore/hr]]),0)</f>
        <v>0</v>
      </c>
      <c r="X51" s="94">
        <f ca="1">ROUNDDOWN(TblProd[[#This Row],[Raw Gems/hr]]*(1+TblProd[[#This Row],[Bonus Gems/hr]]),0)</f>
        <v>0</v>
      </c>
      <c r="Y51" s="155">
        <f ca="1">OFFSET(TblConstr[[#This Row],[Tot Doc]],1,0)*dock_boats_hr * (1 + tech_4_1*TblTech[[#This Row],[4-1]])</f>
        <v>0</v>
      </c>
      <c r="Z51" s="154"/>
      <c r="AA51" s="94">
        <f ca="1">TblPop[[#This Row],[Peasants]]*tax*TblPop[[#This Row],[Employment]] + (Construction!AZ52+Construction!BX52)*(alch_plat+(Magic!AN51&gt;0)*alchemist_flame_bonus)</f>
        <v>1687.5</v>
      </c>
      <c r="AB51" s="94">
        <f ca="1">TblConstr[[#This Row],[Tot Farm]]*farm_food + TblConstr[[#This Row],[Tot Doc]]*dock_food</f>
        <v>2400</v>
      </c>
      <c r="AC51" s="94">
        <f ca="1">TblConstr[[#This Row],[Tot Ly]]*ly_lumber + TblConstr[[#This Row],[Tot Hav]]*fh_lumber + IF(race="Wood Elf",TblMili[[#This Row],[Unit 2]]*MIN(TblMili[[#This Row],[Homeland%]]/wisp_bonus,wisp_cap),0)</f>
        <v>1000</v>
      </c>
      <c r="AD51" s="94">
        <f ca="1">OFFSET(TblConstr[[#This Row],[Tot Tow]],1,0)*(tower_mana + tech_4_5*TblTech[[#This Row],[4-5]]) + OFFSET(TblConstr[[#This Row],[Tot WG]],1,0)*wg_mana_prod</f>
        <v>0</v>
      </c>
      <c r="AE51" s="94">
        <f ca="1">OFFSET(TblConstr[[#This Row],[Tot OM]],1,0)*om_ore+IF(race="Dwarf",TblMili[[#This Row],[Unit 2]]*0.5,0)</f>
        <v>0</v>
      </c>
      <c r="AF51" s="94">
        <f ca="1">OFFSET(TblConstr[[#This Row],[Tot DM]],1,0)*dm_gems</f>
        <v>0</v>
      </c>
      <c r="AG51" s="142"/>
      <c r="AH51" s="156">
        <f ca="1">MIN(race_platinum_bonus + IF(TblMagic[[#This Row],[Active Alch Frost]]&gt;0,alch_frost_bonus,IF(Magic!AE51&gt;0,midas_bonus)) + TblImps[[#This Row],[Science]] - TblProd[[#This Row],[Guard]]*(0.02 + tech_5_7*TblTech[[#This Row],[5-7]]) + tech_1_5*TblTech[[#This Row],[1-5]] + tech_4_4*TblTech[[#This Row],[4-4]] + IF(TblMagic[[#This Row],[Active Infernal Command]]&gt;0,demonic_pact_plat,0), 0.5)</f>
        <v>0</v>
      </c>
      <c r="AI5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1" s="156">
        <f ca="1">race_lumber_bonus+ IF(TblMagic[[#This Row],[Active Gaia''s Blessing]]&gt;0,gaias_blessing_lumber)+ tech_1_3*TblTech[[#This Row],[1-3]] + tech_1_6*TblTech[[#This Row],[1-6]] + tech_3_3*TblTech[[#This Row],[3-3]]</f>
        <v>0</v>
      </c>
      <c r="AK51" s="156">
        <f ca="1">race_mana_bonus+ 0 + TblImps[[#This Row],[Spires]] + tech_1_2*TblTech[[#This Row],[1-2]] + tech_3_4*TblTech[[#This Row],[3-4]]</f>
        <v>0</v>
      </c>
      <c r="AL51" s="156">
        <f ca="1">race_ore_bonus + IF(TblMagic[[#This Row],[Active Miner''s Sight]]&gt;0,miners_sight_bonus,IF(TblMagic[[#This Row],[Active Mining Strength]]&gt;0,mining_strength_bonus)) +  tech_1_6*TblTech[[#This Row],[1-6]]</f>
        <v>0</v>
      </c>
      <c r="AM51" s="156">
        <f>race_gem_bonus+ tech_3_2*TblTech[[#This Row],[3-2]] + tech_4_3*TblTech[[#This Row],[4-3]] + tech_6_2*TblTech[[#This Row],[6-2]]</f>
        <v>0</v>
      </c>
      <c r="AN51" s="142"/>
      <c r="AO51" s="94">
        <f ca="1">TblProd[[#This Row],[Food]]*food_decay * (1 + tech_2_1*TblTech[[#This Row],[2-1]] + tech_2_8*TblTech[[#This Row],[2-8]] + IF(AND(TblMagic[[#This Row],[Active DnD]]&lt;12,TblMagic[[#This Row],[Active DnD]]&gt;5),1,0))</f>
        <v>975.54</v>
      </c>
      <c r="AP51" s="94">
        <f ca="1">(1+race_food_consumption)*TblPop[[#This Row],[Total]]*food_per_person*(1+tech_1_10*TblTech[[#This Row],[1-10]]+tech_7_5*TblTech[[#This Row],[7-5]] + IF(TblMagic[[#This Row],[Active Infernal Command]]&gt;0,demonic_pact_food_cons,0))</f>
        <v>269</v>
      </c>
      <c r="AQ51" s="94">
        <f ca="1">TblProd[[#This Row],[Lumber]]*lumber_rot * (1 + tech_2_1*TblTech[[#This Row],[2-1]] + tech_2_8*TblTech[[#This Row],[2-8]] + tech_5_2*TblTech[[#This Row],[5-2]] + IF(AND(TblMagic[[#This Row],[Active DnD]]&lt;12,TblMagic[[#This Row],[Active DnD]]&gt;5),1,0))</f>
        <v>469.99</v>
      </c>
      <c r="AR51" s="94">
        <f ca="1">TblProd[[#This Row],[Mana]]*mana_drain * (1 + tech_2_1*TblTech[[#This Row],[2-1]] + tech_2_8*TblTech[[#This Row],[2-8]])</f>
        <v>0</v>
      </c>
      <c r="AS51" s="154"/>
      <c r="AT51" s="94">
        <f ca="1">TblExplore[[#This Row],[Platinum (2)]]+TblConstr[[#This Row],[Total Plat Cost]]+TblMili[[#This Row],[Plat Cost]]+TblRezone[[#This Row],[Platinum cost]]+TblImps[[#This Row],[P1]]-TblProd[[#This Row],[Bank Plat]]</f>
        <v>0</v>
      </c>
      <c r="AU51" s="94">
        <f ca="1">TblConstr[[#This Row],[Total Lum Cost]]+TblImps[[#This Row],[L1]]-TblProd[[#This Row],[Bank Lumber]] + Military!$CO$25*TblMili[[#This Row],[Sec. rec. Cost]]</f>
        <v>0</v>
      </c>
      <c r="AV51" s="94">
        <f ca="1">TblMagic[[#This Row],[Mana cost]] + Military!$CO$26*TblMili[[#This Row],[Sec. rec. Cost]]</f>
        <v>0</v>
      </c>
      <c r="AW51" s="94">
        <f ca="1">Military!$CO$24*TblMili[[#This Row],[Sec. rec. Cost]]+TblImps[[#This Row],[O1]]-TblProd[[#This Row],[Bank Ore]]</f>
        <v>0</v>
      </c>
      <c r="AX51" s="94">
        <f>TblImps[[#This Row],[G1]]-TblProd[[#This Row],[Bank Gems]]</f>
        <v>0</v>
      </c>
      <c r="AY51" s="142"/>
      <c r="AZ51" s="61" t="b">
        <f ca="1">IF(TblProd[[#This Row],[Set Guard]]&lt;&gt;"",TblProd[[#This Row],[Set Guard]],OFFSET(TblProd[[#This Row],[Guard]],-1,0))</f>
        <v>0</v>
      </c>
      <c r="BA51" s="153"/>
      <c r="BB51" s="45">
        <f>TblProd[[#This Row],[Hour]]</f>
        <v>12</v>
      </c>
      <c r="BC51" s="158">
        <f>-TblProd[[#This Row],[Bank Lumber]] / 2 + -TblProd[[#This Row],[Bank Gems]] * 2 + -TblProd[[#This Row],[Bank Ore]] / 2</f>
        <v>0</v>
      </c>
      <c r="BD51" s="158"/>
      <c r="BE51" s="158"/>
      <c r="BF51" s="158"/>
      <c r="BG51" s="159">
        <f ca="1">TblProd[[#This Row],[Time]]</f>
        <v>46048.958333333219</v>
      </c>
      <c r="BH51" s="45" t="str">
        <f>IF(AND(TblProd[[#This Row],[Bank Plat]]=0,TblProd[[#This Row],[Bank Lumber]]=0,TblProd[[#This Row],[Bank Ore]]=0,TblProd[[#This Row],[Bank Gems]]=0),"",IF(TblProd[[#This Row],[Bank Plat]]&gt;0,IF((TblProd[[#This Row],[Bank Lumber]]+TblProd[[#This Row],[Bank Ore]])/2+TblProd[[#This Row],[Bank Gems]]*2+ROUNDUP(TblProd[[#This Row],[Bank Plat]]/(1 + tech_2_2*Techs!Y51),0)=0,"Ok","Nope"),IF(TblProd[[#This Row],[Bank Lumber]]&gt;0,IF((TblProd[[#This Row],[Bank Plat]]+TblProd[[#This Row],[Bank Ore]])/2+TblProd[[#This Row],[Bank Gems]]*2+ROUNDUP(TblProd[[#This Row],[Bank Lumber]]/(1 + tech_2_2*Techs!Y51),0)=0,"Ok","Nope"),IF(TblProd[[#This Row],[Bank Ore]]&gt;0,IF((TblProd[[#This Row],[Bank Plat]]+TblProd[[#This Row],[Bank Lumber]])/2+TblProd[[#This Row],[Bank Gems]]*2+ROUNDUP(TblProd[[#This Row],[Bank Ore]]/(1 + tech_2_2*Techs!Y51),0)=0,"Ok","Nope")))))</f>
        <v/>
      </c>
      <c r="BI51" s="94">
        <f ca="1">TblProd[[#This Row],[Platinum]]</f>
        <v>131123</v>
      </c>
      <c r="BJ51" s="94">
        <f ca="1">TblProd[[#This Row],[Food]]</f>
        <v>97554</v>
      </c>
      <c r="BK51" s="94">
        <f ca="1">TblProd[[#This Row],[Lumber]]</f>
        <v>46999</v>
      </c>
      <c r="BL51" s="94">
        <f ca="1">TblProd[[#This Row],[Mana]]</f>
        <v>0</v>
      </c>
      <c r="BM51" s="94">
        <f ca="1">TblProd[[#This Row],[Ore]]</f>
        <v>0</v>
      </c>
    </row>
    <row r="52" spans="1:65" x14ac:dyDescent="0.2">
      <c r="A52" s="137">
        <f t="shared" si="0"/>
        <v>13</v>
      </c>
      <c r="B52" s="152">
        <f ca="1">TblImps[[#This Row],[Time]]</f>
        <v>46048.999999999884</v>
      </c>
      <c r="C52" s="153"/>
      <c r="D52" s="154"/>
      <c r="E52" s="94">
        <f ca="1">TblConstr[[#This Row],[Land]]</f>
        <v>110</v>
      </c>
      <c r="F52" s="94">
        <f ca="1">TblPop[[#This Row],[Peasants]]</f>
        <v>619</v>
      </c>
      <c r="G52" s="94">
        <f ca="1">TblMili[[#This Row],[Networth (2)]]</f>
        <v>2450</v>
      </c>
      <c r="H52" s="94">
        <f ca="1">OFFSET(TblProd[[#This Row],[Platinum]],-1,0)+OFFSET(TblProd[[#This Row],[Plat/hr]],-1,0) - TblProd[[#This Row],[Expenses Platinum]] + IF(TblProd[[#This Row],[Plat Bonus]],TblPop[[#This Row],[Peasants]]*4) + SUM(TblConstr[[#This Row],[Dest Hom]:[Dest Doc]])*TblConstr[[#This Row],[CPA Platinum -DB]]*tech_3_3_2*TblTech[[#This Row],[3-3]]</f>
        <v>132810</v>
      </c>
      <c r="I52" s="94">
        <f ca="1">OFFSET(TblProd[[#This Row],[Food]],-1,0)+OFFSET(TblProd[[#This Row],[Food/hr]],-1,0)+ROUNDUP((TblConstr[[#This Row],[Farms]]*80+TblConstr[[#This Row],[Docks]]*35)*(1+OFFSET(TblProd[[#This Row],[Bonus Food/hr]],-1,0)),0)</f>
        <v>98889</v>
      </c>
      <c r="J52" s="94">
        <f ca="1">OFFSET(TblProd[[#This Row],[Lumber]],-1,0)+OFFSET(TblProd[[#This Row],[Lumber/hr]],-1,0) - TblProd[[#This Row],[Expenses Lumber]] + SUM(TblConstr[[#This Row],[Dest Hom]:[Dest Doc]])*TblConstr[[#This Row],[CPA Lumber -DB]]*tech_3_3_2*TblTech[[#This Row],[3-3]]</f>
        <v>47529</v>
      </c>
      <c r="K52" s="94">
        <f ca="1">OFFSET(TblProd[[#This Row],[Mana]],-1,0)+OFFSET(TblProd[[#This Row],[Mana/hr]],-1,0)- TblProd[[#This Row],[Expenses Mana]]</f>
        <v>0</v>
      </c>
      <c r="L52" s="94">
        <f ca="1">OFFSET(TblProd[[#This Row],[Ore]],-1,0)+OFFSET(TblProd[[#This Row],[Ore/hr]],-1,0) -TblProd[[#This Row],[Expenses Ore]]</f>
        <v>0</v>
      </c>
      <c r="M52" s="94">
        <f ca="1">OFFSET(TblProd[[#This Row],[Gems]],-1,0)+OFFSET(TblProd[[#This Row],[Gems/hr]],-1,0) - TblProd[[#This Row],[Expenses Gems]]</f>
        <v>0</v>
      </c>
      <c r="N52" s="94">
        <f ca="1">OFFSET(TblProd[[#This Row],[Boats]],-1,0)+OFFSET(TblProd[[#This Row],[Boats/hr]],-1,0)</f>
        <v>0</v>
      </c>
      <c r="O52" s="94">
        <f ca="1">OFFSET(TblProd[[#This Row],[Prestige]],-1,0)</f>
        <v>250</v>
      </c>
      <c r="P5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2" s="94">
        <f ca="1">MAX(_xlfn.CEILING.MATH(TblProd[[#This Row],[Land]]*2.5+IFERROR(OFFSET(TblTech[[#This Row],[Sum of tech]],-1,0)*50,0)),3750)</f>
        <v>3750</v>
      </c>
      <c r="R52" s="142"/>
      <c r="S52" s="94">
        <f ca="1">ROUNDDOWN(TblProd[[#This Row],[Raw Plat/hr]]*(1+TblProd[[#This Row],[Bonus Plat/hr]]),0)</f>
        <v>1671</v>
      </c>
      <c r="T52" s="94">
        <f ca="1">ROUND(TblProd[[#This Row],[Raw Food/hr]]*(1+TblProd[[#This Row],[Bonus Food/hr]])-TblProd[[#This Row],[Food decay]]-TblProd[[#This Row],[Food eaten]],0)</f>
        <v>1322</v>
      </c>
      <c r="U52" s="94">
        <f ca="1">ROUND(TblProd[[#This Row],[Raw Lumber/hr]]*(1+TblProd[[#This Row],[Bonus Lumber/hr]])-TblProd[[#This Row],[Lumber rot]],0)</f>
        <v>525</v>
      </c>
      <c r="V52" s="94">
        <f ca="1">ROUND(TblProd[[#This Row],[Raw Mana/hr]]*(1+TblProd[[#This Row],[Bonus Mana/hr]])-TblProd[[#This Row],[Mana drain]],0)</f>
        <v>0</v>
      </c>
      <c r="W52" s="94">
        <f ca="1">ROUNDDOWN(TblProd[[#This Row],[Raw Ore/hr]]*(1+TblProd[[#This Row],[Bonux Ore/hr]]),0)</f>
        <v>0</v>
      </c>
      <c r="X52" s="94">
        <f ca="1">ROUNDDOWN(TblProd[[#This Row],[Raw Gems/hr]]*(1+TblProd[[#This Row],[Bonus Gems/hr]]),0)</f>
        <v>0</v>
      </c>
      <c r="Y52" s="155">
        <f ca="1">OFFSET(TblConstr[[#This Row],[Tot Doc]],1,0)*dock_boats_hr * (1 + tech_4_1*TblTech[[#This Row],[4-1]])</f>
        <v>0</v>
      </c>
      <c r="Z52" s="154"/>
      <c r="AA52" s="94">
        <f ca="1">TblPop[[#This Row],[Peasants]]*tax*TblPop[[#This Row],[Employment]] + (Construction!AZ53+Construction!BX53)*(alch_plat+(Magic!AN52&gt;0)*alchemist_flame_bonus)</f>
        <v>1671.3000000000002</v>
      </c>
      <c r="AB52" s="94">
        <f ca="1">TblConstr[[#This Row],[Tot Farm]]*farm_food + TblConstr[[#This Row],[Tot Doc]]*dock_food</f>
        <v>2400</v>
      </c>
      <c r="AC52" s="94">
        <f ca="1">TblConstr[[#This Row],[Tot Ly]]*ly_lumber + TblConstr[[#This Row],[Tot Hav]]*fh_lumber + IF(race="Wood Elf",TblMili[[#This Row],[Unit 2]]*MIN(TblMili[[#This Row],[Homeland%]]/wisp_bonus,wisp_cap),0)</f>
        <v>1000</v>
      </c>
      <c r="AD52" s="94">
        <f ca="1">OFFSET(TblConstr[[#This Row],[Tot Tow]],1,0)*(tower_mana + tech_4_5*TblTech[[#This Row],[4-5]]) + OFFSET(TblConstr[[#This Row],[Tot WG]],1,0)*wg_mana_prod</f>
        <v>0</v>
      </c>
      <c r="AE52" s="94">
        <f ca="1">OFFSET(TblConstr[[#This Row],[Tot OM]],1,0)*om_ore+IF(race="Dwarf",TblMili[[#This Row],[Unit 2]]*0.5,0)</f>
        <v>0</v>
      </c>
      <c r="AF52" s="94">
        <f ca="1">OFFSET(TblConstr[[#This Row],[Tot DM]],1,0)*dm_gems</f>
        <v>0</v>
      </c>
      <c r="AG52" s="142"/>
      <c r="AH52" s="156">
        <f ca="1">MIN(race_platinum_bonus + IF(TblMagic[[#This Row],[Active Alch Frost]]&gt;0,alch_frost_bonus,IF(Magic!AE52&gt;0,midas_bonus)) + TblImps[[#This Row],[Science]] - TblProd[[#This Row],[Guard]]*(0.02 + tech_5_7*TblTech[[#This Row],[5-7]]) + tech_1_5*TblTech[[#This Row],[1-5]] + tech_4_4*TblTech[[#This Row],[4-4]] + IF(TblMagic[[#This Row],[Active Infernal Command]]&gt;0,demonic_pact_plat,0), 0.5)</f>
        <v>0</v>
      </c>
      <c r="AI5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2" s="156">
        <f ca="1">race_lumber_bonus+ IF(TblMagic[[#This Row],[Active Gaia''s Blessing]]&gt;0,gaias_blessing_lumber)+ tech_1_3*TblTech[[#This Row],[1-3]] + tech_1_6*TblTech[[#This Row],[1-6]] + tech_3_3*TblTech[[#This Row],[3-3]]</f>
        <v>0</v>
      </c>
      <c r="AK52" s="156">
        <f ca="1">race_mana_bonus+ 0 + TblImps[[#This Row],[Spires]] + tech_1_2*TblTech[[#This Row],[1-2]] + tech_3_4*TblTech[[#This Row],[3-4]]</f>
        <v>0</v>
      </c>
      <c r="AL52" s="156">
        <f ca="1">race_ore_bonus + IF(TblMagic[[#This Row],[Active Miner''s Sight]]&gt;0,miners_sight_bonus,IF(TblMagic[[#This Row],[Active Mining Strength]]&gt;0,mining_strength_bonus)) +  tech_1_6*TblTech[[#This Row],[1-6]]</f>
        <v>0</v>
      </c>
      <c r="AM52" s="156">
        <f>race_gem_bonus+ tech_3_2*TblTech[[#This Row],[3-2]] + tech_4_3*TblTech[[#This Row],[4-3]] + tech_6_2*TblTech[[#This Row],[6-2]]</f>
        <v>0</v>
      </c>
      <c r="AN52" s="142"/>
      <c r="AO52" s="94">
        <f ca="1">TblProd[[#This Row],[Food]]*food_decay * (1 + tech_2_1*TblTech[[#This Row],[2-1]] + tech_2_8*TblTech[[#This Row],[2-8]] + IF(AND(TblMagic[[#This Row],[Active DnD]]&lt;12,TblMagic[[#This Row],[Active DnD]]&gt;5),1,0))</f>
        <v>988.89</v>
      </c>
      <c r="AP52" s="94">
        <f ca="1">(1+race_food_consumption)*TblPop[[#This Row],[Total]]*food_per_person*(1+tech_1_10*TblTech[[#This Row],[1-10]]+tech_7_5*TblTech[[#This Row],[7-5]] + IF(TblMagic[[#This Row],[Active Infernal Command]]&gt;0,demonic_pact_food_cons,0))</f>
        <v>269</v>
      </c>
      <c r="AQ52" s="94">
        <f ca="1">TblProd[[#This Row],[Lumber]]*lumber_rot * (1 + tech_2_1*TblTech[[#This Row],[2-1]] + tech_2_8*TblTech[[#This Row],[2-8]] + tech_5_2*TblTech[[#This Row],[5-2]] + IF(AND(TblMagic[[#This Row],[Active DnD]]&lt;12,TblMagic[[#This Row],[Active DnD]]&gt;5),1,0))</f>
        <v>475.29</v>
      </c>
      <c r="AR52" s="94">
        <f ca="1">TblProd[[#This Row],[Mana]]*mana_drain * (1 + tech_2_1*TblTech[[#This Row],[2-1]] + tech_2_8*TblTech[[#This Row],[2-8]])</f>
        <v>0</v>
      </c>
      <c r="AS52" s="154"/>
      <c r="AT52" s="94">
        <f ca="1">TblExplore[[#This Row],[Platinum (2)]]+TblConstr[[#This Row],[Total Plat Cost]]+TblMili[[#This Row],[Plat Cost]]+TblRezone[[#This Row],[Platinum cost]]+TblImps[[#This Row],[P1]]-TblProd[[#This Row],[Bank Plat]]</f>
        <v>0</v>
      </c>
      <c r="AU52" s="94">
        <f ca="1">TblConstr[[#This Row],[Total Lum Cost]]+TblImps[[#This Row],[L1]]-TblProd[[#This Row],[Bank Lumber]] + Military!$CO$25*TblMili[[#This Row],[Sec. rec. Cost]]</f>
        <v>0</v>
      </c>
      <c r="AV52" s="94">
        <f ca="1">TblMagic[[#This Row],[Mana cost]] + Military!$CO$26*TblMili[[#This Row],[Sec. rec. Cost]]</f>
        <v>0</v>
      </c>
      <c r="AW52" s="94">
        <f ca="1">Military!$CO$24*TblMili[[#This Row],[Sec. rec. Cost]]+TblImps[[#This Row],[O1]]-TblProd[[#This Row],[Bank Ore]]</f>
        <v>0</v>
      </c>
      <c r="AX52" s="94">
        <f>TblImps[[#This Row],[G1]]-TblProd[[#This Row],[Bank Gems]]</f>
        <v>0</v>
      </c>
      <c r="AY52" s="142"/>
      <c r="AZ52" s="61" t="b">
        <f ca="1">IF(TblProd[[#This Row],[Set Guard]]&lt;&gt;"",TblProd[[#This Row],[Set Guard]],OFFSET(TblProd[[#This Row],[Guard]],-1,0))</f>
        <v>0</v>
      </c>
      <c r="BA52" s="153"/>
      <c r="BB52" s="45">
        <f>TblProd[[#This Row],[Hour]]</f>
        <v>13</v>
      </c>
      <c r="BC52" s="158">
        <f>-TblProd[[#This Row],[Bank Lumber]] / 2 + -TblProd[[#This Row],[Bank Gems]] * 2 + -TblProd[[#This Row],[Bank Ore]] / 2</f>
        <v>0</v>
      </c>
      <c r="BD52" s="158"/>
      <c r="BE52" s="158"/>
      <c r="BF52" s="158"/>
      <c r="BG52" s="159">
        <f ca="1">TblProd[[#This Row],[Time]]</f>
        <v>46048.999999999884</v>
      </c>
      <c r="BH52" s="45" t="str">
        <f>IF(AND(TblProd[[#This Row],[Bank Plat]]=0,TblProd[[#This Row],[Bank Lumber]]=0,TblProd[[#This Row],[Bank Ore]]=0,TblProd[[#This Row],[Bank Gems]]=0),"",IF(TblProd[[#This Row],[Bank Plat]]&gt;0,IF((TblProd[[#This Row],[Bank Lumber]]+TblProd[[#This Row],[Bank Ore]])/2+TblProd[[#This Row],[Bank Gems]]*2+ROUNDUP(TblProd[[#This Row],[Bank Plat]]/(1 + tech_2_2*Techs!Y52),0)=0,"Ok","Nope"),IF(TblProd[[#This Row],[Bank Lumber]]&gt;0,IF((TblProd[[#This Row],[Bank Plat]]+TblProd[[#This Row],[Bank Ore]])/2+TblProd[[#This Row],[Bank Gems]]*2+ROUNDUP(TblProd[[#This Row],[Bank Lumber]]/(1 + tech_2_2*Techs!Y52),0)=0,"Ok","Nope"),IF(TblProd[[#This Row],[Bank Ore]]&gt;0,IF((TblProd[[#This Row],[Bank Plat]]+TblProd[[#This Row],[Bank Lumber]])/2+TblProd[[#This Row],[Bank Gems]]*2+ROUNDUP(TblProd[[#This Row],[Bank Ore]]/(1 + tech_2_2*Techs!Y52),0)=0,"Ok","Nope")))))</f>
        <v/>
      </c>
      <c r="BI52" s="94">
        <f ca="1">TblProd[[#This Row],[Platinum]]</f>
        <v>132810</v>
      </c>
      <c r="BJ52" s="94">
        <f ca="1">TblProd[[#This Row],[Food]]</f>
        <v>98889</v>
      </c>
      <c r="BK52" s="94">
        <f ca="1">TblProd[[#This Row],[Lumber]]</f>
        <v>47529</v>
      </c>
      <c r="BL52" s="94">
        <f ca="1">TblProd[[#This Row],[Mana]]</f>
        <v>0</v>
      </c>
      <c r="BM52" s="94">
        <f ca="1">TblProd[[#This Row],[Ore]]</f>
        <v>0</v>
      </c>
    </row>
    <row r="53" spans="1:65" x14ac:dyDescent="0.2">
      <c r="A53" s="137">
        <f t="shared" si="0"/>
        <v>14</v>
      </c>
      <c r="B53" s="152">
        <f ca="1">TblImps[[#This Row],[Time]]</f>
        <v>46049.041666666548</v>
      </c>
      <c r="C53" s="153"/>
      <c r="D53" s="154"/>
      <c r="E53" s="94">
        <f ca="1">TblConstr[[#This Row],[Land]]</f>
        <v>110</v>
      </c>
      <c r="F53" s="94">
        <f ca="1">TblPop[[#This Row],[Peasants]]</f>
        <v>613</v>
      </c>
      <c r="G53" s="94">
        <f ca="1">TblMili[[#This Row],[Networth (2)]]</f>
        <v>2450</v>
      </c>
      <c r="H53" s="94">
        <f ca="1">OFFSET(TblProd[[#This Row],[Platinum]],-1,0)+OFFSET(TblProd[[#This Row],[Plat/hr]],-1,0) - TblProd[[#This Row],[Expenses Platinum]] + IF(TblProd[[#This Row],[Plat Bonus]],TblPop[[#This Row],[Peasants]]*4) + SUM(TblConstr[[#This Row],[Dest Hom]:[Dest Doc]])*TblConstr[[#This Row],[CPA Platinum -DB]]*tech_3_3_2*TblTech[[#This Row],[3-3]]</f>
        <v>134481</v>
      </c>
      <c r="I53" s="94">
        <f ca="1">OFFSET(TblProd[[#This Row],[Food]],-1,0)+OFFSET(TblProd[[#This Row],[Food/hr]],-1,0)+ROUNDUP((TblConstr[[#This Row],[Farms]]*80+TblConstr[[#This Row],[Docks]]*35)*(1+OFFSET(TblProd[[#This Row],[Bonus Food/hr]],-1,0)),0)</f>
        <v>100211</v>
      </c>
      <c r="J53" s="94">
        <f ca="1">OFFSET(TblProd[[#This Row],[Lumber]],-1,0)+OFFSET(TblProd[[#This Row],[Lumber/hr]],-1,0) - TblProd[[#This Row],[Expenses Lumber]] + SUM(TblConstr[[#This Row],[Dest Hom]:[Dest Doc]])*TblConstr[[#This Row],[CPA Lumber -DB]]*tech_3_3_2*TblTech[[#This Row],[3-3]]</f>
        <v>48054</v>
      </c>
      <c r="K53" s="94">
        <f ca="1">OFFSET(TblProd[[#This Row],[Mana]],-1,0)+OFFSET(TblProd[[#This Row],[Mana/hr]],-1,0)- TblProd[[#This Row],[Expenses Mana]]</f>
        <v>0</v>
      </c>
      <c r="L53" s="94">
        <f ca="1">OFFSET(TblProd[[#This Row],[Ore]],-1,0)+OFFSET(TblProd[[#This Row],[Ore/hr]],-1,0) -TblProd[[#This Row],[Expenses Ore]]</f>
        <v>0</v>
      </c>
      <c r="M53" s="94">
        <f ca="1">OFFSET(TblProd[[#This Row],[Gems]],-1,0)+OFFSET(TblProd[[#This Row],[Gems/hr]],-1,0) - TblProd[[#This Row],[Expenses Gems]]</f>
        <v>0</v>
      </c>
      <c r="N53" s="94">
        <f ca="1">OFFSET(TblProd[[#This Row],[Boats]],-1,0)+OFFSET(TblProd[[#This Row],[Boats/hr]],-1,0)</f>
        <v>0</v>
      </c>
      <c r="O53" s="94">
        <f ca="1">OFFSET(TblProd[[#This Row],[Prestige]],-1,0)</f>
        <v>250</v>
      </c>
      <c r="P5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3" s="94">
        <f ca="1">MAX(_xlfn.CEILING.MATH(TblProd[[#This Row],[Land]]*2.5+IFERROR(OFFSET(TblTech[[#This Row],[Sum of tech]],-1,0)*50,0)),3750)</f>
        <v>3750</v>
      </c>
      <c r="R53" s="142"/>
      <c r="S53" s="94">
        <f ca="1">ROUNDDOWN(TblProd[[#This Row],[Raw Plat/hr]]*(1+TblProd[[#This Row],[Bonus Plat/hr]]),0)</f>
        <v>1655</v>
      </c>
      <c r="T53" s="94">
        <f ca="1">ROUND(TblProd[[#This Row],[Raw Food/hr]]*(1+TblProd[[#This Row],[Bonus Food/hr]])-TblProd[[#This Row],[Food decay]]-TblProd[[#This Row],[Food eaten]],0)</f>
        <v>1309</v>
      </c>
      <c r="U53" s="94">
        <f ca="1">ROUND(TblProd[[#This Row],[Raw Lumber/hr]]*(1+TblProd[[#This Row],[Bonus Lumber/hr]])-TblProd[[#This Row],[Lumber rot]],0)</f>
        <v>519</v>
      </c>
      <c r="V53" s="94">
        <f ca="1">ROUND(TblProd[[#This Row],[Raw Mana/hr]]*(1+TblProd[[#This Row],[Bonus Mana/hr]])-TblProd[[#This Row],[Mana drain]],0)</f>
        <v>0</v>
      </c>
      <c r="W53" s="94">
        <f ca="1">ROUNDDOWN(TblProd[[#This Row],[Raw Ore/hr]]*(1+TblProd[[#This Row],[Bonux Ore/hr]]),0)</f>
        <v>0</v>
      </c>
      <c r="X53" s="94">
        <f ca="1">ROUNDDOWN(TblProd[[#This Row],[Raw Gems/hr]]*(1+TblProd[[#This Row],[Bonus Gems/hr]]),0)</f>
        <v>0</v>
      </c>
      <c r="Y53" s="155">
        <f ca="1">OFFSET(TblConstr[[#This Row],[Tot Doc]],1,0)*dock_boats_hr * (1 + tech_4_1*TblTech[[#This Row],[4-1]])</f>
        <v>0</v>
      </c>
      <c r="Z53" s="154"/>
      <c r="AA53" s="94">
        <f ca="1">TblPop[[#This Row],[Peasants]]*tax*TblPop[[#This Row],[Employment]] + (Construction!AZ54+Construction!BX54)*(alch_plat+(Magic!AN53&gt;0)*alchemist_flame_bonus)</f>
        <v>1655.1000000000001</v>
      </c>
      <c r="AB53" s="94">
        <f ca="1">TblConstr[[#This Row],[Tot Farm]]*farm_food + TblConstr[[#This Row],[Tot Doc]]*dock_food</f>
        <v>2400</v>
      </c>
      <c r="AC53" s="94">
        <f ca="1">TblConstr[[#This Row],[Tot Ly]]*ly_lumber + TblConstr[[#This Row],[Tot Hav]]*fh_lumber + IF(race="Wood Elf",TblMili[[#This Row],[Unit 2]]*MIN(TblMili[[#This Row],[Homeland%]]/wisp_bonus,wisp_cap),0)</f>
        <v>1000</v>
      </c>
      <c r="AD53" s="94">
        <f ca="1">OFFSET(TblConstr[[#This Row],[Tot Tow]],1,0)*(tower_mana + tech_4_5*TblTech[[#This Row],[4-5]]) + OFFSET(TblConstr[[#This Row],[Tot WG]],1,0)*wg_mana_prod</f>
        <v>0</v>
      </c>
      <c r="AE53" s="94">
        <f ca="1">OFFSET(TblConstr[[#This Row],[Tot OM]],1,0)*om_ore+IF(race="Dwarf",TblMili[[#This Row],[Unit 2]]*0.5,0)</f>
        <v>0</v>
      </c>
      <c r="AF53" s="94">
        <f ca="1">OFFSET(TblConstr[[#This Row],[Tot DM]],1,0)*dm_gems</f>
        <v>0</v>
      </c>
      <c r="AG53" s="142"/>
      <c r="AH53" s="156">
        <f ca="1">MIN(race_platinum_bonus + IF(TblMagic[[#This Row],[Active Alch Frost]]&gt;0,alch_frost_bonus,IF(Magic!AE53&gt;0,midas_bonus)) + TblImps[[#This Row],[Science]] - TblProd[[#This Row],[Guard]]*(0.02 + tech_5_7*TblTech[[#This Row],[5-7]]) + tech_1_5*TblTech[[#This Row],[1-5]] + tech_4_4*TblTech[[#This Row],[4-4]] + IF(TblMagic[[#This Row],[Active Infernal Command]]&gt;0,demonic_pact_plat,0), 0.5)</f>
        <v>0</v>
      </c>
      <c r="AI5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3" s="156">
        <f ca="1">race_lumber_bonus+ IF(TblMagic[[#This Row],[Active Gaia''s Blessing]]&gt;0,gaias_blessing_lumber)+ tech_1_3*TblTech[[#This Row],[1-3]] + tech_1_6*TblTech[[#This Row],[1-6]] + tech_3_3*TblTech[[#This Row],[3-3]]</f>
        <v>0</v>
      </c>
      <c r="AK53" s="156">
        <f ca="1">race_mana_bonus+ 0 + TblImps[[#This Row],[Spires]] + tech_1_2*TblTech[[#This Row],[1-2]] + tech_3_4*TblTech[[#This Row],[3-4]]</f>
        <v>0</v>
      </c>
      <c r="AL53" s="156">
        <f ca="1">race_ore_bonus + IF(TblMagic[[#This Row],[Active Miner''s Sight]]&gt;0,miners_sight_bonus,IF(TblMagic[[#This Row],[Active Mining Strength]]&gt;0,mining_strength_bonus)) +  tech_1_6*TblTech[[#This Row],[1-6]]</f>
        <v>0</v>
      </c>
      <c r="AM53" s="156">
        <f>race_gem_bonus+ tech_3_2*TblTech[[#This Row],[3-2]] + tech_4_3*TblTech[[#This Row],[4-3]] + tech_6_2*TblTech[[#This Row],[6-2]]</f>
        <v>0</v>
      </c>
      <c r="AN53" s="142"/>
      <c r="AO53" s="94">
        <f ca="1">TblProd[[#This Row],[Food]]*food_decay * (1 + tech_2_1*TblTech[[#This Row],[2-1]] + tech_2_8*TblTech[[#This Row],[2-8]] + IF(AND(TblMagic[[#This Row],[Active DnD]]&lt;12,TblMagic[[#This Row],[Active DnD]]&gt;5),1,0))</f>
        <v>1002.11</v>
      </c>
      <c r="AP53" s="94">
        <f ca="1">(1+race_food_consumption)*TblPop[[#This Row],[Total]]*food_per_person*(1+tech_1_10*TblTech[[#This Row],[1-10]]+tech_7_5*TblTech[[#This Row],[7-5]] + IF(TblMagic[[#This Row],[Active Infernal Command]]&gt;0,demonic_pact_food_cons,0))</f>
        <v>269</v>
      </c>
      <c r="AQ53" s="94">
        <f ca="1">TblProd[[#This Row],[Lumber]]*lumber_rot * (1 + tech_2_1*TblTech[[#This Row],[2-1]] + tech_2_8*TblTech[[#This Row],[2-8]] + tech_5_2*TblTech[[#This Row],[5-2]] + IF(AND(TblMagic[[#This Row],[Active DnD]]&lt;12,TblMagic[[#This Row],[Active DnD]]&gt;5),1,0))</f>
        <v>480.54</v>
      </c>
      <c r="AR53" s="94">
        <f ca="1">TblProd[[#This Row],[Mana]]*mana_drain * (1 + tech_2_1*TblTech[[#This Row],[2-1]] + tech_2_8*TblTech[[#This Row],[2-8]])</f>
        <v>0</v>
      </c>
      <c r="AS53" s="154"/>
      <c r="AT53" s="94">
        <f ca="1">TblExplore[[#This Row],[Platinum (2)]]+TblConstr[[#This Row],[Total Plat Cost]]+TblMili[[#This Row],[Plat Cost]]+TblRezone[[#This Row],[Platinum cost]]+TblImps[[#This Row],[P1]]-TblProd[[#This Row],[Bank Plat]]</f>
        <v>0</v>
      </c>
      <c r="AU53" s="94">
        <f ca="1">TblConstr[[#This Row],[Total Lum Cost]]+TblImps[[#This Row],[L1]]-TblProd[[#This Row],[Bank Lumber]] + Military!$CO$25*TblMili[[#This Row],[Sec. rec. Cost]]</f>
        <v>0</v>
      </c>
      <c r="AV53" s="94">
        <f ca="1">TblMagic[[#This Row],[Mana cost]] + Military!$CO$26*TblMili[[#This Row],[Sec. rec. Cost]]</f>
        <v>0</v>
      </c>
      <c r="AW53" s="94">
        <f ca="1">Military!$CO$24*TblMili[[#This Row],[Sec. rec. Cost]]+TblImps[[#This Row],[O1]]-TblProd[[#This Row],[Bank Ore]]</f>
        <v>0</v>
      </c>
      <c r="AX53" s="94">
        <f>TblImps[[#This Row],[G1]]-TblProd[[#This Row],[Bank Gems]]</f>
        <v>0</v>
      </c>
      <c r="AY53" s="142"/>
      <c r="AZ53" s="61" t="b">
        <f ca="1">IF(TblProd[[#This Row],[Set Guard]]&lt;&gt;"",TblProd[[#This Row],[Set Guard]],OFFSET(TblProd[[#This Row],[Guard]],-1,0))</f>
        <v>0</v>
      </c>
      <c r="BA53" s="153"/>
      <c r="BB53" s="45">
        <f>TblProd[[#This Row],[Hour]]</f>
        <v>14</v>
      </c>
      <c r="BC53" s="158">
        <f>-TblProd[[#This Row],[Bank Lumber]] / 2 + -TblProd[[#This Row],[Bank Gems]] * 2 + -TblProd[[#This Row],[Bank Ore]] / 2</f>
        <v>0</v>
      </c>
      <c r="BD53" s="158"/>
      <c r="BE53" s="158"/>
      <c r="BF53" s="158"/>
      <c r="BG53" s="159">
        <f ca="1">TblProd[[#This Row],[Time]]</f>
        <v>46049.041666666548</v>
      </c>
      <c r="BH53" s="45" t="str">
        <f>IF(AND(TblProd[[#This Row],[Bank Plat]]=0,TblProd[[#This Row],[Bank Lumber]]=0,TblProd[[#This Row],[Bank Ore]]=0,TblProd[[#This Row],[Bank Gems]]=0),"",IF(TblProd[[#This Row],[Bank Plat]]&gt;0,IF((TblProd[[#This Row],[Bank Lumber]]+TblProd[[#This Row],[Bank Ore]])/2+TblProd[[#This Row],[Bank Gems]]*2+ROUNDUP(TblProd[[#This Row],[Bank Plat]]/(1 + tech_2_2*Techs!Y53),0)=0,"Ok","Nope"),IF(TblProd[[#This Row],[Bank Lumber]]&gt;0,IF((TblProd[[#This Row],[Bank Plat]]+TblProd[[#This Row],[Bank Ore]])/2+TblProd[[#This Row],[Bank Gems]]*2+ROUNDUP(TblProd[[#This Row],[Bank Lumber]]/(1 + tech_2_2*Techs!Y53),0)=0,"Ok","Nope"),IF(TblProd[[#This Row],[Bank Ore]]&gt;0,IF((TblProd[[#This Row],[Bank Plat]]+TblProd[[#This Row],[Bank Lumber]])/2+TblProd[[#This Row],[Bank Gems]]*2+ROUNDUP(TblProd[[#This Row],[Bank Ore]]/(1 + tech_2_2*Techs!Y53),0)=0,"Ok","Nope")))))</f>
        <v/>
      </c>
      <c r="BI53" s="94">
        <f ca="1">TblProd[[#This Row],[Platinum]]</f>
        <v>134481</v>
      </c>
      <c r="BJ53" s="94">
        <f ca="1">TblProd[[#This Row],[Food]]</f>
        <v>100211</v>
      </c>
      <c r="BK53" s="94">
        <f ca="1">TblProd[[#This Row],[Lumber]]</f>
        <v>48054</v>
      </c>
      <c r="BL53" s="94">
        <f ca="1">TblProd[[#This Row],[Mana]]</f>
        <v>0</v>
      </c>
      <c r="BM53" s="94">
        <f ca="1">TblProd[[#This Row],[Ore]]</f>
        <v>0</v>
      </c>
    </row>
    <row r="54" spans="1:65" x14ac:dyDescent="0.2">
      <c r="A54" s="137">
        <f t="shared" si="0"/>
        <v>15</v>
      </c>
      <c r="B54" s="152">
        <f ca="1">TblImps[[#This Row],[Time]]</f>
        <v>46049.083333333212</v>
      </c>
      <c r="C54" s="153"/>
      <c r="D54" s="154"/>
      <c r="E54" s="94">
        <f ca="1">TblConstr[[#This Row],[Land]]</f>
        <v>110</v>
      </c>
      <c r="F54" s="94">
        <f ca="1">TblPop[[#This Row],[Peasants]]</f>
        <v>607</v>
      </c>
      <c r="G54" s="94">
        <f ca="1">TblMili[[#This Row],[Networth (2)]]</f>
        <v>2450</v>
      </c>
      <c r="H54" s="94">
        <f ca="1">OFFSET(TblProd[[#This Row],[Platinum]],-1,0)+OFFSET(TblProd[[#This Row],[Plat/hr]],-1,0) - TblProd[[#This Row],[Expenses Platinum]] + IF(TblProd[[#This Row],[Plat Bonus]],TblPop[[#This Row],[Peasants]]*4) + SUM(TblConstr[[#This Row],[Dest Hom]:[Dest Doc]])*TblConstr[[#This Row],[CPA Platinum -DB]]*tech_3_3_2*TblTech[[#This Row],[3-3]]</f>
        <v>136136</v>
      </c>
      <c r="I54" s="94">
        <f ca="1">OFFSET(TblProd[[#This Row],[Food]],-1,0)+OFFSET(TblProd[[#This Row],[Food/hr]],-1,0)+ROUNDUP((TblConstr[[#This Row],[Farms]]*80+TblConstr[[#This Row],[Docks]]*35)*(1+OFFSET(TblProd[[#This Row],[Bonus Food/hr]],-1,0)),0)</f>
        <v>101520</v>
      </c>
      <c r="J54" s="94">
        <f ca="1">OFFSET(TblProd[[#This Row],[Lumber]],-1,0)+OFFSET(TblProd[[#This Row],[Lumber/hr]],-1,0) - TblProd[[#This Row],[Expenses Lumber]] + SUM(TblConstr[[#This Row],[Dest Hom]:[Dest Doc]])*TblConstr[[#This Row],[CPA Lumber -DB]]*tech_3_3_2*TblTech[[#This Row],[3-3]]</f>
        <v>48573</v>
      </c>
      <c r="K54" s="94">
        <f ca="1">OFFSET(TblProd[[#This Row],[Mana]],-1,0)+OFFSET(TblProd[[#This Row],[Mana/hr]],-1,0)- TblProd[[#This Row],[Expenses Mana]]</f>
        <v>0</v>
      </c>
      <c r="L54" s="94">
        <f ca="1">OFFSET(TblProd[[#This Row],[Ore]],-1,0)+OFFSET(TblProd[[#This Row],[Ore/hr]],-1,0) -TblProd[[#This Row],[Expenses Ore]]</f>
        <v>0</v>
      </c>
      <c r="M54" s="94">
        <f ca="1">OFFSET(TblProd[[#This Row],[Gems]],-1,0)+OFFSET(TblProd[[#This Row],[Gems/hr]],-1,0) - TblProd[[#This Row],[Expenses Gems]]</f>
        <v>0</v>
      </c>
      <c r="N54" s="94">
        <f ca="1">OFFSET(TblProd[[#This Row],[Boats]],-1,0)+OFFSET(TblProd[[#This Row],[Boats/hr]],-1,0)</f>
        <v>0</v>
      </c>
      <c r="O54" s="94">
        <f ca="1">OFFSET(TblProd[[#This Row],[Prestige]],-1,0)</f>
        <v>250</v>
      </c>
      <c r="P5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4" s="94">
        <f ca="1">MAX(_xlfn.CEILING.MATH(TblProd[[#This Row],[Land]]*2.5+IFERROR(OFFSET(TblTech[[#This Row],[Sum of tech]],-1,0)*50,0)),3750)</f>
        <v>3750</v>
      </c>
      <c r="R54" s="142"/>
      <c r="S54" s="94">
        <f ca="1">ROUNDDOWN(TblProd[[#This Row],[Raw Plat/hr]]*(1+TblProd[[#This Row],[Bonus Plat/hr]]),0)</f>
        <v>1638</v>
      </c>
      <c r="T54" s="94">
        <f ca="1">ROUND(TblProd[[#This Row],[Raw Food/hr]]*(1+TblProd[[#This Row],[Bonus Food/hr]])-TblProd[[#This Row],[Food decay]]-TblProd[[#This Row],[Food eaten]],0)</f>
        <v>1296</v>
      </c>
      <c r="U54" s="94">
        <f ca="1">ROUND(TblProd[[#This Row],[Raw Lumber/hr]]*(1+TblProd[[#This Row],[Bonus Lumber/hr]])-TblProd[[#This Row],[Lumber rot]],0)</f>
        <v>514</v>
      </c>
      <c r="V54" s="94">
        <f ca="1">ROUND(TblProd[[#This Row],[Raw Mana/hr]]*(1+TblProd[[#This Row],[Bonus Mana/hr]])-TblProd[[#This Row],[Mana drain]],0)</f>
        <v>0</v>
      </c>
      <c r="W54" s="94">
        <f ca="1">ROUNDDOWN(TblProd[[#This Row],[Raw Ore/hr]]*(1+TblProd[[#This Row],[Bonux Ore/hr]]),0)</f>
        <v>0</v>
      </c>
      <c r="X54" s="94">
        <f ca="1">ROUNDDOWN(TblProd[[#This Row],[Raw Gems/hr]]*(1+TblProd[[#This Row],[Bonus Gems/hr]]),0)</f>
        <v>0</v>
      </c>
      <c r="Y54" s="155">
        <f ca="1">OFFSET(TblConstr[[#This Row],[Tot Doc]],1,0)*dock_boats_hr * (1 + tech_4_1*TblTech[[#This Row],[4-1]])</f>
        <v>0</v>
      </c>
      <c r="Z54" s="154"/>
      <c r="AA54" s="94">
        <f ca="1">TblPop[[#This Row],[Peasants]]*tax*TblPop[[#This Row],[Employment]] + (Construction!AZ55+Construction!BX55)*(alch_plat+(Magic!AN54&gt;0)*alchemist_flame_bonus)</f>
        <v>1638.9</v>
      </c>
      <c r="AB54" s="94">
        <f ca="1">TblConstr[[#This Row],[Tot Farm]]*farm_food + TblConstr[[#This Row],[Tot Doc]]*dock_food</f>
        <v>2400</v>
      </c>
      <c r="AC54" s="94">
        <f ca="1">TblConstr[[#This Row],[Tot Ly]]*ly_lumber + TblConstr[[#This Row],[Tot Hav]]*fh_lumber + IF(race="Wood Elf",TblMili[[#This Row],[Unit 2]]*MIN(TblMili[[#This Row],[Homeland%]]/wisp_bonus,wisp_cap),0)</f>
        <v>1000</v>
      </c>
      <c r="AD54" s="94">
        <f ca="1">OFFSET(TblConstr[[#This Row],[Tot Tow]],1,0)*(tower_mana + tech_4_5*TblTech[[#This Row],[4-5]]) + OFFSET(TblConstr[[#This Row],[Tot WG]],1,0)*wg_mana_prod</f>
        <v>0</v>
      </c>
      <c r="AE54" s="94">
        <f ca="1">OFFSET(TblConstr[[#This Row],[Tot OM]],1,0)*om_ore+IF(race="Dwarf",TblMili[[#This Row],[Unit 2]]*0.5,0)</f>
        <v>0</v>
      </c>
      <c r="AF54" s="94">
        <f ca="1">OFFSET(TblConstr[[#This Row],[Tot DM]],1,0)*dm_gems</f>
        <v>0</v>
      </c>
      <c r="AG54" s="142"/>
      <c r="AH54" s="156">
        <f ca="1">MIN(race_platinum_bonus + IF(TblMagic[[#This Row],[Active Alch Frost]]&gt;0,alch_frost_bonus,IF(Magic!AE54&gt;0,midas_bonus)) + TblImps[[#This Row],[Science]] - TblProd[[#This Row],[Guard]]*(0.02 + tech_5_7*TblTech[[#This Row],[5-7]]) + tech_1_5*TblTech[[#This Row],[1-5]] + tech_4_4*TblTech[[#This Row],[4-4]] + IF(TblMagic[[#This Row],[Active Infernal Command]]&gt;0,demonic_pact_plat,0), 0.5)</f>
        <v>0</v>
      </c>
      <c r="AI5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4" s="156">
        <f ca="1">race_lumber_bonus+ IF(TblMagic[[#This Row],[Active Gaia''s Blessing]]&gt;0,gaias_blessing_lumber)+ tech_1_3*TblTech[[#This Row],[1-3]] + tech_1_6*TblTech[[#This Row],[1-6]] + tech_3_3*TblTech[[#This Row],[3-3]]</f>
        <v>0</v>
      </c>
      <c r="AK54" s="156">
        <f ca="1">race_mana_bonus+ 0 + TblImps[[#This Row],[Spires]] + tech_1_2*TblTech[[#This Row],[1-2]] + tech_3_4*TblTech[[#This Row],[3-4]]</f>
        <v>0</v>
      </c>
      <c r="AL54" s="156">
        <f ca="1">race_ore_bonus + IF(TblMagic[[#This Row],[Active Miner''s Sight]]&gt;0,miners_sight_bonus,IF(TblMagic[[#This Row],[Active Mining Strength]]&gt;0,mining_strength_bonus)) +  tech_1_6*TblTech[[#This Row],[1-6]]</f>
        <v>0</v>
      </c>
      <c r="AM54" s="156">
        <f>race_gem_bonus+ tech_3_2*TblTech[[#This Row],[3-2]] + tech_4_3*TblTech[[#This Row],[4-3]] + tech_6_2*TblTech[[#This Row],[6-2]]</f>
        <v>0</v>
      </c>
      <c r="AN54" s="142"/>
      <c r="AO54" s="94">
        <f ca="1">TblProd[[#This Row],[Food]]*food_decay * (1 + tech_2_1*TblTech[[#This Row],[2-1]] + tech_2_8*TblTech[[#This Row],[2-8]] + IF(AND(TblMagic[[#This Row],[Active DnD]]&lt;12,TblMagic[[#This Row],[Active DnD]]&gt;5),1,0))</f>
        <v>1015.2</v>
      </c>
      <c r="AP54" s="94">
        <f ca="1">(1+race_food_consumption)*TblPop[[#This Row],[Total]]*food_per_person*(1+tech_1_10*TblTech[[#This Row],[1-10]]+tech_7_5*TblTech[[#This Row],[7-5]] + IF(TblMagic[[#This Row],[Active Infernal Command]]&gt;0,demonic_pact_food_cons,0))</f>
        <v>269</v>
      </c>
      <c r="AQ54" s="94">
        <f ca="1">TblProd[[#This Row],[Lumber]]*lumber_rot * (1 + tech_2_1*TblTech[[#This Row],[2-1]] + tech_2_8*TblTech[[#This Row],[2-8]] + tech_5_2*TblTech[[#This Row],[5-2]] + IF(AND(TblMagic[[#This Row],[Active DnD]]&lt;12,TblMagic[[#This Row],[Active DnD]]&gt;5),1,0))</f>
        <v>485.73</v>
      </c>
      <c r="AR54" s="94">
        <f ca="1">TblProd[[#This Row],[Mana]]*mana_drain * (1 + tech_2_1*TblTech[[#This Row],[2-1]] + tech_2_8*TblTech[[#This Row],[2-8]])</f>
        <v>0</v>
      </c>
      <c r="AS54" s="154"/>
      <c r="AT54" s="94">
        <f ca="1">TblExplore[[#This Row],[Platinum (2)]]+TblConstr[[#This Row],[Total Plat Cost]]+TblMili[[#This Row],[Plat Cost]]+TblRezone[[#This Row],[Platinum cost]]+TblImps[[#This Row],[P1]]-TblProd[[#This Row],[Bank Plat]]</f>
        <v>0</v>
      </c>
      <c r="AU54" s="94">
        <f ca="1">TblConstr[[#This Row],[Total Lum Cost]]+TblImps[[#This Row],[L1]]-TblProd[[#This Row],[Bank Lumber]] + Military!$CO$25*TblMili[[#This Row],[Sec. rec. Cost]]</f>
        <v>0</v>
      </c>
      <c r="AV54" s="94">
        <f ca="1">TblMagic[[#This Row],[Mana cost]] + Military!$CO$26*TblMili[[#This Row],[Sec. rec. Cost]]</f>
        <v>0</v>
      </c>
      <c r="AW54" s="94">
        <f ca="1">Military!$CO$24*TblMili[[#This Row],[Sec. rec. Cost]]+TblImps[[#This Row],[O1]]-TblProd[[#This Row],[Bank Ore]]</f>
        <v>0</v>
      </c>
      <c r="AX54" s="94">
        <f>TblImps[[#This Row],[G1]]-TblProd[[#This Row],[Bank Gems]]</f>
        <v>0</v>
      </c>
      <c r="AY54" s="142"/>
      <c r="AZ54" s="61" t="b">
        <f ca="1">IF(TblProd[[#This Row],[Set Guard]]&lt;&gt;"",TblProd[[#This Row],[Set Guard]],OFFSET(TblProd[[#This Row],[Guard]],-1,0))</f>
        <v>0</v>
      </c>
      <c r="BA54" s="153"/>
      <c r="BB54" s="45">
        <f>TblProd[[#This Row],[Hour]]</f>
        <v>15</v>
      </c>
      <c r="BC54" s="158">
        <f>-TblProd[[#This Row],[Bank Lumber]] / 2 + -TblProd[[#This Row],[Bank Gems]] * 2 + -TblProd[[#This Row],[Bank Ore]] / 2</f>
        <v>0</v>
      </c>
      <c r="BD54" s="158"/>
      <c r="BE54" s="158"/>
      <c r="BF54" s="158"/>
      <c r="BG54" s="159">
        <f ca="1">TblProd[[#This Row],[Time]]</f>
        <v>46049.083333333212</v>
      </c>
      <c r="BH54" s="45" t="str">
        <f>IF(AND(TblProd[[#This Row],[Bank Plat]]=0,TblProd[[#This Row],[Bank Lumber]]=0,TblProd[[#This Row],[Bank Ore]]=0,TblProd[[#This Row],[Bank Gems]]=0),"",IF(TblProd[[#This Row],[Bank Plat]]&gt;0,IF((TblProd[[#This Row],[Bank Lumber]]+TblProd[[#This Row],[Bank Ore]])/2+TblProd[[#This Row],[Bank Gems]]*2+ROUNDUP(TblProd[[#This Row],[Bank Plat]]/(1 + tech_2_2*Techs!Y54),0)=0,"Ok","Nope"),IF(TblProd[[#This Row],[Bank Lumber]]&gt;0,IF((TblProd[[#This Row],[Bank Plat]]+TblProd[[#This Row],[Bank Ore]])/2+TblProd[[#This Row],[Bank Gems]]*2+ROUNDUP(TblProd[[#This Row],[Bank Lumber]]/(1 + tech_2_2*Techs!Y54),0)=0,"Ok","Nope"),IF(TblProd[[#This Row],[Bank Ore]]&gt;0,IF((TblProd[[#This Row],[Bank Plat]]+TblProd[[#This Row],[Bank Lumber]])/2+TblProd[[#This Row],[Bank Gems]]*2+ROUNDUP(TblProd[[#This Row],[Bank Ore]]/(1 + tech_2_2*Techs!Y54),0)=0,"Ok","Nope")))))</f>
        <v/>
      </c>
      <c r="BI54" s="94">
        <f ca="1">TblProd[[#This Row],[Platinum]]</f>
        <v>136136</v>
      </c>
      <c r="BJ54" s="94">
        <f ca="1">TblProd[[#This Row],[Food]]</f>
        <v>101520</v>
      </c>
      <c r="BK54" s="94">
        <f ca="1">TblProd[[#This Row],[Lumber]]</f>
        <v>48573</v>
      </c>
      <c r="BL54" s="94">
        <f ca="1">TblProd[[#This Row],[Mana]]</f>
        <v>0</v>
      </c>
      <c r="BM54" s="94">
        <f ca="1">TblProd[[#This Row],[Ore]]</f>
        <v>0</v>
      </c>
    </row>
    <row r="55" spans="1:65" x14ac:dyDescent="0.2">
      <c r="A55" s="137">
        <f t="shared" si="0"/>
        <v>16</v>
      </c>
      <c r="B55" s="152">
        <f ca="1">TblImps[[#This Row],[Time]]</f>
        <v>46049.124999999876</v>
      </c>
      <c r="C55" s="153"/>
      <c r="D55" s="154"/>
      <c r="E55" s="94">
        <f ca="1">TblConstr[[#This Row],[Land]]</f>
        <v>110</v>
      </c>
      <c r="F55" s="94">
        <f ca="1">TblPop[[#This Row],[Peasants]]</f>
        <v>601</v>
      </c>
      <c r="G55" s="94">
        <f ca="1">TblMili[[#This Row],[Networth (2)]]</f>
        <v>2450</v>
      </c>
      <c r="H55" s="94">
        <f ca="1">OFFSET(TblProd[[#This Row],[Platinum]],-1,0)+OFFSET(TblProd[[#This Row],[Plat/hr]],-1,0) - TblProd[[#This Row],[Expenses Platinum]] + IF(TblProd[[#This Row],[Plat Bonus]],TblPop[[#This Row],[Peasants]]*4) + SUM(TblConstr[[#This Row],[Dest Hom]:[Dest Doc]])*TblConstr[[#This Row],[CPA Platinum -DB]]*tech_3_3_2*TblTech[[#This Row],[3-3]]</f>
        <v>137774</v>
      </c>
      <c r="I55" s="94">
        <f ca="1">OFFSET(TblProd[[#This Row],[Food]],-1,0)+OFFSET(TblProd[[#This Row],[Food/hr]],-1,0)+ROUNDUP((TblConstr[[#This Row],[Farms]]*80+TblConstr[[#This Row],[Docks]]*35)*(1+OFFSET(TblProd[[#This Row],[Bonus Food/hr]],-1,0)),0)</f>
        <v>102816</v>
      </c>
      <c r="J55" s="94">
        <f ca="1">OFFSET(TblProd[[#This Row],[Lumber]],-1,0)+OFFSET(TblProd[[#This Row],[Lumber/hr]],-1,0) - TblProd[[#This Row],[Expenses Lumber]] + SUM(TblConstr[[#This Row],[Dest Hom]:[Dest Doc]])*TblConstr[[#This Row],[CPA Lumber -DB]]*tech_3_3_2*TblTech[[#This Row],[3-3]]</f>
        <v>49087</v>
      </c>
      <c r="K55" s="94">
        <f ca="1">OFFSET(TblProd[[#This Row],[Mana]],-1,0)+OFFSET(TblProd[[#This Row],[Mana/hr]],-1,0)- TblProd[[#This Row],[Expenses Mana]]</f>
        <v>0</v>
      </c>
      <c r="L55" s="94">
        <f ca="1">OFFSET(TblProd[[#This Row],[Ore]],-1,0)+OFFSET(TblProd[[#This Row],[Ore/hr]],-1,0) -TblProd[[#This Row],[Expenses Ore]]</f>
        <v>0</v>
      </c>
      <c r="M55" s="94">
        <f ca="1">OFFSET(TblProd[[#This Row],[Gems]],-1,0)+OFFSET(TblProd[[#This Row],[Gems/hr]],-1,0) - TblProd[[#This Row],[Expenses Gems]]</f>
        <v>0</v>
      </c>
      <c r="N55" s="94">
        <f ca="1">OFFSET(TblProd[[#This Row],[Boats]],-1,0)+OFFSET(TblProd[[#This Row],[Boats/hr]],-1,0)</f>
        <v>0</v>
      </c>
      <c r="O55" s="94">
        <f ca="1">OFFSET(TblProd[[#This Row],[Prestige]],-1,0)</f>
        <v>250</v>
      </c>
      <c r="P5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5" s="94">
        <f ca="1">MAX(_xlfn.CEILING.MATH(TblProd[[#This Row],[Land]]*2.5+IFERROR(OFFSET(TblTech[[#This Row],[Sum of tech]],-1,0)*50,0)),3750)</f>
        <v>3750</v>
      </c>
      <c r="R55" s="142"/>
      <c r="S55" s="94">
        <f ca="1">ROUNDDOWN(TblProd[[#This Row],[Raw Plat/hr]]*(1+TblProd[[#This Row],[Bonus Plat/hr]]),0)</f>
        <v>1622</v>
      </c>
      <c r="T55" s="94">
        <f ca="1">ROUND(TblProd[[#This Row],[Raw Food/hr]]*(1+TblProd[[#This Row],[Bonus Food/hr]])-TblProd[[#This Row],[Food decay]]-TblProd[[#This Row],[Food eaten]],0)</f>
        <v>1283</v>
      </c>
      <c r="U55" s="94">
        <f ca="1">ROUND(TblProd[[#This Row],[Raw Lumber/hr]]*(1+TblProd[[#This Row],[Bonus Lumber/hr]])-TblProd[[#This Row],[Lumber rot]],0)</f>
        <v>509</v>
      </c>
      <c r="V55" s="94">
        <f ca="1">ROUND(TblProd[[#This Row],[Raw Mana/hr]]*(1+TblProd[[#This Row],[Bonus Mana/hr]])-TblProd[[#This Row],[Mana drain]],0)</f>
        <v>0</v>
      </c>
      <c r="W55" s="94">
        <f ca="1">ROUNDDOWN(TblProd[[#This Row],[Raw Ore/hr]]*(1+TblProd[[#This Row],[Bonux Ore/hr]]),0)</f>
        <v>0</v>
      </c>
      <c r="X55" s="94">
        <f ca="1">ROUNDDOWN(TblProd[[#This Row],[Raw Gems/hr]]*(1+TblProd[[#This Row],[Bonus Gems/hr]]),0)</f>
        <v>0</v>
      </c>
      <c r="Y55" s="155">
        <f ca="1">OFFSET(TblConstr[[#This Row],[Tot Doc]],1,0)*dock_boats_hr * (1 + tech_4_1*TblTech[[#This Row],[4-1]])</f>
        <v>0</v>
      </c>
      <c r="Z55" s="154"/>
      <c r="AA55" s="94">
        <f ca="1">TblPop[[#This Row],[Peasants]]*tax*TblPop[[#This Row],[Employment]] + (Construction!AZ56+Construction!BX56)*(alch_plat+(Magic!AN55&gt;0)*alchemist_flame_bonus)</f>
        <v>1622.7</v>
      </c>
      <c r="AB55" s="94">
        <f ca="1">TblConstr[[#This Row],[Tot Farm]]*farm_food + TblConstr[[#This Row],[Tot Doc]]*dock_food</f>
        <v>2400</v>
      </c>
      <c r="AC55" s="94">
        <f ca="1">TblConstr[[#This Row],[Tot Ly]]*ly_lumber + TblConstr[[#This Row],[Tot Hav]]*fh_lumber + IF(race="Wood Elf",TblMili[[#This Row],[Unit 2]]*MIN(TblMili[[#This Row],[Homeland%]]/wisp_bonus,wisp_cap),0)</f>
        <v>1000</v>
      </c>
      <c r="AD55" s="94">
        <f ca="1">OFFSET(TblConstr[[#This Row],[Tot Tow]],1,0)*(tower_mana + tech_4_5*TblTech[[#This Row],[4-5]]) + OFFSET(TblConstr[[#This Row],[Tot WG]],1,0)*wg_mana_prod</f>
        <v>0</v>
      </c>
      <c r="AE55" s="94">
        <f ca="1">OFFSET(TblConstr[[#This Row],[Tot OM]],1,0)*om_ore+IF(race="Dwarf",TblMili[[#This Row],[Unit 2]]*0.5,0)</f>
        <v>0</v>
      </c>
      <c r="AF55" s="94">
        <f ca="1">OFFSET(TblConstr[[#This Row],[Tot DM]],1,0)*dm_gems</f>
        <v>0</v>
      </c>
      <c r="AG55" s="142"/>
      <c r="AH55" s="156">
        <f ca="1">MIN(race_platinum_bonus + IF(TblMagic[[#This Row],[Active Alch Frost]]&gt;0,alch_frost_bonus,IF(Magic!AE55&gt;0,midas_bonus)) + TblImps[[#This Row],[Science]] - TblProd[[#This Row],[Guard]]*(0.02 + tech_5_7*TblTech[[#This Row],[5-7]]) + tech_1_5*TblTech[[#This Row],[1-5]] + tech_4_4*TblTech[[#This Row],[4-4]] + IF(TblMagic[[#This Row],[Active Infernal Command]]&gt;0,demonic_pact_plat,0), 0.5)</f>
        <v>0</v>
      </c>
      <c r="AI5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5" s="156">
        <f ca="1">race_lumber_bonus+ IF(TblMagic[[#This Row],[Active Gaia''s Blessing]]&gt;0,gaias_blessing_lumber)+ tech_1_3*TblTech[[#This Row],[1-3]] + tech_1_6*TblTech[[#This Row],[1-6]] + tech_3_3*TblTech[[#This Row],[3-3]]</f>
        <v>0</v>
      </c>
      <c r="AK55" s="156">
        <f ca="1">race_mana_bonus+ 0 + TblImps[[#This Row],[Spires]] + tech_1_2*TblTech[[#This Row],[1-2]] + tech_3_4*TblTech[[#This Row],[3-4]]</f>
        <v>0</v>
      </c>
      <c r="AL55" s="156">
        <f ca="1">race_ore_bonus + IF(TblMagic[[#This Row],[Active Miner''s Sight]]&gt;0,miners_sight_bonus,IF(TblMagic[[#This Row],[Active Mining Strength]]&gt;0,mining_strength_bonus)) +  tech_1_6*TblTech[[#This Row],[1-6]]</f>
        <v>0</v>
      </c>
      <c r="AM55" s="156">
        <f>race_gem_bonus+ tech_3_2*TblTech[[#This Row],[3-2]] + tech_4_3*TblTech[[#This Row],[4-3]] + tech_6_2*TblTech[[#This Row],[6-2]]</f>
        <v>0</v>
      </c>
      <c r="AN55" s="142"/>
      <c r="AO55" s="94">
        <f ca="1">TblProd[[#This Row],[Food]]*food_decay * (1 + tech_2_1*TblTech[[#This Row],[2-1]] + tech_2_8*TblTech[[#This Row],[2-8]] + IF(AND(TblMagic[[#This Row],[Active DnD]]&lt;12,TblMagic[[#This Row],[Active DnD]]&gt;5),1,0))</f>
        <v>1028.1600000000001</v>
      </c>
      <c r="AP55" s="94">
        <f ca="1">(1+race_food_consumption)*TblPop[[#This Row],[Total]]*food_per_person*(1+tech_1_10*TblTech[[#This Row],[1-10]]+tech_7_5*TblTech[[#This Row],[7-5]] + IF(TblMagic[[#This Row],[Active Infernal Command]]&gt;0,demonic_pact_food_cons,0))</f>
        <v>269</v>
      </c>
      <c r="AQ55" s="94">
        <f ca="1">TblProd[[#This Row],[Lumber]]*lumber_rot * (1 + tech_2_1*TblTech[[#This Row],[2-1]] + tech_2_8*TblTech[[#This Row],[2-8]] + tech_5_2*TblTech[[#This Row],[5-2]] + IF(AND(TblMagic[[#This Row],[Active DnD]]&lt;12,TblMagic[[#This Row],[Active DnD]]&gt;5),1,0))</f>
        <v>490.87</v>
      </c>
      <c r="AR55" s="94">
        <f ca="1">TblProd[[#This Row],[Mana]]*mana_drain * (1 + tech_2_1*TblTech[[#This Row],[2-1]] + tech_2_8*TblTech[[#This Row],[2-8]])</f>
        <v>0</v>
      </c>
      <c r="AS55" s="154"/>
      <c r="AT55" s="94">
        <f ca="1">TblExplore[[#This Row],[Platinum (2)]]+TblConstr[[#This Row],[Total Plat Cost]]+TblMili[[#This Row],[Plat Cost]]+TblRezone[[#This Row],[Platinum cost]]+TblImps[[#This Row],[P1]]-TblProd[[#This Row],[Bank Plat]]</f>
        <v>0</v>
      </c>
      <c r="AU55" s="94">
        <f ca="1">TblConstr[[#This Row],[Total Lum Cost]]+TblImps[[#This Row],[L1]]-TblProd[[#This Row],[Bank Lumber]] + Military!$CO$25*TblMili[[#This Row],[Sec. rec. Cost]]</f>
        <v>0</v>
      </c>
      <c r="AV55" s="94">
        <f ca="1">TblMagic[[#This Row],[Mana cost]] + Military!$CO$26*TblMili[[#This Row],[Sec. rec. Cost]]</f>
        <v>0</v>
      </c>
      <c r="AW55" s="94">
        <f ca="1">Military!$CO$24*TblMili[[#This Row],[Sec. rec. Cost]]+TblImps[[#This Row],[O1]]-TblProd[[#This Row],[Bank Ore]]</f>
        <v>0</v>
      </c>
      <c r="AX55" s="94">
        <f>TblImps[[#This Row],[G1]]-TblProd[[#This Row],[Bank Gems]]</f>
        <v>0</v>
      </c>
      <c r="AY55" s="142"/>
      <c r="AZ55" s="61" t="b">
        <f ca="1">IF(TblProd[[#This Row],[Set Guard]]&lt;&gt;"",TblProd[[#This Row],[Set Guard]],OFFSET(TblProd[[#This Row],[Guard]],-1,0))</f>
        <v>0</v>
      </c>
      <c r="BA55" s="153"/>
      <c r="BB55" s="45">
        <f>TblProd[[#This Row],[Hour]]</f>
        <v>16</v>
      </c>
      <c r="BC55" s="158">
        <f>-TblProd[[#This Row],[Bank Lumber]] / 2 + -TblProd[[#This Row],[Bank Gems]] * 2 + -TblProd[[#This Row],[Bank Ore]] / 2</f>
        <v>0</v>
      </c>
      <c r="BD55" s="158"/>
      <c r="BE55" s="158"/>
      <c r="BF55" s="158"/>
      <c r="BG55" s="159">
        <f ca="1">TblProd[[#This Row],[Time]]</f>
        <v>46049.124999999876</v>
      </c>
      <c r="BH55" s="45" t="str">
        <f>IF(AND(TblProd[[#This Row],[Bank Plat]]=0,TblProd[[#This Row],[Bank Lumber]]=0,TblProd[[#This Row],[Bank Ore]]=0,TblProd[[#This Row],[Bank Gems]]=0),"",IF(TblProd[[#This Row],[Bank Plat]]&gt;0,IF((TblProd[[#This Row],[Bank Lumber]]+TblProd[[#This Row],[Bank Ore]])/2+TblProd[[#This Row],[Bank Gems]]*2+ROUNDUP(TblProd[[#This Row],[Bank Plat]]/(1 + tech_2_2*Techs!Y55),0)=0,"Ok","Nope"),IF(TblProd[[#This Row],[Bank Lumber]]&gt;0,IF((TblProd[[#This Row],[Bank Plat]]+TblProd[[#This Row],[Bank Ore]])/2+TblProd[[#This Row],[Bank Gems]]*2+ROUNDUP(TblProd[[#This Row],[Bank Lumber]]/(1 + tech_2_2*Techs!Y55),0)=0,"Ok","Nope"),IF(TblProd[[#This Row],[Bank Ore]]&gt;0,IF((TblProd[[#This Row],[Bank Plat]]+TblProd[[#This Row],[Bank Lumber]])/2+TblProd[[#This Row],[Bank Gems]]*2+ROUNDUP(TblProd[[#This Row],[Bank Ore]]/(1 + tech_2_2*Techs!Y55),0)=0,"Ok","Nope")))))</f>
        <v/>
      </c>
      <c r="BI55" s="94">
        <f ca="1">TblProd[[#This Row],[Platinum]]</f>
        <v>137774</v>
      </c>
      <c r="BJ55" s="94">
        <f ca="1">TblProd[[#This Row],[Food]]</f>
        <v>102816</v>
      </c>
      <c r="BK55" s="94">
        <f ca="1">TblProd[[#This Row],[Lumber]]</f>
        <v>49087</v>
      </c>
      <c r="BL55" s="94">
        <f ca="1">TblProd[[#This Row],[Mana]]</f>
        <v>0</v>
      </c>
      <c r="BM55" s="94">
        <f ca="1">TblProd[[#This Row],[Ore]]</f>
        <v>0</v>
      </c>
    </row>
    <row r="56" spans="1:65" x14ac:dyDescent="0.2">
      <c r="A56" s="137">
        <f t="shared" si="0"/>
        <v>17</v>
      </c>
      <c r="B56" s="152">
        <f ca="1">TblImps[[#This Row],[Time]]</f>
        <v>46049.166666666541</v>
      </c>
      <c r="C56" s="153"/>
      <c r="D56" s="154"/>
      <c r="E56" s="94">
        <f ca="1">TblConstr[[#This Row],[Land]]</f>
        <v>110</v>
      </c>
      <c r="F56" s="94">
        <f ca="1">TblPop[[#This Row],[Peasants]]</f>
        <v>595</v>
      </c>
      <c r="G56" s="94">
        <f ca="1">TblMili[[#This Row],[Networth (2)]]</f>
        <v>2450</v>
      </c>
      <c r="H56" s="94">
        <f ca="1">OFFSET(TblProd[[#This Row],[Platinum]],-1,0)+OFFSET(TblProd[[#This Row],[Plat/hr]],-1,0) - TblProd[[#This Row],[Expenses Platinum]] + IF(TblProd[[#This Row],[Plat Bonus]],TblPop[[#This Row],[Peasants]]*4) + SUM(TblConstr[[#This Row],[Dest Hom]:[Dest Doc]])*TblConstr[[#This Row],[CPA Platinum -DB]]*tech_3_3_2*TblTech[[#This Row],[3-3]]</f>
        <v>139396</v>
      </c>
      <c r="I56" s="94">
        <f ca="1">OFFSET(TblProd[[#This Row],[Food]],-1,0)+OFFSET(TblProd[[#This Row],[Food/hr]],-1,0)+ROUNDUP((TblConstr[[#This Row],[Farms]]*80+TblConstr[[#This Row],[Docks]]*35)*(1+OFFSET(TblProd[[#This Row],[Bonus Food/hr]],-1,0)),0)</f>
        <v>104099</v>
      </c>
      <c r="J56" s="94">
        <f ca="1">OFFSET(TblProd[[#This Row],[Lumber]],-1,0)+OFFSET(TblProd[[#This Row],[Lumber/hr]],-1,0) - TblProd[[#This Row],[Expenses Lumber]] + SUM(TblConstr[[#This Row],[Dest Hom]:[Dest Doc]])*TblConstr[[#This Row],[CPA Lumber -DB]]*tech_3_3_2*TblTech[[#This Row],[3-3]]</f>
        <v>49596</v>
      </c>
      <c r="K56" s="94">
        <f ca="1">OFFSET(TblProd[[#This Row],[Mana]],-1,0)+OFFSET(TblProd[[#This Row],[Mana/hr]],-1,0)- TblProd[[#This Row],[Expenses Mana]]</f>
        <v>0</v>
      </c>
      <c r="L56" s="94">
        <f ca="1">OFFSET(TblProd[[#This Row],[Ore]],-1,0)+OFFSET(TblProd[[#This Row],[Ore/hr]],-1,0) -TblProd[[#This Row],[Expenses Ore]]</f>
        <v>0</v>
      </c>
      <c r="M56" s="94">
        <f ca="1">OFFSET(TblProd[[#This Row],[Gems]],-1,0)+OFFSET(TblProd[[#This Row],[Gems/hr]],-1,0) - TblProd[[#This Row],[Expenses Gems]]</f>
        <v>0</v>
      </c>
      <c r="N56" s="94">
        <f ca="1">OFFSET(TblProd[[#This Row],[Boats]],-1,0)+OFFSET(TblProd[[#This Row],[Boats/hr]],-1,0)</f>
        <v>0</v>
      </c>
      <c r="O56" s="94">
        <f ca="1">OFFSET(TblProd[[#This Row],[Prestige]],-1,0)</f>
        <v>250</v>
      </c>
      <c r="P5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6" s="94">
        <f ca="1">MAX(_xlfn.CEILING.MATH(TblProd[[#This Row],[Land]]*2.5+IFERROR(OFFSET(TblTech[[#This Row],[Sum of tech]],-1,0)*50,0)),3750)</f>
        <v>3750</v>
      </c>
      <c r="R56" s="142"/>
      <c r="S56" s="94">
        <f ca="1">ROUNDDOWN(TblProd[[#This Row],[Raw Plat/hr]]*(1+TblProd[[#This Row],[Bonus Plat/hr]]),0)</f>
        <v>1606</v>
      </c>
      <c r="T56" s="94">
        <f ca="1">ROUND(TblProd[[#This Row],[Raw Food/hr]]*(1+TblProd[[#This Row],[Bonus Food/hr]])-TblProd[[#This Row],[Food decay]]-TblProd[[#This Row],[Food eaten]],0)</f>
        <v>1270</v>
      </c>
      <c r="U56" s="94">
        <f ca="1">ROUND(TblProd[[#This Row],[Raw Lumber/hr]]*(1+TblProd[[#This Row],[Bonus Lumber/hr]])-TblProd[[#This Row],[Lumber rot]],0)</f>
        <v>504</v>
      </c>
      <c r="V56" s="94">
        <f ca="1">ROUND(TblProd[[#This Row],[Raw Mana/hr]]*(1+TblProd[[#This Row],[Bonus Mana/hr]])-TblProd[[#This Row],[Mana drain]],0)</f>
        <v>0</v>
      </c>
      <c r="W56" s="94">
        <f ca="1">ROUNDDOWN(TblProd[[#This Row],[Raw Ore/hr]]*(1+TblProd[[#This Row],[Bonux Ore/hr]]),0)</f>
        <v>0</v>
      </c>
      <c r="X56" s="94">
        <f ca="1">ROUNDDOWN(TblProd[[#This Row],[Raw Gems/hr]]*(1+TblProd[[#This Row],[Bonus Gems/hr]]),0)</f>
        <v>0</v>
      </c>
      <c r="Y56" s="155">
        <f ca="1">OFFSET(TblConstr[[#This Row],[Tot Doc]],1,0)*dock_boats_hr * (1 + tech_4_1*TblTech[[#This Row],[4-1]])</f>
        <v>0</v>
      </c>
      <c r="Z56" s="154"/>
      <c r="AA56" s="94">
        <f ca="1">TblPop[[#This Row],[Peasants]]*tax*TblPop[[#This Row],[Employment]] + (Construction!AZ57+Construction!BX57)*(alch_plat+(Magic!AN56&gt;0)*alchemist_flame_bonus)</f>
        <v>1606.5</v>
      </c>
      <c r="AB56" s="94">
        <f ca="1">TblConstr[[#This Row],[Tot Farm]]*farm_food + TblConstr[[#This Row],[Tot Doc]]*dock_food</f>
        <v>2400</v>
      </c>
      <c r="AC56" s="94">
        <f ca="1">TblConstr[[#This Row],[Tot Ly]]*ly_lumber + TblConstr[[#This Row],[Tot Hav]]*fh_lumber + IF(race="Wood Elf",TblMili[[#This Row],[Unit 2]]*MIN(TblMili[[#This Row],[Homeland%]]/wisp_bonus,wisp_cap),0)</f>
        <v>1000</v>
      </c>
      <c r="AD56" s="94">
        <f ca="1">OFFSET(TblConstr[[#This Row],[Tot Tow]],1,0)*(tower_mana + tech_4_5*TblTech[[#This Row],[4-5]]) + OFFSET(TblConstr[[#This Row],[Tot WG]],1,0)*wg_mana_prod</f>
        <v>0</v>
      </c>
      <c r="AE56" s="94">
        <f ca="1">OFFSET(TblConstr[[#This Row],[Tot OM]],1,0)*om_ore+IF(race="Dwarf",TblMili[[#This Row],[Unit 2]]*0.5,0)</f>
        <v>0</v>
      </c>
      <c r="AF56" s="94">
        <f ca="1">OFFSET(TblConstr[[#This Row],[Tot DM]],1,0)*dm_gems</f>
        <v>0</v>
      </c>
      <c r="AG56" s="142"/>
      <c r="AH56" s="156">
        <f ca="1">MIN(race_platinum_bonus + IF(TblMagic[[#This Row],[Active Alch Frost]]&gt;0,alch_frost_bonus,IF(Magic!AE56&gt;0,midas_bonus)) + TblImps[[#This Row],[Science]] - TblProd[[#This Row],[Guard]]*(0.02 + tech_5_7*TblTech[[#This Row],[5-7]]) + tech_1_5*TblTech[[#This Row],[1-5]] + tech_4_4*TblTech[[#This Row],[4-4]] + IF(TblMagic[[#This Row],[Active Infernal Command]]&gt;0,demonic_pact_plat,0), 0.5)</f>
        <v>0</v>
      </c>
      <c r="AI5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6" s="156">
        <f ca="1">race_lumber_bonus+ IF(TblMagic[[#This Row],[Active Gaia''s Blessing]]&gt;0,gaias_blessing_lumber)+ tech_1_3*TblTech[[#This Row],[1-3]] + tech_1_6*TblTech[[#This Row],[1-6]] + tech_3_3*TblTech[[#This Row],[3-3]]</f>
        <v>0</v>
      </c>
      <c r="AK56" s="156">
        <f ca="1">race_mana_bonus+ 0 + TblImps[[#This Row],[Spires]] + tech_1_2*TblTech[[#This Row],[1-2]] + tech_3_4*TblTech[[#This Row],[3-4]]</f>
        <v>0</v>
      </c>
      <c r="AL56" s="156">
        <f ca="1">race_ore_bonus + IF(TblMagic[[#This Row],[Active Miner''s Sight]]&gt;0,miners_sight_bonus,IF(TblMagic[[#This Row],[Active Mining Strength]]&gt;0,mining_strength_bonus)) +  tech_1_6*TblTech[[#This Row],[1-6]]</f>
        <v>0</v>
      </c>
      <c r="AM56" s="156">
        <f>race_gem_bonus+ tech_3_2*TblTech[[#This Row],[3-2]] + tech_4_3*TblTech[[#This Row],[4-3]] + tech_6_2*TblTech[[#This Row],[6-2]]</f>
        <v>0</v>
      </c>
      <c r="AN56" s="142"/>
      <c r="AO56" s="94">
        <f ca="1">TblProd[[#This Row],[Food]]*food_decay * (1 + tech_2_1*TblTech[[#This Row],[2-1]] + tech_2_8*TblTech[[#This Row],[2-8]] + IF(AND(TblMagic[[#This Row],[Active DnD]]&lt;12,TblMagic[[#This Row],[Active DnD]]&gt;5),1,0))</f>
        <v>1040.99</v>
      </c>
      <c r="AP56" s="94">
        <f ca="1">(1+race_food_consumption)*TblPop[[#This Row],[Total]]*food_per_person*(1+tech_1_10*TblTech[[#This Row],[1-10]]+tech_7_5*TblTech[[#This Row],[7-5]] + IF(TblMagic[[#This Row],[Active Infernal Command]]&gt;0,demonic_pact_food_cons,0))</f>
        <v>269</v>
      </c>
      <c r="AQ56" s="94">
        <f ca="1">TblProd[[#This Row],[Lumber]]*lumber_rot * (1 + tech_2_1*TblTech[[#This Row],[2-1]] + tech_2_8*TblTech[[#This Row],[2-8]] + tech_5_2*TblTech[[#This Row],[5-2]] + IF(AND(TblMagic[[#This Row],[Active DnD]]&lt;12,TblMagic[[#This Row],[Active DnD]]&gt;5),1,0))</f>
        <v>495.96000000000004</v>
      </c>
      <c r="AR56" s="94">
        <f ca="1">TblProd[[#This Row],[Mana]]*mana_drain * (1 + tech_2_1*TblTech[[#This Row],[2-1]] + tech_2_8*TblTech[[#This Row],[2-8]])</f>
        <v>0</v>
      </c>
      <c r="AS56" s="154"/>
      <c r="AT56" s="94">
        <f ca="1">TblExplore[[#This Row],[Platinum (2)]]+TblConstr[[#This Row],[Total Plat Cost]]+TblMili[[#This Row],[Plat Cost]]+TblRezone[[#This Row],[Platinum cost]]+TblImps[[#This Row],[P1]]-TblProd[[#This Row],[Bank Plat]]</f>
        <v>0</v>
      </c>
      <c r="AU56" s="94">
        <f ca="1">TblConstr[[#This Row],[Total Lum Cost]]+TblImps[[#This Row],[L1]]-TblProd[[#This Row],[Bank Lumber]] + Military!$CO$25*TblMili[[#This Row],[Sec. rec. Cost]]</f>
        <v>0</v>
      </c>
      <c r="AV56" s="94">
        <f ca="1">TblMagic[[#This Row],[Mana cost]] + Military!$CO$26*TblMili[[#This Row],[Sec. rec. Cost]]</f>
        <v>0</v>
      </c>
      <c r="AW56" s="94">
        <f ca="1">Military!$CO$24*TblMili[[#This Row],[Sec. rec. Cost]]+TblImps[[#This Row],[O1]]-TblProd[[#This Row],[Bank Ore]]</f>
        <v>0</v>
      </c>
      <c r="AX56" s="94">
        <f>TblImps[[#This Row],[G1]]-TblProd[[#This Row],[Bank Gems]]</f>
        <v>0</v>
      </c>
      <c r="AY56" s="142"/>
      <c r="AZ56" s="61" t="b">
        <f ca="1">IF(TblProd[[#This Row],[Set Guard]]&lt;&gt;"",TblProd[[#This Row],[Set Guard]],OFFSET(TblProd[[#This Row],[Guard]],-1,0))</f>
        <v>0</v>
      </c>
      <c r="BA56" s="153"/>
      <c r="BB56" s="45">
        <f>TblProd[[#This Row],[Hour]]</f>
        <v>17</v>
      </c>
      <c r="BC56" s="158">
        <f>-TblProd[[#This Row],[Bank Lumber]] / 2 + -TblProd[[#This Row],[Bank Gems]] * 2 + -TblProd[[#This Row],[Bank Ore]] / 2</f>
        <v>0</v>
      </c>
      <c r="BD56" s="158"/>
      <c r="BE56" s="158"/>
      <c r="BF56" s="158"/>
      <c r="BG56" s="159">
        <f ca="1">TblProd[[#This Row],[Time]]</f>
        <v>46049.166666666541</v>
      </c>
      <c r="BH56" s="45" t="str">
        <f>IF(AND(TblProd[[#This Row],[Bank Plat]]=0,TblProd[[#This Row],[Bank Lumber]]=0,TblProd[[#This Row],[Bank Ore]]=0,TblProd[[#This Row],[Bank Gems]]=0),"",IF(TblProd[[#This Row],[Bank Plat]]&gt;0,IF((TblProd[[#This Row],[Bank Lumber]]+TblProd[[#This Row],[Bank Ore]])/2+TblProd[[#This Row],[Bank Gems]]*2+ROUNDUP(TblProd[[#This Row],[Bank Plat]]/(1 + tech_2_2*Techs!Y56),0)=0,"Ok","Nope"),IF(TblProd[[#This Row],[Bank Lumber]]&gt;0,IF((TblProd[[#This Row],[Bank Plat]]+TblProd[[#This Row],[Bank Ore]])/2+TblProd[[#This Row],[Bank Gems]]*2+ROUNDUP(TblProd[[#This Row],[Bank Lumber]]/(1 + tech_2_2*Techs!Y56),0)=0,"Ok","Nope"),IF(TblProd[[#This Row],[Bank Ore]]&gt;0,IF((TblProd[[#This Row],[Bank Plat]]+TblProd[[#This Row],[Bank Lumber]])/2+TblProd[[#This Row],[Bank Gems]]*2+ROUNDUP(TblProd[[#This Row],[Bank Ore]]/(1 + tech_2_2*Techs!Y56),0)=0,"Ok","Nope")))))</f>
        <v/>
      </c>
      <c r="BI56" s="94">
        <f ca="1">TblProd[[#This Row],[Platinum]]</f>
        <v>139396</v>
      </c>
      <c r="BJ56" s="94">
        <f ca="1">TblProd[[#This Row],[Food]]</f>
        <v>104099</v>
      </c>
      <c r="BK56" s="94">
        <f ca="1">TblProd[[#This Row],[Lumber]]</f>
        <v>49596</v>
      </c>
      <c r="BL56" s="94">
        <f ca="1">TblProd[[#This Row],[Mana]]</f>
        <v>0</v>
      </c>
      <c r="BM56" s="94">
        <f ca="1">TblProd[[#This Row],[Ore]]</f>
        <v>0</v>
      </c>
    </row>
    <row r="57" spans="1:65" x14ac:dyDescent="0.2">
      <c r="A57" s="137">
        <f t="shared" si="0"/>
        <v>18</v>
      </c>
      <c r="B57" s="152">
        <f ca="1">TblImps[[#This Row],[Time]]</f>
        <v>46049.208333333205</v>
      </c>
      <c r="C57" s="153"/>
      <c r="D57" s="154"/>
      <c r="E57" s="94">
        <f ca="1">TblConstr[[#This Row],[Land]]</f>
        <v>110</v>
      </c>
      <c r="F57" s="94">
        <f ca="1">TblPop[[#This Row],[Peasants]]</f>
        <v>589</v>
      </c>
      <c r="G57" s="94">
        <f ca="1">TblMili[[#This Row],[Networth (2)]]</f>
        <v>2450</v>
      </c>
      <c r="H57" s="94">
        <f ca="1">OFFSET(TblProd[[#This Row],[Platinum]],-1,0)+OFFSET(TblProd[[#This Row],[Plat/hr]],-1,0) - TblProd[[#This Row],[Expenses Platinum]] + IF(TblProd[[#This Row],[Plat Bonus]],TblPop[[#This Row],[Peasants]]*4) + SUM(TblConstr[[#This Row],[Dest Hom]:[Dest Doc]])*TblConstr[[#This Row],[CPA Platinum -DB]]*tech_3_3_2*TblTech[[#This Row],[3-3]]</f>
        <v>141002</v>
      </c>
      <c r="I57" s="94">
        <f ca="1">OFFSET(TblProd[[#This Row],[Food]],-1,0)+OFFSET(TblProd[[#This Row],[Food/hr]],-1,0)+ROUNDUP((TblConstr[[#This Row],[Farms]]*80+TblConstr[[#This Row],[Docks]]*35)*(1+OFFSET(TblProd[[#This Row],[Bonus Food/hr]],-1,0)),0)</f>
        <v>105369</v>
      </c>
      <c r="J57" s="94">
        <f ca="1">OFFSET(TblProd[[#This Row],[Lumber]],-1,0)+OFFSET(TblProd[[#This Row],[Lumber/hr]],-1,0) - TblProd[[#This Row],[Expenses Lumber]] + SUM(TblConstr[[#This Row],[Dest Hom]:[Dest Doc]])*TblConstr[[#This Row],[CPA Lumber -DB]]*tech_3_3_2*TblTech[[#This Row],[3-3]]</f>
        <v>50100</v>
      </c>
      <c r="K57" s="94">
        <f ca="1">OFFSET(TblProd[[#This Row],[Mana]],-1,0)+OFFSET(TblProd[[#This Row],[Mana/hr]],-1,0)- TblProd[[#This Row],[Expenses Mana]]</f>
        <v>0</v>
      </c>
      <c r="L57" s="94">
        <f ca="1">OFFSET(TblProd[[#This Row],[Ore]],-1,0)+OFFSET(TblProd[[#This Row],[Ore/hr]],-1,0) -TblProd[[#This Row],[Expenses Ore]]</f>
        <v>0</v>
      </c>
      <c r="M57" s="94">
        <f ca="1">OFFSET(TblProd[[#This Row],[Gems]],-1,0)+OFFSET(TblProd[[#This Row],[Gems/hr]],-1,0) - TblProd[[#This Row],[Expenses Gems]]</f>
        <v>0</v>
      </c>
      <c r="N57" s="94">
        <f ca="1">OFFSET(TblProd[[#This Row],[Boats]],-1,0)+OFFSET(TblProd[[#This Row],[Boats/hr]],-1,0)</f>
        <v>0</v>
      </c>
      <c r="O57" s="94">
        <f ca="1">OFFSET(TblProd[[#This Row],[Prestige]],-1,0)</f>
        <v>250</v>
      </c>
      <c r="P5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7" s="94">
        <f ca="1">MAX(_xlfn.CEILING.MATH(TblProd[[#This Row],[Land]]*2.5+IFERROR(OFFSET(TblTech[[#This Row],[Sum of tech]],-1,0)*50,0)),3750)</f>
        <v>3750</v>
      </c>
      <c r="R57" s="142"/>
      <c r="S57" s="94">
        <f ca="1">ROUNDDOWN(TblProd[[#This Row],[Raw Plat/hr]]*(1+TblProd[[#This Row],[Bonus Plat/hr]]),0)</f>
        <v>1590</v>
      </c>
      <c r="T57" s="94">
        <f ca="1">ROUND(TblProd[[#This Row],[Raw Food/hr]]*(1+TblProd[[#This Row],[Bonus Food/hr]])-TblProd[[#This Row],[Food decay]]-TblProd[[#This Row],[Food eaten]],0)</f>
        <v>1257</v>
      </c>
      <c r="U57" s="94">
        <f ca="1">ROUND(TblProd[[#This Row],[Raw Lumber/hr]]*(1+TblProd[[#This Row],[Bonus Lumber/hr]])-TblProd[[#This Row],[Lumber rot]],0)</f>
        <v>499</v>
      </c>
      <c r="V57" s="94">
        <f ca="1">ROUND(TblProd[[#This Row],[Raw Mana/hr]]*(1+TblProd[[#This Row],[Bonus Mana/hr]])-TblProd[[#This Row],[Mana drain]],0)</f>
        <v>0</v>
      </c>
      <c r="W57" s="94">
        <f ca="1">ROUNDDOWN(TblProd[[#This Row],[Raw Ore/hr]]*(1+TblProd[[#This Row],[Bonux Ore/hr]]),0)</f>
        <v>0</v>
      </c>
      <c r="X57" s="94">
        <f ca="1">ROUNDDOWN(TblProd[[#This Row],[Raw Gems/hr]]*(1+TblProd[[#This Row],[Bonus Gems/hr]]),0)</f>
        <v>0</v>
      </c>
      <c r="Y57" s="155">
        <f ca="1">OFFSET(TblConstr[[#This Row],[Tot Doc]],1,0)*dock_boats_hr * (1 + tech_4_1*TblTech[[#This Row],[4-1]])</f>
        <v>0</v>
      </c>
      <c r="Z57" s="154"/>
      <c r="AA57" s="94">
        <f ca="1">TblPop[[#This Row],[Peasants]]*tax*TblPop[[#This Row],[Employment]] + (Construction!AZ58+Construction!BX58)*(alch_plat+(Magic!AN57&gt;0)*alchemist_flame_bonus)</f>
        <v>1590.3000000000002</v>
      </c>
      <c r="AB57" s="94">
        <f ca="1">TblConstr[[#This Row],[Tot Farm]]*farm_food + TblConstr[[#This Row],[Tot Doc]]*dock_food</f>
        <v>2400</v>
      </c>
      <c r="AC57" s="94">
        <f ca="1">TblConstr[[#This Row],[Tot Ly]]*ly_lumber + TblConstr[[#This Row],[Tot Hav]]*fh_lumber + IF(race="Wood Elf",TblMili[[#This Row],[Unit 2]]*MIN(TblMili[[#This Row],[Homeland%]]/wisp_bonus,wisp_cap),0)</f>
        <v>1000</v>
      </c>
      <c r="AD57" s="94">
        <f ca="1">OFFSET(TblConstr[[#This Row],[Tot Tow]],1,0)*(tower_mana + tech_4_5*TblTech[[#This Row],[4-5]]) + OFFSET(TblConstr[[#This Row],[Tot WG]],1,0)*wg_mana_prod</f>
        <v>0</v>
      </c>
      <c r="AE57" s="94">
        <f ca="1">OFFSET(TblConstr[[#This Row],[Tot OM]],1,0)*om_ore+IF(race="Dwarf",TblMili[[#This Row],[Unit 2]]*0.5,0)</f>
        <v>0</v>
      </c>
      <c r="AF57" s="94">
        <f ca="1">OFFSET(TblConstr[[#This Row],[Tot DM]],1,0)*dm_gems</f>
        <v>0</v>
      </c>
      <c r="AG57" s="142"/>
      <c r="AH57" s="156">
        <f ca="1">MIN(race_platinum_bonus + IF(TblMagic[[#This Row],[Active Alch Frost]]&gt;0,alch_frost_bonus,IF(Magic!AE57&gt;0,midas_bonus)) + TblImps[[#This Row],[Science]] - TblProd[[#This Row],[Guard]]*(0.02 + tech_5_7*TblTech[[#This Row],[5-7]]) + tech_1_5*TblTech[[#This Row],[1-5]] + tech_4_4*TblTech[[#This Row],[4-4]] + IF(TblMagic[[#This Row],[Active Infernal Command]]&gt;0,demonic_pact_plat,0), 0.5)</f>
        <v>0</v>
      </c>
      <c r="AI5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7" s="156">
        <f ca="1">race_lumber_bonus+ IF(TblMagic[[#This Row],[Active Gaia''s Blessing]]&gt;0,gaias_blessing_lumber)+ tech_1_3*TblTech[[#This Row],[1-3]] + tech_1_6*TblTech[[#This Row],[1-6]] + tech_3_3*TblTech[[#This Row],[3-3]]</f>
        <v>0</v>
      </c>
      <c r="AK57" s="156">
        <f ca="1">race_mana_bonus+ 0 + TblImps[[#This Row],[Spires]] + tech_1_2*TblTech[[#This Row],[1-2]] + tech_3_4*TblTech[[#This Row],[3-4]]</f>
        <v>0</v>
      </c>
      <c r="AL57" s="156">
        <f ca="1">race_ore_bonus + IF(TblMagic[[#This Row],[Active Miner''s Sight]]&gt;0,miners_sight_bonus,IF(TblMagic[[#This Row],[Active Mining Strength]]&gt;0,mining_strength_bonus)) +  tech_1_6*TblTech[[#This Row],[1-6]]</f>
        <v>0</v>
      </c>
      <c r="AM57" s="156">
        <f>race_gem_bonus+ tech_3_2*TblTech[[#This Row],[3-2]] + tech_4_3*TblTech[[#This Row],[4-3]] + tech_6_2*TblTech[[#This Row],[6-2]]</f>
        <v>0</v>
      </c>
      <c r="AN57" s="142"/>
      <c r="AO57" s="94">
        <f ca="1">TblProd[[#This Row],[Food]]*food_decay * (1 + tech_2_1*TblTech[[#This Row],[2-1]] + tech_2_8*TblTech[[#This Row],[2-8]] + IF(AND(TblMagic[[#This Row],[Active DnD]]&lt;12,TblMagic[[#This Row],[Active DnD]]&gt;5),1,0))</f>
        <v>1053.69</v>
      </c>
      <c r="AP57" s="94">
        <f ca="1">(1+race_food_consumption)*TblPop[[#This Row],[Total]]*food_per_person*(1+tech_1_10*TblTech[[#This Row],[1-10]]+tech_7_5*TblTech[[#This Row],[7-5]] + IF(TblMagic[[#This Row],[Active Infernal Command]]&gt;0,demonic_pact_food_cons,0))</f>
        <v>269</v>
      </c>
      <c r="AQ57" s="94">
        <f ca="1">TblProd[[#This Row],[Lumber]]*lumber_rot * (1 + tech_2_1*TblTech[[#This Row],[2-1]] + tech_2_8*TblTech[[#This Row],[2-8]] + tech_5_2*TblTech[[#This Row],[5-2]] + IF(AND(TblMagic[[#This Row],[Active DnD]]&lt;12,TblMagic[[#This Row],[Active DnD]]&gt;5),1,0))</f>
        <v>501</v>
      </c>
      <c r="AR57" s="94">
        <f ca="1">TblProd[[#This Row],[Mana]]*mana_drain * (1 + tech_2_1*TblTech[[#This Row],[2-1]] + tech_2_8*TblTech[[#This Row],[2-8]])</f>
        <v>0</v>
      </c>
      <c r="AS57" s="154"/>
      <c r="AT57" s="94">
        <f ca="1">TblExplore[[#This Row],[Platinum (2)]]+TblConstr[[#This Row],[Total Plat Cost]]+TblMili[[#This Row],[Plat Cost]]+TblRezone[[#This Row],[Platinum cost]]+TblImps[[#This Row],[P1]]-TblProd[[#This Row],[Bank Plat]]</f>
        <v>0</v>
      </c>
      <c r="AU57" s="94">
        <f ca="1">TblConstr[[#This Row],[Total Lum Cost]]+TblImps[[#This Row],[L1]]-TblProd[[#This Row],[Bank Lumber]] + Military!$CO$25*TblMili[[#This Row],[Sec. rec. Cost]]</f>
        <v>0</v>
      </c>
      <c r="AV57" s="94">
        <f ca="1">TblMagic[[#This Row],[Mana cost]] + Military!$CO$26*TblMili[[#This Row],[Sec. rec. Cost]]</f>
        <v>0</v>
      </c>
      <c r="AW57" s="94">
        <f ca="1">Military!$CO$24*TblMili[[#This Row],[Sec. rec. Cost]]+TblImps[[#This Row],[O1]]-TblProd[[#This Row],[Bank Ore]]</f>
        <v>0</v>
      </c>
      <c r="AX57" s="94">
        <f>TblImps[[#This Row],[G1]]-TblProd[[#This Row],[Bank Gems]]</f>
        <v>0</v>
      </c>
      <c r="AY57" s="142"/>
      <c r="AZ57" s="61" t="b">
        <f ca="1">IF(TblProd[[#This Row],[Set Guard]]&lt;&gt;"",TblProd[[#This Row],[Set Guard]],OFFSET(TblProd[[#This Row],[Guard]],-1,0))</f>
        <v>0</v>
      </c>
      <c r="BA57" s="153"/>
      <c r="BB57" s="45">
        <f>TblProd[[#This Row],[Hour]]</f>
        <v>18</v>
      </c>
      <c r="BC57" s="158">
        <f>-TblProd[[#This Row],[Bank Lumber]] / 2 + -TblProd[[#This Row],[Bank Gems]] * 2 + -TblProd[[#This Row],[Bank Ore]] / 2</f>
        <v>0</v>
      </c>
      <c r="BD57" s="158"/>
      <c r="BE57" s="158"/>
      <c r="BF57" s="158"/>
      <c r="BG57" s="159">
        <f ca="1">TblProd[[#This Row],[Time]]</f>
        <v>46049.208333333205</v>
      </c>
      <c r="BH57" s="45" t="str">
        <f>IF(AND(TblProd[[#This Row],[Bank Plat]]=0,TblProd[[#This Row],[Bank Lumber]]=0,TblProd[[#This Row],[Bank Ore]]=0,TblProd[[#This Row],[Bank Gems]]=0),"",IF(TblProd[[#This Row],[Bank Plat]]&gt;0,IF((TblProd[[#This Row],[Bank Lumber]]+TblProd[[#This Row],[Bank Ore]])/2+TblProd[[#This Row],[Bank Gems]]*2+ROUNDUP(TblProd[[#This Row],[Bank Plat]]/(1 + tech_2_2*Techs!Y57),0)=0,"Ok","Nope"),IF(TblProd[[#This Row],[Bank Lumber]]&gt;0,IF((TblProd[[#This Row],[Bank Plat]]+TblProd[[#This Row],[Bank Ore]])/2+TblProd[[#This Row],[Bank Gems]]*2+ROUNDUP(TblProd[[#This Row],[Bank Lumber]]/(1 + tech_2_2*Techs!Y57),0)=0,"Ok","Nope"),IF(TblProd[[#This Row],[Bank Ore]]&gt;0,IF((TblProd[[#This Row],[Bank Plat]]+TblProd[[#This Row],[Bank Lumber]])/2+TblProd[[#This Row],[Bank Gems]]*2+ROUNDUP(TblProd[[#This Row],[Bank Ore]]/(1 + tech_2_2*Techs!Y57),0)=0,"Ok","Nope")))))</f>
        <v/>
      </c>
      <c r="BI57" s="94">
        <f ca="1">TblProd[[#This Row],[Platinum]]</f>
        <v>141002</v>
      </c>
      <c r="BJ57" s="94">
        <f ca="1">TblProd[[#This Row],[Food]]</f>
        <v>105369</v>
      </c>
      <c r="BK57" s="94">
        <f ca="1">TblProd[[#This Row],[Lumber]]</f>
        <v>50100</v>
      </c>
      <c r="BL57" s="94">
        <f ca="1">TblProd[[#This Row],[Mana]]</f>
        <v>0</v>
      </c>
      <c r="BM57" s="94">
        <f ca="1">TblProd[[#This Row],[Ore]]</f>
        <v>0</v>
      </c>
    </row>
    <row r="58" spans="1:65" x14ac:dyDescent="0.2">
      <c r="A58" s="137">
        <f t="shared" si="0"/>
        <v>19</v>
      </c>
      <c r="B58" s="152">
        <f ca="1">TblImps[[#This Row],[Time]]</f>
        <v>46049.249999999869</v>
      </c>
      <c r="C58" s="153"/>
      <c r="D58" s="154"/>
      <c r="E58" s="94">
        <f ca="1">TblConstr[[#This Row],[Land]]</f>
        <v>110</v>
      </c>
      <c r="F58" s="94">
        <f ca="1">TblPop[[#This Row],[Peasants]]</f>
        <v>583</v>
      </c>
      <c r="G58" s="94">
        <f ca="1">TblMili[[#This Row],[Networth (2)]]</f>
        <v>2450</v>
      </c>
      <c r="H58" s="94">
        <f ca="1">OFFSET(TblProd[[#This Row],[Platinum]],-1,0)+OFFSET(TblProd[[#This Row],[Plat/hr]],-1,0) - TblProd[[#This Row],[Expenses Platinum]] + IF(TblProd[[#This Row],[Plat Bonus]],TblPop[[#This Row],[Peasants]]*4) + SUM(TblConstr[[#This Row],[Dest Hom]:[Dest Doc]])*TblConstr[[#This Row],[CPA Platinum -DB]]*tech_3_3_2*TblTech[[#This Row],[3-3]]</f>
        <v>142592</v>
      </c>
      <c r="I58" s="94">
        <f ca="1">OFFSET(TblProd[[#This Row],[Food]],-1,0)+OFFSET(TblProd[[#This Row],[Food/hr]],-1,0)+ROUNDUP((TblConstr[[#This Row],[Farms]]*80+TblConstr[[#This Row],[Docks]]*35)*(1+OFFSET(TblProd[[#This Row],[Bonus Food/hr]],-1,0)),0)</f>
        <v>106626</v>
      </c>
      <c r="J58" s="94">
        <f ca="1">OFFSET(TblProd[[#This Row],[Lumber]],-1,0)+OFFSET(TblProd[[#This Row],[Lumber/hr]],-1,0) - TblProd[[#This Row],[Expenses Lumber]] + SUM(TblConstr[[#This Row],[Dest Hom]:[Dest Doc]])*TblConstr[[#This Row],[CPA Lumber -DB]]*tech_3_3_2*TblTech[[#This Row],[3-3]]</f>
        <v>50599</v>
      </c>
      <c r="K58" s="94">
        <f ca="1">OFFSET(TblProd[[#This Row],[Mana]],-1,0)+OFFSET(TblProd[[#This Row],[Mana/hr]],-1,0)- TblProd[[#This Row],[Expenses Mana]]</f>
        <v>0</v>
      </c>
      <c r="L58" s="94">
        <f ca="1">OFFSET(TblProd[[#This Row],[Ore]],-1,0)+OFFSET(TblProd[[#This Row],[Ore/hr]],-1,0) -TblProd[[#This Row],[Expenses Ore]]</f>
        <v>0</v>
      </c>
      <c r="M58" s="94">
        <f ca="1">OFFSET(TblProd[[#This Row],[Gems]],-1,0)+OFFSET(TblProd[[#This Row],[Gems/hr]],-1,0) - TblProd[[#This Row],[Expenses Gems]]</f>
        <v>0</v>
      </c>
      <c r="N58" s="94">
        <f ca="1">OFFSET(TblProd[[#This Row],[Boats]],-1,0)+OFFSET(TblProd[[#This Row],[Boats/hr]],-1,0)</f>
        <v>0</v>
      </c>
      <c r="O58" s="94">
        <f ca="1">OFFSET(TblProd[[#This Row],[Prestige]],-1,0)</f>
        <v>250</v>
      </c>
      <c r="P5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8" s="94">
        <f ca="1">MAX(_xlfn.CEILING.MATH(TblProd[[#This Row],[Land]]*2.5+IFERROR(OFFSET(TblTech[[#This Row],[Sum of tech]],-1,0)*50,0)),3750)</f>
        <v>3750</v>
      </c>
      <c r="R58" s="142"/>
      <c r="S58" s="94">
        <f ca="1">ROUNDDOWN(TblProd[[#This Row],[Raw Plat/hr]]*(1+TblProd[[#This Row],[Bonus Plat/hr]]),0)</f>
        <v>1574</v>
      </c>
      <c r="T58" s="94">
        <f ca="1">ROUND(TblProd[[#This Row],[Raw Food/hr]]*(1+TblProd[[#This Row],[Bonus Food/hr]])-TblProd[[#This Row],[Food decay]]-TblProd[[#This Row],[Food eaten]],0)</f>
        <v>1245</v>
      </c>
      <c r="U58" s="94">
        <f ca="1">ROUND(TblProd[[#This Row],[Raw Lumber/hr]]*(1+TblProd[[#This Row],[Bonus Lumber/hr]])-TblProd[[#This Row],[Lumber rot]],0)</f>
        <v>494</v>
      </c>
      <c r="V58" s="94">
        <f ca="1">ROUND(TblProd[[#This Row],[Raw Mana/hr]]*(1+TblProd[[#This Row],[Bonus Mana/hr]])-TblProd[[#This Row],[Mana drain]],0)</f>
        <v>0</v>
      </c>
      <c r="W58" s="94">
        <f ca="1">ROUNDDOWN(TblProd[[#This Row],[Raw Ore/hr]]*(1+TblProd[[#This Row],[Bonux Ore/hr]]),0)</f>
        <v>0</v>
      </c>
      <c r="X58" s="94">
        <f ca="1">ROUNDDOWN(TblProd[[#This Row],[Raw Gems/hr]]*(1+TblProd[[#This Row],[Bonus Gems/hr]]),0)</f>
        <v>0</v>
      </c>
      <c r="Y58" s="155">
        <f ca="1">OFFSET(TblConstr[[#This Row],[Tot Doc]],1,0)*dock_boats_hr * (1 + tech_4_1*TblTech[[#This Row],[4-1]])</f>
        <v>0</v>
      </c>
      <c r="Z58" s="154"/>
      <c r="AA58" s="94">
        <f ca="1">TblPop[[#This Row],[Peasants]]*tax*TblPop[[#This Row],[Employment]] + (Construction!AZ59+Construction!BX59)*(alch_plat+(Magic!AN58&gt;0)*alchemist_flame_bonus)</f>
        <v>1574.1000000000001</v>
      </c>
      <c r="AB58" s="94">
        <f ca="1">TblConstr[[#This Row],[Tot Farm]]*farm_food + TblConstr[[#This Row],[Tot Doc]]*dock_food</f>
        <v>2400</v>
      </c>
      <c r="AC58" s="94">
        <f ca="1">TblConstr[[#This Row],[Tot Ly]]*ly_lumber + TblConstr[[#This Row],[Tot Hav]]*fh_lumber + IF(race="Wood Elf",TblMili[[#This Row],[Unit 2]]*MIN(TblMili[[#This Row],[Homeland%]]/wisp_bonus,wisp_cap),0)</f>
        <v>1000</v>
      </c>
      <c r="AD58" s="94">
        <f ca="1">OFFSET(TblConstr[[#This Row],[Tot Tow]],1,0)*(tower_mana + tech_4_5*TblTech[[#This Row],[4-5]]) + OFFSET(TblConstr[[#This Row],[Tot WG]],1,0)*wg_mana_prod</f>
        <v>0</v>
      </c>
      <c r="AE58" s="94">
        <f ca="1">OFFSET(TblConstr[[#This Row],[Tot OM]],1,0)*om_ore+IF(race="Dwarf",TblMili[[#This Row],[Unit 2]]*0.5,0)</f>
        <v>0</v>
      </c>
      <c r="AF58" s="94">
        <f ca="1">OFFSET(TblConstr[[#This Row],[Tot DM]],1,0)*dm_gems</f>
        <v>0</v>
      </c>
      <c r="AG58" s="142"/>
      <c r="AH58" s="156">
        <f ca="1">MIN(race_platinum_bonus + IF(TblMagic[[#This Row],[Active Alch Frost]]&gt;0,alch_frost_bonus,IF(Magic!AE58&gt;0,midas_bonus)) + TblImps[[#This Row],[Science]] - TblProd[[#This Row],[Guard]]*(0.02 + tech_5_7*TblTech[[#This Row],[5-7]]) + tech_1_5*TblTech[[#This Row],[1-5]] + tech_4_4*TblTech[[#This Row],[4-4]] + IF(TblMagic[[#This Row],[Active Infernal Command]]&gt;0,demonic_pact_plat,0), 0.5)</f>
        <v>0</v>
      </c>
      <c r="AI5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8" s="156">
        <f ca="1">race_lumber_bonus+ IF(TblMagic[[#This Row],[Active Gaia''s Blessing]]&gt;0,gaias_blessing_lumber)+ tech_1_3*TblTech[[#This Row],[1-3]] + tech_1_6*TblTech[[#This Row],[1-6]] + tech_3_3*TblTech[[#This Row],[3-3]]</f>
        <v>0</v>
      </c>
      <c r="AK58" s="156">
        <f ca="1">race_mana_bonus+ 0 + TblImps[[#This Row],[Spires]] + tech_1_2*TblTech[[#This Row],[1-2]] + tech_3_4*TblTech[[#This Row],[3-4]]</f>
        <v>0</v>
      </c>
      <c r="AL58" s="156">
        <f ca="1">race_ore_bonus + IF(TblMagic[[#This Row],[Active Miner''s Sight]]&gt;0,miners_sight_bonus,IF(TblMagic[[#This Row],[Active Mining Strength]]&gt;0,mining_strength_bonus)) +  tech_1_6*TblTech[[#This Row],[1-6]]</f>
        <v>0</v>
      </c>
      <c r="AM58" s="156">
        <f>race_gem_bonus+ tech_3_2*TblTech[[#This Row],[3-2]] + tech_4_3*TblTech[[#This Row],[4-3]] + tech_6_2*TblTech[[#This Row],[6-2]]</f>
        <v>0</v>
      </c>
      <c r="AN58" s="142"/>
      <c r="AO58" s="94">
        <f ca="1">TblProd[[#This Row],[Food]]*food_decay * (1 + tech_2_1*TblTech[[#This Row],[2-1]] + tech_2_8*TblTech[[#This Row],[2-8]] + IF(AND(TblMagic[[#This Row],[Active DnD]]&lt;12,TblMagic[[#This Row],[Active DnD]]&gt;5),1,0))</f>
        <v>1066.26</v>
      </c>
      <c r="AP58" s="94">
        <f ca="1">(1+race_food_consumption)*TblPop[[#This Row],[Total]]*food_per_person*(1+tech_1_10*TblTech[[#This Row],[1-10]]+tech_7_5*TblTech[[#This Row],[7-5]] + IF(TblMagic[[#This Row],[Active Infernal Command]]&gt;0,demonic_pact_food_cons,0))</f>
        <v>269</v>
      </c>
      <c r="AQ58" s="94">
        <f ca="1">TblProd[[#This Row],[Lumber]]*lumber_rot * (1 + tech_2_1*TblTech[[#This Row],[2-1]] + tech_2_8*TblTech[[#This Row],[2-8]] + tech_5_2*TblTech[[#This Row],[5-2]] + IF(AND(TblMagic[[#This Row],[Active DnD]]&lt;12,TblMagic[[#This Row],[Active DnD]]&gt;5),1,0))</f>
        <v>505.99</v>
      </c>
      <c r="AR58" s="94">
        <f ca="1">TblProd[[#This Row],[Mana]]*mana_drain * (1 + tech_2_1*TblTech[[#This Row],[2-1]] + tech_2_8*TblTech[[#This Row],[2-8]])</f>
        <v>0</v>
      </c>
      <c r="AS58" s="154"/>
      <c r="AT58" s="94">
        <f ca="1">TblExplore[[#This Row],[Platinum (2)]]+TblConstr[[#This Row],[Total Plat Cost]]+TblMili[[#This Row],[Plat Cost]]+TblRezone[[#This Row],[Platinum cost]]+TblImps[[#This Row],[P1]]-TblProd[[#This Row],[Bank Plat]]</f>
        <v>0</v>
      </c>
      <c r="AU58" s="94">
        <f ca="1">TblConstr[[#This Row],[Total Lum Cost]]+TblImps[[#This Row],[L1]]-TblProd[[#This Row],[Bank Lumber]] + Military!$CO$25*TblMili[[#This Row],[Sec. rec. Cost]]</f>
        <v>0</v>
      </c>
      <c r="AV58" s="94">
        <f ca="1">TblMagic[[#This Row],[Mana cost]] + Military!$CO$26*TblMili[[#This Row],[Sec. rec. Cost]]</f>
        <v>0</v>
      </c>
      <c r="AW58" s="94">
        <f ca="1">Military!$CO$24*TblMili[[#This Row],[Sec. rec. Cost]]+TblImps[[#This Row],[O1]]-TblProd[[#This Row],[Bank Ore]]</f>
        <v>0</v>
      </c>
      <c r="AX58" s="94">
        <f>TblImps[[#This Row],[G1]]-TblProd[[#This Row],[Bank Gems]]</f>
        <v>0</v>
      </c>
      <c r="AY58" s="142"/>
      <c r="AZ58" s="61" t="b">
        <f ca="1">IF(TblProd[[#This Row],[Set Guard]]&lt;&gt;"",TblProd[[#This Row],[Set Guard]],OFFSET(TblProd[[#This Row],[Guard]],-1,0))</f>
        <v>0</v>
      </c>
      <c r="BA58" s="153"/>
      <c r="BB58" s="45">
        <f>TblProd[[#This Row],[Hour]]</f>
        <v>19</v>
      </c>
      <c r="BC58" s="158">
        <f>-TblProd[[#This Row],[Bank Lumber]] / 2 + -TblProd[[#This Row],[Bank Gems]] * 2 + -TblProd[[#This Row],[Bank Ore]] / 2</f>
        <v>0</v>
      </c>
      <c r="BD58" s="158"/>
      <c r="BE58" s="158"/>
      <c r="BF58" s="158"/>
      <c r="BG58" s="159">
        <f ca="1">TblProd[[#This Row],[Time]]</f>
        <v>46049.249999999869</v>
      </c>
      <c r="BH58" s="45" t="str">
        <f>IF(AND(TblProd[[#This Row],[Bank Plat]]=0,TblProd[[#This Row],[Bank Lumber]]=0,TblProd[[#This Row],[Bank Ore]]=0,TblProd[[#This Row],[Bank Gems]]=0),"",IF(TblProd[[#This Row],[Bank Plat]]&gt;0,IF((TblProd[[#This Row],[Bank Lumber]]+TblProd[[#This Row],[Bank Ore]])/2+TblProd[[#This Row],[Bank Gems]]*2+ROUNDUP(TblProd[[#This Row],[Bank Plat]]/(1 + tech_2_2*Techs!Y58),0)=0,"Ok","Nope"),IF(TblProd[[#This Row],[Bank Lumber]]&gt;0,IF((TblProd[[#This Row],[Bank Plat]]+TblProd[[#This Row],[Bank Ore]])/2+TblProd[[#This Row],[Bank Gems]]*2+ROUNDUP(TblProd[[#This Row],[Bank Lumber]]/(1 + tech_2_2*Techs!Y58),0)=0,"Ok","Nope"),IF(TblProd[[#This Row],[Bank Ore]]&gt;0,IF((TblProd[[#This Row],[Bank Plat]]+TblProd[[#This Row],[Bank Lumber]])/2+TblProd[[#This Row],[Bank Gems]]*2+ROUNDUP(TblProd[[#This Row],[Bank Ore]]/(1 + tech_2_2*Techs!Y58),0)=0,"Ok","Nope")))))</f>
        <v/>
      </c>
      <c r="BI58" s="94">
        <f ca="1">TblProd[[#This Row],[Platinum]]</f>
        <v>142592</v>
      </c>
      <c r="BJ58" s="94">
        <f ca="1">TblProd[[#This Row],[Food]]</f>
        <v>106626</v>
      </c>
      <c r="BK58" s="94">
        <f ca="1">TblProd[[#This Row],[Lumber]]</f>
        <v>50599</v>
      </c>
      <c r="BL58" s="94">
        <f ca="1">TblProd[[#This Row],[Mana]]</f>
        <v>0</v>
      </c>
      <c r="BM58" s="94">
        <f ca="1">TblProd[[#This Row],[Ore]]</f>
        <v>0</v>
      </c>
    </row>
    <row r="59" spans="1:65" x14ac:dyDescent="0.2">
      <c r="A59" s="137">
        <f t="shared" si="0"/>
        <v>20</v>
      </c>
      <c r="B59" s="152">
        <f ca="1">TblImps[[#This Row],[Time]]</f>
        <v>46049.291666666533</v>
      </c>
      <c r="C59" s="153"/>
      <c r="D59" s="154"/>
      <c r="E59" s="94">
        <f ca="1">TblConstr[[#This Row],[Land]]</f>
        <v>110</v>
      </c>
      <c r="F59" s="94">
        <f ca="1">TblPop[[#This Row],[Peasants]]</f>
        <v>577</v>
      </c>
      <c r="G59" s="94">
        <f ca="1">TblMili[[#This Row],[Networth (2)]]</f>
        <v>2450</v>
      </c>
      <c r="H59" s="94">
        <f ca="1">OFFSET(TblProd[[#This Row],[Platinum]],-1,0)+OFFSET(TblProd[[#This Row],[Plat/hr]],-1,0) - TblProd[[#This Row],[Expenses Platinum]] + IF(TblProd[[#This Row],[Plat Bonus]],TblPop[[#This Row],[Peasants]]*4) + SUM(TblConstr[[#This Row],[Dest Hom]:[Dest Doc]])*TblConstr[[#This Row],[CPA Platinum -DB]]*tech_3_3_2*TblTech[[#This Row],[3-3]]</f>
        <v>144166</v>
      </c>
      <c r="I59" s="94">
        <f ca="1">OFFSET(TblProd[[#This Row],[Food]],-1,0)+OFFSET(TblProd[[#This Row],[Food/hr]],-1,0)+ROUNDUP((TblConstr[[#This Row],[Farms]]*80+TblConstr[[#This Row],[Docks]]*35)*(1+OFFSET(TblProd[[#This Row],[Bonus Food/hr]],-1,0)),0)</f>
        <v>107871</v>
      </c>
      <c r="J59" s="94">
        <f ca="1">OFFSET(TblProd[[#This Row],[Lumber]],-1,0)+OFFSET(TblProd[[#This Row],[Lumber/hr]],-1,0) - TblProd[[#This Row],[Expenses Lumber]] + SUM(TblConstr[[#This Row],[Dest Hom]:[Dest Doc]])*TblConstr[[#This Row],[CPA Lumber -DB]]*tech_3_3_2*TblTech[[#This Row],[3-3]]</f>
        <v>51093</v>
      </c>
      <c r="K59" s="94">
        <f ca="1">OFFSET(TblProd[[#This Row],[Mana]],-1,0)+OFFSET(TblProd[[#This Row],[Mana/hr]],-1,0)- TblProd[[#This Row],[Expenses Mana]]</f>
        <v>0</v>
      </c>
      <c r="L59" s="94">
        <f ca="1">OFFSET(TblProd[[#This Row],[Ore]],-1,0)+OFFSET(TblProd[[#This Row],[Ore/hr]],-1,0) -TblProd[[#This Row],[Expenses Ore]]</f>
        <v>0</v>
      </c>
      <c r="M59" s="94">
        <f ca="1">OFFSET(TblProd[[#This Row],[Gems]],-1,0)+OFFSET(TblProd[[#This Row],[Gems/hr]],-1,0) - TblProd[[#This Row],[Expenses Gems]]</f>
        <v>0</v>
      </c>
      <c r="N59" s="94">
        <f ca="1">OFFSET(TblProd[[#This Row],[Boats]],-1,0)+OFFSET(TblProd[[#This Row],[Boats/hr]],-1,0)</f>
        <v>0</v>
      </c>
      <c r="O59" s="94">
        <f ca="1">OFFSET(TblProd[[#This Row],[Prestige]],-1,0)</f>
        <v>250</v>
      </c>
      <c r="P5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59" s="94">
        <f ca="1">MAX(_xlfn.CEILING.MATH(TblProd[[#This Row],[Land]]*2.5+IFERROR(OFFSET(TblTech[[#This Row],[Sum of tech]],-1,0)*50,0)),3750)</f>
        <v>3750</v>
      </c>
      <c r="R59" s="142"/>
      <c r="S59" s="94">
        <f ca="1">ROUNDDOWN(TblProd[[#This Row],[Raw Plat/hr]]*(1+TblProd[[#This Row],[Bonus Plat/hr]]),0)</f>
        <v>1557</v>
      </c>
      <c r="T59" s="94">
        <f ca="1">ROUND(TblProd[[#This Row],[Raw Food/hr]]*(1+TblProd[[#This Row],[Bonus Food/hr]])-TblProd[[#This Row],[Food decay]]-TblProd[[#This Row],[Food eaten]],0)</f>
        <v>1232</v>
      </c>
      <c r="U59" s="94">
        <f ca="1">ROUND(TblProd[[#This Row],[Raw Lumber/hr]]*(1+TblProd[[#This Row],[Bonus Lumber/hr]])-TblProd[[#This Row],[Lumber rot]],0)</f>
        <v>489</v>
      </c>
      <c r="V59" s="94">
        <f ca="1">ROUND(TblProd[[#This Row],[Raw Mana/hr]]*(1+TblProd[[#This Row],[Bonus Mana/hr]])-TblProd[[#This Row],[Mana drain]],0)</f>
        <v>0</v>
      </c>
      <c r="W59" s="94">
        <f ca="1">ROUNDDOWN(TblProd[[#This Row],[Raw Ore/hr]]*(1+TblProd[[#This Row],[Bonux Ore/hr]]),0)</f>
        <v>0</v>
      </c>
      <c r="X59" s="94">
        <f ca="1">ROUNDDOWN(TblProd[[#This Row],[Raw Gems/hr]]*(1+TblProd[[#This Row],[Bonus Gems/hr]]),0)</f>
        <v>0</v>
      </c>
      <c r="Y59" s="155">
        <f ca="1">OFFSET(TblConstr[[#This Row],[Tot Doc]],1,0)*dock_boats_hr * (1 + tech_4_1*TblTech[[#This Row],[4-1]])</f>
        <v>0</v>
      </c>
      <c r="Z59" s="154"/>
      <c r="AA59" s="94">
        <f ca="1">TblPop[[#This Row],[Peasants]]*tax*TblPop[[#This Row],[Employment]] + (Construction!AZ60+Construction!BX60)*(alch_plat+(Magic!AN59&gt;0)*alchemist_flame_bonus)</f>
        <v>1557.9</v>
      </c>
      <c r="AB59" s="94">
        <f ca="1">TblConstr[[#This Row],[Tot Farm]]*farm_food + TblConstr[[#This Row],[Tot Doc]]*dock_food</f>
        <v>2400</v>
      </c>
      <c r="AC59" s="94">
        <f ca="1">TblConstr[[#This Row],[Tot Ly]]*ly_lumber + TblConstr[[#This Row],[Tot Hav]]*fh_lumber + IF(race="Wood Elf",TblMili[[#This Row],[Unit 2]]*MIN(TblMili[[#This Row],[Homeland%]]/wisp_bonus,wisp_cap),0)</f>
        <v>1000</v>
      </c>
      <c r="AD59" s="94">
        <f ca="1">OFFSET(TblConstr[[#This Row],[Tot Tow]],1,0)*(tower_mana + tech_4_5*TblTech[[#This Row],[4-5]]) + OFFSET(TblConstr[[#This Row],[Tot WG]],1,0)*wg_mana_prod</f>
        <v>0</v>
      </c>
      <c r="AE59" s="94">
        <f ca="1">OFFSET(TblConstr[[#This Row],[Tot OM]],1,0)*om_ore+IF(race="Dwarf",TblMili[[#This Row],[Unit 2]]*0.5,0)</f>
        <v>0</v>
      </c>
      <c r="AF59" s="94">
        <f ca="1">OFFSET(TblConstr[[#This Row],[Tot DM]],1,0)*dm_gems</f>
        <v>0</v>
      </c>
      <c r="AG59" s="142"/>
      <c r="AH59" s="156">
        <f ca="1">MIN(race_platinum_bonus + IF(TblMagic[[#This Row],[Active Alch Frost]]&gt;0,alch_frost_bonus,IF(Magic!AE59&gt;0,midas_bonus)) + TblImps[[#This Row],[Science]] - TblProd[[#This Row],[Guard]]*(0.02 + tech_5_7*TblTech[[#This Row],[5-7]]) + tech_1_5*TblTech[[#This Row],[1-5]] + tech_4_4*TblTech[[#This Row],[4-4]] + IF(TblMagic[[#This Row],[Active Infernal Command]]&gt;0,demonic_pact_plat,0), 0.5)</f>
        <v>0</v>
      </c>
      <c r="AI5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59" s="156">
        <f ca="1">race_lumber_bonus+ IF(TblMagic[[#This Row],[Active Gaia''s Blessing]]&gt;0,gaias_blessing_lumber)+ tech_1_3*TblTech[[#This Row],[1-3]] + tech_1_6*TblTech[[#This Row],[1-6]] + tech_3_3*TblTech[[#This Row],[3-3]]</f>
        <v>0</v>
      </c>
      <c r="AK59" s="156">
        <f ca="1">race_mana_bonus+ 0 + TblImps[[#This Row],[Spires]] + tech_1_2*TblTech[[#This Row],[1-2]] + tech_3_4*TblTech[[#This Row],[3-4]]</f>
        <v>0</v>
      </c>
      <c r="AL59" s="156">
        <f ca="1">race_ore_bonus + IF(TblMagic[[#This Row],[Active Miner''s Sight]]&gt;0,miners_sight_bonus,IF(TblMagic[[#This Row],[Active Mining Strength]]&gt;0,mining_strength_bonus)) +  tech_1_6*TblTech[[#This Row],[1-6]]</f>
        <v>0</v>
      </c>
      <c r="AM59" s="156">
        <f>race_gem_bonus+ tech_3_2*TblTech[[#This Row],[3-2]] + tech_4_3*TblTech[[#This Row],[4-3]] + tech_6_2*TblTech[[#This Row],[6-2]]</f>
        <v>0</v>
      </c>
      <c r="AN59" s="142"/>
      <c r="AO59" s="94">
        <f ca="1">TblProd[[#This Row],[Food]]*food_decay * (1 + tech_2_1*TblTech[[#This Row],[2-1]] + tech_2_8*TblTech[[#This Row],[2-8]] + IF(AND(TblMagic[[#This Row],[Active DnD]]&lt;12,TblMagic[[#This Row],[Active DnD]]&gt;5),1,0))</f>
        <v>1078.71</v>
      </c>
      <c r="AP59" s="94">
        <f ca="1">(1+race_food_consumption)*TblPop[[#This Row],[Total]]*food_per_person*(1+tech_1_10*TblTech[[#This Row],[1-10]]+tech_7_5*TblTech[[#This Row],[7-5]] + IF(TblMagic[[#This Row],[Active Infernal Command]]&gt;0,demonic_pact_food_cons,0))</f>
        <v>269</v>
      </c>
      <c r="AQ59" s="94">
        <f ca="1">TblProd[[#This Row],[Lumber]]*lumber_rot * (1 + tech_2_1*TblTech[[#This Row],[2-1]] + tech_2_8*TblTech[[#This Row],[2-8]] + tech_5_2*TblTech[[#This Row],[5-2]] + IF(AND(TblMagic[[#This Row],[Active DnD]]&lt;12,TblMagic[[#This Row],[Active DnD]]&gt;5),1,0))</f>
        <v>510.93</v>
      </c>
      <c r="AR59" s="94">
        <f ca="1">TblProd[[#This Row],[Mana]]*mana_drain * (1 + tech_2_1*TblTech[[#This Row],[2-1]] + tech_2_8*TblTech[[#This Row],[2-8]])</f>
        <v>0</v>
      </c>
      <c r="AS59" s="154"/>
      <c r="AT59" s="94">
        <f ca="1">TblExplore[[#This Row],[Platinum (2)]]+TblConstr[[#This Row],[Total Plat Cost]]+TblMili[[#This Row],[Plat Cost]]+TblRezone[[#This Row],[Platinum cost]]+TblImps[[#This Row],[P1]]-TblProd[[#This Row],[Bank Plat]]</f>
        <v>0</v>
      </c>
      <c r="AU59" s="94">
        <f ca="1">TblConstr[[#This Row],[Total Lum Cost]]+TblImps[[#This Row],[L1]]-TblProd[[#This Row],[Bank Lumber]] + Military!$CO$25*TblMili[[#This Row],[Sec. rec. Cost]]</f>
        <v>0</v>
      </c>
      <c r="AV59" s="94">
        <f ca="1">TblMagic[[#This Row],[Mana cost]] + Military!$CO$26*TblMili[[#This Row],[Sec. rec. Cost]]</f>
        <v>0</v>
      </c>
      <c r="AW59" s="94">
        <f ca="1">Military!$CO$24*TblMili[[#This Row],[Sec. rec. Cost]]+TblImps[[#This Row],[O1]]-TblProd[[#This Row],[Bank Ore]]</f>
        <v>0</v>
      </c>
      <c r="AX59" s="94">
        <f>TblImps[[#This Row],[G1]]-TblProd[[#This Row],[Bank Gems]]</f>
        <v>0</v>
      </c>
      <c r="AY59" s="142"/>
      <c r="AZ59" s="61" t="b">
        <f ca="1">IF(TblProd[[#This Row],[Set Guard]]&lt;&gt;"",TblProd[[#This Row],[Set Guard]],OFFSET(TblProd[[#This Row],[Guard]],-1,0))</f>
        <v>0</v>
      </c>
      <c r="BA59" s="153"/>
      <c r="BB59" s="45">
        <f>TblProd[[#This Row],[Hour]]</f>
        <v>20</v>
      </c>
      <c r="BC59" s="158">
        <f>-TblProd[[#This Row],[Bank Lumber]] / 2 + -TblProd[[#This Row],[Bank Gems]] * 2 + -TblProd[[#This Row],[Bank Ore]] / 2</f>
        <v>0</v>
      </c>
      <c r="BD59" s="158"/>
      <c r="BE59" s="158"/>
      <c r="BF59" s="158"/>
      <c r="BG59" s="159">
        <f ca="1">TblProd[[#This Row],[Time]]</f>
        <v>46049.291666666533</v>
      </c>
      <c r="BH59" s="45" t="str">
        <f>IF(AND(TblProd[[#This Row],[Bank Plat]]=0,TblProd[[#This Row],[Bank Lumber]]=0,TblProd[[#This Row],[Bank Ore]]=0,TblProd[[#This Row],[Bank Gems]]=0),"",IF(TblProd[[#This Row],[Bank Plat]]&gt;0,IF((TblProd[[#This Row],[Bank Lumber]]+TblProd[[#This Row],[Bank Ore]])/2+TblProd[[#This Row],[Bank Gems]]*2+ROUNDUP(TblProd[[#This Row],[Bank Plat]]/(1 + tech_2_2*Techs!Y59),0)=0,"Ok","Nope"),IF(TblProd[[#This Row],[Bank Lumber]]&gt;0,IF((TblProd[[#This Row],[Bank Plat]]+TblProd[[#This Row],[Bank Ore]])/2+TblProd[[#This Row],[Bank Gems]]*2+ROUNDUP(TblProd[[#This Row],[Bank Lumber]]/(1 + tech_2_2*Techs!Y59),0)=0,"Ok","Nope"),IF(TblProd[[#This Row],[Bank Ore]]&gt;0,IF((TblProd[[#This Row],[Bank Plat]]+TblProd[[#This Row],[Bank Lumber]])/2+TblProd[[#This Row],[Bank Gems]]*2+ROUNDUP(TblProd[[#This Row],[Bank Ore]]/(1 + tech_2_2*Techs!Y59),0)=0,"Ok","Nope")))))</f>
        <v/>
      </c>
      <c r="BI59" s="94">
        <f ca="1">TblProd[[#This Row],[Platinum]]</f>
        <v>144166</v>
      </c>
      <c r="BJ59" s="94">
        <f ca="1">TblProd[[#This Row],[Food]]</f>
        <v>107871</v>
      </c>
      <c r="BK59" s="94">
        <f ca="1">TblProd[[#This Row],[Lumber]]</f>
        <v>51093</v>
      </c>
      <c r="BL59" s="94">
        <f ca="1">TblProd[[#This Row],[Mana]]</f>
        <v>0</v>
      </c>
      <c r="BM59" s="94">
        <f ca="1">TblProd[[#This Row],[Ore]]</f>
        <v>0</v>
      </c>
    </row>
    <row r="60" spans="1:65" x14ac:dyDescent="0.2">
      <c r="A60" s="137">
        <f t="shared" si="0"/>
        <v>21</v>
      </c>
      <c r="B60" s="152">
        <f ca="1">TblImps[[#This Row],[Time]]</f>
        <v>46049.333333333198</v>
      </c>
      <c r="C60" s="153"/>
      <c r="D60" s="154"/>
      <c r="E60" s="94">
        <f ca="1">TblConstr[[#This Row],[Land]]</f>
        <v>110</v>
      </c>
      <c r="F60" s="94">
        <f ca="1">TblPop[[#This Row],[Peasants]]</f>
        <v>571</v>
      </c>
      <c r="G60" s="94">
        <f ca="1">TblMili[[#This Row],[Networth (2)]]</f>
        <v>2450</v>
      </c>
      <c r="H60" s="94">
        <f ca="1">OFFSET(TblProd[[#This Row],[Platinum]],-1,0)+OFFSET(TblProd[[#This Row],[Plat/hr]],-1,0) - TblProd[[#This Row],[Expenses Platinum]] + IF(TblProd[[#This Row],[Plat Bonus]],TblPop[[#This Row],[Peasants]]*4) + SUM(TblConstr[[#This Row],[Dest Hom]:[Dest Doc]])*TblConstr[[#This Row],[CPA Platinum -DB]]*tech_3_3_2*TblTech[[#This Row],[3-3]]</f>
        <v>145723</v>
      </c>
      <c r="I60" s="94">
        <f ca="1">OFFSET(TblProd[[#This Row],[Food]],-1,0)+OFFSET(TblProd[[#This Row],[Food/hr]],-1,0)+ROUNDUP((TblConstr[[#This Row],[Farms]]*80+TblConstr[[#This Row],[Docks]]*35)*(1+OFFSET(TblProd[[#This Row],[Bonus Food/hr]],-1,0)),0)</f>
        <v>109103</v>
      </c>
      <c r="J60" s="94">
        <f ca="1">OFFSET(TblProd[[#This Row],[Lumber]],-1,0)+OFFSET(TblProd[[#This Row],[Lumber/hr]],-1,0) - TblProd[[#This Row],[Expenses Lumber]] + SUM(TblConstr[[#This Row],[Dest Hom]:[Dest Doc]])*TblConstr[[#This Row],[CPA Lumber -DB]]*tech_3_3_2*TblTech[[#This Row],[3-3]]</f>
        <v>51582</v>
      </c>
      <c r="K60" s="94">
        <f ca="1">OFFSET(TblProd[[#This Row],[Mana]],-1,0)+OFFSET(TblProd[[#This Row],[Mana/hr]],-1,0)- TblProd[[#This Row],[Expenses Mana]]</f>
        <v>0</v>
      </c>
      <c r="L60" s="94">
        <f ca="1">OFFSET(TblProd[[#This Row],[Ore]],-1,0)+OFFSET(TblProd[[#This Row],[Ore/hr]],-1,0) -TblProd[[#This Row],[Expenses Ore]]</f>
        <v>0</v>
      </c>
      <c r="M60" s="94">
        <f ca="1">OFFSET(TblProd[[#This Row],[Gems]],-1,0)+OFFSET(TblProd[[#This Row],[Gems/hr]],-1,0) - TblProd[[#This Row],[Expenses Gems]]</f>
        <v>0</v>
      </c>
      <c r="N60" s="94">
        <f ca="1">OFFSET(TblProd[[#This Row],[Boats]],-1,0)+OFFSET(TblProd[[#This Row],[Boats/hr]],-1,0)</f>
        <v>0</v>
      </c>
      <c r="O60" s="94">
        <f ca="1">OFFSET(TblProd[[#This Row],[Prestige]],-1,0)</f>
        <v>250</v>
      </c>
      <c r="P6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0" s="94">
        <f ca="1">MAX(_xlfn.CEILING.MATH(TblProd[[#This Row],[Land]]*2.5+IFERROR(OFFSET(TblTech[[#This Row],[Sum of tech]],-1,0)*50,0)),3750)</f>
        <v>3750</v>
      </c>
      <c r="R60" s="142"/>
      <c r="S60" s="94">
        <f ca="1">ROUNDDOWN(TblProd[[#This Row],[Raw Plat/hr]]*(1+TblProd[[#This Row],[Bonus Plat/hr]]),0)</f>
        <v>1541</v>
      </c>
      <c r="T60" s="94">
        <f ca="1">ROUND(TblProd[[#This Row],[Raw Food/hr]]*(1+TblProd[[#This Row],[Bonus Food/hr]])-TblProd[[#This Row],[Food decay]]-TblProd[[#This Row],[Food eaten]],0)</f>
        <v>1220</v>
      </c>
      <c r="U60" s="94">
        <f ca="1">ROUND(TblProd[[#This Row],[Raw Lumber/hr]]*(1+TblProd[[#This Row],[Bonus Lumber/hr]])-TblProd[[#This Row],[Lumber rot]],0)</f>
        <v>484</v>
      </c>
      <c r="V60" s="94">
        <f ca="1">ROUND(TblProd[[#This Row],[Raw Mana/hr]]*(1+TblProd[[#This Row],[Bonus Mana/hr]])-TblProd[[#This Row],[Mana drain]],0)</f>
        <v>0</v>
      </c>
      <c r="W60" s="94">
        <f ca="1">ROUNDDOWN(TblProd[[#This Row],[Raw Ore/hr]]*(1+TblProd[[#This Row],[Bonux Ore/hr]]),0)</f>
        <v>0</v>
      </c>
      <c r="X60" s="94">
        <f ca="1">ROUNDDOWN(TblProd[[#This Row],[Raw Gems/hr]]*(1+TblProd[[#This Row],[Bonus Gems/hr]]),0)</f>
        <v>0</v>
      </c>
      <c r="Y60" s="155">
        <f ca="1">OFFSET(TblConstr[[#This Row],[Tot Doc]],1,0)*dock_boats_hr * (1 + tech_4_1*TblTech[[#This Row],[4-1]])</f>
        <v>0</v>
      </c>
      <c r="Z60" s="154"/>
      <c r="AA60" s="94">
        <f ca="1">TblPop[[#This Row],[Peasants]]*tax*TblPop[[#This Row],[Employment]] + (Construction!AZ61+Construction!BX61)*(alch_plat+(Magic!AN60&gt;0)*alchemist_flame_bonus)</f>
        <v>1541.7</v>
      </c>
      <c r="AB60" s="94">
        <f ca="1">TblConstr[[#This Row],[Tot Farm]]*farm_food + TblConstr[[#This Row],[Tot Doc]]*dock_food</f>
        <v>2400</v>
      </c>
      <c r="AC60" s="94">
        <f ca="1">TblConstr[[#This Row],[Tot Ly]]*ly_lumber + TblConstr[[#This Row],[Tot Hav]]*fh_lumber + IF(race="Wood Elf",TblMili[[#This Row],[Unit 2]]*MIN(TblMili[[#This Row],[Homeland%]]/wisp_bonus,wisp_cap),0)</f>
        <v>1000</v>
      </c>
      <c r="AD60" s="94">
        <f ca="1">OFFSET(TblConstr[[#This Row],[Tot Tow]],1,0)*(tower_mana + tech_4_5*TblTech[[#This Row],[4-5]]) + OFFSET(TblConstr[[#This Row],[Tot WG]],1,0)*wg_mana_prod</f>
        <v>0</v>
      </c>
      <c r="AE60" s="94">
        <f ca="1">OFFSET(TblConstr[[#This Row],[Tot OM]],1,0)*om_ore+IF(race="Dwarf",TblMili[[#This Row],[Unit 2]]*0.5,0)</f>
        <v>0</v>
      </c>
      <c r="AF60" s="94">
        <f ca="1">OFFSET(TblConstr[[#This Row],[Tot DM]],1,0)*dm_gems</f>
        <v>0</v>
      </c>
      <c r="AG60" s="142"/>
      <c r="AH60" s="156">
        <f ca="1">MIN(race_platinum_bonus + IF(TblMagic[[#This Row],[Active Alch Frost]]&gt;0,alch_frost_bonus,IF(Magic!AE60&gt;0,midas_bonus)) + TblImps[[#This Row],[Science]] - TblProd[[#This Row],[Guard]]*(0.02 + tech_5_7*TblTech[[#This Row],[5-7]]) + tech_1_5*TblTech[[#This Row],[1-5]] + tech_4_4*TblTech[[#This Row],[4-4]] + IF(TblMagic[[#This Row],[Active Infernal Command]]&gt;0,demonic_pact_plat,0), 0.5)</f>
        <v>0</v>
      </c>
      <c r="AI6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0" s="156">
        <f ca="1">race_lumber_bonus+ IF(TblMagic[[#This Row],[Active Gaia''s Blessing]]&gt;0,gaias_blessing_lumber)+ tech_1_3*TblTech[[#This Row],[1-3]] + tech_1_6*TblTech[[#This Row],[1-6]] + tech_3_3*TblTech[[#This Row],[3-3]]</f>
        <v>0</v>
      </c>
      <c r="AK60" s="156">
        <f ca="1">race_mana_bonus+ 0 + TblImps[[#This Row],[Spires]] + tech_1_2*TblTech[[#This Row],[1-2]] + tech_3_4*TblTech[[#This Row],[3-4]]</f>
        <v>0</v>
      </c>
      <c r="AL60" s="156">
        <f ca="1">race_ore_bonus + IF(TblMagic[[#This Row],[Active Miner''s Sight]]&gt;0,miners_sight_bonus,IF(TblMagic[[#This Row],[Active Mining Strength]]&gt;0,mining_strength_bonus)) +  tech_1_6*TblTech[[#This Row],[1-6]]</f>
        <v>0</v>
      </c>
      <c r="AM60" s="156">
        <f>race_gem_bonus+ tech_3_2*TblTech[[#This Row],[3-2]] + tech_4_3*TblTech[[#This Row],[4-3]] + tech_6_2*TblTech[[#This Row],[6-2]]</f>
        <v>0</v>
      </c>
      <c r="AN60" s="142"/>
      <c r="AO60" s="94">
        <f ca="1">TblProd[[#This Row],[Food]]*food_decay * (1 + tech_2_1*TblTech[[#This Row],[2-1]] + tech_2_8*TblTech[[#This Row],[2-8]] + IF(AND(TblMagic[[#This Row],[Active DnD]]&lt;12,TblMagic[[#This Row],[Active DnD]]&gt;5),1,0))</f>
        <v>1091.03</v>
      </c>
      <c r="AP60" s="94">
        <f ca="1">(1+race_food_consumption)*TblPop[[#This Row],[Total]]*food_per_person*(1+tech_1_10*TblTech[[#This Row],[1-10]]+tech_7_5*TblTech[[#This Row],[7-5]] + IF(TblMagic[[#This Row],[Active Infernal Command]]&gt;0,demonic_pact_food_cons,0))</f>
        <v>269</v>
      </c>
      <c r="AQ60" s="94">
        <f ca="1">TblProd[[#This Row],[Lumber]]*lumber_rot * (1 + tech_2_1*TblTech[[#This Row],[2-1]] + tech_2_8*TblTech[[#This Row],[2-8]] + tech_5_2*TblTech[[#This Row],[5-2]] + IF(AND(TblMagic[[#This Row],[Active DnD]]&lt;12,TblMagic[[#This Row],[Active DnD]]&gt;5),1,0))</f>
        <v>515.82000000000005</v>
      </c>
      <c r="AR60" s="94">
        <f ca="1">TblProd[[#This Row],[Mana]]*mana_drain * (1 + tech_2_1*TblTech[[#This Row],[2-1]] + tech_2_8*TblTech[[#This Row],[2-8]])</f>
        <v>0</v>
      </c>
      <c r="AS60" s="154"/>
      <c r="AT60" s="94">
        <f ca="1">TblExplore[[#This Row],[Platinum (2)]]+TblConstr[[#This Row],[Total Plat Cost]]+TblMili[[#This Row],[Plat Cost]]+TblRezone[[#This Row],[Platinum cost]]+TblImps[[#This Row],[P1]]-TblProd[[#This Row],[Bank Plat]]</f>
        <v>0</v>
      </c>
      <c r="AU60" s="94">
        <f ca="1">TblConstr[[#This Row],[Total Lum Cost]]+TblImps[[#This Row],[L1]]-TblProd[[#This Row],[Bank Lumber]] + Military!$CO$25*TblMili[[#This Row],[Sec. rec. Cost]]</f>
        <v>0</v>
      </c>
      <c r="AV60" s="94">
        <f ca="1">TblMagic[[#This Row],[Mana cost]] + Military!$CO$26*TblMili[[#This Row],[Sec. rec. Cost]]</f>
        <v>0</v>
      </c>
      <c r="AW60" s="94">
        <f ca="1">Military!$CO$24*TblMili[[#This Row],[Sec. rec. Cost]]+TblImps[[#This Row],[O1]]-TblProd[[#This Row],[Bank Ore]]</f>
        <v>0</v>
      </c>
      <c r="AX60" s="94">
        <f>TblImps[[#This Row],[G1]]-TblProd[[#This Row],[Bank Gems]]</f>
        <v>0</v>
      </c>
      <c r="AY60" s="142"/>
      <c r="AZ60" s="61" t="b">
        <f ca="1">IF(TblProd[[#This Row],[Set Guard]]&lt;&gt;"",TblProd[[#This Row],[Set Guard]],OFFSET(TblProd[[#This Row],[Guard]],-1,0))</f>
        <v>0</v>
      </c>
      <c r="BA60" s="153"/>
      <c r="BB60" s="45">
        <f>TblProd[[#This Row],[Hour]]</f>
        <v>21</v>
      </c>
      <c r="BC60" s="158">
        <f>-TblProd[[#This Row],[Bank Lumber]] / 2 + -TblProd[[#This Row],[Bank Gems]] * 2 + -TblProd[[#This Row],[Bank Ore]] / 2</f>
        <v>0</v>
      </c>
      <c r="BD60" s="158"/>
      <c r="BE60" s="158"/>
      <c r="BF60" s="158"/>
      <c r="BG60" s="159">
        <f ca="1">TblProd[[#This Row],[Time]]</f>
        <v>46049.333333333198</v>
      </c>
      <c r="BH60" s="45" t="str">
        <f>IF(AND(TblProd[[#This Row],[Bank Plat]]=0,TblProd[[#This Row],[Bank Lumber]]=0,TblProd[[#This Row],[Bank Ore]]=0,TblProd[[#This Row],[Bank Gems]]=0),"",IF(TblProd[[#This Row],[Bank Plat]]&gt;0,IF((TblProd[[#This Row],[Bank Lumber]]+TblProd[[#This Row],[Bank Ore]])/2+TblProd[[#This Row],[Bank Gems]]*2+ROUNDUP(TblProd[[#This Row],[Bank Plat]]/(1 + tech_2_2*Techs!Y60),0)=0,"Ok","Nope"),IF(TblProd[[#This Row],[Bank Lumber]]&gt;0,IF((TblProd[[#This Row],[Bank Plat]]+TblProd[[#This Row],[Bank Ore]])/2+TblProd[[#This Row],[Bank Gems]]*2+ROUNDUP(TblProd[[#This Row],[Bank Lumber]]/(1 + tech_2_2*Techs!Y60),0)=0,"Ok","Nope"),IF(TblProd[[#This Row],[Bank Ore]]&gt;0,IF((TblProd[[#This Row],[Bank Plat]]+TblProd[[#This Row],[Bank Lumber]])/2+TblProd[[#This Row],[Bank Gems]]*2+ROUNDUP(TblProd[[#This Row],[Bank Ore]]/(1 + tech_2_2*Techs!Y60),0)=0,"Ok","Nope")))))</f>
        <v/>
      </c>
      <c r="BI60" s="94">
        <f ca="1">TblProd[[#This Row],[Platinum]]</f>
        <v>145723</v>
      </c>
      <c r="BJ60" s="94">
        <f ca="1">TblProd[[#This Row],[Food]]</f>
        <v>109103</v>
      </c>
      <c r="BK60" s="94">
        <f ca="1">TblProd[[#This Row],[Lumber]]</f>
        <v>51582</v>
      </c>
      <c r="BL60" s="94">
        <f ca="1">TblProd[[#This Row],[Mana]]</f>
        <v>0</v>
      </c>
      <c r="BM60" s="94">
        <f ca="1">TblProd[[#This Row],[Ore]]</f>
        <v>0</v>
      </c>
    </row>
    <row r="61" spans="1:65" x14ac:dyDescent="0.2">
      <c r="A61" s="137">
        <f t="shared" si="0"/>
        <v>22</v>
      </c>
      <c r="B61" s="152">
        <f ca="1">TblImps[[#This Row],[Time]]</f>
        <v>46049.374999999862</v>
      </c>
      <c r="C61" s="153"/>
      <c r="D61" s="154"/>
      <c r="E61" s="94">
        <f ca="1">TblConstr[[#This Row],[Land]]</f>
        <v>110</v>
      </c>
      <c r="F61" s="94">
        <f ca="1">TblPop[[#This Row],[Peasants]]</f>
        <v>565</v>
      </c>
      <c r="G61" s="94">
        <f ca="1">TblMili[[#This Row],[Networth (2)]]</f>
        <v>2450</v>
      </c>
      <c r="H61" s="94">
        <f ca="1">OFFSET(TblProd[[#This Row],[Platinum]],-1,0)+OFFSET(TblProd[[#This Row],[Plat/hr]],-1,0) - TblProd[[#This Row],[Expenses Platinum]] + IF(TblProd[[#This Row],[Plat Bonus]],TblPop[[#This Row],[Peasants]]*4) + SUM(TblConstr[[#This Row],[Dest Hom]:[Dest Doc]])*TblConstr[[#This Row],[CPA Platinum -DB]]*tech_3_3_2*TblTech[[#This Row],[3-3]]</f>
        <v>147264</v>
      </c>
      <c r="I61" s="94">
        <f ca="1">OFFSET(TblProd[[#This Row],[Food]],-1,0)+OFFSET(TblProd[[#This Row],[Food/hr]],-1,0)+ROUNDUP((TblConstr[[#This Row],[Farms]]*80+TblConstr[[#This Row],[Docks]]*35)*(1+OFFSET(TblProd[[#This Row],[Bonus Food/hr]],-1,0)),0)</f>
        <v>110323</v>
      </c>
      <c r="J61" s="94">
        <f ca="1">OFFSET(TblProd[[#This Row],[Lumber]],-1,0)+OFFSET(TblProd[[#This Row],[Lumber/hr]],-1,0) - TblProd[[#This Row],[Expenses Lumber]] + SUM(TblConstr[[#This Row],[Dest Hom]:[Dest Doc]])*TblConstr[[#This Row],[CPA Lumber -DB]]*tech_3_3_2*TblTech[[#This Row],[3-3]]</f>
        <v>52066</v>
      </c>
      <c r="K61" s="94">
        <f ca="1">OFFSET(TblProd[[#This Row],[Mana]],-1,0)+OFFSET(TblProd[[#This Row],[Mana/hr]],-1,0)- TblProd[[#This Row],[Expenses Mana]]</f>
        <v>0</v>
      </c>
      <c r="L61" s="94">
        <f ca="1">OFFSET(TblProd[[#This Row],[Ore]],-1,0)+OFFSET(TblProd[[#This Row],[Ore/hr]],-1,0) -TblProd[[#This Row],[Expenses Ore]]</f>
        <v>0</v>
      </c>
      <c r="M61" s="94">
        <f ca="1">OFFSET(TblProd[[#This Row],[Gems]],-1,0)+OFFSET(TblProd[[#This Row],[Gems/hr]],-1,0) - TblProd[[#This Row],[Expenses Gems]]</f>
        <v>0</v>
      </c>
      <c r="N61" s="94">
        <f ca="1">OFFSET(TblProd[[#This Row],[Boats]],-1,0)+OFFSET(TblProd[[#This Row],[Boats/hr]],-1,0)</f>
        <v>0</v>
      </c>
      <c r="O61" s="94">
        <f ca="1">OFFSET(TblProd[[#This Row],[Prestige]],-1,0)</f>
        <v>250</v>
      </c>
      <c r="P6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1" s="94">
        <f ca="1">MAX(_xlfn.CEILING.MATH(TblProd[[#This Row],[Land]]*2.5+IFERROR(OFFSET(TblTech[[#This Row],[Sum of tech]],-1,0)*50,0)),3750)</f>
        <v>3750</v>
      </c>
      <c r="R61" s="142"/>
      <c r="S61" s="94">
        <f ca="1">ROUNDDOWN(TblProd[[#This Row],[Raw Plat/hr]]*(1+TblProd[[#This Row],[Bonus Plat/hr]]),0)</f>
        <v>1525</v>
      </c>
      <c r="T61" s="94">
        <f ca="1">ROUND(TblProd[[#This Row],[Raw Food/hr]]*(1+TblProd[[#This Row],[Bonus Food/hr]])-TblProd[[#This Row],[Food decay]]-TblProd[[#This Row],[Food eaten]],0)</f>
        <v>1208</v>
      </c>
      <c r="U61" s="94">
        <f ca="1">ROUND(TblProd[[#This Row],[Raw Lumber/hr]]*(1+TblProd[[#This Row],[Bonus Lumber/hr]])-TblProd[[#This Row],[Lumber rot]],0)</f>
        <v>479</v>
      </c>
      <c r="V61" s="94">
        <f ca="1">ROUND(TblProd[[#This Row],[Raw Mana/hr]]*(1+TblProd[[#This Row],[Bonus Mana/hr]])-TblProd[[#This Row],[Mana drain]],0)</f>
        <v>0</v>
      </c>
      <c r="W61" s="94">
        <f ca="1">ROUNDDOWN(TblProd[[#This Row],[Raw Ore/hr]]*(1+TblProd[[#This Row],[Bonux Ore/hr]]),0)</f>
        <v>0</v>
      </c>
      <c r="X61" s="94">
        <f ca="1">ROUNDDOWN(TblProd[[#This Row],[Raw Gems/hr]]*(1+TblProd[[#This Row],[Bonus Gems/hr]]),0)</f>
        <v>0</v>
      </c>
      <c r="Y61" s="155">
        <f ca="1">OFFSET(TblConstr[[#This Row],[Tot Doc]],1,0)*dock_boats_hr * (1 + tech_4_1*TblTech[[#This Row],[4-1]])</f>
        <v>0</v>
      </c>
      <c r="Z61" s="154"/>
      <c r="AA61" s="94">
        <f ca="1">TblPop[[#This Row],[Peasants]]*tax*TblPop[[#This Row],[Employment]] + (Construction!AZ62+Construction!BX62)*(alch_plat+(Magic!AN61&gt;0)*alchemist_flame_bonus)</f>
        <v>1525.5</v>
      </c>
      <c r="AB61" s="94">
        <f ca="1">TblConstr[[#This Row],[Tot Farm]]*farm_food + TblConstr[[#This Row],[Tot Doc]]*dock_food</f>
        <v>2400</v>
      </c>
      <c r="AC61" s="94">
        <f ca="1">TblConstr[[#This Row],[Tot Ly]]*ly_lumber + TblConstr[[#This Row],[Tot Hav]]*fh_lumber + IF(race="Wood Elf",TblMili[[#This Row],[Unit 2]]*MIN(TblMili[[#This Row],[Homeland%]]/wisp_bonus,wisp_cap),0)</f>
        <v>1000</v>
      </c>
      <c r="AD61" s="94">
        <f ca="1">OFFSET(TblConstr[[#This Row],[Tot Tow]],1,0)*(tower_mana + tech_4_5*TblTech[[#This Row],[4-5]]) + OFFSET(TblConstr[[#This Row],[Tot WG]],1,0)*wg_mana_prod</f>
        <v>0</v>
      </c>
      <c r="AE61" s="94">
        <f ca="1">OFFSET(TblConstr[[#This Row],[Tot OM]],1,0)*om_ore+IF(race="Dwarf",TblMili[[#This Row],[Unit 2]]*0.5,0)</f>
        <v>0</v>
      </c>
      <c r="AF61" s="94">
        <f ca="1">OFFSET(TblConstr[[#This Row],[Tot DM]],1,0)*dm_gems</f>
        <v>0</v>
      </c>
      <c r="AG61" s="142"/>
      <c r="AH61" s="156">
        <f ca="1">MIN(race_platinum_bonus + IF(TblMagic[[#This Row],[Active Alch Frost]]&gt;0,alch_frost_bonus,IF(Magic!AE61&gt;0,midas_bonus)) + TblImps[[#This Row],[Science]] - TblProd[[#This Row],[Guard]]*(0.02 + tech_5_7*TblTech[[#This Row],[5-7]]) + tech_1_5*TblTech[[#This Row],[1-5]] + tech_4_4*TblTech[[#This Row],[4-4]] + IF(TblMagic[[#This Row],[Active Infernal Command]]&gt;0,demonic_pact_plat,0), 0.5)</f>
        <v>0</v>
      </c>
      <c r="AI6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1" s="156">
        <f ca="1">race_lumber_bonus+ IF(TblMagic[[#This Row],[Active Gaia''s Blessing]]&gt;0,gaias_blessing_lumber)+ tech_1_3*TblTech[[#This Row],[1-3]] + tech_1_6*TblTech[[#This Row],[1-6]] + tech_3_3*TblTech[[#This Row],[3-3]]</f>
        <v>0</v>
      </c>
      <c r="AK61" s="156">
        <f ca="1">race_mana_bonus+ 0 + TblImps[[#This Row],[Spires]] + tech_1_2*TblTech[[#This Row],[1-2]] + tech_3_4*TblTech[[#This Row],[3-4]]</f>
        <v>0</v>
      </c>
      <c r="AL61" s="156">
        <f ca="1">race_ore_bonus + IF(TblMagic[[#This Row],[Active Miner''s Sight]]&gt;0,miners_sight_bonus,IF(TblMagic[[#This Row],[Active Mining Strength]]&gt;0,mining_strength_bonus)) +  tech_1_6*TblTech[[#This Row],[1-6]]</f>
        <v>0</v>
      </c>
      <c r="AM61" s="156">
        <f>race_gem_bonus+ tech_3_2*TblTech[[#This Row],[3-2]] + tech_4_3*TblTech[[#This Row],[4-3]] + tech_6_2*TblTech[[#This Row],[6-2]]</f>
        <v>0</v>
      </c>
      <c r="AN61" s="142"/>
      <c r="AO61" s="94">
        <f ca="1">TblProd[[#This Row],[Food]]*food_decay * (1 + tech_2_1*TblTech[[#This Row],[2-1]] + tech_2_8*TblTech[[#This Row],[2-8]] + IF(AND(TblMagic[[#This Row],[Active DnD]]&lt;12,TblMagic[[#This Row],[Active DnD]]&gt;5),1,0))</f>
        <v>1103.23</v>
      </c>
      <c r="AP61" s="94">
        <f ca="1">(1+race_food_consumption)*TblPop[[#This Row],[Total]]*food_per_person*(1+tech_1_10*TblTech[[#This Row],[1-10]]+tech_7_5*TblTech[[#This Row],[7-5]] + IF(TblMagic[[#This Row],[Active Infernal Command]]&gt;0,demonic_pact_food_cons,0))</f>
        <v>269</v>
      </c>
      <c r="AQ61" s="94">
        <f ca="1">TblProd[[#This Row],[Lumber]]*lumber_rot * (1 + tech_2_1*TblTech[[#This Row],[2-1]] + tech_2_8*TblTech[[#This Row],[2-8]] + tech_5_2*TblTech[[#This Row],[5-2]] + IF(AND(TblMagic[[#This Row],[Active DnD]]&lt;12,TblMagic[[#This Row],[Active DnD]]&gt;5),1,0))</f>
        <v>520.66</v>
      </c>
      <c r="AR61" s="94">
        <f ca="1">TblProd[[#This Row],[Mana]]*mana_drain * (1 + tech_2_1*TblTech[[#This Row],[2-1]] + tech_2_8*TblTech[[#This Row],[2-8]])</f>
        <v>0</v>
      </c>
      <c r="AS61" s="154"/>
      <c r="AT61" s="94">
        <f ca="1">TblExplore[[#This Row],[Platinum (2)]]+TblConstr[[#This Row],[Total Plat Cost]]+TblMili[[#This Row],[Plat Cost]]+TblRezone[[#This Row],[Platinum cost]]+TblImps[[#This Row],[P1]]-TblProd[[#This Row],[Bank Plat]]</f>
        <v>0</v>
      </c>
      <c r="AU61" s="94">
        <f ca="1">TblConstr[[#This Row],[Total Lum Cost]]+TblImps[[#This Row],[L1]]-TblProd[[#This Row],[Bank Lumber]] + Military!$CO$25*TblMili[[#This Row],[Sec. rec. Cost]]</f>
        <v>0</v>
      </c>
      <c r="AV61" s="94">
        <f ca="1">TblMagic[[#This Row],[Mana cost]] + Military!$CO$26*TblMili[[#This Row],[Sec. rec. Cost]]</f>
        <v>0</v>
      </c>
      <c r="AW61" s="94">
        <f ca="1">Military!$CO$24*TblMili[[#This Row],[Sec. rec. Cost]]+TblImps[[#This Row],[O1]]-TblProd[[#This Row],[Bank Ore]]</f>
        <v>0</v>
      </c>
      <c r="AX61" s="94">
        <f>TblImps[[#This Row],[G1]]-TblProd[[#This Row],[Bank Gems]]</f>
        <v>0</v>
      </c>
      <c r="AY61" s="142"/>
      <c r="AZ61" s="61" t="b">
        <f ca="1">IF(TblProd[[#This Row],[Set Guard]]&lt;&gt;"",TblProd[[#This Row],[Set Guard]],OFFSET(TblProd[[#This Row],[Guard]],-1,0))</f>
        <v>0</v>
      </c>
      <c r="BA61" s="153"/>
      <c r="BB61" s="45">
        <f>TblProd[[#This Row],[Hour]]</f>
        <v>22</v>
      </c>
      <c r="BC61" s="158">
        <f>-TblProd[[#This Row],[Bank Lumber]] / 2 + -TblProd[[#This Row],[Bank Gems]] * 2 + -TblProd[[#This Row],[Bank Ore]] / 2</f>
        <v>0</v>
      </c>
      <c r="BD61" s="158"/>
      <c r="BE61" s="158"/>
      <c r="BF61" s="158"/>
      <c r="BG61" s="159">
        <f ca="1">TblProd[[#This Row],[Time]]</f>
        <v>46049.374999999862</v>
      </c>
      <c r="BH61" s="45" t="str">
        <f>IF(AND(TblProd[[#This Row],[Bank Plat]]=0,TblProd[[#This Row],[Bank Lumber]]=0,TblProd[[#This Row],[Bank Ore]]=0,TblProd[[#This Row],[Bank Gems]]=0),"",IF(TblProd[[#This Row],[Bank Plat]]&gt;0,IF((TblProd[[#This Row],[Bank Lumber]]+TblProd[[#This Row],[Bank Ore]])/2+TblProd[[#This Row],[Bank Gems]]*2+ROUNDUP(TblProd[[#This Row],[Bank Plat]]/(1 + tech_2_2*Techs!Y61),0)=0,"Ok","Nope"),IF(TblProd[[#This Row],[Bank Lumber]]&gt;0,IF((TblProd[[#This Row],[Bank Plat]]+TblProd[[#This Row],[Bank Ore]])/2+TblProd[[#This Row],[Bank Gems]]*2+ROUNDUP(TblProd[[#This Row],[Bank Lumber]]/(1 + tech_2_2*Techs!Y61),0)=0,"Ok","Nope"),IF(TblProd[[#This Row],[Bank Ore]]&gt;0,IF((TblProd[[#This Row],[Bank Plat]]+TblProd[[#This Row],[Bank Lumber]])/2+TblProd[[#This Row],[Bank Gems]]*2+ROUNDUP(TblProd[[#This Row],[Bank Ore]]/(1 + tech_2_2*Techs!Y61),0)=0,"Ok","Nope")))))</f>
        <v/>
      </c>
      <c r="BI61" s="94">
        <f ca="1">TblProd[[#This Row],[Platinum]]</f>
        <v>147264</v>
      </c>
      <c r="BJ61" s="94">
        <f ca="1">TblProd[[#This Row],[Food]]</f>
        <v>110323</v>
      </c>
      <c r="BK61" s="94">
        <f ca="1">TblProd[[#This Row],[Lumber]]</f>
        <v>52066</v>
      </c>
      <c r="BL61" s="94">
        <f ca="1">TblProd[[#This Row],[Mana]]</f>
        <v>0</v>
      </c>
      <c r="BM61" s="94">
        <f ca="1">TblProd[[#This Row],[Ore]]</f>
        <v>0</v>
      </c>
    </row>
    <row r="62" spans="1:65" x14ac:dyDescent="0.2">
      <c r="A62" s="137">
        <f t="shared" si="0"/>
        <v>23</v>
      </c>
      <c r="B62" s="152">
        <f ca="1">TblImps[[#This Row],[Time]]</f>
        <v>46049.416666666526</v>
      </c>
      <c r="C62" s="153"/>
      <c r="D62" s="154"/>
      <c r="E62" s="94">
        <f ca="1">TblConstr[[#This Row],[Land]]</f>
        <v>110</v>
      </c>
      <c r="F62" s="94">
        <f ca="1">TblPop[[#This Row],[Peasants]]</f>
        <v>559</v>
      </c>
      <c r="G62" s="94">
        <f ca="1">TblMili[[#This Row],[Networth (2)]]</f>
        <v>2450</v>
      </c>
      <c r="H62" s="94">
        <f ca="1">OFFSET(TblProd[[#This Row],[Platinum]],-1,0)+OFFSET(TblProd[[#This Row],[Plat/hr]],-1,0) - TblProd[[#This Row],[Expenses Platinum]] + IF(TblProd[[#This Row],[Plat Bonus]],TblPop[[#This Row],[Peasants]]*4) + SUM(TblConstr[[#This Row],[Dest Hom]:[Dest Doc]])*TblConstr[[#This Row],[CPA Platinum -DB]]*tech_3_3_2*TblTech[[#This Row],[3-3]]</f>
        <v>148789</v>
      </c>
      <c r="I62" s="94">
        <f ca="1">OFFSET(TblProd[[#This Row],[Food]],-1,0)+OFFSET(TblProd[[#This Row],[Food/hr]],-1,0)+ROUNDUP((TblConstr[[#This Row],[Farms]]*80+TblConstr[[#This Row],[Docks]]*35)*(1+OFFSET(TblProd[[#This Row],[Bonus Food/hr]],-1,0)),0)</f>
        <v>111531</v>
      </c>
      <c r="J62" s="94">
        <f ca="1">OFFSET(TblProd[[#This Row],[Lumber]],-1,0)+OFFSET(TblProd[[#This Row],[Lumber/hr]],-1,0) - TblProd[[#This Row],[Expenses Lumber]] + SUM(TblConstr[[#This Row],[Dest Hom]:[Dest Doc]])*TblConstr[[#This Row],[CPA Lumber -DB]]*tech_3_3_2*TblTech[[#This Row],[3-3]]</f>
        <v>52545</v>
      </c>
      <c r="K62" s="94">
        <f ca="1">OFFSET(TblProd[[#This Row],[Mana]],-1,0)+OFFSET(TblProd[[#This Row],[Mana/hr]],-1,0)- TblProd[[#This Row],[Expenses Mana]]</f>
        <v>0</v>
      </c>
      <c r="L62" s="94">
        <f ca="1">OFFSET(TblProd[[#This Row],[Ore]],-1,0)+OFFSET(TblProd[[#This Row],[Ore/hr]],-1,0) -TblProd[[#This Row],[Expenses Ore]]</f>
        <v>0</v>
      </c>
      <c r="M62" s="94">
        <f ca="1">OFFSET(TblProd[[#This Row],[Gems]],-1,0)+OFFSET(TblProd[[#This Row],[Gems/hr]],-1,0) - TblProd[[#This Row],[Expenses Gems]]</f>
        <v>0</v>
      </c>
      <c r="N62" s="94">
        <f ca="1">OFFSET(TblProd[[#This Row],[Boats]],-1,0)+OFFSET(TblProd[[#This Row],[Boats/hr]],-1,0)</f>
        <v>0</v>
      </c>
      <c r="O62" s="94">
        <f ca="1">OFFSET(TblProd[[#This Row],[Prestige]],-1,0)</f>
        <v>250</v>
      </c>
      <c r="P6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2" s="94">
        <f ca="1">MAX(_xlfn.CEILING.MATH(TblProd[[#This Row],[Land]]*2.5+IFERROR(OFFSET(TblTech[[#This Row],[Sum of tech]],-1,0)*50,0)),3750)</f>
        <v>3750</v>
      </c>
      <c r="R62" s="142"/>
      <c r="S62" s="94">
        <f ca="1">ROUNDDOWN(TblProd[[#This Row],[Raw Plat/hr]]*(1+TblProd[[#This Row],[Bonus Plat/hr]]),0)</f>
        <v>1509</v>
      </c>
      <c r="T62" s="94">
        <f ca="1">ROUND(TblProd[[#This Row],[Raw Food/hr]]*(1+TblProd[[#This Row],[Bonus Food/hr]])-TblProd[[#This Row],[Food decay]]-TblProd[[#This Row],[Food eaten]],0)</f>
        <v>1196</v>
      </c>
      <c r="U62" s="94">
        <f ca="1">ROUND(TblProd[[#This Row],[Raw Lumber/hr]]*(1+TblProd[[#This Row],[Bonus Lumber/hr]])-TblProd[[#This Row],[Lumber rot]],0)</f>
        <v>475</v>
      </c>
      <c r="V62" s="94">
        <f ca="1">ROUND(TblProd[[#This Row],[Raw Mana/hr]]*(1+TblProd[[#This Row],[Bonus Mana/hr]])-TblProd[[#This Row],[Mana drain]],0)</f>
        <v>0</v>
      </c>
      <c r="W62" s="94">
        <f ca="1">ROUNDDOWN(TblProd[[#This Row],[Raw Ore/hr]]*(1+TblProd[[#This Row],[Bonux Ore/hr]]),0)</f>
        <v>0</v>
      </c>
      <c r="X62" s="94">
        <f ca="1">ROUNDDOWN(TblProd[[#This Row],[Raw Gems/hr]]*(1+TblProd[[#This Row],[Bonus Gems/hr]]),0)</f>
        <v>0</v>
      </c>
      <c r="Y62" s="155">
        <f ca="1">OFFSET(TblConstr[[#This Row],[Tot Doc]],1,0)*dock_boats_hr * (1 + tech_4_1*TblTech[[#This Row],[4-1]])</f>
        <v>0</v>
      </c>
      <c r="Z62" s="154"/>
      <c r="AA62" s="94">
        <f ca="1">TblPop[[#This Row],[Peasants]]*tax*TblPop[[#This Row],[Employment]] + (Construction!AZ63+Construction!BX63)*(alch_plat+(Magic!AN62&gt;0)*alchemist_flame_bonus)</f>
        <v>1509.3000000000002</v>
      </c>
      <c r="AB62" s="94">
        <f ca="1">TblConstr[[#This Row],[Tot Farm]]*farm_food + TblConstr[[#This Row],[Tot Doc]]*dock_food</f>
        <v>2400</v>
      </c>
      <c r="AC62" s="94">
        <f ca="1">TblConstr[[#This Row],[Tot Ly]]*ly_lumber + TblConstr[[#This Row],[Tot Hav]]*fh_lumber + IF(race="Wood Elf",TblMili[[#This Row],[Unit 2]]*MIN(TblMili[[#This Row],[Homeland%]]/wisp_bonus,wisp_cap),0)</f>
        <v>1000</v>
      </c>
      <c r="AD62" s="94">
        <f ca="1">OFFSET(TblConstr[[#This Row],[Tot Tow]],1,0)*(tower_mana + tech_4_5*TblTech[[#This Row],[4-5]]) + OFFSET(TblConstr[[#This Row],[Tot WG]],1,0)*wg_mana_prod</f>
        <v>0</v>
      </c>
      <c r="AE62" s="94">
        <f ca="1">OFFSET(TblConstr[[#This Row],[Tot OM]],1,0)*om_ore+IF(race="Dwarf",TblMili[[#This Row],[Unit 2]]*0.5,0)</f>
        <v>0</v>
      </c>
      <c r="AF62" s="94">
        <f ca="1">OFFSET(TblConstr[[#This Row],[Tot DM]],1,0)*dm_gems</f>
        <v>0</v>
      </c>
      <c r="AG62" s="142"/>
      <c r="AH62" s="156">
        <f ca="1">MIN(race_platinum_bonus + IF(TblMagic[[#This Row],[Active Alch Frost]]&gt;0,alch_frost_bonus,IF(Magic!AE62&gt;0,midas_bonus)) + TblImps[[#This Row],[Science]] - TblProd[[#This Row],[Guard]]*(0.02 + tech_5_7*TblTech[[#This Row],[5-7]]) + tech_1_5*TblTech[[#This Row],[1-5]] + tech_4_4*TblTech[[#This Row],[4-4]] + IF(TblMagic[[#This Row],[Active Infernal Command]]&gt;0,demonic_pact_plat,0), 0.5)</f>
        <v>0</v>
      </c>
      <c r="AI6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2" s="156">
        <f ca="1">race_lumber_bonus+ IF(TblMagic[[#This Row],[Active Gaia''s Blessing]]&gt;0,gaias_blessing_lumber)+ tech_1_3*TblTech[[#This Row],[1-3]] + tech_1_6*TblTech[[#This Row],[1-6]] + tech_3_3*TblTech[[#This Row],[3-3]]</f>
        <v>0</v>
      </c>
      <c r="AK62" s="156">
        <f ca="1">race_mana_bonus+ 0 + TblImps[[#This Row],[Spires]] + tech_1_2*TblTech[[#This Row],[1-2]] + tech_3_4*TblTech[[#This Row],[3-4]]</f>
        <v>0</v>
      </c>
      <c r="AL62" s="156">
        <f ca="1">race_ore_bonus + IF(TblMagic[[#This Row],[Active Miner''s Sight]]&gt;0,miners_sight_bonus,IF(TblMagic[[#This Row],[Active Mining Strength]]&gt;0,mining_strength_bonus)) +  tech_1_6*TblTech[[#This Row],[1-6]]</f>
        <v>0</v>
      </c>
      <c r="AM62" s="156">
        <f>race_gem_bonus+ tech_3_2*TblTech[[#This Row],[3-2]] + tech_4_3*TblTech[[#This Row],[4-3]] + tech_6_2*TblTech[[#This Row],[6-2]]</f>
        <v>0</v>
      </c>
      <c r="AN62" s="142"/>
      <c r="AO62" s="94">
        <f ca="1">TblProd[[#This Row],[Food]]*food_decay * (1 + tech_2_1*TblTech[[#This Row],[2-1]] + tech_2_8*TblTech[[#This Row],[2-8]] + IF(AND(TblMagic[[#This Row],[Active DnD]]&lt;12,TblMagic[[#This Row],[Active DnD]]&gt;5),1,0))</f>
        <v>1115.31</v>
      </c>
      <c r="AP62" s="94">
        <f ca="1">(1+race_food_consumption)*TblPop[[#This Row],[Total]]*food_per_person*(1+tech_1_10*TblTech[[#This Row],[1-10]]+tech_7_5*TblTech[[#This Row],[7-5]] + IF(TblMagic[[#This Row],[Active Infernal Command]]&gt;0,demonic_pact_food_cons,0))</f>
        <v>269</v>
      </c>
      <c r="AQ62" s="94">
        <f ca="1">TblProd[[#This Row],[Lumber]]*lumber_rot * (1 + tech_2_1*TblTech[[#This Row],[2-1]] + tech_2_8*TblTech[[#This Row],[2-8]] + tech_5_2*TblTech[[#This Row],[5-2]] + IF(AND(TblMagic[[#This Row],[Active DnD]]&lt;12,TblMagic[[#This Row],[Active DnD]]&gt;5),1,0))</f>
        <v>525.45000000000005</v>
      </c>
      <c r="AR62" s="94">
        <f ca="1">TblProd[[#This Row],[Mana]]*mana_drain * (1 + tech_2_1*TblTech[[#This Row],[2-1]] + tech_2_8*TblTech[[#This Row],[2-8]])</f>
        <v>0</v>
      </c>
      <c r="AS62" s="154"/>
      <c r="AT62" s="94">
        <f ca="1">TblExplore[[#This Row],[Platinum (2)]]+TblConstr[[#This Row],[Total Plat Cost]]+TblMili[[#This Row],[Plat Cost]]+TblRezone[[#This Row],[Platinum cost]]+TblImps[[#This Row],[P1]]-TblProd[[#This Row],[Bank Plat]]</f>
        <v>0</v>
      </c>
      <c r="AU62" s="94">
        <f ca="1">TblConstr[[#This Row],[Total Lum Cost]]+TblImps[[#This Row],[L1]]-TblProd[[#This Row],[Bank Lumber]] + Military!$CO$25*TblMili[[#This Row],[Sec. rec. Cost]]</f>
        <v>0</v>
      </c>
      <c r="AV62" s="94">
        <f ca="1">TblMagic[[#This Row],[Mana cost]] + Military!$CO$26*TblMili[[#This Row],[Sec. rec. Cost]]</f>
        <v>0</v>
      </c>
      <c r="AW62" s="94">
        <f ca="1">Military!$CO$24*TblMili[[#This Row],[Sec. rec. Cost]]+TblImps[[#This Row],[O1]]-TblProd[[#This Row],[Bank Ore]]</f>
        <v>0</v>
      </c>
      <c r="AX62" s="94">
        <f>TblImps[[#This Row],[G1]]-TblProd[[#This Row],[Bank Gems]]</f>
        <v>0</v>
      </c>
      <c r="AY62" s="142"/>
      <c r="AZ62" s="61" t="b">
        <f ca="1">IF(TblProd[[#This Row],[Set Guard]]&lt;&gt;"",TblProd[[#This Row],[Set Guard]],OFFSET(TblProd[[#This Row],[Guard]],-1,0))</f>
        <v>0</v>
      </c>
      <c r="BA62" s="153"/>
      <c r="BB62" s="45">
        <f>TblProd[[#This Row],[Hour]]</f>
        <v>23</v>
      </c>
      <c r="BC62" s="158">
        <f>-TblProd[[#This Row],[Bank Lumber]] / 2 + -TblProd[[#This Row],[Bank Gems]] * 2 + -TblProd[[#This Row],[Bank Ore]] / 2</f>
        <v>0</v>
      </c>
      <c r="BD62" s="158"/>
      <c r="BE62" s="158"/>
      <c r="BF62" s="158"/>
      <c r="BG62" s="159">
        <f ca="1">TblProd[[#This Row],[Time]]</f>
        <v>46049.416666666526</v>
      </c>
      <c r="BH62" s="45" t="str">
        <f>IF(AND(TblProd[[#This Row],[Bank Plat]]=0,TblProd[[#This Row],[Bank Lumber]]=0,TblProd[[#This Row],[Bank Ore]]=0,TblProd[[#This Row],[Bank Gems]]=0),"",IF(TblProd[[#This Row],[Bank Plat]]&gt;0,IF((TblProd[[#This Row],[Bank Lumber]]+TblProd[[#This Row],[Bank Ore]])/2+TblProd[[#This Row],[Bank Gems]]*2+ROUNDUP(TblProd[[#This Row],[Bank Plat]]/(1 + tech_2_2*Techs!Y62),0)=0,"Ok","Nope"),IF(TblProd[[#This Row],[Bank Lumber]]&gt;0,IF((TblProd[[#This Row],[Bank Plat]]+TblProd[[#This Row],[Bank Ore]])/2+TblProd[[#This Row],[Bank Gems]]*2+ROUNDUP(TblProd[[#This Row],[Bank Lumber]]/(1 + tech_2_2*Techs!Y62),0)=0,"Ok","Nope"),IF(TblProd[[#This Row],[Bank Ore]]&gt;0,IF((TblProd[[#This Row],[Bank Plat]]+TblProd[[#This Row],[Bank Lumber]])/2+TblProd[[#This Row],[Bank Gems]]*2+ROUNDUP(TblProd[[#This Row],[Bank Ore]]/(1 + tech_2_2*Techs!Y62),0)=0,"Ok","Nope")))))</f>
        <v/>
      </c>
      <c r="BI62" s="94">
        <f ca="1">TblProd[[#This Row],[Platinum]]</f>
        <v>148789</v>
      </c>
      <c r="BJ62" s="94">
        <f ca="1">TblProd[[#This Row],[Food]]</f>
        <v>111531</v>
      </c>
      <c r="BK62" s="94">
        <f ca="1">TblProd[[#This Row],[Lumber]]</f>
        <v>52545</v>
      </c>
      <c r="BL62" s="94">
        <f ca="1">TblProd[[#This Row],[Mana]]</f>
        <v>0</v>
      </c>
      <c r="BM62" s="94">
        <f ca="1">TblProd[[#This Row],[Ore]]</f>
        <v>0</v>
      </c>
    </row>
    <row r="63" spans="1:65" x14ac:dyDescent="0.2">
      <c r="A63" s="137">
        <f t="shared" si="0"/>
        <v>24</v>
      </c>
      <c r="B63" s="152">
        <f ca="1">TblImps[[#This Row],[Time]]</f>
        <v>46049.45833333319</v>
      </c>
      <c r="C63" s="153"/>
      <c r="D63" s="154"/>
      <c r="E63" s="94">
        <f ca="1">TblConstr[[#This Row],[Land]]</f>
        <v>110</v>
      </c>
      <c r="F63" s="94">
        <f ca="1">TblPop[[#This Row],[Peasants]]</f>
        <v>553</v>
      </c>
      <c r="G63" s="94">
        <f ca="1">TblMili[[#This Row],[Networth (2)]]</f>
        <v>2450</v>
      </c>
      <c r="H63" s="94">
        <f ca="1">OFFSET(TblProd[[#This Row],[Platinum]],-1,0)+OFFSET(TblProd[[#This Row],[Plat/hr]],-1,0) - TblProd[[#This Row],[Expenses Platinum]] + IF(TblProd[[#This Row],[Plat Bonus]],TblPop[[#This Row],[Peasants]]*4) + SUM(TblConstr[[#This Row],[Dest Hom]:[Dest Doc]])*TblConstr[[#This Row],[CPA Platinum -DB]]*tech_3_3_2*TblTech[[#This Row],[3-3]]</f>
        <v>150298</v>
      </c>
      <c r="I63" s="94">
        <f ca="1">OFFSET(TblProd[[#This Row],[Food]],-1,0)+OFFSET(TblProd[[#This Row],[Food/hr]],-1,0)+ROUNDUP((TblConstr[[#This Row],[Farms]]*80+TblConstr[[#This Row],[Docks]]*35)*(1+OFFSET(TblProd[[#This Row],[Bonus Food/hr]],-1,0)),0)</f>
        <v>112727</v>
      </c>
      <c r="J63" s="94">
        <f ca="1">OFFSET(TblProd[[#This Row],[Lumber]],-1,0)+OFFSET(TblProd[[#This Row],[Lumber/hr]],-1,0) - TblProd[[#This Row],[Expenses Lumber]] + SUM(TblConstr[[#This Row],[Dest Hom]:[Dest Doc]])*TblConstr[[#This Row],[CPA Lumber -DB]]*tech_3_3_2*TblTech[[#This Row],[3-3]]</f>
        <v>53020</v>
      </c>
      <c r="K63" s="94">
        <f ca="1">OFFSET(TblProd[[#This Row],[Mana]],-1,0)+OFFSET(TblProd[[#This Row],[Mana/hr]],-1,0)- TblProd[[#This Row],[Expenses Mana]]</f>
        <v>0</v>
      </c>
      <c r="L63" s="94">
        <f ca="1">OFFSET(TblProd[[#This Row],[Ore]],-1,0)+OFFSET(TblProd[[#This Row],[Ore/hr]],-1,0) -TblProd[[#This Row],[Expenses Ore]]</f>
        <v>0</v>
      </c>
      <c r="M63" s="94">
        <f ca="1">OFFSET(TblProd[[#This Row],[Gems]],-1,0)+OFFSET(TblProd[[#This Row],[Gems/hr]],-1,0) - TblProd[[#This Row],[Expenses Gems]]</f>
        <v>0</v>
      </c>
      <c r="N63" s="94">
        <f ca="1">OFFSET(TblProd[[#This Row],[Boats]],-1,0)+OFFSET(TblProd[[#This Row],[Boats/hr]],-1,0)</f>
        <v>0</v>
      </c>
      <c r="O63" s="94">
        <f ca="1">OFFSET(TblProd[[#This Row],[Prestige]],-1,0)</f>
        <v>250</v>
      </c>
      <c r="P6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3" s="94">
        <f ca="1">MAX(_xlfn.CEILING.MATH(TblProd[[#This Row],[Land]]*2.5+IFERROR(OFFSET(TblTech[[#This Row],[Sum of tech]],-1,0)*50,0)),3750)</f>
        <v>3750</v>
      </c>
      <c r="R63" s="142"/>
      <c r="S63" s="94">
        <f ca="1">ROUNDDOWN(TblProd[[#This Row],[Raw Plat/hr]]*(1+TblProd[[#This Row],[Bonus Plat/hr]]),0)</f>
        <v>1493</v>
      </c>
      <c r="T63" s="94">
        <f ca="1">ROUND(TblProd[[#This Row],[Raw Food/hr]]*(1+TblProd[[#This Row],[Bonus Food/hr]])-TblProd[[#This Row],[Food decay]]-TblProd[[#This Row],[Food eaten]],0)</f>
        <v>1184</v>
      </c>
      <c r="U63" s="94">
        <f ca="1">ROUND(TblProd[[#This Row],[Raw Lumber/hr]]*(1+TblProd[[#This Row],[Bonus Lumber/hr]])-TblProd[[#This Row],[Lumber rot]],0)</f>
        <v>470</v>
      </c>
      <c r="V63" s="94">
        <f ca="1">ROUND(TblProd[[#This Row],[Raw Mana/hr]]*(1+TblProd[[#This Row],[Bonus Mana/hr]])-TblProd[[#This Row],[Mana drain]],0)</f>
        <v>0</v>
      </c>
      <c r="W63" s="94">
        <f ca="1">ROUNDDOWN(TblProd[[#This Row],[Raw Ore/hr]]*(1+TblProd[[#This Row],[Bonux Ore/hr]]),0)</f>
        <v>0</v>
      </c>
      <c r="X63" s="94">
        <f ca="1">ROUNDDOWN(TblProd[[#This Row],[Raw Gems/hr]]*(1+TblProd[[#This Row],[Bonus Gems/hr]]),0)</f>
        <v>0</v>
      </c>
      <c r="Y63" s="155">
        <f ca="1">OFFSET(TblConstr[[#This Row],[Tot Doc]],1,0)*dock_boats_hr * (1 + tech_4_1*TblTech[[#This Row],[4-1]])</f>
        <v>0</v>
      </c>
      <c r="Z63" s="154"/>
      <c r="AA63" s="94">
        <f ca="1">TblPop[[#This Row],[Peasants]]*tax*TblPop[[#This Row],[Employment]] + (Construction!AZ64+Construction!BX64)*(alch_plat+(Magic!AN63&gt;0)*alchemist_flame_bonus)</f>
        <v>1493.1000000000001</v>
      </c>
      <c r="AB63" s="94">
        <f ca="1">TblConstr[[#This Row],[Tot Farm]]*farm_food + TblConstr[[#This Row],[Tot Doc]]*dock_food</f>
        <v>2400</v>
      </c>
      <c r="AC63" s="94">
        <f ca="1">TblConstr[[#This Row],[Tot Ly]]*ly_lumber + TblConstr[[#This Row],[Tot Hav]]*fh_lumber + IF(race="Wood Elf",TblMili[[#This Row],[Unit 2]]*MIN(TblMili[[#This Row],[Homeland%]]/wisp_bonus,wisp_cap),0)</f>
        <v>1000</v>
      </c>
      <c r="AD63" s="94">
        <f ca="1">OFFSET(TblConstr[[#This Row],[Tot Tow]],1,0)*(tower_mana + tech_4_5*TblTech[[#This Row],[4-5]]) + OFFSET(TblConstr[[#This Row],[Tot WG]],1,0)*wg_mana_prod</f>
        <v>0</v>
      </c>
      <c r="AE63" s="94">
        <f ca="1">OFFSET(TblConstr[[#This Row],[Tot OM]],1,0)*om_ore+IF(race="Dwarf",TblMili[[#This Row],[Unit 2]]*0.5,0)</f>
        <v>0</v>
      </c>
      <c r="AF63" s="94">
        <f ca="1">OFFSET(TblConstr[[#This Row],[Tot DM]],1,0)*dm_gems</f>
        <v>0</v>
      </c>
      <c r="AG63" s="142"/>
      <c r="AH63" s="156">
        <f ca="1">MIN(race_platinum_bonus + IF(TblMagic[[#This Row],[Active Alch Frost]]&gt;0,alch_frost_bonus,IF(Magic!AE63&gt;0,midas_bonus)) + TblImps[[#This Row],[Science]] - TblProd[[#This Row],[Guard]]*(0.02 + tech_5_7*TblTech[[#This Row],[5-7]]) + tech_1_5*TblTech[[#This Row],[1-5]] + tech_4_4*TblTech[[#This Row],[4-4]] + IF(TblMagic[[#This Row],[Active Infernal Command]]&gt;0,demonic_pact_plat,0), 0.5)</f>
        <v>0</v>
      </c>
      <c r="AI6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3" s="156">
        <f ca="1">race_lumber_bonus+ IF(TblMagic[[#This Row],[Active Gaia''s Blessing]]&gt;0,gaias_blessing_lumber)+ tech_1_3*TblTech[[#This Row],[1-3]] + tech_1_6*TblTech[[#This Row],[1-6]] + tech_3_3*TblTech[[#This Row],[3-3]]</f>
        <v>0</v>
      </c>
      <c r="AK63" s="156">
        <f ca="1">race_mana_bonus+ 0 + TblImps[[#This Row],[Spires]] + tech_1_2*TblTech[[#This Row],[1-2]] + tech_3_4*TblTech[[#This Row],[3-4]]</f>
        <v>0</v>
      </c>
      <c r="AL63" s="156">
        <f ca="1">race_ore_bonus + IF(TblMagic[[#This Row],[Active Miner''s Sight]]&gt;0,miners_sight_bonus,IF(TblMagic[[#This Row],[Active Mining Strength]]&gt;0,mining_strength_bonus)) +  tech_1_6*TblTech[[#This Row],[1-6]]</f>
        <v>0</v>
      </c>
      <c r="AM63" s="156">
        <f>race_gem_bonus+ tech_3_2*TblTech[[#This Row],[3-2]] + tech_4_3*TblTech[[#This Row],[4-3]] + tech_6_2*TblTech[[#This Row],[6-2]]</f>
        <v>0</v>
      </c>
      <c r="AN63" s="142"/>
      <c r="AO63" s="94">
        <f ca="1">TblProd[[#This Row],[Food]]*food_decay * (1 + tech_2_1*TblTech[[#This Row],[2-1]] + tech_2_8*TblTech[[#This Row],[2-8]] + IF(AND(TblMagic[[#This Row],[Active DnD]]&lt;12,TblMagic[[#This Row],[Active DnD]]&gt;5),1,0))</f>
        <v>1127.27</v>
      </c>
      <c r="AP63" s="94">
        <f ca="1">(1+race_food_consumption)*TblPop[[#This Row],[Total]]*food_per_person*(1+tech_1_10*TblTech[[#This Row],[1-10]]+tech_7_5*TblTech[[#This Row],[7-5]] + IF(TblMagic[[#This Row],[Active Infernal Command]]&gt;0,demonic_pact_food_cons,0))</f>
        <v>269</v>
      </c>
      <c r="AQ63" s="94">
        <f ca="1">TblProd[[#This Row],[Lumber]]*lumber_rot * (1 + tech_2_1*TblTech[[#This Row],[2-1]] + tech_2_8*TblTech[[#This Row],[2-8]] + tech_5_2*TblTech[[#This Row],[5-2]] + IF(AND(TblMagic[[#This Row],[Active DnD]]&lt;12,TblMagic[[#This Row],[Active DnD]]&gt;5),1,0))</f>
        <v>530.20000000000005</v>
      </c>
      <c r="AR63" s="94">
        <f ca="1">TblProd[[#This Row],[Mana]]*mana_drain * (1 + tech_2_1*TblTech[[#This Row],[2-1]] + tech_2_8*TblTech[[#This Row],[2-8]])</f>
        <v>0</v>
      </c>
      <c r="AS63" s="154"/>
      <c r="AT63" s="94">
        <f ca="1">TblExplore[[#This Row],[Platinum (2)]]+TblConstr[[#This Row],[Total Plat Cost]]+TblMili[[#This Row],[Plat Cost]]+TblRezone[[#This Row],[Platinum cost]]+TblImps[[#This Row],[P1]]-TblProd[[#This Row],[Bank Plat]]</f>
        <v>0</v>
      </c>
      <c r="AU63" s="94">
        <f ca="1">TblConstr[[#This Row],[Total Lum Cost]]+TblImps[[#This Row],[L1]]-TblProd[[#This Row],[Bank Lumber]] + Military!$CO$25*TblMili[[#This Row],[Sec. rec. Cost]]</f>
        <v>0</v>
      </c>
      <c r="AV63" s="94">
        <f ca="1">TblMagic[[#This Row],[Mana cost]] + Military!$CO$26*TblMili[[#This Row],[Sec. rec. Cost]]</f>
        <v>0</v>
      </c>
      <c r="AW63" s="94">
        <f ca="1">Military!$CO$24*TblMili[[#This Row],[Sec. rec. Cost]]+TblImps[[#This Row],[O1]]-TblProd[[#This Row],[Bank Ore]]</f>
        <v>0</v>
      </c>
      <c r="AX63" s="94">
        <f>TblImps[[#This Row],[G1]]-TblProd[[#This Row],[Bank Gems]]</f>
        <v>0</v>
      </c>
      <c r="AY63" s="142"/>
      <c r="AZ63" s="61" t="b">
        <f ca="1">IF(TblProd[[#This Row],[Set Guard]]&lt;&gt;"",TblProd[[#This Row],[Set Guard]],OFFSET(TblProd[[#This Row],[Guard]],-1,0))</f>
        <v>0</v>
      </c>
      <c r="BA63" s="153"/>
      <c r="BB63" s="45">
        <f>TblProd[[#This Row],[Hour]]</f>
        <v>24</v>
      </c>
      <c r="BC63" s="158">
        <f>-TblProd[[#This Row],[Bank Lumber]] / 2 + -TblProd[[#This Row],[Bank Gems]] * 2 + -TblProd[[#This Row],[Bank Ore]] / 2</f>
        <v>0</v>
      </c>
      <c r="BD63" s="158"/>
      <c r="BE63" s="158"/>
      <c r="BF63" s="158"/>
      <c r="BG63" s="159">
        <f ca="1">TblProd[[#This Row],[Time]]</f>
        <v>46049.45833333319</v>
      </c>
      <c r="BH63" s="45" t="str">
        <f>IF(AND(TblProd[[#This Row],[Bank Plat]]=0,TblProd[[#This Row],[Bank Lumber]]=0,TblProd[[#This Row],[Bank Ore]]=0,TblProd[[#This Row],[Bank Gems]]=0),"",IF(TblProd[[#This Row],[Bank Plat]]&gt;0,IF((TblProd[[#This Row],[Bank Lumber]]+TblProd[[#This Row],[Bank Ore]])/2+TblProd[[#This Row],[Bank Gems]]*2+ROUNDUP(TblProd[[#This Row],[Bank Plat]]/(1 + tech_2_2*Techs!Y63),0)=0,"Ok","Nope"),IF(TblProd[[#This Row],[Bank Lumber]]&gt;0,IF((TblProd[[#This Row],[Bank Plat]]+TblProd[[#This Row],[Bank Ore]])/2+TblProd[[#This Row],[Bank Gems]]*2+ROUNDUP(TblProd[[#This Row],[Bank Lumber]]/(1 + tech_2_2*Techs!Y63),0)=0,"Ok","Nope"),IF(TblProd[[#This Row],[Bank Ore]]&gt;0,IF((TblProd[[#This Row],[Bank Plat]]+TblProd[[#This Row],[Bank Lumber]])/2+TblProd[[#This Row],[Bank Gems]]*2+ROUNDUP(TblProd[[#This Row],[Bank Ore]]/(1 + tech_2_2*Techs!Y63),0)=0,"Ok","Nope")))))</f>
        <v/>
      </c>
      <c r="BI63" s="94">
        <f ca="1">TblProd[[#This Row],[Platinum]]</f>
        <v>150298</v>
      </c>
      <c r="BJ63" s="94">
        <f ca="1">TblProd[[#This Row],[Food]]</f>
        <v>112727</v>
      </c>
      <c r="BK63" s="94">
        <f ca="1">TblProd[[#This Row],[Lumber]]</f>
        <v>53020</v>
      </c>
      <c r="BL63" s="94">
        <f ca="1">TblProd[[#This Row],[Mana]]</f>
        <v>0</v>
      </c>
      <c r="BM63" s="94">
        <f ca="1">TblProd[[#This Row],[Ore]]</f>
        <v>0</v>
      </c>
    </row>
    <row r="64" spans="1:65" x14ac:dyDescent="0.2">
      <c r="A64" s="137">
        <f t="shared" si="0"/>
        <v>25</v>
      </c>
      <c r="B64" s="152">
        <f ca="1">TblImps[[#This Row],[Time]]</f>
        <v>46049.499999999854</v>
      </c>
      <c r="C64" s="153"/>
      <c r="D64" s="154"/>
      <c r="E64" s="94">
        <f ca="1">TblConstr[[#This Row],[Land]]</f>
        <v>110</v>
      </c>
      <c r="F64" s="94">
        <f ca="1">TblPop[[#This Row],[Peasants]]</f>
        <v>547</v>
      </c>
      <c r="G64" s="94">
        <f ca="1">TblMili[[#This Row],[Networth (2)]]</f>
        <v>2450</v>
      </c>
      <c r="H64" s="94">
        <f ca="1">OFFSET(TblProd[[#This Row],[Platinum]],-1,0)+OFFSET(TblProd[[#This Row],[Plat/hr]],-1,0) - TblProd[[#This Row],[Expenses Platinum]] + IF(TblProd[[#This Row],[Plat Bonus]],TblPop[[#This Row],[Peasants]]*4) + SUM(TblConstr[[#This Row],[Dest Hom]:[Dest Doc]])*TblConstr[[#This Row],[CPA Platinum -DB]]*tech_3_3_2*TblTech[[#This Row],[3-3]]</f>
        <v>151791</v>
      </c>
      <c r="I64" s="94">
        <f ca="1">OFFSET(TblProd[[#This Row],[Food]],-1,0)+OFFSET(TblProd[[#This Row],[Food/hr]],-1,0)+ROUNDUP((TblConstr[[#This Row],[Farms]]*80+TblConstr[[#This Row],[Docks]]*35)*(1+OFFSET(TblProd[[#This Row],[Bonus Food/hr]],-1,0)),0)</f>
        <v>113911</v>
      </c>
      <c r="J64" s="94">
        <f ca="1">OFFSET(TblProd[[#This Row],[Lumber]],-1,0)+OFFSET(TblProd[[#This Row],[Lumber/hr]],-1,0) - TblProd[[#This Row],[Expenses Lumber]] + SUM(TblConstr[[#This Row],[Dest Hom]:[Dest Doc]])*TblConstr[[#This Row],[CPA Lumber -DB]]*tech_3_3_2*TblTech[[#This Row],[3-3]]</f>
        <v>53490</v>
      </c>
      <c r="K64" s="94">
        <f ca="1">OFFSET(TblProd[[#This Row],[Mana]],-1,0)+OFFSET(TblProd[[#This Row],[Mana/hr]],-1,0)- TblProd[[#This Row],[Expenses Mana]]</f>
        <v>0</v>
      </c>
      <c r="L64" s="94">
        <f ca="1">OFFSET(TblProd[[#This Row],[Ore]],-1,0)+OFFSET(TblProd[[#This Row],[Ore/hr]],-1,0) -TblProd[[#This Row],[Expenses Ore]]</f>
        <v>0</v>
      </c>
      <c r="M64" s="94">
        <f ca="1">OFFSET(TblProd[[#This Row],[Gems]],-1,0)+OFFSET(TblProd[[#This Row],[Gems/hr]],-1,0) - TblProd[[#This Row],[Expenses Gems]]</f>
        <v>0</v>
      </c>
      <c r="N64" s="94">
        <f ca="1">OFFSET(TblProd[[#This Row],[Boats]],-1,0)+OFFSET(TblProd[[#This Row],[Boats/hr]],-1,0)</f>
        <v>0</v>
      </c>
      <c r="O64" s="94">
        <f ca="1">OFFSET(TblProd[[#This Row],[Prestige]],-1,0)</f>
        <v>250</v>
      </c>
      <c r="P6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4" s="94">
        <f ca="1">MAX(_xlfn.CEILING.MATH(TblProd[[#This Row],[Land]]*2.5+IFERROR(OFFSET(TblTech[[#This Row],[Sum of tech]],-1,0)*50,0)),3750)</f>
        <v>3750</v>
      </c>
      <c r="R64" s="142"/>
      <c r="S64" s="94">
        <f ca="1">ROUNDDOWN(TblProd[[#This Row],[Raw Plat/hr]]*(1+TblProd[[#This Row],[Bonus Plat/hr]]),0)</f>
        <v>1476</v>
      </c>
      <c r="T64" s="94">
        <f ca="1">ROUND(TblProd[[#This Row],[Raw Food/hr]]*(1+TblProd[[#This Row],[Bonus Food/hr]])-TblProd[[#This Row],[Food decay]]-TblProd[[#This Row],[Food eaten]],0)</f>
        <v>1172</v>
      </c>
      <c r="U64" s="94">
        <f ca="1">ROUND(TblProd[[#This Row],[Raw Lumber/hr]]*(1+TblProd[[#This Row],[Bonus Lumber/hr]])-TblProd[[#This Row],[Lumber rot]],0)</f>
        <v>465</v>
      </c>
      <c r="V64" s="94">
        <f ca="1">ROUND(TblProd[[#This Row],[Raw Mana/hr]]*(1+TblProd[[#This Row],[Bonus Mana/hr]])-TblProd[[#This Row],[Mana drain]],0)</f>
        <v>0</v>
      </c>
      <c r="W64" s="94">
        <f ca="1">ROUNDDOWN(TblProd[[#This Row],[Raw Ore/hr]]*(1+TblProd[[#This Row],[Bonux Ore/hr]]),0)</f>
        <v>0</v>
      </c>
      <c r="X64" s="94">
        <f ca="1">ROUNDDOWN(TblProd[[#This Row],[Raw Gems/hr]]*(1+TblProd[[#This Row],[Bonus Gems/hr]]),0)</f>
        <v>0</v>
      </c>
      <c r="Y64" s="155">
        <f ca="1">OFFSET(TblConstr[[#This Row],[Tot Doc]],1,0)*dock_boats_hr * (1 + tech_4_1*TblTech[[#This Row],[4-1]])</f>
        <v>0</v>
      </c>
      <c r="Z64" s="154"/>
      <c r="AA64" s="94">
        <f ca="1">TblPop[[#This Row],[Peasants]]*tax*TblPop[[#This Row],[Employment]] + (Construction!AZ65+Construction!BX65)*(alch_plat+(Magic!AN64&gt;0)*alchemist_flame_bonus)</f>
        <v>1476.9</v>
      </c>
      <c r="AB64" s="94">
        <f ca="1">TblConstr[[#This Row],[Tot Farm]]*farm_food + TblConstr[[#This Row],[Tot Doc]]*dock_food</f>
        <v>2400</v>
      </c>
      <c r="AC64" s="94">
        <f ca="1">TblConstr[[#This Row],[Tot Ly]]*ly_lumber + TblConstr[[#This Row],[Tot Hav]]*fh_lumber + IF(race="Wood Elf",TblMili[[#This Row],[Unit 2]]*MIN(TblMili[[#This Row],[Homeland%]]/wisp_bonus,wisp_cap),0)</f>
        <v>1000</v>
      </c>
      <c r="AD64" s="94">
        <f ca="1">OFFSET(TblConstr[[#This Row],[Tot Tow]],1,0)*(tower_mana + tech_4_5*TblTech[[#This Row],[4-5]]) + OFFSET(TblConstr[[#This Row],[Tot WG]],1,0)*wg_mana_prod</f>
        <v>0</v>
      </c>
      <c r="AE64" s="94">
        <f ca="1">OFFSET(TblConstr[[#This Row],[Tot OM]],1,0)*om_ore+IF(race="Dwarf",TblMili[[#This Row],[Unit 2]]*0.5,0)</f>
        <v>0</v>
      </c>
      <c r="AF64" s="94">
        <f ca="1">OFFSET(TblConstr[[#This Row],[Tot DM]],1,0)*dm_gems</f>
        <v>0</v>
      </c>
      <c r="AG64" s="142"/>
      <c r="AH64" s="156">
        <f ca="1">MIN(race_platinum_bonus + IF(TblMagic[[#This Row],[Active Alch Frost]]&gt;0,alch_frost_bonus,IF(Magic!AE64&gt;0,midas_bonus)) + TblImps[[#This Row],[Science]] - TblProd[[#This Row],[Guard]]*(0.02 + tech_5_7*TblTech[[#This Row],[5-7]]) + tech_1_5*TblTech[[#This Row],[1-5]] + tech_4_4*TblTech[[#This Row],[4-4]] + IF(TblMagic[[#This Row],[Active Infernal Command]]&gt;0,demonic_pact_plat,0), 0.5)</f>
        <v>0</v>
      </c>
      <c r="AI6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4" s="156">
        <f ca="1">race_lumber_bonus+ IF(TblMagic[[#This Row],[Active Gaia''s Blessing]]&gt;0,gaias_blessing_lumber)+ tech_1_3*TblTech[[#This Row],[1-3]] + tech_1_6*TblTech[[#This Row],[1-6]] + tech_3_3*TblTech[[#This Row],[3-3]]</f>
        <v>0</v>
      </c>
      <c r="AK64" s="156">
        <f ca="1">race_mana_bonus+ 0 + TblImps[[#This Row],[Spires]] + tech_1_2*TblTech[[#This Row],[1-2]] + tech_3_4*TblTech[[#This Row],[3-4]]</f>
        <v>0</v>
      </c>
      <c r="AL64" s="156">
        <f ca="1">race_ore_bonus + IF(TblMagic[[#This Row],[Active Miner''s Sight]]&gt;0,miners_sight_bonus,IF(TblMagic[[#This Row],[Active Mining Strength]]&gt;0,mining_strength_bonus)) +  tech_1_6*TblTech[[#This Row],[1-6]]</f>
        <v>0</v>
      </c>
      <c r="AM64" s="156">
        <f>race_gem_bonus+ tech_3_2*TblTech[[#This Row],[3-2]] + tech_4_3*TblTech[[#This Row],[4-3]] + tech_6_2*TblTech[[#This Row],[6-2]]</f>
        <v>0</v>
      </c>
      <c r="AN64" s="142"/>
      <c r="AO64" s="94">
        <f ca="1">TblProd[[#This Row],[Food]]*food_decay * (1 + tech_2_1*TblTech[[#This Row],[2-1]] + tech_2_8*TblTech[[#This Row],[2-8]] + IF(AND(TblMagic[[#This Row],[Active DnD]]&lt;12,TblMagic[[#This Row],[Active DnD]]&gt;5),1,0))</f>
        <v>1139.1100000000001</v>
      </c>
      <c r="AP64" s="94">
        <f ca="1">(1+race_food_consumption)*TblPop[[#This Row],[Total]]*food_per_person*(1+tech_1_10*TblTech[[#This Row],[1-10]]+tech_7_5*TblTech[[#This Row],[7-5]] + IF(TblMagic[[#This Row],[Active Infernal Command]]&gt;0,demonic_pact_food_cons,0))</f>
        <v>269</v>
      </c>
      <c r="AQ64" s="94">
        <f ca="1">TblProd[[#This Row],[Lumber]]*lumber_rot * (1 + tech_2_1*TblTech[[#This Row],[2-1]] + tech_2_8*TblTech[[#This Row],[2-8]] + tech_5_2*TblTech[[#This Row],[5-2]] + IF(AND(TblMagic[[#This Row],[Active DnD]]&lt;12,TblMagic[[#This Row],[Active DnD]]&gt;5),1,0))</f>
        <v>534.9</v>
      </c>
      <c r="AR64" s="94">
        <f ca="1">TblProd[[#This Row],[Mana]]*mana_drain * (1 + tech_2_1*TblTech[[#This Row],[2-1]] + tech_2_8*TblTech[[#This Row],[2-8]])</f>
        <v>0</v>
      </c>
      <c r="AS64" s="154"/>
      <c r="AT64" s="94">
        <f ca="1">TblExplore[[#This Row],[Platinum (2)]]+TblConstr[[#This Row],[Total Plat Cost]]+TblMili[[#This Row],[Plat Cost]]+TblRezone[[#This Row],[Platinum cost]]+TblImps[[#This Row],[P1]]-TblProd[[#This Row],[Bank Plat]]</f>
        <v>0</v>
      </c>
      <c r="AU64" s="94">
        <f ca="1">TblConstr[[#This Row],[Total Lum Cost]]+TblImps[[#This Row],[L1]]-TblProd[[#This Row],[Bank Lumber]] + Military!$CO$25*TblMili[[#This Row],[Sec. rec. Cost]]</f>
        <v>0</v>
      </c>
      <c r="AV64" s="94">
        <f ca="1">TblMagic[[#This Row],[Mana cost]] + Military!$CO$26*TblMili[[#This Row],[Sec. rec. Cost]]</f>
        <v>0</v>
      </c>
      <c r="AW64" s="94">
        <f ca="1">Military!$CO$24*TblMili[[#This Row],[Sec. rec. Cost]]+TblImps[[#This Row],[O1]]-TblProd[[#This Row],[Bank Ore]]</f>
        <v>0</v>
      </c>
      <c r="AX64" s="94">
        <f>TblImps[[#This Row],[G1]]-TblProd[[#This Row],[Bank Gems]]</f>
        <v>0</v>
      </c>
      <c r="AY64" s="142"/>
      <c r="AZ64" s="61" t="b">
        <f ca="1">IF(TblProd[[#This Row],[Set Guard]]&lt;&gt;"",TblProd[[#This Row],[Set Guard]],OFFSET(TblProd[[#This Row],[Guard]],-1,0))</f>
        <v>0</v>
      </c>
      <c r="BA64" s="153"/>
      <c r="BB64" s="45">
        <f>TblProd[[#This Row],[Hour]]</f>
        <v>25</v>
      </c>
      <c r="BC64" s="158">
        <f>-TblProd[[#This Row],[Bank Lumber]] / 2 + -TblProd[[#This Row],[Bank Gems]] * 2 + -TblProd[[#This Row],[Bank Ore]] / 2</f>
        <v>0</v>
      </c>
      <c r="BD64" s="158"/>
      <c r="BE64" s="158"/>
      <c r="BF64" s="158"/>
      <c r="BG64" s="159">
        <f ca="1">TblProd[[#This Row],[Time]]</f>
        <v>46049.499999999854</v>
      </c>
      <c r="BH64" s="45" t="str">
        <f>IF(AND(TblProd[[#This Row],[Bank Plat]]=0,TblProd[[#This Row],[Bank Lumber]]=0,TblProd[[#This Row],[Bank Ore]]=0,TblProd[[#This Row],[Bank Gems]]=0),"",IF(TblProd[[#This Row],[Bank Plat]]&gt;0,IF((TblProd[[#This Row],[Bank Lumber]]+TblProd[[#This Row],[Bank Ore]])/2+TblProd[[#This Row],[Bank Gems]]*2+ROUNDUP(TblProd[[#This Row],[Bank Plat]]/(1 + tech_2_2*Techs!Y64),0)=0,"Ok","Nope"),IF(TblProd[[#This Row],[Bank Lumber]]&gt;0,IF((TblProd[[#This Row],[Bank Plat]]+TblProd[[#This Row],[Bank Ore]])/2+TblProd[[#This Row],[Bank Gems]]*2+ROUNDUP(TblProd[[#This Row],[Bank Lumber]]/(1 + tech_2_2*Techs!Y64),0)=0,"Ok","Nope"),IF(TblProd[[#This Row],[Bank Ore]]&gt;0,IF((TblProd[[#This Row],[Bank Plat]]+TblProd[[#This Row],[Bank Lumber]])/2+TblProd[[#This Row],[Bank Gems]]*2+ROUNDUP(TblProd[[#This Row],[Bank Ore]]/(1 + tech_2_2*Techs!Y64),0)=0,"Ok","Nope")))))</f>
        <v/>
      </c>
      <c r="BI64" s="94">
        <f ca="1">TblProd[[#This Row],[Platinum]]</f>
        <v>151791</v>
      </c>
      <c r="BJ64" s="94">
        <f ca="1">TblProd[[#This Row],[Food]]</f>
        <v>113911</v>
      </c>
      <c r="BK64" s="94">
        <f ca="1">TblProd[[#This Row],[Lumber]]</f>
        <v>53490</v>
      </c>
      <c r="BL64" s="94">
        <f ca="1">TblProd[[#This Row],[Mana]]</f>
        <v>0</v>
      </c>
      <c r="BM64" s="94">
        <f ca="1">TblProd[[#This Row],[Ore]]</f>
        <v>0</v>
      </c>
    </row>
    <row r="65" spans="1:65" x14ac:dyDescent="0.2">
      <c r="A65" s="137">
        <f t="shared" si="0"/>
        <v>26</v>
      </c>
      <c r="B65" s="152">
        <f ca="1">TblImps[[#This Row],[Time]]</f>
        <v>46049.541666666519</v>
      </c>
      <c r="C65" s="153"/>
      <c r="D65" s="154"/>
      <c r="E65" s="94">
        <f ca="1">TblConstr[[#This Row],[Land]]</f>
        <v>110</v>
      </c>
      <c r="F65" s="94">
        <f ca="1">TblPop[[#This Row],[Peasants]]</f>
        <v>542</v>
      </c>
      <c r="G65" s="94">
        <f ca="1">TblMili[[#This Row],[Networth (2)]]</f>
        <v>2450</v>
      </c>
      <c r="H65" s="94">
        <f ca="1">OFFSET(TblProd[[#This Row],[Platinum]],-1,0)+OFFSET(TblProd[[#This Row],[Plat/hr]],-1,0) - TblProd[[#This Row],[Expenses Platinum]] + IF(TblProd[[#This Row],[Plat Bonus]],TblPop[[#This Row],[Peasants]]*4) + SUM(TblConstr[[#This Row],[Dest Hom]:[Dest Doc]])*TblConstr[[#This Row],[CPA Platinum -DB]]*tech_3_3_2*TblTech[[#This Row],[3-3]]</f>
        <v>153267</v>
      </c>
      <c r="I65" s="94">
        <f ca="1">OFFSET(TblProd[[#This Row],[Food]],-1,0)+OFFSET(TblProd[[#This Row],[Food/hr]],-1,0)+ROUNDUP((TblConstr[[#This Row],[Farms]]*80+TblConstr[[#This Row],[Docks]]*35)*(1+OFFSET(TblProd[[#This Row],[Bonus Food/hr]],-1,0)),0)</f>
        <v>115083</v>
      </c>
      <c r="J65" s="94">
        <f ca="1">OFFSET(TblProd[[#This Row],[Lumber]],-1,0)+OFFSET(TblProd[[#This Row],[Lumber/hr]],-1,0) - TblProd[[#This Row],[Expenses Lumber]] + SUM(TblConstr[[#This Row],[Dest Hom]:[Dest Doc]])*TblConstr[[#This Row],[CPA Lumber -DB]]*tech_3_3_2*TblTech[[#This Row],[3-3]]</f>
        <v>53955</v>
      </c>
      <c r="K65" s="94">
        <f ca="1">OFFSET(TblProd[[#This Row],[Mana]],-1,0)+OFFSET(TblProd[[#This Row],[Mana/hr]],-1,0)- TblProd[[#This Row],[Expenses Mana]]</f>
        <v>0</v>
      </c>
      <c r="L65" s="94">
        <f ca="1">OFFSET(TblProd[[#This Row],[Ore]],-1,0)+OFFSET(TblProd[[#This Row],[Ore/hr]],-1,0) -TblProd[[#This Row],[Expenses Ore]]</f>
        <v>0</v>
      </c>
      <c r="M65" s="94">
        <f ca="1">OFFSET(TblProd[[#This Row],[Gems]],-1,0)+OFFSET(TblProd[[#This Row],[Gems/hr]],-1,0) - TblProd[[#This Row],[Expenses Gems]]</f>
        <v>0</v>
      </c>
      <c r="N65" s="94">
        <f ca="1">OFFSET(TblProd[[#This Row],[Boats]],-1,0)+OFFSET(TblProd[[#This Row],[Boats/hr]],-1,0)</f>
        <v>0</v>
      </c>
      <c r="O65" s="94">
        <f ca="1">OFFSET(TblProd[[#This Row],[Prestige]],-1,0)</f>
        <v>250</v>
      </c>
      <c r="P6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5" s="94">
        <f ca="1">MAX(_xlfn.CEILING.MATH(TblProd[[#This Row],[Land]]*2.5+IFERROR(OFFSET(TblTech[[#This Row],[Sum of tech]],-1,0)*50,0)),3750)</f>
        <v>3750</v>
      </c>
      <c r="R65" s="142"/>
      <c r="S65" s="94">
        <f ca="1">ROUNDDOWN(TblProd[[#This Row],[Raw Plat/hr]]*(1+TblProd[[#This Row],[Bonus Plat/hr]]),0)</f>
        <v>1463</v>
      </c>
      <c r="T65" s="94">
        <f ca="1">ROUND(TblProd[[#This Row],[Raw Food/hr]]*(1+TblProd[[#This Row],[Bonus Food/hr]])-TblProd[[#This Row],[Food decay]]-TblProd[[#This Row],[Food eaten]],0)</f>
        <v>1160</v>
      </c>
      <c r="U65" s="94">
        <f ca="1">ROUND(TblProd[[#This Row],[Raw Lumber/hr]]*(1+TblProd[[#This Row],[Bonus Lumber/hr]])-TblProd[[#This Row],[Lumber rot]],0)</f>
        <v>460</v>
      </c>
      <c r="V65" s="94">
        <f ca="1">ROUND(TblProd[[#This Row],[Raw Mana/hr]]*(1+TblProd[[#This Row],[Bonus Mana/hr]])-TblProd[[#This Row],[Mana drain]],0)</f>
        <v>0</v>
      </c>
      <c r="W65" s="94">
        <f ca="1">ROUNDDOWN(TblProd[[#This Row],[Raw Ore/hr]]*(1+TblProd[[#This Row],[Bonux Ore/hr]]),0)</f>
        <v>0</v>
      </c>
      <c r="X65" s="94">
        <f ca="1">ROUNDDOWN(TblProd[[#This Row],[Raw Gems/hr]]*(1+TblProd[[#This Row],[Bonus Gems/hr]]),0)</f>
        <v>0</v>
      </c>
      <c r="Y65" s="155">
        <f ca="1">OFFSET(TblConstr[[#This Row],[Tot Doc]],1,0)*dock_boats_hr * (1 + tech_4_1*TblTech[[#This Row],[4-1]])</f>
        <v>0</v>
      </c>
      <c r="Z65" s="154"/>
      <c r="AA65" s="94">
        <f ca="1">TblPop[[#This Row],[Peasants]]*tax*TblPop[[#This Row],[Employment]] + (Construction!AZ66+Construction!BX66)*(alch_plat+(Magic!AN65&gt;0)*alchemist_flame_bonus)</f>
        <v>1463.4</v>
      </c>
      <c r="AB65" s="94">
        <f ca="1">TblConstr[[#This Row],[Tot Farm]]*farm_food + TblConstr[[#This Row],[Tot Doc]]*dock_food</f>
        <v>2400</v>
      </c>
      <c r="AC65" s="94">
        <f ca="1">TblConstr[[#This Row],[Tot Ly]]*ly_lumber + TblConstr[[#This Row],[Tot Hav]]*fh_lumber + IF(race="Wood Elf",TblMili[[#This Row],[Unit 2]]*MIN(TblMili[[#This Row],[Homeland%]]/wisp_bonus,wisp_cap),0)</f>
        <v>1000</v>
      </c>
      <c r="AD65" s="94">
        <f ca="1">OFFSET(TblConstr[[#This Row],[Tot Tow]],1,0)*(tower_mana + tech_4_5*TblTech[[#This Row],[4-5]]) + OFFSET(TblConstr[[#This Row],[Tot WG]],1,0)*wg_mana_prod</f>
        <v>0</v>
      </c>
      <c r="AE65" s="94">
        <f ca="1">OFFSET(TblConstr[[#This Row],[Tot OM]],1,0)*om_ore+IF(race="Dwarf",TblMili[[#This Row],[Unit 2]]*0.5,0)</f>
        <v>0</v>
      </c>
      <c r="AF65" s="94">
        <f ca="1">OFFSET(TblConstr[[#This Row],[Tot DM]],1,0)*dm_gems</f>
        <v>0</v>
      </c>
      <c r="AG65" s="142"/>
      <c r="AH65" s="156">
        <f ca="1">MIN(race_platinum_bonus + IF(TblMagic[[#This Row],[Active Alch Frost]]&gt;0,alch_frost_bonus,IF(Magic!AE65&gt;0,midas_bonus)) + TblImps[[#This Row],[Science]] - TblProd[[#This Row],[Guard]]*(0.02 + tech_5_7*TblTech[[#This Row],[5-7]]) + tech_1_5*TblTech[[#This Row],[1-5]] + tech_4_4*TblTech[[#This Row],[4-4]] + IF(TblMagic[[#This Row],[Active Infernal Command]]&gt;0,demonic_pact_plat,0), 0.5)</f>
        <v>0</v>
      </c>
      <c r="AI6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5" s="156">
        <f ca="1">race_lumber_bonus+ IF(TblMagic[[#This Row],[Active Gaia''s Blessing]]&gt;0,gaias_blessing_lumber)+ tech_1_3*TblTech[[#This Row],[1-3]] + tech_1_6*TblTech[[#This Row],[1-6]] + tech_3_3*TblTech[[#This Row],[3-3]]</f>
        <v>0</v>
      </c>
      <c r="AK65" s="156">
        <f ca="1">race_mana_bonus+ 0 + TblImps[[#This Row],[Spires]] + tech_1_2*TblTech[[#This Row],[1-2]] + tech_3_4*TblTech[[#This Row],[3-4]]</f>
        <v>0</v>
      </c>
      <c r="AL65" s="156">
        <f ca="1">race_ore_bonus + IF(TblMagic[[#This Row],[Active Miner''s Sight]]&gt;0,miners_sight_bonus,IF(TblMagic[[#This Row],[Active Mining Strength]]&gt;0,mining_strength_bonus)) +  tech_1_6*TblTech[[#This Row],[1-6]]</f>
        <v>0</v>
      </c>
      <c r="AM65" s="156">
        <f>race_gem_bonus+ tech_3_2*TblTech[[#This Row],[3-2]] + tech_4_3*TblTech[[#This Row],[4-3]] + tech_6_2*TblTech[[#This Row],[6-2]]</f>
        <v>0</v>
      </c>
      <c r="AN65" s="142"/>
      <c r="AO65" s="94">
        <f ca="1">TblProd[[#This Row],[Food]]*food_decay * (1 + tech_2_1*TblTech[[#This Row],[2-1]] + tech_2_8*TblTech[[#This Row],[2-8]] + IF(AND(TblMagic[[#This Row],[Active DnD]]&lt;12,TblMagic[[#This Row],[Active DnD]]&gt;5),1,0))</f>
        <v>1150.83</v>
      </c>
      <c r="AP65" s="94">
        <f ca="1">(1+race_food_consumption)*TblPop[[#This Row],[Total]]*food_per_person*(1+tech_1_10*TblTech[[#This Row],[1-10]]+tech_7_5*TblTech[[#This Row],[7-5]] + IF(TblMagic[[#This Row],[Active Infernal Command]]&gt;0,demonic_pact_food_cons,0))</f>
        <v>269</v>
      </c>
      <c r="AQ65" s="94">
        <f ca="1">TblProd[[#This Row],[Lumber]]*lumber_rot * (1 + tech_2_1*TblTech[[#This Row],[2-1]] + tech_2_8*TblTech[[#This Row],[2-8]] + tech_5_2*TblTech[[#This Row],[5-2]] + IF(AND(TblMagic[[#This Row],[Active DnD]]&lt;12,TblMagic[[#This Row],[Active DnD]]&gt;5),1,0))</f>
        <v>539.54999999999995</v>
      </c>
      <c r="AR65" s="94">
        <f ca="1">TblProd[[#This Row],[Mana]]*mana_drain * (1 + tech_2_1*TblTech[[#This Row],[2-1]] + tech_2_8*TblTech[[#This Row],[2-8]])</f>
        <v>0</v>
      </c>
      <c r="AS65" s="154"/>
      <c r="AT65" s="94">
        <f ca="1">TblExplore[[#This Row],[Platinum (2)]]+TblConstr[[#This Row],[Total Plat Cost]]+TblMili[[#This Row],[Plat Cost]]+TblRezone[[#This Row],[Platinum cost]]+TblImps[[#This Row],[P1]]-TblProd[[#This Row],[Bank Plat]]</f>
        <v>0</v>
      </c>
      <c r="AU65" s="94">
        <f ca="1">TblConstr[[#This Row],[Total Lum Cost]]+TblImps[[#This Row],[L1]]-TblProd[[#This Row],[Bank Lumber]] + Military!$CO$25*TblMili[[#This Row],[Sec. rec. Cost]]</f>
        <v>0</v>
      </c>
      <c r="AV65" s="94">
        <f ca="1">TblMagic[[#This Row],[Mana cost]] + Military!$CO$26*TblMili[[#This Row],[Sec. rec. Cost]]</f>
        <v>0</v>
      </c>
      <c r="AW65" s="94">
        <f ca="1">Military!$CO$24*TblMili[[#This Row],[Sec. rec. Cost]]+TblImps[[#This Row],[O1]]-TblProd[[#This Row],[Bank Ore]]</f>
        <v>0</v>
      </c>
      <c r="AX65" s="94">
        <f>TblImps[[#This Row],[G1]]-TblProd[[#This Row],[Bank Gems]]</f>
        <v>0</v>
      </c>
      <c r="AY65" s="142"/>
      <c r="AZ65" s="61" t="b">
        <f ca="1">IF(TblProd[[#This Row],[Set Guard]]&lt;&gt;"",TblProd[[#This Row],[Set Guard]],OFFSET(TblProd[[#This Row],[Guard]],-1,0))</f>
        <v>0</v>
      </c>
      <c r="BA65" s="153"/>
      <c r="BB65" s="45">
        <f>TblProd[[#This Row],[Hour]]</f>
        <v>26</v>
      </c>
      <c r="BC65" s="158">
        <f>-TblProd[[#This Row],[Bank Lumber]] / 2 + -TblProd[[#This Row],[Bank Gems]] * 2 + -TblProd[[#This Row],[Bank Ore]] / 2</f>
        <v>0</v>
      </c>
      <c r="BD65" s="158"/>
      <c r="BE65" s="158"/>
      <c r="BF65" s="158"/>
      <c r="BG65" s="159">
        <f ca="1">TblProd[[#This Row],[Time]]</f>
        <v>46049.541666666519</v>
      </c>
      <c r="BH65" s="45" t="str">
        <f>IF(AND(TblProd[[#This Row],[Bank Plat]]=0,TblProd[[#This Row],[Bank Lumber]]=0,TblProd[[#This Row],[Bank Ore]]=0,TblProd[[#This Row],[Bank Gems]]=0),"",IF(TblProd[[#This Row],[Bank Plat]]&gt;0,IF((TblProd[[#This Row],[Bank Lumber]]+TblProd[[#This Row],[Bank Ore]])/2+TblProd[[#This Row],[Bank Gems]]*2+ROUNDUP(TblProd[[#This Row],[Bank Plat]]/(1 + tech_2_2*Techs!Y65),0)=0,"Ok","Nope"),IF(TblProd[[#This Row],[Bank Lumber]]&gt;0,IF((TblProd[[#This Row],[Bank Plat]]+TblProd[[#This Row],[Bank Ore]])/2+TblProd[[#This Row],[Bank Gems]]*2+ROUNDUP(TblProd[[#This Row],[Bank Lumber]]/(1 + tech_2_2*Techs!Y65),0)=0,"Ok","Nope"),IF(TblProd[[#This Row],[Bank Ore]]&gt;0,IF((TblProd[[#This Row],[Bank Plat]]+TblProd[[#This Row],[Bank Lumber]])/2+TblProd[[#This Row],[Bank Gems]]*2+ROUNDUP(TblProd[[#This Row],[Bank Ore]]/(1 + tech_2_2*Techs!Y65),0)=0,"Ok","Nope")))))</f>
        <v/>
      </c>
      <c r="BI65" s="94">
        <f ca="1">TblProd[[#This Row],[Platinum]]</f>
        <v>153267</v>
      </c>
      <c r="BJ65" s="94">
        <f ca="1">TblProd[[#This Row],[Food]]</f>
        <v>115083</v>
      </c>
      <c r="BK65" s="94">
        <f ca="1">TblProd[[#This Row],[Lumber]]</f>
        <v>53955</v>
      </c>
      <c r="BL65" s="94">
        <f ca="1">TblProd[[#This Row],[Mana]]</f>
        <v>0</v>
      </c>
      <c r="BM65" s="94">
        <f ca="1">TblProd[[#This Row],[Ore]]</f>
        <v>0</v>
      </c>
    </row>
    <row r="66" spans="1:65" x14ac:dyDescent="0.2">
      <c r="A66" s="137">
        <f t="shared" si="0"/>
        <v>27</v>
      </c>
      <c r="B66" s="152">
        <f ca="1">TblImps[[#This Row],[Time]]</f>
        <v>46049.583333333183</v>
      </c>
      <c r="C66" s="153"/>
      <c r="D66" s="154"/>
      <c r="E66" s="94">
        <f ca="1">TblConstr[[#This Row],[Land]]</f>
        <v>110</v>
      </c>
      <c r="F66" s="94">
        <f ca="1">TblPop[[#This Row],[Peasants]]</f>
        <v>537</v>
      </c>
      <c r="G66" s="94">
        <f ca="1">TblMili[[#This Row],[Networth (2)]]</f>
        <v>2450</v>
      </c>
      <c r="H66" s="94">
        <f ca="1">OFFSET(TblProd[[#This Row],[Platinum]],-1,0)+OFFSET(TblProd[[#This Row],[Plat/hr]],-1,0) - TblProd[[#This Row],[Expenses Platinum]] + IF(TblProd[[#This Row],[Plat Bonus]],TblPop[[#This Row],[Peasants]]*4) + SUM(TblConstr[[#This Row],[Dest Hom]:[Dest Doc]])*TblConstr[[#This Row],[CPA Platinum -DB]]*tech_3_3_2*TblTech[[#This Row],[3-3]]</f>
        <v>154730</v>
      </c>
      <c r="I66" s="94">
        <f ca="1">OFFSET(TblProd[[#This Row],[Food]],-1,0)+OFFSET(TblProd[[#This Row],[Food/hr]],-1,0)+ROUNDUP((TblConstr[[#This Row],[Farms]]*80+TblConstr[[#This Row],[Docks]]*35)*(1+OFFSET(TblProd[[#This Row],[Bonus Food/hr]],-1,0)),0)</f>
        <v>116243</v>
      </c>
      <c r="J66" s="94">
        <f ca="1">OFFSET(TblProd[[#This Row],[Lumber]],-1,0)+OFFSET(TblProd[[#This Row],[Lumber/hr]],-1,0) - TblProd[[#This Row],[Expenses Lumber]] + SUM(TblConstr[[#This Row],[Dest Hom]:[Dest Doc]])*TblConstr[[#This Row],[CPA Lumber -DB]]*tech_3_3_2*TblTech[[#This Row],[3-3]]</f>
        <v>54415</v>
      </c>
      <c r="K66" s="94">
        <f ca="1">OFFSET(TblProd[[#This Row],[Mana]],-1,0)+OFFSET(TblProd[[#This Row],[Mana/hr]],-1,0)- TblProd[[#This Row],[Expenses Mana]]</f>
        <v>0</v>
      </c>
      <c r="L66" s="94">
        <f ca="1">OFFSET(TblProd[[#This Row],[Ore]],-1,0)+OFFSET(TblProd[[#This Row],[Ore/hr]],-1,0) -TblProd[[#This Row],[Expenses Ore]]</f>
        <v>0</v>
      </c>
      <c r="M66" s="94">
        <f ca="1">OFFSET(TblProd[[#This Row],[Gems]],-1,0)+OFFSET(TblProd[[#This Row],[Gems/hr]],-1,0) - TblProd[[#This Row],[Expenses Gems]]</f>
        <v>0</v>
      </c>
      <c r="N66" s="94">
        <f ca="1">OFFSET(TblProd[[#This Row],[Boats]],-1,0)+OFFSET(TblProd[[#This Row],[Boats/hr]],-1,0)</f>
        <v>0</v>
      </c>
      <c r="O66" s="94">
        <f ca="1">OFFSET(TblProd[[#This Row],[Prestige]],-1,0)</f>
        <v>250</v>
      </c>
      <c r="P6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6" s="94">
        <f ca="1">MAX(_xlfn.CEILING.MATH(TblProd[[#This Row],[Land]]*2.5+IFERROR(OFFSET(TblTech[[#This Row],[Sum of tech]],-1,0)*50,0)),3750)</f>
        <v>3750</v>
      </c>
      <c r="R66" s="142"/>
      <c r="S66" s="94">
        <f ca="1">ROUNDDOWN(TblProd[[#This Row],[Raw Plat/hr]]*(1+TblProd[[#This Row],[Bonus Plat/hr]]),0)</f>
        <v>1449</v>
      </c>
      <c r="T66" s="94">
        <f ca="1">ROUND(TblProd[[#This Row],[Raw Food/hr]]*(1+TblProd[[#This Row],[Bonus Food/hr]])-TblProd[[#This Row],[Food decay]]-TblProd[[#This Row],[Food eaten]],0)</f>
        <v>1149</v>
      </c>
      <c r="U66" s="94">
        <f ca="1">ROUND(TblProd[[#This Row],[Raw Lumber/hr]]*(1+TblProd[[#This Row],[Bonus Lumber/hr]])-TblProd[[#This Row],[Lumber rot]],0)</f>
        <v>456</v>
      </c>
      <c r="V66" s="94">
        <f ca="1">ROUND(TblProd[[#This Row],[Raw Mana/hr]]*(1+TblProd[[#This Row],[Bonus Mana/hr]])-TblProd[[#This Row],[Mana drain]],0)</f>
        <v>0</v>
      </c>
      <c r="W66" s="94">
        <f ca="1">ROUNDDOWN(TblProd[[#This Row],[Raw Ore/hr]]*(1+TblProd[[#This Row],[Bonux Ore/hr]]),0)</f>
        <v>0</v>
      </c>
      <c r="X66" s="94">
        <f ca="1">ROUNDDOWN(TblProd[[#This Row],[Raw Gems/hr]]*(1+TblProd[[#This Row],[Bonus Gems/hr]]),0)</f>
        <v>0</v>
      </c>
      <c r="Y66" s="155">
        <f ca="1">OFFSET(TblConstr[[#This Row],[Tot Doc]],1,0)*dock_boats_hr * (1 + tech_4_1*TblTech[[#This Row],[4-1]])</f>
        <v>0</v>
      </c>
      <c r="Z66" s="154"/>
      <c r="AA66" s="94">
        <f ca="1">TblPop[[#This Row],[Peasants]]*tax*TblPop[[#This Row],[Employment]] + (Construction!AZ67+Construction!BX67)*(alch_plat+(Magic!AN66&gt;0)*alchemist_flame_bonus)</f>
        <v>1449.9</v>
      </c>
      <c r="AB66" s="94">
        <f ca="1">TblConstr[[#This Row],[Tot Farm]]*farm_food + TblConstr[[#This Row],[Tot Doc]]*dock_food</f>
        <v>2400</v>
      </c>
      <c r="AC66" s="94">
        <f ca="1">TblConstr[[#This Row],[Tot Ly]]*ly_lumber + TblConstr[[#This Row],[Tot Hav]]*fh_lumber + IF(race="Wood Elf",TblMili[[#This Row],[Unit 2]]*MIN(TblMili[[#This Row],[Homeland%]]/wisp_bonus,wisp_cap),0)</f>
        <v>1000</v>
      </c>
      <c r="AD66" s="94">
        <f ca="1">OFFSET(TblConstr[[#This Row],[Tot Tow]],1,0)*(tower_mana + tech_4_5*TblTech[[#This Row],[4-5]]) + OFFSET(TblConstr[[#This Row],[Tot WG]],1,0)*wg_mana_prod</f>
        <v>0</v>
      </c>
      <c r="AE66" s="94">
        <f ca="1">OFFSET(TblConstr[[#This Row],[Tot OM]],1,0)*om_ore+IF(race="Dwarf",TblMili[[#This Row],[Unit 2]]*0.5,0)</f>
        <v>0</v>
      </c>
      <c r="AF66" s="94">
        <f ca="1">OFFSET(TblConstr[[#This Row],[Tot DM]],1,0)*dm_gems</f>
        <v>0</v>
      </c>
      <c r="AG66" s="142"/>
      <c r="AH66" s="156">
        <f ca="1">MIN(race_platinum_bonus + IF(TblMagic[[#This Row],[Active Alch Frost]]&gt;0,alch_frost_bonus,IF(Magic!AE66&gt;0,midas_bonus)) + TblImps[[#This Row],[Science]] - TblProd[[#This Row],[Guard]]*(0.02 + tech_5_7*TblTech[[#This Row],[5-7]]) + tech_1_5*TblTech[[#This Row],[1-5]] + tech_4_4*TblTech[[#This Row],[4-4]] + IF(TblMagic[[#This Row],[Active Infernal Command]]&gt;0,demonic_pact_plat,0), 0.5)</f>
        <v>0</v>
      </c>
      <c r="AI6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6" s="156">
        <f ca="1">race_lumber_bonus+ IF(TblMagic[[#This Row],[Active Gaia''s Blessing]]&gt;0,gaias_blessing_lumber)+ tech_1_3*TblTech[[#This Row],[1-3]] + tech_1_6*TblTech[[#This Row],[1-6]] + tech_3_3*TblTech[[#This Row],[3-3]]</f>
        <v>0</v>
      </c>
      <c r="AK66" s="156">
        <f ca="1">race_mana_bonus+ 0 + TblImps[[#This Row],[Spires]] + tech_1_2*TblTech[[#This Row],[1-2]] + tech_3_4*TblTech[[#This Row],[3-4]]</f>
        <v>0</v>
      </c>
      <c r="AL66" s="156">
        <f ca="1">race_ore_bonus + IF(TblMagic[[#This Row],[Active Miner''s Sight]]&gt;0,miners_sight_bonus,IF(TblMagic[[#This Row],[Active Mining Strength]]&gt;0,mining_strength_bonus)) +  tech_1_6*TblTech[[#This Row],[1-6]]</f>
        <v>0</v>
      </c>
      <c r="AM66" s="156">
        <f>race_gem_bonus+ tech_3_2*TblTech[[#This Row],[3-2]] + tech_4_3*TblTech[[#This Row],[4-3]] + tech_6_2*TblTech[[#This Row],[6-2]]</f>
        <v>0</v>
      </c>
      <c r="AN66" s="142"/>
      <c r="AO66" s="94">
        <f ca="1">TblProd[[#This Row],[Food]]*food_decay * (1 + tech_2_1*TblTech[[#This Row],[2-1]] + tech_2_8*TblTech[[#This Row],[2-8]] + IF(AND(TblMagic[[#This Row],[Active DnD]]&lt;12,TblMagic[[#This Row],[Active DnD]]&gt;5),1,0))</f>
        <v>1162.43</v>
      </c>
      <c r="AP66" s="94">
        <f ca="1">(1+race_food_consumption)*TblPop[[#This Row],[Total]]*food_per_person*(1+tech_1_10*TblTech[[#This Row],[1-10]]+tech_7_5*TblTech[[#This Row],[7-5]] + IF(TblMagic[[#This Row],[Active Infernal Command]]&gt;0,demonic_pact_food_cons,0))</f>
        <v>269</v>
      </c>
      <c r="AQ66" s="94">
        <f ca="1">TblProd[[#This Row],[Lumber]]*lumber_rot * (1 + tech_2_1*TblTech[[#This Row],[2-1]] + tech_2_8*TblTech[[#This Row],[2-8]] + tech_5_2*TblTech[[#This Row],[5-2]] + IF(AND(TblMagic[[#This Row],[Active DnD]]&lt;12,TblMagic[[#This Row],[Active DnD]]&gt;5),1,0))</f>
        <v>544.15</v>
      </c>
      <c r="AR66" s="94">
        <f ca="1">TblProd[[#This Row],[Mana]]*mana_drain * (1 + tech_2_1*TblTech[[#This Row],[2-1]] + tech_2_8*TblTech[[#This Row],[2-8]])</f>
        <v>0</v>
      </c>
      <c r="AS66" s="154"/>
      <c r="AT66" s="94">
        <f ca="1">TblExplore[[#This Row],[Platinum (2)]]+TblConstr[[#This Row],[Total Plat Cost]]+TblMili[[#This Row],[Plat Cost]]+TblRezone[[#This Row],[Platinum cost]]+TblImps[[#This Row],[P1]]-TblProd[[#This Row],[Bank Plat]]</f>
        <v>0</v>
      </c>
      <c r="AU66" s="94">
        <f ca="1">TblConstr[[#This Row],[Total Lum Cost]]+TblImps[[#This Row],[L1]]-TblProd[[#This Row],[Bank Lumber]] + Military!$CO$25*TblMili[[#This Row],[Sec. rec. Cost]]</f>
        <v>0</v>
      </c>
      <c r="AV66" s="94">
        <f ca="1">TblMagic[[#This Row],[Mana cost]] + Military!$CO$26*TblMili[[#This Row],[Sec. rec. Cost]]</f>
        <v>0</v>
      </c>
      <c r="AW66" s="94">
        <f ca="1">Military!$CO$24*TblMili[[#This Row],[Sec. rec. Cost]]+TblImps[[#This Row],[O1]]-TblProd[[#This Row],[Bank Ore]]</f>
        <v>0</v>
      </c>
      <c r="AX66" s="94">
        <f>TblImps[[#This Row],[G1]]-TblProd[[#This Row],[Bank Gems]]</f>
        <v>0</v>
      </c>
      <c r="AY66" s="142"/>
      <c r="AZ66" s="61" t="b">
        <f ca="1">IF(TblProd[[#This Row],[Set Guard]]&lt;&gt;"",TblProd[[#This Row],[Set Guard]],OFFSET(TblProd[[#This Row],[Guard]],-1,0))</f>
        <v>0</v>
      </c>
      <c r="BA66" s="153"/>
      <c r="BB66" s="45">
        <f>TblProd[[#This Row],[Hour]]</f>
        <v>27</v>
      </c>
      <c r="BC66" s="158">
        <f>-TblProd[[#This Row],[Bank Lumber]] / 2 + -TblProd[[#This Row],[Bank Gems]] * 2 + -TblProd[[#This Row],[Bank Ore]] / 2</f>
        <v>0</v>
      </c>
      <c r="BD66" s="158"/>
      <c r="BE66" s="158"/>
      <c r="BF66" s="158"/>
      <c r="BG66" s="159">
        <f ca="1">TblProd[[#This Row],[Time]]</f>
        <v>46049.583333333183</v>
      </c>
      <c r="BH66" s="45" t="str">
        <f>IF(AND(TblProd[[#This Row],[Bank Plat]]=0,TblProd[[#This Row],[Bank Lumber]]=0,TblProd[[#This Row],[Bank Ore]]=0,TblProd[[#This Row],[Bank Gems]]=0),"",IF(TblProd[[#This Row],[Bank Plat]]&gt;0,IF((TblProd[[#This Row],[Bank Lumber]]+TblProd[[#This Row],[Bank Ore]])/2+TblProd[[#This Row],[Bank Gems]]*2+ROUNDUP(TblProd[[#This Row],[Bank Plat]]/(1 + tech_2_2*Techs!Y66),0)=0,"Ok","Nope"),IF(TblProd[[#This Row],[Bank Lumber]]&gt;0,IF((TblProd[[#This Row],[Bank Plat]]+TblProd[[#This Row],[Bank Ore]])/2+TblProd[[#This Row],[Bank Gems]]*2+ROUNDUP(TblProd[[#This Row],[Bank Lumber]]/(1 + tech_2_2*Techs!Y66),0)=0,"Ok","Nope"),IF(TblProd[[#This Row],[Bank Ore]]&gt;0,IF((TblProd[[#This Row],[Bank Plat]]+TblProd[[#This Row],[Bank Lumber]])/2+TblProd[[#This Row],[Bank Gems]]*2+ROUNDUP(TblProd[[#This Row],[Bank Ore]]/(1 + tech_2_2*Techs!Y66),0)=0,"Ok","Nope")))))</f>
        <v/>
      </c>
      <c r="BI66" s="94">
        <f ca="1">TblProd[[#This Row],[Platinum]]</f>
        <v>154730</v>
      </c>
      <c r="BJ66" s="94">
        <f ca="1">TblProd[[#This Row],[Food]]</f>
        <v>116243</v>
      </c>
      <c r="BK66" s="94">
        <f ca="1">TblProd[[#This Row],[Lumber]]</f>
        <v>54415</v>
      </c>
      <c r="BL66" s="94">
        <f ca="1">TblProd[[#This Row],[Mana]]</f>
        <v>0</v>
      </c>
      <c r="BM66" s="94">
        <f ca="1">TblProd[[#This Row],[Ore]]</f>
        <v>0</v>
      </c>
    </row>
    <row r="67" spans="1:65" x14ac:dyDescent="0.2">
      <c r="A67" s="137">
        <f t="shared" si="0"/>
        <v>28</v>
      </c>
      <c r="B67" s="152">
        <f ca="1">TblImps[[#This Row],[Time]]</f>
        <v>46049.624999999847</v>
      </c>
      <c r="C67" s="153"/>
      <c r="D67" s="154"/>
      <c r="E67" s="94">
        <f ca="1">TblConstr[[#This Row],[Land]]</f>
        <v>110</v>
      </c>
      <c r="F67" s="94">
        <f ca="1">TblPop[[#This Row],[Peasants]]</f>
        <v>532</v>
      </c>
      <c r="G67" s="94">
        <f ca="1">TblMili[[#This Row],[Networth (2)]]</f>
        <v>2450</v>
      </c>
      <c r="H67" s="94">
        <f ca="1">OFFSET(TblProd[[#This Row],[Platinum]],-1,0)+OFFSET(TblProd[[#This Row],[Plat/hr]],-1,0) - TblProd[[#This Row],[Expenses Platinum]] + IF(TblProd[[#This Row],[Plat Bonus]],TblPop[[#This Row],[Peasants]]*4) + SUM(TblConstr[[#This Row],[Dest Hom]:[Dest Doc]])*TblConstr[[#This Row],[CPA Platinum -DB]]*tech_3_3_2*TblTech[[#This Row],[3-3]]</f>
        <v>156179</v>
      </c>
      <c r="I67" s="94">
        <f ca="1">OFFSET(TblProd[[#This Row],[Food]],-1,0)+OFFSET(TblProd[[#This Row],[Food/hr]],-1,0)+ROUNDUP((TblConstr[[#This Row],[Farms]]*80+TblConstr[[#This Row],[Docks]]*35)*(1+OFFSET(TblProd[[#This Row],[Bonus Food/hr]],-1,0)),0)</f>
        <v>117392</v>
      </c>
      <c r="J67" s="94">
        <f ca="1">OFFSET(TblProd[[#This Row],[Lumber]],-1,0)+OFFSET(TblProd[[#This Row],[Lumber/hr]],-1,0) - TblProd[[#This Row],[Expenses Lumber]] + SUM(TblConstr[[#This Row],[Dest Hom]:[Dest Doc]])*TblConstr[[#This Row],[CPA Lumber -DB]]*tech_3_3_2*TblTech[[#This Row],[3-3]]</f>
        <v>54871</v>
      </c>
      <c r="K67" s="94">
        <f ca="1">OFFSET(TblProd[[#This Row],[Mana]],-1,0)+OFFSET(TblProd[[#This Row],[Mana/hr]],-1,0)- TblProd[[#This Row],[Expenses Mana]]</f>
        <v>0</v>
      </c>
      <c r="L67" s="94">
        <f ca="1">OFFSET(TblProd[[#This Row],[Ore]],-1,0)+OFFSET(TblProd[[#This Row],[Ore/hr]],-1,0) -TblProd[[#This Row],[Expenses Ore]]</f>
        <v>0</v>
      </c>
      <c r="M67" s="94">
        <f ca="1">OFFSET(TblProd[[#This Row],[Gems]],-1,0)+OFFSET(TblProd[[#This Row],[Gems/hr]],-1,0) - TblProd[[#This Row],[Expenses Gems]]</f>
        <v>0</v>
      </c>
      <c r="N67" s="94">
        <f ca="1">OFFSET(TblProd[[#This Row],[Boats]],-1,0)+OFFSET(TblProd[[#This Row],[Boats/hr]],-1,0)</f>
        <v>0</v>
      </c>
      <c r="O67" s="94">
        <f ca="1">OFFSET(TblProd[[#This Row],[Prestige]],-1,0)</f>
        <v>250</v>
      </c>
      <c r="P6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7" s="94">
        <f ca="1">MAX(_xlfn.CEILING.MATH(TblProd[[#This Row],[Land]]*2.5+IFERROR(OFFSET(TblTech[[#This Row],[Sum of tech]],-1,0)*50,0)),3750)</f>
        <v>3750</v>
      </c>
      <c r="R67" s="142"/>
      <c r="S67" s="94">
        <f ca="1">ROUNDDOWN(TblProd[[#This Row],[Raw Plat/hr]]*(1+TblProd[[#This Row],[Bonus Plat/hr]]),0)</f>
        <v>1436</v>
      </c>
      <c r="T67" s="94">
        <f ca="1">ROUND(TblProd[[#This Row],[Raw Food/hr]]*(1+TblProd[[#This Row],[Bonus Food/hr]])-TblProd[[#This Row],[Food decay]]-TblProd[[#This Row],[Food eaten]],0)</f>
        <v>1137</v>
      </c>
      <c r="U67" s="94">
        <f ca="1">ROUND(TblProd[[#This Row],[Raw Lumber/hr]]*(1+TblProd[[#This Row],[Bonus Lumber/hr]])-TblProd[[#This Row],[Lumber rot]],0)</f>
        <v>451</v>
      </c>
      <c r="V67" s="94">
        <f ca="1">ROUND(TblProd[[#This Row],[Raw Mana/hr]]*(1+TblProd[[#This Row],[Bonus Mana/hr]])-TblProd[[#This Row],[Mana drain]],0)</f>
        <v>0</v>
      </c>
      <c r="W67" s="94">
        <f ca="1">ROUNDDOWN(TblProd[[#This Row],[Raw Ore/hr]]*(1+TblProd[[#This Row],[Bonux Ore/hr]]),0)</f>
        <v>0</v>
      </c>
      <c r="X67" s="94">
        <f ca="1">ROUNDDOWN(TblProd[[#This Row],[Raw Gems/hr]]*(1+TblProd[[#This Row],[Bonus Gems/hr]]),0)</f>
        <v>0</v>
      </c>
      <c r="Y67" s="155">
        <f ca="1">OFFSET(TblConstr[[#This Row],[Tot Doc]],1,0)*dock_boats_hr * (1 + tech_4_1*TblTech[[#This Row],[4-1]])</f>
        <v>0</v>
      </c>
      <c r="Z67" s="154"/>
      <c r="AA67" s="94">
        <f ca="1">TblPop[[#This Row],[Peasants]]*tax*TblPop[[#This Row],[Employment]] + (Construction!AZ68+Construction!BX68)*(alch_plat+(Magic!AN67&gt;0)*alchemist_flame_bonus)</f>
        <v>1436.4</v>
      </c>
      <c r="AB67" s="94">
        <f ca="1">TblConstr[[#This Row],[Tot Farm]]*farm_food + TblConstr[[#This Row],[Tot Doc]]*dock_food</f>
        <v>2400</v>
      </c>
      <c r="AC67" s="94">
        <f ca="1">TblConstr[[#This Row],[Tot Ly]]*ly_lumber + TblConstr[[#This Row],[Tot Hav]]*fh_lumber + IF(race="Wood Elf",TblMili[[#This Row],[Unit 2]]*MIN(TblMili[[#This Row],[Homeland%]]/wisp_bonus,wisp_cap),0)</f>
        <v>1000</v>
      </c>
      <c r="AD67" s="94">
        <f ca="1">OFFSET(TblConstr[[#This Row],[Tot Tow]],1,0)*(tower_mana + tech_4_5*TblTech[[#This Row],[4-5]]) + OFFSET(TblConstr[[#This Row],[Tot WG]],1,0)*wg_mana_prod</f>
        <v>0</v>
      </c>
      <c r="AE67" s="94">
        <f ca="1">OFFSET(TblConstr[[#This Row],[Tot OM]],1,0)*om_ore+IF(race="Dwarf",TblMili[[#This Row],[Unit 2]]*0.5,0)</f>
        <v>0</v>
      </c>
      <c r="AF67" s="94">
        <f ca="1">OFFSET(TblConstr[[#This Row],[Tot DM]],1,0)*dm_gems</f>
        <v>0</v>
      </c>
      <c r="AG67" s="142"/>
      <c r="AH67" s="156">
        <f ca="1">MIN(race_platinum_bonus + IF(TblMagic[[#This Row],[Active Alch Frost]]&gt;0,alch_frost_bonus,IF(Magic!AE67&gt;0,midas_bonus)) + TblImps[[#This Row],[Science]] - TblProd[[#This Row],[Guard]]*(0.02 + tech_5_7*TblTech[[#This Row],[5-7]]) + tech_1_5*TblTech[[#This Row],[1-5]] + tech_4_4*TblTech[[#This Row],[4-4]] + IF(TblMagic[[#This Row],[Active Infernal Command]]&gt;0,demonic_pact_plat,0), 0.5)</f>
        <v>0</v>
      </c>
      <c r="AI6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7" s="156">
        <f ca="1">race_lumber_bonus+ IF(TblMagic[[#This Row],[Active Gaia''s Blessing]]&gt;0,gaias_blessing_lumber)+ tech_1_3*TblTech[[#This Row],[1-3]] + tech_1_6*TblTech[[#This Row],[1-6]] + tech_3_3*TblTech[[#This Row],[3-3]]</f>
        <v>0</v>
      </c>
      <c r="AK67" s="156">
        <f ca="1">race_mana_bonus+ 0 + TblImps[[#This Row],[Spires]] + tech_1_2*TblTech[[#This Row],[1-2]] + tech_3_4*TblTech[[#This Row],[3-4]]</f>
        <v>0</v>
      </c>
      <c r="AL67" s="156">
        <f ca="1">race_ore_bonus + IF(TblMagic[[#This Row],[Active Miner''s Sight]]&gt;0,miners_sight_bonus,IF(TblMagic[[#This Row],[Active Mining Strength]]&gt;0,mining_strength_bonus)) +  tech_1_6*TblTech[[#This Row],[1-6]]</f>
        <v>0</v>
      </c>
      <c r="AM67" s="156">
        <f>race_gem_bonus+ tech_3_2*TblTech[[#This Row],[3-2]] + tech_4_3*TblTech[[#This Row],[4-3]] + tech_6_2*TblTech[[#This Row],[6-2]]</f>
        <v>0</v>
      </c>
      <c r="AN67" s="142"/>
      <c r="AO67" s="94">
        <f ca="1">TblProd[[#This Row],[Food]]*food_decay * (1 + tech_2_1*TblTech[[#This Row],[2-1]] + tech_2_8*TblTech[[#This Row],[2-8]] + IF(AND(TblMagic[[#This Row],[Active DnD]]&lt;12,TblMagic[[#This Row],[Active DnD]]&gt;5),1,0))</f>
        <v>1173.92</v>
      </c>
      <c r="AP67" s="94">
        <f ca="1">(1+race_food_consumption)*TblPop[[#This Row],[Total]]*food_per_person*(1+tech_1_10*TblTech[[#This Row],[1-10]]+tech_7_5*TblTech[[#This Row],[7-5]] + IF(TblMagic[[#This Row],[Active Infernal Command]]&gt;0,demonic_pact_food_cons,0))</f>
        <v>269</v>
      </c>
      <c r="AQ67" s="94">
        <f ca="1">TblProd[[#This Row],[Lumber]]*lumber_rot * (1 + tech_2_1*TblTech[[#This Row],[2-1]] + tech_2_8*TblTech[[#This Row],[2-8]] + tech_5_2*TblTech[[#This Row],[5-2]] + IF(AND(TblMagic[[#This Row],[Active DnD]]&lt;12,TblMagic[[#This Row],[Active DnD]]&gt;5),1,0))</f>
        <v>548.71</v>
      </c>
      <c r="AR67" s="94">
        <f ca="1">TblProd[[#This Row],[Mana]]*mana_drain * (1 + tech_2_1*TblTech[[#This Row],[2-1]] + tech_2_8*TblTech[[#This Row],[2-8]])</f>
        <v>0</v>
      </c>
      <c r="AS67" s="154"/>
      <c r="AT67" s="94">
        <f ca="1">TblExplore[[#This Row],[Platinum (2)]]+TblConstr[[#This Row],[Total Plat Cost]]+TblMili[[#This Row],[Plat Cost]]+TblRezone[[#This Row],[Platinum cost]]+TblImps[[#This Row],[P1]]-TblProd[[#This Row],[Bank Plat]]</f>
        <v>0</v>
      </c>
      <c r="AU67" s="94">
        <f ca="1">TblConstr[[#This Row],[Total Lum Cost]]+TblImps[[#This Row],[L1]]-TblProd[[#This Row],[Bank Lumber]] + Military!$CO$25*TblMili[[#This Row],[Sec. rec. Cost]]</f>
        <v>0</v>
      </c>
      <c r="AV67" s="94">
        <f ca="1">TblMagic[[#This Row],[Mana cost]] + Military!$CO$26*TblMili[[#This Row],[Sec. rec. Cost]]</f>
        <v>0</v>
      </c>
      <c r="AW67" s="94">
        <f ca="1">Military!$CO$24*TblMili[[#This Row],[Sec. rec. Cost]]+TblImps[[#This Row],[O1]]-TblProd[[#This Row],[Bank Ore]]</f>
        <v>0</v>
      </c>
      <c r="AX67" s="94">
        <f>TblImps[[#This Row],[G1]]-TblProd[[#This Row],[Bank Gems]]</f>
        <v>0</v>
      </c>
      <c r="AY67" s="142"/>
      <c r="AZ67" s="61" t="b">
        <f ca="1">IF(TblProd[[#This Row],[Set Guard]]&lt;&gt;"",TblProd[[#This Row],[Set Guard]],OFFSET(TblProd[[#This Row],[Guard]],-1,0))</f>
        <v>0</v>
      </c>
      <c r="BA67" s="153"/>
      <c r="BB67" s="45">
        <f>TblProd[[#This Row],[Hour]]</f>
        <v>28</v>
      </c>
      <c r="BC67" s="158">
        <f>-TblProd[[#This Row],[Bank Lumber]] / 2 + -TblProd[[#This Row],[Bank Gems]] * 2 + -TblProd[[#This Row],[Bank Ore]] / 2</f>
        <v>0</v>
      </c>
      <c r="BD67" s="158"/>
      <c r="BE67" s="158"/>
      <c r="BF67" s="158"/>
      <c r="BG67" s="159">
        <f ca="1">TblProd[[#This Row],[Time]]</f>
        <v>46049.624999999847</v>
      </c>
      <c r="BH67" s="45" t="str">
        <f>IF(AND(TblProd[[#This Row],[Bank Plat]]=0,TblProd[[#This Row],[Bank Lumber]]=0,TblProd[[#This Row],[Bank Ore]]=0,TblProd[[#This Row],[Bank Gems]]=0),"",IF(TblProd[[#This Row],[Bank Plat]]&gt;0,IF((TblProd[[#This Row],[Bank Lumber]]+TblProd[[#This Row],[Bank Ore]])/2+TblProd[[#This Row],[Bank Gems]]*2+ROUNDUP(TblProd[[#This Row],[Bank Plat]]/(1 + tech_2_2*Techs!Y67),0)=0,"Ok","Nope"),IF(TblProd[[#This Row],[Bank Lumber]]&gt;0,IF((TblProd[[#This Row],[Bank Plat]]+TblProd[[#This Row],[Bank Ore]])/2+TblProd[[#This Row],[Bank Gems]]*2+ROUNDUP(TblProd[[#This Row],[Bank Lumber]]/(1 + tech_2_2*Techs!Y67),0)=0,"Ok","Nope"),IF(TblProd[[#This Row],[Bank Ore]]&gt;0,IF((TblProd[[#This Row],[Bank Plat]]+TblProd[[#This Row],[Bank Lumber]])/2+TblProd[[#This Row],[Bank Gems]]*2+ROUNDUP(TblProd[[#This Row],[Bank Ore]]/(1 + tech_2_2*Techs!Y67),0)=0,"Ok","Nope")))))</f>
        <v/>
      </c>
      <c r="BI67" s="94">
        <f ca="1">TblProd[[#This Row],[Platinum]]</f>
        <v>156179</v>
      </c>
      <c r="BJ67" s="94">
        <f ca="1">TblProd[[#This Row],[Food]]</f>
        <v>117392</v>
      </c>
      <c r="BK67" s="94">
        <f ca="1">TblProd[[#This Row],[Lumber]]</f>
        <v>54871</v>
      </c>
      <c r="BL67" s="94">
        <f ca="1">TblProd[[#This Row],[Mana]]</f>
        <v>0</v>
      </c>
      <c r="BM67" s="94">
        <f ca="1">TblProd[[#This Row],[Ore]]</f>
        <v>0</v>
      </c>
    </row>
    <row r="68" spans="1:65" x14ac:dyDescent="0.2">
      <c r="A68" s="137">
        <f t="shared" si="0"/>
        <v>29</v>
      </c>
      <c r="B68" s="152">
        <f ca="1">TblImps[[#This Row],[Time]]</f>
        <v>46049.666666666511</v>
      </c>
      <c r="C68" s="153"/>
      <c r="D68" s="154"/>
      <c r="E68" s="94">
        <f ca="1">TblConstr[[#This Row],[Land]]</f>
        <v>110</v>
      </c>
      <c r="F68" s="94">
        <f ca="1">TblPop[[#This Row],[Peasants]]</f>
        <v>527</v>
      </c>
      <c r="G68" s="94">
        <f ca="1">TblMili[[#This Row],[Networth (2)]]</f>
        <v>2450</v>
      </c>
      <c r="H68" s="94">
        <f ca="1">OFFSET(TblProd[[#This Row],[Platinum]],-1,0)+OFFSET(TblProd[[#This Row],[Plat/hr]],-1,0) - TblProd[[#This Row],[Expenses Platinum]] + IF(TblProd[[#This Row],[Plat Bonus]],TblPop[[#This Row],[Peasants]]*4) + SUM(TblConstr[[#This Row],[Dest Hom]:[Dest Doc]])*TblConstr[[#This Row],[CPA Platinum -DB]]*tech_3_3_2*TblTech[[#This Row],[3-3]]</f>
        <v>157615</v>
      </c>
      <c r="I68" s="94">
        <f ca="1">OFFSET(TblProd[[#This Row],[Food]],-1,0)+OFFSET(TblProd[[#This Row],[Food/hr]],-1,0)+ROUNDUP((TblConstr[[#This Row],[Farms]]*80+TblConstr[[#This Row],[Docks]]*35)*(1+OFFSET(TblProd[[#This Row],[Bonus Food/hr]],-1,0)),0)</f>
        <v>118529</v>
      </c>
      <c r="J68" s="94">
        <f ca="1">OFFSET(TblProd[[#This Row],[Lumber]],-1,0)+OFFSET(TblProd[[#This Row],[Lumber/hr]],-1,0) - TblProd[[#This Row],[Expenses Lumber]] + SUM(TblConstr[[#This Row],[Dest Hom]:[Dest Doc]])*TblConstr[[#This Row],[CPA Lumber -DB]]*tech_3_3_2*TblTech[[#This Row],[3-3]]</f>
        <v>55322</v>
      </c>
      <c r="K68" s="94">
        <f ca="1">OFFSET(TblProd[[#This Row],[Mana]],-1,0)+OFFSET(TblProd[[#This Row],[Mana/hr]],-1,0)- TblProd[[#This Row],[Expenses Mana]]</f>
        <v>0</v>
      </c>
      <c r="L68" s="94">
        <f ca="1">OFFSET(TblProd[[#This Row],[Ore]],-1,0)+OFFSET(TblProd[[#This Row],[Ore/hr]],-1,0) -TblProd[[#This Row],[Expenses Ore]]</f>
        <v>0</v>
      </c>
      <c r="M68" s="94">
        <f ca="1">OFFSET(TblProd[[#This Row],[Gems]],-1,0)+OFFSET(TblProd[[#This Row],[Gems/hr]],-1,0) - TblProd[[#This Row],[Expenses Gems]]</f>
        <v>0</v>
      </c>
      <c r="N68" s="94">
        <f ca="1">OFFSET(TblProd[[#This Row],[Boats]],-1,0)+OFFSET(TblProd[[#This Row],[Boats/hr]],-1,0)</f>
        <v>0</v>
      </c>
      <c r="O68" s="94">
        <f ca="1">OFFSET(TblProd[[#This Row],[Prestige]],-1,0)</f>
        <v>250</v>
      </c>
      <c r="P6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8" s="94">
        <f ca="1">MAX(_xlfn.CEILING.MATH(TblProd[[#This Row],[Land]]*2.5+IFERROR(OFFSET(TblTech[[#This Row],[Sum of tech]],-1,0)*50,0)),3750)</f>
        <v>3750</v>
      </c>
      <c r="R68" s="142"/>
      <c r="S68" s="94">
        <f ca="1">ROUNDDOWN(TblProd[[#This Row],[Raw Plat/hr]]*(1+TblProd[[#This Row],[Bonus Plat/hr]]),0)</f>
        <v>1422</v>
      </c>
      <c r="T68" s="94">
        <f ca="1">ROUND(TblProd[[#This Row],[Raw Food/hr]]*(1+TblProd[[#This Row],[Bonus Food/hr]])-TblProd[[#This Row],[Food decay]]-TblProd[[#This Row],[Food eaten]],0)</f>
        <v>1126</v>
      </c>
      <c r="U68" s="94">
        <f ca="1">ROUND(TblProd[[#This Row],[Raw Lumber/hr]]*(1+TblProd[[#This Row],[Bonus Lumber/hr]])-TblProd[[#This Row],[Lumber rot]],0)</f>
        <v>447</v>
      </c>
      <c r="V68" s="94">
        <f ca="1">ROUND(TblProd[[#This Row],[Raw Mana/hr]]*(1+TblProd[[#This Row],[Bonus Mana/hr]])-TblProd[[#This Row],[Mana drain]],0)</f>
        <v>0</v>
      </c>
      <c r="W68" s="94">
        <f ca="1">ROUNDDOWN(TblProd[[#This Row],[Raw Ore/hr]]*(1+TblProd[[#This Row],[Bonux Ore/hr]]),0)</f>
        <v>0</v>
      </c>
      <c r="X68" s="94">
        <f ca="1">ROUNDDOWN(TblProd[[#This Row],[Raw Gems/hr]]*(1+TblProd[[#This Row],[Bonus Gems/hr]]),0)</f>
        <v>0</v>
      </c>
      <c r="Y68" s="155">
        <f ca="1">OFFSET(TblConstr[[#This Row],[Tot Doc]],1,0)*dock_boats_hr * (1 + tech_4_1*TblTech[[#This Row],[4-1]])</f>
        <v>0</v>
      </c>
      <c r="Z68" s="154"/>
      <c r="AA68" s="94">
        <f ca="1">TblPop[[#This Row],[Peasants]]*tax*TblPop[[#This Row],[Employment]] + (Construction!AZ69+Construction!BX69)*(alch_plat+(Magic!AN68&gt;0)*alchemist_flame_bonus)</f>
        <v>1422.9</v>
      </c>
      <c r="AB68" s="94">
        <f ca="1">TblConstr[[#This Row],[Tot Farm]]*farm_food + TblConstr[[#This Row],[Tot Doc]]*dock_food</f>
        <v>2400</v>
      </c>
      <c r="AC68" s="94">
        <f ca="1">TblConstr[[#This Row],[Tot Ly]]*ly_lumber + TblConstr[[#This Row],[Tot Hav]]*fh_lumber + IF(race="Wood Elf",TblMili[[#This Row],[Unit 2]]*MIN(TblMili[[#This Row],[Homeland%]]/wisp_bonus,wisp_cap),0)</f>
        <v>1000</v>
      </c>
      <c r="AD68" s="94">
        <f ca="1">OFFSET(TblConstr[[#This Row],[Tot Tow]],1,0)*(tower_mana + tech_4_5*TblTech[[#This Row],[4-5]]) + OFFSET(TblConstr[[#This Row],[Tot WG]],1,0)*wg_mana_prod</f>
        <v>0</v>
      </c>
      <c r="AE68" s="94">
        <f ca="1">OFFSET(TblConstr[[#This Row],[Tot OM]],1,0)*om_ore+IF(race="Dwarf",TblMili[[#This Row],[Unit 2]]*0.5,0)</f>
        <v>0</v>
      </c>
      <c r="AF68" s="94">
        <f ca="1">OFFSET(TblConstr[[#This Row],[Tot DM]],1,0)*dm_gems</f>
        <v>0</v>
      </c>
      <c r="AG68" s="142"/>
      <c r="AH68" s="156">
        <f ca="1">MIN(race_platinum_bonus + IF(TblMagic[[#This Row],[Active Alch Frost]]&gt;0,alch_frost_bonus,IF(Magic!AE68&gt;0,midas_bonus)) + TblImps[[#This Row],[Science]] - TblProd[[#This Row],[Guard]]*(0.02 + tech_5_7*TblTech[[#This Row],[5-7]]) + tech_1_5*TblTech[[#This Row],[1-5]] + tech_4_4*TblTech[[#This Row],[4-4]] + IF(TblMagic[[#This Row],[Active Infernal Command]]&gt;0,demonic_pact_plat,0), 0.5)</f>
        <v>0</v>
      </c>
      <c r="AI6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8" s="156">
        <f ca="1">race_lumber_bonus+ IF(TblMagic[[#This Row],[Active Gaia''s Blessing]]&gt;0,gaias_blessing_lumber)+ tech_1_3*TblTech[[#This Row],[1-3]] + tech_1_6*TblTech[[#This Row],[1-6]] + tech_3_3*TblTech[[#This Row],[3-3]]</f>
        <v>0</v>
      </c>
      <c r="AK68" s="156">
        <f ca="1">race_mana_bonus+ 0 + TblImps[[#This Row],[Spires]] + tech_1_2*TblTech[[#This Row],[1-2]] + tech_3_4*TblTech[[#This Row],[3-4]]</f>
        <v>0</v>
      </c>
      <c r="AL68" s="156">
        <f ca="1">race_ore_bonus + IF(TblMagic[[#This Row],[Active Miner''s Sight]]&gt;0,miners_sight_bonus,IF(TblMagic[[#This Row],[Active Mining Strength]]&gt;0,mining_strength_bonus)) +  tech_1_6*TblTech[[#This Row],[1-6]]</f>
        <v>0</v>
      </c>
      <c r="AM68" s="156">
        <f>race_gem_bonus+ tech_3_2*TblTech[[#This Row],[3-2]] + tech_4_3*TblTech[[#This Row],[4-3]] + tech_6_2*TblTech[[#This Row],[6-2]]</f>
        <v>0</v>
      </c>
      <c r="AN68" s="142"/>
      <c r="AO68" s="94">
        <f ca="1">TblProd[[#This Row],[Food]]*food_decay * (1 + tech_2_1*TblTech[[#This Row],[2-1]] + tech_2_8*TblTech[[#This Row],[2-8]] + IF(AND(TblMagic[[#This Row],[Active DnD]]&lt;12,TblMagic[[#This Row],[Active DnD]]&gt;5),1,0))</f>
        <v>1185.29</v>
      </c>
      <c r="AP68" s="94">
        <f ca="1">(1+race_food_consumption)*TblPop[[#This Row],[Total]]*food_per_person*(1+tech_1_10*TblTech[[#This Row],[1-10]]+tech_7_5*TblTech[[#This Row],[7-5]] + IF(TblMagic[[#This Row],[Active Infernal Command]]&gt;0,demonic_pact_food_cons,0))</f>
        <v>269</v>
      </c>
      <c r="AQ68" s="94">
        <f ca="1">TblProd[[#This Row],[Lumber]]*lumber_rot * (1 + tech_2_1*TblTech[[#This Row],[2-1]] + tech_2_8*TblTech[[#This Row],[2-8]] + tech_5_2*TblTech[[#This Row],[5-2]] + IF(AND(TblMagic[[#This Row],[Active DnD]]&lt;12,TblMagic[[#This Row],[Active DnD]]&gt;5),1,0))</f>
        <v>553.22</v>
      </c>
      <c r="AR68" s="94">
        <f ca="1">TblProd[[#This Row],[Mana]]*mana_drain * (1 + tech_2_1*TblTech[[#This Row],[2-1]] + tech_2_8*TblTech[[#This Row],[2-8]])</f>
        <v>0</v>
      </c>
      <c r="AS68" s="154"/>
      <c r="AT68" s="94">
        <f ca="1">TblExplore[[#This Row],[Platinum (2)]]+TblConstr[[#This Row],[Total Plat Cost]]+TblMili[[#This Row],[Plat Cost]]+TblRezone[[#This Row],[Platinum cost]]+TblImps[[#This Row],[P1]]-TblProd[[#This Row],[Bank Plat]]</f>
        <v>0</v>
      </c>
      <c r="AU68" s="94">
        <f ca="1">TblConstr[[#This Row],[Total Lum Cost]]+TblImps[[#This Row],[L1]]-TblProd[[#This Row],[Bank Lumber]] + Military!$CO$25*TblMili[[#This Row],[Sec. rec. Cost]]</f>
        <v>0</v>
      </c>
      <c r="AV68" s="94">
        <f ca="1">TblMagic[[#This Row],[Mana cost]] + Military!$CO$26*TblMili[[#This Row],[Sec. rec. Cost]]</f>
        <v>0</v>
      </c>
      <c r="AW68" s="94">
        <f ca="1">Military!$CO$24*TblMili[[#This Row],[Sec. rec. Cost]]+TblImps[[#This Row],[O1]]-TblProd[[#This Row],[Bank Ore]]</f>
        <v>0</v>
      </c>
      <c r="AX68" s="94">
        <f>TblImps[[#This Row],[G1]]-TblProd[[#This Row],[Bank Gems]]</f>
        <v>0</v>
      </c>
      <c r="AY68" s="142"/>
      <c r="AZ68" s="61" t="b">
        <f ca="1">IF(TblProd[[#This Row],[Set Guard]]&lt;&gt;"",TblProd[[#This Row],[Set Guard]],OFFSET(TblProd[[#This Row],[Guard]],-1,0))</f>
        <v>0</v>
      </c>
      <c r="BA68" s="153"/>
      <c r="BB68" s="45">
        <f>TblProd[[#This Row],[Hour]]</f>
        <v>29</v>
      </c>
      <c r="BC68" s="158">
        <f>-TblProd[[#This Row],[Bank Lumber]] / 2 + -TblProd[[#This Row],[Bank Gems]] * 2 + -TblProd[[#This Row],[Bank Ore]] / 2</f>
        <v>0</v>
      </c>
      <c r="BD68" s="158"/>
      <c r="BE68" s="158"/>
      <c r="BF68" s="158"/>
      <c r="BG68" s="159">
        <f ca="1">TblProd[[#This Row],[Time]]</f>
        <v>46049.666666666511</v>
      </c>
      <c r="BH68" s="45" t="str">
        <f>IF(AND(TblProd[[#This Row],[Bank Plat]]=0,TblProd[[#This Row],[Bank Lumber]]=0,TblProd[[#This Row],[Bank Ore]]=0,TblProd[[#This Row],[Bank Gems]]=0),"",IF(TblProd[[#This Row],[Bank Plat]]&gt;0,IF((TblProd[[#This Row],[Bank Lumber]]+TblProd[[#This Row],[Bank Ore]])/2+TblProd[[#This Row],[Bank Gems]]*2+ROUNDUP(TblProd[[#This Row],[Bank Plat]]/(1 + tech_2_2*Techs!Y68),0)=0,"Ok","Nope"),IF(TblProd[[#This Row],[Bank Lumber]]&gt;0,IF((TblProd[[#This Row],[Bank Plat]]+TblProd[[#This Row],[Bank Ore]])/2+TblProd[[#This Row],[Bank Gems]]*2+ROUNDUP(TblProd[[#This Row],[Bank Lumber]]/(1 + tech_2_2*Techs!Y68),0)=0,"Ok","Nope"),IF(TblProd[[#This Row],[Bank Ore]]&gt;0,IF((TblProd[[#This Row],[Bank Plat]]+TblProd[[#This Row],[Bank Lumber]])/2+TblProd[[#This Row],[Bank Gems]]*2+ROUNDUP(TblProd[[#This Row],[Bank Ore]]/(1 + tech_2_2*Techs!Y68),0)=0,"Ok","Nope")))))</f>
        <v/>
      </c>
      <c r="BI68" s="94">
        <f ca="1">TblProd[[#This Row],[Platinum]]</f>
        <v>157615</v>
      </c>
      <c r="BJ68" s="94">
        <f ca="1">TblProd[[#This Row],[Food]]</f>
        <v>118529</v>
      </c>
      <c r="BK68" s="94">
        <f ca="1">TblProd[[#This Row],[Lumber]]</f>
        <v>55322</v>
      </c>
      <c r="BL68" s="94">
        <f ca="1">TblProd[[#This Row],[Mana]]</f>
        <v>0</v>
      </c>
      <c r="BM68" s="94">
        <f ca="1">TblProd[[#This Row],[Ore]]</f>
        <v>0</v>
      </c>
    </row>
    <row r="69" spans="1:65" x14ac:dyDescent="0.2">
      <c r="A69" s="137">
        <f t="shared" si="0"/>
        <v>30</v>
      </c>
      <c r="B69" s="152">
        <f ca="1">TblImps[[#This Row],[Time]]</f>
        <v>46049.708333333176</v>
      </c>
      <c r="C69" s="153"/>
      <c r="D69" s="154"/>
      <c r="E69" s="94">
        <f ca="1">TblConstr[[#This Row],[Land]]</f>
        <v>110</v>
      </c>
      <c r="F69" s="94">
        <f ca="1">TblPop[[#This Row],[Peasants]]</f>
        <v>522</v>
      </c>
      <c r="G69" s="94">
        <f ca="1">TblMili[[#This Row],[Networth (2)]]</f>
        <v>2450</v>
      </c>
      <c r="H69" s="94">
        <f ca="1">OFFSET(TblProd[[#This Row],[Platinum]],-1,0)+OFFSET(TblProd[[#This Row],[Plat/hr]],-1,0) - TblProd[[#This Row],[Expenses Platinum]] + IF(TblProd[[#This Row],[Plat Bonus]],TblPop[[#This Row],[Peasants]]*4) + SUM(TblConstr[[#This Row],[Dest Hom]:[Dest Doc]])*TblConstr[[#This Row],[CPA Platinum -DB]]*tech_3_3_2*TblTech[[#This Row],[3-3]]</f>
        <v>159037</v>
      </c>
      <c r="I69" s="94">
        <f ca="1">OFFSET(TblProd[[#This Row],[Food]],-1,0)+OFFSET(TblProd[[#This Row],[Food/hr]],-1,0)+ROUNDUP((TblConstr[[#This Row],[Farms]]*80+TblConstr[[#This Row],[Docks]]*35)*(1+OFFSET(TblProd[[#This Row],[Bonus Food/hr]],-1,0)),0)</f>
        <v>119655</v>
      </c>
      <c r="J69" s="94">
        <f ca="1">OFFSET(TblProd[[#This Row],[Lumber]],-1,0)+OFFSET(TblProd[[#This Row],[Lumber/hr]],-1,0) - TblProd[[#This Row],[Expenses Lumber]] + SUM(TblConstr[[#This Row],[Dest Hom]:[Dest Doc]])*TblConstr[[#This Row],[CPA Lumber -DB]]*tech_3_3_2*TblTech[[#This Row],[3-3]]</f>
        <v>55769</v>
      </c>
      <c r="K69" s="94">
        <f ca="1">OFFSET(TblProd[[#This Row],[Mana]],-1,0)+OFFSET(TblProd[[#This Row],[Mana/hr]],-1,0)- TblProd[[#This Row],[Expenses Mana]]</f>
        <v>0</v>
      </c>
      <c r="L69" s="94">
        <f ca="1">OFFSET(TblProd[[#This Row],[Ore]],-1,0)+OFFSET(TblProd[[#This Row],[Ore/hr]],-1,0) -TblProd[[#This Row],[Expenses Ore]]</f>
        <v>0</v>
      </c>
      <c r="M69" s="94">
        <f ca="1">OFFSET(TblProd[[#This Row],[Gems]],-1,0)+OFFSET(TblProd[[#This Row],[Gems/hr]],-1,0) - TblProd[[#This Row],[Expenses Gems]]</f>
        <v>0</v>
      </c>
      <c r="N69" s="94">
        <f ca="1">OFFSET(TblProd[[#This Row],[Boats]],-1,0)+OFFSET(TblProd[[#This Row],[Boats/hr]],-1,0)</f>
        <v>0</v>
      </c>
      <c r="O69" s="94">
        <f ca="1">OFFSET(TblProd[[#This Row],[Prestige]],-1,0)</f>
        <v>250</v>
      </c>
      <c r="P6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69" s="94">
        <f ca="1">MAX(_xlfn.CEILING.MATH(TblProd[[#This Row],[Land]]*2.5+IFERROR(OFFSET(TblTech[[#This Row],[Sum of tech]],-1,0)*50,0)),3750)</f>
        <v>3750</v>
      </c>
      <c r="R69" s="142"/>
      <c r="S69" s="94">
        <f ca="1">ROUNDDOWN(TblProd[[#This Row],[Raw Plat/hr]]*(1+TblProd[[#This Row],[Bonus Plat/hr]]),0)</f>
        <v>1409</v>
      </c>
      <c r="T69" s="94">
        <f ca="1">ROUND(TblProd[[#This Row],[Raw Food/hr]]*(1+TblProd[[#This Row],[Bonus Food/hr]])-TblProd[[#This Row],[Food decay]]-TblProd[[#This Row],[Food eaten]],0)</f>
        <v>1114</v>
      </c>
      <c r="U69" s="94">
        <f ca="1">ROUND(TblProd[[#This Row],[Raw Lumber/hr]]*(1+TblProd[[#This Row],[Bonus Lumber/hr]])-TblProd[[#This Row],[Lumber rot]],0)</f>
        <v>442</v>
      </c>
      <c r="V69" s="94">
        <f ca="1">ROUND(TblProd[[#This Row],[Raw Mana/hr]]*(1+TblProd[[#This Row],[Bonus Mana/hr]])-TblProd[[#This Row],[Mana drain]],0)</f>
        <v>0</v>
      </c>
      <c r="W69" s="94">
        <f ca="1">ROUNDDOWN(TblProd[[#This Row],[Raw Ore/hr]]*(1+TblProd[[#This Row],[Bonux Ore/hr]]),0)</f>
        <v>0</v>
      </c>
      <c r="X69" s="94">
        <f ca="1">ROUNDDOWN(TblProd[[#This Row],[Raw Gems/hr]]*(1+TblProd[[#This Row],[Bonus Gems/hr]]),0)</f>
        <v>0</v>
      </c>
      <c r="Y69" s="155">
        <f ca="1">OFFSET(TblConstr[[#This Row],[Tot Doc]],1,0)*dock_boats_hr * (1 + tech_4_1*TblTech[[#This Row],[4-1]])</f>
        <v>0</v>
      </c>
      <c r="Z69" s="154"/>
      <c r="AA69" s="94">
        <f ca="1">TblPop[[#This Row],[Peasants]]*tax*TblPop[[#This Row],[Employment]] + (Construction!AZ70+Construction!BX70)*(alch_plat+(Magic!AN69&gt;0)*alchemist_flame_bonus)</f>
        <v>1409.4</v>
      </c>
      <c r="AB69" s="94">
        <f ca="1">TblConstr[[#This Row],[Tot Farm]]*farm_food + TblConstr[[#This Row],[Tot Doc]]*dock_food</f>
        <v>2400</v>
      </c>
      <c r="AC69" s="94">
        <f ca="1">TblConstr[[#This Row],[Tot Ly]]*ly_lumber + TblConstr[[#This Row],[Tot Hav]]*fh_lumber + IF(race="Wood Elf",TblMili[[#This Row],[Unit 2]]*MIN(TblMili[[#This Row],[Homeland%]]/wisp_bonus,wisp_cap),0)</f>
        <v>1000</v>
      </c>
      <c r="AD69" s="94">
        <f ca="1">OFFSET(TblConstr[[#This Row],[Tot Tow]],1,0)*(tower_mana + tech_4_5*TblTech[[#This Row],[4-5]]) + OFFSET(TblConstr[[#This Row],[Tot WG]],1,0)*wg_mana_prod</f>
        <v>0</v>
      </c>
      <c r="AE69" s="94">
        <f ca="1">OFFSET(TblConstr[[#This Row],[Tot OM]],1,0)*om_ore+IF(race="Dwarf",TblMili[[#This Row],[Unit 2]]*0.5,0)</f>
        <v>0</v>
      </c>
      <c r="AF69" s="94">
        <f ca="1">OFFSET(TblConstr[[#This Row],[Tot DM]],1,0)*dm_gems</f>
        <v>0</v>
      </c>
      <c r="AG69" s="142"/>
      <c r="AH69" s="156">
        <f ca="1">MIN(race_platinum_bonus + IF(TblMagic[[#This Row],[Active Alch Frost]]&gt;0,alch_frost_bonus,IF(Magic!AE69&gt;0,midas_bonus)) + TblImps[[#This Row],[Science]] - TblProd[[#This Row],[Guard]]*(0.02 + tech_5_7*TblTech[[#This Row],[5-7]]) + tech_1_5*TblTech[[#This Row],[1-5]] + tech_4_4*TblTech[[#This Row],[4-4]] + IF(TblMagic[[#This Row],[Active Infernal Command]]&gt;0,demonic_pact_plat,0), 0.5)</f>
        <v>0</v>
      </c>
      <c r="AI6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69" s="156">
        <f ca="1">race_lumber_bonus+ IF(TblMagic[[#This Row],[Active Gaia''s Blessing]]&gt;0,gaias_blessing_lumber)+ tech_1_3*TblTech[[#This Row],[1-3]] + tech_1_6*TblTech[[#This Row],[1-6]] + tech_3_3*TblTech[[#This Row],[3-3]]</f>
        <v>0</v>
      </c>
      <c r="AK69" s="156">
        <f ca="1">race_mana_bonus+ 0 + TblImps[[#This Row],[Spires]] + tech_1_2*TblTech[[#This Row],[1-2]] + tech_3_4*TblTech[[#This Row],[3-4]]</f>
        <v>0</v>
      </c>
      <c r="AL69" s="156">
        <f ca="1">race_ore_bonus + IF(TblMagic[[#This Row],[Active Miner''s Sight]]&gt;0,miners_sight_bonus,IF(TblMagic[[#This Row],[Active Mining Strength]]&gt;0,mining_strength_bonus)) +  tech_1_6*TblTech[[#This Row],[1-6]]</f>
        <v>0</v>
      </c>
      <c r="AM69" s="156">
        <f>race_gem_bonus+ tech_3_2*TblTech[[#This Row],[3-2]] + tech_4_3*TblTech[[#This Row],[4-3]] + tech_6_2*TblTech[[#This Row],[6-2]]</f>
        <v>0</v>
      </c>
      <c r="AN69" s="142"/>
      <c r="AO69" s="94">
        <f ca="1">TblProd[[#This Row],[Food]]*food_decay * (1 + tech_2_1*TblTech[[#This Row],[2-1]] + tech_2_8*TblTech[[#This Row],[2-8]] + IF(AND(TblMagic[[#This Row],[Active DnD]]&lt;12,TblMagic[[#This Row],[Active DnD]]&gt;5),1,0))</f>
        <v>1196.55</v>
      </c>
      <c r="AP69" s="94">
        <f ca="1">(1+race_food_consumption)*TblPop[[#This Row],[Total]]*food_per_person*(1+tech_1_10*TblTech[[#This Row],[1-10]]+tech_7_5*TblTech[[#This Row],[7-5]] + IF(TblMagic[[#This Row],[Active Infernal Command]]&gt;0,demonic_pact_food_cons,0))</f>
        <v>269</v>
      </c>
      <c r="AQ69" s="94">
        <f ca="1">TblProd[[#This Row],[Lumber]]*lumber_rot * (1 + tech_2_1*TblTech[[#This Row],[2-1]] + tech_2_8*TblTech[[#This Row],[2-8]] + tech_5_2*TblTech[[#This Row],[5-2]] + IF(AND(TblMagic[[#This Row],[Active DnD]]&lt;12,TblMagic[[#This Row],[Active DnD]]&gt;5),1,0))</f>
        <v>557.69000000000005</v>
      </c>
      <c r="AR69" s="94">
        <f ca="1">TblProd[[#This Row],[Mana]]*mana_drain * (1 + tech_2_1*TblTech[[#This Row],[2-1]] + tech_2_8*TblTech[[#This Row],[2-8]])</f>
        <v>0</v>
      </c>
      <c r="AS69" s="154"/>
      <c r="AT69" s="94">
        <f ca="1">TblExplore[[#This Row],[Platinum (2)]]+TblConstr[[#This Row],[Total Plat Cost]]+TblMili[[#This Row],[Plat Cost]]+TblRezone[[#This Row],[Platinum cost]]+TblImps[[#This Row],[P1]]-TblProd[[#This Row],[Bank Plat]]</f>
        <v>0</v>
      </c>
      <c r="AU69" s="94">
        <f ca="1">TblConstr[[#This Row],[Total Lum Cost]]+TblImps[[#This Row],[L1]]-TblProd[[#This Row],[Bank Lumber]] + Military!$CO$25*TblMili[[#This Row],[Sec. rec. Cost]]</f>
        <v>0</v>
      </c>
      <c r="AV69" s="94">
        <f ca="1">TblMagic[[#This Row],[Mana cost]] + Military!$CO$26*TblMili[[#This Row],[Sec. rec. Cost]]</f>
        <v>0</v>
      </c>
      <c r="AW69" s="94">
        <f ca="1">Military!$CO$24*TblMili[[#This Row],[Sec. rec. Cost]]+TblImps[[#This Row],[O1]]-TblProd[[#This Row],[Bank Ore]]</f>
        <v>0</v>
      </c>
      <c r="AX69" s="94">
        <f>TblImps[[#This Row],[G1]]-TblProd[[#This Row],[Bank Gems]]</f>
        <v>0</v>
      </c>
      <c r="AY69" s="142"/>
      <c r="AZ69" s="61" t="b">
        <f ca="1">IF(TblProd[[#This Row],[Set Guard]]&lt;&gt;"",TblProd[[#This Row],[Set Guard]],OFFSET(TblProd[[#This Row],[Guard]],-1,0))</f>
        <v>0</v>
      </c>
      <c r="BA69" s="153"/>
      <c r="BB69" s="45">
        <f>TblProd[[#This Row],[Hour]]</f>
        <v>30</v>
      </c>
      <c r="BC69" s="158">
        <f>-TblProd[[#This Row],[Bank Lumber]] / 2 + -TblProd[[#This Row],[Bank Gems]] * 2 + -TblProd[[#This Row],[Bank Ore]] / 2</f>
        <v>0</v>
      </c>
      <c r="BD69" s="158"/>
      <c r="BE69" s="158"/>
      <c r="BF69" s="158"/>
      <c r="BG69" s="159">
        <f ca="1">TblProd[[#This Row],[Time]]</f>
        <v>46049.708333333176</v>
      </c>
      <c r="BH69" s="45" t="str">
        <f>IF(AND(TblProd[[#This Row],[Bank Plat]]=0,TblProd[[#This Row],[Bank Lumber]]=0,TblProd[[#This Row],[Bank Ore]]=0,TblProd[[#This Row],[Bank Gems]]=0),"",IF(TblProd[[#This Row],[Bank Plat]]&gt;0,IF((TblProd[[#This Row],[Bank Lumber]]+TblProd[[#This Row],[Bank Ore]])/2+TblProd[[#This Row],[Bank Gems]]*2+ROUNDUP(TblProd[[#This Row],[Bank Plat]]/(1 + tech_2_2*Techs!Y69),0)=0,"Ok","Nope"),IF(TblProd[[#This Row],[Bank Lumber]]&gt;0,IF((TblProd[[#This Row],[Bank Plat]]+TblProd[[#This Row],[Bank Ore]])/2+TblProd[[#This Row],[Bank Gems]]*2+ROUNDUP(TblProd[[#This Row],[Bank Lumber]]/(1 + tech_2_2*Techs!Y69),0)=0,"Ok","Nope"),IF(TblProd[[#This Row],[Bank Ore]]&gt;0,IF((TblProd[[#This Row],[Bank Plat]]+TblProd[[#This Row],[Bank Lumber]])/2+TblProd[[#This Row],[Bank Gems]]*2+ROUNDUP(TblProd[[#This Row],[Bank Ore]]/(1 + tech_2_2*Techs!Y69),0)=0,"Ok","Nope")))))</f>
        <v/>
      </c>
      <c r="BI69" s="94">
        <f ca="1">TblProd[[#This Row],[Platinum]]</f>
        <v>159037</v>
      </c>
      <c r="BJ69" s="94">
        <f ca="1">TblProd[[#This Row],[Food]]</f>
        <v>119655</v>
      </c>
      <c r="BK69" s="94">
        <f ca="1">TblProd[[#This Row],[Lumber]]</f>
        <v>55769</v>
      </c>
      <c r="BL69" s="94">
        <f ca="1">TblProd[[#This Row],[Mana]]</f>
        <v>0</v>
      </c>
      <c r="BM69" s="94">
        <f ca="1">TblProd[[#This Row],[Ore]]</f>
        <v>0</v>
      </c>
    </row>
    <row r="70" spans="1:65" x14ac:dyDescent="0.2">
      <c r="A70" s="137">
        <f t="shared" si="0"/>
        <v>31</v>
      </c>
      <c r="B70" s="152">
        <f ca="1">TblImps[[#This Row],[Time]]</f>
        <v>46049.74999999984</v>
      </c>
      <c r="C70" s="153"/>
      <c r="D70" s="154"/>
      <c r="E70" s="94">
        <f ca="1">TblConstr[[#This Row],[Land]]</f>
        <v>110</v>
      </c>
      <c r="F70" s="94">
        <f ca="1">TblPop[[#This Row],[Peasants]]</f>
        <v>517</v>
      </c>
      <c r="G70" s="94">
        <f ca="1">TblMili[[#This Row],[Networth (2)]]</f>
        <v>2450</v>
      </c>
      <c r="H70" s="94">
        <f ca="1">OFFSET(TblProd[[#This Row],[Platinum]],-1,0)+OFFSET(TblProd[[#This Row],[Plat/hr]],-1,0) - TblProd[[#This Row],[Expenses Platinum]] + IF(TblProd[[#This Row],[Plat Bonus]],TblPop[[#This Row],[Peasants]]*4) + SUM(TblConstr[[#This Row],[Dest Hom]:[Dest Doc]])*TblConstr[[#This Row],[CPA Platinum -DB]]*tech_3_3_2*TblTech[[#This Row],[3-3]]</f>
        <v>160446</v>
      </c>
      <c r="I70" s="94">
        <f ca="1">OFFSET(TblProd[[#This Row],[Food]],-1,0)+OFFSET(TblProd[[#This Row],[Food/hr]],-1,0)+ROUNDUP((TblConstr[[#This Row],[Farms]]*80+TblConstr[[#This Row],[Docks]]*35)*(1+OFFSET(TblProd[[#This Row],[Bonus Food/hr]],-1,0)),0)</f>
        <v>120769</v>
      </c>
      <c r="J70" s="94">
        <f ca="1">OFFSET(TblProd[[#This Row],[Lumber]],-1,0)+OFFSET(TblProd[[#This Row],[Lumber/hr]],-1,0) - TblProd[[#This Row],[Expenses Lumber]] + SUM(TblConstr[[#This Row],[Dest Hom]:[Dest Doc]])*TblConstr[[#This Row],[CPA Lumber -DB]]*tech_3_3_2*TblTech[[#This Row],[3-3]]</f>
        <v>56211</v>
      </c>
      <c r="K70" s="94">
        <f ca="1">OFFSET(TblProd[[#This Row],[Mana]],-1,0)+OFFSET(TblProd[[#This Row],[Mana/hr]],-1,0)- TblProd[[#This Row],[Expenses Mana]]</f>
        <v>0</v>
      </c>
      <c r="L70" s="94">
        <f ca="1">OFFSET(TblProd[[#This Row],[Ore]],-1,0)+OFFSET(TblProd[[#This Row],[Ore/hr]],-1,0) -TblProd[[#This Row],[Expenses Ore]]</f>
        <v>0</v>
      </c>
      <c r="M70" s="94">
        <f ca="1">OFFSET(TblProd[[#This Row],[Gems]],-1,0)+OFFSET(TblProd[[#This Row],[Gems/hr]],-1,0) - TblProd[[#This Row],[Expenses Gems]]</f>
        <v>0</v>
      </c>
      <c r="N70" s="94">
        <f ca="1">OFFSET(TblProd[[#This Row],[Boats]],-1,0)+OFFSET(TblProd[[#This Row],[Boats/hr]],-1,0)</f>
        <v>0</v>
      </c>
      <c r="O70" s="94">
        <f ca="1">OFFSET(TblProd[[#This Row],[Prestige]],-1,0)</f>
        <v>250</v>
      </c>
      <c r="P7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0" s="94">
        <f ca="1">MAX(_xlfn.CEILING.MATH(TblProd[[#This Row],[Land]]*2.5+IFERROR(OFFSET(TblTech[[#This Row],[Sum of tech]],-1,0)*50,0)),3750)</f>
        <v>3750</v>
      </c>
      <c r="R70" s="142"/>
      <c r="S70" s="94">
        <f ca="1">ROUNDDOWN(TblProd[[#This Row],[Raw Plat/hr]]*(1+TblProd[[#This Row],[Bonus Plat/hr]]),0)</f>
        <v>1395</v>
      </c>
      <c r="T70" s="94">
        <f ca="1">ROUND(TblProd[[#This Row],[Raw Food/hr]]*(1+TblProd[[#This Row],[Bonus Food/hr]])-TblProd[[#This Row],[Food decay]]-TblProd[[#This Row],[Food eaten]],0)</f>
        <v>1103</v>
      </c>
      <c r="U70" s="94">
        <f ca="1">ROUND(TblProd[[#This Row],[Raw Lumber/hr]]*(1+TblProd[[#This Row],[Bonus Lumber/hr]])-TblProd[[#This Row],[Lumber rot]],0)</f>
        <v>438</v>
      </c>
      <c r="V70" s="94">
        <f ca="1">ROUND(TblProd[[#This Row],[Raw Mana/hr]]*(1+TblProd[[#This Row],[Bonus Mana/hr]])-TblProd[[#This Row],[Mana drain]],0)</f>
        <v>0</v>
      </c>
      <c r="W70" s="94">
        <f ca="1">ROUNDDOWN(TblProd[[#This Row],[Raw Ore/hr]]*(1+TblProd[[#This Row],[Bonux Ore/hr]]),0)</f>
        <v>0</v>
      </c>
      <c r="X70" s="94">
        <f ca="1">ROUNDDOWN(TblProd[[#This Row],[Raw Gems/hr]]*(1+TblProd[[#This Row],[Bonus Gems/hr]]),0)</f>
        <v>0</v>
      </c>
      <c r="Y70" s="155">
        <f ca="1">OFFSET(TblConstr[[#This Row],[Tot Doc]],1,0)*dock_boats_hr * (1 + tech_4_1*TblTech[[#This Row],[4-1]])</f>
        <v>0</v>
      </c>
      <c r="Z70" s="154"/>
      <c r="AA70" s="94">
        <f ca="1">TblPop[[#This Row],[Peasants]]*tax*TblPop[[#This Row],[Employment]] + (Construction!AZ71+Construction!BX71)*(alch_plat+(Magic!AN70&gt;0)*alchemist_flame_bonus)</f>
        <v>1395.9</v>
      </c>
      <c r="AB70" s="94">
        <f ca="1">TblConstr[[#This Row],[Tot Farm]]*farm_food + TblConstr[[#This Row],[Tot Doc]]*dock_food</f>
        <v>2400</v>
      </c>
      <c r="AC70" s="94">
        <f ca="1">TblConstr[[#This Row],[Tot Ly]]*ly_lumber + TblConstr[[#This Row],[Tot Hav]]*fh_lumber + IF(race="Wood Elf",TblMili[[#This Row],[Unit 2]]*MIN(TblMili[[#This Row],[Homeland%]]/wisp_bonus,wisp_cap),0)</f>
        <v>1000</v>
      </c>
      <c r="AD70" s="94">
        <f ca="1">OFFSET(TblConstr[[#This Row],[Tot Tow]],1,0)*(tower_mana + tech_4_5*TblTech[[#This Row],[4-5]]) + OFFSET(TblConstr[[#This Row],[Tot WG]],1,0)*wg_mana_prod</f>
        <v>0</v>
      </c>
      <c r="AE70" s="94">
        <f ca="1">OFFSET(TblConstr[[#This Row],[Tot OM]],1,0)*om_ore+IF(race="Dwarf",TblMili[[#This Row],[Unit 2]]*0.5,0)</f>
        <v>0</v>
      </c>
      <c r="AF70" s="94">
        <f ca="1">OFFSET(TblConstr[[#This Row],[Tot DM]],1,0)*dm_gems</f>
        <v>0</v>
      </c>
      <c r="AG70" s="142"/>
      <c r="AH70" s="156">
        <f ca="1">MIN(race_platinum_bonus + IF(TblMagic[[#This Row],[Active Alch Frost]]&gt;0,alch_frost_bonus,IF(Magic!AE70&gt;0,midas_bonus)) + TblImps[[#This Row],[Science]] - TblProd[[#This Row],[Guard]]*(0.02 + tech_5_7*TblTech[[#This Row],[5-7]]) + tech_1_5*TblTech[[#This Row],[1-5]] + tech_4_4*TblTech[[#This Row],[4-4]] + IF(TblMagic[[#This Row],[Active Infernal Command]]&gt;0,demonic_pact_plat,0), 0.5)</f>
        <v>0</v>
      </c>
      <c r="AI7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0" s="156">
        <f ca="1">race_lumber_bonus+ IF(TblMagic[[#This Row],[Active Gaia''s Blessing]]&gt;0,gaias_blessing_lumber)+ tech_1_3*TblTech[[#This Row],[1-3]] + tech_1_6*TblTech[[#This Row],[1-6]] + tech_3_3*TblTech[[#This Row],[3-3]]</f>
        <v>0</v>
      </c>
      <c r="AK70" s="156">
        <f ca="1">race_mana_bonus+ 0 + TblImps[[#This Row],[Spires]] + tech_1_2*TblTech[[#This Row],[1-2]] + tech_3_4*TblTech[[#This Row],[3-4]]</f>
        <v>0</v>
      </c>
      <c r="AL70" s="156">
        <f ca="1">race_ore_bonus + IF(TblMagic[[#This Row],[Active Miner''s Sight]]&gt;0,miners_sight_bonus,IF(TblMagic[[#This Row],[Active Mining Strength]]&gt;0,mining_strength_bonus)) +  tech_1_6*TblTech[[#This Row],[1-6]]</f>
        <v>0</v>
      </c>
      <c r="AM70" s="156">
        <f>race_gem_bonus+ tech_3_2*TblTech[[#This Row],[3-2]] + tech_4_3*TblTech[[#This Row],[4-3]] + tech_6_2*TblTech[[#This Row],[6-2]]</f>
        <v>0</v>
      </c>
      <c r="AN70" s="142"/>
      <c r="AO70" s="94">
        <f ca="1">TblProd[[#This Row],[Food]]*food_decay * (1 + tech_2_1*TblTech[[#This Row],[2-1]] + tech_2_8*TblTech[[#This Row],[2-8]] + IF(AND(TblMagic[[#This Row],[Active DnD]]&lt;12,TblMagic[[#This Row],[Active DnD]]&gt;5),1,0))</f>
        <v>1207.69</v>
      </c>
      <c r="AP70" s="94">
        <f ca="1">(1+race_food_consumption)*TblPop[[#This Row],[Total]]*food_per_person*(1+tech_1_10*TblTech[[#This Row],[1-10]]+tech_7_5*TblTech[[#This Row],[7-5]] + IF(TblMagic[[#This Row],[Active Infernal Command]]&gt;0,demonic_pact_food_cons,0))</f>
        <v>269</v>
      </c>
      <c r="AQ70" s="94">
        <f ca="1">TblProd[[#This Row],[Lumber]]*lumber_rot * (1 + tech_2_1*TblTech[[#This Row],[2-1]] + tech_2_8*TblTech[[#This Row],[2-8]] + tech_5_2*TblTech[[#This Row],[5-2]] + IF(AND(TblMagic[[#This Row],[Active DnD]]&lt;12,TblMagic[[#This Row],[Active DnD]]&gt;5),1,0))</f>
        <v>562.11</v>
      </c>
      <c r="AR70" s="94">
        <f ca="1">TblProd[[#This Row],[Mana]]*mana_drain * (1 + tech_2_1*TblTech[[#This Row],[2-1]] + tech_2_8*TblTech[[#This Row],[2-8]])</f>
        <v>0</v>
      </c>
      <c r="AS70" s="154"/>
      <c r="AT70" s="94">
        <f ca="1">TblExplore[[#This Row],[Platinum (2)]]+TblConstr[[#This Row],[Total Plat Cost]]+TblMili[[#This Row],[Plat Cost]]+TblRezone[[#This Row],[Platinum cost]]+TblImps[[#This Row],[P1]]-TblProd[[#This Row],[Bank Plat]]</f>
        <v>0</v>
      </c>
      <c r="AU70" s="94">
        <f ca="1">TblConstr[[#This Row],[Total Lum Cost]]+TblImps[[#This Row],[L1]]-TblProd[[#This Row],[Bank Lumber]] + Military!$CO$25*TblMili[[#This Row],[Sec. rec. Cost]]</f>
        <v>0</v>
      </c>
      <c r="AV70" s="94">
        <f ca="1">TblMagic[[#This Row],[Mana cost]] + Military!$CO$26*TblMili[[#This Row],[Sec. rec. Cost]]</f>
        <v>0</v>
      </c>
      <c r="AW70" s="94">
        <f ca="1">Military!$CO$24*TblMili[[#This Row],[Sec. rec. Cost]]+TblImps[[#This Row],[O1]]-TblProd[[#This Row],[Bank Ore]]</f>
        <v>0</v>
      </c>
      <c r="AX70" s="94">
        <f>TblImps[[#This Row],[G1]]-TblProd[[#This Row],[Bank Gems]]</f>
        <v>0</v>
      </c>
      <c r="AY70" s="142"/>
      <c r="AZ70" s="61" t="b">
        <f ca="1">IF(TblProd[[#This Row],[Set Guard]]&lt;&gt;"",TblProd[[#This Row],[Set Guard]],OFFSET(TblProd[[#This Row],[Guard]],-1,0))</f>
        <v>0</v>
      </c>
      <c r="BA70" s="153"/>
      <c r="BB70" s="45">
        <f>TblProd[[#This Row],[Hour]]</f>
        <v>31</v>
      </c>
      <c r="BC70" s="158">
        <f>-TblProd[[#This Row],[Bank Lumber]] / 2 + -TblProd[[#This Row],[Bank Gems]] * 2 + -TblProd[[#This Row],[Bank Ore]] / 2</f>
        <v>0</v>
      </c>
      <c r="BD70" s="158"/>
      <c r="BE70" s="158"/>
      <c r="BF70" s="158"/>
      <c r="BG70" s="159">
        <f ca="1">TblProd[[#This Row],[Time]]</f>
        <v>46049.74999999984</v>
      </c>
      <c r="BH70" s="45" t="str">
        <f>IF(AND(TblProd[[#This Row],[Bank Plat]]=0,TblProd[[#This Row],[Bank Lumber]]=0,TblProd[[#This Row],[Bank Ore]]=0,TblProd[[#This Row],[Bank Gems]]=0),"",IF(TblProd[[#This Row],[Bank Plat]]&gt;0,IF((TblProd[[#This Row],[Bank Lumber]]+TblProd[[#This Row],[Bank Ore]])/2+TblProd[[#This Row],[Bank Gems]]*2+ROUNDUP(TblProd[[#This Row],[Bank Plat]]/(1 + tech_2_2*Techs!Y70),0)=0,"Ok","Nope"),IF(TblProd[[#This Row],[Bank Lumber]]&gt;0,IF((TblProd[[#This Row],[Bank Plat]]+TblProd[[#This Row],[Bank Ore]])/2+TblProd[[#This Row],[Bank Gems]]*2+ROUNDUP(TblProd[[#This Row],[Bank Lumber]]/(1 + tech_2_2*Techs!Y70),0)=0,"Ok","Nope"),IF(TblProd[[#This Row],[Bank Ore]]&gt;0,IF((TblProd[[#This Row],[Bank Plat]]+TblProd[[#This Row],[Bank Lumber]])/2+TblProd[[#This Row],[Bank Gems]]*2+ROUNDUP(TblProd[[#This Row],[Bank Ore]]/(1 + tech_2_2*Techs!Y70),0)=0,"Ok","Nope")))))</f>
        <v/>
      </c>
      <c r="BI70" s="94">
        <f ca="1">TblProd[[#This Row],[Platinum]]</f>
        <v>160446</v>
      </c>
      <c r="BJ70" s="94">
        <f ca="1">TblProd[[#This Row],[Food]]</f>
        <v>120769</v>
      </c>
      <c r="BK70" s="94">
        <f ca="1">TblProd[[#This Row],[Lumber]]</f>
        <v>56211</v>
      </c>
      <c r="BL70" s="94">
        <f ca="1">TblProd[[#This Row],[Mana]]</f>
        <v>0</v>
      </c>
      <c r="BM70" s="94">
        <f ca="1">TblProd[[#This Row],[Ore]]</f>
        <v>0</v>
      </c>
    </row>
    <row r="71" spans="1:65" x14ac:dyDescent="0.2">
      <c r="A71" s="137">
        <f t="shared" si="0"/>
        <v>32</v>
      </c>
      <c r="B71" s="152">
        <f ca="1">TblImps[[#This Row],[Time]]</f>
        <v>46049.791666666504</v>
      </c>
      <c r="C71" s="153"/>
      <c r="D71" s="154"/>
      <c r="E71" s="94">
        <f ca="1">TblConstr[[#This Row],[Land]]</f>
        <v>110</v>
      </c>
      <c r="F71" s="94">
        <f ca="1">TblPop[[#This Row],[Peasants]]</f>
        <v>512</v>
      </c>
      <c r="G71" s="94">
        <f ca="1">TblMili[[#This Row],[Networth (2)]]</f>
        <v>2450</v>
      </c>
      <c r="H71" s="94">
        <f ca="1">OFFSET(TblProd[[#This Row],[Platinum]],-1,0)+OFFSET(TblProd[[#This Row],[Plat/hr]],-1,0) - TblProd[[#This Row],[Expenses Platinum]] + IF(TblProd[[#This Row],[Plat Bonus]],TblPop[[#This Row],[Peasants]]*4) + SUM(TblConstr[[#This Row],[Dest Hom]:[Dest Doc]])*TblConstr[[#This Row],[CPA Platinum -DB]]*tech_3_3_2*TblTech[[#This Row],[3-3]]</f>
        <v>161841</v>
      </c>
      <c r="I71" s="94">
        <f ca="1">OFFSET(TblProd[[#This Row],[Food]],-1,0)+OFFSET(TblProd[[#This Row],[Food/hr]],-1,0)+ROUNDUP((TblConstr[[#This Row],[Farms]]*80+TblConstr[[#This Row],[Docks]]*35)*(1+OFFSET(TblProd[[#This Row],[Bonus Food/hr]],-1,0)),0)</f>
        <v>121872</v>
      </c>
      <c r="J71" s="94">
        <f ca="1">OFFSET(TblProd[[#This Row],[Lumber]],-1,0)+OFFSET(TblProd[[#This Row],[Lumber/hr]],-1,0) - TblProd[[#This Row],[Expenses Lumber]] + SUM(TblConstr[[#This Row],[Dest Hom]:[Dest Doc]])*TblConstr[[#This Row],[CPA Lumber -DB]]*tech_3_3_2*TblTech[[#This Row],[3-3]]</f>
        <v>56649</v>
      </c>
      <c r="K71" s="94">
        <f ca="1">OFFSET(TblProd[[#This Row],[Mana]],-1,0)+OFFSET(TblProd[[#This Row],[Mana/hr]],-1,0)- TblProd[[#This Row],[Expenses Mana]]</f>
        <v>0</v>
      </c>
      <c r="L71" s="94">
        <f ca="1">OFFSET(TblProd[[#This Row],[Ore]],-1,0)+OFFSET(TblProd[[#This Row],[Ore/hr]],-1,0) -TblProd[[#This Row],[Expenses Ore]]</f>
        <v>0</v>
      </c>
      <c r="M71" s="94">
        <f ca="1">OFFSET(TblProd[[#This Row],[Gems]],-1,0)+OFFSET(TblProd[[#This Row],[Gems/hr]],-1,0) - TblProd[[#This Row],[Expenses Gems]]</f>
        <v>0</v>
      </c>
      <c r="N71" s="94">
        <f ca="1">OFFSET(TblProd[[#This Row],[Boats]],-1,0)+OFFSET(TblProd[[#This Row],[Boats/hr]],-1,0)</f>
        <v>0</v>
      </c>
      <c r="O71" s="94">
        <f ca="1">OFFSET(TblProd[[#This Row],[Prestige]],-1,0)</f>
        <v>250</v>
      </c>
      <c r="P7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1" s="94">
        <f ca="1">MAX(_xlfn.CEILING.MATH(TblProd[[#This Row],[Land]]*2.5+IFERROR(OFFSET(TblTech[[#This Row],[Sum of tech]],-1,0)*50,0)),3750)</f>
        <v>3750</v>
      </c>
      <c r="R71" s="142"/>
      <c r="S71" s="94">
        <f ca="1">ROUNDDOWN(TblProd[[#This Row],[Raw Plat/hr]]*(1+TblProd[[#This Row],[Bonus Plat/hr]]),0)</f>
        <v>1382</v>
      </c>
      <c r="T71" s="94">
        <f ca="1">ROUND(TblProd[[#This Row],[Raw Food/hr]]*(1+TblProd[[#This Row],[Bonus Food/hr]])-TblProd[[#This Row],[Food decay]]-TblProd[[#This Row],[Food eaten]],0)</f>
        <v>1092</v>
      </c>
      <c r="U71" s="94">
        <f ca="1">ROUND(TblProd[[#This Row],[Raw Lumber/hr]]*(1+TblProd[[#This Row],[Bonus Lumber/hr]])-TblProd[[#This Row],[Lumber rot]],0)</f>
        <v>434</v>
      </c>
      <c r="V71" s="94">
        <f ca="1">ROUND(TblProd[[#This Row],[Raw Mana/hr]]*(1+TblProd[[#This Row],[Bonus Mana/hr]])-TblProd[[#This Row],[Mana drain]],0)</f>
        <v>0</v>
      </c>
      <c r="W71" s="94">
        <f ca="1">ROUNDDOWN(TblProd[[#This Row],[Raw Ore/hr]]*(1+TblProd[[#This Row],[Bonux Ore/hr]]),0)</f>
        <v>0</v>
      </c>
      <c r="X71" s="94">
        <f ca="1">ROUNDDOWN(TblProd[[#This Row],[Raw Gems/hr]]*(1+TblProd[[#This Row],[Bonus Gems/hr]]),0)</f>
        <v>0</v>
      </c>
      <c r="Y71" s="155">
        <f ca="1">OFFSET(TblConstr[[#This Row],[Tot Doc]],1,0)*dock_boats_hr * (1 + tech_4_1*TblTech[[#This Row],[4-1]])</f>
        <v>0</v>
      </c>
      <c r="Z71" s="154"/>
      <c r="AA71" s="94">
        <f ca="1">TblPop[[#This Row],[Peasants]]*tax*TblPop[[#This Row],[Employment]] + (Construction!AZ72+Construction!BX72)*(alch_plat+(Magic!AN71&gt;0)*alchemist_flame_bonus)</f>
        <v>1382.4</v>
      </c>
      <c r="AB71" s="94">
        <f ca="1">TblConstr[[#This Row],[Tot Farm]]*farm_food + TblConstr[[#This Row],[Tot Doc]]*dock_food</f>
        <v>2400</v>
      </c>
      <c r="AC71" s="94">
        <f ca="1">TblConstr[[#This Row],[Tot Ly]]*ly_lumber + TblConstr[[#This Row],[Tot Hav]]*fh_lumber + IF(race="Wood Elf",TblMili[[#This Row],[Unit 2]]*MIN(TblMili[[#This Row],[Homeland%]]/wisp_bonus,wisp_cap),0)</f>
        <v>1000</v>
      </c>
      <c r="AD71" s="94">
        <f ca="1">OFFSET(TblConstr[[#This Row],[Tot Tow]],1,0)*(tower_mana + tech_4_5*TblTech[[#This Row],[4-5]]) + OFFSET(TblConstr[[#This Row],[Tot WG]],1,0)*wg_mana_prod</f>
        <v>0</v>
      </c>
      <c r="AE71" s="94">
        <f ca="1">OFFSET(TblConstr[[#This Row],[Tot OM]],1,0)*om_ore+IF(race="Dwarf",TblMili[[#This Row],[Unit 2]]*0.5,0)</f>
        <v>0</v>
      </c>
      <c r="AF71" s="94">
        <f ca="1">OFFSET(TblConstr[[#This Row],[Tot DM]],1,0)*dm_gems</f>
        <v>0</v>
      </c>
      <c r="AG71" s="142"/>
      <c r="AH71" s="156">
        <f ca="1">MIN(race_platinum_bonus + IF(TblMagic[[#This Row],[Active Alch Frost]]&gt;0,alch_frost_bonus,IF(Magic!AE71&gt;0,midas_bonus)) + TblImps[[#This Row],[Science]] - TblProd[[#This Row],[Guard]]*(0.02 + tech_5_7*TblTech[[#This Row],[5-7]]) + tech_1_5*TblTech[[#This Row],[1-5]] + tech_4_4*TblTech[[#This Row],[4-4]] + IF(TblMagic[[#This Row],[Active Infernal Command]]&gt;0,demonic_pact_plat,0), 0.5)</f>
        <v>0</v>
      </c>
      <c r="AI7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1" s="156">
        <f ca="1">race_lumber_bonus+ IF(TblMagic[[#This Row],[Active Gaia''s Blessing]]&gt;0,gaias_blessing_lumber)+ tech_1_3*TblTech[[#This Row],[1-3]] + tech_1_6*TblTech[[#This Row],[1-6]] + tech_3_3*TblTech[[#This Row],[3-3]]</f>
        <v>0</v>
      </c>
      <c r="AK71" s="156">
        <f ca="1">race_mana_bonus+ 0 + TblImps[[#This Row],[Spires]] + tech_1_2*TblTech[[#This Row],[1-2]] + tech_3_4*TblTech[[#This Row],[3-4]]</f>
        <v>0</v>
      </c>
      <c r="AL71" s="156">
        <f ca="1">race_ore_bonus + IF(TblMagic[[#This Row],[Active Miner''s Sight]]&gt;0,miners_sight_bonus,IF(TblMagic[[#This Row],[Active Mining Strength]]&gt;0,mining_strength_bonus)) +  tech_1_6*TblTech[[#This Row],[1-6]]</f>
        <v>0</v>
      </c>
      <c r="AM71" s="156">
        <f>race_gem_bonus+ tech_3_2*TblTech[[#This Row],[3-2]] + tech_4_3*TblTech[[#This Row],[4-3]] + tech_6_2*TblTech[[#This Row],[6-2]]</f>
        <v>0</v>
      </c>
      <c r="AN71" s="142"/>
      <c r="AO71" s="94">
        <f ca="1">TblProd[[#This Row],[Food]]*food_decay * (1 + tech_2_1*TblTech[[#This Row],[2-1]] + tech_2_8*TblTech[[#This Row],[2-8]] + IF(AND(TblMagic[[#This Row],[Active DnD]]&lt;12,TblMagic[[#This Row],[Active DnD]]&gt;5),1,0))</f>
        <v>1218.72</v>
      </c>
      <c r="AP71" s="94">
        <f ca="1">(1+race_food_consumption)*TblPop[[#This Row],[Total]]*food_per_person*(1+tech_1_10*TblTech[[#This Row],[1-10]]+tech_7_5*TblTech[[#This Row],[7-5]] + IF(TblMagic[[#This Row],[Active Infernal Command]]&gt;0,demonic_pact_food_cons,0))</f>
        <v>269</v>
      </c>
      <c r="AQ71" s="94">
        <f ca="1">TblProd[[#This Row],[Lumber]]*lumber_rot * (1 + tech_2_1*TblTech[[#This Row],[2-1]] + tech_2_8*TblTech[[#This Row],[2-8]] + tech_5_2*TblTech[[#This Row],[5-2]] + IF(AND(TblMagic[[#This Row],[Active DnD]]&lt;12,TblMagic[[#This Row],[Active DnD]]&gt;5),1,0))</f>
        <v>566.49</v>
      </c>
      <c r="AR71" s="94">
        <f ca="1">TblProd[[#This Row],[Mana]]*mana_drain * (1 + tech_2_1*TblTech[[#This Row],[2-1]] + tech_2_8*TblTech[[#This Row],[2-8]])</f>
        <v>0</v>
      </c>
      <c r="AS71" s="154"/>
      <c r="AT71" s="94">
        <f ca="1">TblExplore[[#This Row],[Platinum (2)]]+TblConstr[[#This Row],[Total Plat Cost]]+TblMili[[#This Row],[Plat Cost]]+TblRezone[[#This Row],[Platinum cost]]+TblImps[[#This Row],[P1]]-TblProd[[#This Row],[Bank Plat]]</f>
        <v>0</v>
      </c>
      <c r="AU71" s="94">
        <f ca="1">TblConstr[[#This Row],[Total Lum Cost]]+TblImps[[#This Row],[L1]]-TblProd[[#This Row],[Bank Lumber]] + Military!$CO$25*TblMili[[#This Row],[Sec. rec. Cost]]</f>
        <v>0</v>
      </c>
      <c r="AV71" s="94">
        <f ca="1">TblMagic[[#This Row],[Mana cost]] + Military!$CO$26*TblMili[[#This Row],[Sec. rec. Cost]]</f>
        <v>0</v>
      </c>
      <c r="AW71" s="94">
        <f ca="1">Military!$CO$24*TblMili[[#This Row],[Sec. rec. Cost]]+TblImps[[#This Row],[O1]]-TblProd[[#This Row],[Bank Ore]]</f>
        <v>0</v>
      </c>
      <c r="AX71" s="94">
        <f>TblImps[[#This Row],[G1]]-TblProd[[#This Row],[Bank Gems]]</f>
        <v>0</v>
      </c>
      <c r="AY71" s="142"/>
      <c r="AZ71" s="61" t="b">
        <f ca="1">IF(TblProd[[#This Row],[Set Guard]]&lt;&gt;"",TblProd[[#This Row],[Set Guard]],OFFSET(TblProd[[#This Row],[Guard]],-1,0))</f>
        <v>0</v>
      </c>
      <c r="BA71" s="153"/>
      <c r="BB71" s="45">
        <f>TblProd[[#This Row],[Hour]]</f>
        <v>32</v>
      </c>
      <c r="BC71" s="158">
        <f>-TblProd[[#This Row],[Bank Lumber]] / 2 + -TblProd[[#This Row],[Bank Gems]] * 2 + -TblProd[[#This Row],[Bank Ore]] / 2</f>
        <v>0</v>
      </c>
      <c r="BD71" s="158"/>
      <c r="BE71" s="158"/>
      <c r="BF71" s="158"/>
      <c r="BG71" s="159">
        <f ca="1">TblProd[[#This Row],[Time]]</f>
        <v>46049.791666666504</v>
      </c>
      <c r="BH71" s="45" t="str">
        <f>IF(AND(TblProd[[#This Row],[Bank Plat]]=0,TblProd[[#This Row],[Bank Lumber]]=0,TblProd[[#This Row],[Bank Ore]]=0,TblProd[[#This Row],[Bank Gems]]=0),"",IF(TblProd[[#This Row],[Bank Plat]]&gt;0,IF((TblProd[[#This Row],[Bank Lumber]]+TblProd[[#This Row],[Bank Ore]])/2+TblProd[[#This Row],[Bank Gems]]*2+ROUNDUP(TblProd[[#This Row],[Bank Plat]]/(1 + tech_2_2*Techs!Y71),0)=0,"Ok","Nope"),IF(TblProd[[#This Row],[Bank Lumber]]&gt;0,IF((TblProd[[#This Row],[Bank Plat]]+TblProd[[#This Row],[Bank Ore]])/2+TblProd[[#This Row],[Bank Gems]]*2+ROUNDUP(TblProd[[#This Row],[Bank Lumber]]/(1 + tech_2_2*Techs!Y71),0)=0,"Ok","Nope"),IF(TblProd[[#This Row],[Bank Ore]]&gt;0,IF((TblProd[[#This Row],[Bank Plat]]+TblProd[[#This Row],[Bank Lumber]])/2+TblProd[[#This Row],[Bank Gems]]*2+ROUNDUP(TblProd[[#This Row],[Bank Ore]]/(1 + tech_2_2*Techs!Y71),0)=0,"Ok","Nope")))))</f>
        <v/>
      </c>
      <c r="BI71" s="94">
        <f ca="1">TblProd[[#This Row],[Platinum]]</f>
        <v>161841</v>
      </c>
      <c r="BJ71" s="94">
        <f ca="1">TblProd[[#This Row],[Food]]</f>
        <v>121872</v>
      </c>
      <c r="BK71" s="94">
        <f ca="1">TblProd[[#This Row],[Lumber]]</f>
        <v>56649</v>
      </c>
      <c r="BL71" s="94">
        <f ca="1">TblProd[[#This Row],[Mana]]</f>
        <v>0</v>
      </c>
      <c r="BM71" s="94">
        <f ca="1">TblProd[[#This Row],[Ore]]</f>
        <v>0</v>
      </c>
    </row>
    <row r="72" spans="1:65" x14ac:dyDescent="0.2">
      <c r="A72" s="137">
        <f t="shared" si="0"/>
        <v>33</v>
      </c>
      <c r="B72" s="152">
        <f ca="1">TblImps[[#This Row],[Time]]</f>
        <v>46049.833333333168</v>
      </c>
      <c r="C72" s="153"/>
      <c r="D72" s="154"/>
      <c r="E72" s="94">
        <f ca="1">TblConstr[[#This Row],[Land]]</f>
        <v>110</v>
      </c>
      <c r="F72" s="94">
        <f ca="1">TblPop[[#This Row],[Peasants]]</f>
        <v>507</v>
      </c>
      <c r="G72" s="94">
        <f ca="1">TblMili[[#This Row],[Networth (2)]]</f>
        <v>2450</v>
      </c>
      <c r="H72" s="94">
        <f ca="1">OFFSET(TblProd[[#This Row],[Platinum]],-1,0)+OFFSET(TblProd[[#This Row],[Plat/hr]],-1,0) - TblProd[[#This Row],[Expenses Platinum]] + IF(TblProd[[#This Row],[Plat Bonus]],TblPop[[#This Row],[Peasants]]*4) + SUM(TblConstr[[#This Row],[Dest Hom]:[Dest Doc]])*TblConstr[[#This Row],[CPA Platinum -DB]]*tech_3_3_2*TblTech[[#This Row],[3-3]]</f>
        <v>163223</v>
      </c>
      <c r="I72" s="94">
        <f ca="1">OFFSET(TblProd[[#This Row],[Food]],-1,0)+OFFSET(TblProd[[#This Row],[Food/hr]],-1,0)+ROUNDUP((TblConstr[[#This Row],[Farms]]*80+TblConstr[[#This Row],[Docks]]*35)*(1+OFFSET(TblProd[[#This Row],[Bonus Food/hr]],-1,0)),0)</f>
        <v>122964</v>
      </c>
      <c r="J72" s="94">
        <f ca="1">OFFSET(TblProd[[#This Row],[Lumber]],-1,0)+OFFSET(TblProd[[#This Row],[Lumber/hr]],-1,0) - TblProd[[#This Row],[Expenses Lumber]] + SUM(TblConstr[[#This Row],[Dest Hom]:[Dest Doc]])*TblConstr[[#This Row],[CPA Lumber -DB]]*tech_3_3_2*TblTech[[#This Row],[3-3]]</f>
        <v>57083</v>
      </c>
      <c r="K72" s="94">
        <f ca="1">OFFSET(TblProd[[#This Row],[Mana]],-1,0)+OFFSET(TblProd[[#This Row],[Mana/hr]],-1,0)- TblProd[[#This Row],[Expenses Mana]]</f>
        <v>0</v>
      </c>
      <c r="L72" s="94">
        <f ca="1">OFFSET(TblProd[[#This Row],[Ore]],-1,0)+OFFSET(TblProd[[#This Row],[Ore/hr]],-1,0) -TblProd[[#This Row],[Expenses Ore]]</f>
        <v>0</v>
      </c>
      <c r="M72" s="94">
        <f ca="1">OFFSET(TblProd[[#This Row],[Gems]],-1,0)+OFFSET(TblProd[[#This Row],[Gems/hr]],-1,0) - TblProd[[#This Row],[Expenses Gems]]</f>
        <v>0</v>
      </c>
      <c r="N72" s="94">
        <f ca="1">OFFSET(TblProd[[#This Row],[Boats]],-1,0)+OFFSET(TblProd[[#This Row],[Boats/hr]],-1,0)</f>
        <v>0</v>
      </c>
      <c r="O72" s="94">
        <f ca="1">OFFSET(TblProd[[#This Row],[Prestige]],-1,0)</f>
        <v>250</v>
      </c>
      <c r="P7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2" s="94">
        <f ca="1">MAX(_xlfn.CEILING.MATH(TblProd[[#This Row],[Land]]*2.5+IFERROR(OFFSET(TblTech[[#This Row],[Sum of tech]],-1,0)*50,0)),3750)</f>
        <v>3750</v>
      </c>
      <c r="R72" s="142"/>
      <c r="S72" s="94">
        <f ca="1">ROUNDDOWN(TblProd[[#This Row],[Raw Plat/hr]]*(1+TblProd[[#This Row],[Bonus Plat/hr]]),0)</f>
        <v>1368</v>
      </c>
      <c r="T72" s="94">
        <f ca="1">ROUND(TblProd[[#This Row],[Raw Food/hr]]*(1+TblProd[[#This Row],[Bonus Food/hr]])-TblProd[[#This Row],[Food decay]]-TblProd[[#This Row],[Food eaten]],0)</f>
        <v>1081</v>
      </c>
      <c r="U72" s="94">
        <f ca="1">ROUND(TblProd[[#This Row],[Raw Lumber/hr]]*(1+TblProd[[#This Row],[Bonus Lumber/hr]])-TblProd[[#This Row],[Lumber rot]],0)</f>
        <v>429</v>
      </c>
      <c r="V72" s="94">
        <f ca="1">ROUND(TblProd[[#This Row],[Raw Mana/hr]]*(1+TblProd[[#This Row],[Bonus Mana/hr]])-TblProd[[#This Row],[Mana drain]],0)</f>
        <v>0</v>
      </c>
      <c r="W72" s="94">
        <f ca="1">ROUNDDOWN(TblProd[[#This Row],[Raw Ore/hr]]*(1+TblProd[[#This Row],[Bonux Ore/hr]]),0)</f>
        <v>0</v>
      </c>
      <c r="X72" s="94">
        <f ca="1">ROUNDDOWN(TblProd[[#This Row],[Raw Gems/hr]]*(1+TblProd[[#This Row],[Bonus Gems/hr]]),0)</f>
        <v>0</v>
      </c>
      <c r="Y72" s="155">
        <f ca="1">OFFSET(TblConstr[[#This Row],[Tot Doc]],1,0)*dock_boats_hr * (1 + tech_4_1*TblTech[[#This Row],[4-1]])</f>
        <v>0</v>
      </c>
      <c r="Z72" s="154"/>
      <c r="AA72" s="94">
        <f ca="1">TblPop[[#This Row],[Peasants]]*tax*TblPop[[#This Row],[Employment]] + (Construction!AZ73+Construction!BX73)*(alch_plat+(Magic!AN72&gt;0)*alchemist_flame_bonus)</f>
        <v>1368.9</v>
      </c>
      <c r="AB72" s="94">
        <f ca="1">TblConstr[[#This Row],[Tot Farm]]*farm_food + TblConstr[[#This Row],[Tot Doc]]*dock_food</f>
        <v>2400</v>
      </c>
      <c r="AC72" s="94">
        <f ca="1">TblConstr[[#This Row],[Tot Ly]]*ly_lumber + TblConstr[[#This Row],[Tot Hav]]*fh_lumber + IF(race="Wood Elf",TblMili[[#This Row],[Unit 2]]*MIN(TblMili[[#This Row],[Homeland%]]/wisp_bonus,wisp_cap),0)</f>
        <v>1000</v>
      </c>
      <c r="AD72" s="94">
        <f ca="1">OFFSET(TblConstr[[#This Row],[Tot Tow]],1,0)*(tower_mana + tech_4_5*TblTech[[#This Row],[4-5]]) + OFFSET(TblConstr[[#This Row],[Tot WG]],1,0)*wg_mana_prod</f>
        <v>0</v>
      </c>
      <c r="AE72" s="94">
        <f ca="1">OFFSET(TblConstr[[#This Row],[Tot OM]],1,0)*om_ore+IF(race="Dwarf",TblMili[[#This Row],[Unit 2]]*0.5,0)</f>
        <v>0</v>
      </c>
      <c r="AF72" s="94">
        <f ca="1">OFFSET(TblConstr[[#This Row],[Tot DM]],1,0)*dm_gems</f>
        <v>0</v>
      </c>
      <c r="AG72" s="142"/>
      <c r="AH72" s="156">
        <f ca="1">MIN(race_platinum_bonus + IF(TblMagic[[#This Row],[Active Alch Frost]]&gt;0,alch_frost_bonus,IF(Magic!AE72&gt;0,midas_bonus)) + TblImps[[#This Row],[Science]] - TblProd[[#This Row],[Guard]]*(0.02 + tech_5_7*TblTech[[#This Row],[5-7]]) + tech_1_5*TblTech[[#This Row],[1-5]] + tech_4_4*TblTech[[#This Row],[4-4]] + IF(TblMagic[[#This Row],[Active Infernal Command]]&gt;0,demonic_pact_plat,0), 0.5)</f>
        <v>0</v>
      </c>
      <c r="AI7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2" s="156">
        <f ca="1">race_lumber_bonus+ IF(TblMagic[[#This Row],[Active Gaia''s Blessing]]&gt;0,gaias_blessing_lumber)+ tech_1_3*TblTech[[#This Row],[1-3]] + tech_1_6*TblTech[[#This Row],[1-6]] + tech_3_3*TblTech[[#This Row],[3-3]]</f>
        <v>0</v>
      </c>
      <c r="AK72" s="156">
        <f ca="1">race_mana_bonus+ 0 + TblImps[[#This Row],[Spires]] + tech_1_2*TblTech[[#This Row],[1-2]] + tech_3_4*TblTech[[#This Row],[3-4]]</f>
        <v>0</v>
      </c>
      <c r="AL72" s="156">
        <f ca="1">race_ore_bonus + IF(TblMagic[[#This Row],[Active Miner''s Sight]]&gt;0,miners_sight_bonus,IF(TblMagic[[#This Row],[Active Mining Strength]]&gt;0,mining_strength_bonus)) +  tech_1_6*TblTech[[#This Row],[1-6]]</f>
        <v>0</v>
      </c>
      <c r="AM72" s="156">
        <f>race_gem_bonus+ tech_3_2*TblTech[[#This Row],[3-2]] + tech_4_3*TblTech[[#This Row],[4-3]] + tech_6_2*TblTech[[#This Row],[6-2]]</f>
        <v>0</v>
      </c>
      <c r="AN72" s="142"/>
      <c r="AO72" s="94">
        <f ca="1">TblProd[[#This Row],[Food]]*food_decay * (1 + tech_2_1*TblTech[[#This Row],[2-1]] + tech_2_8*TblTech[[#This Row],[2-8]] + IF(AND(TblMagic[[#This Row],[Active DnD]]&lt;12,TblMagic[[#This Row],[Active DnD]]&gt;5),1,0))</f>
        <v>1229.6400000000001</v>
      </c>
      <c r="AP72" s="94">
        <f ca="1">(1+race_food_consumption)*TblPop[[#This Row],[Total]]*food_per_person*(1+tech_1_10*TblTech[[#This Row],[1-10]]+tech_7_5*TblTech[[#This Row],[7-5]] + IF(TblMagic[[#This Row],[Active Infernal Command]]&gt;0,demonic_pact_food_cons,0))</f>
        <v>269</v>
      </c>
      <c r="AQ72" s="94">
        <f ca="1">TblProd[[#This Row],[Lumber]]*lumber_rot * (1 + tech_2_1*TblTech[[#This Row],[2-1]] + tech_2_8*TblTech[[#This Row],[2-8]] + tech_5_2*TblTech[[#This Row],[5-2]] + IF(AND(TblMagic[[#This Row],[Active DnD]]&lt;12,TblMagic[[#This Row],[Active DnD]]&gt;5),1,0))</f>
        <v>570.83000000000004</v>
      </c>
      <c r="AR72" s="94">
        <f ca="1">TblProd[[#This Row],[Mana]]*mana_drain * (1 + tech_2_1*TblTech[[#This Row],[2-1]] + tech_2_8*TblTech[[#This Row],[2-8]])</f>
        <v>0</v>
      </c>
      <c r="AS72" s="154"/>
      <c r="AT72" s="94">
        <f ca="1">TblExplore[[#This Row],[Platinum (2)]]+TblConstr[[#This Row],[Total Plat Cost]]+TblMili[[#This Row],[Plat Cost]]+TblRezone[[#This Row],[Platinum cost]]+TblImps[[#This Row],[P1]]-TblProd[[#This Row],[Bank Plat]]</f>
        <v>0</v>
      </c>
      <c r="AU72" s="94">
        <f ca="1">TblConstr[[#This Row],[Total Lum Cost]]+TblImps[[#This Row],[L1]]-TblProd[[#This Row],[Bank Lumber]] + Military!$CO$25*TblMili[[#This Row],[Sec. rec. Cost]]</f>
        <v>0</v>
      </c>
      <c r="AV72" s="94">
        <f ca="1">TblMagic[[#This Row],[Mana cost]] + Military!$CO$26*TblMili[[#This Row],[Sec. rec. Cost]]</f>
        <v>0</v>
      </c>
      <c r="AW72" s="94">
        <f ca="1">Military!$CO$24*TblMili[[#This Row],[Sec. rec. Cost]]+TblImps[[#This Row],[O1]]-TblProd[[#This Row],[Bank Ore]]</f>
        <v>0</v>
      </c>
      <c r="AX72" s="94">
        <f>TblImps[[#This Row],[G1]]-TblProd[[#This Row],[Bank Gems]]</f>
        <v>0</v>
      </c>
      <c r="AY72" s="142"/>
      <c r="AZ72" s="61" t="b">
        <f ca="1">IF(TblProd[[#This Row],[Set Guard]]&lt;&gt;"",TblProd[[#This Row],[Set Guard]],OFFSET(TblProd[[#This Row],[Guard]],-1,0))</f>
        <v>0</v>
      </c>
      <c r="BA72" s="153"/>
      <c r="BB72" s="45">
        <f>TblProd[[#This Row],[Hour]]</f>
        <v>33</v>
      </c>
      <c r="BC72" s="158">
        <f>-TblProd[[#This Row],[Bank Lumber]] / 2 + -TblProd[[#This Row],[Bank Gems]] * 2 + -TblProd[[#This Row],[Bank Ore]] / 2</f>
        <v>0</v>
      </c>
      <c r="BD72" s="158"/>
      <c r="BE72" s="158"/>
      <c r="BF72" s="158"/>
      <c r="BG72" s="159">
        <f ca="1">TblProd[[#This Row],[Time]]</f>
        <v>46049.833333333168</v>
      </c>
      <c r="BH72" s="45" t="str">
        <f>IF(AND(TblProd[[#This Row],[Bank Plat]]=0,TblProd[[#This Row],[Bank Lumber]]=0,TblProd[[#This Row],[Bank Ore]]=0,TblProd[[#This Row],[Bank Gems]]=0),"",IF(TblProd[[#This Row],[Bank Plat]]&gt;0,IF((TblProd[[#This Row],[Bank Lumber]]+TblProd[[#This Row],[Bank Ore]])/2+TblProd[[#This Row],[Bank Gems]]*2+ROUNDUP(TblProd[[#This Row],[Bank Plat]]/(1 + tech_2_2*Techs!Y72),0)=0,"Ok","Nope"),IF(TblProd[[#This Row],[Bank Lumber]]&gt;0,IF((TblProd[[#This Row],[Bank Plat]]+TblProd[[#This Row],[Bank Ore]])/2+TblProd[[#This Row],[Bank Gems]]*2+ROUNDUP(TblProd[[#This Row],[Bank Lumber]]/(1 + tech_2_2*Techs!Y72),0)=0,"Ok","Nope"),IF(TblProd[[#This Row],[Bank Ore]]&gt;0,IF((TblProd[[#This Row],[Bank Plat]]+TblProd[[#This Row],[Bank Lumber]])/2+TblProd[[#This Row],[Bank Gems]]*2+ROUNDUP(TblProd[[#This Row],[Bank Ore]]/(1 + tech_2_2*Techs!Y72),0)=0,"Ok","Nope")))))</f>
        <v/>
      </c>
      <c r="BI72" s="94">
        <f ca="1">TblProd[[#This Row],[Platinum]]</f>
        <v>163223</v>
      </c>
      <c r="BJ72" s="94">
        <f ca="1">TblProd[[#This Row],[Food]]</f>
        <v>122964</v>
      </c>
      <c r="BK72" s="94">
        <f ca="1">TblProd[[#This Row],[Lumber]]</f>
        <v>57083</v>
      </c>
      <c r="BL72" s="94">
        <f ca="1">TblProd[[#This Row],[Mana]]</f>
        <v>0</v>
      </c>
      <c r="BM72" s="94">
        <f ca="1">TblProd[[#This Row],[Ore]]</f>
        <v>0</v>
      </c>
    </row>
    <row r="73" spans="1:65" x14ac:dyDescent="0.2">
      <c r="A73" s="137">
        <f t="shared" si="0"/>
        <v>34</v>
      </c>
      <c r="B73" s="152">
        <f ca="1">TblImps[[#This Row],[Time]]</f>
        <v>46049.874999999833</v>
      </c>
      <c r="C73" s="153"/>
      <c r="D73" s="154"/>
      <c r="E73" s="94">
        <f ca="1">TblConstr[[#This Row],[Land]]</f>
        <v>110</v>
      </c>
      <c r="F73" s="94">
        <f ca="1">TblPop[[#This Row],[Peasants]]</f>
        <v>502</v>
      </c>
      <c r="G73" s="94">
        <f ca="1">TblMili[[#This Row],[Networth (2)]]</f>
        <v>2450</v>
      </c>
      <c r="H73" s="94">
        <f ca="1">OFFSET(TblProd[[#This Row],[Platinum]],-1,0)+OFFSET(TblProd[[#This Row],[Plat/hr]],-1,0) - TblProd[[#This Row],[Expenses Platinum]] + IF(TblProd[[#This Row],[Plat Bonus]],TblPop[[#This Row],[Peasants]]*4) + SUM(TblConstr[[#This Row],[Dest Hom]:[Dest Doc]])*TblConstr[[#This Row],[CPA Platinum -DB]]*tech_3_3_2*TblTech[[#This Row],[3-3]]</f>
        <v>164591</v>
      </c>
      <c r="I73" s="94">
        <f ca="1">OFFSET(TblProd[[#This Row],[Food]],-1,0)+OFFSET(TblProd[[#This Row],[Food/hr]],-1,0)+ROUNDUP((TblConstr[[#This Row],[Farms]]*80+TblConstr[[#This Row],[Docks]]*35)*(1+OFFSET(TblProd[[#This Row],[Bonus Food/hr]],-1,0)),0)</f>
        <v>124045</v>
      </c>
      <c r="J73" s="94">
        <f ca="1">OFFSET(TblProd[[#This Row],[Lumber]],-1,0)+OFFSET(TblProd[[#This Row],[Lumber/hr]],-1,0) - TblProd[[#This Row],[Expenses Lumber]] + SUM(TblConstr[[#This Row],[Dest Hom]:[Dest Doc]])*TblConstr[[#This Row],[CPA Lumber -DB]]*tech_3_3_2*TblTech[[#This Row],[3-3]]</f>
        <v>57512</v>
      </c>
      <c r="K73" s="94">
        <f ca="1">OFFSET(TblProd[[#This Row],[Mana]],-1,0)+OFFSET(TblProd[[#This Row],[Mana/hr]],-1,0)- TblProd[[#This Row],[Expenses Mana]]</f>
        <v>0</v>
      </c>
      <c r="L73" s="94">
        <f ca="1">OFFSET(TblProd[[#This Row],[Ore]],-1,0)+OFFSET(TblProd[[#This Row],[Ore/hr]],-1,0) -TblProd[[#This Row],[Expenses Ore]]</f>
        <v>0</v>
      </c>
      <c r="M73" s="94">
        <f ca="1">OFFSET(TblProd[[#This Row],[Gems]],-1,0)+OFFSET(TblProd[[#This Row],[Gems/hr]],-1,0) - TblProd[[#This Row],[Expenses Gems]]</f>
        <v>0</v>
      </c>
      <c r="N73" s="94">
        <f ca="1">OFFSET(TblProd[[#This Row],[Boats]],-1,0)+OFFSET(TblProd[[#This Row],[Boats/hr]],-1,0)</f>
        <v>0</v>
      </c>
      <c r="O73" s="94">
        <f ca="1">OFFSET(TblProd[[#This Row],[Prestige]],-1,0)</f>
        <v>250</v>
      </c>
      <c r="P7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3" s="94">
        <f ca="1">MAX(_xlfn.CEILING.MATH(TblProd[[#This Row],[Land]]*2.5+IFERROR(OFFSET(TblTech[[#This Row],[Sum of tech]],-1,0)*50,0)),3750)</f>
        <v>3750</v>
      </c>
      <c r="R73" s="142"/>
      <c r="S73" s="94">
        <f ca="1">ROUNDDOWN(TblProd[[#This Row],[Raw Plat/hr]]*(1+TblProd[[#This Row],[Bonus Plat/hr]]),0)</f>
        <v>1355</v>
      </c>
      <c r="T73" s="94">
        <f ca="1">ROUND(TblProd[[#This Row],[Raw Food/hr]]*(1+TblProd[[#This Row],[Bonus Food/hr]])-TblProd[[#This Row],[Food decay]]-TblProd[[#This Row],[Food eaten]],0)</f>
        <v>1071</v>
      </c>
      <c r="U73" s="94">
        <f ca="1">ROUND(TblProd[[#This Row],[Raw Lumber/hr]]*(1+TblProd[[#This Row],[Bonus Lumber/hr]])-TblProd[[#This Row],[Lumber rot]],0)</f>
        <v>425</v>
      </c>
      <c r="V73" s="94">
        <f ca="1">ROUND(TblProd[[#This Row],[Raw Mana/hr]]*(1+TblProd[[#This Row],[Bonus Mana/hr]])-TblProd[[#This Row],[Mana drain]],0)</f>
        <v>0</v>
      </c>
      <c r="W73" s="94">
        <f ca="1">ROUNDDOWN(TblProd[[#This Row],[Raw Ore/hr]]*(1+TblProd[[#This Row],[Bonux Ore/hr]]),0)</f>
        <v>0</v>
      </c>
      <c r="X73" s="94">
        <f ca="1">ROUNDDOWN(TblProd[[#This Row],[Raw Gems/hr]]*(1+TblProd[[#This Row],[Bonus Gems/hr]]),0)</f>
        <v>0</v>
      </c>
      <c r="Y73" s="155">
        <f ca="1">OFFSET(TblConstr[[#This Row],[Tot Doc]],1,0)*dock_boats_hr * (1 + tech_4_1*TblTech[[#This Row],[4-1]])</f>
        <v>0</v>
      </c>
      <c r="Z73" s="154"/>
      <c r="AA73" s="94">
        <f ca="1">TblPop[[#This Row],[Peasants]]*tax*TblPop[[#This Row],[Employment]] + (Construction!AZ74+Construction!BX74)*(alch_plat+(Magic!AN73&gt;0)*alchemist_flame_bonus)</f>
        <v>1355.4</v>
      </c>
      <c r="AB73" s="94">
        <f ca="1">TblConstr[[#This Row],[Tot Farm]]*farm_food + TblConstr[[#This Row],[Tot Doc]]*dock_food</f>
        <v>2400</v>
      </c>
      <c r="AC73" s="94">
        <f ca="1">TblConstr[[#This Row],[Tot Ly]]*ly_lumber + TblConstr[[#This Row],[Tot Hav]]*fh_lumber + IF(race="Wood Elf",TblMili[[#This Row],[Unit 2]]*MIN(TblMili[[#This Row],[Homeland%]]/wisp_bonus,wisp_cap),0)</f>
        <v>1000</v>
      </c>
      <c r="AD73" s="94">
        <f ca="1">OFFSET(TblConstr[[#This Row],[Tot Tow]],1,0)*(tower_mana + tech_4_5*TblTech[[#This Row],[4-5]]) + OFFSET(TblConstr[[#This Row],[Tot WG]],1,0)*wg_mana_prod</f>
        <v>0</v>
      </c>
      <c r="AE73" s="94">
        <f ca="1">OFFSET(TblConstr[[#This Row],[Tot OM]],1,0)*om_ore+IF(race="Dwarf",TblMili[[#This Row],[Unit 2]]*0.5,0)</f>
        <v>0</v>
      </c>
      <c r="AF73" s="94">
        <f ca="1">OFFSET(TblConstr[[#This Row],[Tot DM]],1,0)*dm_gems</f>
        <v>0</v>
      </c>
      <c r="AG73" s="142"/>
      <c r="AH73" s="156">
        <f ca="1">MIN(race_platinum_bonus + IF(TblMagic[[#This Row],[Active Alch Frost]]&gt;0,alch_frost_bonus,IF(Magic!AE73&gt;0,midas_bonus)) + TblImps[[#This Row],[Science]] - TblProd[[#This Row],[Guard]]*(0.02 + tech_5_7*TblTech[[#This Row],[5-7]]) + tech_1_5*TblTech[[#This Row],[1-5]] + tech_4_4*TblTech[[#This Row],[4-4]] + IF(TblMagic[[#This Row],[Active Infernal Command]]&gt;0,demonic_pact_plat,0), 0.5)</f>
        <v>0</v>
      </c>
      <c r="AI7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3" s="156">
        <f ca="1">race_lumber_bonus+ IF(TblMagic[[#This Row],[Active Gaia''s Blessing]]&gt;0,gaias_blessing_lumber)+ tech_1_3*TblTech[[#This Row],[1-3]] + tech_1_6*TblTech[[#This Row],[1-6]] + tech_3_3*TblTech[[#This Row],[3-3]]</f>
        <v>0</v>
      </c>
      <c r="AK73" s="156">
        <f ca="1">race_mana_bonus+ 0 + TblImps[[#This Row],[Spires]] + tech_1_2*TblTech[[#This Row],[1-2]] + tech_3_4*TblTech[[#This Row],[3-4]]</f>
        <v>0</v>
      </c>
      <c r="AL73" s="156">
        <f ca="1">race_ore_bonus + IF(TblMagic[[#This Row],[Active Miner''s Sight]]&gt;0,miners_sight_bonus,IF(TblMagic[[#This Row],[Active Mining Strength]]&gt;0,mining_strength_bonus)) +  tech_1_6*TblTech[[#This Row],[1-6]]</f>
        <v>0</v>
      </c>
      <c r="AM73" s="156">
        <f>race_gem_bonus+ tech_3_2*TblTech[[#This Row],[3-2]] + tech_4_3*TblTech[[#This Row],[4-3]] + tech_6_2*TblTech[[#This Row],[6-2]]</f>
        <v>0</v>
      </c>
      <c r="AN73" s="142"/>
      <c r="AO73" s="94">
        <f ca="1">TblProd[[#This Row],[Food]]*food_decay * (1 + tech_2_1*TblTech[[#This Row],[2-1]] + tech_2_8*TblTech[[#This Row],[2-8]] + IF(AND(TblMagic[[#This Row],[Active DnD]]&lt;12,TblMagic[[#This Row],[Active DnD]]&gt;5),1,0))</f>
        <v>1240.45</v>
      </c>
      <c r="AP73" s="94">
        <f ca="1">(1+race_food_consumption)*TblPop[[#This Row],[Total]]*food_per_person*(1+tech_1_10*TblTech[[#This Row],[1-10]]+tech_7_5*TblTech[[#This Row],[7-5]] + IF(TblMagic[[#This Row],[Active Infernal Command]]&gt;0,demonic_pact_food_cons,0))</f>
        <v>269</v>
      </c>
      <c r="AQ73" s="94">
        <f ca="1">TblProd[[#This Row],[Lumber]]*lumber_rot * (1 + tech_2_1*TblTech[[#This Row],[2-1]] + tech_2_8*TblTech[[#This Row],[2-8]] + tech_5_2*TblTech[[#This Row],[5-2]] + IF(AND(TblMagic[[#This Row],[Active DnD]]&lt;12,TblMagic[[#This Row],[Active DnD]]&gt;5),1,0))</f>
        <v>575.12</v>
      </c>
      <c r="AR73" s="94">
        <f ca="1">TblProd[[#This Row],[Mana]]*mana_drain * (1 + tech_2_1*TblTech[[#This Row],[2-1]] + tech_2_8*TblTech[[#This Row],[2-8]])</f>
        <v>0</v>
      </c>
      <c r="AS73" s="154"/>
      <c r="AT73" s="94">
        <f ca="1">TblExplore[[#This Row],[Platinum (2)]]+TblConstr[[#This Row],[Total Plat Cost]]+TblMili[[#This Row],[Plat Cost]]+TblRezone[[#This Row],[Platinum cost]]+TblImps[[#This Row],[P1]]-TblProd[[#This Row],[Bank Plat]]</f>
        <v>0</v>
      </c>
      <c r="AU73" s="94">
        <f ca="1">TblConstr[[#This Row],[Total Lum Cost]]+TblImps[[#This Row],[L1]]-TblProd[[#This Row],[Bank Lumber]] + Military!$CO$25*TblMili[[#This Row],[Sec. rec. Cost]]</f>
        <v>0</v>
      </c>
      <c r="AV73" s="94">
        <f ca="1">TblMagic[[#This Row],[Mana cost]] + Military!$CO$26*TblMili[[#This Row],[Sec. rec. Cost]]</f>
        <v>0</v>
      </c>
      <c r="AW73" s="94">
        <f ca="1">Military!$CO$24*TblMili[[#This Row],[Sec. rec. Cost]]+TblImps[[#This Row],[O1]]-TblProd[[#This Row],[Bank Ore]]</f>
        <v>0</v>
      </c>
      <c r="AX73" s="94">
        <f>TblImps[[#This Row],[G1]]-TblProd[[#This Row],[Bank Gems]]</f>
        <v>0</v>
      </c>
      <c r="AY73" s="142"/>
      <c r="AZ73" s="61" t="b">
        <f ca="1">IF(TblProd[[#This Row],[Set Guard]]&lt;&gt;"",TblProd[[#This Row],[Set Guard]],OFFSET(TblProd[[#This Row],[Guard]],-1,0))</f>
        <v>0</v>
      </c>
      <c r="BA73" s="153"/>
      <c r="BB73" s="45">
        <f>TblProd[[#This Row],[Hour]]</f>
        <v>34</v>
      </c>
      <c r="BC73" s="158">
        <f>-TblProd[[#This Row],[Bank Lumber]] / 2 + -TblProd[[#This Row],[Bank Gems]] * 2 + -TblProd[[#This Row],[Bank Ore]] / 2</f>
        <v>0</v>
      </c>
      <c r="BD73" s="158"/>
      <c r="BE73" s="158"/>
      <c r="BF73" s="158"/>
      <c r="BG73" s="159">
        <f ca="1">TblProd[[#This Row],[Time]]</f>
        <v>46049.874999999833</v>
      </c>
      <c r="BH73" s="45" t="str">
        <f>IF(AND(TblProd[[#This Row],[Bank Plat]]=0,TblProd[[#This Row],[Bank Lumber]]=0,TblProd[[#This Row],[Bank Ore]]=0,TblProd[[#This Row],[Bank Gems]]=0),"",IF(TblProd[[#This Row],[Bank Plat]]&gt;0,IF((TblProd[[#This Row],[Bank Lumber]]+TblProd[[#This Row],[Bank Ore]])/2+TblProd[[#This Row],[Bank Gems]]*2+ROUNDUP(TblProd[[#This Row],[Bank Plat]]/(1 + tech_2_2*Techs!Y73),0)=0,"Ok","Nope"),IF(TblProd[[#This Row],[Bank Lumber]]&gt;0,IF((TblProd[[#This Row],[Bank Plat]]+TblProd[[#This Row],[Bank Ore]])/2+TblProd[[#This Row],[Bank Gems]]*2+ROUNDUP(TblProd[[#This Row],[Bank Lumber]]/(1 + tech_2_2*Techs!Y73),0)=0,"Ok","Nope"),IF(TblProd[[#This Row],[Bank Ore]]&gt;0,IF((TblProd[[#This Row],[Bank Plat]]+TblProd[[#This Row],[Bank Lumber]])/2+TblProd[[#This Row],[Bank Gems]]*2+ROUNDUP(TblProd[[#This Row],[Bank Ore]]/(1 + tech_2_2*Techs!Y73),0)=0,"Ok","Nope")))))</f>
        <v/>
      </c>
      <c r="BI73" s="94">
        <f ca="1">TblProd[[#This Row],[Platinum]]</f>
        <v>164591</v>
      </c>
      <c r="BJ73" s="94">
        <f ca="1">TblProd[[#This Row],[Food]]</f>
        <v>124045</v>
      </c>
      <c r="BK73" s="94">
        <f ca="1">TblProd[[#This Row],[Lumber]]</f>
        <v>57512</v>
      </c>
      <c r="BL73" s="94">
        <f ca="1">TblProd[[#This Row],[Mana]]</f>
        <v>0</v>
      </c>
      <c r="BM73" s="94">
        <f ca="1">TblProd[[#This Row],[Ore]]</f>
        <v>0</v>
      </c>
    </row>
    <row r="74" spans="1:65" x14ac:dyDescent="0.2">
      <c r="A74" s="137">
        <f t="shared" si="0"/>
        <v>35</v>
      </c>
      <c r="B74" s="152">
        <f ca="1">TblImps[[#This Row],[Time]]</f>
        <v>46049.916666666497</v>
      </c>
      <c r="C74" s="153"/>
      <c r="D74" s="154"/>
      <c r="E74" s="94">
        <f ca="1">TblConstr[[#This Row],[Land]]</f>
        <v>110</v>
      </c>
      <c r="F74" s="94">
        <f ca="1">TblPop[[#This Row],[Peasants]]</f>
        <v>497</v>
      </c>
      <c r="G74" s="94">
        <f ca="1">TblMili[[#This Row],[Networth (2)]]</f>
        <v>2450</v>
      </c>
      <c r="H74" s="94">
        <f ca="1">OFFSET(TblProd[[#This Row],[Platinum]],-1,0)+OFFSET(TblProd[[#This Row],[Plat/hr]],-1,0) - TblProd[[#This Row],[Expenses Platinum]] + IF(TblProd[[#This Row],[Plat Bonus]],TblPop[[#This Row],[Peasants]]*4) + SUM(TblConstr[[#This Row],[Dest Hom]:[Dest Doc]])*TblConstr[[#This Row],[CPA Platinum -DB]]*tech_3_3_2*TblTech[[#This Row],[3-3]]</f>
        <v>165946</v>
      </c>
      <c r="I74" s="94">
        <f ca="1">OFFSET(TblProd[[#This Row],[Food]],-1,0)+OFFSET(TblProd[[#This Row],[Food/hr]],-1,0)+ROUNDUP((TblConstr[[#This Row],[Farms]]*80+TblConstr[[#This Row],[Docks]]*35)*(1+OFFSET(TblProd[[#This Row],[Bonus Food/hr]],-1,0)),0)</f>
        <v>125116</v>
      </c>
      <c r="J74" s="94">
        <f ca="1">OFFSET(TblProd[[#This Row],[Lumber]],-1,0)+OFFSET(TblProd[[#This Row],[Lumber/hr]],-1,0) - TblProd[[#This Row],[Expenses Lumber]] + SUM(TblConstr[[#This Row],[Dest Hom]:[Dest Doc]])*TblConstr[[#This Row],[CPA Lumber -DB]]*tech_3_3_2*TblTech[[#This Row],[3-3]]</f>
        <v>57937</v>
      </c>
      <c r="K74" s="94">
        <f ca="1">OFFSET(TblProd[[#This Row],[Mana]],-1,0)+OFFSET(TblProd[[#This Row],[Mana/hr]],-1,0)- TblProd[[#This Row],[Expenses Mana]]</f>
        <v>0</v>
      </c>
      <c r="L74" s="94">
        <f ca="1">OFFSET(TblProd[[#This Row],[Ore]],-1,0)+OFFSET(TblProd[[#This Row],[Ore/hr]],-1,0) -TblProd[[#This Row],[Expenses Ore]]</f>
        <v>0</v>
      </c>
      <c r="M74" s="94">
        <f ca="1">OFFSET(TblProd[[#This Row],[Gems]],-1,0)+OFFSET(TblProd[[#This Row],[Gems/hr]],-1,0) - TblProd[[#This Row],[Expenses Gems]]</f>
        <v>0</v>
      </c>
      <c r="N74" s="94">
        <f ca="1">OFFSET(TblProd[[#This Row],[Boats]],-1,0)+OFFSET(TblProd[[#This Row],[Boats/hr]],-1,0)</f>
        <v>0</v>
      </c>
      <c r="O74" s="94">
        <f ca="1">OFFSET(TblProd[[#This Row],[Prestige]],-1,0)</f>
        <v>250</v>
      </c>
      <c r="P7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4" s="94">
        <f ca="1">MAX(_xlfn.CEILING.MATH(TblProd[[#This Row],[Land]]*2.5+IFERROR(OFFSET(TblTech[[#This Row],[Sum of tech]],-1,0)*50,0)),3750)</f>
        <v>3750</v>
      </c>
      <c r="R74" s="142"/>
      <c r="S74" s="94">
        <f ca="1">ROUNDDOWN(TblProd[[#This Row],[Raw Plat/hr]]*(1+TblProd[[#This Row],[Bonus Plat/hr]]),0)</f>
        <v>1341</v>
      </c>
      <c r="T74" s="94">
        <f ca="1">ROUND(TblProd[[#This Row],[Raw Food/hr]]*(1+TblProd[[#This Row],[Bonus Food/hr]])-TblProd[[#This Row],[Food decay]]-TblProd[[#This Row],[Food eaten]],0)</f>
        <v>1060</v>
      </c>
      <c r="U74" s="94">
        <f ca="1">ROUND(TblProd[[#This Row],[Raw Lumber/hr]]*(1+TblProd[[#This Row],[Bonus Lumber/hr]])-TblProd[[#This Row],[Lumber rot]],0)</f>
        <v>421</v>
      </c>
      <c r="V74" s="94">
        <f ca="1">ROUND(TblProd[[#This Row],[Raw Mana/hr]]*(1+TblProd[[#This Row],[Bonus Mana/hr]])-TblProd[[#This Row],[Mana drain]],0)</f>
        <v>0</v>
      </c>
      <c r="W74" s="94">
        <f ca="1">ROUNDDOWN(TblProd[[#This Row],[Raw Ore/hr]]*(1+TblProd[[#This Row],[Bonux Ore/hr]]),0)</f>
        <v>0</v>
      </c>
      <c r="X74" s="94">
        <f ca="1">ROUNDDOWN(TblProd[[#This Row],[Raw Gems/hr]]*(1+TblProd[[#This Row],[Bonus Gems/hr]]),0)</f>
        <v>0</v>
      </c>
      <c r="Y74" s="155">
        <f ca="1">OFFSET(TblConstr[[#This Row],[Tot Doc]],1,0)*dock_boats_hr * (1 + tech_4_1*TblTech[[#This Row],[4-1]])</f>
        <v>0</v>
      </c>
      <c r="Z74" s="154"/>
      <c r="AA74" s="94">
        <f ca="1">TblPop[[#This Row],[Peasants]]*tax*TblPop[[#This Row],[Employment]] + (Construction!AZ75+Construction!BX75)*(alch_plat+(Magic!AN74&gt;0)*alchemist_flame_bonus)</f>
        <v>1341.9</v>
      </c>
      <c r="AB74" s="94">
        <f ca="1">TblConstr[[#This Row],[Tot Farm]]*farm_food + TblConstr[[#This Row],[Tot Doc]]*dock_food</f>
        <v>2400</v>
      </c>
      <c r="AC74" s="94">
        <f ca="1">TblConstr[[#This Row],[Tot Ly]]*ly_lumber + TblConstr[[#This Row],[Tot Hav]]*fh_lumber + IF(race="Wood Elf",TblMili[[#This Row],[Unit 2]]*MIN(TblMili[[#This Row],[Homeland%]]/wisp_bonus,wisp_cap),0)</f>
        <v>1000</v>
      </c>
      <c r="AD74" s="94">
        <f ca="1">OFFSET(TblConstr[[#This Row],[Tot Tow]],1,0)*(tower_mana + tech_4_5*TblTech[[#This Row],[4-5]]) + OFFSET(TblConstr[[#This Row],[Tot WG]],1,0)*wg_mana_prod</f>
        <v>0</v>
      </c>
      <c r="AE74" s="94">
        <f ca="1">OFFSET(TblConstr[[#This Row],[Tot OM]],1,0)*om_ore+IF(race="Dwarf",TblMili[[#This Row],[Unit 2]]*0.5,0)</f>
        <v>0</v>
      </c>
      <c r="AF74" s="94">
        <f ca="1">OFFSET(TblConstr[[#This Row],[Tot DM]],1,0)*dm_gems</f>
        <v>0</v>
      </c>
      <c r="AG74" s="142"/>
      <c r="AH74" s="156">
        <f ca="1">MIN(race_platinum_bonus + IF(TblMagic[[#This Row],[Active Alch Frost]]&gt;0,alch_frost_bonus,IF(Magic!AE74&gt;0,midas_bonus)) + TblImps[[#This Row],[Science]] - TblProd[[#This Row],[Guard]]*(0.02 + tech_5_7*TblTech[[#This Row],[5-7]]) + tech_1_5*TblTech[[#This Row],[1-5]] + tech_4_4*TblTech[[#This Row],[4-4]] + IF(TblMagic[[#This Row],[Active Infernal Command]]&gt;0,demonic_pact_plat,0), 0.5)</f>
        <v>0</v>
      </c>
      <c r="AI7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4" s="156">
        <f ca="1">race_lumber_bonus+ IF(TblMagic[[#This Row],[Active Gaia''s Blessing]]&gt;0,gaias_blessing_lumber)+ tech_1_3*TblTech[[#This Row],[1-3]] + tech_1_6*TblTech[[#This Row],[1-6]] + tech_3_3*TblTech[[#This Row],[3-3]]</f>
        <v>0</v>
      </c>
      <c r="AK74" s="156">
        <f ca="1">race_mana_bonus+ 0 + TblImps[[#This Row],[Spires]] + tech_1_2*TblTech[[#This Row],[1-2]] + tech_3_4*TblTech[[#This Row],[3-4]]</f>
        <v>0</v>
      </c>
      <c r="AL74" s="156">
        <f ca="1">race_ore_bonus + IF(TblMagic[[#This Row],[Active Miner''s Sight]]&gt;0,miners_sight_bonus,IF(TblMagic[[#This Row],[Active Mining Strength]]&gt;0,mining_strength_bonus)) +  tech_1_6*TblTech[[#This Row],[1-6]]</f>
        <v>0</v>
      </c>
      <c r="AM74" s="156">
        <f>race_gem_bonus+ tech_3_2*TblTech[[#This Row],[3-2]] + tech_4_3*TblTech[[#This Row],[4-3]] + tech_6_2*TblTech[[#This Row],[6-2]]</f>
        <v>0</v>
      </c>
      <c r="AN74" s="142"/>
      <c r="AO74" s="94">
        <f ca="1">TblProd[[#This Row],[Food]]*food_decay * (1 + tech_2_1*TblTech[[#This Row],[2-1]] + tech_2_8*TblTech[[#This Row],[2-8]] + IF(AND(TblMagic[[#This Row],[Active DnD]]&lt;12,TblMagic[[#This Row],[Active DnD]]&gt;5),1,0))</f>
        <v>1251.1600000000001</v>
      </c>
      <c r="AP74" s="94">
        <f ca="1">(1+race_food_consumption)*TblPop[[#This Row],[Total]]*food_per_person*(1+tech_1_10*TblTech[[#This Row],[1-10]]+tech_7_5*TblTech[[#This Row],[7-5]] + IF(TblMagic[[#This Row],[Active Infernal Command]]&gt;0,demonic_pact_food_cons,0))</f>
        <v>269</v>
      </c>
      <c r="AQ74" s="94">
        <f ca="1">TblProd[[#This Row],[Lumber]]*lumber_rot * (1 + tech_2_1*TblTech[[#This Row],[2-1]] + tech_2_8*TblTech[[#This Row],[2-8]] + tech_5_2*TblTech[[#This Row],[5-2]] + IF(AND(TblMagic[[#This Row],[Active DnD]]&lt;12,TblMagic[[#This Row],[Active DnD]]&gt;5),1,0))</f>
        <v>579.37</v>
      </c>
      <c r="AR74" s="94">
        <f ca="1">TblProd[[#This Row],[Mana]]*mana_drain * (1 + tech_2_1*TblTech[[#This Row],[2-1]] + tech_2_8*TblTech[[#This Row],[2-8]])</f>
        <v>0</v>
      </c>
      <c r="AS74" s="154"/>
      <c r="AT74" s="94">
        <f ca="1">TblExplore[[#This Row],[Platinum (2)]]+TblConstr[[#This Row],[Total Plat Cost]]+TblMili[[#This Row],[Plat Cost]]+TblRezone[[#This Row],[Platinum cost]]+TblImps[[#This Row],[P1]]-TblProd[[#This Row],[Bank Plat]]</f>
        <v>0</v>
      </c>
      <c r="AU74" s="94">
        <f ca="1">TblConstr[[#This Row],[Total Lum Cost]]+TblImps[[#This Row],[L1]]-TblProd[[#This Row],[Bank Lumber]] + Military!$CO$25*TblMili[[#This Row],[Sec. rec. Cost]]</f>
        <v>0</v>
      </c>
      <c r="AV74" s="94">
        <f ca="1">TblMagic[[#This Row],[Mana cost]] + Military!$CO$26*TblMili[[#This Row],[Sec. rec. Cost]]</f>
        <v>0</v>
      </c>
      <c r="AW74" s="94">
        <f ca="1">Military!$CO$24*TblMili[[#This Row],[Sec. rec. Cost]]+TblImps[[#This Row],[O1]]-TblProd[[#This Row],[Bank Ore]]</f>
        <v>0</v>
      </c>
      <c r="AX74" s="94">
        <f>TblImps[[#This Row],[G1]]-TblProd[[#This Row],[Bank Gems]]</f>
        <v>0</v>
      </c>
      <c r="AY74" s="142"/>
      <c r="AZ74" s="61" t="b">
        <f ca="1">IF(TblProd[[#This Row],[Set Guard]]&lt;&gt;"",TblProd[[#This Row],[Set Guard]],OFFSET(TblProd[[#This Row],[Guard]],-1,0))</f>
        <v>0</v>
      </c>
      <c r="BA74" s="153"/>
      <c r="BB74" s="45">
        <f>TblProd[[#This Row],[Hour]]</f>
        <v>35</v>
      </c>
      <c r="BC74" s="158">
        <f>-TblProd[[#This Row],[Bank Lumber]] / 2 + -TblProd[[#This Row],[Bank Gems]] * 2 + -TblProd[[#This Row],[Bank Ore]] / 2</f>
        <v>0</v>
      </c>
      <c r="BD74" s="158"/>
      <c r="BE74" s="158"/>
      <c r="BF74" s="158"/>
      <c r="BG74" s="159">
        <f ca="1">TblProd[[#This Row],[Time]]</f>
        <v>46049.916666666497</v>
      </c>
      <c r="BH74" s="45" t="str">
        <f>IF(AND(TblProd[[#This Row],[Bank Plat]]=0,TblProd[[#This Row],[Bank Lumber]]=0,TblProd[[#This Row],[Bank Ore]]=0,TblProd[[#This Row],[Bank Gems]]=0),"",IF(TblProd[[#This Row],[Bank Plat]]&gt;0,IF((TblProd[[#This Row],[Bank Lumber]]+TblProd[[#This Row],[Bank Ore]])/2+TblProd[[#This Row],[Bank Gems]]*2+ROUNDUP(TblProd[[#This Row],[Bank Plat]]/(1 + tech_2_2*Techs!Y74),0)=0,"Ok","Nope"),IF(TblProd[[#This Row],[Bank Lumber]]&gt;0,IF((TblProd[[#This Row],[Bank Plat]]+TblProd[[#This Row],[Bank Ore]])/2+TblProd[[#This Row],[Bank Gems]]*2+ROUNDUP(TblProd[[#This Row],[Bank Lumber]]/(1 + tech_2_2*Techs!Y74),0)=0,"Ok","Nope"),IF(TblProd[[#This Row],[Bank Ore]]&gt;0,IF((TblProd[[#This Row],[Bank Plat]]+TblProd[[#This Row],[Bank Lumber]])/2+TblProd[[#This Row],[Bank Gems]]*2+ROUNDUP(TblProd[[#This Row],[Bank Ore]]/(1 + tech_2_2*Techs!Y74),0)=0,"Ok","Nope")))))</f>
        <v/>
      </c>
      <c r="BI74" s="94">
        <f ca="1">TblProd[[#This Row],[Platinum]]</f>
        <v>165946</v>
      </c>
      <c r="BJ74" s="94">
        <f ca="1">TblProd[[#This Row],[Food]]</f>
        <v>125116</v>
      </c>
      <c r="BK74" s="94">
        <f ca="1">TblProd[[#This Row],[Lumber]]</f>
        <v>57937</v>
      </c>
      <c r="BL74" s="94">
        <f ca="1">TblProd[[#This Row],[Mana]]</f>
        <v>0</v>
      </c>
      <c r="BM74" s="94">
        <f ca="1">TblProd[[#This Row],[Ore]]</f>
        <v>0</v>
      </c>
    </row>
    <row r="75" spans="1:65" x14ac:dyDescent="0.2">
      <c r="A75" s="137">
        <f t="shared" si="0"/>
        <v>36</v>
      </c>
      <c r="B75" s="152">
        <f ca="1">TblImps[[#This Row],[Time]]</f>
        <v>46049.958333333161</v>
      </c>
      <c r="C75" s="153"/>
      <c r="D75" s="154"/>
      <c r="E75" s="94">
        <f ca="1">TblConstr[[#This Row],[Land]]</f>
        <v>110</v>
      </c>
      <c r="F75" s="94">
        <f ca="1">TblPop[[#This Row],[Peasants]]</f>
        <v>492</v>
      </c>
      <c r="G75" s="94">
        <f ca="1">TblMili[[#This Row],[Networth (2)]]</f>
        <v>2450</v>
      </c>
      <c r="H75" s="94">
        <f ca="1">OFFSET(TblProd[[#This Row],[Platinum]],-1,0)+OFFSET(TblProd[[#This Row],[Plat/hr]],-1,0) - TblProd[[#This Row],[Expenses Platinum]] + IF(TblProd[[#This Row],[Plat Bonus]],TblPop[[#This Row],[Peasants]]*4) + SUM(TblConstr[[#This Row],[Dest Hom]:[Dest Doc]])*TblConstr[[#This Row],[CPA Platinum -DB]]*tech_3_3_2*TblTech[[#This Row],[3-3]]</f>
        <v>167287</v>
      </c>
      <c r="I75" s="94">
        <f ca="1">OFFSET(TblProd[[#This Row],[Food]],-1,0)+OFFSET(TblProd[[#This Row],[Food/hr]],-1,0)+ROUNDUP((TblConstr[[#This Row],[Farms]]*80+TblConstr[[#This Row],[Docks]]*35)*(1+OFFSET(TblProd[[#This Row],[Bonus Food/hr]],-1,0)),0)</f>
        <v>126176</v>
      </c>
      <c r="J75" s="94">
        <f ca="1">OFFSET(TblProd[[#This Row],[Lumber]],-1,0)+OFFSET(TblProd[[#This Row],[Lumber/hr]],-1,0) - TblProd[[#This Row],[Expenses Lumber]] + SUM(TblConstr[[#This Row],[Dest Hom]:[Dest Doc]])*TblConstr[[#This Row],[CPA Lumber -DB]]*tech_3_3_2*TblTech[[#This Row],[3-3]]</f>
        <v>58358</v>
      </c>
      <c r="K75" s="94">
        <f ca="1">OFFSET(TblProd[[#This Row],[Mana]],-1,0)+OFFSET(TblProd[[#This Row],[Mana/hr]],-1,0)- TblProd[[#This Row],[Expenses Mana]]</f>
        <v>0</v>
      </c>
      <c r="L75" s="94">
        <f ca="1">OFFSET(TblProd[[#This Row],[Ore]],-1,0)+OFFSET(TblProd[[#This Row],[Ore/hr]],-1,0) -TblProd[[#This Row],[Expenses Ore]]</f>
        <v>0</v>
      </c>
      <c r="M75" s="94">
        <f ca="1">OFFSET(TblProd[[#This Row],[Gems]],-1,0)+OFFSET(TblProd[[#This Row],[Gems/hr]],-1,0) - TblProd[[#This Row],[Expenses Gems]]</f>
        <v>0</v>
      </c>
      <c r="N75" s="94">
        <f ca="1">OFFSET(TblProd[[#This Row],[Boats]],-1,0)+OFFSET(TblProd[[#This Row],[Boats/hr]],-1,0)</f>
        <v>0</v>
      </c>
      <c r="O75" s="94">
        <f ca="1">OFFSET(TblProd[[#This Row],[Prestige]],-1,0)</f>
        <v>250</v>
      </c>
      <c r="P7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5" s="94">
        <f ca="1">MAX(_xlfn.CEILING.MATH(TblProd[[#This Row],[Land]]*2.5+IFERROR(OFFSET(TblTech[[#This Row],[Sum of tech]],-1,0)*50,0)),3750)</f>
        <v>3750</v>
      </c>
      <c r="R75" s="142"/>
      <c r="S75" s="94">
        <f ca="1">ROUNDDOWN(TblProd[[#This Row],[Raw Plat/hr]]*(1+TblProd[[#This Row],[Bonus Plat/hr]]),0)</f>
        <v>1328</v>
      </c>
      <c r="T75" s="94">
        <f ca="1">ROUND(TblProd[[#This Row],[Raw Food/hr]]*(1+TblProd[[#This Row],[Bonus Food/hr]])-TblProd[[#This Row],[Food decay]]-TblProd[[#This Row],[Food eaten]],0)</f>
        <v>1049</v>
      </c>
      <c r="U75" s="94">
        <f ca="1">ROUND(TblProd[[#This Row],[Raw Lumber/hr]]*(1+TblProd[[#This Row],[Bonus Lumber/hr]])-TblProd[[#This Row],[Lumber rot]],0)</f>
        <v>416</v>
      </c>
      <c r="V75" s="94">
        <f ca="1">ROUND(TblProd[[#This Row],[Raw Mana/hr]]*(1+TblProd[[#This Row],[Bonus Mana/hr]])-TblProd[[#This Row],[Mana drain]],0)</f>
        <v>0</v>
      </c>
      <c r="W75" s="94">
        <f ca="1">ROUNDDOWN(TblProd[[#This Row],[Raw Ore/hr]]*(1+TblProd[[#This Row],[Bonux Ore/hr]]),0)</f>
        <v>0</v>
      </c>
      <c r="X75" s="94">
        <f ca="1">ROUNDDOWN(TblProd[[#This Row],[Raw Gems/hr]]*(1+TblProd[[#This Row],[Bonus Gems/hr]]),0)</f>
        <v>0</v>
      </c>
      <c r="Y75" s="155">
        <f ca="1">OFFSET(TblConstr[[#This Row],[Tot Doc]],1,0)*dock_boats_hr * (1 + tech_4_1*TblTech[[#This Row],[4-1]])</f>
        <v>0</v>
      </c>
      <c r="Z75" s="154"/>
      <c r="AA75" s="94">
        <f ca="1">TblPop[[#This Row],[Peasants]]*tax*TblPop[[#This Row],[Employment]] + (Construction!AZ76+Construction!BX76)*(alch_plat+(Magic!AN75&gt;0)*alchemist_flame_bonus)</f>
        <v>1328.4</v>
      </c>
      <c r="AB75" s="94">
        <f ca="1">TblConstr[[#This Row],[Tot Farm]]*farm_food + TblConstr[[#This Row],[Tot Doc]]*dock_food</f>
        <v>2400</v>
      </c>
      <c r="AC75" s="94">
        <f ca="1">TblConstr[[#This Row],[Tot Ly]]*ly_lumber + TblConstr[[#This Row],[Tot Hav]]*fh_lumber + IF(race="Wood Elf",TblMili[[#This Row],[Unit 2]]*MIN(TblMili[[#This Row],[Homeland%]]/wisp_bonus,wisp_cap),0)</f>
        <v>1000</v>
      </c>
      <c r="AD75" s="94">
        <f ca="1">OFFSET(TblConstr[[#This Row],[Tot Tow]],1,0)*(tower_mana + tech_4_5*TblTech[[#This Row],[4-5]]) + OFFSET(TblConstr[[#This Row],[Tot WG]],1,0)*wg_mana_prod</f>
        <v>0</v>
      </c>
      <c r="AE75" s="94">
        <f ca="1">OFFSET(TblConstr[[#This Row],[Tot OM]],1,0)*om_ore+IF(race="Dwarf",TblMili[[#This Row],[Unit 2]]*0.5,0)</f>
        <v>0</v>
      </c>
      <c r="AF75" s="94">
        <f ca="1">OFFSET(TblConstr[[#This Row],[Tot DM]],1,0)*dm_gems</f>
        <v>0</v>
      </c>
      <c r="AG75" s="142"/>
      <c r="AH75" s="156">
        <f ca="1">MIN(race_platinum_bonus + IF(TblMagic[[#This Row],[Active Alch Frost]]&gt;0,alch_frost_bonus,IF(Magic!AE75&gt;0,midas_bonus)) + TblImps[[#This Row],[Science]] - TblProd[[#This Row],[Guard]]*(0.02 + tech_5_7*TblTech[[#This Row],[5-7]]) + tech_1_5*TblTech[[#This Row],[1-5]] + tech_4_4*TblTech[[#This Row],[4-4]] + IF(TblMagic[[#This Row],[Active Infernal Command]]&gt;0,demonic_pact_plat,0), 0.5)</f>
        <v>0</v>
      </c>
      <c r="AI7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5" s="156">
        <f ca="1">race_lumber_bonus+ IF(TblMagic[[#This Row],[Active Gaia''s Blessing]]&gt;0,gaias_blessing_lumber)+ tech_1_3*TblTech[[#This Row],[1-3]] + tech_1_6*TblTech[[#This Row],[1-6]] + tech_3_3*TblTech[[#This Row],[3-3]]</f>
        <v>0</v>
      </c>
      <c r="AK75" s="156">
        <f ca="1">race_mana_bonus+ 0 + TblImps[[#This Row],[Spires]] + tech_1_2*TblTech[[#This Row],[1-2]] + tech_3_4*TblTech[[#This Row],[3-4]]</f>
        <v>0</v>
      </c>
      <c r="AL75" s="156">
        <f ca="1">race_ore_bonus + IF(TblMagic[[#This Row],[Active Miner''s Sight]]&gt;0,miners_sight_bonus,IF(TblMagic[[#This Row],[Active Mining Strength]]&gt;0,mining_strength_bonus)) +  tech_1_6*TblTech[[#This Row],[1-6]]</f>
        <v>0</v>
      </c>
      <c r="AM75" s="156">
        <f>race_gem_bonus+ tech_3_2*TblTech[[#This Row],[3-2]] + tech_4_3*TblTech[[#This Row],[4-3]] + tech_6_2*TblTech[[#This Row],[6-2]]</f>
        <v>0</v>
      </c>
      <c r="AN75" s="142"/>
      <c r="AO75" s="94">
        <f ca="1">TblProd[[#This Row],[Food]]*food_decay * (1 + tech_2_1*TblTech[[#This Row],[2-1]] + tech_2_8*TblTech[[#This Row],[2-8]] + IF(AND(TblMagic[[#This Row],[Active DnD]]&lt;12,TblMagic[[#This Row],[Active DnD]]&gt;5),1,0))</f>
        <v>1261.76</v>
      </c>
      <c r="AP75" s="94">
        <f ca="1">(1+race_food_consumption)*TblPop[[#This Row],[Total]]*food_per_person*(1+tech_1_10*TblTech[[#This Row],[1-10]]+tech_7_5*TblTech[[#This Row],[7-5]] + IF(TblMagic[[#This Row],[Active Infernal Command]]&gt;0,demonic_pact_food_cons,0))</f>
        <v>269</v>
      </c>
      <c r="AQ75" s="94">
        <f ca="1">TblProd[[#This Row],[Lumber]]*lumber_rot * (1 + tech_2_1*TblTech[[#This Row],[2-1]] + tech_2_8*TblTech[[#This Row],[2-8]] + tech_5_2*TblTech[[#This Row],[5-2]] + IF(AND(TblMagic[[#This Row],[Active DnD]]&lt;12,TblMagic[[#This Row],[Active DnD]]&gt;5),1,0))</f>
        <v>583.58000000000004</v>
      </c>
      <c r="AR75" s="94">
        <f ca="1">TblProd[[#This Row],[Mana]]*mana_drain * (1 + tech_2_1*TblTech[[#This Row],[2-1]] + tech_2_8*TblTech[[#This Row],[2-8]])</f>
        <v>0</v>
      </c>
      <c r="AS75" s="154"/>
      <c r="AT75" s="94">
        <f ca="1">TblExplore[[#This Row],[Platinum (2)]]+TblConstr[[#This Row],[Total Plat Cost]]+TblMili[[#This Row],[Plat Cost]]+TblRezone[[#This Row],[Platinum cost]]+TblImps[[#This Row],[P1]]-TblProd[[#This Row],[Bank Plat]]</f>
        <v>0</v>
      </c>
      <c r="AU75" s="94">
        <f ca="1">TblConstr[[#This Row],[Total Lum Cost]]+TblImps[[#This Row],[L1]]-TblProd[[#This Row],[Bank Lumber]] + Military!$CO$25*TblMili[[#This Row],[Sec. rec. Cost]]</f>
        <v>0</v>
      </c>
      <c r="AV75" s="94">
        <f ca="1">TblMagic[[#This Row],[Mana cost]] + Military!$CO$26*TblMili[[#This Row],[Sec. rec. Cost]]</f>
        <v>0</v>
      </c>
      <c r="AW75" s="94">
        <f ca="1">Military!$CO$24*TblMili[[#This Row],[Sec. rec. Cost]]+TblImps[[#This Row],[O1]]-TblProd[[#This Row],[Bank Ore]]</f>
        <v>0</v>
      </c>
      <c r="AX75" s="94">
        <f>TblImps[[#This Row],[G1]]-TblProd[[#This Row],[Bank Gems]]</f>
        <v>0</v>
      </c>
      <c r="AY75" s="142"/>
      <c r="AZ75" s="61" t="b">
        <f ca="1">IF(TblProd[[#This Row],[Set Guard]]&lt;&gt;"",TblProd[[#This Row],[Set Guard]],OFFSET(TblProd[[#This Row],[Guard]],-1,0))</f>
        <v>0</v>
      </c>
      <c r="BA75" s="153"/>
      <c r="BB75" s="45">
        <f>TblProd[[#This Row],[Hour]]</f>
        <v>36</v>
      </c>
      <c r="BC75" s="158">
        <f>-TblProd[[#This Row],[Bank Lumber]] / 2 + -TblProd[[#This Row],[Bank Gems]] * 2 + -TblProd[[#This Row],[Bank Ore]] / 2</f>
        <v>0</v>
      </c>
      <c r="BD75" s="158"/>
      <c r="BE75" s="158"/>
      <c r="BF75" s="158"/>
      <c r="BG75" s="159">
        <f ca="1">TblProd[[#This Row],[Time]]</f>
        <v>46049.958333333161</v>
      </c>
      <c r="BH75" s="45" t="str">
        <f>IF(AND(TblProd[[#This Row],[Bank Plat]]=0,TblProd[[#This Row],[Bank Lumber]]=0,TblProd[[#This Row],[Bank Ore]]=0,TblProd[[#This Row],[Bank Gems]]=0),"",IF(TblProd[[#This Row],[Bank Plat]]&gt;0,IF((TblProd[[#This Row],[Bank Lumber]]+TblProd[[#This Row],[Bank Ore]])/2+TblProd[[#This Row],[Bank Gems]]*2+ROUNDUP(TblProd[[#This Row],[Bank Plat]]/(1 + tech_2_2*Techs!Y75),0)=0,"Ok","Nope"),IF(TblProd[[#This Row],[Bank Lumber]]&gt;0,IF((TblProd[[#This Row],[Bank Plat]]+TblProd[[#This Row],[Bank Ore]])/2+TblProd[[#This Row],[Bank Gems]]*2+ROUNDUP(TblProd[[#This Row],[Bank Lumber]]/(1 + tech_2_2*Techs!Y75),0)=0,"Ok","Nope"),IF(TblProd[[#This Row],[Bank Ore]]&gt;0,IF((TblProd[[#This Row],[Bank Plat]]+TblProd[[#This Row],[Bank Lumber]])/2+TblProd[[#This Row],[Bank Gems]]*2+ROUNDUP(TblProd[[#This Row],[Bank Ore]]/(1 + tech_2_2*Techs!Y75),0)=0,"Ok","Nope")))))</f>
        <v/>
      </c>
      <c r="BI75" s="94">
        <f ca="1">TblProd[[#This Row],[Platinum]]</f>
        <v>167287</v>
      </c>
      <c r="BJ75" s="94">
        <f ca="1">TblProd[[#This Row],[Food]]</f>
        <v>126176</v>
      </c>
      <c r="BK75" s="94">
        <f ca="1">TblProd[[#This Row],[Lumber]]</f>
        <v>58358</v>
      </c>
      <c r="BL75" s="94">
        <f ca="1">TblProd[[#This Row],[Mana]]</f>
        <v>0</v>
      </c>
      <c r="BM75" s="94">
        <f ca="1">TblProd[[#This Row],[Ore]]</f>
        <v>0</v>
      </c>
    </row>
    <row r="76" spans="1:65" x14ac:dyDescent="0.2">
      <c r="A76" s="137">
        <f t="shared" si="0"/>
        <v>37</v>
      </c>
      <c r="B76" s="152">
        <f ca="1">TblImps[[#This Row],[Time]]</f>
        <v>46049.999999999825</v>
      </c>
      <c r="C76" s="153"/>
      <c r="D76" s="154"/>
      <c r="E76" s="94">
        <f ca="1">TblConstr[[#This Row],[Land]]</f>
        <v>110</v>
      </c>
      <c r="F76" s="94">
        <f ca="1">TblPop[[#This Row],[Peasants]]</f>
        <v>487</v>
      </c>
      <c r="G76" s="94">
        <f ca="1">TblMili[[#This Row],[Networth (2)]]</f>
        <v>2450</v>
      </c>
      <c r="H76" s="94">
        <f ca="1">OFFSET(TblProd[[#This Row],[Platinum]],-1,0)+OFFSET(TblProd[[#This Row],[Plat/hr]],-1,0) - TblProd[[#This Row],[Expenses Platinum]] + IF(TblProd[[#This Row],[Plat Bonus]],TblPop[[#This Row],[Peasants]]*4) + SUM(TblConstr[[#This Row],[Dest Hom]:[Dest Doc]])*TblConstr[[#This Row],[CPA Platinum -DB]]*tech_3_3_2*TblTech[[#This Row],[3-3]]</f>
        <v>168615</v>
      </c>
      <c r="I76" s="94">
        <f ca="1">OFFSET(TblProd[[#This Row],[Food]],-1,0)+OFFSET(TblProd[[#This Row],[Food/hr]],-1,0)+ROUNDUP((TblConstr[[#This Row],[Farms]]*80+TblConstr[[#This Row],[Docks]]*35)*(1+OFFSET(TblProd[[#This Row],[Bonus Food/hr]],-1,0)),0)</f>
        <v>127225</v>
      </c>
      <c r="J76" s="94">
        <f ca="1">OFFSET(TblProd[[#This Row],[Lumber]],-1,0)+OFFSET(TblProd[[#This Row],[Lumber/hr]],-1,0) - TblProd[[#This Row],[Expenses Lumber]] + SUM(TblConstr[[#This Row],[Dest Hom]:[Dest Doc]])*TblConstr[[#This Row],[CPA Lumber -DB]]*tech_3_3_2*TblTech[[#This Row],[3-3]]</f>
        <v>58774</v>
      </c>
      <c r="K76" s="94">
        <f ca="1">OFFSET(TblProd[[#This Row],[Mana]],-1,0)+OFFSET(TblProd[[#This Row],[Mana/hr]],-1,0)- TblProd[[#This Row],[Expenses Mana]]</f>
        <v>0</v>
      </c>
      <c r="L76" s="94">
        <f ca="1">OFFSET(TblProd[[#This Row],[Ore]],-1,0)+OFFSET(TblProd[[#This Row],[Ore/hr]],-1,0) -TblProd[[#This Row],[Expenses Ore]]</f>
        <v>0</v>
      </c>
      <c r="M76" s="94">
        <f ca="1">OFFSET(TblProd[[#This Row],[Gems]],-1,0)+OFFSET(TblProd[[#This Row],[Gems/hr]],-1,0) - TblProd[[#This Row],[Expenses Gems]]</f>
        <v>0</v>
      </c>
      <c r="N76" s="94">
        <f ca="1">OFFSET(TblProd[[#This Row],[Boats]],-1,0)+OFFSET(TblProd[[#This Row],[Boats/hr]],-1,0)</f>
        <v>0</v>
      </c>
      <c r="O76" s="94">
        <f ca="1">OFFSET(TblProd[[#This Row],[Prestige]],-1,0)</f>
        <v>250</v>
      </c>
      <c r="P7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6" s="94">
        <f ca="1">MAX(_xlfn.CEILING.MATH(TblProd[[#This Row],[Land]]*2.5+IFERROR(OFFSET(TblTech[[#This Row],[Sum of tech]],-1,0)*50,0)),3750)</f>
        <v>3750</v>
      </c>
      <c r="S76" s="94">
        <f ca="1">ROUNDDOWN(TblProd[[#This Row],[Raw Plat/hr]]*(1+TblProd[[#This Row],[Bonus Plat/hr]]),0)</f>
        <v>1314</v>
      </c>
      <c r="T76" s="94">
        <f ca="1">ROUND(TblProd[[#This Row],[Raw Food/hr]]*(1+TblProd[[#This Row],[Bonus Food/hr]])-TblProd[[#This Row],[Food decay]]-TblProd[[#This Row],[Food eaten]],0)</f>
        <v>1039</v>
      </c>
      <c r="U76" s="94">
        <f ca="1">ROUND(TblProd[[#This Row],[Raw Lumber/hr]]*(1+TblProd[[#This Row],[Bonus Lumber/hr]])-TblProd[[#This Row],[Lumber rot]],0)</f>
        <v>412</v>
      </c>
      <c r="V76" s="94">
        <f ca="1">ROUND(TblProd[[#This Row],[Raw Mana/hr]]*(1+TblProd[[#This Row],[Bonus Mana/hr]])-TblProd[[#This Row],[Mana drain]],0)</f>
        <v>0</v>
      </c>
      <c r="W76" s="94">
        <f ca="1">ROUNDDOWN(TblProd[[#This Row],[Raw Ore/hr]]*(1+TblProd[[#This Row],[Bonux Ore/hr]]),0)</f>
        <v>0</v>
      </c>
      <c r="X76" s="94">
        <f ca="1">ROUNDDOWN(TblProd[[#This Row],[Raw Gems/hr]]*(1+TblProd[[#This Row],[Bonus Gems/hr]]),0)</f>
        <v>0</v>
      </c>
      <c r="Y76" s="155">
        <f ca="1">OFFSET(TblConstr[[#This Row],[Tot Doc]],1,0)*dock_boats_hr * (1 + tech_4_1*TblTech[[#This Row],[4-1]])</f>
        <v>0</v>
      </c>
      <c r="Z76" s="94"/>
      <c r="AA76" s="94">
        <f ca="1">TblPop[[#This Row],[Peasants]]*tax*TblPop[[#This Row],[Employment]] + (Construction!AZ77+Construction!BX77)*(alch_plat+(Magic!AN76&gt;0)*alchemist_flame_bonus)</f>
        <v>1314.9</v>
      </c>
      <c r="AB76" s="94">
        <f ca="1">TblConstr[[#This Row],[Tot Farm]]*farm_food + TblConstr[[#This Row],[Tot Doc]]*dock_food</f>
        <v>2400</v>
      </c>
      <c r="AC76" s="94">
        <f ca="1">TblConstr[[#This Row],[Tot Ly]]*ly_lumber + TblConstr[[#This Row],[Tot Hav]]*fh_lumber + IF(race="Wood Elf",TblMili[[#This Row],[Unit 2]]*MIN(TblMili[[#This Row],[Homeland%]]/wisp_bonus,wisp_cap),0)</f>
        <v>1000</v>
      </c>
      <c r="AD76" s="94">
        <f ca="1">OFFSET(TblConstr[[#This Row],[Tot Tow]],1,0)*(tower_mana + tech_4_5*TblTech[[#This Row],[4-5]]) + OFFSET(TblConstr[[#This Row],[Tot WG]],1,0)*wg_mana_prod</f>
        <v>0</v>
      </c>
      <c r="AE76" s="94">
        <f ca="1">OFFSET(TblConstr[[#This Row],[Tot OM]],1,0)*om_ore+IF(race="Dwarf",TblMili[[#This Row],[Unit 2]]*0.5,0)</f>
        <v>0</v>
      </c>
      <c r="AF76" s="94">
        <f ca="1">OFFSET(TblConstr[[#This Row],[Tot DM]],1,0)*dm_gems</f>
        <v>0</v>
      </c>
      <c r="AH76" s="156">
        <f ca="1">MIN(race_platinum_bonus + IF(TblMagic[[#This Row],[Active Alch Frost]]&gt;0,alch_frost_bonus,IF(Magic!AE76&gt;0,midas_bonus)) + TblImps[[#This Row],[Science]] - TblProd[[#This Row],[Guard]]*(0.02 + tech_5_7*TblTech[[#This Row],[5-7]]) + tech_1_5*TblTech[[#This Row],[1-5]] + tech_4_4*TblTech[[#This Row],[4-4]] + IF(TblMagic[[#This Row],[Active Infernal Command]]&gt;0,demonic_pact_plat,0), 0.5)</f>
        <v>0</v>
      </c>
      <c r="AI7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6" s="156">
        <f ca="1">race_lumber_bonus+ IF(TblMagic[[#This Row],[Active Gaia''s Blessing]]&gt;0,gaias_blessing_lumber)+ tech_1_3*TblTech[[#This Row],[1-3]] + tech_1_6*TblTech[[#This Row],[1-6]] + tech_3_3*TblTech[[#This Row],[3-3]]</f>
        <v>0</v>
      </c>
      <c r="AK76" s="156">
        <f ca="1">race_mana_bonus+ 0 + TblImps[[#This Row],[Spires]] + tech_1_2*TblTech[[#This Row],[1-2]] + tech_3_4*TblTech[[#This Row],[3-4]]</f>
        <v>0</v>
      </c>
      <c r="AL76" s="156">
        <f ca="1">race_ore_bonus + IF(TblMagic[[#This Row],[Active Miner''s Sight]]&gt;0,miners_sight_bonus,IF(TblMagic[[#This Row],[Active Mining Strength]]&gt;0,mining_strength_bonus)) +  tech_1_6*TblTech[[#This Row],[1-6]]</f>
        <v>0</v>
      </c>
      <c r="AM76" s="156">
        <f>race_gem_bonus+ tech_3_2*TblTech[[#This Row],[3-2]] + tech_4_3*TblTech[[#This Row],[4-3]] + tech_6_2*TblTech[[#This Row],[6-2]]</f>
        <v>0</v>
      </c>
      <c r="AO76" s="94">
        <f ca="1">TblProd[[#This Row],[Food]]*food_decay * (1 + tech_2_1*TblTech[[#This Row],[2-1]] + tech_2_8*TblTech[[#This Row],[2-8]] + IF(AND(TblMagic[[#This Row],[Active DnD]]&lt;12,TblMagic[[#This Row],[Active DnD]]&gt;5),1,0))</f>
        <v>1272.25</v>
      </c>
      <c r="AP76" s="94">
        <f ca="1">(1+race_food_consumption)*TblPop[[#This Row],[Total]]*food_per_person*(1+tech_1_10*TblTech[[#This Row],[1-10]]+tech_7_5*TblTech[[#This Row],[7-5]] + IF(TblMagic[[#This Row],[Active Infernal Command]]&gt;0,demonic_pact_food_cons,0))</f>
        <v>269</v>
      </c>
      <c r="AQ76" s="94">
        <f ca="1">TblProd[[#This Row],[Lumber]]*lumber_rot * (1 + tech_2_1*TblTech[[#This Row],[2-1]] + tech_2_8*TblTech[[#This Row],[2-8]] + tech_5_2*TblTech[[#This Row],[5-2]] + IF(AND(TblMagic[[#This Row],[Active DnD]]&lt;12,TblMagic[[#This Row],[Active DnD]]&gt;5),1,0))</f>
        <v>587.74</v>
      </c>
      <c r="AR76" s="94">
        <f ca="1">TblProd[[#This Row],[Mana]]*mana_drain * (1 + tech_2_1*TblTech[[#This Row],[2-1]] + tech_2_8*TblTech[[#This Row],[2-8]])</f>
        <v>0</v>
      </c>
      <c r="AS76" s="94"/>
      <c r="AT76" s="94">
        <f ca="1">TblExplore[[#This Row],[Platinum (2)]]+TblConstr[[#This Row],[Total Plat Cost]]+TblMili[[#This Row],[Plat Cost]]+TblRezone[[#This Row],[Platinum cost]]+TblImps[[#This Row],[P1]]-TblProd[[#This Row],[Bank Plat]]</f>
        <v>0</v>
      </c>
      <c r="AU76" s="94">
        <f ca="1">TblConstr[[#This Row],[Total Lum Cost]]+TblImps[[#This Row],[L1]]-TblProd[[#This Row],[Bank Lumber]] + Military!$CO$25*TblMili[[#This Row],[Sec. rec. Cost]]</f>
        <v>0</v>
      </c>
      <c r="AV76" s="94">
        <f ca="1">TblMagic[[#This Row],[Mana cost]] + Military!$CO$26*TblMili[[#This Row],[Sec. rec. Cost]]</f>
        <v>0</v>
      </c>
      <c r="AW76" s="94">
        <f ca="1">Military!$CO$24*TblMili[[#This Row],[Sec. rec. Cost]]+TblImps[[#This Row],[O1]]-TblProd[[#This Row],[Bank Ore]]</f>
        <v>0</v>
      </c>
      <c r="AX76" s="94">
        <f>TblImps[[#This Row],[G1]]-TblProd[[#This Row],[Bank Gems]]</f>
        <v>0</v>
      </c>
      <c r="AZ76" s="61" t="b">
        <f ca="1">IF(TblProd[[#This Row],[Set Guard]]&lt;&gt;"",TblProd[[#This Row],[Set Guard]],OFFSET(TblProd[[#This Row],[Guard]],-1,0))</f>
        <v>0</v>
      </c>
      <c r="BA76" s="153"/>
      <c r="BB76" s="45">
        <f>TblProd[[#This Row],[Hour]]</f>
        <v>37</v>
      </c>
      <c r="BC76" s="158">
        <f>-TblProd[[#This Row],[Bank Lumber]] / 2 + -TblProd[[#This Row],[Bank Gems]] * 2 + -TblProd[[#This Row],[Bank Ore]] / 2</f>
        <v>0</v>
      </c>
      <c r="BD76" s="158"/>
      <c r="BE76" s="158"/>
      <c r="BF76" s="158"/>
      <c r="BG76" s="159">
        <f ca="1">TblProd[[#This Row],[Time]]</f>
        <v>46049.999999999825</v>
      </c>
      <c r="BH76" s="45" t="str">
        <f>IF(AND(TblProd[[#This Row],[Bank Plat]]=0,TblProd[[#This Row],[Bank Lumber]]=0,TblProd[[#This Row],[Bank Ore]]=0,TblProd[[#This Row],[Bank Gems]]=0),"",IF(TblProd[[#This Row],[Bank Plat]]&gt;0,IF((TblProd[[#This Row],[Bank Lumber]]+TblProd[[#This Row],[Bank Ore]])/2+TblProd[[#This Row],[Bank Gems]]*2+ROUNDUP(TblProd[[#This Row],[Bank Plat]]/(1 + tech_2_2*Techs!Y76),0)=0,"Ok","Nope"),IF(TblProd[[#This Row],[Bank Lumber]]&gt;0,IF((TblProd[[#This Row],[Bank Plat]]+TblProd[[#This Row],[Bank Ore]])/2+TblProd[[#This Row],[Bank Gems]]*2+ROUNDUP(TblProd[[#This Row],[Bank Lumber]]/(1 + tech_2_2*Techs!Y76),0)=0,"Ok","Nope"),IF(TblProd[[#This Row],[Bank Ore]]&gt;0,IF((TblProd[[#This Row],[Bank Plat]]+TblProd[[#This Row],[Bank Lumber]])/2+TblProd[[#This Row],[Bank Gems]]*2+ROUNDUP(TblProd[[#This Row],[Bank Ore]]/(1 + tech_2_2*Techs!Y76),0)=0,"Ok","Nope")))))</f>
        <v/>
      </c>
      <c r="BI76" s="94">
        <f ca="1">TblProd[[#This Row],[Platinum]]</f>
        <v>168615</v>
      </c>
      <c r="BJ76" s="94">
        <f ca="1">TblProd[[#This Row],[Food]]</f>
        <v>127225</v>
      </c>
      <c r="BK76" s="94">
        <f ca="1">TblProd[[#This Row],[Lumber]]</f>
        <v>58774</v>
      </c>
      <c r="BL76" s="94">
        <f ca="1">TblProd[[#This Row],[Mana]]</f>
        <v>0</v>
      </c>
      <c r="BM76" s="94">
        <f ca="1">TblProd[[#This Row],[Ore]]</f>
        <v>0</v>
      </c>
    </row>
    <row r="77" spans="1:65" x14ac:dyDescent="0.2">
      <c r="A77" s="137">
        <f t="shared" si="0"/>
        <v>38</v>
      </c>
      <c r="B77" s="152">
        <f ca="1">TblImps[[#This Row],[Time]]</f>
        <v>46050.04166666649</v>
      </c>
      <c r="C77" s="153"/>
      <c r="D77" s="154"/>
      <c r="E77" s="94">
        <f ca="1">TblConstr[[#This Row],[Land]]</f>
        <v>110</v>
      </c>
      <c r="F77" s="94">
        <f ca="1">TblPop[[#This Row],[Peasants]]</f>
        <v>482</v>
      </c>
      <c r="G77" s="94">
        <f ca="1">TblMili[[#This Row],[Networth (2)]]</f>
        <v>2450</v>
      </c>
      <c r="H77" s="94">
        <f ca="1">OFFSET(TblProd[[#This Row],[Platinum]],-1,0)+OFFSET(TblProd[[#This Row],[Plat/hr]],-1,0) - TblProd[[#This Row],[Expenses Platinum]] + IF(TblProd[[#This Row],[Plat Bonus]],TblPop[[#This Row],[Peasants]]*4) + SUM(TblConstr[[#This Row],[Dest Hom]:[Dest Doc]])*TblConstr[[#This Row],[CPA Platinum -DB]]*tech_3_3_2*TblTech[[#This Row],[3-3]]</f>
        <v>169929</v>
      </c>
      <c r="I77" s="94">
        <f ca="1">OFFSET(TblProd[[#This Row],[Food]],-1,0)+OFFSET(TblProd[[#This Row],[Food/hr]],-1,0)+ROUNDUP((TblConstr[[#This Row],[Farms]]*80+TblConstr[[#This Row],[Docks]]*35)*(1+OFFSET(TblProd[[#This Row],[Bonus Food/hr]],-1,0)),0)</f>
        <v>128264</v>
      </c>
      <c r="J77" s="94">
        <f ca="1">OFFSET(TblProd[[#This Row],[Lumber]],-1,0)+OFFSET(TblProd[[#This Row],[Lumber/hr]],-1,0) - TblProd[[#This Row],[Expenses Lumber]] + SUM(TblConstr[[#This Row],[Dest Hom]:[Dest Doc]])*TblConstr[[#This Row],[CPA Lumber -DB]]*tech_3_3_2*TblTech[[#This Row],[3-3]]</f>
        <v>59186</v>
      </c>
      <c r="K77" s="94">
        <f ca="1">OFFSET(TblProd[[#This Row],[Mana]],-1,0)+OFFSET(TblProd[[#This Row],[Mana/hr]],-1,0)- TblProd[[#This Row],[Expenses Mana]]</f>
        <v>0</v>
      </c>
      <c r="L77" s="94">
        <f ca="1">OFFSET(TblProd[[#This Row],[Ore]],-1,0)+OFFSET(TblProd[[#This Row],[Ore/hr]],-1,0) -TblProd[[#This Row],[Expenses Ore]]</f>
        <v>0</v>
      </c>
      <c r="M77" s="94">
        <f ca="1">OFFSET(TblProd[[#This Row],[Gems]],-1,0)+OFFSET(TblProd[[#This Row],[Gems/hr]],-1,0) - TblProd[[#This Row],[Expenses Gems]]</f>
        <v>0</v>
      </c>
      <c r="N77" s="94">
        <f ca="1">OFFSET(TblProd[[#This Row],[Boats]],-1,0)+OFFSET(TblProd[[#This Row],[Boats/hr]],-1,0)</f>
        <v>0</v>
      </c>
      <c r="O77" s="94">
        <f ca="1">OFFSET(TblProd[[#This Row],[Prestige]],-1,0)</f>
        <v>250</v>
      </c>
      <c r="P7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7" s="94">
        <f ca="1">MAX(_xlfn.CEILING.MATH(TblProd[[#This Row],[Land]]*2.5+IFERROR(OFFSET(TblTech[[#This Row],[Sum of tech]],-1,0)*50,0)),3750)</f>
        <v>3750</v>
      </c>
      <c r="R77" s="142"/>
      <c r="S77" s="94">
        <f ca="1">ROUNDDOWN(TblProd[[#This Row],[Raw Plat/hr]]*(1+TblProd[[#This Row],[Bonus Plat/hr]]),0)</f>
        <v>1301</v>
      </c>
      <c r="T77" s="94">
        <f ca="1">ROUND(TblProd[[#This Row],[Raw Food/hr]]*(1+TblProd[[#This Row],[Bonus Food/hr]])-TblProd[[#This Row],[Food decay]]-TblProd[[#This Row],[Food eaten]],0)</f>
        <v>1028</v>
      </c>
      <c r="U77" s="94">
        <f ca="1">ROUND(TblProd[[#This Row],[Raw Lumber/hr]]*(1+TblProd[[#This Row],[Bonus Lumber/hr]])-TblProd[[#This Row],[Lumber rot]],0)</f>
        <v>408</v>
      </c>
      <c r="V77" s="94">
        <f ca="1">ROUND(TblProd[[#This Row],[Raw Mana/hr]]*(1+TblProd[[#This Row],[Bonus Mana/hr]])-TblProd[[#This Row],[Mana drain]],0)</f>
        <v>0</v>
      </c>
      <c r="W77" s="94">
        <f ca="1">ROUNDDOWN(TblProd[[#This Row],[Raw Ore/hr]]*(1+TblProd[[#This Row],[Bonux Ore/hr]]),0)</f>
        <v>0</v>
      </c>
      <c r="X77" s="94">
        <f ca="1">ROUNDDOWN(TblProd[[#This Row],[Raw Gems/hr]]*(1+TblProd[[#This Row],[Bonus Gems/hr]]),0)</f>
        <v>0</v>
      </c>
      <c r="Y77" s="155">
        <f ca="1">OFFSET(TblConstr[[#This Row],[Tot Doc]],1,0)*dock_boats_hr * (1 + tech_4_1*TblTech[[#This Row],[4-1]])</f>
        <v>0</v>
      </c>
      <c r="Z77" s="154"/>
      <c r="AA77" s="94">
        <f ca="1">TblPop[[#This Row],[Peasants]]*tax*TblPop[[#This Row],[Employment]] + (Construction!AZ78+Construction!BX78)*(alch_plat+(Magic!AN77&gt;0)*alchemist_flame_bonus)</f>
        <v>1301.4000000000001</v>
      </c>
      <c r="AB77" s="94">
        <f ca="1">TblConstr[[#This Row],[Tot Farm]]*farm_food + TblConstr[[#This Row],[Tot Doc]]*dock_food</f>
        <v>2400</v>
      </c>
      <c r="AC77" s="94">
        <f ca="1">TblConstr[[#This Row],[Tot Ly]]*ly_lumber + TblConstr[[#This Row],[Tot Hav]]*fh_lumber + IF(race="Wood Elf",TblMili[[#This Row],[Unit 2]]*MIN(TblMili[[#This Row],[Homeland%]]/wisp_bonus,wisp_cap),0)</f>
        <v>1000</v>
      </c>
      <c r="AD77" s="94">
        <f ca="1">OFFSET(TblConstr[[#This Row],[Tot Tow]],1,0)*(tower_mana + tech_4_5*TblTech[[#This Row],[4-5]]) + OFFSET(TblConstr[[#This Row],[Tot WG]],1,0)*wg_mana_prod</f>
        <v>0</v>
      </c>
      <c r="AE77" s="94">
        <f ca="1">OFFSET(TblConstr[[#This Row],[Tot OM]],1,0)*om_ore+IF(race="Dwarf",TblMili[[#This Row],[Unit 2]]*0.5,0)</f>
        <v>0</v>
      </c>
      <c r="AF77" s="94">
        <f ca="1">OFFSET(TblConstr[[#This Row],[Tot DM]],1,0)*dm_gems</f>
        <v>0</v>
      </c>
      <c r="AG77" s="142"/>
      <c r="AH77" s="156">
        <f ca="1">MIN(race_platinum_bonus + IF(TblMagic[[#This Row],[Active Alch Frost]]&gt;0,alch_frost_bonus,IF(Magic!AE77&gt;0,midas_bonus)) + TblImps[[#This Row],[Science]] - TblProd[[#This Row],[Guard]]*(0.02 + tech_5_7*TblTech[[#This Row],[5-7]]) + tech_1_5*TblTech[[#This Row],[1-5]] + tech_4_4*TblTech[[#This Row],[4-4]] + IF(TblMagic[[#This Row],[Active Infernal Command]]&gt;0,demonic_pact_plat,0), 0.5)</f>
        <v>0</v>
      </c>
      <c r="AI7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7" s="156">
        <f ca="1">race_lumber_bonus+ IF(TblMagic[[#This Row],[Active Gaia''s Blessing]]&gt;0,gaias_blessing_lumber)+ tech_1_3*TblTech[[#This Row],[1-3]] + tech_1_6*TblTech[[#This Row],[1-6]] + tech_3_3*TblTech[[#This Row],[3-3]]</f>
        <v>0</v>
      </c>
      <c r="AK77" s="156">
        <f ca="1">race_mana_bonus+ 0 + TblImps[[#This Row],[Spires]] + tech_1_2*TblTech[[#This Row],[1-2]] + tech_3_4*TblTech[[#This Row],[3-4]]</f>
        <v>0</v>
      </c>
      <c r="AL77" s="156">
        <f ca="1">race_ore_bonus + IF(TblMagic[[#This Row],[Active Miner''s Sight]]&gt;0,miners_sight_bonus,IF(TblMagic[[#This Row],[Active Mining Strength]]&gt;0,mining_strength_bonus)) +  tech_1_6*TblTech[[#This Row],[1-6]]</f>
        <v>0</v>
      </c>
      <c r="AM77" s="156">
        <f>race_gem_bonus+ tech_3_2*TblTech[[#This Row],[3-2]] + tech_4_3*TblTech[[#This Row],[4-3]] + tech_6_2*TblTech[[#This Row],[6-2]]</f>
        <v>0</v>
      </c>
      <c r="AN77" s="142"/>
      <c r="AO77" s="94">
        <f ca="1">TblProd[[#This Row],[Food]]*food_decay * (1 + tech_2_1*TblTech[[#This Row],[2-1]] + tech_2_8*TblTech[[#This Row],[2-8]] + IF(AND(TblMagic[[#This Row],[Active DnD]]&lt;12,TblMagic[[#This Row],[Active DnD]]&gt;5),1,0))</f>
        <v>1282.6400000000001</v>
      </c>
      <c r="AP77" s="94">
        <f ca="1">(1+race_food_consumption)*TblPop[[#This Row],[Total]]*food_per_person*(1+tech_1_10*TblTech[[#This Row],[1-10]]+tech_7_5*TblTech[[#This Row],[7-5]] + IF(TblMagic[[#This Row],[Active Infernal Command]]&gt;0,demonic_pact_food_cons,0))</f>
        <v>269</v>
      </c>
      <c r="AQ77" s="94">
        <f ca="1">TblProd[[#This Row],[Lumber]]*lumber_rot * (1 + tech_2_1*TblTech[[#This Row],[2-1]] + tech_2_8*TblTech[[#This Row],[2-8]] + tech_5_2*TblTech[[#This Row],[5-2]] + IF(AND(TblMagic[[#This Row],[Active DnD]]&lt;12,TblMagic[[#This Row],[Active DnD]]&gt;5),1,0))</f>
        <v>591.86</v>
      </c>
      <c r="AR77" s="94">
        <f ca="1">TblProd[[#This Row],[Mana]]*mana_drain * (1 + tech_2_1*TblTech[[#This Row],[2-1]] + tech_2_8*TblTech[[#This Row],[2-8]])</f>
        <v>0</v>
      </c>
      <c r="AS77" s="154"/>
      <c r="AT77" s="94">
        <f ca="1">TblExplore[[#This Row],[Platinum (2)]]+TblConstr[[#This Row],[Total Plat Cost]]+TblMili[[#This Row],[Plat Cost]]+TblRezone[[#This Row],[Platinum cost]]+TblImps[[#This Row],[P1]]-TblProd[[#This Row],[Bank Plat]]</f>
        <v>0</v>
      </c>
      <c r="AU77" s="94">
        <f ca="1">TblConstr[[#This Row],[Total Lum Cost]]+TblImps[[#This Row],[L1]]-TblProd[[#This Row],[Bank Lumber]] + Military!$CO$25*TblMili[[#This Row],[Sec. rec. Cost]]</f>
        <v>0</v>
      </c>
      <c r="AV77" s="94">
        <f ca="1">TblMagic[[#This Row],[Mana cost]] + Military!$CO$26*TblMili[[#This Row],[Sec. rec. Cost]]</f>
        <v>0</v>
      </c>
      <c r="AW77" s="94">
        <f ca="1">Military!$CO$24*TblMili[[#This Row],[Sec. rec. Cost]]+TblImps[[#This Row],[O1]]-TblProd[[#This Row],[Bank Ore]]</f>
        <v>0</v>
      </c>
      <c r="AX77" s="94">
        <f>TblImps[[#This Row],[G1]]-TblProd[[#This Row],[Bank Gems]]</f>
        <v>0</v>
      </c>
      <c r="AY77" s="142"/>
      <c r="AZ77" s="61" t="b">
        <f ca="1">IF(TblProd[[#This Row],[Set Guard]]&lt;&gt;"",TblProd[[#This Row],[Set Guard]],OFFSET(TblProd[[#This Row],[Guard]],-1,0))</f>
        <v>0</v>
      </c>
      <c r="BA77" s="153"/>
      <c r="BB77" s="45">
        <f>TblProd[[#This Row],[Hour]]</f>
        <v>38</v>
      </c>
      <c r="BC77" s="158">
        <f>-TblProd[[#This Row],[Bank Lumber]] / 2 + -TblProd[[#This Row],[Bank Gems]] * 2 + -TblProd[[#This Row],[Bank Ore]] / 2</f>
        <v>0</v>
      </c>
      <c r="BD77" s="158"/>
      <c r="BE77" s="158"/>
      <c r="BF77" s="158"/>
      <c r="BG77" s="159">
        <f ca="1">TblProd[[#This Row],[Time]]</f>
        <v>46050.04166666649</v>
      </c>
      <c r="BH77" s="45" t="str">
        <f>IF(AND(TblProd[[#This Row],[Bank Plat]]=0,TblProd[[#This Row],[Bank Lumber]]=0,TblProd[[#This Row],[Bank Ore]]=0,TblProd[[#This Row],[Bank Gems]]=0),"",IF(TblProd[[#This Row],[Bank Plat]]&gt;0,IF((TblProd[[#This Row],[Bank Lumber]]+TblProd[[#This Row],[Bank Ore]])/2+TblProd[[#This Row],[Bank Gems]]*2+ROUNDUP(TblProd[[#This Row],[Bank Plat]]/(1 + tech_2_2*Techs!Y77),0)=0,"Ok","Nope"),IF(TblProd[[#This Row],[Bank Lumber]]&gt;0,IF((TblProd[[#This Row],[Bank Plat]]+TblProd[[#This Row],[Bank Ore]])/2+TblProd[[#This Row],[Bank Gems]]*2+ROUNDUP(TblProd[[#This Row],[Bank Lumber]]/(1 + tech_2_2*Techs!Y77),0)=0,"Ok","Nope"),IF(TblProd[[#This Row],[Bank Ore]]&gt;0,IF((TblProd[[#This Row],[Bank Plat]]+TblProd[[#This Row],[Bank Lumber]])/2+TblProd[[#This Row],[Bank Gems]]*2+ROUNDUP(TblProd[[#This Row],[Bank Ore]]/(1 + tech_2_2*Techs!Y77),0)=0,"Ok","Nope")))))</f>
        <v/>
      </c>
      <c r="BI77" s="94">
        <f ca="1">TblProd[[#This Row],[Platinum]]</f>
        <v>169929</v>
      </c>
      <c r="BJ77" s="94">
        <f ca="1">TblProd[[#This Row],[Food]]</f>
        <v>128264</v>
      </c>
      <c r="BK77" s="94">
        <f ca="1">TblProd[[#This Row],[Lumber]]</f>
        <v>59186</v>
      </c>
      <c r="BL77" s="94">
        <f ca="1">TblProd[[#This Row],[Mana]]</f>
        <v>0</v>
      </c>
      <c r="BM77" s="94">
        <f ca="1">TblProd[[#This Row],[Ore]]</f>
        <v>0</v>
      </c>
    </row>
    <row r="78" spans="1:65" x14ac:dyDescent="0.2">
      <c r="A78" s="137">
        <f t="shared" si="0"/>
        <v>39</v>
      </c>
      <c r="B78" s="152">
        <f ca="1">TblImps[[#This Row],[Time]]</f>
        <v>46050.083333333154</v>
      </c>
      <c r="C78" s="153"/>
      <c r="D78" s="154"/>
      <c r="E78" s="94">
        <f ca="1">TblConstr[[#This Row],[Land]]</f>
        <v>110</v>
      </c>
      <c r="F78" s="94">
        <f ca="1">TblPop[[#This Row],[Peasants]]</f>
        <v>477</v>
      </c>
      <c r="G78" s="94">
        <f ca="1">TblMili[[#This Row],[Networth (2)]]</f>
        <v>2450</v>
      </c>
      <c r="H78" s="94">
        <f ca="1">OFFSET(TblProd[[#This Row],[Platinum]],-1,0)+OFFSET(TblProd[[#This Row],[Plat/hr]],-1,0) - TblProd[[#This Row],[Expenses Platinum]] + IF(TblProd[[#This Row],[Plat Bonus]],TblPop[[#This Row],[Peasants]]*4) + SUM(TblConstr[[#This Row],[Dest Hom]:[Dest Doc]])*TblConstr[[#This Row],[CPA Platinum -DB]]*tech_3_3_2*TblTech[[#This Row],[3-3]]</f>
        <v>171230</v>
      </c>
      <c r="I78" s="94">
        <f ca="1">OFFSET(TblProd[[#This Row],[Food]],-1,0)+OFFSET(TblProd[[#This Row],[Food/hr]],-1,0)+ROUNDUP((TblConstr[[#This Row],[Farms]]*80+TblConstr[[#This Row],[Docks]]*35)*(1+OFFSET(TblProd[[#This Row],[Bonus Food/hr]],-1,0)),0)</f>
        <v>129292</v>
      </c>
      <c r="J78" s="94">
        <f ca="1">OFFSET(TblProd[[#This Row],[Lumber]],-1,0)+OFFSET(TblProd[[#This Row],[Lumber/hr]],-1,0) - TblProd[[#This Row],[Expenses Lumber]] + SUM(TblConstr[[#This Row],[Dest Hom]:[Dest Doc]])*TblConstr[[#This Row],[CPA Lumber -DB]]*tech_3_3_2*TblTech[[#This Row],[3-3]]</f>
        <v>59594</v>
      </c>
      <c r="K78" s="94">
        <f ca="1">OFFSET(TblProd[[#This Row],[Mana]],-1,0)+OFFSET(TblProd[[#This Row],[Mana/hr]],-1,0)- TblProd[[#This Row],[Expenses Mana]]</f>
        <v>0</v>
      </c>
      <c r="L78" s="94">
        <f ca="1">OFFSET(TblProd[[#This Row],[Ore]],-1,0)+OFFSET(TblProd[[#This Row],[Ore/hr]],-1,0) -TblProd[[#This Row],[Expenses Ore]]</f>
        <v>0</v>
      </c>
      <c r="M78" s="94">
        <f ca="1">OFFSET(TblProd[[#This Row],[Gems]],-1,0)+OFFSET(TblProd[[#This Row],[Gems/hr]],-1,0) - TblProd[[#This Row],[Expenses Gems]]</f>
        <v>0</v>
      </c>
      <c r="N78" s="94">
        <f ca="1">OFFSET(TblProd[[#This Row],[Boats]],-1,0)+OFFSET(TblProd[[#This Row],[Boats/hr]],-1,0)</f>
        <v>0</v>
      </c>
      <c r="O78" s="94">
        <f ca="1">OFFSET(TblProd[[#This Row],[Prestige]],-1,0)</f>
        <v>250</v>
      </c>
      <c r="P7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8" s="94">
        <f ca="1">MAX(_xlfn.CEILING.MATH(TblProd[[#This Row],[Land]]*2.5+IFERROR(OFFSET(TblTech[[#This Row],[Sum of tech]],-1,0)*50,0)),3750)</f>
        <v>3750</v>
      </c>
      <c r="R78" s="142"/>
      <c r="S78" s="94">
        <f ca="1">ROUNDDOWN(TblProd[[#This Row],[Raw Plat/hr]]*(1+TblProd[[#This Row],[Bonus Plat/hr]]),0)</f>
        <v>1287</v>
      </c>
      <c r="T78" s="94">
        <f ca="1">ROUND(TblProd[[#This Row],[Raw Food/hr]]*(1+TblProd[[#This Row],[Bonus Food/hr]])-TblProd[[#This Row],[Food decay]]-TblProd[[#This Row],[Food eaten]],0)</f>
        <v>1018</v>
      </c>
      <c r="U78" s="94">
        <f ca="1">ROUND(TblProd[[#This Row],[Raw Lumber/hr]]*(1+TblProd[[#This Row],[Bonus Lumber/hr]])-TblProd[[#This Row],[Lumber rot]],0)</f>
        <v>404</v>
      </c>
      <c r="V78" s="94">
        <f ca="1">ROUND(TblProd[[#This Row],[Raw Mana/hr]]*(1+TblProd[[#This Row],[Bonus Mana/hr]])-TblProd[[#This Row],[Mana drain]],0)</f>
        <v>0</v>
      </c>
      <c r="W78" s="94">
        <f ca="1">ROUNDDOWN(TblProd[[#This Row],[Raw Ore/hr]]*(1+TblProd[[#This Row],[Bonux Ore/hr]]),0)</f>
        <v>0</v>
      </c>
      <c r="X78" s="94">
        <f ca="1">ROUNDDOWN(TblProd[[#This Row],[Raw Gems/hr]]*(1+TblProd[[#This Row],[Bonus Gems/hr]]),0)</f>
        <v>0</v>
      </c>
      <c r="Y78" s="155">
        <f ca="1">OFFSET(TblConstr[[#This Row],[Tot Doc]],1,0)*dock_boats_hr * (1 + tech_4_1*TblTech[[#This Row],[4-1]])</f>
        <v>0</v>
      </c>
      <c r="Z78" s="154"/>
      <c r="AA78" s="94">
        <f ca="1">TblPop[[#This Row],[Peasants]]*tax*TblPop[[#This Row],[Employment]] + (Construction!AZ79+Construction!BX79)*(alch_plat+(Magic!AN78&gt;0)*alchemist_flame_bonus)</f>
        <v>1287.9000000000001</v>
      </c>
      <c r="AB78" s="94">
        <f ca="1">TblConstr[[#This Row],[Tot Farm]]*farm_food + TblConstr[[#This Row],[Tot Doc]]*dock_food</f>
        <v>2400</v>
      </c>
      <c r="AC78" s="94">
        <f ca="1">TblConstr[[#This Row],[Tot Ly]]*ly_lumber + TblConstr[[#This Row],[Tot Hav]]*fh_lumber + IF(race="Wood Elf",TblMili[[#This Row],[Unit 2]]*MIN(TblMili[[#This Row],[Homeland%]]/wisp_bonus,wisp_cap),0)</f>
        <v>1000</v>
      </c>
      <c r="AD78" s="94">
        <f ca="1">OFFSET(TblConstr[[#This Row],[Tot Tow]],1,0)*(tower_mana + tech_4_5*TblTech[[#This Row],[4-5]]) + OFFSET(TblConstr[[#This Row],[Tot WG]],1,0)*wg_mana_prod</f>
        <v>0</v>
      </c>
      <c r="AE78" s="94">
        <f ca="1">OFFSET(TblConstr[[#This Row],[Tot OM]],1,0)*om_ore+IF(race="Dwarf",TblMili[[#This Row],[Unit 2]]*0.5,0)</f>
        <v>0</v>
      </c>
      <c r="AF78" s="94">
        <f ca="1">OFFSET(TblConstr[[#This Row],[Tot DM]],1,0)*dm_gems</f>
        <v>0</v>
      </c>
      <c r="AG78" s="142"/>
      <c r="AH78" s="156">
        <f ca="1">MIN(race_platinum_bonus + IF(TblMagic[[#This Row],[Active Alch Frost]]&gt;0,alch_frost_bonus,IF(Magic!AE78&gt;0,midas_bonus)) + TblImps[[#This Row],[Science]] - TblProd[[#This Row],[Guard]]*(0.02 + tech_5_7*TblTech[[#This Row],[5-7]]) + tech_1_5*TblTech[[#This Row],[1-5]] + tech_4_4*TblTech[[#This Row],[4-4]] + IF(TblMagic[[#This Row],[Active Infernal Command]]&gt;0,demonic_pact_plat,0), 0.5)</f>
        <v>0</v>
      </c>
      <c r="AI7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8" s="156">
        <f ca="1">race_lumber_bonus+ IF(TblMagic[[#This Row],[Active Gaia''s Blessing]]&gt;0,gaias_blessing_lumber)+ tech_1_3*TblTech[[#This Row],[1-3]] + tech_1_6*TblTech[[#This Row],[1-6]] + tech_3_3*TblTech[[#This Row],[3-3]]</f>
        <v>0</v>
      </c>
      <c r="AK78" s="156">
        <f ca="1">race_mana_bonus+ 0 + TblImps[[#This Row],[Spires]] + tech_1_2*TblTech[[#This Row],[1-2]] + tech_3_4*TblTech[[#This Row],[3-4]]</f>
        <v>0</v>
      </c>
      <c r="AL78" s="156">
        <f ca="1">race_ore_bonus + IF(TblMagic[[#This Row],[Active Miner''s Sight]]&gt;0,miners_sight_bonus,IF(TblMagic[[#This Row],[Active Mining Strength]]&gt;0,mining_strength_bonus)) +  tech_1_6*TblTech[[#This Row],[1-6]]</f>
        <v>0</v>
      </c>
      <c r="AM78" s="156">
        <f>race_gem_bonus+ tech_3_2*TblTech[[#This Row],[3-2]] + tech_4_3*TblTech[[#This Row],[4-3]] + tech_6_2*TblTech[[#This Row],[6-2]]</f>
        <v>0</v>
      </c>
      <c r="AN78" s="142"/>
      <c r="AO78" s="94">
        <f ca="1">TblProd[[#This Row],[Food]]*food_decay * (1 + tech_2_1*TblTech[[#This Row],[2-1]] + tech_2_8*TblTech[[#This Row],[2-8]] + IF(AND(TblMagic[[#This Row],[Active DnD]]&lt;12,TblMagic[[#This Row],[Active DnD]]&gt;5),1,0))</f>
        <v>1292.92</v>
      </c>
      <c r="AP78" s="94">
        <f ca="1">(1+race_food_consumption)*TblPop[[#This Row],[Total]]*food_per_person*(1+tech_1_10*TblTech[[#This Row],[1-10]]+tech_7_5*TblTech[[#This Row],[7-5]] + IF(TblMagic[[#This Row],[Active Infernal Command]]&gt;0,demonic_pact_food_cons,0))</f>
        <v>269</v>
      </c>
      <c r="AQ78" s="94">
        <f ca="1">TblProd[[#This Row],[Lumber]]*lumber_rot * (1 + tech_2_1*TblTech[[#This Row],[2-1]] + tech_2_8*TblTech[[#This Row],[2-8]] + tech_5_2*TblTech[[#This Row],[5-2]] + IF(AND(TblMagic[[#This Row],[Active DnD]]&lt;12,TblMagic[[#This Row],[Active DnD]]&gt;5),1,0))</f>
        <v>595.94000000000005</v>
      </c>
      <c r="AR78" s="94">
        <f ca="1">TblProd[[#This Row],[Mana]]*mana_drain * (1 + tech_2_1*TblTech[[#This Row],[2-1]] + tech_2_8*TblTech[[#This Row],[2-8]])</f>
        <v>0</v>
      </c>
      <c r="AS78" s="154"/>
      <c r="AT78" s="94">
        <f ca="1">TblExplore[[#This Row],[Platinum (2)]]+TblConstr[[#This Row],[Total Plat Cost]]+TblMili[[#This Row],[Plat Cost]]+TblRezone[[#This Row],[Platinum cost]]+TblImps[[#This Row],[P1]]-TblProd[[#This Row],[Bank Plat]]</f>
        <v>0</v>
      </c>
      <c r="AU78" s="94">
        <f ca="1">TblConstr[[#This Row],[Total Lum Cost]]+TblImps[[#This Row],[L1]]-TblProd[[#This Row],[Bank Lumber]] + Military!$CO$25*TblMili[[#This Row],[Sec. rec. Cost]]</f>
        <v>0</v>
      </c>
      <c r="AV78" s="94">
        <f ca="1">TblMagic[[#This Row],[Mana cost]] + Military!$CO$26*TblMili[[#This Row],[Sec. rec. Cost]]</f>
        <v>0</v>
      </c>
      <c r="AW78" s="94">
        <f ca="1">Military!$CO$24*TblMili[[#This Row],[Sec. rec. Cost]]+TblImps[[#This Row],[O1]]-TblProd[[#This Row],[Bank Ore]]</f>
        <v>0</v>
      </c>
      <c r="AX78" s="94">
        <f>TblImps[[#This Row],[G1]]-TblProd[[#This Row],[Bank Gems]]</f>
        <v>0</v>
      </c>
      <c r="AY78" s="142"/>
      <c r="AZ78" s="61" t="b">
        <f ca="1">IF(TblProd[[#This Row],[Set Guard]]&lt;&gt;"",TblProd[[#This Row],[Set Guard]],OFFSET(TblProd[[#This Row],[Guard]],-1,0))</f>
        <v>0</v>
      </c>
      <c r="BA78" s="153"/>
      <c r="BB78" s="45">
        <f>TblProd[[#This Row],[Hour]]</f>
        <v>39</v>
      </c>
      <c r="BC78" s="158">
        <f>-TblProd[[#This Row],[Bank Lumber]] / 2 + -TblProd[[#This Row],[Bank Gems]] * 2 + -TblProd[[#This Row],[Bank Ore]] / 2</f>
        <v>0</v>
      </c>
      <c r="BD78" s="158"/>
      <c r="BE78" s="158"/>
      <c r="BF78" s="158"/>
      <c r="BG78" s="159">
        <f ca="1">TblProd[[#This Row],[Time]]</f>
        <v>46050.083333333154</v>
      </c>
      <c r="BH78" s="45" t="str">
        <f>IF(AND(TblProd[[#This Row],[Bank Plat]]=0,TblProd[[#This Row],[Bank Lumber]]=0,TblProd[[#This Row],[Bank Ore]]=0,TblProd[[#This Row],[Bank Gems]]=0),"",IF(TblProd[[#This Row],[Bank Plat]]&gt;0,IF((TblProd[[#This Row],[Bank Lumber]]+TblProd[[#This Row],[Bank Ore]])/2+TblProd[[#This Row],[Bank Gems]]*2+ROUNDUP(TblProd[[#This Row],[Bank Plat]]/(1 + tech_2_2*Techs!Y78),0)=0,"Ok","Nope"),IF(TblProd[[#This Row],[Bank Lumber]]&gt;0,IF((TblProd[[#This Row],[Bank Plat]]+TblProd[[#This Row],[Bank Ore]])/2+TblProd[[#This Row],[Bank Gems]]*2+ROUNDUP(TblProd[[#This Row],[Bank Lumber]]/(1 + tech_2_2*Techs!Y78),0)=0,"Ok","Nope"),IF(TblProd[[#This Row],[Bank Ore]]&gt;0,IF((TblProd[[#This Row],[Bank Plat]]+TblProd[[#This Row],[Bank Lumber]])/2+TblProd[[#This Row],[Bank Gems]]*2+ROUNDUP(TblProd[[#This Row],[Bank Ore]]/(1 + tech_2_2*Techs!Y78),0)=0,"Ok","Nope")))))</f>
        <v/>
      </c>
      <c r="BI78" s="94">
        <f ca="1">TblProd[[#This Row],[Platinum]]</f>
        <v>171230</v>
      </c>
      <c r="BJ78" s="94">
        <f ca="1">TblProd[[#This Row],[Food]]</f>
        <v>129292</v>
      </c>
      <c r="BK78" s="94">
        <f ca="1">TblProd[[#This Row],[Lumber]]</f>
        <v>59594</v>
      </c>
      <c r="BL78" s="94">
        <f ca="1">TblProd[[#This Row],[Mana]]</f>
        <v>0</v>
      </c>
      <c r="BM78" s="94">
        <f ca="1">TblProd[[#This Row],[Ore]]</f>
        <v>0</v>
      </c>
    </row>
    <row r="79" spans="1:65" x14ac:dyDescent="0.2">
      <c r="A79" s="137">
        <f t="shared" si="0"/>
        <v>40</v>
      </c>
      <c r="B79" s="152">
        <f ca="1">TblImps[[#This Row],[Time]]</f>
        <v>46050.124999999818</v>
      </c>
      <c r="C79" s="153"/>
      <c r="D79" s="154"/>
      <c r="E79" s="94">
        <f ca="1">TblConstr[[#This Row],[Land]]</f>
        <v>110</v>
      </c>
      <c r="F79" s="94">
        <f ca="1">TblPop[[#This Row],[Peasants]]</f>
        <v>472</v>
      </c>
      <c r="G79" s="94">
        <f ca="1">TblMili[[#This Row],[Networth (2)]]</f>
        <v>2450</v>
      </c>
      <c r="H79" s="94">
        <f ca="1">OFFSET(TblProd[[#This Row],[Platinum]],-1,0)+OFFSET(TblProd[[#This Row],[Plat/hr]],-1,0) - TblProd[[#This Row],[Expenses Platinum]] + IF(TblProd[[#This Row],[Plat Bonus]],TblPop[[#This Row],[Peasants]]*4) + SUM(TblConstr[[#This Row],[Dest Hom]:[Dest Doc]])*TblConstr[[#This Row],[CPA Platinum -DB]]*tech_3_3_2*TblTech[[#This Row],[3-3]]</f>
        <v>172517</v>
      </c>
      <c r="I79" s="94">
        <f ca="1">OFFSET(TblProd[[#This Row],[Food]],-1,0)+OFFSET(TblProd[[#This Row],[Food/hr]],-1,0)+ROUNDUP((TblConstr[[#This Row],[Farms]]*80+TblConstr[[#This Row],[Docks]]*35)*(1+OFFSET(TblProd[[#This Row],[Bonus Food/hr]],-1,0)),0)</f>
        <v>130310</v>
      </c>
      <c r="J79" s="94">
        <f ca="1">OFFSET(TblProd[[#This Row],[Lumber]],-1,0)+OFFSET(TblProd[[#This Row],[Lumber/hr]],-1,0) - TblProd[[#This Row],[Expenses Lumber]] + SUM(TblConstr[[#This Row],[Dest Hom]:[Dest Doc]])*TblConstr[[#This Row],[CPA Lumber -DB]]*tech_3_3_2*TblTech[[#This Row],[3-3]]</f>
        <v>59998</v>
      </c>
      <c r="K79" s="94">
        <f ca="1">OFFSET(TblProd[[#This Row],[Mana]],-1,0)+OFFSET(TblProd[[#This Row],[Mana/hr]],-1,0)- TblProd[[#This Row],[Expenses Mana]]</f>
        <v>0</v>
      </c>
      <c r="L79" s="94">
        <f ca="1">OFFSET(TblProd[[#This Row],[Ore]],-1,0)+OFFSET(TblProd[[#This Row],[Ore/hr]],-1,0) -TblProd[[#This Row],[Expenses Ore]]</f>
        <v>0</v>
      </c>
      <c r="M79" s="94">
        <f ca="1">OFFSET(TblProd[[#This Row],[Gems]],-1,0)+OFFSET(TblProd[[#This Row],[Gems/hr]],-1,0) - TblProd[[#This Row],[Expenses Gems]]</f>
        <v>0</v>
      </c>
      <c r="N79" s="94">
        <f ca="1">OFFSET(TblProd[[#This Row],[Boats]],-1,0)+OFFSET(TblProd[[#This Row],[Boats/hr]],-1,0)</f>
        <v>0</v>
      </c>
      <c r="O79" s="94">
        <f ca="1">OFFSET(TblProd[[#This Row],[Prestige]],-1,0)</f>
        <v>250</v>
      </c>
      <c r="P7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79" s="94">
        <f ca="1">MAX(_xlfn.CEILING.MATH(TblProd[[#This Row],[Land]]*2.5+IFERROR(OFFSET(TblTech[[#This Row],[Sum of tech]],-1,0)*50,0)),3750)</f>
        <v>3750</v>
      </c>
      <c r="R79" s="142"/>
      <c r="S79" s="94">
        <f ca="1">ROUNDDOWN(TblProd[[#This Row],[Raw Plat/hr]]*(1+TblProd[[#This Row],[Bonus Plat/hr]]),0)</f>
        <v>1274</v>
      </c>
      <c r="T79" s="94">
        <f ca="1">ROUND(TblProd[[#This Row],[Raw Food/hr]]*(1+TblProd[[#This Row],[Bonus Food/hr]])-TblProd[[#This Row],[Food decay]]-TblProd[[#This Row],[Food eaten]],0)</f>
        <v>1008</v>
      </c>
      <c r="U79" s="94">
        <f ca="1">ROUND(TblProd[[#This Row],[Raw Lumber/hr]]*(1+TblProd[[#This Row],[Bonus Lumber/hr]])-TblProd[[#This Row],[Lumber rot]],0)</f>
        <v>400</v>
      </c>
      <c r="V79" s="94">
        <f ca="1">ROUND(TblProd[[#This Row],[Raw Mana/hr]]*(1+TblProd[[#This Row],[Bonus Mana/hr]])-TblProd[[#This Row],[Mana drain]],0)</f>
        <v>0</v>
      </c>
      <c r="W79" s="94">
        <f ca="1">ROUNDDOWN(TblProd[[#This Row],[Raw Ore/hr]]*(1+TblProd[[#This Row],[Bonux Ore/hr]]),0)</f>
        <v>0</v>
      </c>
      <c r="X79" s="94">
        <f ca="1">ROUNDDOWN(TblProd[[#This Row],[Raw Gems/hr]]*(1+TblProd[[#This Row],[Bonus Gems/hr]]),0)</f>
        <v>0</v>
      </c>
      <c r="Y79" s="155">
        <f ca="1">OFFSET(TblConstr[[#This Row],[Tot Doc]],1,0)*dock_boats_hr * (1 + tech_4_1*TblTech[[#This Row],[4-1]])</f>
        <v>0</v>
      </c>
      <c r="Z79" s="154"/>
      <c r="AA79" s="94">
        <f ca="1">TblPop[[#This Row],[Peasants]]*tax*TblPop[[#This Row],[Employment]] + (Construction!AZ80+Construction!BX80)*(alch_plat+(Magic!AN79&gt;0)*alchemist_flame_bonus)</f>
        <v>1274.4000000000001</v>
      </c>
      <c r="AB79" s="94">
        <f ca="1">TblConstr[[#This Row],[Tot Farm]]*farm_food + TblConstr[[#This Row],[Tot Doc]]*dock_food</f>
        <v>2400</v>
      </c>
      <c r="AC79" s="94">
        <f ca="1">TblConstr[[#This Row],[Tot Ly]]*ly_lumber + TblConstr[[#This Row],[Tot Hav]]*fh_lumber + IF(race="Wood Elf",TblMili[[#This Row],[Unit 2]]*MIN(TblMili[[#This Row],[Homeland%]]/wisp_bonus,wisp_cap),0)</f>
        <v>1000</v>
      </c>
      <c r="AD79" s="94">
        <f ca="1">OFFSET(TblConstr[[#This Row],[Tot Tow]],1,0)*(tower_mana + tech_4_5*TblTech[[#This Row],[4-5]]) + OFFSET(TblConstr[[#This Row],[Tot WG]],1,0)*wg_mana_prod</f>
        <v>0</v>
      </c>
      <c r="AE79" s="94">
        <f ca="1">OFFSET(TblConstr[[#This Row],[Tot OM]],1,0)*om_ore+IF(race="Dwarf",TblMili[[#This Row],[Unit 2]]*0.5,0)</f>
        <v>0</v>
      </c>
      <c r="AF79" s="94">
        <f ca="1">OFFSET(TblConstr[[#This Row],[Tot DM]],1,0)*dm_gems</f>
        <v>0</v>
      </c>
      <c r="AG79" s="142"/>
      <c r="AH79" s="156">
        <f ca="1">MIN(race_platinum_bonus + IF(TblMagic[[#This Row],[Active Alch Frost]]&gt;0,alch_frost_bonus,IF(Magic!AE79&gt;0,midas_bonus)) + TblImps[[#This Row],[Science]] - TblProd[[#This Row],[Guard]]*(0.02 + tech_5_7*TblTech[[#This Row],[5-7]]) + tech_1_5*TblTech[[#This Row],[1-5]] + tech_4_4*TblTech[[#This Row],[4-4]] + IF(TblMagic[[#This Row],[Active Infernal Command]]&gt;0,demonic_pact_plat,0), 0.5)</f>
        <v>0</v>
      </c>
      <c r="AI7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79" s="156">
        <f ca="1">race_lumber_bonus+ IF(TblMagic[[#This Row],[Active Gaia''s Blessing]]&gt;0,gaias_blessing_lumber)+ tech_1_3*TblTech[[#This Row],[1-3]] + tech_1_6*TblTech[[#This Row],[1-6]] + tech_3_3*TblTech[[#This Row],[3-3]]</f>
        <v>0</v>
      </c>
      <c r="AK79" s="156">
        <f ca="1">race_mana_bonus+ 0 + TblImps[[#This Row],[Spires]] + tech_1_2*TblTech[[#This Row],[1-2]] + tech_3_4*TblTech[[#This Row],[3-4]]</f>
        <v>0</v>
      </c>
      <c r="AL79" s="156">
        <f ca="1">race_ore_bonus + IF(TblMagic[[#This Row],[Active Miner''s Sight]]&gt;0,miners_sight_bonus,IF(TblMagic[[#This Row],[Active Mining Strength]]&gt;0,mining_strength_bonus)) +  tech_1_6*TblTech[[#This Row],[1-6]]</f>
        <v>0</v>
      </c>
      <c r="AM79" s="156">
        <f>race_gem_bonus+ tech_3_2*TblTech[[#This Row],[3-2]] + tech_4_3*TblTech[[#This Row],[4-3]] + tech_6_2*TblTech[[#This Row],[6-2]]</f>
        <v>0</v>
      </c>
      <c r="AN79" s="142"/>
      <c r="AO79" s="94">
        <f ca="1">TblProd[[#This Row],[Food]]*food_decay * (1 + tech_2_1*TblTech[[#This Row],[2-1]] + tech_2_8*TblTech[[#This Row],[2-8]] + IF(AND(TblMagic[[#This Row],[Active DnD]]&lt;12,TblMagic[[#This Row],[Active DnD]]&gt;5),1,0))</f>
        <v>1303.1000000000001</v>
      </c>
      <c r="AP79" s="94">
        <f ca="1">(1+race_food_consumption)*TblPop[[#This Row],[Total]]*food_per_person*(1+tech_1_10*TblTech[[#This Row],[1-10]]+tech_7_5*TblTech[[#This Row],[7-5]] + IF(TblMagic[[#This Row],[Active Infernal Command]]&gt;0,demonic_pact_food_cons,0))</f>
        <v>269</v>
      </c>
      <c r="AQ79" s="94">
        <f ca="1">TblProd[[#This Row],[Lumber]]*lumber_rot * (1 + tech_2_1*TblTech[[#This Row],[2-1]] + tech_2_8*TblTech[[#This Row],[2-8]] + tech_5_2*TblTech[[#This Row],[5-2]] + IF(AND(TblMagic[[#This Row],[Active DnD]]&lt;12,TblMagic[[#This Row],[Active DnD]]&gt;5),1,0))</f>
        <v>599.98</v>
      </c>
      <c r="AR79" s="94">
        <f ca="1">TblProd[[#This Row],[Mana]]*mana_drain * (1 + tech_2_1*TblTech[[#This Row],[2-1]] + tech_2_8*TblTech[[#This Row],[2-8]])</f>
        <v>0</v>
      </c>
      <c r="AS79" s="154"/>
      <c r="AT79" s="94">
        <f ca="1">TblExplore[[#This Row],[Platinum (2)]]+TblConstr[[#This Row],[Total Plat Cost]]+TblMili[[#This Row],[Plat Cost]]+TblRezone[[#This Row],[Platinum cost]]+TblImps[[#This Row],[P1]]-TblProd[[#This Row],[Bank Plat]]</f>
        <v>0</v>
      </c>
      <c r="AU79" s="94">
        <f ca="1">TblConstr[[#This Row],[Total Lum Cost]]+TblImps[[#This Row],[L1]]-TblProd[[#This Row],[Bank Lumber]] + Military!$CO$25*TblMili[[#This Row],[Sec. rec. Cost]]</f>
        <v>0</v>
      </c>
      <c r="AV79" s="94">
        <f ca="1">TblMagic[[#This Row],[Mana cost]] + Military!$CO$26*TblMili[[#This Row],[Sec. rec. Cost]]</f>
        <v>0</v>
      </c>
      <c r="AW79" s="94">
        <f ca="1">Military!$CO$24*TblMili[[#This Row],[Sec. rec. Cost]]+TblImps[[#This Row],[O1]]-TblProd[[#This Row],[Bank Ore]]</f>
        <v>0</v>
      </c>
      <c r="AX79" s="94">
        <f>TblImps[[#This Row],[G1]]-TblProd[[#This Row],[Bank Gems]]</f>
        <v>0</v>
      </c>
      <c r="AY79" s="142"/>
      <c r="AZ79" s="61" t="b">
        <f ca="1">IF(TblProd[[#This Row],[Set Guard]]&lt;&gt;"",TblProd[[#This Row],[Set Guard]],OFFSET(TblProd[[#This Row],[Guard]],-1,0))</f>
        <v>0</v>
      </c>
      <c r="BA79" s="153"/>
      <c r="BB79" s="45">
        <f>TblProd[[#This Row],[Hour]]</f>
        <v>40</v>
      </c>
      <c r="BC79" s="158">
        <f>-TblProd[[#This Row],[Bank Lumber]] / 2 + -TblProd[[#This Row],[Bank Gems]] * 2 + -TblProd[[#This Row],[Bank Ore]] / 2</f>
        <v>0</v>
      </c>
      <c r="BD79" s="158"/>
      <c r="BE79" s="158"/>
      <c r="BF79" s="158"/>
      <c r="BG79" s="159">
        <f ca="1">TblProd[[#This Row],[Time]]</f>
        <v>46050.124999999818</v>
      </c>
      <c r="BH79" s="45" t="str">
        <f>IF(AND(TblProd[[#This Row],[Bank Plat]]=0,TblProd[[#This Row],[Bank Lumber]]=0,TblProd[[#This Row],[Bank Ore]]=0,TblProd[[#This Row],[Bank Gems]]=0),"",IF(TblProd[[#This Row],[Bank Plat]]&gt;0,IF((TblProd[[#This Row],[Bank Lumber]]+TblProd[[#This Row],[Bank Ore]])/2+TblProd[[#This Row],[Bank Gems]]*2+ROUNDUP(TblProd[[#This Row],[Bank Plat]]/(1 + tech_2_2*Techs!Y79),0)=0,"Ok","Nope"),IF(TblProd[[#This Row],[Bank Lumber]]&gt;0,IF((TblProd[[#This Row],[Bank Plat]]+TblProd[[#This Row],[Bank Ore]])/2+TblProd[[#This Row],[Bank Gems]]*2+ROUNDUP(TblProd[[#This Row],[Bank Lumber]]/(1 + tech_2_2*Techs!Y79),0)=0,"Ok","Nope"),IF(TblProd[[#This Row],[Bank Ore]]&gt;0,IF((TblProd[[#This Row],[Bank Plat]]+TblProd[[#This Row],[Bank Lumber]])/2+TblProd[[#This Row],[Bank Gems]]*2+ROUNDUP(TblProd[[#This Row],[Bank Ore]]/(1 + tech_2_2*Techs!Y79),0)=0,"Ok","Nope")))))</f>
        <v/>
      </c>
      <c r="BI79" s="94">
        <f ca="1">TblProd[[#This Row],[Platinum]]</f>
        <v>172517</v>
      </c>
      <c r="BJ79" s="94">
        <f ca="1">TblProd[[#This Row],[Food]]</f>
        <v>130310</v>
      </c>
      <c r="BK79" s="94">
        <f ca="1">TblProd[[#This Row],[Lumber]]</f>
        <v>59998</v>
      </c>
      <c r="BL79" s="94">
        <f ca="1">TblProd[[#This Row],[Mana]]</f>
        <v>0</v>
      </c>
      <c r="BM79" s="94">
        <f ca="1">TblProd[[#This Row],[Ore]]</f>
        <v>0</v>
      </c>
    </row>
    <row r="80" spans="1:65" x14ac:dyDescent="0.2">
      <c r="A80" s="137">
        <f t="shared" si="0"/>
        <v>41</v>
      </c>
      <c r="B80" s="152">
        <f ca="1">TblImps[[#This Row],[Time]]</f>
        <v>46050.166666666482</v>
      </c>
      <c r="C80" s="153"/>
      <c r="D80" s="154"/>
      <c r="E80" s="94">
        <f ca="1">TblConstr[[#This Row],[Land]]</f>
        <v>110</v>
      </c>
      <c r="F80" s="94">
        <f ca="1">TblPop[[#This Row],[Peasants]]</f>
        <v>467</v>
      </c>
      <c r="G80" s="94">
        <f ca="1">TblMili[[#This Row],[Networth (2)]]</f>
        <v>2450</v>
      </c>
      <c r="H80" s="94">
        <f ca="1">OFFSET(TblProd[[#This Row],[Platinum]],-1,0)+OFFSET(TblProd[[#This Row],[Plat/hr]],-1,0) - TblProd[[#This Row],[Expenses Platinum]] + IF(TblProd[[#This Row],[Plat Bonus]],TblPop[[#This Row],[Peasants]]*4) + SUM(TblConstr[[#This Row],[Dest Hom]:[Dest Doc]])*TblConstr[[#This Row],[CPA Platinum -DB]]*tech_3_3_2*TblTech[[#This Row],[3-3]]</f>
        <v>173791</v>
      </c>
      <c r="I80" s="94">
        <f ca="1">OFFSET(TblProd[[#This Row],[Food]],-1,0)+OFFSET(TblProd[[#This Row],[Food/hr]],-1,0)+ROUNDUP((TblConstr[[#This Row],[Farms]]*80+TblConstr[[#This Row],[Docks]]*35)*(1+OFFSET(TblProd[[#This Row],[Bonus Food/hr]],-1,0)),0)</f>
        <v>131318</v>
      </c>
      <c r="J80" s="94">
        <f ca="1">OFFSET(TblProd[[#This Row],[Lumber]],-1,0)+OFFSET(TblProd[[#This Row],[Lumber/hr]],-1,0) - TblProd[[#This Row],[Expenses Lumber]] + SUM(TblConstr[[#This Row],[Dest Hom]:[Dest Doc]])*TblConstr[[#This Row],[CPA Lumber -DB]]*tech_3_3_2*TblTech[[#This Row],[3-3]]</f>
        <v>60398</v>
      </c>
      <c r="K80" s="94">
        <f ca="1">OFFSET(TblProd[[#This Row],[Mana]],-1,0)+OFFSET(TblProd[[#This Row],[Mana/hr]],-1,0)- TblProd[[#This Row],[Expenses Mana]]</f>
        <v>0</v>
      </c>
      <c r="L80" s="94">
        <f ca="1">OFFSET(TblProd[[#This Row],[Ore]],-1,0)+OFFSET(TblProd[[#This Row],[Ore/hr]],-1,0) -TblProd[[#This Row],[Expenses Ore]]</f>
        <v>0</v>
      </c>
      <c r="M80" s="94">
        <f ca="1">OFFSET(TblProd[[#This Row],[Gems]],-1,0)+OFFSET(TblProd[[#This Row],[Gems/hr]],-1,0) - TblProd[[#This Row],[Expenses Gems]]</f>
        <v>0</v>
      </c>
      <c r="N80" s="94">
        <f ca="1">OFFSET(TblProd[[#This Row],[Boats]],-1,0)+OFFSET(TblProd[[#This Row],[Boats/hr]],-1,0)</f>
        <v>0</v>
      </c>
      <c r="O80" s="94">
        <f ca="1">OFFSET(TblProd[[#This Row],[Prestige]],-1,0)</f>
        <v>250</v>
      </c>
      <c r="P8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0" s="94">
        <f ca="1">MAX(_xlfn.CEILING.MATH(TblProd[[#This Row],[Land]]*2.5+IFERROR(OFFSET(TblTech[[#This Row],[Sum of tech]],-1,0)*50,0)),3750)</f>
        <v>3750</v>
      </c>
      <c r="R80" s="142"/>
      <c r="S80" s="94">
        <f ca="1">ROUNDDOWN(TblProd[[#This Row],[Raw Plat/hr]]*(1+TblProd[[#This Row],[Bonus Plat/hr]]),0)</f>
        <v>1260</v>
      </c>
      <c r="T80" s="94">
        <f ca="1">ROUND(TblProd[[#This Row],[Raw Food/hr]]*(1+TblProd[[#This Row],[Bonus Food/hr]])-TblProd[[#This Row],[Food decay]]-TblProd[[#This Row],[Food eaten]],0)</f>
        <v>998</v>
      </c>
      <c r="U80" s="94">
        <f ca="1">ROUND(TblProd[[#This Row],[Raw Lumber/hr]]*(1+TblProd[[#This Row],[Bonus Lumber/hr]])-TblProd[[#This Row],[Lumber rot]],0)</f>
        <v>396</v>
      </c>
      <c r="V80" s="94">
        <f ca="1">ROUND(TblProd[[#This Row],[Raw Mana/hr]]*(1+TblProd[[#This Row],[Bonus Mana/hr]])-TblProd[[#This Row],[Mana drain]],0)</f>
        <v>0</v>
      </c>
      <c r="W80" s="94">
        <f ca="1">ROUNDDOWN(TblProd[[#This Row],[Raw Ore/hr]]*(1+TblProd[[#This Row],[Bonux Ore/hr]]),0)</f>
        <v>0</v>
      </c>
      <c r="X80" s="94">
        <f ca="1">ROUNDDOWN(TblProd[[#This Row],[Raw Gems/hr]]*(1+TblProd[[#This Row],[Bonus Gems/hr]]),0)</f>
        <v>0</v>
      </c>
      <c r="Y80" s="155">
        <f ca="1">OFFSET(TblConstr[[#This Row],[Tot Doc]],1,0)*dock_boats_hr * (1 + tech_4_1*TblTech[[#This Row],[4-1]])</f>
        <v>0</v>
      </c>
      <c r="Z80" s="154"/>
      <c r="AA80" s="94">
        <f ca="1">TblPop[[#This Row],[Peasants]]*tax*TblPop[[#This Row],[Employment]] + (Construction!AZ81+Construction!BX81)*(alch_plat+(Magic!AN80&gt;0)*alchemist_flame_bonus)</f>
        <v>1260.9000000000001</v>
      </c>
      <c r="AB80" s="94">
        <f ca="1">TblConstr[[#This Row],[Tot Farm]]*farm_food + TblConstr[[#This Row],[Tot Doc]]*dock_food</f>
        <v>2400</v>
      </c>
      <c r="AC80" s="94">
        <f ca="1">TblConstr[[#This Row],[Tot Ly]]*ly_lumber + TblConstr[[#This Row],[Tot Hav]]*fh_lumber + IF(race="Wood Elf",TblMili[[#This Row],[Unit 2]]*MIN(TblMili[[#This Row],[Homeland%]]/wisp_bonus,wisp_cap),0)</f>
        <v>1000</v>
      </c>
      <c r="AD80" s="94">
        <f ca="1">OFFSET(TblConstr[[#This Row],[Tot Tow]],1,0)*(tower_mana + tech_4_5*TblTech[[#This Row],[4-5]]) + OFFSET(TblConstr[[#This Row],[Tot WG]],1,0)*wg_mana_prod</f>
        <v>0</v>
      </c>
      <c r="AE80" s="94">
        <f ca="1">OFFSET(TblConstr[[#This Row],[Tot OM]],1,0)*om_ore+IF(race="Dwarf",TblMili[[#This Row],[Unit 2]]*0.5,0)</f>
        <v>0</v>
      </c>
      <c r="AF80" s="94">
        <f ca="1">OFFSET(TblConstr[[#This Row],[Tot DM]],1,0)*dm_gems</f>
        <v>0</v>
      </c>
      <c r="AG80" s="142"/>
      <c r="AH80" s="156">
        <f ca="1">MIN(race_platinum_bonus + IF(TblMagic[[#This Row],[Active Alch Frost]]&gt;0,alch_frost_bonus,IF(Magic!AE80&gt;0,midas_bonus)) + TblImps[[#This Row],[Science]] - TblProd[[#This Row],[Guard]]*(0.02 + tech_5_7*TblTech[[#This Row],[5-7]]) + tech_1_5*TblTech[[#This Row],[1-5]] + tech_4_4*TblTech[[#This Row],[4-4]] + IF(TblMagic[[#This Row],[Active Infernal Command]]&gt;0,demonic_pact_plat,0), 0.5)</f>
        <v>0</v>
      </c>
      <c r="AI8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0" s="156">
        <f ca="1">race_lumber_bonus+ IF(TblMagic[[#This Row],[Active Gaia''s Blessing]]&gt;0,gaias_blessing_lumber)+ tech_1_3*TblTech[[#This Row],[1-3]] + tech_1_6*TblTech[[#This Row],[1-6]] + tech_3_3*TblTech[[#This Row],[3-3]]</f>
        <v>0</v>
      </c>
      <c r="AK80" s="156">
        <f ca="1">race_mana_bonus+ 0 + TblImps[[#This Row],[Spires]] + tech_1_2*TblTech[[#This Row],[1-2]] + tech_3_4*TblTech[[#This Row],[3-4]]</f>
        <v>0</v>
      </c>
      <c r="AL80" s="156">
        <f ca="1">race_ore_bonus + IF(TblMagic[[#This Row],[Active Miner''s Sight]]&gt;0,miners_sight_bonus,IF(TblMagic[[#This Row],[Active Mining Strength]]&gt;0,mining_strength_bonus)) +  tech_1_6*TblTech[[#This Row],[1-6]]</f>
        <v>0</v>
      </c>
      <c r="AM80" s="156">
        <f>race_gem_bonus+ tech_3_2*TblTech[[#This Row],[3-2]] + tech_4_3*TblTech[[#This Row],[4-3]] + tech_6_2*TblTech[[#This Row],[6-2]]</f>
        <v>0</v>
      </c>
      <c r="AN80" s="142"/>
      <c r="AO80" s="94">
        <f ca="1">TblProd[[#This Row],[Food]]*food_decay * (1 + tech_2_1*TblTech[[#This Row],[2-1]] + tech_2_8*TblTech[[#This Row],[2-8]] + IF(AND(TblMagic[[#This Row],[Active DnD]]&lt;12,TblMagic[[#This Row],[Active DnD]]&gt;5),1,0))</f>
        <v>1313.18</v>
      </c>
      <c r="AP80" s="94">
        <f ca="1">(1+race_food_consumption)*TblPop[[#This Row],[Total]]*food_per_person*(1+tech_1_10*TblTech[[#This Row],[1-10]]+tech_7_5*TblTech[[#This Row],[7-5]] + IF(TblMagic[[#This Row],[Active Infernal Command]]&gt;0,demonic_pact_food_cons,0))</f>
        <v>269</v>
      </c>
      <c r="AQ80" s="94">
        <f ca="1">TblProd[[#This Row],[Lumber]]*lumber_rot * (1 + tech_2_1*TblTech[[#This Row],[2-1]] + tech_2_8*TblTech[[#This Row],[2-8]] + tech_5_2*TblTech[[#This Row],[5-2]] + IF(AND(TblMagic[[#This Row],[Active DnD]]&lt;12,TblMagic[[#This Row],[Active DnD]]&gt;5),1,0))</f>
        <v>603.98</v>
      </c>
      <c r="AR80" s="94">
        <f ca="1">TblProd[[#This Row],[Mana]]*mana_drain * (1 + tech_2_1*TblTech[[#This Row],[2-1]] + tech_2_8*TblTech[[#This Row],[2-8]])</f>
        <v>0</v>
      </c>
      <c r="AS80" s="154"/>
      <c r="AT80" s="94">
        <f ca="1">TblExplore[[#This Row],[Platinum (2)]]+TblConstr[[#This Row],[Total Plat Cost]]+TblMili[[#This Row],[Plat Cost]]+TblRezone[[#This Row],[Platinum cost]]+TblImps[[#This Row],[P1]]-TblProd[[#This Row],[Bank Plat]]</f>
        <v>0</v>
      </c>
      <c r="AU80" s="94">
        <f ca="1">TblConstr[[#This Row],[Total Lum Cost]]+TblImps[[#This Row],[L1]]-TblProd[[#This Row],[Bank Lumber]] + Military!$CO$25*TblMili[[#This Row],[Sec. rec. Cost]]</f>
        <v>0</v>
      </c>
      <c r="AV80" s="94">
        <f ca="1">TblMagic[[#This Row],[Mana cost]] + Military!$CO$26*TblMili[[#This Row],[Sec. rec. Cost]]</f>
        <v>0</v>
      </c>
      <c r="AW80" s="94">
        <f ca="1">Military!$CO$24*TblMili[[#This Row],[Sec. rec. Cost]]+TblImps[[#This Row],[O1]]-TblProd[[#This Row],[Bank Ore]]</f>
        <v>0</v>
      </c>
      <c r="AX80" s="94">
        <f>TblImps[[#This Row],[G1]]-TblProd[[#This Row],[Bank Gems]]</f>
        <v>0</v>
      </c>
      <c r="AY80" s="142"/>
      <c r="AZ80" s="61" t="b">
        <f ca="1">IF(TblProd[[#This Row],[Set Guard]]&lt;&gt;"",TblProd[[#This Row],[Set Guard]],OFFSET(TblProd[[#This Row],[Guard]],-1,0))</f>
        <v>0</v>
      </c>
      <c r="BA80" s="153"/>
      <c r="BB80" s="45">
        <f>TblProd[[#This Row],[Hour]]</f>
        <v>41</v>
      </c>
      <c r="BC80" s="158">
        <f>-TblProd[[#This Row],[Bank Lumber]] / 2 + -TblProd[[#This Row],[Bank Gems]] * 2 + -TblProd[[#This Row],[Bank Ore]] / 2</f>
        <v>0</v>
      </c>
      <c r="BD80" s="158"/>
      <c r="BE80" s="158"/>
      <c r="BF80" s="158"/>
      <c r="BG80" s="159">
        <f ca="1">TblProd[[#This Row],[Time]]</f>
        <v>46050.166666666482</v>
      </c>
      <c r="BH80" s="45" t="str">
        <f>IF(AND(TblProd[[#This Row],[Bank Plat]]=0,TblProd[[#This Row],[Bank Lumber]]=0,TblProd[[#This Row],[Bank Ore]]=0,TblProd[[#This Row],[Bank Gems]]=0),"",IF(TblProd[[#This Row],[Bank Plat]]&gt;0,IF((TblProd[[#This Row],[Bank Lumber]]+TblProd[[#This Row],[Bank Ore]])/2+TblProd[[#This Row],[Bank Gems]]*2+ROUNDUP(TblProd[[#This Row],[Bank Plat]]/(1 + tech_2_2*Techs!Y80),0)=0,"Ok","Nope"),IF(TblProd[[#This Row],[Bank Lumber]]&gt;0,IF((TblProd[[#This Row],[Bank Plat]]+TblProd[[#This Row],[Bank Ore]])/2+TblProd[[#This Row],[Bank Gems]]*2+ROUNDUP(TblProd[[#This Row],[Bank Lumber]]/(1 + tech_2_2*Techs!Y80),0)=0,"Ok","Nope"),IF(TblProd[[#This Row],[Bank Ore]]&gt;0,IF((TblProd[[#This Row],[Bank Plat]]+TblProd[[#This Row],[Bank Lumber]])/2+TblProd[[#This Row],[Bank Gems]]*2+ROUNDUP(TblProd[[#This Row],[Bank Ore]]/(1 + tech_2_2*Techs!Y80),0)=0,"Ok","Nope")))))</f>
        <v/>
      </c>
      <c r="BI80" s="94">
        <f ca="1">TblProd[[#This Row],[Platinum]]</f>
        <v>173791</v>
      </c>
      <c r="BJ80" s="94">
        <f ca="1">TblProd[[#This Row],[Food]]</f>
        <v>131318</v>
      </c>
      <c r="BK80" s="94">
        <f ca="1">TblProd[[#This Row],[Lumber]]</f>
        <v>60398</v>
      </c>
      <c r="BL80" s="94">
        <f ca="1">TblProd[[#This Row],[Mana]]</f>
        <v>0</v>
      </c>
      <c r="BM80" s="94">
        <f ca="1">TblProd[[#This Row],[Ore]]</f>
        <v>0</v>
      </c>
    </row>
    <row r="81" spans="1:65" x14ac:dyDescent="0.2">
      <c r="A81" s="137">
        <f t="shared" si="0"/>
        <v>42</v>
      </c>
      <c r="B81" s="152">
        <f ca="1">TblImps[[#This Row],[Time]]</f>
        <v>46050.208333333147</v>
      </c>
      <c r="C81" s="153"/>
      <c r="D81" s="154"/>
      <c r="E81" s="94">
        <f ca="1">TblConstr[[#This Row],[Land]]</f>
        <v>110</v>
      </c>
      <c r="F81" s="94">
        <f ca="1">TblPop[[#This Row],[Peasants]]</f>
        <v>462</v>
      </c>
      <c r="G81" s="94">
        <f ca="1">TblMili[[#This Row],[Networth (2)]]</f>
        <v>2450</v>
      </c>
      <c r="H81" s="94">
        <f ca="1">OFFSET(TblProd[[#This Row],[Platinum]],-1,0)+OFFSET(TblProd[[#This Row],[Plat/hr]],-1,0) - TblProd[[#This Row],[Expenses Platinum]] + IF(TblProd[[#This Row],[Plat Bonus]],TblPop[[#This Row],[Peasants]]*4) + SUM(TblConstr[[#This Row],[Dest Hom]:[Dest Doc]])*TblConstr[[#This Row],[CPA Platinum -DB]]*tech_3_3_2*TblTech[[#This Row],[3-3]]</f>
        <v>175051</v>
      </c>
      <c r="I81" s="94">
        <f ca="1">OFFSET(TblProd[[#This Row],[Food]],-1,0)+OFFSET(TblProd[[#This Row],[Food/hr]],-1,0)+ROUNDUP((TblConstr[[#This Row],[Farms]]*80+TblConstr[[#This Row],[Docks]]*35)*(1+OFFSET(TblProd[[#This Row],[Bonus Food/hr]],-1,0)),0)</f>
        <v>132316</v>
      </c>
      <c r="J81" s="94">
        <f ca="1">OFFSET(TblProd[[#This Row],[Lumber]],-1,0)+OFFSET(TblProd[[#This Row],[Lumber/hr]],-1,0) - TblProd[[#This Row],[Expenses Lumber]] + SUM(TblConstr[[#This Row],[Dest Hom]:[Dest Doc]])*TblConstr[[#This Row],[CPA Lumber -DB]]*tech_3_3_2*TblTech[[#This Row],[3-3]]</f>
        <v>60794</v>
      </c>
      <c r="K81" s="94">
        <f ca="1">OFFSET(TblProd[[#This Row],[Mana]],-1,0)+OFFSET(TblProd[[#This Row],[Mana/hr]],-1,0)- TblProd[[#This Row],[Expenses Mana]]</f>
        <v>0</v>
      </c>
      <c r="L81" s="94">
        <f ca="1">OFFSET(TblProd[[#This Row],[Ore]],-1,0)+OFFSET(TblProd[[#This Row],[Ore/hr]],-1,0) -TblProd[[#This Row],[Expenses Ore]]</f>
        <v>0</v>
      </c>
      <c r="M81" s="94">
        <f ca="1">OFFSET(TblProd[[#This Row],[Gems]],-1,0)+OFFSET(TblProd[[#This Row],[Gems/hr]],-1,0) - TblProd[[#This Row],[Expenses Gems]]</f>
        <v>0</v>
      </c>
      <c r="N81" s="94">
        <f ca="1">OFFSET(TblProd[[#This Row],[Boats]],-1,0)+OFFSET(TblProd[[#This Row],[Boats/hr]],-1,0)</f>
        <v>0</v>
      </c>
      <c r="O81" s="94">
        <f ca="1">OFFSET(TblProd[[#This Row],[Prestige]],-1,0)</f>
        <v>250</v>
      </c>
      <c r="P8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1" s="94">
        <f ca="1">MAX(_xlfn.CEILING.MATH(TblProd[[#This Row],[Land]]*2.5+IFERROR(OFFSET(TblTech[[#This Row],[Sum of tech]],-1,0)*50,0)),3750)</f>
        <v>3750</v>
      </c>
      <c r="R81" s="142"/>
      <c r="S81" s="94">
        <f ca="1">ROUNDDOWN(TblProd[[#This Row],[Raw Plat/hr]]*(1+TblProd[[#This Row],[Bonus Plat/hr]]),0)</f>
        <v>1247</v>
      </c>
      <c r="T81" s="94">
        <f ca="1">ROUND(TblProd[[#This Row],[Raw Food/hr]]*(1+TblProd[[#This Row],[Bonus Food/hr]])-TblProd[[#This Row],[Food decay]]-TblProd[[#This Row],[Food eaten]],0)</f>
        <v>988</v>
      </c>
      <c r="U81" s="94">
        <f ca="1">ROUND(TblProd[[#This Row],[Raw Lumber/hr]]*(1+TblProd[[#This Row],[Bonus Lumber/hr]])-TblProd[[#This Row],[Lumber rot]],0)</f>
        <v>392</v>
      </c>
      <c r="V81" s="94">
        <f ca="1">ROUND(TblProd[[#This Row],[Raw Mana/hr]]*(1+TblProd[[#This Row],[Bonus Mana/hr]])-TblProd[[#This Row],[Mana drain]],0)</f>
        <v>0</v>
      </c>
      <c r="W81" s="94">
        <f ca="1">ROUNDDOWN(TblProd[[#This Row],[Raw Ore/hr]]*(1+TblProd[[#This Row],[Bonux Ore/hr]]),0)</f>
        <v>0</v>
      </c>
      <c r="X81" s="94">
        <f ca="1">ROUNDDOWN(TblProd[[#This Row],[Raw Gems/hr]]*(1+TblProd[[#This Row],[Bonus Gems/hr]]),0)</f>
        <v>0</v>
      </c>
      <c r="Y81" s="155">
        <f ca="1">OFFSET(TblConstr[[#This Row],[Tot Doc]],1,0)*dock_boats_hr * (1 + tech_4_1*TblTech[[#This Row],[4-1]])</f>
        <v>0</v>
      </c>
      <c r="Z81" s="154"/>
      <c r="AA81" s="94">
        <f ca="1">TblPop[[#This Row],[Peasants]]*tax*TblPop[[#This Row],[Employment]] + (Construction!AZ82+Construction!BX82)*(alch_plat+(Magic!AN81&gt;0)*alchemist_flame_bonus)</f>
        <v>1247.4000000000001</v>
      </c>
      <c r="AB81" s="94">
        <f ca="1">TblConstr[[#This Row],[Tot Farm]]*farm_food + TblConstr[[#This Row],[Tot Doc]]*dock_food</f>
        <v>2400</v>
      </c>
      <c r="AC81" s="94">
        <f ca="1">TblConstr[[#This Row],[Tot Ly]]*ly_lumber + TblConstr[[#This Row],[Tot Hav]]*fh_lumber + IF(race="Wood Elf",TblMili[[#This Row],[Unit 2]]*MIN(TblMili[[#This Row],[Homeland%]]/wisp_bonus,wisp_cap),0)</f>
        <v>1000</v>
      </c>
      <c r="AD81" s="94">
        <f ca="1">OFFSET(TblConstr[[#This Row],[Tot Tow]],1,0)*(tower_mana + tech_4_5*TblTech[[#This Row],[4-5]]) + OFFSET(TblConstr[[#This Row],[Tot WG]],1,0)*wg_mana_prod</f>
        <v>0</v>
      </c>
      <c r="AE81" s="94">
        <f ca="1">OFFSET(TblConstr[[#This Row],[Tot OM]],1,0)*om_ore+IF(race="Dwarf",TblMili[[#This Row],[Unit 2]]*0.5,0)</f>
        <v>0</v>
      </c>
      <c r="AF81" s="94">
        <f ca="1">OFFSET(TblConstr[[#This Row],[Tot DM]],1,0)*dm_gems</f>
        <v>0</v>
      </c>
      <c r="AG81" s="142"/>
      <c r="AH81" s="156">
        <f ca="1">MIN(race_platinum_bonus + IF(TblMagic[[#This Row],[Active Alch Frost]]&gt;0,alch_frost_bonus,IF(Magic!AE81&gt;0,midas_bonus)) + TblImps[[#This Row],[Science]] - TblProd[[#This Row],[Guard]]*(0.02 + tech_5_7*TblTech[[#This Row],[5-7]]) + tech_1_5*TblTech[[#This Row],[1-5]] + tech_4_4*TblTech[[#This Row],[4-4]] + IF(TblMagic[[#This Row],[Active Infernal Command]]&gt;0,demonic_pact_plat,0), 0.5)</f>
        <v>0</v>
      </c>
      <c r="AI8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1" s="156">
        <f ca="1">race_lumber_bonus+ IF(TblMagic[[#This Row],[Active Gaia''s Blessing]]&gt;0,gaias_blessing_lumber)+ tech_1_3*TblTech[[#This Row],[1-3]] + tech_1_6*TblTech[[#This Row],[1-6]] + tech_3_3*TblTech[[#This Row],[3-3]]</f>
        <v>0</v>
      </c>
      <c r="AK81" s="156">
        <f ca="1">race_mana_bonus+ 0 + TblImps[[#This Row],[Spires]] + tech_1_2*TblTech[[#This Row],[1-2]] + tech_3_4*TblTech[[#This Row],[3-4]]</f>
        <v>0</v>
      </c>
      <c r="AL81" s="156">
        <f ca="1">race_ore_bonus + IF(TblMagic[[#This Row],[Active Miner''s Sight]]&gt;0,miners_sight_bonus,IF(TblMagic[[#This Row],[Active Mining Strength]]&gt;0,mining_strength_bonus)) +  tech_1_6*TblTech[[#This Row],[1-6]]</f>
        <v>0</v>
      </c>
      <c r="AM81" s="156">
        <f>race_gem_bonus+ tech_3_2*TblTech[[#This Row],[3-2]] + tech_4_3*TblTech[[#This Row],[4-3]] + tech_6_2*TblTech[[#This Row],[6-2]]</f>
        <v>0</v>
      </c>
      <c r="AN81" s="142"/>
      <c r="AO81" s="94">
        <f ca="1">TblProd[[#This Row],[Food]]*food_decay * (1 + tech_2_1*TblTech[[#This Row],[2-1]] + tech_2_8*TblTech[[#This Row],[2-8]] + IF(AND(TblMagic[[#This Row],[Active DnD]]&lt;12,TblMagic[[#This Row],[Active DnD]]&gt;5),1,0))</f>
        <v>1323.16</v>
      </c>
      <c r="AP81" s="94">
        <f ca="1">(1+race_food_consumption)*TblPop[[#This Row],[Total]]*food_per_person*(1+tech_1_10*TblTech[[#This Row],[1-10]]+tech_7_5*TblTech[[#This Row],[7-5]] + IF(TblMagic[[#This Row],[Active Infernal Command]]&gt;0,demonic_pact_food_cons,0))</f>
        <v>269</v>
      </c>
      <c r="AQ81" s="94">
        <f ca="1">TblProd[[#This Row],[Lumber]]*lumber_rot * (1 + tech_2_1*TblTech[[#This Row],[2-1]] + tech_2_8*TblTech[[#This Row],[2-8]] + tech_5_2*TblTech[[#This Row],[5-2]] + IF(AND(TblMagic[[#This Row],[Active DnD]]&lt;12,TblMagic[[#This Row],[Active DnD]]&gt;5),1,0))</f>
        <v>607.94000000000005</v>
      </c>
      <c r="AR81" s="94">
        <f ca="1">TblProd[[#This Row],[Mana]]*mana_drain * (1 + tech_2_1*TblTech[[#This Row],[2-1]] + tech_2_8*TblTech[[#This Row],[2-8]])</f>
        <v>0</v>
      </c>
      <c r="AS81" s="154"/>
      <c r="AT81" s="94">
        <f ca="1">TblExplore[[#This Row],[Platinum (2)]]+TblConstr[[#This Row],[Total Plat Cost]]+TblMili[[#This Row],[Plat Cost]]+TblRezone[[#This Row],[Platinum cost]]+TblImps[[#This Row],[P1]]-TblProd[[#This Row],[Bank Plat]]</f>
        <v>0</v>
      </c>
      <c r="AU81" s="94">
        <f ca="1">TblConstr[[#This Row],[Total Lum Cost]]+TblImps[[#This Row],[L1]]-TblProd[[#This Row],[Bank Lumber]] + Military!$CO$25*TblMili[[#This Row],[Sec. rec. Cost]]</f>
        <v>0</v>
      </c>
      <c r="AV81" s="94">
        <f ca="1">TblMagic[[#This Row],[Mana cost]] + Military!$CO$26*TblMili[[#This Row],[Sec. rec. Cost]]</f>
        <v>0</v>
      </c>
      <c r="AW81" s="94">
        <f ca="1">Military!$CO$24*TblMili[[#This Row],[Sec. rec. Cost]]+TblImps[[#This Row],[O1]]-TblProd[[#This Row],[Bank Ore]]</f>
        <v>0</v>
      </c>
      <c r="AX81" s="94">
        <f>TblImps[[#This Row],[G1]]-TblProd[[#This Row],[Bank Gems]]</f>
        <v>0</v>
      </c>
      <c r="AY81" s="142"/>
      <c r="AZ81" s="61" t="b">
        <f ca="1">IF(TblProd[[#This Row],[Set Guard]]&lt;&gt;"",TblProd[[#This Row],[Set Guard]],OFFSET(TblProd[[#This Row],[Guard]],-1,0))</f>
        <v>0</v>
      </c>
      <c r="BA81" s="153"/>
      <c r="BB81" s="45">
        <f>TblProd[[#This Row],[Hour]]</f>
        <v>42</v>
      </c>
      <c r="BC81" s="158">
        <f>-TblProd[[#This Row],[Bank Lumber]] / 2 + -TblProd[[#This Row],[Bank Gems]] * 2 + -TblProd[[#This Row],[Bank Ore]] / 2</f>
        <v>0</v>
      </c>
      <c r="BD81" s="158"/>
      <c r="BE81" s="158"/>
      <c r="BF81" s="158"/>
      <c r="BG81" s="159">
        <f ca="1">TblProd[[#This Row],[Time]]</f>
        <v>46050.208333333147</v>
      </c>
      <c r="BH81" s="45" t="str">
        <f>IF(AND(TblProd[[#This Row],[Bank Plat]]=0,TblProd[[#This Row],[Bank Lumber]]=0,TblProd[[#This Row],[Bank Ore]]=0,TblProd[[#This Row],[Bank Gems]]=0),"",IF(TblProd[[#This Row],[Bank Plat]]&gt;0,IF((TblProd[[#This Row],[Bank Lumber]]+TblProd[[#This Row],[Bank Ore]])/2+TblProd[[#This Row],[Bank Gems]]*2+ROUNDUP(TblProd[[#This Row],[Bank Plat]]/(1 + tech_2_2*Techs!Y81),0)=0,"Ok","Nope"),IF(TblProd[[#This Row],[Bank Lumber]]&gt;0,IF((TblProd[[#This Row],[Bank Plat]]+TblProd[[#This Row],[Bank Ore]])/2+TblProd[[#This Row],[Bank Gems]]*2+ROUNDUP(TblProd[[#This Row],[Bank Lumber]]/(1 + tech_2_2*Techs!Y81),0)=0,"Ok","Nope"),IF(TblProd[[#This Row],[Bank Ore]]&gt;0,IF((TblProd[[#This Row],[Bank Plat]]+TblProd[[#This Row],[Bank Lumber]])/2+TblProd[[#This Row],[Bank Gems]]*2+ROUNDUP(TblProd[[#This Row],[Bank Ore]]/(1 + tech_2_2*Techs!Y81),0)=0,"Ok","Nope")))))</f>
        <v/>
      </c>
      <c r="BI81" s="94">
        <f ca="1">TblProd[[#This Row],[Platinum]]</f>
        <v>175051</v>
      </c>
      <c r="BJ81" s="94">
        <f ca="1">TblProd[[#This Row],[Food]]</f>
        <v>132316</v>
      </c>
      <c r="BK81" s="94">
        <f ca="1">TblProd[[#This Row],[Lumber]]</f>
        <v>60794</v>
      </c>
      <c r="BL81" s="94">
        <f ca="1">TblProd[[#This Row],[Mana]]</f>
        <v>0</v>
      </c>
      <c r="BM81" s="94">
        <f ca="1">TblProd[[#This Row],[Ore]]</f>
        <v>0</v>
      </c>
    </row>
    <row r="82" spans="1:65" x14ac:dyDescent="0.2">
      <c r="A82" s="137">
        <f t="shared" si="0"/>
        <v>43</v>
      </c>
      <c r="B82" s="152">
        <f ca="1">TblImps[[#This Row],[Time]]</f>
        <v>46050.249999999811</v>
      </c>
      <c r="C82" s="153"/>
      <c r="D82" s="154"/>
      <c r="E82" s="94">
        <f ca="1">TblConstr[[#This Row],[Land]]</f>
        <v>110</v>
      </c>
      <c r="F82" s="94">
        <f ca="1">TblPop[[#This Row],[Peasants]]</f>
        <v>457</v>
      </c>
      <c r="G82" s="94">
        <f ca="1">TblMili[[#This Row],[Networth (2)]]</f>
        <v>2450</v>
      </c>
      <c r="H82" s="94">
        <f ca="1">OFFSET(TblProd[[#This Row],[Platinum]],-1,0)+OFFSET(TblProd[[#This Row],[Plat/hr]],-1,0) - TblProd[[#This Row],[Expenses Platinum]] + IF(TblProd[[#This Row],[Plat Bonus]],TblPop[[#This Row],[Peasants]]*4) + SUM(TblConstr[[#This Row],[Dest Hom]:[Dest Doc]])*TblConstr[[#This Row],[CPA Platinum -DB]]*tech_3_3_2*TblTech[[#This Row],[3-3]]</f>
        <v>176298</v>
      </c>
      <c r="I82" s="94">
        <f ca="1">OFFSET(TblProd[[#This Row],[Food]],-1,0)+OFFSET(TblProd[[#This Row],[Food/hr]],-1,0)+ROUNDUP((TblConstr[[#This Row],[Farms]]*80+TblConstr[[#This Row],[Docks]]*35)*(1+OFFSET(TblProd[[#This Row],[Bonus Food/hr]],-1,0)),0)</f>
        <v>133304</v>
      </c>
      <c r="J82" s="94">
        <f ca="1">OFFSET(TblProd[[#This Row],[Lumber]],-1,0)+OFFSET(TblProd[[#This Row],[Lumber/hr]],-1,0) - TblProd[[#This Row],[Expenses Lumber]] + SUM(TblConstr[[#This Row],[Dest Hom]:[Dest Doc]])*TblConstr[[#This Row],[CPA Lumber -DB]]*tech_3_3_2*TblTech[[#This Row],[3-3]]</f>
        <v>61186</v>
      </c>
      <c r="K82" s="94">
        <f ca="1">OFFSET(TblProd[[#This Row],[Mana]],-1,0)+OFFSET(TblProd[[#This Row],[Mana/hr]],-1,0)- TblProd[[#This Row],[Expenses Mana]]</f>
        <v>0</v>
      </c>
      <c r="L82" s="94">
        <f ca="1">OFFSET(TblProd[[#This Row],[Ore]],-1,0)+OFFSET(TblProd[[#This Row],[Ore/hr]],-1,0) -TblProd[[#This Row],[Expenses Ore]]</f>
        <v>0</v>
      </c>
      <c r="M82" s="94">
        <f ca="1">OFFSET(TblProd[[#This Row],[Gems]],-1,0)+OFFSET(TblProd[[#This Row],[Gems/hr]],-1,0) - TblProd[[#This Row],[Expenses Gems]]</f>
        <v>0</v>
      </c>
      <c r="N82" s="94">
        <f ca="1">OFFSET(TblProd[[#This Row],[Boats]],-1,0)+OFFSET(TblProd[[#This Row],[Boats/hr]],-1,0)</f>
        <v>0</v>
      </c>
      <c r="O82" s="94">
        <f ca="1">OFFSET(TblProd[[#This Row],[Prestige]],-1,0)</f>
        <v>250</v>
      </c>
      <c r="P8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2" s="94">
        <f ca="1">MAX(_xlfn.CEILING.MATH(TblProd[[#This Row],[Land]]*2.5+IFERROR(OFFSET(TblTech[[#This Row],[Sum of tech]],-1,0)*50,0)),3750)</f>
        <v>3750</v>
      </c>
      <c r="R82" s="142"/>
      <c r="S82" s="94">
        <f ca="1">ROUNDDOWN(TblProd[[#This Row],[Raw Plat/hr]]*(1+TblProd[[#This Row],[Bonus Plat/hr]]),0)</f>
        <v>1233</v>
      </c>
      <c r="T82" s="94">
        <f ca="1">ROUND(TblProd[[#This Row],[Raw Food/hr]]*(1+TblProd[[#This Row],[Bonus Food/hr]])-TblProd[[#This Row],[Food decay]]-TblProd[[#This Row],[Food eaten]],0)</f>
        <v>978</v>
      </c>
      <c r="U82" s="94">
        <f ca="1">ROUND(TblProd[[#This Row],[Raw Lumber/hr]]*(1+TblProd[[#This Row],[Bonus Lumber/hr]])-TblProd[[#This Row],[Lumber rot]],0)</f>
        <v>388</v>
      </c>
      <c r="V82" s="94">
        <f ca="1">ROUND(TblProd[[#This Row],[Raw Mana/hr]]*(1+TblProd[[#This Row],[Bonus Mana/hr]])-TblProd[[#This Row],[Mana drain]],0)</f>
        <v>0</v>
      </c>
      <c r="W82" s="94">
        <f ca="1">ROUNDDOWN(TblProd[[#This Row],[Raw Ore/hr]]*(1+TblProd[[#This Row],[Bonux Ore/hr]]),0)</f>
        <v>0</v>
      </c>
      <c r="X82" s="94">
        <f ca="1">ROUNDDOWN(TblProd[[#This Row],[Raw Gems/hr]]*(1+TblProd[[#This Row],[Bonus Gems/hr]]),0)</f>
        <v>0</v>
      </c>
      <c r="Y82" s="155">
        <f ca="1">OFFSET(TblConstr[[#This Row],[Tot Doc]],1,0)*dock_boats_hr * (1 + tech_4_1*TblTech[[#This Row],[4-1]])</f>
        <v>0</v>
      </c>
      <c r="Z82" s="154"/>
      <c r="AA82" s="94">
        <f ca="1">TblPop[[#This Row],[Peasants]]*tax*TblPop[[#This Row],[Employment]] + (Construction!AZ83+Construction!BX83)*(alch_plat+(Magic!AN82&gt;0)*alchemist_flame_bonus)</f>
        <v>1233.9000000000001</v>
      </c>
      <c r="AB82" s="94">
        <f ca="1">TblConstr[[#This Row],[Tot Farm]]*farm_food + TblConstr[[#This Row],[Tot Doc]]*dock_food</f>
        <v>2400</v>
      </c>
      <c r="AC82" s="94">
        <f ca="1">TblConstr[[#This Row],[Tot Ly]]*ly_lumber + TblConstr[[#This Row],[Tot Hav]]*fh_lumber + IF(race="Wood Elf",TblMili[[#This Row],[Unit 2]]*MIN(TblMili[[#This Row],[Homeland%]]/wisp_bonus,wisp_cap),0)</f>
        <v>1000</v>
      </c>
      <c r="AD82" s="94">
        <f ca="1">OFFSET(TblConstr[[#This Row],[Tot Tow]],1,0)*(tower_mana + tech_4_5*TblTech[[#This Row],[4-5]]) + OFFSET(TblConstr[[#This Row],[Tot WG]],1,0)*wg_mana_prod</f>
        <v>0</v>
      </c>
      <c r="AE82" s="94">
        <f ca="1">OFFSET(TblConstr[[#This Row],[Tot OM]],1,0)*om_ore+IF(race="Dwarf",TblMili[[#This Row],[Unit 2]]*0.5,0)</f>
        <v>0</v>
      </c>
      <c r="AF82" s="94">
        <f ca="1">OFFSET(TblConstr[[#This Row],[Tot DM]],1,0)*dm_gems</f>
        <v>0</v>
      </c>
      <c r="AG82" s="142"/>
      <c r="AH82" s="156">
        <f ca="1">MIN(race_platinum_bonus + IF(TblMagic[[#This Row],[Active Alch Frost]]&gt;0,alch_frost_bonus,IF(Magic!AE82&gt;0,midas_bonus)) + TblImps[[#This Row],[Science]] - TblProd[[#This Row],[Guard]]*(0.02 + tech_5_7*TblTech[[#This Row],[5-7]]) + tech_1_5*TblTech[[#This Row],[1-5]] + tech_4_4*TblTech[[#This Row],[4-4]] + IF(TblMagic[[#This Row],[Active Infernal Command]]&gt;0,demonic_pact_plat,0), 0.5)</f>
        <v>0</v>
      </c>
      <c r="AI8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2" s="156">
        <f ca="1">race_lumber_bonus+ IF(TblMagic[[#This Row],[Active Gaia''s Blessing]]&gt;0,gaias_blessing_lumber)+ tech_1_3*TblTech[[#This Row],[1-3]] + tech_1_6*TblTech[[#This Row],[1-6]] + tech_3_3*TblTech[[#This Row],[3-3]]</f>
        <v>0</v>
      </c>
      <c r="AK82" s="156">
        <f ca="1">race_mana_bonus+ 0 + TblImps[[#This Row],[Spires]] + tech_1_2*TblTech[[#This Row],[1-2]] + tech_3_4*TblTech[[#This Row],[3-4]]</f>
        <v>0</v>
      </c>
      <c r="AL82" s="156">
        <f ca="1">race_ore_bonus + IF(TblMagic[[#This Row],[Active Miner''s Sight]]&gt;0,miners_sight_bonus,IF(TblMagic[[#This Row],[Active Mining Strength]]&gt;0,mining_strength_bonus)) +  tech_1_6*TblTech[[#This Row],[1-6]]</f>
        <v>0</v>
      </c>
      <c r="AM82" s="156">
        <f>race_gem_bonus+ tech_3_2*TblTech[[#This Row],[3-2]] + tech_4_3*TblTech[[#This Row],[4-3]] + tech_6_2*TblTech[[#This Row],[6-2]]</f>
        <v>0</v>
      </c>
      <c r="AN82" s="142"/>
      <c r="AO82" s="94">
        <f ca="1">TblProd[[#This Row],[Food]]*food_decay * (1 + tech_2_1*TblTech[[#This Row],[2-1]] + tech_2_8*TblTech[[#This Row],[2-8]] + IF(AND(TblMagic[[#This Row],[Active DnD]]&lt;12,TblMagic[[#This Row],[Active DnD]]&gt;5),1,0))</f>
        <v>1333.04</v>
      </c>
      <c r="AP82" s="94">
        <f ca="1">(1+race_food_consumption)*TblPop[[#This Row],[Total]]*food_per_person*(1+tech_1_10*TblTech[[#This Row],[1-10]]+tech_7_5*TblTech[[#This Row],[7-5]] + IF(TblMagic[[#This Row],[Active Infernal Command]]&gt;0,demonic_pact_food_cons,0))</f>
        <v>269</v>
      </c>
      <c r="AQ82" s="94">
        <f ca="1">TblProd[[#This Row],[Lumber]]*lumber_rot * (1 + tech_2_1*TblTech[[#This Row],[2-1]] + tech_2_8*TblTech[[#This Row],[2-8]] + tech_5_2*TblTech[[#This Row],[5-2]] + IF(AND(TblMagic[[#This Row],[Active DnD]]&lt;12,TblMagic[[#This Row],[Active DnD]]&gt;5),1,0))</f>
        <v>611.86</v>
      </c>
      <c r="AR82" s="94">
        <f ca="1">TblProd[[#This Row],[Mana]]*mana_drain * (1 + tech_2_1*TblTech[[#This Row],[2-1]] + tech_2_8*TblTech[[#This Row],[2-8]])</f>
        <v>0</v>
      </c>
      <c r="AS82" s="154"/>
      <c r="AT82" s="94">
        <f ca="1">TblExplore[[#This Row],[Platinum (2)]]+TblConstr[[#This Row],[Total Plat Cost]]+TblMili[[#This Row],[Plat Cost]]+TblRezone[[#This Row],[Platinum cost]]+TblImps[[#This Row],[P1]]-TblProd[[#This Row],[Bank Plat]]</f>
        <v>0</v>
      </c>
      <c r="AU82" s="94">
        <f ca="1">TblConstr[[#This Row],[Total Lum Cost]]+TblImps[[#This Row],[L1]]-TblProd[[#This Row],[Bank Lumber]] + Military!$CO$25*TblMili[[#This Row],[Sec. rec. Cost]]</f>
        <v>0</v>
      </c>
      <c r="AV82" s="94">
        <f ca="1">TblMagic[[#This Row],[Mana cost]] + Military!$CO$26*TblMili[[#This Row],[Sec. rec. Cost]]</f>
        <v>0</v>
      </c>
      <c r="AW82" s="94">
        <f ca="1">Military!$CO$24*TblMili[[#This Row],[Sec. rec. Cost]]+TblImps[[#This Row],[O1]]-TblProd[[#This Row],[Bank Ore]]</f>
        <v>0</v>
      </c>
      <c r="AX82" s="94">
        <f>TblImps[[#This Row],[G1]]-TblProd[[#This Row],[Bank Gems]]</f>
        <v>0</v>
      </c>
      <c r="AY82" s="142"/>
      <c r="AZ82" s="61" t="b">
        <f ca="1">IF(TblProd[[#This Row],[Set Guard]]&lt;&gt;"",TblProd[[#This Row],[Set Guard]],OFFSET(TblProd[[#This Row],[Guard]],-1,0))</f>
        <v>0</v>
      </c>
      <c r="BA82" s="153"/>
      <c r="BB82" s="45">
        <f>TblProd[[#This Row],[Hour]]</f>
        <v>43</v>
      </c>
      <c r="BC82" s="158">
        <f>-TblProd[[#This Row],[Bank Lumber]] / 2 + -TblProd[[#This Row],[Bank Gems]] * 2 + -TblProd[[#This Row],[Bank Ore]] / 2</f>
        <v>0</v>
      </c>
      <c r="BD82" s="158"/>
      <c r="BE82" s="158"/>
      <c r="BF82" s="158"/>
      <c r="BG82" s="159">
        <f ca="1">TblProd[[#This Row],[Time]]</f>
        <v>46050.249999999811</v>
      </c>
      <c r="BH82" s="45" t="str">
        <f>IF(AND(TblProd[[#This Row],[Bank Plat]]=0,TblProd[[#This Row],[Bank Lumber]]=0,TblProd[[#This Row],[Bank Ore]]=0,TblProd[[#This Row],[Bank Gems]]=0),"",IF(TblProd[[#This Row],[Bank Plat]]&gt;0,IF((TblProd[[#This Row],[Bank Lumber]]+TblProd[[#This Row],[Bank Ore]])/2+TblProd[[#This Row],[Bank Gems]]*2+ROUNDUP(TblProd[[#This Row],[Bank Plat]]/(1 + tech_2_2*Techs!Y82),0)=0,"Ok","Nope"),IF(TblProd[[#This Row],[Bank Lumber]]&gt;0,IF((TblProd[[#This Row],[Bank Plat]]+TblProd[[#This Row],[Bank Ore]])/2+TblProd[[#This Row],[Bank Gems]]*2+ROUNDUP(TblProd[[#This Row],[Bank Lumber]]/(1 + tech_2_2*Techs!Y82),0)=0,"Ok","Nope"),IF(TblProd[[#This Row],[Bank Ore]]&gt;0,IF((TblProd[[#This Row],[Bank Plat]]+TblProd[[#This Row],[Bank Lumber]])/2+TblProd[[#This Row],[Bank Gems]]*2+ROUNDUP(TblProd[[#This Row],[Bank Ore]]/(1 + tech_2_2*Techs!Y82),0)=0,"Ok","Nope")))))</f>
        <v/>
      </c>
      <c r="BI82" s="94">
        <f ca="1">TblProd[[#This Row],[Platinum]]</f>
        <v>176298</v>
      </c>
      <c r="BJ82" s="94">
        <f ca="1">TblProd[[#This Row],[Food]]</f>
        <v>133304</v>
      </c>
      <c r="BK82" s="94">
        <f ca="1">TblProd[[#This Row],[Lumber]]</f>
        <v>61186</v>
      </c>
      <c r="BL82" s="94">
        <f ca="1">TblProd[[#This Row],[Mana]]</f>
        <v>0</v>
      </c>
      <c r="BM82" s="94">
        <f ca="1">TblProd[[#This Row],[Ore]]</f>
        <v>0</v>
      </c>
    </row>
    <row r="83" spans="1:65" x14ac:dyDescent="0.2">
      <c r="A83" s="137">
        <f t="shared" si="0"/>
        <v>44</v>
      </c>
      <c r="B83" s="152">
        <f ca="1">TblImps[[#This Row],[Time]]</f>
        <v>46050.291666666475</v>
      </c>
      <c r="C83" s="153"/>
      <c r="D83" s="154"/>
      <c r="E83" s="94">
        <f ca="1">TblConstr[[#This Row],[Land]]</f>
        <v>110</v>
      </c>
      <c r="F83" s="94">
        <f ca="1">TblPop[[#This Row],[Peasants]]</f>
        <v>452</v>
      </c>
      <c r="G83" s="94">
        <f ca="1">TblMili[[#This Row],[Networth (2)]]</f>
        <v>2450</v>
      </c>
      <c r="H83" s="94">
        <f ca="1">OFFSET(TblProd[[#This Row],[Platinum]],-1,0)+OFFSET(TblProd[[#This Row],[Plat/hr]],-1,0) - TblProd[[#This Row],[Expenses Platinum]] + IF(TblProd[[#This Row],[Plat Bonus]],TblPop[[#This Row],[Peasants]]*4) + SUM(TblConstr[[#This Row],[Dest Hom]:[Dest Doc]])*TblConstr[[#This Row],[CPA Platinum -DB]]*tech_3_3_2*TblTech[[#This Row],[3-3]]</f>
        <v>177531</v>
      </c>
      <c r="I83" s="94">
        <f ca="1">OFFSET(TblProd[[#This Row],[Food]],-1,0)+OFFSET(TblProd[[#This Row],[Food/hr]],-1,0)+ROUNDUP((TblConstr[[#This Row],[Farms]]*80+TblConstr[[#This Row],[Docks]]*35)*(1+OFFSET(TblProd[[#This Row],[Bonus Food/hr]],-1,0)),0)</f>
        <v>134282</v>
      </c>
      <c r="J83" s="94">
        <f ca="1">OFFSET(TblProd[[#This Row],[Lumber]],-1,0)+OFFSET(TblProd[[#This Row],[Lumber/hr]],-1,0) - TblProd[[#This Row],[Expenses Lumber]] + SUM(TblConstr[[#This Row],[Dest Hom]:[Dest Doc]])*TblConstr[[#This Row],[CPA Lumber -DB]]*tech_3_3_2*TblTech[[#This Row],[3-3]]</f>
        <v>61574</v>
      </c>
      <c r="K83" s="94">
        <f ca="1">OFFSET(TblProd[[#This Row],[Mana]],-1,0)+OFFSET(TblProd[[#This Row],[Mana/hr]],-1,0)- TblProd[[#This Row],[Expenses Mana]]</f>
        <v>0</v>
      </c>
      <c r="L83" s="94">
        <f ca="1">OFFSET(TblProd[[#This Row],[Ore]],-1,0)+OFFSET(TblProd[[#This Row],[Ore/hr]],-1,0) -TblProd[[#This Row],[Expenses Ore]]</f>
        <v>0</v>
      </c>
      <c r="M83" s="94">
        <f ca="1">OFFSET(TblProd[[#This Row],[Gems]],-1,0)+OFFSET(TblProd[[#This Row],[Gems/hr]],-1,0) - TblProd[[#This Row],[Expenses Gems]]</f>
        <v>0</v>
      </c>
      <c r="N83" s="94">
        <f ca="1">OFFSET(TblProd[[#This Row],[Boats]],-1,0)+OFFSET(TblProd[[#This Row],[Boats/hr]],-1,0)</f>
        <v>0</v>
      </c>
      <c r="O83" s="94">
        <f ca="1">OFFSET(TblProd[[#This Row],[Prestige]],-1,0)</f>
        <v>250</v>
      </c>
      <c r="P8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3" s="94">
        <f ca="1">MAX(_xlfn.CEILING.MATH(TblProd[[#This Row],[Land]]*2.5+IFERROR(OFFSET(TblTech[[#This Row],[Sum of tech]],-1,0)*50,0)),3750)</f>
        <v>3750</v>
      </c>
      <c r="R83" s="142"/>
      <c r="S83" s="94">
        <f ca="1">ROUNDDOWN(TblProd[[#This Row],[Raw Plat/hr]]*(1+TblProd[[#This Row],[Bonus Plat/hr]]),0)</f>
        <v>1220</v>
      </c>
      <c r="T83" s="94">
        <f ca="1">ROUND(TblProd[[#This Row],[Raw Food/hr]]*(1+TblProd[[#This Row],[Bonus Food/hr]])-TblProd[[#This Row],[Food decay]]-TblProd[[#This Row],[Food eaten]],0)</f>
        <v>968</v>
      </c>
      <c r="U83" s="94">
        <f ca="1">ROUND(TblProd[[#This Row],[Raw Lumber/hr]]*(1+TblProd[[#This Row],[Bonus Lumber/hr]])-TblProd[[#This Row],[Lumber rot]],0)</f>
        <v>384</v>
      </c>
      <c r="V83" s="94">
        <f ca="1">ROUND(TblProd[[#This Row],[Raw Mana/hr]]*(1+TblProd[[#This Row],[Bonus Mana/hr]])-TblProd[[#This Row],[Mana drain]],0)</f>
        <v>0</v>
      </c>
      <c r="W83" s="94">
        <f ca="1">ROUNDDOWN(TblProd[[#This Row],[Raw Ore/hr]]*(1+TblProd[[#This Row],[Bonux Ore/hr]]),0)</f>
        <v>0</v>
      </c>
      <c r="X83" s="94">
        <f ca="1">ROUNDDOWN(TblProd[[#This Row],[Raw Gems/hr]]*(1+TblProd[[#This Row],[Bonus Gems/hr]]),0)</f>
        <v>0</v>
      </c>
      <c r="Y83" s="155">
        <f ca="1">OFFSET(TblConstr[[#This Row],[Tot Doc]],1,0)*dock_boats_hr * (1 + tech_4_1*TblTech[[#This Row],[4-1]])</f>
        <v>0</v>
      </c>
      <c r="Z83" s="154"/>
      <c r="AA83" s="94">
        <f ca="1">TblPop[[#This Row],[Peasants]]*tax*TblPop[[#This Row],[Employment]] + (Construction!AZ84+Construction!BX84)*(alch_plat+(Magic!AN83&gt;0)*alchemist_flame_bonus)</f>
        <v>1220.4000000000001</v>
      </c>
      <c r="AB83" s="94">
        <f ca="1">TblConstr[[#This Row],[Tot Farm]]*farm_food + TblConstr[[#This Row],[Tot Doc]]*dock_food</f>
        <v>2400</v>
      </c>
      <c r="AC83" s="94">
        <f ca="1">TblConstr[[#This Row],[Tot Ly]]*ly_lumber + TblConstr[[#This Row],[Tot Hav]]*fh_lumber + IF(race="Wood Elf",TblMili[[#This Row],[Unit 2]]*MIN(TblMili[[#This Row],[Homeland%]]/wisp_bonus,wisp_cap),0)</f>
        <v>1000</v>
      </c>
      <c r="AD83" s="94">
        <f ca="1">OFFSET(TblConstr[[#This Row],[Tot Tow]],1,0)*(tower_mana + tech_4_5*TblTech[[#This Row],[4-5]]) + OFFSET(TblConstr[[#This Row],[Tot WG]],1,0)*wg_mana_prod</f>
        <v>0</v>
      </c>
      <c r="AE83" s="94">
        <f ca="1">OFFSET(TblConstr[[#This Row],[Tot OM]],1,0)*om_ore+IF(race="Dwarf",TblMili[[#This Row],[Unit 2]]*0.5,0)</f>
        <v>0</v>
      </c>
      <c r="AF83" s="94">
        <f ca="1">OFFSET(TblConstr[[#This Row],[Tot DM]],1,0)*dm_gems</f>
        <v>0</v>
      </c>
      <c r="AG83" s="142"/>
      <c r="AH83" s="156">
        <f ca="1">MIN(race_platinum_bonus + IF(TblMagic[[#This Row],[Active Alch Frost]]&gt;0,alch_frost_bonus,IF(Magic!AE83&gt;0,midas_bonus)) + TblImps[[#This Row],[Science]] - TblProd[[#This Row],[Guard]]*(0.02 + tech_5_7*TblTech[[#This Row],[5-7]]) + tech_1_5*TblTech[[#This Row],[1-5]] + tech_4_4*TblTech[[#This Row],[4-4]] + IF(TblMagic[[#This Row],[Active Infernal Command]]&gt;0,demonic_pact_plat,0), 0.5)</f>
        <v>0</v>
      </c>
      <c r="AI8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3" s="156">
        <f ca="1">race_lumber_bonus+ IF(TblMagic[[#This Row],[Active Gaia''s Blessing]]&gt;0,gaias_blessing_lumber)+ tech_1_3*TblTech[[#This Row],[1-3]] + tech_1_6*TblTech[[#This Row],[1-6]] + tech_3_3*TblTech[[#This Row],[3-3]]</f>
        <v>0</v>
      </c>
      <c r="AK83" s="156">
        <f ca="1">race_mana_bonus+ 0 + TblImps[[#This Row],[Spires]] + tech_1_2*TblTech[[#This Row],[1-2]] + tech_3_4*TblTech[[#This Row],[3-4]]</f>
        <v>0</v>
      </c>
      <c r="AL83" s="156">
        <f ca="1">race_ore_bonus + IF(TblMagic[[#This Row],[Active Miner''s Sight]]&gt;0,miners_sight_bonus,IF(TblMagic[[#This Row],[Active Mining Strength]]&gt;0,mining_strength_bonus)) +  tech_1_6*TblTech[[#This Row],[1-6]]</f>
        <v>0</v>
      </c>
      <c r="AM83" s="156">
        <f>race_gem_bonus+ tech_3_2*TblTech[[#This Row],[3-2]] + tech_4_3*TblTech[[#This Row],[4-3]] + tech_6_2*TblTech[[#This Row],[6-2]]</f>
        <v>0</v>
      </c>
      <c r="AN83" s="142"/>
      <c r="AO83" s="94">
        <f ca="1">TblProd[[#This Row],[Food]]*food_decay * (1 + tech_2_1*TblTech[[#This Row],[2-1]] + tech_2_8*TblTech[[#This Row],[2-8]] + IF(AND(TblMagic[[#This Row],[Active DnD]]&lt;12,TblMagic[[#This Row],[Active DnD]]&gt;5),1,0))</f>
        <v>1342.82</v>
      </c>
      <c r="AP83" s="94">
        <f ca="1">(1+race_food_consumption)*TblPop[[#This Row],[Total]]*food_per_person*(1+tech_1_10*TblTech[[#This Row],[1-10]]+tech_7_5*TblTech[[#This Row],[7-5]] + IF(TblMagic[[#This Row],[Active Infernal Command]]&gt;0,demonic_pact_food_cons,0))</f>
        <v>269</v>
      </c>
      <c r="AQ83" s="94">
        <f ca="1">TblProd[[#This Row],[Lumber]]*lumber_rot * (1 + tech_2_1*TblTech[[#This Row],[2-1]] + tech_2_8*TblTech[[#This Row],[2-8]] + tech_5_2*TblTech[[#This Row],[5-2]] + IF(AND(TblMagic[[#This Row],[Active DnD]]&lt;12,TblMagic[[#This Row],[Active DnD]]&gt;5),1,0))</f>
        <v>615.74</v>
      </c>
      <c r="AR83" s="94">
        <f ca="1">TblProd[[#This Row],[Mana]]*mana_drain * (1 + tech_2_1*TblTech[[#This Row],[2-1]] + tech_2_8*TblTech[[#This Row],[2-8]])</f>
        <v>0</v>
      </c>
      <c r="AS83" s="154"/>
      <c r="AT83" s="94">
        <f ca="1">TblExplore[[#This Row],[Platinum (2)]]+TblConstr[[#This Row],[Total Plat Cost]]+TblMili[[#This Row],[Plat Cost]]+TblRezone[[#This Row],[Platinum cost]]+TblImps[[#This Row],[P1]]-TblProd[[#This Row],[Bank Plat]]</f>
        <v>0</v>
      </c>
      <c r="AU83" s="94">
        <f ca="1">TblConstr[[#This Row],[Total Lum Cost]]+TblImps[[#This Row],[L1]]-TblProd[[#This Row],[Bank Lumber]] + Military!$CO$25*TblMili[[#This Row],[Sec. rec. Cost]]</f>
        <v>0</v>
      </c>
      <c r="AV83" s="94">
        <f ca="1">TblMagic[[#This Row],[Mana cost]] + Military!$CO$26*TblMili[[#This Row],[Sec. rec. Cost]]</f>
        <v>0</v>
      </c>
      <c r="AW83" s="94">
        <f ca="1">Military!$CO$24*TblMili[[#This Row],[Sec. rec. Cost]]+TblImps[[#This Row],[O1]]-TblProd[[#This Row],[Bank Ore]]</f>
        <v>0</v>
      </c>
      <c r="AX83" s="94">
        <f>TblImps[[#This Row],[G1]]-TblProd[[#This Row],[Bank Gems]]</f>
        <v>0</v>
      </c>
      <c r="AY83" s="142"/>
      <c r="AZ83" s="61" t="b">
        <f ca="1">IF(TblProd[[#This Row],[Set Guard]]&lt;&gt;"",TblProd[[#This Row],[Set Guard]],OFFSET(TblProd[[#This Row],[Guard]],-1,0))</f>
        <v>0</v>
      </c>
      <c r="BA83" s="153"/>
      <c r="BB83" s="45">
        <f>TblProd[[#This Row],[Hour]]</f>
        <v>44</v>
      </c>
      <c r="BC83" s="158">
        <f>-TblProd[[#This Row],[Bank Lumber]] / 2 + -TblProd[[#This Row],[Bank Gems]] * 2 + -TblProd[[#This Row],[Bank Ore]] / 2</f>
        <v>0</v>
      </c>
      <c r="BD83" s="158"/>
      <c r="BE83" s="158"/>
      <c r="BF83" s="158"/>
      <c r="BG83" s="159">
        <f ca="1">TblProd[[#This Row],[Time]]</f>
        <v>46050.291666666475</v>
      </c>
      <c r="BH83" s="45" t="str">
        <f>IF(AND(TblProd[[#This Row],[Bank Plat]]=0,TblProd[[#This Row],[Bank Lumber]]=0,TblProd[[#This Row],[Bank Ore]]=0,TblProd[[#This Row],[Bank Gems]]=0),"",IF(TblProd[[#This Row],[Bank Plat]]&gt;0,IF((TblProd[[#This Row],[Bank Lumber]]+TblProd[[#This Row],[Bank Ore]])/2+TblProd[[#This Row],[Bank Gems]]*2+ROUNDUP(TblProd[[#This Row],[Bank Plat]]/(1 + tech_2_2*Techs!Y83),0)=0,"Ok","Nope"),IF(TblProd[[#This Row],[Bank Lumber]]&gt;0,IF((TblProd[[#This Row],[Bank Plat]]+TblProd[[#This Row],[Bank Ore]])/2+TblProd[[#This Row],[Bank Gems]]*2+ROUNDUP(TblProd[[#This Row],[Bank Lumber]]/(1 + tech_2_2*Techs!Y83),0)=0,"Ok","Nope"),IF(TblProd[[#This Row],[Bank Ore]]&gt;0,IF((TblProd[[#This Row],[Bank Plat]]+TblProd[[#This Row],[Bank Lumber]])/2+TblProd[[#This Row],[Bank Gems]]*2+ROUNDUP(TblProd[[#This Row],[Bank Ore]]/(1 + tech_2_2*Techs!Y83),0)=0,"Ok","Nope")))))</f>
        <v/>
      </c>
      <c r="BI83" s="94">
        <f ca="1">TblProd[[#This Row],[Platinum]]</f>
        <v>177531</v>
      </c>
      <c r="BJ83" s="94">
        <f ca="1">TblProd[[#This Row],[Food]]</f>
        <v>134282</v>
      </c>
      <c r="BK83" s="94">
        <f ca="1">TblProd[[#This Row],[Lumber]]</f>
        <v>61574</v>
      </c>
      <c r="BL83" s="94">
        <f ca="1">TblProd[[#This Row],[Mana]]</f>
        <v>0</v>
      </c>
      <c r="BM83" s="94">
        <f ca="1">TblProd[[#This Row],[Ore]]</f>
        <v>0</v>
      </c>
    </row>
    <row r="84" spans="1:65" x14ac:dyDescent="0.2">
      <c r="A84" s="137">
        <f t="shared" si="0"/>
        <v>45</v>
      </c>
      <c r="B84" s="152">
        <f ca="1">TblImps[[#This Row],[Time]]</f>
        <v>46050.333333333139</v>
      </c>
      <c r="C84" s="153"/>
      <c r="D84" s="154"/>
      <c r="E84" s="94">
        <f ca="1">TblConstr[[#This Row],[Land]]</f>
        <v>110</v>
      </c>
      <c r="F84" s="94">
        <f ca="1">TblPop[[#This Row],[Peasants]]</f>
        <v>447</v>
      </c>
      <c r="G84" s="94">
        <f ca="1">TblMili[[#This Row],[Networth (2)]]</f>
        <v>2450</v>
      </c>
      <c r="H84" s="94">
        <f ca="1">OFFSET(TblProd[[#This Row],[Platinum]],-1,0)+OFFSET(TblProd[[#This Row],[Plat/hr]],-1,0) - TblProd[[#This Row],[Expenses Platinum]] + IF(TblProd[[#This Row],[Plat Bonus]],TblPop[[#This Row],[Peasants]]*4) + SUM(TblConstr[[#This Row],[Dest Hom]:[Dest Doc]])*TblConstr[[#This Row],[CPA Platinum -DB]]*tech_3_3_2*TblTech[[#This Row],[3-3]]</f>
        <v>178751</v>
      </c>
      <c r="I84" s="94">
        <f ca="1">OFFSET(TblProd[[#This Row],[Food]],-1,0)+OFFSET(TblProd[[#This Row],[Food/hr]],-1,0)+ROUNDUP((TblConstr[[#This Row],[Farms]]*80+TblConstr[[#This Row],[Docks]]*35)*(1+OFFSET(TblProd[[#This Row],[Bonus Food/hr]],-1,0)),0)</f>
        <v>135250</v>
      </c>
      <c r="J84" s="94">
        <f ca="1">OFFSET(TblProd[[#This Row],[Lumber]],-1,0)+OFFSET(TblProd[[#This Row],[Lumber/hr]],-1,0) - TblProd[[#This Row],[Expenses Lumber]] + SUM(TblConstr[[#This Row],[Dest Hom]:[Dest Doc]])*TblConstr[[#This Row],[CPA Lumber -DB]]*tech_3_3_2*TblTech[[#This Row],[3-3]]</f>
        <v>61958</v>
      </c>
      <c r="K84" s="94">
        <f ca="1">OFFSET(TblProd[[#This Row],[Mana]],-1,0)+OFFSET(TblProd[[#This Row],[Mana/hr]],-1,0)- TblProd[[#This Row],[Expenses Mana]]</f>
        <v>0</v>
      </c>
      <c r="L84" s="94">
        <f ca="1">OFFSET(TblProd[[#This Row],[Ore]],-1,0)+OFFSET(TblProd[[#This Row],[Ore/hr]],-1,0) -TblProd[[#This Row],[Expenses Ore]]</f>
        <v>0</v>
      </c>
      <c r="M84" s="94">
        <f ca="1">OFFSET(TblProd[[#This Row],[Gems]],-1,0)+OFFSET(TblProd[[#This Row],[Gems/hr]],-1,0) - TblProd[[#This Row],[Expenses Gems]]</f>
        <v>0</v>
      </c>
      <c r="N84" s="94">
        <f ca="1">OFFSET(TblProd[[#This Row],[Boats]],-1,0)+OFFSET(TblProd[[#This Row],[Boats/hr]],-1,0)</f>
        <v>0</v>
      </c>
      <c r="O84" s="94">
        <f ca="1">OFFSET(TblProd[[#This Row],[Prestige]],-1,0)</f>
        <v>250</v>
      </c>
      <c r="P8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4" s="94">
        <f ca="1">MAX(_xlfn.CEILING.MATH(TblProd[[#This Row],[Land]]*2.5+IFERROR(OFFSET(TblTech[[#This Row],[Sum of tech]],-1,0)*50,0)),3750)</f>
        <v>3750</v>
      </c>
      <c r="R84" s="142"/>
      <c r="S84" s="94">
        <f ca="1">ROUNDDOWN(TblProd[[#This Row],[Raw Plat/hr]]*(1+TblProd[[#This Row],[Bonus Plat/hr]]),0)</f>
        <v>1206</v>
      </c>
      <c r="T84" s="94">
        <f ca="1">ROUND(TblProd[[#This Row],[Raw Food/hr]]*(1+TblProd[[#This Row],[Bonus Food/hr]])-TblProd[[#This Row],[Food decay]]-TblProd[[#This Row],[Food eaten]],0)</f>
        <v>959</v>
      </c>
      <c r="U84" s="94">
        <f ca="1">ROUND(TblProd[[#This Row],[Raw Lumber/hr]]*(1+TblProd[[#This Row],[Bonus Lumber/hr]])-TblProd[[#This Row],[Lumber rot]],0)</f>
        <v>380</v>
      </c>
      <c r="V84" s="94">
        <f ca="1">ROUND(TblProd[[#This Row],[Raw Mana/hr]]*(1+TblProd[[#This Row],[Bonus Mana/hr]])-TblProd[[#This Row],[Mana drain]],0)</f>
        <v>0</v>
      </c>
      <c r="W84" s="94">
        <f ca="1">ROUNDDOWN(TblProd[[#This Row],[Raw Ore/hr]]*(1+TblProd[[#This Row],[Bonux Ore/hr]]),0)</f>
        <v>0</v>
      </c>
      <c r="X84" s="94">
        <f ca="1">ROUNDDOWN(TblProd[[#This Row],[Raw Gems/hr]]*(1+TblProd[[#This Row],[Bonus Gems/hr]]),0)</f>
        <v>0</v>
      </c>
      <c r="Y84" s="155">
        <f ca="1">OFFSET(TblConstr[[#This Row],[Tot Doc]],1,0)*dock_boats_hr * (1 + tech_4_1*TblTech[[#This Row],[4-1]])</f>
        <v>0</v>
      </c>
      <c r="Z84" s="154"/>
      <c r="AA84" s="94">
        <f ca="1">TblPop[[#This Row],[Peasants]]*tax*TblPop[[#This Row],[Employment]] + (Construction!AZ85+Construction!BX85)*(alch_plat+(Magic!AN84&gt;0)*alchemist_flame_bonus)</f>
        <v>1206.9000000000001</v>
      </c>
      <c r="AB84" s="94">
        <f ca="1">TblConstr[[#This Row],[Tot Farm]]*farm_food + TblConstr[[#This Row],[Tot Doc]]*dock_food</f>
        <v>2400</v>
      </c>
      <c r="AC84" s="94">
        <f ca="1">TblConstr[[#This Row],[Tot Ly]]*ly_lumber + TblConstr[[#This Row],[Tot Hav]]*fh_lumber + IF(race="Wood Elf",TblMili[[#This Row],[Unit 2]]*MIN(TblMili[[#This Row],[Homeland%]]/wisp_bonus,wisp_cap),0)</f>
        <v>1000</v>
      </c>
      <c r="AD84" s="94">
        <f ca="1">OFFSET(TblConstr[[#This Row],[Tot Tow]],1,0)*(tower_mana + tech_4_5*TblTech[[#This Row],[4-5]]) + OFFSET(TblConstr[[#This Row],[Tot WG]],1,0)*wg_mana_prod</f>
        <v>0</v>
      </c>
      <c r="AE84" s="94">
        <f ca="1">OFFSET(TblConstr[[#This Row],[Tot OM]],1,0)*om_ore+IF(race="Dwarf",TblMili[[#This Row],[Unit 2]]*0.5,0)</f>
        <v>0</v>
      </c>
      <c r="AF84" s="94">
        <f ca="1">OFFSET(TblConstr[[#This Row],[Tot DM]],1,0)*dm_gems</f>
        <v>0</v>
      </c>
      <c r="AG84" s="142"/>
      <c r="AH84" s="156">
        <f ca="1">MIN(race_platinum_bonus + IF(TblMagic[[#This Row],[Active Alch Frost]]&gt;0,alch_frost_bonus,IF(Magic!AE84&gt;0,midas_bonus)) + TblImps[[#This Row],[Science]] - TblProd[[#This Row],[Guard]]*(0.02 + tech_5_7*TblTech[[#This Row],[5-7]]) + tech_1_5*TblTech[[#This Row],[1-5]] + tech_4_4*TblTech[[#This Row],[4-4]] + IF(TblMagic[[#This Row],[Active Infernal Command]]&gt;0,demonic_pact_plat,0), 0.5)</f>
        <v>0</v>
      </c>
      <c r="AI8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4" s="156">
        <f ca="1">race_lumber_bonus+ IF(TblMagic[[#This Row],[Active Gaia''s Blessing]]&gt;0,gaias_blessing_lumber)+ tech_1_3*TblTech[[#This Row],[1-3]] + tech_1_6*TblTech[[#This Row],[1-6]] + tech_3_3*TblTech[[#This Row],[3-3]]</f>
        <v>0</v>
      </c>
      <c r="AK84" s="156">
        <f ca="1">race_mana_bonus+ 0 + TblImps[[#This Row],[Spires]] + tech_1_2*TblTech[[#This Row],[1-2]] + tech_3_4*TblTech[[#This Row],[3-4]]</f>
        <v>0</v>
      </c>
      <c r="AL84" s="156">
        <f ca="1">race_ore_bonus + IF(TblMagic[[#This Row],[Active Miner''s Sight]]&gt;0,miners_sight_bonus,IF(TblMagic[[#This Row],[Active Mining Strength]]&gt;0,mining_strength_bonus)) +  tech_1_6*TblTech[[#This Row],[1-6]]</f>
        <v>0</v>
      </c>
      <c r="AM84" s="156">
        <f>race_gem_bonus+ tech_3_2*TblTech[[#This Row],[3-2]] + tech_4_3*TblTech[[#This Row],[4-3]] + tech_6_2*TblTech[[#This Row],[6-2]]</f>
        <v>0</v>
      </c>
      <c r="AN84" s="142"/>
      <c r="AO84" s="94">
        <f ca="1">TblProd[[#This Row],[Food]]*food_decay * (1 + tech_2_1*TblTech[[#This Row],[2-1]] + tech_2_8*TblTech[[#This Row],[2-8]] + IF(AND(TblMagic[[#This Row],[Active DnD]]&lt;12,TblMagic[[#This Row],[Active DnD]]&gt;5),1,0))</f>
        <v>1352.5</v>
      </c>
      <c r="AP84" s="94">
        <f ca="1">(1+race_food_consumption)*TblPop[[#This Row],[Total]]*food_per_person*(1+tech_1_10*TblTech[[#This Row],[1-10]]+tech_7_5*TblTech[[#This Row],[7-5]] + IF(TblMagic[[#This Row],[Active Infernal Command]]&gt;0,demonic_pact_food_cons,0))</f>
        <v>269</v>
      </c>
      <c r="AQ84" s="94">
        <f ca="1">TblProd[[#This Row],[Lumber]]*lumber_rot * (1 + tech_2_1*TblTech[[#This Row],[2-1]] + tech_2_8*TblTech[[#This Row],[2-8]] + tech_5_2*TblTech[[#This Row],[5-2]] + IF(AND(TblMagic[[#This Row],[Active DnD]]&lt;12,TblMagic[[#This Row],[Active DnD]]&gt;5),1,0))</f>
        <v>619.58000000000004</v>
      </c>
      <c r="AR84" s="94">
        <f ca="1">TblProd[[#This Row],[Mana]]*mana_drain * (1 + tech_2_1*TblTech[[#This Row],[2-1]] + tech_2_8*TblTech[[#This Row],[2-8]])</f>
        <v>0</v>
      </c>
      <c r="AS84" s="154"/>
      <c r="AT84" s="94">
        <f ca="1">TblExplore[[#This Row],[Platinum (2)]]+TblConstr[[#This Row],[Total Plat Cost]]+TblMili[[#This Row],[Plat Cost]]+TblRezone[[#This Row],[Platinum cost]]+TblImps[[#This Row],[P1]]-TblProd[[#This Row],[Bank Plat]]</f>
        <v>0</v>
      </c>
      <c r="AU84" s="94">
        <f ca="1">TblConstr[[#This Row],[Total Lum Cost]]+TblImps[[#This Row],[L1]]-TblProd[[#This Row],[Bank Lumber]] + Military!$CO$25*TblMili[[#This Row],[Sec. rec. Cost]]</f>
        <v>0</v>
      </c>
      <c r="AV84" s="94">
        <f ca="1">TblMagic[[#This Row],[Mana cost]] + Military!$CO$26*TblMili[[#This Row],[Sec. rec. Cost]]</f>
        <v>0</v>
      </c>
      <c r="AW84" s="94">
        <f ca="1">Military!$CO$24*TblMili[[#This Row],[Sec. rec. Cost]]+TblImps[[#This Row],[O1]]-TblProd[[#This Row],[Bank Ore]]</f>
        <v>0</v>
      </c>
      <c r="AX84" s="94">
        <f>TblImps[[#This Row],[G1]]-TblProd[[#This Row],[Bank Gems]]</f>
        <v>0</v>
      </c>
      <c r="AY84" s="142"/>
      <c r="AZ84" s="61" t="b">
        <f ca="1">IF(TblProd[[#This Row],[Set Guard]]&lt;&gt;"",TblProd[[#This Row],[Set Guard]],OFFSET(TblProd[[#This Row],[Guard]],-1,0))</f>
        <v>0</v>
      </c>
      <c r="BA84" s="153"/>
      <c r="BB84" s="45">
        <f>TblProd[[#This Row],[Hour]]</f>
        <v>45</v>
      </c>
      <c r="BC84" s="158">
        <f>-TblProd[[#This Row],[Bank Lumber]] / 2 + -TblProd[[#This Row],[Bank Gems]] * 2 + -TblProd[[#This Row],[Bank Ore]] / 2</f>
        <v>0</v>
      </c>
      <c r="BD84" s="158"/>
      <c r="BE84" s="158"/>
      <c r="BF84" s="158"/>
      <c r="BG84" s="159">
        <f ca="1">TblProd[[#This Row],[Time]]</f>
        <v>46050.333333333139</v>
      </c>
      <c r="BH84" s="45" t="str">
        <f>IF(AND(TblProd[[#This Row],[Bank Plat]]=0,TblProd[[#This Row],[Bank Lumber]]=0,TblProd[[#This Row],[Bank Ore]]=0,TblProd[[#This Row],[Bank Gems]]=0),"",IF(TblProd[[#This Row],[Bank Plat]]&gt;0,IF((TblProd[[#This Row],[Bank Lumber]]+TblProd[[#This Row],[Bank Ore]])/2+TblProd[[#This Row],[Bank Gems]]*2+ROUNDUP(TblProd[[#This Row],[Bank Plat]]/(1 + tech_2_2*Techs!Y84),0)=0,"Ok","Nope"),IF(TblProd[[#This Row],[Bank Lumber]]&gt;0,IF((TblProd[[#This Row],[Bank Plat]]+TblProd[[#This Row],[Bank Ore]])/2+TblProd[[#This Row],[Bank Gems]]*2+ROUNDUP(TblProd[[#This Row],[Bank Lumber]]/(1 + tech_2_2*Techs!Y84),0)=0,"Ok","Nope"),IF(TblProd[[#This Row],[Bank Ore]]&gt;0,IF((TblProd[[#This Row],[Bank Plat]]+TblProd[[#This Row],[Bank Lumber]])/2+TblProd[[#This Row],[Bank Gems]]*2+ROUNDUP(TblProd[[#This Row],[Bank Ore]]/(1 + tech_2_2*Techs!Y84),0)=0,"Ok","Nope")))))</f>
        <v/>
      </c>
      <c r="BI84" s="94">
        <f ca="1">TblProd[[#This Row],[Platinum]]</f>
        <v>178751</v>
      </c>
      <c r="BJ84" s="94">
        <f ca="1">TblProd[[#This Row],[Food]]</f>
        <v>135250</v>
      </c>
      <c r="BK84" s="94">
        <f ca="1">TblProd[[#This Row],[Lumber]]</f>
        <v>61958</v>
      </c>
      <c r="BL84" s="94">
        <f ca="1">TblProd[[#This Row],[Mana]]</f>
        <v>0</v>
      </c>
      <c r="BM84" s="94">
        <f ca="1">TblProd[[#This Row],[Ore]]</f>
        <v>0</v>
      </c>
    </row>
    <row r="85" spans="1:65" x14ac:dyDescent="0.2">
      <c r="A85" s="137">
        <f t="shared" si="0"/>
        <v>46</v>
      </c>
      <c r="B85" s="152">
        <f ca="1">TblImps[[#This Row],[Time]]</f>
        <v>46050.374999999804</v>
      </c>
      <c r="C85" s="153"/>
      <c r="D85" s="154"/>
      <c r="E85" s="94">
        <f ca="1">TblConstr[[#This Row],[Land]]</f>
        <v>110</v>
      </c>
      <c r="F85" s="94">
        <f ca="1">TblPop[[#This Row],[Peasants]]</f>
        <v>443</v>
      </c>
      <c r="G85" s="94">
        <f ca="1">TblMili[[#This Row],[Networth (2)]]</f>
        <v>2450</v>
      </c>
      <c r="H85" s="94">
        <f ca="1">OFFSET(TblProd[[#This Row],[Platinum]],-1,0)+OFFSET(TblProd[[#This Row],[Plat/hr]],-1,0) - TblProd[[#This Row],[Expenses Platinum]] + IF(TblProd[[#This Row],[Plat Bonus]],TblPop[[#This Row],[Peasants]]*4) + SUM(TblConstr[[#This Row],[Dest Hom]:[Dest Doc]])*TblConstr[[#This Row],[CPA Platinum -DB]]*tech_3_3_2*TblTech[[#This Row],[3-3]]</f>
        <v>179957</v>
      </c>
      <c r="I85" s="94">
        <f ca="1">OFFSET(TblProd[[#This Row],[Food]],-1,0)+OFFSET(TblProd[[#This Row],[Food/hr]],-1,0)+ROUNDUP((TblConstr[[#This Row],[Farms]]*80+TblConstr[[#This Row],[Docks]]*35)*(1+OFFSET(TblProd[[#This Row],[Bonus Food/hr]],-1,0)),0)</f>
        <v>136209</v>
      </c>
      <c r="J85" s="94">
        <f ca="1">OFFSET(TblProd[[#This Row],[Lumber]],-1,0)+OFFSET(TblProd[[#This Row],[Lumber/hr]],-1,0) - TblProd[[#This Row],[Expenses Lumber]] + SUM(TblConstr[[#This Row],[Dest Hom]:[Dest Doc]])*TblConstr[[#This Row],[CPA Lumber -DB]]*tech_3_3_2*TblTech[[#This Row],[3-3]]</f>
        <v>62338</v>
      </c>
      <c r="K85" s="94">
        <f ca="1">OFFSET(TblProd[[#This Row],[Mana]],-1,0)+OFFSET(TblProd[[#This Row],[Mana/hr]],-1,0)- TblProd[[#This Row],[Expenses Mana]]</f>
        <v>0</v>
      </c>
      <c r="L85" s="94">
        <f ca="1">OFFSET(TblProd[[#This Row],[Ore]],-1,0)+OFFSET(TblProd[[#This Row],[Ore/hr]],-1,0) -TblProd[[#This Row],[Expenses Ore]]</f>
        <v>0</v>
      </c>
      <c r="M85" s="94">
        <f ca="1">OFFSET(TblProd[[#This Row],[Gems]],-1,0)+OFFSET(TblProd[[#This Row],[Gems/hr]],-1,0) - TblProd[[#This Row],[Expenses Gems]]</f>
        <v>0</v>
      </c>
      <c r="N85" s="94">
        <f ca="1">OFFSET(TblProd[[#This Row],[Boats]],-1,0)+OFFSET(TblProd[[#This Row],[Boats/hr]],-1,0)</f>
        <v>0</v>
      </c>
      <c r="O85" s="94">
        <f ca="1">OFFSET(TblProd[[#This Row],[Prestige]],-1,0)</f>
        <v>250</v>
      </c>
      <c r="P8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5" s="94">
        <f ca="1">MAX(_xlfn.CEILING.MATH(TblProd[[#This Row],[Land]]*2.5+IFERROR(OFFSET(TblTech[[#This Row],[Sum of tech]],-1,0)*50,0)),3750)</f>
        <v>3750</v>
      </c>
      <c r="R85" s="142"/>
      <c r="S85" s="94">
        <f ca="1">ROUNDDOWN(TblProd[[#This Row],[Raw Plat/hr]]*(1+TblProd[[#This Row],[Bonus Plat/hr]]),0)</f>
        <v>1196</v>
      </c>
      <c r="T85" s="94">
        <f ca="1">ROUND(TblProd[[#This Row],[Raw Food/hr]]*(1+TblProd[[#This Row],[Bonus Food/hr]])-TblProd[[#This Row],[Food decay]]-TblProd[[#This Row],[Food eaten]],0)</f>
        <v>949</v>
      </c>
      <c r="U85" s="94">
        <f ca="1">ROUND(TblProd[[#This Row],[Raw Lumber/hr]]*(1+TblProd[[#This Row],[Bonus Lumber/hr]])-TblProd[[#This Row],[Lumber rot]],0)</f>
        <v>377</v>
      </c>
      <c r="V85" s="94">
        <f ca="1">ROUND(TblProd[[#This Row],[Raw Mana/hr]]*(1+TblProd[[#This Row],[Bonus Mana/hr]])-TblProd[[#This Row],[Mana drain]],0)</f>
        <v>0</v>
      </c>
      <c r="W85" s="94">
        <f ca="1">ROUNDDOWN(TblProd[[#This Row],[Raw Ore/hr]]*(1+TblProd[[#This Row],[Bonux Ore/hr]]),0)</f>
        <v>0</v>
      </c>
      <c r="X85" s="94">
        <f ca="1">ROUNDDOWN(TblProd[[#This Row],[Raw Gems/hr]]*(1+TblProd[[#This Row],[Bonus Gems/hr]]),0)</f>
        <v>0</v>
      </c>
      <c r="Y85" s="155">
        <f ca="1">OFFSET(TblConstr[[#This Row],[Tot Doc]],1,0)*dock_boats_hr * (1 + tech_4_1*TblTech[[#This Row],[4-1]])</f>
        <v>0</v>
      </c>
      <c r="Z85" s="154"/>
      <c r="AA85" s="94">
        <f ca="1">TblPop[[#This Row],[Peasants]]*tax*TblPop[[#This Row],[Employment]] + (Construction!AZ86+Construction!BX86)*(alch_plat+(Magic!AN85&gt;0)*alchemist_flame_bonus)</f>
        <v>1196.1000000000001</v>
      </c>
      <c r="AB85" s="94">
        <f ca="1">TblConstr[[#This Row],[Tot Farm]]*farm_food + TblConstr[[#This Row],[Tot Doc]]*dock_food</f>
        <v>2400</v>
      </c>
      <c r="AC85" s="94">
        <f ca="1">TblConstr[[#This Row],[Tot Ly]]*ly_lumber + TblConstr[[#This Row],[Tot Hav]]*fh_lumber + IF(race="Wood Elf",TblMili[[#This Row],[Unit 2]]*MIN(TblMili[[#This Row],[Homeland%]]/wisp_bonus,wisp_cap),0)</f>
        <v>1000</v>
      </c>
      <c r="AD85" s="94">
        <f ca="1">OFFSET(TblConstr[[#This Row],[Tot Tow]],1,0)*(tower_mana + tech_4_5*TblTech[[#This Row],[4-5]]) + OFFSET(TblConstr[[#This Row],[Tot WG]],1,0)*wg_mana_prod</f>
        <v>0</v>
      </c>
      <c r="AE85" s="94">
        <f ca="1">OFFSET(TblConstr[[#This Row],[Tot OM]],1,0)*om_ore+IF(race="Dwarf",TblMili[[#This Row],[Unit 2]]*0.5,0)</f>
        <v>0</v>
      </c>
      <c r="AF85" s="94">
        <f ca="1">OFFSET(TblConstr[[#This Row],[Tot DM]],1,0)*dm_gems</f>
        <v>0</v>
      </c>
      <c r="AG85" s="142"/>
      <c r="AH85" s="156">
        <f ca="1">MIN(race_platinum_bonus + IF(TblMagic[[#This Row],[Active Alch Frost]]&gt;0,alch_frost_bonus,IF(Magic!AE85&gt;0,midas_bonus)) + TblImps[[#This Row],[Science]] - TblProd[[#This Row],[Guard]]*(0.02 + tech_5_7*TblTech[[#This Row],[5-7]]) + tech_1_5*TblTech[[#This Row],[1-5]] + tech_4_4*TblTech[[#This Row],[4-4]] + IF(TblMagic[[#This Row],[Active Infernal Command]]&gt;0,demonic_pact_plat,0), 0.5)</f>
        <v>0</v>
      </c>
      <c r="AI8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5" s="156">
        <f ca="1">race_lumber_bonus+ IF(TblMagic[[#This Row],[Active Gaia''s Blessing]]&gt;0,gaias_blessing_lumber)+ tech_1_3*TblTech[[#This Row],[1-3]] + tech_1_6*TblTech[[#This Row],[1-6]] + tech_3_3*TblTech[[#This Row],[3-3]]</f>
        <v>0</v>
      </c>
      <c r="AK85" s="156">
        <f ca="1">race_mana_bonus+ 0 + TblImps[[#This Row],[Spires]] + tech_1_2*TblTech[[#This Row],[1-2]] + tech_3_4*TblTech[[#This Row],[3-4]]</f>
        <v>0</v>
      </c>
      <c r="AL85" s="156">
        <f ca="1">race_ore_bonus + IF(TblMagic[[#This Row],[Active Miner''s Sight]]&gt;0,miners_sight_bonus,IF(TblMagic[[#This Row],[Active Mining Strength]]&gt;0,mining_strength_bonus)) +  tech_1_6*TblTech[[#This Row],[1-6]]</f>
        <v>0</v>
      </c>
      <c r="AM85" s="156">
        <f>race_gem_bonus+ tech_3_2*TblTech[[#This Row],[3-2]] + tech_4_3*TblTech[[#This Row],[4-3]] + tech_6_2*TblTech[[#This Row],[6-2]]</f>
        <v>0</v>
      </c>
      <c r="AN85" s="142"/>
      <c r="AO85" s="94">
        <f ca="1">TblProd[[#This Row],[Food]]*food_decay * (1 + tech_2_1*TblTech[[#This Row],[2-1]] + tech_2_8*TblTech[[#This Row],[2-8]] + IF(AND(TblMagic[[#This Row],[Active DnD]]&lt;12,TblMagic[[#This Row],[Active DnD]]&gt;5),1,0))</f>
        <v>1362.09</v>
      </c>
      <c r="AP85" s="94">
        <f ca="1">(1+race_food_consumption)*TblPop[[#This Row],[Total]]*food_per_person*(1+tech_1_10*TblTech[[#This Row],[1-10]]+tech_7_5*TblTech[[#This Row],[7-5]] + IF(TblMagic[[#This Row],[Active Infernal Command]]&gt;0,demonic_pact_food_cons,0))</f>
        <v>269</v>
      </c>
      <c r="AQ85" s="94">
        <f ca="1">TblProd[[#This Row],[Lumber]]*lumber_rot * (1 + tech_2_1*TblTech[[#This Row],[2-1]] + tech_2_8*TblTech[[#This Row],[2-8]] + tech_5_2*TblTech[[#This Row],[5-2]] + IF(AND(TblMagic[[#This Row],[Active DnD]]&lt;12,TblMagic[[#This Row],[Active DnD]]&gt;5),1,0))</f>
        <v>623.38</v>
      </c>
      <c r="AR85" s="94">
        <f ca="1">TblProd[[#This Row],[Mana]]*mana_drain * (1 + tech_2_1*TblTech[[#This Row],[2-1]] + tech_2_8*TblTech[[#This Row],[2-8]])</f>
        <v>0</v>
      </c>
      <c r="AS85" s="154"/>
      <c r="AT85" s="94">
        <f ca="1">TblExplore[[#This Row],[Platinum (2)]]+TblConstr[[#This Row],[Total Plat Cost]]+TblMili[[#This Row],[Plat Cost]]+TblRezone[[#This Row],[Platinum cost]]+TblImps[[#This Row],[P1]]-TblProd[[#This Row],[Bank Plat]]</f>
        <v>0</v>
      </c>
      <c r="AU85" s="94">
        <f ca="1">TblConstr[[#This Row],[Total Lum Cost]]+TblImps[[#This Row],[L1]]-TblProd[[#This Row],[Bank Lumber]] + Military!$CO$25*TblMili[[#This Row],[Sec. rec. Cost]]</f>
        <v>0</v>
      </c>
      <c r="AV85" s="94">
        <f ca="1">TblMagic[[#This Row],[Mana cost]] + Military!$CO$26*TblMili[[#This Row],[Sec. rec. Cost]]</f>
        <v>0</v>
      </c>
      <c r="AW85" s="94">
        <f ca="1">Military!$CO$24*TblMili[[#This Row],[Sec. rec. Cost]]+TblImps[[#This Row],[O1]]-TblProd[[#This Row],[Bank Ore]]</f>
        <v>0</v>
      </c>
      <c r="AX85" s="94">
        <f>TblImps[[#This Row],[G1]]-TblProd[[#This Row],[Bank Gems]]</f>
        <v>0</v>
      </c>
      <c r="AY85" s="142"/>
      <c r="AZ85" s="61" t="b">
        <f ca="1">IF(TblProd[[#This Row],[Set Guard]]&lt;&gt;"",TblProd[[#This Row],[Set Guard]],OFFSET(TblProd[[#This Row],[Guard]],-1,0))</f>
        <v>0</v>
      </c>
      <c r="BA85" s="153"/>
      <c r="BB85" s="45">
        <f>TblProd[[#This Row],[Hour]]</f>
        <v>46</v>
      </c>
      <c r="BC85" s="158">
        <f>-TblProd[[#This Row],[Bank Lumber]] / 2 + -TblProd[[#This Row],[Bank Gems]] * 2 + -TblProd[[#This Row],[Bank Ore]] / 2</f>
        <v>0</v>
      </c>
      <c r="BD85" s="158"/>
      <c r="BE85" s="158"/>
      <c r="BF85" s="158"/>
      <c r="BG85" s="159">
        <f ca="1">TblProd[[#This Row],[Time]]</f>
        <v>46050.374999999804</v>
      </c>
      <c r="BH85" s="45" t="str">
        <f>IF(AND(TblProd[[#This Row],[Bank Plat]]=0,TblProd[[#This Row],[Bank Lumber]]=0,TblProd[[#This Row],[Bank Ore]]=0,TblProd[[#This Row],[Bank Gems]]=0),"",IF(TblProd[[#This Row],[Bank Plat]]&gt;0,IF((TblProd[[#This Row],[Bank Lumber]]+TblProd[[#This Row],[Bank Ore]])/2+TblProd[[#This Row],[Bank Gems]]*2+ROUNDUP(TblProd[[#This Row],[Bank Plat]]/(1 + tech_2_2*Techs!Y85),0)=0,"Ok","Nope"),IF(TblProd[[#This Row],[Bank Lumber]]&gt;0,IF((TblProd[[#This Row],[Bank Plat]]+TblProd[[#This Row],[Bank Ore]])/2+TblProd[[#This Row],[Bank Gems]]*2+ROUNDUP(TblProd[[#This Row],[Bank Lumber]]/(1 + tech_2_2*Techs!Y85),0)=0,"Ok","Nope"),IF(TblProd[[#This Row],[Bank Ore]]&gt;0,IF((TblProd[[#This Row],[Bank Plat]]+TblProd[[#This Row],[Bank Lumber]])/2+TblProd[[#This Row],[Bank Gems]]*2+ROUNDUP(TblProd[[#This Row],[Bank Ore]]/(1 + tech_2_2*Techs!Y85),0)=0,"Ok","Nope")))))</f>
        <v/>
      </c>
      <c r="BI85" s="94">
        <f ca="1">TblProd[[#This Row],[Platinum]]</f>
        <v>179957</v>
      </c>
      <c r="BJ85" s="94">
        <f ca="1">TblProd[[#This Row],[Food]]</f>
        <v>136209</v>
      </c>
      <c r="BK85" s="94">
        <f ca="1">TblProd[[#This Row],[Lumber]]</f>
        <v>62338</v>
      </c>
      <c r="BL85" s="94">
        <f ca="1">TblProd[[#This Row],[Mana]]</f>
        <v>0</v>
      </c>
      <c r="BM85" s="94">
        <f ca="1">TblProd[[#This Row],[Ore]]</f>
        <v>0</v>
      </c>
    </row>
    <row r="86" spans="1:65" x14ac:dyDescent="0.2">
      <c r="A86" s="137">
        <f t="shared" si="0"/>
        <v>47</v>
      </c>
      <c r="B86" s="152">
        <f ca="1">TblImps[[#This Row],[Time]]</f>
        <v>46050.416666666468</v>
      </c>
      <c r="C86" s="153"/>
      <c r="D86" s="154"/>
      <c r="E86" s="94">
        <f ca="1">TblConstr[[#This Row],[Land]]</f>
        <v>110</v>
      </c>
      <c r="F86" s="94">
        <f ca="1">TblPop[[#This Row],[Peasants]]</f>
        <v>439</v>
      </c>
      <c r="G86" s="94">
        <f ca="1">TblMili[[#This Row],[Networth (2)]]</f>
        <v>2450</v>
      </c>
      <c r="H86" s="94">
        <f ca="1">OFFSET(TblProd[[#This Row],[Platinum]],-1,0)+OFFSET(TblProd[[#This Row],[Plat/hr]],-1,0) - TblProd[[#This Row],[Expenses Platinum]] + IF(TblProd[[#This Row],[Plat Bonus]],TblPop[[#This Row],[Peasants]]*4) + SUM(TblConstr[[#This Row],[Dest Hom]:[Dest Doc]])*TblConstr[[#This Row],[CPA Platinum -DB]]*tech_3_3_2*TblTech[[#This Row],[3-3]]</f>
        <v>181153</v>
      </c>
      <c r="I86" s="94">
        <f ca="1">OFFSET(TblProd[[#This Row],[Food]],-1,0)+OFFSET(TblProd[[#This Row],[Food/hr]],-1,0)+ROUNDUP((TblConstr[[#This Row],[Farms]]*80+TblConstr[[#This Row],[Docks]]*35)*(1+OFFSET(TblProd[[#This Row],[Bonus Food/hr]],-1,0)),0)</f>
        <v>137158</v>
      </c>
      <c r="J86" s="94">
        <f ca="1">OFFSET(TblProd[[#This Row],[Lumber]],-1,0)+OFFSET(TblProd[[#This Row],[Lumber/hr]],-1,0) - TblProd[[#This Row],[Expenses Lumber]] + SUM(TblConstr[[#This Row],[Dest Hom]:[Dest Doc]])*TblConstr[[#This Row],[CPA Lumber -DB]]*tech_3_3_2*TblTech[[#This Row],[3-3]]</f>
        <v>62715</v>
      </c>
      <c r="K86" s="94">
        <f ca="1">OFFSET(TblProd[[#This Row],[Mana]],-1,0)+OFFSET(TblProd[[#This Row],[Mana/hr]],-1,0)- TblProd[[#This Row],[Expenses Mana]]</f>
        <v>0</v>
      </c>
      <c r="L86" s="94">
        <f ca="1">OFFSET(TblProd[[#This Row],[Ore]],-1,0)+OFFSET(TblProd[[#This Row],[Ore/hr]],-1,0) -TblProd[[#This Row],[Expenses Ore]]</f>
        <v>0</v>
      </c>
      <c r="M86" s="94">
        <f ca="1">OFFSET(TblProd[[#This Row],[Gems]],-1,0)+OFFSET(TblProd[[#This Row],[Gems/hr]],-1,0) - TblProd[[#This Row],[Expenses Gems]]</f>
        <v>0</v>
      </c>
      <c r="N86" s="94">
        <f ca="1">OFFSET(TblProd[[#This Row],[Boats]],-1,0)+OFFSET(TblProd[[#This Row],[Boats/hr]],-1,0)</f>
        <v>0</v>
      </c>
      <c r="O86" s="94">
        <f ca="1">OFFSET(TblProd[[#This Row],[Prestige]],-1,0)</f>
        <v>250</v>
      </c>
      <c r="P8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6" s="94">
        <f ca="1">MAX(_xlfn.CEILING.MATH(TblProd[[#This Row],[Land]]*2.5+IFERROR(OFFSET(TblTech[[#This Row],[Sum of tech]],-1,0)*50,0)),3750)</f>
        <v>3750</v>
      </c>
      <c r="R86" s="142"/>
      <c r="S86" s="94">
        <f ca="1">ROUNDDOWN(TblProd[[#This Row],[Raw Plat/hr]]*(1+TblProd[[#This Row],[Bonus Plat/hr]]),0)</f>
        <v>1185</v>
      </c>
      <c r="T86" s="94">
        <f ca="1">ROUND(TblProd[[#This Row],[Raw Food/hr]]*(1+TblProd[[#This Row],[Bonus Food/hr]])-TblProd[[#This Row],[Food decay]]-TblProd[[#This Row],[Food eaten]],0)</f>
        <v>939</v>
      </c>
      <c r="U86" s="94">
        <f ca="1">ROUND(TblProd[[#This Row],[Raw Lumber/hr]]*(1+TblProd[[#This Row],[Bonus Lumber/hr]])-TblProd[[#This Row],[Lumber rot]],0)</f>
        <v>373</v>
      </c>
      <c r="V86" s="94">
        <f ca="1">ROUND(TblProd[[#This Row],[Raw Mana/hr]]*(1+TblProd[[#This Row],[Bonus Mana/hr]])-TblProd[[#This Row],[Mana drain]],0)</f>
        <v>0</v>
      </c>
      <c r="W86" s="94">
        <f ca="1">ROUNDDOWN(TblProd[[#This Row],[Raw Ore/hr]]*(1+TblProd[[#This Row],[Bonux Ore/hr]]),0)</f>
        <v>0</v>
      </c>
      <c r="X86" s="94">
        <f ca="1">ROUNDDOWN(TblProd[[#This Row],[Raw Gems/hr]]*(1+TblProd[[#This Row],[Bonus Gems/hr]]),0)</f>
        <v>0</v>
      </c>
      <c r="Y86" s="155">
        <f ca="1">OFFSET(TblConstr[[#This Row],[Tot Doc]],1,0)*dock_boats_hr * (1 + tech_4_1*TblTech[[#This Row],[4-1]])</f>
        <v>0</v>
      </c>
      <c r="Z86" s="154"/>
      <c r="AA86" s="94">
        <f ca="1">TblPop[[#This Row],[Peasants]]*tax*TblPop[[#This Row],[Employment]] + (Construction!AZ87+Construction!BX87)*(alch_plat+(Magic!AN86&gt;0)*alchemist_flame_bonus)</f>
        <v>1185.3000000000002</v>
      </c>
      <c r="AB86" s="94">
        <f ca="1">TblConstr[[#This Row],[Tot Farm]]*farm_food + TblConstr[[#This Row],[Tot Doc]]*dock_food</f>
        <v>2400</v>
      </c>
      <c r="AC86" s="94">
        <f ca="1">TblConstr[[#This Row],[Tot Ly]]*ly_lumber + TblConstr[[#This Row],[Tot Hav]]*fh_lumber + IF(race="Wood Elf",TblMili[[#This Row],[Unit 2]]*MIN(TblMili[[#This Row],[Homeland%]]/wisp_bonus,wisp_cap),0)</f>
        <v>1000</v>
      </c>
      <c r="AD86" s="94">
        <f ca="1">OFFSET(TblConstr[[#This Row],[Tot Tow]],1,0)*(tower_mana + tech_4_5*TblTech[[#This Row],[4-5]]) + OFFSET(TblConstr[[#This Row],[Tot WG]],1,0)*wg_mana_prod</f>
        <v>0</v>
      </c>
      <c r="AE86" s="94">
        <f ca="1">OFFSET(TblConstr[[#This Row],[Tot OM]],1,0)*om_ore+IF(race="Dwarf",TblMili[[#This Row],[Unit 2]]*0.5,0)</f>
        <v>0</v>
      </c>
      <c r="AF86" s="94">
        <f ca="1">OFFSET(TblConstr[[#This Row],[Tot DM]],1,0)*dm_gems</f>
        <v>0</v>
      </c>
      <c r="AG86" s="142"/>
      <c r="AH86" s="156">
        <f ca="1">MIN(race_platinum_bonus + IF(TblMagic[[#This Row],[Active Alch Frost]]&gt;0,alch_frost_bonus,IF(Magic!AE86&gt;0,midas_bonus)) + TblImps[[#This Row],[Science]] - TblProd[[#This Row],[Guard]]*(0.02 + tech_5_7*TblTech[[#This Row],[5-7]]) + tech_1_5*TblTech[[#This Row],[1-5]] + tech_4_4*TblTech[[#This Row],[4-4]] + IF(TblMagic[[#This Row],[Active Infernal Command]]&gt;0,demonic_pact_plat,0), 0.5)</f>
        <v>0</v>
      </c>
      <c r="AI8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6" s="156">
        <f ca="1">race_lumber_bonus+ IF(TblMagic[[#This Row],[Active Gaia''s Blessing]]&gt;0,gaias_blessing_lumber)+ tech_1_3*TblTech[[#This Row],[1-3]] + tech_1_6*TblTech[[#This Row],[1-6]] + tech_3_3*TblTech[[#This Row],[3-3]]</f>
        <v>0</v>
      </c>
      <c r="AK86" s="156">
        <f ca="1">race_mana_bonus+ 0 + TblImps[[#This Row],[Spires]] + tech_1_2*TblTech[[#This Row],[1-2]] + tech_3_4*TblTech[[#This Row],[3-4]]</f>
        <v>0</v>
      </c>
      <c r="AL86" s="156">
        <f ca="1">race_ore_bonus + IF(TblMagic[[#This Row],[Active Miner''s Sight]]&gt;0,miners_sight_bonus,IF(TblMagic[[#This Row],[Active Mining Strength]]&gt;0,mining_strength_bonus)) +  tech_1_6*TblTech[[#This Row],[1-6]]</f>
        <v>0</v>
      </c>
      <c r="AM86" s="156">
        <f>race_gem_bonus+ tech_3_2*TblTech[[#This Row],[3-2]] + tech_4_3*TblTech[[#This Row],[4-3]] + tech_6_2*TblTech[[#This Row],[6-2]]</f>
        <v>0</v>
      </c>
      <c r="AN86" s="142"/>
      <c r="AO86" s="94">
        <f ca="1">TblProd[[#This Row],[Food]]*food_decay * (1 + tech_2_1*TblTech[[#This Row],[2-1]] + tech_2_8*TblTech[[#This Row],[2-8]] + IF(AND(TblMagic[[#This Row],[Active DnD]]&lt;12,TblMagic[[#This Row],[Active DnD]]&gt;5),1,0))</f>
        <v>1371.58</v>
      </c>
      <c r="AP86" s="94">
        <f ca="1">(1+race_food_consumption)*TblPop[[#This Row],[Total]]*food_per_person*(1+tech_1_10*TblTech[[#This Row],[1-10]]+tech_7_5*TblTech[[#This Row],[7-5]] + IF(TblMagic[[#This Row],[Active Infernal Command]]&gt;0,demonic_pact_food_cons,0))</f>
        <v>269</v>
      </c>
      <c r="AQ86" s="94">
        <f ca="1">TblProd[[#This Row],[Lumber]]*lumber_rot * (1 + tech_2_1*TblTech[[#This Row],[2-1]] + tech_2_8*TblTech[[#This Row],[2-8]] + tech_5_2*TblTech[[#This Row],[5-2]] + IF(AND(TblMagic[[#This Row],[Active DnD]]&lt;12,TblMagic[[#This Row],[Active DnD]]&gt;5),1,0))</f>
        <v>627.15</v>
      </c>
      <c r="AR86" s="94">
        <f ca="1">TblProd[[#This Row],[Mana]]*mana_drain * (1 + tech_2_1*TblTech[[#This Row],[2-1]] + tech_2_8*TblTech[[#This Row],[2-8]])</f>
        <v>0</v>
      </c>
      <c r="AS86" s="154"/>
      <c r="AT86" s="94">
        <f ca="1">TblExplore[[#This Row],[Platinum (2)]]+TblConstr[[#This Row],[Total Plat Cost]]+TblMili[[#This Row],[Plat Cost]]+TblRezone[[#This Row],[Platinum cost]]+TblImps[[#This Row],[P1]]-TblProd[[#This Row],[Bank Plat]]</f>
        <v>0</v>
      </c>
      <c r="AU86" s="94">
        <f ca="1">TblConstr[[#This Row],[Total Lum Cost]]+TblImps[[#This Row],[L1]]-TblProd[[#This Row],[Bank Lumber]] + Military!$CO$25*TblMili[[#This Row],[Sec. rec. Cost]]</f>
        <v>0</v>
      </c>
      <c r="AV86" s="94">
        <f ca="1">TblMagic[[#This Row],[Mana cost]] + Military!$CO$26*TblMili[[#This Row],[Sec. rec. Cost]]</f>
        <v>0</v>
      </c>
      <c r="AW86" s="94">
        <f ca="1">Military!$CO$24*TblMili[[#This Row],[Sec. rec. Cost]]+TblImps[[#This Row],[O1]]-TblProd[[#This Row],[Bank Ore]]</f>
        <v>0</v>
      </c>
      <c r="AX86" s="94">
        <f>TblImps[[#This Row],[G1]]-TblProd[[#This Row],[Bank Gems]]</f>
        <v>0</v>
      </c>
      <c r="AY86" s="142"/>
      <c r="AZ86" s="61" t="b">
        <f ca="1">IF(TblProd[[#This Row],[Set Guard]]&lt;&gt;"",TblProd[[#This Row],[Set Guard]],OFFSET(TblProd[[#This Row],[Guard]],-1,0))</f>
        <v>0</v>
      </c>
      <c r="BA86" s="153"/>
      <c r="BB86" s="45">
        <f>TblProd[[#This Row],[Hour]]</f>
        <v>47</v>
      </c>
      <c r="BC86" s="158">
        <f>-TblProd[[#This Row],[Bank Lumber]] / 2 + -TblProd[[#This Row],[Bank Gems]] * 2 + -TblProd[[#This Row],[Bank Ore]] / 2</f>
        <v>0</v>
      </c>
      <c r="BD86" s="158"/>
      <c r="BE86" s="158"/>
      <c r="BF86" s="158"/>
      <c r="BG86" s="159">
        <f ca="1">TblProd[[#This Row],[Time]]</f>
        <v>46050.416666666468</v>
      </c>
      <c r="BH86" s="45" t="str">
        <f>IF(AND(TblProd[[#This Row],[Bank Plat]]=0,TblProd[[#This Row],[Bank Lumber]]=0,TblProd[[#This Row],[Bank Ore]]=0,TblProd[[#This Row],[Bank Gems]]=0),"",IF(TblProd[[#This Row],[Bank Plat]]&gt;0,IF((TblProd[[#This Row],[Bank Lumber]]+TblProd[[#This Row],[Bank Ore]])/2+TblProd[[#This Row],[Bank Gems]]*2+ROUNDUP(TblProd[[#This Row],[Bank Plat]]/(1 + tech_2_2*Techs!Y86),0)=0,"Ok","Nope"),IF(TblProd[[#This Row],[Bank Lumber]]&gt;0,IF((TblProd[[#This Row],[Bank Plat]]+TblProd[[#This Row],[Bank Ore]])/2+TblProd[[#This Row],[Bank Gems]]*2+ROUNDUP(TblProd[[#This Row],[Bank Lumber]]/(1 + tech_2_2*Techs!Y86),0)=0,"Ok","Nope"),IF(TblProd[[#This Row],[Bank Ore]]&gt;0,IF((TblProd[[#This Row],[Bank Plat]]+TblProd[[#This Row],[Bank Lumber]])/2+TblProd[[#This Row],[Bank Gems]]*2+ROUNDUP(TblProd[[#This Row],[Bank Ore]]/(1 + tech_2_2*Techs!Y86),0)=0,"Ok","Nope")))))</f>
        <v/>
      </c>
      <c r="BI86" s="94">
        <f ca="1">TblProd[[#This Row],[Platinum]]</f>
        <v>181153</v>
      </c>
      <c r="BJ86" s="94">
        <f ca="1">TblProd[[#This Row],[Food]]</f>
        <v>137158</v>
      </c>
      <c r="BK86" s="94">
        <f ca="1">TblProd[[#This Row],[Lumber]]</f>
        <v>62715</v>
      </c>
      <c r="BL86" s="94">
        <f ca="1">TblProd[[#This Row],[Mana]]</f>
        <v>0</v>
      </c>
      <c r="BM86" s="94">
        <f ca="1">TblProd[[#This Row],[Ore]]</f>
        <v>0</v>
      </c>
    </row>
    <row r="87" spans="1:65" x14ac:dyDescent="0.2">
      <c r="A87" s="137">
        <f t="shared" si="0"/>
        <v>48</v>
      </c>
      <c r="B87" s="152">
        <f ca="1">TblImps[[#This Row],[Time]]</f>
        <v>46050.458333333132</v>
      </c>
      <c r="C87" s="153"/>
      <c r="D87" s="154"/>
      <c r="E87" s="94">
        <f ca="1">TblConstr[[#This Row],[Land]]</f>
        <v>110</v>
      </c>
      <c r="F87" s="94">
        <f ca="1">TblPop[[#This Row],[Peasants]]</f>
        <v>435</v>
      </c>
      <c r="G87" s="94">
        <f ca="1">TblMili[[#This Row],[Networth (2)]]</f>
        <v>2450</v>
      </c>
      <c r="H87" s="94">
        <f ca="1">OFFSET(TblProd[[#This Row],[Platinum]],-1,0)+OFFSET(TblProd[[#This Row],[Plat/hr]],-1,0) - TblProd[[#This Row],[Expenses Platinum]] + IF(TblProd[[#This Row],[Plat Bonus]],TblPop[[#This Row],[Peasants]]*4) + SUM(TblConstr[[#This Row],[Dest Hom]:[Dest Doc]])*TblConstr[[#This Row],[CPA Platinum -DB]]*tech_3_3_2*TblTech[[#This Row],[3-3]]</f>
        <v>182338</v>
      </c>
      <c r="I87" s="94">
        <f ca="1">OFFSET(TblProd[[#This Row],[Food]],-1,0)+OFFSET(TblProd[[#This Row],[Food/hr]],-1,0)+ROUNDUP((TblConstr[[#This Row],[Farms]]*80+TblConstr[[#This Row],[Docks]]*35)*(1+OFFSET(TblProd[[#This Row],[Bonus Food/hr]],-1,0)),0)</f>
        <v>138097</v>
      </c>
      <c r="J87" s="94">
        <f ca="1">OFFSET(TblProd[[#This Row],[Lumber]],-1,0)+OFFSET(TblProd[[#This Row],[Lumber/hr]],-1,0) - TblProd[[#This Row],[Expenses Lumber]] + SUM(TblConstr[[#This Row],[Dest Hom]:[Dest Doc]])*TblConstr[[#This Row],[CPA Lumber -DB]]*tech_3_3_2*TblTech[[#This Row],[3-3]]</f>
        <v>63088</v>
      </c>
      <c r="K87" s="94">
        <f ca="1">OFFSET(TblProd[[#This Row],[Mana]],-1,0)+OFFSET(TblProd[[#This Row],[Mana/hr]],-1,0)- TblProd[[#This Row],[Expenses Mana]]</f>
        <v>0</v>
      </c>
      <c r="L87" s="94">
        <f ca="1">OFFSET(TblProd[[#This Row],[Ore]],-1,0)+OFFSET(TblProd[[#This Row],[Ore/hr]],-1,0) -TblProd[[#This Row],[Expenses Ore]]</f>
        <v>0</v>
      </c>
      <c r="M87" s="94">
        <f ca="1">OFFSET(TblProd[[#This Row],[Gems]],-1,0)+OFFSET(TblProd[[#This Row],[Gems/hr]],-1,0) - TblProd[[#This Row],[Expenses Gems]]</f>
        <v>0</v>
      </c>
      <c r="N87" s="94">
        <f ca="1">OFFSET(TblProd[[#This Row],[Boats]],-1,0)+OFFSET(TblProd[[#This Row],[Boats/hr]],-1,0)</f>
        <v>0</v>
      </c>
      <c r="O87" s="94">
        <f ca="1">OFFSET(TblProd[[#This Row],[Prestige]],-1,0)</f>
        <v>250</v>
      </c>
      <c r="P8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7" s="94">
        <f ca="1">MAX(_xlfn.CEILING.MATH(TblProd[[#This Row],[Land]]*2.5+IFERROR(OFFSET(TblTech[[#This Row],[Sum of tech]],-1,0)*50,0)),3750)</f>
        <v>3750</v>
      </c>
      <c r="R87" s="142"/>
      <c r="S87" s="94">
        <f ca="1">ROUNDDOWN(TblProd[[#This Row],[Raw Plat/hr]]*(1+TblProd[[#This Row],[Bonus Plat/hr]]),0)</f>
        <v>1174</v>
      </c>
      <c r="T87" s="94">
        <f ca="1">ROUND(TblProd[[#This Row],[Raw Food/hr]]*(1+TblProd[[#This Row],[Bonus Food/hr]])-TblProd[[#This Row],[Food decay]]-TblProd[[#This Row],[Food eaten]],0)</f>
        <v>930</v>
      </c>
      <c r="U87" s="94">
        <f ca="1">ROUND(TblProd[[#This Row],[Raw Lumber/hr]]*(1+TblProd[[#This Row],[Bonus Lumber/hr]])-TblProd[[#This Row],[Lumber rot]],0)</f>
        <v>369</v>
      </c>
      <c r="V87" s="94">
        <f ca="1">ROUND(TblProd[[#This Row],[Raw Mana/hr]]*(1+TblProd[[#This Row],[Bonus Mana/hr]])-TblProd[[#This Row],[Mana drain]],0)</f>
        <v>0</v>
      </c>
      <c r="W87" s="94">
        <f ca="1">ROUNDDOWN(TblProd[[#This Row],[Raw Ore/hr]]*(1+TblProd[[#This Row],[Bonux Ore/hr]]),0)</f>
        <v>0</v>
      </c>
      <c r="X87" s="94">
        <f ca="1">ROUNDDOWN(TblProd[[#This Row],[Raw Gems/hr]]*(1+TblProd[[#This Row],[Bonus Gems/hr]]),0)</f>
        <v>0</v>
      </c>
      <c r="Y87" s="155">
        <f ca="1">OFFSET(TblConstr[[#This Row],[Tot Doc]],1,0)*dock_boats_hr * (1 + tech_4_1*TblTech[[#This Row],[4-1]])</f>
        <v>0</v>
      </c>
      <c r="Z87" s="154"/>
      <c r="AA87" s="94">
        <f ca="1">TblPop[[#This Row],[Peasants]]*tax*TblPop[[#This Row],[Employment]] + (Construction!AZ88+Construction!BX88)*(alch_plat+(Magic!AN87&gt;0)*alchemist_flame_bonus)</f>
        <v>1174.5</v>
      </c>
      <c r="AB87" s="94">
        <f ca="1">TblConstr[[#This Row],[Tot Farm]]*farm_food + TblConstr[[#This Row],[Tot Doc]]*dock_food</f>
        <v>2400</v>
      </c>
      <c r="AC87" s="94">
        <f ca="1">TblConstr[[#This Row],[Tot Ly]]*ly_lumber + TblConstr[[#This Row],[Tot Hav]]*fh_lumber + IF(race="Wood Elf",TblMili[[#This Row],[Unit 2]]*MIN(TblMili[[#This Row],[Homeland%]]/wisp_bonus,wisp_cap),0)</f>
        <v>1000</v>
      </c>
      <c r="AD87" s="94">
        <f ca="1">OFFSET(TblConstr[[#This Row],[Tot Tow]],1,0)*(tower_mana + tech_4_5*TblTech[[#This Row],[4-5]]) + OFFSET(TblConstr[[#This Row],[Tot WG]],1,0)*wg_mana_prod</f>
        <v>0</v>
      </c>
      <c r="AE87" s="94">
        <f ca="1">OFFSET(TblConstr[[#This Row],[Tot OM]],1,0)*om_ore+IF(race="Dwarf",TblMili[[#This Row],[Unit 2]]*0.5,0)</f>
        <v>0</v>
      </c>
      <c r="AF87" s="94">
        <f ca="1">OFFSET(TblConstr[[#This Row],[Tot DM]],1,0)*dm_gems</f>
        <v>0</v>
      </c>
      <c r="AG87" s="142"/>
      <c r="AH87" s="156">
        <f ca="1">MIN(race_platinum_bonus + IF(TblMagic[[#This Row],[Active Alch Frost]]&gt;0,alch_frost_bonus,IF(Magic!AE87&gt;0,midas_bonus)) + TblImps[[#This Row],[Science]] - TblProd[[#This Row],[Guard]]*(0.02 + tech_5_7*TblTech[[#This Row],[5-7]]) + tech_1_5*TblTech[[#This Row],[1-5]] + tech_4_4*TblTech[[#This Row],[4-4]] + IF(TblMagic[[#This Row],[Active Infernal Command]]&gt;0,demonic_pact_plat,0), 0.5)</f>
        <v>0</v>
      </c>
      <c r="AI8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7" s="156">
        <f ca="1">race_lumber_bonus+ IF(TblMagic[[#This Row],[Active Gaia''s Blessing]]&gt;0,gaias_blessing_lumber)+ tech_1_3*TblTech[[#This Row],[1-3]] + tech_1_6*TblTech[[#This Row],[1-6]] + tech_3_3*TblTech[[#This Row],[3-3]]</f>
        <v>0</v>
      </c>
      <c r="AK87" s="156">
        <f ca="1">race_mana_bonus+ 0 + TblImps[[#This Row],[Spires]] + tech_1_2*TblTech[[#This Row],[1-2]] + tech_3_4*TblTech[[#This Row],[3-4]]</f>
        <v>0</v>
      </c>
      <c r="AL87" s="156">
        <f ca="1">race_ore_bonus + IF(TblMagic[[#This Row],[Active Miner''s Sight]]&gt;0,miners_sight_bonus,IF(TblMagic[[#This Row],[Active Mining Strength]]&gt;0,mining_strength_bonus)) +  tech_1_6*TblTech[[#This Row],[1-6]]</f>
        <v>0</v>
      </c>
      <c r="AM87" s="156">
        <f>race_gem_bonus+ tech_3_2*TblTech[[#This Row],[3-2]] + tech_4_3*TblTech[[#This Row],[4-3]] + tech_6_2*TblTech[[#This Row],[6-2]]</f>
        <v>0</v>
      </c>
      <c r="AN87" s="142"/>
      <c r="AO87" s="94">
        <f ca="1">TblProd[[#This Row],[Food]]*food_decay * (1 + tech_2_1*TblTech[[#This Row],[2-1]] + tech_2_8*TblTech[[#This Row],[2-8]] + IF(AND(TblMagic[[#This Row],[Active DnD]]&lt;12,TblMagic[[#This Row],[Active DnD]]&gt;5),1,0))</f>
        <v>1380.97</v>
      </c>
      <c r="AP87" s="94">
        <f ca="1">(1+race_food_consumption)*TblPop[[#This Row],[Total]]*food_per_person*(1+tech_1_10*TblTech[[#This Row],[1-10]]+tech_7_5*TblTech[[#This Row],[7-5]] + IF(TblMagic[[#This Row],[Active Infernal Command]]&gt;0,demonic_pact_food_cons,0))</f>
        <v>269</v>
      </c>
      <c r="AQ87" s="94">
        <f ca="1">TblProd[[#This Row],[Lumber]]*lumber_rot * (1 + tech_2_1*TblTech[[#This Row],[2-1]] + tech_2_8*TblTech[[#This Row],[2-8]] + tech_5_2*TblTech[[#This Row],[5-2]] + IF(AND(TblMagic[[#This Row],[Active DnD]]&lt;12,TblMagic[[#This Row],[Active DnD]]&gt;5),1,0))</f>
        <v>630.88</v>
      </c>
      <c r="AR87" s="94">
        <f ca="1">TblProd[[#This Row],[Mana]]*mana_drain * (1 + tech_2_1*TblTech[[#This Row],[2-1]] + tech_2_8*TblTech[[#This Row],[2-8]])</f>
        <v>0</v>
      </c>
      <c r="AS87" s="154"/>
      <c r="AT87" s="94">
        <f ca="1">TblExplore[[#This Row],[Platinum (2)]]+TblConstr[[#This Row],[Total Plat Cost]]+TblMili[[#This Row],[Plat Cost]]+TblRezone[[#This Row],[Platinum cost]]+TblImps[[#This Row],[P1]]-TblProd[[#This Row],[Bank Plat]]</f>
        <v>0</v>
      </c>
      <c r="AU87" s="94">
        <f ca="1">TblConstr[[#This Row],[Total Lum Cost]]+TblImps[[#This Row],[L1]]-TblProd[[#This Row],[Bank Lumber]] + Military!$CO$25*TblMili[[#This Row],[Sec. rec. Cost]]</f>
        <v>0</v>
      </c>
      <c r="AV87" s="94">
        <f ca="1">TblMagic[[#This Row],[Mana cost]] + Military!$CO$26*TblMili[[#This Row],[Sec. rec. Cost]]</f>
        <v>0</v>
      </c>
      <c r="AW87" s="94">
        <f ca="1">Military!$CO$24*TblMili[[#This Row],[Sec. rec. Cost]]+TblImps[[#This Row],[O1]]-TblProd[[#This Row],[Bank Ore]]</f>
        <v>0</v>
      </c>
      <c r="AX87" s="94">
        <f>TblImps[[#This Row],[G1]]-TblProd[[#This Row],[Bank Gems]]</f>
        <v>0</v>
      </c>
      <c r="AY87" s="142"/>
      <c r="AZ87" s="61" t="b">
        <f ca="1">IF(TblProd[[#This Row],[Set Guard]]&lt;&gt;"",TblProd[[#This Row],[Set Guard]],OFFSET(TblProd[[#This Row],[Guard]],-1,0))</f>
        <v>0</v>
      </c>
      <c r="BA87" s="153"/>
      <c r="BB87" s="45">
        <f>TblProd[[#This Row],[Hour]]</f>
        <v>48</v>
      </c>
      <c r="BC87" s="158">
        <f>-TblProd[[#This Row],[Bank Lumber]] / 2 + -TblProd[[#This Row],[Bank Gems]] * 2 + -TblProd[[#This Row],[Bank Ore]] / 2</f>
        <v>0</v>
      </c>
      <c r="BD87" s="158"/>
      <c r="BE87" s="158"/>
      <c r="BF87" s="158"/>
      <c r="BG87" s="159">
        <f ca="1">TblProd[[#This Row],[Time]]</f>
        <v>46050.458333333132</v>
      </c>
      <c r="BH87" s="45" t="str">
        <f>IF(AND(TblProd[[#This Row],[Bank Plat]]=0,TblProd[[#This Row],[Bank Lumber]]=0,TblProd[[#This Row],[Bank Ore]]=0,TblProd[[#This Row],[Bank Gems]]=0),"",IF(TblProd[[#This Row],[Bank Plat]]&gt;0,IF((TblProd[[#This Row],[Bank Lumber]]+TblProd[[#This Row],[Bank Ore]])/2+TblProd[[#This Row],[Bank Gems]]*2+ROUNDUP(TblProd[[#This Row],[Bank Plat]]/(1 + tech_2_2*Techs!Y87),0)=0,"Ok","Nope"),IF(TblProd[[#This Row],[Bank Lumber]]&gt;0,IF((TblProd[[#This Row],[Bank Plat]]+TblProd[[#This Row],[Bank Ore]])/2+TblProd[[#This Row],[Bank Gems]]*2+ROUNDUP(TblProd[[#This Row],[Bank Lumber]]/(1 + tech_2_2*Techs!Y87),0)=0,"Ok","Nope"),IF(TblProd[[#This Row],[Bank Ore]]&gt;0,IF((TblProd[[#This Row],[Bank Plat]]+TblProd[[#This Row],[Bank Lumber]])/2+TblProd[[#This Row],[Bank Gems]]*2+ROUNDUP(TblProd[[#This Row],[Bank Ore]]/(1 + tech_2_2*Techs!Y87),0)=0,"Ok","Nope")))))</f>
        <v/>
      </c>
      <c r="BI87" s="94">
        <f ca="1">TblProd[[#This Row],[Platinum]]</f>
        <v>182338</v>
      </c>
      <c r="BJ87" s="94">
        <f ca="1">TblProd[[#This Row],[Food]]</f>
        <v>138097</v>
      </c>
      <c r="BK87" s="94">
        <f ca="1">TblProd[[#This Row],[Lumber]]</f>
        <v>63088</v>
      </c>
      <c r="BL87" s="94">
        <f ca="1">TblProd[[#This Row],[Mana]]</f>
        <v>0</v>
      </c>
      <c r="BM87" s="94">
        <f ca="1">TblProd[[#This Row],[Ore]]</f>
        <v>0</v>
      </c>
    </row>
    <row r="88" spans="1:65" x14ac:dyDescent="0.2">
      <c r="A88" s="137">
        <f t="shared" si="0"/>
        <v>49</v>
      </c>
      <c r="B88" s="152">
        <f ca="1">TblImps[[#This Row],[Time]]</f>
        <v>46050.499999999796</v>
      </c>
      <c r="C88" s="153"/>
      <c r="D88" s="154"/>
      <c r="E88" s="94">
        <f ca="1">TblConstr[[#This Row],[Land]]</f>
        <v>110</v>
      </c>
      <c r="F88" s="94">
        <f ca="1">TblPop[[#This Row],[Peasants]]</f>
        <v>431</v>
      </c>
      <c r="G88" s="94">
        <f ca="1">TblMili[[#This Row],[Networth (2)]]</f>
        <v>2450</v>
      </c>
      <c r="H88" s="94">
        <f ca="1">OFFSET(TblProd[[#This Row],[Platinum]],-1,0)+OFFSET(TblProd[[#This Row],[Plat/hr]],-1,0) - TblProd[[#This Row],[Expenses Platinum]] + IF(TblProd[[#This Row],[Plat Bonus]],TblPop[[#This Row],[Peasants]]*4) + SUM(TblConstr[[#This Row],[Dest Hom]:[Dest Doc]])*TblConstr[[#This Row],[CPA Platinum -DB]]*tech_3_3_2*TblTech[[#This Row],[3-3]]</f>
        <v>183512</v>
      </c>
      <c r="I88" s="94">
        <f ca="1">OFFSET(TblProd[[#This Row],[Food]],-1,0)+OFFSET(TblProd[[#This Row],[Food/hr]],-1,0)+ROUNDUP((TblConstr[[#This Row],[Farms]]*80+TblConstr[[#This Row],[Docks]]*35)*(1+OFFSET(TblProd[[#This Row],[Bonus Food/hr]],-1,0)),0)</f>
        <v>139027</v>
      </c>
      <c r="J88" s="94">
        <f ca="1">OFFSET(TblProd[[#This Row],[Lumber]],-1,0)+OFFSET(TblProd[[#This Row],[Lumber/hr]],-1,0) - TblProd[[#This Row],[Expenses Lumber]] + SUM(TblConstr[[#This Row],[Dest Hom]:[Dest Doc]])*TblConstr[[#This Row],[CPA Lumber -DB]]*tech_3_3_2*TblTech[[#This Row],[3-3]]</f>
        <v>63457</v>
      </c>
      <c r="K88" s="94">
        <f ca="1">OFFSET(TblProd[[#This Row],[Mana]],-1,0)+OFFSET(TblProd[[#This Row],[Mana/hr]],-1,0)- TblProd[[#This Row],[Expenses Mana]]</f>
        <v>0</v>
      </c>
      <c r="L88" s="94">
        <f ca="1">OFFSET(TblProd[[#This Row],[Ore]],-1,0)+OFFSET(TblProd[[#This Row],[Ore/hr]],-1,0) -TblProd[[#This Row],[Expenses Ore]]</f>
        <v>0</v>
      </c>
      <c r="M88" s="94">
        <f ca="1">OFFSET(TblProd[[#This Row],[Gems]],-1,0)+OFFSET(TblProd[[#This Row],[Gems/hr]],-1,0) - TblProd[[#This Row],[Expenses Gems]]</f>
        <v>0</v>
      </c>
      <c r="N88" s="94">
        <f ca="1">OFFSET(TblProd[[#This Row],[Boats]],-1,0)+OFFSET(TblProd[[#This Row],[Boats/hr]],-1,0)</f>
        <v>0</v>
      </c>
      <c r="O88" s="94">
        <f ca="1">OFFSET(TblProd[[#This Row],[Prestige]],-1,0)</f>
        <v>250</v>
      </c>
      <c r="P8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8" s="94">
        <f ca="1">MAX(_xlfn.CEILING.MATH(TblProd[[#This Row],[Land]]*2.5+IFERROR(OFFSET(TblTech[[#This Row],[Sum of tech]],-1,0)*50,0)),3750)</f>
        <v>3750</v>
      </c>
      <c r="R88" s="142"/>
      <c r="S88" s="94">
        <f ca="1">ROUNDDOWN(TblProd[[#This Row],[Raw Plat/hr]]*(1+TblProd[[#This Row],[Bonus Plat/hr]]),0)</f>
        <v>1163</v>
      </c>
      <c r="T88" s="94">
        <f ca="1">ROUND(TblProd[[#This Row],[Raw Food/hr]]*(1+TblProd[[#This Row],[Bonus Food/hr]])-TblProd[[#This Row],[Food decay]]-TblProd[[#This Row],[Food eaten]],0)</f>
        <v>921</v>
      </c>
      <c r="U88" s="94">
        <f ca="1">ROUND(TblProd[[#This Row],[Raw Lumber/hr]]*(1+TblProd[[#This Row],[Bonus Lumber/hr]])-TblProd[[#This Row],[Lumber rot]],0)</f>
        <v>365</v>
      </c>
      <c r="V88" s="94">
        <f ca="1">ROUND(TblProd[[#This Row],[Raw Mana/hr]]*(1+TblProd[[#This Row],[Bonus Mana/hr]])-TblProd[[#This Row],[Mana drain]],0)</f>
        <v>0</v>
      </c>
      <c r="W88" s="94">
        <f ca="1">ROUNDDOWN(TblProd[[#This Row],[Raw Ore/hr]]*(1+TblProd[[#This Row],[Bonux Ore/hr]]),0)</f>
        <v>0</v>
      </c>
      <c r="X88" s="94">
        <f ca="1">ROUNDDOWN(TblProd[[#This Row],[Raw Gems/hr]]*(1+TblProd[[#This Row],[Bonus Gems/hr]]),0)</f>
        <v>0</v>
      </c>
      <c r="Y88" s="155">
        <f ca="1">OFFSET(TblConstr[[#This Row],[Tot Doc]],1,0)*dock_boats_hr * (1 + tech_4_1*TblTech[[#This Row],[4-1]])</f>
        <v>0</v>
      </c>
      <c r="Z88" s="154"/>
      <c r="AA88" s="94">
        <f ca="1">TblPop[[#This Row],[Peasants]]*tax*TblPop[[#This Row],[Employment]] + (Construction!AZ89+Construction!BX89)*(alch_plat+(Magic!AN88&gt;0)*alchemist_flame_bonus)</f>
        <v>1163.7</v>
      </c>
      <c r="AB88" s="94">
        <f ca="1">TblConstr[[#This Row],[Tot Farm]]*farm_food + TblConstr[[#This Row],[Tot Doc]]*dock_food</f>
        <v>2400</v>
      </c>
      <c r="AC88" s="94">
        <f ca="1">TblConstr[[#This Row],[Tot Ly]]*ly_lumber + TblConstr[[#This Row],[Tot Hav]]*fh_lumber + IF(race="Wood Elf",TblMili[[#This Row],[Unit 2]]*MIN(TblMili[[#This Row],[Homeland%]]/wisp_bonus,wisp_cap),0)</f>
        <v>1000</v>
      </c>
      <c r="AD88" s="94">
        <f ca="1">OFFSET(TblConstr[[#This Row],[Tot Tow]],1,0)*(tower_mana + tech_4_5*TblTech[[#This Row],[4-5]]) + OFFSET(TblConstr[[#This Row],[Tot WG]],1,0)*wg_mana_prod</f>
        <v>0</v>
      </c>
      <c r="AE88" s="94">
        <f ca="1">OFFSET(TblConstr[[#This Row],[Tot OM]],1,0)*om_ore+IF(race="Dwarf",TblMili[[#This Row],[Unit 2]]*0.5,0)</f>
        <v>0</v>
      </c>
      <c r="AF88" s="94">
        <f ca="1">OFFSET(TblConstr[[#This Row],[Tot DM]],1,0)*dm_gems</f>
        <v>0</v>
      </c>
      <c r="AG88" s="142"/>
      <c r="AH88" s="156">
        <f ca="1">MIN(race_platinum_bonus + IF(TblMagic[[#This Row],[Active Alch Frost]]&gt;0,alch_frost_bonus,IF(Magic!AE88&gt;0,midas_bonus)) + TblImps[[#This Row],[Science]] - TblProd[[#This Row],[Guard]]*(0.02 + tech_5_7*TblTech[[#This Row],[5-7]]) + tech_1_5*TblTech[[#This Row],[1-5]] + tech_4_4*TblTech[[#This Row],[4-4]] + IF(TblMagic[[#This Row],[Active Infernal Command]]&gt;0,demonic_pact_plat,0), 0.5)</f>
        <v>0</v>
      </c>
      <c r="AI8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8" s="156">
        <f ca="1">race_lumber_bonus+ IF(TblMagic[[#This Row],[Active Gaia''s Blessing]]&gt;0,gaias_blessing_lumber)+ tech_1_3*TblTech[[#This Row],[1-3]] + tech_1_6*TblTech[[#This Row],[1-6]] + tech_3_3*TblTech[[#This Row],[3-3]]</f>
        <v>0</v>
      </c>
      <c r="AK88" s="156">
        <f ca="1">race_mana_bonus+ 0 + TblImps[[#This Row],[Spires]] + tech_1_2*TblTech[[#This Row],[1-2]] + tech_3_4*TblTech[[#This Row],[3-4]]</f>
        <v>0</v>
      </c>
      <c r="AL88" s="156">
        <f ca="1">race_ore_bonus + IF(TblMagic[[#This Row],[Active Miner''s Sight]]&gt;0,miners_sight_bonus,IF(TblMagic[[#This Row],[Active Mining Strength]]&gt;0,mining_strength_bonus)) +  tech_1_6*TblTech[[#This Row],[1-6]]</f>
        <v>0</v>
      </c>
      <c r="AM88" s="156">
        <f>race_gem_bonus+ tech_3_2*TblTech[[#This Row],[3-2]] + tech_4_3*TblTech[[#This Row],[4-3]] + tech_6_2*TblTech[[#This Row],[6-2]]</f>
        <v>0</v>
      </c>
      <c r="AN88" s="142"/>
      <c r="AO88" s="94">
        <f ca="1">TblProd[[#This Row],[Food]]*food_decay * (1 + tech_2_1*TblTech[[#This Row],[2-1]] + tech_2_8*TblTech[[#This Row],[2-8]] + IF(AND(TblMagic[[#This Row],[Active DnD]]&lt;12,TblMagic[[#This Row],[Active DnD]]&gt;5),1,0))</f>
        <v>1390.27</v>
      </c>
      <c r="AP88" s="94">
        <f ca="1">(1+race_food_consumption)*TblPop[[#This Row],[Total]]*food_per_person*(1+tech_1_10*TblTech[[#This Row],[1-10]]+tech_7_5*TblTech[[#This Row],[7-5]] + IF(TblMagic[[#This Row],[Active Infernal Command]]&gt;0,demonic_pact_food_cons,0))</f>
        <v>269</v>
      </c>
      <c r="AQ88" s="94">
        <f ca="1">TblProd[[#This Row],[Lumber]]*lumber_rot * (1 + tech_2_1*TblTech[[#This Row],[2-1]] + tech_2_8*TblTech[[#This Row],[2-8]] + tech_5_2*TblTech[[#This Row],[5-2]] + IF(AND(TblMagic[[#This Row],[Active DnD]]&lt;12,TblMagic[[#This Row],[Active DnD]]&gt;5),1,0))</f>
        <v>634.57000000000005</v>
      </c>
      <c r="AR88" s="94">
        <f ca="1">TblProd[[#This Row],[Mana]]*mana_drain * (1 + tech_2_1*TblTech[[#This Row],[2-1]] + tech_2_8*TblTech[[#This Row],[2-8]])</f>
        <v>0</v>
      </c>
      <c r="AS88" s="154"/>
      <c r="AT88" s="94">
        <f ca="1">TblExplore[[#This Row],[Platinum (2)]]+TblConstr[[#This Row],[Total Plat Cost]]+TblMili[[#This Row],[Plat Cost]]+TblRezone[[#This Row],[Platinum cost]]+TblImps[[#This Row],[P1]]-TblProd[[#This Row],[Bank Plat]]</f>
        <v>0</v>
      </c>
      <c r="AU88" s="94">
        <f ca="1">TblConstr[[#This Row],[Total Lum Cost]]+TblImps[[#This Row],[L1]]-TblProd[[#This Row],[Bank Lumber]] + Military!$CO$25*TblMili[[#This Row],[Sec. rec. Cost]]</f>
        <v>0</v>
      </c>
      <c r="AV88" s="94">
        <f ca="1">TblMagic[[#This Row],[Mana cost]] + Military!$CO$26*TblMili[[#This Row],[Sec. rec. Cost]]</f>
        <v>0</v>
      </c>
      <c r="AW88" s="94">
        <f ca="1">Military!$CO$24*TblMili[[#This Row],[Sec. rec. Cost]]+TblImps[[#This Row],[O1]]-TblProd[[#This Row],[Bank Ore]]</f>
        <v>0</v>
      </c>
      <c r="AX88" s="94">
        <f>TblImps[[#This Row],[G1]]-TblProd[[#This Row],[Bank Gems]]</f>
        <v>0</v>
      </c>
      <c r="AY88" s="142"/>
      <c r="AZ88" s="61" t="b">
        <f ca="1">IF(TblProd[[#This Row],[Set Guard]]&lt;&gt;"",TblProd[[#This Row],[Set Guard]],OFFSET(TblProd[[#This Row],[Guard]],-1,0))</f>
        <v>0</v>
      </c>
      <c r="BA88" s="153"/>
      <c r="BB88" s="45">
        <f>TblProd[[#This Row],[Hour]]</f>
        <v>49</v>
      </c>
      <c r="BC88" s="158">
        <f>-TblProd[[#This Row],[Bank Lumber]] / 2 + -TblProd[[#This Row],[Bank Gems]] * 2 + -TblProd[[#This Row],[Bank Ore]] / 2</f>
        <v>0</v>
      </c>
      <c r="BD88" s="158"/>
      <c r="BE88" s="158"/>
      <c r="BF88" s="158"/>
      <c r="BG88" s="159">
        <f ca="1">TblProd[[#This Row],[Time]]</f>
        <v>46050.499999999796</v>
      </c>
      <c r="BH88" s="45" t="str">
        <f>IF(AND(TblProd[[#This Row],[Bank Plat]]=0,TblProd[[#This Row],[Bank Lumber]]=0,TblProd[[#This Row],[Bank Ore]]=0,TblProd[[#This Row],[Bank Gems]]=0),"",IF(TblProd[[#This Row],[Bank Plat]]&gt;0,IF((TblProd[[#This Row],[Bank Lumber]]+TblProd[[#This Row],[Bank Ore]])/2+TblProd[[#This Row],[Bank Gems]]*2+ROUNDUP(TblProd[[#This Row],[Bank Plat]]/(1 + tech_2_2*Techs!Y88),0)=0,"Ok","Nope"),IF(TblProd[[#This Row],[Bank Lumber]]&gt;0,IF((TblProd[[#This Row],[Bank Plat]]+TblProd[[#This Row],[Bank Ore]])/2+TblProd[[#This Row],[Bank Gems]]*2+ROUNDUP(TblProd[[#This Row],[Bank Lumber]]/(1 + tech_2_2*Techs!Y88),0)=0,"Ok","Nope"),IF(TblProd[[#This Row],[Bank Ore]]&gt;0,IF((TblProd[[#This Row],[Bank Plat]]+TblProd[[#This Row],[Bank Lumber]])/2+TblProd[[#This Row],[Bank Gems]]*2+ROUNDUP(TblProd[[#This Row],[Bank Ore]]/(1 + tech_2_2*Techs!Y88),0)=0,"Ok","Nope")))))</f>
        <v/>
      </c>
      <c r="BI88" s="94">
        <f ca="1">TblProd[[#This Row],[Platinum]]</f>
        <v>183512</v>
      </c>
      <c r="BJ88" s="94">
        <f ca="1">TblProd[[#This Row],[Food]]</f>
        <v>139027</v>
      </c>
      <c r="BK88" s="94">
        <f ca="1">TblProd[[#This Row],[Lumber]]</f>
        <v>63457</v>
      </c>
      <c r="BL88" s="94">
        <f ca="1">TblProd[[#This Row],[Mana]]</f>
        <v>0</v>
      </c>
      <c r="BM88" s="94">
        <f ca="1">TblProd[[#This Row],[Ore]]</f>
        <v>0</v>
      </c>
    </row>
    <row r="89" spans="1:65" x14ac:dyDescent="0.2">
      <c r="A89" s="137">
        <f t="shared" si="0"/>
        <v>50</v>
      </c>
      <c r="B89" s="152">
        <f ca="1">TblImps[[#This Row],[Time]]</f>
        <v>46050.541666666461</v>
      </c>
      <c r="C89" s="153"/>
      <c r="D89" s="154"/>
      <c r="E89" s="94">
        <f ca="1">TblConstr[[#This Row],[Land]]</f>
        <v>110</v>
      </c>
      <c r="F89" s="94">
        <f ca="1">TblPop[[#This Row],[Peasants]]</f>
        <v>427</v>
      </c>
      <c r="G89" s="94">
        <f ca="1">TblMili[[#This Row],[Networth (2)]]</f>
        <v>2450</v>
      </c>
      <c r="H89" s="94">
        <f ca="1">OFFSET(TblProd[[#This Row],[Platinum]],-1,0)+OFFSET(TblProd[[#This Row],[Plat/hr]],-1,0) - TblProd[[#This Row],[Expenses Platinum]] + IF(TblProd[[#This Row],[Plat Bonus]],TblPop[[#This Row],[Peasants]]*4) + SUM(TblConstr[[#This Row],[Dest Hom]:[Dest Doc]])*TblConstr[[#This Row],[CPA Platinum -DB]]*tech_3_3_2*TblTech[[#This Row],[3-3]]</f>
        <v>184675</v>
      </c>
      <c r="I89" s="94">
        <f ca="1">OFFSET(TblProd[[#This Row],[Food]],-1,0)+OFFSET(TblProd[[#This Row],[Food/hr]],-1,0)+ROUNDUP((TblConstr[[#This Row],[Farms]]*80+TblConstr[[#This Row],[Docks]]*35)*(1+OFFSET(TblProd[[#This Row],[Bonus Food/hr]],-1,0)),0)</f>
        <v>139948</v>
      </c>
      <c r="J89" s="94">
        <f ca="1">OFFSET(TblProd[[#This Row],[Lumber]],-1,0)+OFFSET(TblProd[[#This Row],[Lumber/hr]],-1,0) - TblProd[[#This Row],[Expenses Lumber]] + SUM(TblConstr[[#This Row],[Dest Hom]:[Dest Doc]])*TblConstr[[#This Row],[CPA Lumber -DB]]*tech_3_3_2*TblTech[[#This Row],[3-3]]</f>
        <v>63822</v>
      </c>
      <c r="K89" s="94">
        <f ca="1">OFFSET(TblProd[[#This Row],[Mana]],-1,0)+OFFSET(TblProd[[#This Row],[Mana/hr]],-1,0)- TblProd[[#This Row],[Expenses Mana]]</f>
        <v>0</v>
      </c>
      <c r="L89" s="94">
        <f ca="1">OFFSET(TblProd[[#This Row],[Ore]],-1,0)+OFFSET(TblProd[[#This Row],[Ore/hr]],-1,0) -TblProd[[#This Row],[Expenses Ore]]</f>
        <v>0</v>
      </c>
      <c r="M89" s="94">
        <f ca="1">OFFSET(TblProd[[#This Row],[Gems]],-1,0)+OFFSET(TblProd[[#This Row],[Gems/hr]],-1,0) - TblProd[[#This Row],[Expenses Gems]]</f>
        <v>0</v>
      </c>
      <c r="N89" s="94">
        <f ca="1">OFFSET(TblProd[[#This Row],[Boats]],-1,0)+OFFSET(TblProd[[#This Row],[Boats/hr]],-1,0)</f>
        <v>0</v>
      </c>
      <c r="O89" s="94">
        <f ca="1">OFFSET(TblProd[[#This Row],[Prestige]],-1,0)</f>
        <v>250</v>
      </c>
      <c r="P8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89" s="94">
        <f ca="1">MAX(_xlfn.CEILING.MATH(TblProd[[#This Row],[Land]]*2.5+IFERROR(OFFSET(TblTech[[#This Row],[Sum of tech]],-1,0)*50,0)),3750)</f>
        <v>3750</v>
      </c>
      <c r="R89" s="142"/>
      <c r="S89" s="94">
        <f ca="1">ROUNDDOWN(TblProd[[#This Row],[Raw Plat/hr]]*(1+TblProd[[#This Row],[Bonus Plat/hr]]),0)</f>
        <v>1152</v>
      </c>
      <c r="T89" s="94">
        <f ca="1">ROUND(TblProd[[#This Row],[Raw Food/hr]]*(1+TblProd[[#This Row],[Bonus Food/hr]])-TblProd[[#This Row],[Food decay]]-TblProd[[#This Row],[Food eaten]],0)</f>
        <v>912</v>
      </c>
      <c r="U89" s="94">
        <f ca="1">ROUND(TblProd[[#This Row],[Raw Lumber/hr]]*(1+TblProd[[#This Row],[Bonus Lumber/hr]])-TblProd[[#This Row],[Lumber rot]],0)</f>
        <v>362</v>
      </c>
      <c r="V89" s="94">
        <f ca="1">ROUND(TblProd[[#This Row],[Raw Mana/hr]]*(1+TblProd[[#This Row],[Bonus Mana/hr]])-TblProd[[#This Row],[Mana drain]],0)</f>
        <v>0</v>
      </c>
      <c r="W89" s="94">
        <f ca="1">ROUNDDOWN(TblProd[[#This Row],[Raw Ore/hr]]*(1+TblProd[[#This Row],[Bonux Ore/hr]]),0)</f>
        <v>0</v>
      </c>
      <c r="X89" s="94">
        <f ca="1">ROUNDDOWN(TblProd[[#This Row],[Raw Gems/hr]]*(1+TblProd[[#This Row],[Bonus Gems/hr]]),0)</f>
        <v>0</v>
      </c>
      <c r="Y89" s="155">
        <f ca="1">OFFSET(TblConstr[[#This Row],[Tot Doc]],1,0)*dock_boats_hr * (1 + tech_4_1*TblTech[[#This Row],[4-1]])</f>
        <v>0</v>
      </c>
      <c r="Z89" s="154"/>
      <c r="AA89" s="94">
        <f ca="1">TblPop[[#This Row],[Peasants]]*tax*TblPop[[#This Row],[Employment]] + (Construction!AZ90+Construction!BX90)*(alch_plat+(Magic!AN89&gt;0)*alchemist_flame_bonus)</f>
        <v>1152.9000000000001</v>
      </c>
      <c r="AB89" s="94">
        <f ca="1">TblConstr[[#This Row],[Tot Farm]]*farm_food + TblConstr[[#This Row],[Tot Doc]]*dock_food</f>
        <v>2400</v>
      </c>
      <c r="AC89" s="94">
        <f ca="1">TblConstr[[#This Row],[Tot Ly]]*ly_lumber + TblConstr[[#This Row],[Tot Hav]]*fh_lumber + IF(race="Wood Elf",TblMili[[#This Row],[Unit 2]]*MIN(TblMili[[#This Row],[Homeland%]]/wisp_bonus,wisp_cap),0)</f>
        <v>1000</v>
      </c>
      <c r="AD89" s="94">
        <f ca="1">OFFSET(TblConstr[[#This Row],[Tot Tow]],1,0)*(tower_mana + tech_4_5*TblTech[[#This Row],[4-5]]) + OFFSET(TblConstr[[#This Row],[Tot WG]],1,0)*wg_mana_prod</f>
        <v>0</v>
      </c>
      <c r="AE89" s="94">
        <f ca="1">OFFSET(TblConstr[[#This Row],[Tot OM]],1,0)*om_ore+IF(race="Dwarf",TblMili[[#This Row],[Unit 2]]*0.5,0)</f>
        <v>0</v>
      </c>
      <c r="AF89" s="94">
        <f ca="1">OFFSET(TblConstr[[#This Row],[Tot DM]],1,0)*dm_gems</f>
        <v>0</v>
      </c>
      <c r="AG89" s="142"/>
      <c r="AH89" s="156">
        <f ca="1">MIN(race_platinum_bonus + IF(TblMagic[[#This Row],[Active Alch Frost]]&gt;0,alch_frost_bonus,IF(Magic!AE89&gt;0,midas_bonus)) + TblImps[[#This Row],[Science]] - TblProd[[#This Row],[Guard]]*(0.02 + tech_5_7*TblTech[[#This Row],[5-7]]) + tech_1_5*TblTech[[#This Row],[1-5]] + tech_4_4*TblTech[[#This Row],[4-4]] + IF(TblMagic[[#This Row],[Active Infernal Command]]&gt;0,demonic_pact_plat,0), 0.5)</f>
        <v>0</v>
      </c>
      <c r="AI8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89" s="156">
        <f ca="1">race_lumber_bonus+ IF(TblMagic[[#This Row],[Active Gaia''s Blessing]]&gt;0,gaias_blessing_lumber)+ tech_1_3*TblTech[[#This Row],[1-3]] + tech_1_6*TblTech[[#This Row],[1-6]] + tech_3_3*TblTech[[#This Row],[3-3]]</f>
        <v>0</v>
      </c>
      <c r="AK89" s="156">
        <f ca="1">race_mana_bonus+ 0 + TblImps[[#This Row],[Spires]] + tech_1_2*TblTech[[#This Row],[1-2]] + tech_3_4*TblTech[[#This Row],[3-4]]</f>
        <v>0</v>
      </c>
      <c r="AL89" s="156">
        <f ca="1">race_ore_bonus + IF(TblMagic[[#This Row],[Active Miner''s Sight]]&gt;0,miners_sight_bonus,IF(TblMagic[[#This Row],[Active Mining Strength]]&gt;0,mining_strength_bonus)) +  tech_1_6*TblTech[[#This Row],[1-6]]</f>
        <v>0</v>
      </c>
      <c r="AM89" s="156">
        <f>race_gem_bonus+ tech_3_2*TblTech[[#This Row],[3-2]] + tech_4_3*TblTech[[#This Row],[4-3]] + tech_6_2*TblTech[[#This Row],[6-2]]</f>
        <v>0</v>
      </c>
      <c r="AN89" s="142"/>
      <c r="AO89" s="94">
        <f ca="1">TblProd[[#This Row],[Food]]*food_decay * (1 + tech_2_1*TblTech[[#This Row],[2-1]] + tech_2_8*TblTech[[#This Row],[2-8]] + IF(AND(TblMagic[[#This Row],[Active DnD]]&lt;12,TblMagic[[#This Row],[Active DnD]]&gt;5),1,0))</f>
        <v>1399.48</v>
      </c>
      <c r="AP89" s="94">
        <f ca="1">(1+race_food_consumption)*TblPop[[#This Row],[Total]]*food_per_person*(1+tech_1_10*TblTech[[#This Row],[1-10]]+tech_7_5*TblTech[[#This Row],[7-5]] + IF(TblMagic[[#This Row],[Active Infernal Command]]&gt;0,demonic_pact_food_cons,0))</f>
        <v>269</v>
      </c>
      <c r="AQ89" s="94">
        <f ca="1">TblProd[[#This Row],[Lumber]]*lumber_rot * (1 + tech_2_1*TblTech[[#This Row],[2-1]] + tech_2_8*TblTech[[#This Row],[2-8]] + tech_5_2*TblTech[[#This Row],[5-2]] + IF(AND(TblMagic[[#This Row],[Active DnD]]&lt;12,TblMagic[[#This Row],[Active DnD]]&gt;5),1,0))</f>
        <v>638.22</v>
      </c>
      <c r="AR89" s="94">
        <f ca="1">TblProd[[#This Row],[Mana]]*mana_drain * (1 + tech_2_1*TblTech[[#This Row],[2-1]] + tech_2_8*TblTech[[#This Row],[2-8]])</f>
        <v>0</v>
      </c>
      <c r="AS89" s="154"/>
      <c r="AT89" s="94">
        <f ca="1">TblExplore[[#This Row],[Platinum (2)]]+TblConstr[[#This Row],[Total Plat Cost]]+TblMili[[#This Row],[Plat Cost]]+TblRezone[[#This Row],[Platinum cost]]+TblImps[[#This Row],[P1]]-TblProd[[#This Row],[Bank Plat]]</f>
        <v>0</v>
      </c>
      <c r="AU89" s="94">
        <f ca="1">TblConstr[[#This Row],[Total Lum Cost]]+TblImps[[#This Row],[L1]]-TblProd[[#This Row],[Bank Lumber]] + Military!$CO$25*TblMili[[#This Row],[Sec. rec. Cost]]</f>
        <v>0</v>
      </c>
      <c r="AV89" s="94">
        <f ca="1">TblMagic[[#This Row],[Mana cost]] + Military!$CO$26*TblMili[[#This Row],[Sec. rec. Cost]]</f>
        <v>0</v>
      </c>
      <c r="AW89" s="94">
        <f ca="1">Military!$CO$24*TblMili[[#This Row],[Sec. rec. Cost]]+TblImps[[#This Row],[O1]]-TblProd[[#This Row],[Bank Ore]]</f>
        <v>0</v>
      </c>
      <c r="AX89" s="94">
        <f>TblImps[[#This Row],[G1]]-TblProd[[#This Row],[Bank Gems]]</f>
        <v>0</v>
      </c>
      <c r="AY89" s="142"/>
      <c r="AZ89" s="61" t="b">
        <f ca="1">IF(TblProd[[#This Row],[Set Guard]]&lt;&gt;"",TblProd[[#This Row],[Set Guard]],OFFSET(TblProd[[#This Row],[Guard]],-1,0))</f>
        <v>0</v>
      </c>
      <c r="BA89" s="153"/>
      <c r="BB89" s="45">
        <f>TblProd[[#This Row],[Hour]]</f>
        <v>50</v>
      </c>
      <c r="BC89" s="158">
        <f>-TblProd[[#This Row],[Bank Lumber]] / 2 + -TblProd[[#This Row],[Bank Gems]] * 2 + -TblProd[[#This Row],[Bank Ore]] / 2</f>
        <v>0</v>
      </c>
      <c r="BD89" s="158"/>
      <c r="BE89" s="158"/>
      <c r="BF89" s="158"/>
      <c r="BG89" s="159">
        <f ca="1">TblProd[[#This Row],[Time]]</f>
        <v>46050.541666666461</v>
      </c>
      <c r="BH89" s="45" t="str">
        <f>IF(AND(TblProd[[#This Row],[Bank Plat]]=0,TblProd[[#This Row],[Bank Lumber]]=0,TblProd[[#This Row],[Bank Ore]]=0,TblProd[[#This Row],[Bank Gems]]=0),"",IF(TblProd[[#This Row],[Bank Plat]]&gt;0,IF((TblProd[[#This Row],[Bank Lumber]]+TblProd[[#This Row],[Bank Ore]])/2+TblProd[[#This Row],[Bank Gems]]*2+ROUNDUP(TblProd[[#This Row],[Bank Plat]]/(1 + tech_2_2*Techs!Y89),0)=0,"Ok","Nope"),IF(TblProd[[#This Row],[Bank Lumber]]&gt;0,IF((TblProd[[#This Row],[Bank Plat]]+TblProd[[#This Row],[Bank Ore]])/2+TblProd[[#This Row],[Bank Gems]]*2+ROUNDUP(TblProd[[#This Row],[Bank Lumber]]/(1 + tech_2_2*Techs!Y89),0)=0,"Ok","Nope"),IF(TblProd[[#This Row],[Bank Ore]]&gt;0,IF((TblProd[[#This Row],[Bank Plat]]+TblProd[[#This Row],[Bank Lumber]])/2+TblProd[[#This Row],[Bank Gems]]*2+ROUNDUP(TblProd[[#This Row],[Bank Ore]]/(1 + tech_2_2*Techs!Y89),0)=0,"Ok","Nope")))))</f>
        <v/>
      </c>
      <c r="BI89" s="94">
        <f ca="1">TblProd[[#This Row],[Platinum]]</f>
        <v>184675</v>
      </c>
      <c r="BJ89" s="94">
        <f ca="1">TblProd[[#This Row],[Food]]</f>
        <v>139948</v>
      </c>
      <c r="BK89" s="94">
        <f ca="1">TblProd[[#This Row],[Lumber]]</f>
        <v>63822</v>
      </c>
      <c r="BL89" s="94">
        <f ca="1">TblProd[[#This Row],[Mana]]</f>
        <v>0</v>
      </c>
      <c r="BM89" s="94">
        <f ca="1">TblProd[[#This Row],[Ore]]</f>
        <v>0</v>
      </c>
    </row>
    <row r="90" spans="1:65" x14ac:dyDescent="0.2">
      <c r="A90" s="137">
        <f t="shared" si="0"/>
        <v>51</v>
      </c>
      <c r="B90" s="152">
        <f ca="1">TblImps[[#This Row],[Time]]</f>
        <v>46050.583333333125</v>
      </c>
      <c r="C90" s="153"/>
      <c r="D90" s="154"/>
      <c r="E90" s="94">
        <f ca="1">TblConstr[[#This Row],[Land]]</f>
        <v>110</v>
      </c>
      <c r="F90" s="94">
        <f ca="1">TblPop[[#This Row],[Peasants]]</f>
        <v>423</v>
      </c>
      <c r="G90" s="94">
        <f ca="1">TblMili[[#This Row],[Networth (2)]]</f>
        <v>2450</v>
      </c>
      <c r="H90" s="94">
        <f ca="1">OFFSET(TblProd[[#This Row],[Platinum]],-1,0)+OFFSET(TblProd[[#This Row],[Plat/hr]],-1,0) - TblProd[[#This Row],[Expenses Platinum]] + IF(TblProd[[#This Row],[Plat Bonus]],TblPop[[#This Row],[Peasants]]*4) + SUM(TblConstr[[#This Row],[Dest Hom]:[Dest Doc]])*TblConstr[[#This Row],[CPA Platinum -DB]]*tech_3_3_2*TblTech[[#This Row],[3-3]]</f>
        <v>185827</v>
      </c>
      <c r="I90" s="94">
        <f ca="1">OFFSET(TblProd[[#This Row],[Food]],-1,0)+OFFSET(TblProd[[#This Row],[Food/hr]],-1,0)+ROUNDUP((TblConstr[[#This Row],[Farms]]*80+TblConstr[[#This Row],[Docks]]*35)*(1+OFFSET(TblProd[[#This Row],[Bonus Food/hr]],-1,0)),0)</f>
        <v>140860</v>
      </c>
      <c r="J90" s="94">
        <f ca="1">OFFSET(TblProd[[#This Row],[Lumber]],-1,0)+OFFSET(TblProd[[#This Row],[Lumber/hr]],-1,0) - TblProd[[#This Row],[Expenses Lumber]] + SUM(TblConstr[[#This Row],[Dest Hom]:[Dest Doc]])*TblConstr[[#This Row],[CPA Lumber -DB]]*tech_3_3_2*TblTech[[#This Row],[3-3]]</f>
        <v>64184</v>
      </c>
      <c r="K90" s="94">
        <f ca="1">OFFSET(TblProd[[#This Row],[Mana]],-1,0)+OFFSET(TblProd[[#This Row],[Mana/hr]],-1,0)- TblProd[[#This Row],[Expenses Mana]]</f>
        <v>0</v>
      </c>
      <c r="L90" s="94">
        <f ca="1">OFFSET(TblProd[[#This Row],[Ore]],-1,0)+OFFSET(TblProd[[#This Row],[Ore/hr]],-1,0) -TblProd[[#This Row],[Expenses Ore]]</f>
        <v>0</v>
      </c>
      <c r="M90" s="94">
        <f ca="1">OFFSET(TblProd[[#This Row],[Gems]],-1,0)+OFFSET(TblProd[[#This Row],[Gems/hr]],-1,0) - TblProd[[#This Row],[Expenses Gems]]</f>
        <v>0</v>
      </c>
      <c r="N90" s="94">
        <f ca="1">OFFSET(TblProd[[#This Row],[Boats]],-1,0)+OFFSET(TblProd[[#This Row],[Boats/hr]],-1,0)</f>
        <v>0</v>
      </c>
      <c r="O90" s="94">
        <f ca="1">OFFSET(TblProd[[#This Row],[Prestige]],-1,0)</f>
        <v>250</v>
      </c>
      <c r="P9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0" s="94">
        <f ca="1">MAX(_xlfn.CEILING.MATH(TblProd[[#This Row],[Land]]*2.5+IFERROR(OFFSET(TblTech[[#This Row],[Sum of tech]],-1,0)*50,0)),3750)</f>
        <v>3750</v>
      </c>
      <c r="R90" s="142"/>
      <c r="S90" s="94">
        <f ca="1">ROUNDDOWN(TblProd[[#This Row],[Raw Plat/hr]]*(1+TblProd[[#This Row],[Bonus Plat/hr]]),0)</f>
        <v>1142</v>
      </c>
      <c r="T90" s="94">
        <f ca="1">ROUND(TblProd[[#This Row],[Raw Food/hr]]*(1+TblProd[[#This Row],[Bonus Food/hr]])-TblProd[[#This Row],[Food decay]]-TblProd[[#This Row],[Food eaten]],0)</f>
        <v>902</v>
      </c>
      <c r="U90" s="94">
        <f ca="1">ROUND(TblProd[[#This Row],[Raw Lumber/hr]]*(1+TblProd[[#This Row],[Bonus Lumber/hr]])-TblProd[[#This Row],[Lumber rot]],0)</f>
        <v>358</v>
      </c>
      <c r="V90" s="94">
        <f ca="1">ROUND(TblProd[[#This Row],[Raw Mana/hr]]*(1+TblProd[[#This Row],[Bonus Mana/hr]])-TblProd[[#This Row],[Mana drain]],0)</f>
        <v>0</v>
      </c>
      <c r="W90" s="94">
        <f ca="1">ROUNDDOWN(TblProd[[#This Row],[Raw Ore/hr]]*(1+TblProd[[#This Row],[Bonux Ore/hr]]),0)</f>
        <v>0</v>
      </c>
      <c r="X90" s="94">
        <f ca="1">ROUNDDOWN(TblProd[[#This Row],[Raw Gems/hr]]*(1+TblProd[[#This Row],[Bonus Gems/hr]]),0)</f>
        <v>0</v>
      </c>
      <c r="Y90" s="155">
        <f ca="1">OFFSET(TblConstr[[#This Row],[Tot Doc]],1,0)*dock_boats_hr * (1 + tech_4_1*TblTech[[#This Row],[4-1]])</f>
        <v>0</v>
      </c>
      <c r="Z90" s="154"/>
      <c r="AA90" s="94">
        <f ca="1">TblPop[[#This Row],[Peasants]]*tax*TblPop[[#This Row],[Employment]] + (Construction!AZ91+Construction!BX91)*(alch_plat+(Magic!AN90&gt;0)*alchemist_flame_bonus)</f>
        <v>1142.1000000000001</v>
      </c>
      <c r="AB90" s="94">
        <f ca="1">TblConstr[[#This Row],[Tot Farm]]*farm_food + TblConstr[[#This Row],[Tot Doc]]*dock_food</f>
        <v>2400</v>
      </c>
      <c r="AC90" s="94">
        <f ca="1">TblConstr[[#This Row],[Tot Ly]]*ly_lumber + TblConstr[[#This Row],[Tot Hav]]*fh_lumber + IF(race="Wood Elf",TblMili[[#This Row],[Unit 2]]*MIN(TblMili[[#This Row],[Homeland%]]/wisp_bonus,wisp_cap),0)</f>
        <v>1000</v>
      </c>
      <c r="AD90" s="94">
        <f ca="1">OFFSET(TblConstr[[#This Row],[Tot Tow]],1,0)*(tower_mana + tech_4_5*TblTech[[#This Row],[4-5]]) + OFFSET(TblConstr[[#This Row],[Tot WG]],1,0)*wg_mana_prod</f>
        <v>0</v>
      </c>
      <c r="AE90" s="94">
        <f ca="1">OFFSET(TblConstr[[#This Row],[Tot OM]],1,0)*om_ore+IF(race="Dwarf",TblMili[[#This Row],[Unit 2]]*0.5,0)</f>
        <v>0</v>
      </c>
      <c r="AF90" s="94">
        <f ca="1">OFFSET(TblConstr[[#This Row],[Tot DM]],1,0)*dm_gems</f>
        <v>0</v>
      </c>
      <c r="AG90" s="142"/>
      <c r="AH90" s="156">
        <f ca="1">MIN(race_platinum_bonus + IF(TblMagic[[#This Row],[Active Alch Frost]]&gt;0,alch_frost_bonus,IF(Magic!AE90&gt;0,midas_bonus)) + TblImps[[#This Row],[Science]] - TblProd[[#This Row],[Guard]]*(0.02 + tech_5_7*TblTech[[#This Row],[5-7]]) + tech_1_5*TblTech[[#This Row],[1-5]] + tech_4_4*TblTech[[#This Row],[4-4]] + IF(TblMagic[[#This Row],[Active Infernal Command]]&gt;0,demonic_pact_plat,0), 0.5)</f>
        <v>0</v>
      </c>
      <c r="AI9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0" s="156">
        <f ca="1">race_lumber_bonus+ IF(TblMagic[[#This Row],[Active Gaia''s Blessing]]&gt;0,gaias_blessing_lumber)+ tech_1_3*TblTech[[#This Row],[1-3]] + tech_1_6*TblTech[[#This Row],[1-6]] + tech_3_3*TblTech[[#This Row],[3-3]]</f>
        <v>0</v>
      </c>
      <c r="AK90" s="156">
        <f ca="1">race_mana_bonus+ 0 + TblImps[[#This Row],[Spires]] + tech_1_2*TblTech[[#This Row],[1-2]] + tech_3_4*TblTech[[#This Row],[3-4]]</f>
        <v>0</v>
      </c>
      <c r="AL90" s="156">
        <f ca="1">race_ore_bonus + IF(TblMagic[[#This Row],[Active Miner''s Sight]]&gt;0,miners_sight_bonus,IF(TblMagic[[#This Row],[Active Mining Strength]]&gt;0,mining_strength_bonus)) +  tech_1_6*TblTech[[#This Row],[1-6]]</f>
        <v>0</v>
      </c>
      <c r="AM90" s="156">
        <f>race_gem_bonus+ tech_3_2*TblTech[[#This Row],[3-2]] + tech_4_3*TblTech[[#This Row],[4-3]] + tech_6_2*TblTech[[#This Row],[6-2]]</f>
        <v>0</v>
      </c>
      <c r="AN90" s="142"/>
      <c r="AO90" s="94">
        <f ca="1">TblProd[[#This Row],[Food]]*food_decay * (1 + tech_2_1*TblTech[[#This Row],[2-1]] + tech_2_8*TblTech[[#This Row],[2-8]] + IF(AND(TblMagic[[#This Row],[Active DnD]]&lt;12,TblMagic[[#This Row],[Active DnD]]&gt;5),1,0))</f>
        <v>1408.6000000000001</v>
      </c>
      <c r="AP90" s="94">
        <f ca="1">(1+race_food_consumption)*TblPop[[#This Row],[Total]]*food_per_person*(1+tech_1_10*TblTech[[#This Row],[1-10]]+tech_7_5*TblTech[[#This Row],[7-5]] + IF(TblMagic[[#This Row],[Active Infernal Command]]&gt;0,demonic_pact_food_cons,0))</f>
        <v>269</v>
      </c>
      <c r="AQ90" s="94">
        <f ca="1">TblProd[[#This Row],[Lumber]]*lumber_rot * (1 + tech_2_1*TblTech[[#This Row],[2-1]] + tech_2_8*TblTech[[#This Row],[2-8]] + tech_5_2*TblTech[[#This Row],[5-2]] + IF(AND(TblMagic[[#This Row],[Active DnD]]&lt;12,TblMagic[[#This Row],[Active DnD]]&gt;5),1,0))</f>
        <v>641.84</v>
      </c>
      <c r="AR90" s="94">
        <f ca="1">TblProd[[#This Row],[Mana]]*mana_drain * (1 + tech_2_1*TblTech[[#This Row],[2-1]] + tech_2_8*TblTech[[#This Row],[2-8]])</f>
        <v>0</v>
      </c>
      <c r="AS90" s="154"/>
      <c r="AT90" s="94">
        <f ca="1">TblExplore[[#This Row],[Platinum (2)]]+TblConstr[[#This Row],[Total Plat Cost]]+TblMili[[#This Row],[Plat Cost]]+TblRezone[[#This Row],[Platinum cost]]+TblImps[[#This Row],[P1]]-TblProd[[#This Row],[Bank Plat]]</f>
        <v>0</v>
      </c>
      <c r="AU90" s="94">
        <f ca="1">TblConstr[[#This Row],[Total Lum Cost]]+TblImps[[#This Row],[L1]]-TblProd[[#This Row],[Bank Lumber]] + Military!$CO$25*TblMili[[#This Row],[Sec. rec. Cost]]</f>
        <v>0</v>
      </c>
      <c r="AV90" s="94">
        <f ca="1">TblMagic[[#This Row],[Mana cost]] + Military!$CO$26*TblMili[[#This Row],[Sec. rec. Cost]]</f>
        <v>0</v>
      </c>
      <c r="AW90" s="94">
        <f ca="1">Military!$CO$24*TblMili[[#This Row],[Sec. rec. Cost]]+TblImps[[#This Row],[O1]]-TblProd[[#This Row],[Bank Ore]]</f>
        <v>0</v>
      </c>
      <c r="AX90" s="94">
        <f>TblImps[[#This Row],[G1]]-TblProd[[#This Row],[Bank Gems]]</f>
        <v>0</v>
      </c>
      <c r="AY90" s="142"/>
      <c r="AZ90" s="61" t="b">
        <f ca="1">IF(TblProd[[#This Row],[Set Guard]]&lt;&gt;"",TblProd[[#This Row],[Set Guard]],OFFSET(TblProd[[#This Row],[Guard]],-1,0))</f>
        <v>0</v>
      </c>
      <c r="BA90" s="153"/>
      <c r="BB90" s="45">
        <f>TblProd[[#This Row],[Hour]]</f>
        <v>51</v>
      </c>
      <c r="BC90" s="158">
        <f>-TblProd[[#This Row],[Bank Lumber]] / 2 + -TblProd[[#This Row],[Bank Gems]] * 2 + -TblProd[[#This Row],[Bank Ore]] / 2</f>
        <v>0</v>
      </c>
      <c r="BD90" s="158"/>
      <c r="BE90" s="158"/>
      <c r="BF90" s="158"/>
      <c r="BG90" s="159">
        <f ca="1">TblProd[[#This Row],[Time]]</f>
        <v>46050.583333333125</v>
      </c>
      <c r="BH90" s="45" t="str">
        <f>IF(AND(TblProd[[#This Row],[Bank Plat]]=0,TblProd[[#This Row],[Bank Lumber]]=0,TblProd[[#This Row],[Bank Ore]]=0,TblProd[[#This Row],[Bank Gems]]=0),"",IF(TblProd[[#This Row],[Bank Plat]]&gt;0,IF((TblProd[[#This Row],[Bank Lumber]]+TblProd[[#This Row],[Bank Ore]])/2+TblProd[[#This Row],[Bank Gems]]*2+ROUNDUP(TblProd[[#This Row],[Bank Plat]]/(1 + tech_2_2*Techs!Y90),0)=0,"Ok","Nope"),IF(TblProd[[#This Row],[Bank Lumber]]&gt;0,IF((TblProd[[#This Row],[Bank Plat]]+TblProd[[#This Row],[Bank Ore]])/2+TblProd[[#This Row],[Bank Gems]]*2+ROUNDUP(TblProd[[#This Row],[Bank Lumber]]/(1 + tech_2_2*Techs!Y90),0)=0,"Ok","Nope"),IF(TblProd[[#This Row],[Bank Ore]]&gt;0,IF((TblProd[[#This Row],[Bank Plat]]+TblProd[[#This Row],[Bank Lumber]])/2+TblProd[[#This Row],[Bank Gems]]*2+ROUNDUP(TblProd[[#This Row],[Bank Ore]]/(1 + tech_2_2*Techs!Y90),0)=0,"Ok","Nope")))))</f>
        <v/>
      </c>
      <c r="BI90" s="94">
        <f ca="1">TblProd[[#This Row],[Platinum]]</f>
        <v>185827</v>
      </c>
      <c r="BJ90" s="94">
        <f ca="1">TblProd[[#This Row],[Food]]</f>
        <v>140860</v>
      </c>
      <c r="BK90" s="94">
        <f ca="1">TblProd[[#This Row],[Lumber]]</f>
        <v>64184</v>
      </c>
      <c r="BL90" s="94">
        <f ca="1">TblProd[[#This Row],[Mana]]</f>
        <v>0</v>
      </c>
      <c r="BM90" s="94">
        <f ca="1">TblProd[[#This Row],[Ore]]</f>
        <v>0</v>
      </c>
    </row>
    <row r="91" spans="1:65" x14ac:dyDescent="0.2">
      <c r="A91" s="137">
        <f t="shared" si="0"/>
        <v>52</v>
      </c>
      <c r="B91" s="152">
        <f ca="1">TblImps[[#This Row],[Time]]</f>
        <v>46050.624999999789</v>
      </c>
      <c r="C91" s="153"/>
      <c r="D91" s="154"/>
      <c r="E91" s="94">
        <f ca="1">TblConstr[[#This Row],[Land]]</f>
        <v>110</v>
      </c>
      <c r="F91" s="94">
        <f ca="1">TblPop[[#This Row],[Peasants]]</f>
        <v>419</v>
      </c>
      <c r="G91" s="94">
        <f ca="1">TblMili[[#This Row],[Networth (2)]]</f>
        <v>2450</v>
      </c>
      <c r="H91" s="94">
        <f ca="1">OFFSET(TblProd[[#This Row],[Platinum]],-1,0)+OFFSET(TblProd[[#This Row],[Plat/hr]],-1,0) - TblProd[[#This Row],[Expenses Platinum]] + IF(TblProd[[#This Row],[Plat Bonus]],TblPop[[#This Row],[Peasants]]*4) + SUM(TblConstr[[#This Row],[Dest Hom]:[Dest Doc]])*TblConstr[[#This Row],[CPA Platinum -DB]]*tech_3_3_2*TblTech[[#This Row],[3-3]]</f>
        <v>186969</v>
      </c>
      <c r="I91" s="94">
        <f ca="1">OFFSET(TblProd[[#This Row],[Food]],-1,0)+OFFSET(TblProd[[#This Row],[Food/hr]],-1,0)+ROUNDUP((TblConstr[[#This Row],[Farms]]*80+TblConstr[[#This Row],[Docks]]*35)*(1+OFFSET(TblProd[[#This Row],[Bonus Food/hr]],-1,0)),0)</f>
        <v>141762</v>
      </c>
      <c r="J91" s="94">
        <f ca="1">OFFSET(TblProd[[#This Row],[Lumber]],-1,0)+OFFSET(TblProd[[#This Row],[Lumber/hr]],-1,0) - TblProd[[#This Row],[Expenses Lumber]] + SUM(TblConstr[[#This Row],[Dest Hom]:[Dest Doc]])*TblConstr[[#This Row],[CPA Lumber -DB]]*tech_3_3_2*TblTech[[#This Row],[3-3]]</f>
        <v>64542</v>
      </c>
      <c r="K91" s="94">
        <f ca="1">OFFSET(TblProd[[#This Row],[Mana]],-1,0)+OFFSET(TblProd[[#This Row],[Mana/hr]],-1,0)- TblProd[[#This Row],[Expenses Mana]]</f>
        <v>0</v>
      </c>
      <c r="L91" s="94">
        <f ca="1">OFFSET(TblProd[[#This Row],[Ore]],-1,0)+OFFSET(TblProd[[#This Row],[Ore/hr]],-1,0) -TblProd[[#This Row],[Expenses Ore]]</f>
        <v>0</v>
      </c>
      <c r="M91" s="94">
        <f ca="1">OFFSET(TblProd[[#This Row],[Gems]],-1,0)+OFFSET(TblProd[[#This Row],[Gems/hr]],-1,0) - TblProd[[#This Row],[Expenses Gems]]</f>
        <v>0</v>
      </c>
      <c r="N91" s="94">
        <f ca="1">OFFSET(TblProd[[#This Row],[Boats]],-1,0)+OFFSET(TblProd[[#This Row],[Boats/hr]],-1,0)</f>
        <v>0</v>
      </c>
      <c r="O91" s="94">
        <f ca="1">OFFSET(TblProd[[#This Row],[Prestige]],-1,0)</f>
        <v>250</v>
      </c>
      <c r="P9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1" s="94">
        <f ca="1">MAX(_xlfn.CEILING.MATH(TblProd[[#This Row],[Land]]*2.5+IFERROR(OFFSET(TblTech[[#This Row],[Sum of tech]],-1,0)*50,0)),3750)</f>
        <v>3750</v>
      </c>
      <c r="R91" s="142"/>
      <c r="S91" s="94">
        <f ca="1">ROUNDDOWN(TblProd[[#This Row],[Raw Plat/hr]]*(1+TblProd[[#This Row],[Bonus Plat/hr]]),0)</f>
        <v>1131</v>
      </c>
      <c r="T91" s="94">
        <f ca="1">ROUND(TblProd[[#This Row],[Raw Food/hr]]*(1+TblProd[[#This Row],[Bonus Food/hr]])-TblProd[[#This Row],[Food decay]]-TblProd[[#This Row],[Food eaten]],0)</f>
        <v>893</v>
      </c>
      <c r="U91" s="94">
        <f ca="1">ROUND(TblProd[[#This Row],[Raw Lumber/hr]]*(1+TblProd[[#This Row],[Bonus Lumber/hr]])-TblProd[[#This Row],[Lumber rot]],0)</f>
        <v>355</v>
      </c>
      <c r="V91" s="94">
        <f ca="1">ROUND(TblProd[[#This Row],[Raw Mana/hr]]*(1+TblProd[[#This Row],[Bonus Mana/hr]])-TblProd[[#This Row],[Mana drain]],0)</f>
        <v>0</v>
      </c>
      <c r="W91" s="94">
        <f ca="1">ROUNDDOWN(TblProd[[#This Row],[Raw Ore/hr]]*(1+TblProd[[#This Row],[Bonux Ore/hr]]),0)</f>
        <v>0</v>
      </c>
      <c r="X91" s="94">
        <f ca="1">ROUNDDOWN(TblProd[[#This Row],[Raw Gems/hr]]*(1+TblProd[[#This Row],[Bonus Gems/hr]]),0)</f>
        <v>0</v>
      </c>
      <c r="Y91" s="155">
        <f ca="1">OFFSET(TblConstr[[#This Row],[Tot Doc]],1,0)*dock_boats_hr * (1 + tech_4_1*TblTech[[#This Row],[4-1]])</f>
        <v>0</v>
      </c>
      <c r="Z91" s="154"/>
      <c r="AA91" s="94">
        <f ca="1">TblPop[[#This Row],[Peasants]]*tax*TblPop[[#This Row],[Employment]] + (Construction!AZ92+Construction!BX92)*(alch_plat+(Magic!AN91&gt;0)*alchemist_flame_bonus)</f>
        <v>1131.3000000000002</v>
      </c>
      <c r="AB91" s="94">
        <f ca="1">TblConstr[[#This Row],[Tot Farm]]*farm_food + TblConstr[[#This Row],[Tot Doc]]*dock_food</f>
        <v>2400</v>
      </c>
      <c r="AC91" s="94">
        <f ca="1">TblConstr[[#This Row],[Tot Ly]]*ly_lumber + TblConstr[[#This Row],[Tot Hav]]*fh_lumber + IF(race="Wood Elf",TblMili[[#This Row],[Unit 2]]*MIN(TblMili[[#This Row],[Homeland%]]/wisp_bonus,wisp_cap),0)</f>
        <v>1000</v>
      </c>
      <c r="AD91" s="94">
        <f ca="1">OFFSET(TblConstr[[#This Row],[Tot Tow]],1,0)*(tower_mana + tech_4_5*TblTech[[#This Row],[4-5]]) + OFFSET(TblConstr[[#This Row],[Tot WG]],1,0)*wg_mana_prod</f>
        <v>0</v>
      </c>
      <c r="AE91" s="94">
        <f ca="1">OFFSET(TblConstr[[#This Row],[Tot OM]],1,0)*om_ore+IF(race="Dwarf",TblMili[[#This Row],[Unit 2]]*0.5,0)</f>
        <v>0</v>
      </c>
      <c r="AF91" s="94">
        <f ca="1">OFFSET(TblConstr[[#This Row],[Tot DM]],1,0)*dm_gems</f>
        <v>0</v>
      </c>
      <c r="AG91" s="142"/>
      <c r="AH91" s="156">
        <f ca="1">MIN(race_platinum_bonus + IF(TblMagic[[#This Row],[Active Alch Frost]]&gt;0,alch_frost_bonus,IF(Magic!AE91&gt;0,midas_bonus)) + TblImps[[#This Row],[Science]] - TblProd[[#This Row],[Guard]]*(0.02 + tech_5_7*TblTech[[#This Row],[5-7]]) + tech_1_5*TblTech[[#This Row],[1-5]] + tech_4_4*TblTech[[#This Row],[4-4]] + IF(TblMagic[[#This Row],[Active Infernal Command]]&gt;0,demonic_pact_plat,0), 0.5)</f>
        <v>0</v>
      </c>
      <c r="AI9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1" s="156">
        <f ca="1">race_lumber_bonus+ IF(TblMagic[[#This Row],[Active Gaia''s Blessing]]&gt;0,gaias_blessing_lumber)+ tech_1_3*TblTech[[#This Row],[1-3]] + tech_1_6*TblTech[[#This Row],[1-6]] + tech_3_3*TblTech[[#This Row],[3-3]]</f>
        <v>0</v>
      </c>
      <c r="AK91" s="156">
        <f ca="1">race_mana_bonus+ 0 + TblImps[[#This Row],[Spires]] + tech_1_2*TblTech[[#This Row],[1-2]] + tech_3_4*TblTech[[#This Row],[3-4]]</f>
        <v>0</v>
      </c>
      <c r="AL91" s="156">
        <f ca="1">race_ore_bonus + IF(TblMagic[[#This Row],[Active Miner''s Sight]]&gt;0,miners_sight_bonus,IF(TblMagic[[#This Row],[Active Mining Strength]]&gt;0,mining_strength_bonus)) +  tech_1_6*TblTech[[#This Row],[1-6]]</f>
        <v>0</v>
      </c>
      <c r="AM91" s="156">
        <f>race_gem_bonus+ tech_3_2*TblTech[[#This Row],[3-2]] + tech_4_3*TblTech[[#This Row],[4-3]] + tech_6_2*TblTech[[#This Row],[6-2]]</f>
        <v>0</v>
      </c>
      <c r="AN91" s="142"/>
      <c r="AO91" s="94">
        <f ca="1">TblProd[[#This Row],[Food]]*food_decay * (1 + tech_2_1*TblTech[[#This Row],[2-1]] + tech_2_8*TblTech[[#This Row],[2-8]] + IF(AND(TblMagic[[#This Row],[Active DnD]]&lt;12,TblMagic[[#This Row],[Active DnD]]&gt;5),1,0))</f>
        <v>1417.6200000000001</v>
      </c>
      <c r="AP91" s="94">
        <f ca="1">(1+race_food_consumption)*TblPop[[#This Row],[Total]]*food_per_person*(1+tech_1_10*TblTech[[#This Row],[1-10]]+tech_7_5*TblTech[[#This Row],[7-5]] + IF(TblMagic[[#This Row],[Active Infernal Command]]&gt;0,demonic_pact_food_cons,0))</f>
        <v>269</v>
      </c>
      <c r="AQ91" s="94">
        <f ca="1">TblProd[[#This Row],[Lumber]]*lumber_rot * (1 + tech_2_1*TblTech[[#This Row],[2-1]] + tech_2_8*TblTech[[#This Row],[2-8]] + tech_5_2*TblTech[[#This Row],[5-2]] + IF(AND(TblMagic[[#This Row],[Active DnD]]&lt;12,TblMagic[[#This Row],[Active DnD]]&gt;5),1,0))</f>
        <v>645.41999999999996</v>
      </c>
      <c r="AR91" s="94">
        <f ca="1">TblProd[[#This Row],[Mana]]*mana_drain * (1 + tech_2_1*TblTech[[#This Row],[2-1]] + tech_2_8*TblTech[[#This Row],[2-8]])</f>
        <v>0</v>
      </c>
      <c r="AS91" s="154"/>
      <c r="AT91" s="94">
        <f ca="1">TblExplore[[#This Row],[Platinum (2)]]+TblConstr[[#This Row],[Total Plat Cost]]+TblMili[[#This Row],[Plat Cost]]+TblRezone[[#This Row],[Platinum cost]]+TblImps[[#This Row],[P1]]-TblProd[[#This Row],[Bank Plat]]</f>
        <v>0</v>
      </c>
      <c r="AU91" s="94">
        <f ca="1">TblConstr[[#This Row],[Total Lum Cost]]+TblImps[[#This Row],[L1]]-TblProd[[#This Row],[Bank Lumber]] + Military!$CO$25*TblMili[[#This Row],[Sec. rec. Cost]]</f>
        <v>0</v>
      </c>
      <c r="AV91" s="94">
        <f ca="1">TblMagic[[#This Row],[Mana cost]] + Military!$CO$26*TblMili[[#This Row],[Sec. rec. Cost]]</f>
        <v>0</v>
      </c>
      <c r="AW91" s="94">
        <f ca="1">Military!$CO$24*TblMili[[#This Row],[Sec. rec. Cost]]+TblImps[[#This Row],[O1]]-TblProd[[#This Row],[Bank Ore]]</f>
        <v>0</v>
      </c>
      <c r="AX91" s="94">
        <f>TblImps[[#This Row],[G1]]-TblProd[[#This Row],[Bank Gems]]</f>
        <v>0</v>
      </c>
      <c r="AY91" s="142"/>
      <c r="AZ91" s="61" t="b">
        <f ca="1">IF(TblProd[[#This Row],[Set Guard]]&lt;&gt;"",TblProd[[#This Row],[Set Guard]],OFFSET(TblProd[[#This Row],[Guard]],-1,0))</f>
        <v>0</v>
      </c>
      <c r="BA91" s="153"/>
      <c r="BB91" s="45">
        <f>TblProd[[#This Row],[Hour]]</f>
        <v>52</v>
      </c>
      <c r="BC91" s="158">
        <f>-TblProd[[#This Row],[Bank Lumber]] / 2 + -TblProd[[#This Row],[Bank Gems]] * 2 + -TblProd[[#This Row],[Bank Ore]] / 2</f>
        <v>0</v>
      </c>
      <c r="BD91" s="158"/>
      <c r="BE91" s="158"/>
      <c r="BF91" s="158"/>
      <c r="BG91" s="159">
        <f ca="1">TblProd[[#This Row],[Time]]</f>
        <v>46050.624999999789</v>
      </c>
      <c r="BH91" s="45" t="str">
        <f>IF(AND(TblProd[[#This Row],[Bank Plat]]=0,TblProd[[#This Row],[Bank Lumber]]=0,TblProd[[#This Row],[Bank Ore]]=0,TblProd[[#This Row],[Bank Gems]]=0),"",IF(TblProd[[#This Row],[Bank Plat]]&gt;0,IF((TblProd[[#This Row],[Bank Lumber]]+TblProd[[#This Row],[Bank Ore]])/2+TblProd[[#This Row],[Bank Gems]]*2+ROUNDUP(TblProd[[#This Row],[Bank Plat]]/(1 + tech_2_2*Techs!Y91),0)=0,"Ok","Nope"),IF(TblProd[[#This Row],[Bank Lumber]]&gt;0,IF((TblProd[[#This Row],[Bank Plat]]+TblProd[[#This Row],[Bank Ore]])/2+TblProd[[#This Row],[Bank Gems]]*2+ROUNDUP(TblProd[[#This Row],[Bank Lumber]]/(1 + tech_2_2*Techs!Y91),0)=0,"Ok","Nope"),IF(TblProd[[#This Row],[Bank Ore]]&gt;0,IF((TblProd[[#This Row],[Bank Plat]]+TblProd[[#This Row],[Bank Lumber]])/2+TblProd[[#This Row],[Bank Gems]]*2+ROUNDUP(TblProd[[#This Row],[Bank Ore]]/(1 + tech_2_2*Techs!Y91),0)=0,"Ok","Nope")))))</f>
        <v/>
      </c>
      <c r="BI91" s="94">
        <f ca="1">TblProd[[#This Row],[Platinum]]</f>
        <v>186969</v>
      </c>
      <c r="BJ91" s="94">
        <f ca="1">TblProd[[#This Row],[Food]]</f>
        <v>141762</v>
      </c>
      <c r="BK91" s="94">
        <f ca="1">TblProd[[#This Row],[Lumber]]</f>
        <v>64542</v>
      </c>
      <c r="BL91" s="94">
        <f ca="1">TblProd[[#This Row],[Mana]]</f>
        <v>0</v>
      </c>
      <c r="BM91" s="94">
        <f ca="1">TblProd[[#This Row],[Ore]]</f>
        <v>0</v>
      </c>
    </row>
    <row r="92" spans="1:65" x14ac:dyDescent="0.2">
      <c r="A92" s="137">
        <f t="shared" si="0"/>
        <v>53</v>
      </c>
      <c r="B92" s="152">
        <f ca="1">TblImps[[#This Row],[Time]]</f>
        <v>46050.666666666453</v>
      </c>
      <c r="C92" s="153"/>
      <c r="D92" s="154"/>
      <c r="E92" s="94">
        <f ca="1">TblConstr[[#This Row],[Land]]</f>
        <v>110</v>
      </c>
      <c r="F92" s="94">
        <f ca="1">TblPop[[#This Row],[Peasants]]</f>
        <v>415</v>
      </c>
      <c r="G92" s="94">
        <f ca="1">TblMili[[#This Row],[Networth (2)]]</f>
        <v>2450</v>
      </c>
      <c r="H92" s="94">
        <f ca="1">OFFSET(TblProd[[#This Row],[Platinum]],-1,0)+OFFSET(TblProd[[#This Row],[Plat/hr]],-1,0) - TblProd[[#This Row],[Expenses Platinum]] + IF(TblProd[[#This Row],[Plat Bonus]],TblPop[[#This Row],[Peasants]]*4) + SUM(TblConstr[[#This Row],[Dest Hom]:[Dest Doc]])*TblConstr[[#This Row],[CPA Platinum -DB]]*tech_3_3_2*TblTech[[#This Row],[3-3]]</f>
        <v>188100</v>
      </c>
      <c r="I92" s="94">
        <f ca="1">OFFSET(TblProd[[#This Row],[Food]],-1,0)+OFFSET(TblProd[[#This Row],[Food/hr]],-1,0)+ROUNDUP((TblConstr[[#This Row],[Farms]]*80+TblConstr[[#This Row],[Docks]]*35)*(1+OFFSET(TblProd[[#This Row],[Bonus Food/hr]],-1,0)),0)</f>
        <v>142655</v>
      </c>
      <c r="J92" s="94">
        <f ca="1">OFFSET(TblProd[[#This Row],[Lumber]],-1,0)+OFFSET(TblProd[[#This Row],[Lumber/hr]],-1,0) - TblProd[[#This Row],[Expenses Lumber]] + SUM(TblConstr[[#This Row],[Dest Hom]:[Dest Doc]])*TblConstr[[#This Row],[CPA Lumber -DB]]*tech_3_3_2*TblTech[[#This Row],[3-3]]</f>
        <v>64897</v>
      </c>
      <c r="K92" s="94">
        <f ca="1">OFFSET(TblProd[[#This Row],[Mana]],-1,0)+OFFSET(TblProd[[#This Row],[Mana/hr]],-1,0)- TblProd[[#This Row],[Expenses Mana]]</f>
        <v>0</v>
      </c>
      <c r="L92" s="94">
        <f ca="1">OFFSET(TblProd[[#This Row],[Ore]],-1,0)+OFFSET(TblProd[[#This Row],[Ore/hr]],-1,0) -TblProd[[#This Row],[Expenses Ore]]</f>
        <v>0</v>
      </c>
      <c r="M92" s="94">
        <f ca="1">OFFSET(TblProd[[#This Row],[Gems]],-1,0)+OFFSET(TblProd[[#This Row],[Gems/hr]],-1,0) - TblProd[[#This Row],[Expenses Gems]]</f>
        <v>0</v>
      </c>
      <c r="N92" s="94">
        <f ca="1">OFFSET(TblProd[[#This Row],[Boats]],-1,0)+OFFSET(TblProd[[#This Row],[Boats/hr]],-1,0)</f>
        <v>0</v>
      </c>
      <c r="O92" s="94">
        <f ca="1">OFFSET(TblProd[[#This Row],[Prestige]],-1,0)</f>
        <v>250</v>
      </c>
      <c r="P9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2" s="94">
        <f ca="1">MAX(_xlfn.CEILING.MATH(TblProd[[#This Row],[Land]]*2.5+IFERROR(OFFSET(TblTech[[#This Row],[Sum of tech]],-1,0)*50,0)),3750)</f>
        <v>3750</v>
      </c>
      <c r="R92" s="142"/>
      <c r="S92" s="94">
        <f ca="1">ROUNDDOWN(TblProd[[#This Row],[Raw Plat/hr]]*(1+TblProd[[#This Row],[Bonus Plat/hr]]),0)</f>
        <v>1120</v>
      </c>
      <c r="T92" s="94">
        <f ca="1">ROUND(TblProd[[#This Row],[Raw Food/hr]]*(1+TblProd[[#This Row],[Bonus Food/hr]])-TblProd[[#This Row],[Food decay]]-TblProd[[#This Row],[Food eaten]],0)</f>
        <v>884</v>
      </c>
      <c r="U92" s="94">
        <f ca="1">ROUND(TblProd[[#This Row],[Raw Lumber/hr]]*(1+TblProd[[#This Row],[Bonus Lumber/hr]])-TblProd[[#This Row],[Lumber rot]],0)</f>
        <v>351</v>
      </c>
      <c r="V92" s="94">
        <f ca="1">ROUND(TblProd[[#This Row],[Raw Mana/hr]]*(1+TblProd[[#This Row],[Bonus Mana/hr]])-TblProd[[#This Row],[Mana drain]],0)</f>
        <v>0</v>
      </c>
      <c r="W92" s="94">
        <f ca="1">ROUNDDOWN(TblProd[[#This Row],[Raw Ore/hr]]*(1+TblProd[[#This Row],[Bonux Ore/hr]]),0)</f>
        <v>0</v>
      </c>
      <c r="X92" s="94">
        <f ca="1">ROUNDDOWN(TblProd[[#This Row],[Raw Gems/hr]]*(1+TblProd[[#This Row],[Bonus Gems/hr]]),0)</f>
        <v>0</v>
      </c>
      <c r="Y92" s="155">
        <f ca="1">OFFSET(TblConstr[[#This Row],[Tot Doc]],1,0)*dock_boats_hr * (1 + tech_4_1*TblTech[[#This Row],[4-1]])</f>
        <v>0</v>
      </c>
      <c r="Z92" s="154"/>
      <c r="AA92" s="94">
        <f ca="1">TblPop[[#This Row],[Peasants]]*tax*TblPop[[#This Row],[Employment]] + (Construction!AZ93+Construction!BX93)*(alch_plat+(Magic!AN92&gt;0)*alchemist_flame_bonus)</f>
        <v>1120.5</v>
      </c>
      <c r="AB92" s="94">
        <f ca="1">TblConstr[[#This Row],[Tot Farm]]*farm_food + TblConstr[[#This Row],[Tot Doc]]*dock_food</f>
        <v>2400</v>
      </c>
      <c r="AC92" s="94">
        <f ca="1">TblConstr[[#This Row],[Tot Ly]]*ly_lumber + TblConstr[[#This Row],[Tot Hav]]*fh_lumber + IF(race="Wood Elf",TblMili[[#This Row],[Unit 2]]*MIN(TblMili[[#This Row],[Homeland%]]/wisp_bonus,wisp_cap),0)</f>
        <v>1000</v>
      </c>
      <c r="AD92" s="94">
        <f ca="1">OFFSET(TblConstr[[#This Row],[Tot Tow]],1,0)*(tower_mana + tech_4_5*TblTech[[#This Row],[4-5]]) + OFFSET(TblConstr[[#This Row],[Tot WG]],1,0)*wg_mana_prod</f>
        <v>0</v>
      </c>
      <c r="AE92" s="94">
        <f ca="1">OFFSET(TblConstr[[#This Row],[Tot OM]],1,0)*om_ore+IF(race="Dwarf",TblMili[[#This Row],[Unit 2]]*0.5,0)</f>
        <v>0</v>
      </c>
      <c r="AF92" s="94">
        <f ca="1">OFFSET(TblConstr[[#This Row],[Tot DM]],1,0)*dm_gems</f>
        <v>0</v>
      </c>
      <c r="AG92" s="142"/>
      <c r="AH92" s="156">
        <f ca="1">MIN(race_platinum_bonus + IF(TblMagic[[#This Row],[Active Alch Frost]]&gt;0,alch_frost_bonus,IF(Magic!AE92&gt;0,midas_bonus)) + TblImps[[#This Row],[Science]] - TblProd[[#This Row],[Guard]]*(0.02 + tech_5_7*TblTech[[#This Row],[5-7]]) + tech_1_5*TblTech[[#This Row],[1-5]] + tech_4_4*TblTech[[#This Row],[4-4]] + IF(TblMagic[[#This Row],[Active Infernal Command]]&gt;0,demonic_pact_plat,0), 0.5)</f>
        <v>0</v>
      </c>
      <c r="AI9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2" s="156">
        <f ca="1">race_lumber_bonus+ IF(TblMagic[[#This Row],[Active Gaia''s Blessing]]&gt;0,gaias_blessing_lumber)+ tech_1_3*TblTech[[#This Row],[1-3]] + tech_1_6*TblTech[[#This Row],[1-6]] + tech_3_3*TblTech[[#This Row],[3-3]]</f>
        <v>0</v>
      </c>
      <c r="AK92" s="156">
        <f ca="1">race_mana_bonus+ 0 + TblImps[[#This Row],[Spires]] + tech_1_2*TblTech[[#This Row],[1-2]] + tech_3_4*TblTech[[#This Row],[3-4]]</f>
        <v>0</v>
      </c>
      <c r="AL92" s="156">
        <f ca="1">race_ore_bonus + IF(TblMagic[[#This Row],[Active Miner''s Sight]]&gt;0,miners_sight_bonus,IF(TblMagic[[#This Row],[Active Mining Strength]]&gt;0,mining_strength_bonus)) +  tech_1_6*TblTech[[#This Row],[1-6]]</f>
        <v>0</v>
      </c>
      <c r="AM92" s="156">
        <f>race_gem_bonus+ tech_3_2*TblTech[[#This Row],[3-2]] + tech_4_3*TblTech[[#This Row],[4-3]] + tech_6_2*TblTech[[#This Row],[6-2]]</f>
        <v>0</v>
      </c>
      <c r="AN92" s="142"/>
      <c r="AO92" s="94">
        <f ca="1">TblProd[[#This Row],[Food]]*food_decay * (1 + tech_2_1*TblTech[[#This Row],[2-1]] + tech_2_8*TblTech[[#This Row],[2-8]] + IF(AND(TblMagic[[#This Row],[Active DnD]]&lt;12,TblMagic[[#This Row],[Active DnD]]&gt;5),1,0))</f>
        <v>1426.55</v>
      </c>
      <c r="AP92" s="94">
        <f ca="1">(1+race_food_consumption)*TblPop[[#This Row],[Total]]*food_per_person*(1+tech_1_10*TblTech[[#This Row],[1-10]]+tech_7_5*TblTech[[#This Row],[7-5]] + IF(TblMagic[[#This Row],[Active Infernal Command]]&gt;0,demonic_pact_food_cons,0))</f>
        <v>269</v>
      </c>
      <c r="AQ92" s="94">
        <f ca="1">TblProd[[#This Row],[Lumber]]*lumber_rot * (1 + tech_2_1*TblTech[[#This Row],[2-1]] + tech_2_8*TblTech[[#This Row],[2-8]] + tech_5_2*TblTech[[#This Row],[5-2]] + IF(AND(TblMagic[[#This Row],[Active DnD]]&lt;12,TblMagic[[#This Row],[Active DnD]]&gt;5),1,0))</f>
        <v>648.97</v>
      </c>
      <c r="AR92" s="94">
        <f ca="1">TblProd[[#This Row],[Mana]]*mana_drain * (1 + tech_2_1*TblTech[[#This Row],[2-1]] + tech_2_8*TblTech[[#This Row],[2-8]])</f>
        <v>0</v>
      </c>
      <c r="AS92" s="154"/>
      <c r="AT92" s="94">
        <f ca="1">TblExplore[[#This Row],[Platinum (2)]]+TblConstr[[#This Row],[Total Plat Cost]]+TblMili[[#This Row],[Plat Cost]]+TblRezone[[#This Row],[Platinum cost]]+TblImps[[#This Row],[P1]]-TblProd[[#This Row],[Bank Plat]]</f>
        <v>0</v>
      </c>
      <c r="AU92" s="94">
        <f ca="1">TblConstr[[#This Row],[Total Lum Cost]]+TblImps[[#This Row],[L1]]-TblProd[[#This Row],[Bank Lumber]] + Military!$CO$25*TblMili[[#This Row],[Sec. rec. Cost]]</f>
        <v>0</v>
      </c>
      <c r="AV92" s="94">
        <f ca="1">TblMagic[[#This Row],[Mana cost]] + Military!$CO$26*TblMili[[#This Row],[Sec. rec. Cost]]</f>
        <v>0</v>
      </c>
      <c r="AW92" s="94">
        <f ca="1">Military!$CO$24*TblMili[[#This Row],[Sec. rec. Cost]]+TblImps[[#This Row],[O1]]-TblProd[[#This Row],[Bank Ore]]</f>
        <v>0</v>
      </c>
      <c r="AX92" s="94">
        <f>TblImps[[#This Row],[G1]]-TblProd[[#This Row],[Bank Gems]]</f>
        <v>0</v>
      </c>
      <c r="AY92" s="142"/>
      <c r="AZ92" s="61" t="b">
        <f ca="1">IF(TblProd[[#This Row],[Set Guard]]&lt;&gt;"",TblProd[[#This Row],[Set Guard]],OFFSET(TblProd[[#This Row],[Guard]],-1,0))</f>
        <v>0</v>
      </c>
      <c r="BA92" s="153"/>
      <c r="BB92" s="45">
        <f>TblProd[[#This Row],[Hour]]</f>
        <v>53</v>
      </c>
      <c r="BC92" s="158">
        <f>-TblProd[[#This Row],[Bank Lumber]] / 2 + -TblProd[[#This Row],[Bank Gems]] * 2 + -TblProd[[#This Row],[Bank Ore]] / 2</f>
        <v>0</v>
      </c>
      <c r="BD92" s="158"/>
      <c r="BE92" s="158"/>
      <c r="BF92" s="158"/>
      <c r="BG92" s="159">
        <f ca="1">TblProd[[#This Row],[Time]]</f>
        <v>46050.666666666453</v>
      </c>
      <c r="BH92" s="45" t="str">
        <f>IF(AND(TblProd[[#This Row],[Bank Plat]]=0,TblProd[[#This Row],[Bank Lumber]]=0,TblProd[[#This Row],[Bank Ore]]=0,TblProd[[#This Row],[Bank Gems]]=0),"",IF(TblProd[[#This Row],[Bank Plat]]&gt;0,IF((TblProd[[#This Row],[Bank Lumber]]+TblProd[[#This Row],[Bank Ore]])/2+TblProd[[#This Row],[Bank Gems]]*2+ROUNDUP(TblProd[[#This Row],[Bank Plat]]/(1 + tech_2_2*Techs!Y92),0)=0,"Ok","Nope"),IF(TblProd[[#This Row],[Bank Lumber]]&gt;0,IF((TblProd[[#This Row],[Bank Plat]]+TblProd[[#This Row],[Bank Ore]])/2+TblProd[[#This Row],[Bank Gems]]*2+ROUNDUP(TblProd[[#This Row],[Bank Lumber]]/(1 + tech_2_2*Techs!Y92),0)=0,"Ok","Nope"),IF(TblProd[[#This Row],[Bank Ore]]&gt;0,IF((TblProd[[#This Row],[Bank Plat]]+TblProd[[#This Row],[Bank Lumber]])/2+TblProd[[#This Row],[Bank Gems]]*2+ROUNDUP(TblProd[[#This Row],[Bank Ore]]/(1 + tech_2_2*Techs!Y92),0)=0,"Ok","Nope")))))</f>
        <v/>
      </c>
      <c r="BI92" s="94">
        <f ca="1">TblProd[[#This Row],[Platinum]]</f>
        <v>188100</v>
      </c>
      <c r="BJ92" s="94">
        <f ca="1">TblProd[[#This Row],[Food]]</f>
        <v>142655</v>
      </c>
      <c r="BK92" s="94">
        <f ca="1">TblProd[[#This Row],[Lumber]]</f>
        <v>64897</v>
      </c>
      <c r="BL92" s="94">
        <f ca="1">TblProd[[#This Row],[Mana]]</f>
        <v>0</v>
      </c>
      <c r="BM92" s="94">
        <f ca="1">TblProd[[#This Row],[Ore]]</f>
        <v>0</v>
      </c>
    </row>
    <row r="93" spans="1:65" x14ac:dyDescent="0.2">
      <c r="A93" s="137">
        <f t="shared" si="0"/>
        <v>54</v>
      </c>
      <c r="B93" s="152">
        <f ca="1">TblImps[[#This Row],[Time]]</f>
        <v>46050.708333333117</v>
      </c>
      <c r="C93" s="153"/>
      <c r="D93" s="154"/>
      <c r="E93" s="94">
        <f ca="1">TblConstr[[#This Row],[Land]]</f>
        <v>110</v>
      </c>
      <c r="F93" s="94">
        <f ca="1">TblPop[[#This Row],[Peasants]]</f>
        <v>411</v>
      </c>
      <c r="G93" s="94">
        <f ca="1">TblMili[[#This Row],[Networth (2)]]</f>
        <v>2450</v>
      </c>
      <c r="H93" s="94">
        <f ca="1">OFFSET(TblProd[[#This Row],[Platinum]],-1,0)+OFFSET(TblProd[[#This Row],[Plat/hr]],-1,0) - TblProd[[#This Row],[Expenses Platinum]] + IF(TblProd[[#This Row],[Plat Bonus]],TblPop[[#This Row],[Peasants]]*4) + SUM(TblConstr[[#This Row],[Dest Hom]:[Dest Doc]])*TblConstr[[#This Row],[CPA Platinum -DB]]*tech_3_3_2*TblTech[[#This Row],[3-3]]</f>
        <v>189220</v>
      </c>
      <c r="I93" s="94">
        <f ca="1">OFFSET(TblProd[[#This Row],[Food]],-1,0)+OFFSET(TblProd[[#This Row],[Food/hr]],-1,0)+ROUNDUP((TblConstr[[#This Row],[Farms]]*80+TblConstr[[#This Row],[Docks]]*35)*(1+OFFSET(TblProd[[#This Row],[Bonus Food/hr]],-1,0)),0)</f>
        <v>143539</v>
      </c>
      <c r="J93" s="94">
        <f ca="1">OFFSET(TblProd[[#This Row],[Lumber]],-1,0)+OFFSET(TblProd[[#This Row],[Lumber/hr]],-1,0) - TblProd[[#This Row],[Expenses Lumber]] + SUM(TblConstr[[#This Row],[Dest Hom]:[Dest Doc]])*TblConstr[[#This Row],[CPA Lumber -DB]]*tech_3_3_2*TblTech[[#This Row],[3-3]]</f>
        <v>65248</v>
      </c>
      <c r="K93" s="94">
        <f ca="1">OFFSET(TblProd[[#This Row],[Mana]],-1,0)+OFFSET(TblProd[[#This Row],[Mana/hr]],-1,0)- TblProd[[#This Row],[Expenses Mana]]</f>
        <v>0</v>
      </c>
      <c r="L93" s="94">
        <f ca="1">OFFSET(TblProd[[#This Row],[Ore]],-1,0)+OFFSET(TblProd[[#This Row],[Ore/hr]],-1,0) -TblProd[[#This Row],[Expenses Ore]]</f>
        <v>0</v>
      </c>
      <c r="M93" s="94">
        <f ca="1">OFFSET(TblProd[[#This Row],[Gems]],-1,0)+OFFSET(TblProd[[#This Row],[Gems/hr]],-1,0) - TblProd[[#This Row],[Expenses Gems]]</f>
        <v>0</v>
      </c>
      <c r="N93" s="94">
        <f ca="1">OFFSET(TblProd[[#This Row],[Boats]],-1,0)+OFFSET(TblProd[[#This Row],[Boats/hr]],-1,0)</f>
        <v>0</v>
      </c>
      <c r="O93" s="94">
        <f ca="1">OFFSET(TblProd[[#This Row],[Prestige]],-1,0)</f>
        <v>250</v>
      </c>
      <c r="P9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3" s="94">
        <f ca="1">MAX(_xlfn.CEILING.MATH(TblProd[[#This Row],[Land]]*2.5+IFERROR(OFFSET(TblTech[[#This Row],[Sum of tech]],-1,0)*50,0)),3750)</f>
        <v>3750</v>
      </c>
      <c r="R93" s="142"/>
      <c r="S93" s="94">
        <f ca="1">ROUNDDOWN(TblProd[[#This Row],[Raw Plat/hr]]*(1+TblProd[[#This Row],[Bonus Plat/hr]]),0)</f>
        <v>1109</v>
      </c>
      <c r="T93" s="94">
        <f ca="1">ROUND(TblProd[[#This Row],[Raw Food/hr]]*(1+TblProd[[#This Row],[Bonus Food/hr]])-TblProd[[#This Row],[Food decay]]-TblProd[[#This Row],[Food eaten]],0)</f>
        <v>876</v>
      </c>
      <c r="U93" s="94">
        <f ca="1">ROUND(TblProd[[#This Row],[Raw Lumber/hr]]*(1+TblProd[[#This Row],[Bonus Lumber/hr]])-TblProd[[#This Row],[Lumber rot]],0)</f>
        <v>348</v>
      </c>
      <c r="V93" s="94">
        <f ca="1">ROUND(TblProd[[#This Row],[Raw Mana/hr]]*(1+TblProd[[#This Row],[Bonus Mana/hr]])-TblProd[[#This Row],[Mana drain]],0)</f>
        <v>0</v>
      </c>
      <c r="W93" s="94">
        <f ca="1">ROUNDDOWN(TblProd[[#This Row],[Raw Ore/hr]]*(1+TblProd[[#This Row],[Bonux Ore/hr]]),0)</f>
        <v>0</v>
      </c>
      <c r="X93" s="94">
        <f ca="1">ROUNDDOWN(TblProd[[#This Row],[Raw Gems/hr]]*(1+TblProd[[#This Row],[Bonus Gems/hr]]),0)</f>
        <v>0</v>
      </c>
      <c r="Y93" s="155">
        <f ca="1">OFFSET(TblConstr[[#This Row],[Tot Doc]],1,0)*dock_boats_hr * (1 + tech_4_1*TblTech[[#This Row],[4-1]])</f>
        <v>0</v>
      </c>
      <c r="Z93" s="154"/>
      <c r="AA93" s="94">
        <f ca="1">TblPop[[#This Row],[Peasants]]*tax*TblPop[[#This Row],[Employment]] + (Construction!AZ94+Construction!BX94)*(alch_plat+(Magic!AN93&gt;0)*alchemist_flame_bonus)</f>
        <v>1109.7</v>
      </c>
      <c r="AB93" s="94">
        <f ca="1">TblConstr[[#This Row],[Tot Farm]]*farm_food + TblConstr[[#This Row],[Tot Doc]]*dock_food</f>
        <v>2400</v>
      </c>
      <c r="AC93" s="94">
        <f ca="1">TblConstr[[#This Row],[Tot Ly]]*ly_lumber + TblConstr[[#This Row],[Tot Hav]]*fh_lumber + IF(race="Wood Elf",TblMili[[#This Row],[Unit 2]]*MIN(TblMili[[#This Row],[Homeland%]]/wisp_bonus,wisp_cap),0)</f>
        <v>1000</v>
      </c>
      <c r="AD93" s="94">
        <f ca="1">OFFSET(TblConstr[[#This Row],[Tot Tow]],1,0)*(tower_mana + tech_4_5*TblTech[[#This Row],[4-5]]) + OFFSET(TblConstr[[#This Row],[Tot WG]],1,0)*wg_mana_prod</f>
        <v>0</v>
      </c>
      <c r="AE93" s="94">
        <f ca="1">OFFSET(TblConstr[[#This Row],[Tot OM]],1,0)*om_ore+IF(race="Dwarf",TblMili[[#This Row],[Unit 2]]*0.5,0)</f>
        <v>0</v>
      </c>
      <c r="AF93" s="94">
        <f ca="1">OFFSET(TblConstr[[#This Row],[Tot DM]],1,0)*dm_gems</f>
        <v>0</v>
      </c>
      <c r="AG93" s="142"/>
      <c r="AH93" s="156">
        <f ca="1">MIN(race_platinum_bonus + IF(TblMagic[[#This Row],[Active Alch Frost]]&gt;0,alch_frost_bonus,IF(Magic!AE93&gt;0,midas_bonus)) + TblImps[[#This Row],[Science]] - TblProd[[#This Row],[Guard]]*(0.02 + tech_5_7*TblTech[[#This Row],[5-7]]) + tech_1_5*TblTech[[#This Row],[1-5]] + tech_4_4*TblTech[[#This Row],[4-4]] + IF(TblMagic[[#This Row],[Active Infernal Command]]&gt;0,demonic_pact_plat,0), 0.5)</f>
        <v>0</v>
      </c>
      <c r="AI9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3" s="156">
        <f ca="1">race_lumber_bonus+ IF(TblMagic[[#This Row],[Active Gaia''s Blessing]]&gt;0,gaias_blessing_lumber)+ tech_1_3*TblTech[[#This Row],[1-3]] + tech_1_6*TblTech[[#This Row],[1-6]] + tech_3_3*TblTech[[#This Row],[3-3]]</f>
        <v>0</v>
      </c>
      <c r="AK93" s="156">
        <f ca="1">race_mana_bonus+ 0 + TblImps[[#This Row],[Spires]] + tech_1_2*TblTech[[#This Row],[1-2]] + tech_3_4*TblTech[[#This Row],[3-4]]</f>
        <v>0</v>
      </c>
      <c r="AL93" s="156">
        <f ca="1">race_ore_bonus + IF(TblMagic[[#This Row],[Active Miner''s Sight]]&gt;0,miners_sight_bonus,IF(TblMagic[[#This Row],[Active Mining Strength]]&gt;0,mining_strength_bonus)) +  tech_1_6*TblTech[[#This Row],[1-6]]</f>
        <v>0</v>
      </c>
      <c r="AM93" s="156">
        <f>race_gem_bonus+ tech_3_2*TblTech[[#This Row],[3-2]] + tech_4_3*TblTech[[#This Row],[4-3]] + tech_6_2*TblTech[[#This Row],[6-2]]</f>
        <v>0</v>
      </c>
      <c r="AN93" s="142"/>
      <c r="AO93" s="94">
        <f ca="1">TblProd[[#This Row],[Food]]*food_decay * (1 + tech_2_1*TblTech[[#This Row],[2-1]] + tech_2_8*TblTech[[#This Row],[2-8]] + IF(AND(TblMagic[[#This Row],[Active DnD]]&lt;12,TblMagic[[#This Row],[Active DnD]]&gt;5),1,0))</f>
        <v>1435.39</v>
      </c>
      <c r="AP93" s="94">
        <f ca="1">(1+race_food_consumption)*TblPop[[#This Row],[Total]]*food_per_person*(1+tech_1_10*TblTech[[#This Row],[1-10]]+tech_7_5*TblTech[[#This Row],[7-5]] + IF(TblMagic[[#This Row],[Active Infernal Command]]&gt;0,demonic_pact_food_cons,0))</f>
        <v>269</v>
      </c>
      <c r="AQ93" s="94">
        <f ca="1">TblProd[[#This Row],[Lumber]]*lumber_rot * (1 + tech_2_1*TblTech[[#This Row],[2-1]] + tech_2_8*TblTech[[#This Row],[2-8]] + tech_5_2*TblTech[[#This Row],[5-2]] + IF(AND(TblMagic[[#This Row],[Active DnD]]&lt;12,TblMagic[[#This Row],[Active DnD]]&gt;5),1,0))</f>
        <v>652.48</v>
      </c>
      <c r="AR93" s="94">
        <f ca="1">TblProd[[#This Row],[Mana]]*mana_drain * (1 + tech_2_1*TblTech[[#This Row],[2-1]] + tech_2_8*TblTech[[#This Row],[2-8]])</f>
        <v>0</v>
      </c>
      <c r="AS93" s="154"/>
      <c r="AT93" s="94">
        <f ca="1">TblExplore[[#This Row],[Platinum (2)]]+TblConstr[[#This Row],[Total Plat Cost]]+TblMili[[#This Row],[Plat Cost]]+TblRezone[[#This Row],[Platinum cost]]+TblImps[[#This Row],[P1]]-TblProd[[#This Row],[Bank Plat]]</f>
        <v>0</v>
      </c>
      <c r="AU93" s="94">
        <f ca="1">TblConstr[[#This Row],[Total Lum Cost]]+TblImps[[#This Row],[L1]]-TblProd[[#This Row],[Bank Lumber]] + Military!$CO$25*TblMili[[#This Row],[Sec. rec. Cost]]</f>
        <v>0</v>
      </c>
      <c r="AV93" s="94">
        <f ca="1">TblMagic[[#This Row],[Mana cost]] + Military!$CO$26*TblMili[[#This Row],[Sec. rec. Cost]]</f>
        <v>0</v>
      </c>
      <c r="AW93" s="94">
        <f ca="1">Military!$CO$24*TblMili[[#This Row],[Sec. rec. Cost]]+TblImps[[#This Row],[O1]]-TblProd[[#This Row],[Bank Ore]]</f>
        <v>0</v>
      </c>
      <c r="AX93" s="94">
        <f>TblImps[[#This Row],[G1]]-TblProd[[#This Row],[Bank Gems]]</f>
        <v>0</v>
      </c>
      <c r="AY93" s="142"/>
      <c r="AZ93" s="61" t="b">
        <f ca="1">IF(TblProd[[#This Row],[Set Guard]]&lt;&gt;"",TblProd[[#This Row],[Set Guard]],OFFSET(TblProd[[#This Row],[Guard]],-1,0))</f>
        <v>0</v>
      </c>
      <c r="BA93" s="153"/>
      <c r="BB93" s="45">
        <f>TblProd[[#This Row],[Hour]]</f>
        <v>54</v>
      </c>
      <c r="BC93" s="158">
        <f>-TblProd[[#This Row],[Bank Lumber]] / 2 + -TblProd[[#This Row],[Bank Gems]] * 2 + -TblProd[[#This Row],[Bank Ore]] / 2</f>
        <v>0</v>
      </c>
      <c r="BD93" s="158"/>
      <c r="BE93" s="158"/>
      <c r="BF93" s="158"/>
      <c r="BG93" s="159">
        <f ca="1">TblProd[[#This Row],[Time]]</f>
        <v>46050.708333333117</v>
      </c>
      <c r="BH93" s="45" t="str">
        <f>IF(AND(TblProd[[#This Row],[Bank Plat]]=0,TblProd[[#This Row],[Bank Lumber]]=0,TblProd[[#This Row],[Bank Ore]]=0,TblProd[[#This Row],[Bank Gems]]=0),"",IF(TblProd[[#This Row],[Bank Plat]]&gt;0,IF((TblProd[[#This Row],[Bank Lumber]]+TblProd[[#This Row],[Bank Ore]])/2+TblProd[[#This Row],[Bank Gems]]*2+ROUNDUP(TblProd[[#This Row],[Bank Plat]]/(1 + tech_2_2*Techs!Y93),0)=0,"Ok","Nope"),IF(TblProd[[#This Row],[Bank Lumber]]&gt;0,IF((TblProd[[#This Row],[Bank Plat]]+TblProd[[#This Row],[Bank Ore]])/2+TblProd[[#This Row],[Bank Gems]]*2+ROUNDUP(TblProd[[#This Row],[Bank Lumber]]/(1 + tech_2_2*Techs!Y93),0)=0,"Ok","Nope"),IF(TblProd[[#This Row],[Bank Ore]]&gt;0,IF((TblProd[[#This Row],[Bank Plat]]+TblProd[[#This Row],[Bank Lumber]])/2+TblProd[[#This Row],[Bank Gems]]*2+ROUNDUP(TblProd[[#This Row],[Bank Ore]]/(1 + tech_2_2*Techs!Y93),0)=0,"Ok","Nope")))))</f>
        <v/>
      </c>
      <c r="BI93" s="94">
        <f ca="1">TblProd[[#This Row],[Platinum]]</f>
        <v>189220</v>
      </c>
      <c r="BJ93" s="94">
        <f ca="1">TblProd[[#This Row],[Food]]</f>
        <v>143539</v>
      </c>
      <c r="BK93" s="94">
        <f ca="1">TblProd[[#This Row],[Lumber]]</f>
        <v>65248</v>
      </c>
      <c r="BL93" s="94">
        <f ca="1">TblProd[[#This Row],[Mana]]</f>
        <v>0</v>
      </c>
      <c r="BM93" s="94">
        <f ca="1">TblProd[[#This Row],[Ore]]</f>
        <v>0</v>
      </c>
    </row>
    <row r="94" spans="1:65" x14ac:dyDescent="0.2">
      <c r="A94" s="137">
        <f t="shared" si="0"/>
        <v>55</v>
      </c>
      <c r="B94" s="152">
        <f ca="1">TblImps[[#This Row],[Time]]</f>
        <v>46050.749999999782</v>
      </c>
      <c r="C94" s="153"/>
      <c r="D94" s="154"/>
      <c r="E94" s="94">
        <f ca="1">TblConstr[[#This Row],[Land]]</f>
        <v>110</v>
      </c>
      <c r="F94" s="94">
        <f ca="1">TblPop[[#This Row],[Peasants]]</f>
        <v>407</v>
      </c>
      <c r="G94" s="94">
        <f ca="1">TblMili[[#This Row],[Networth (2)]]</f>
        <v>2450</v>
      </c>
      <c r="H94" s="94">
        <f ca="1">OFFSET(TblProd[[#This Row],[Platinum]],-1,0)+OFFSET(TblProd[[#This Row],[Plat/hr]],-1,0) - TblProd[[#This Row],[Expenses Platinum]] + IF(TblProd[[#This Row],[Plat Bonus]],TblPop[[#This Row],[Peasants]]*4) + SUM(TblConstr[[#This Row],[Dest Hom]:[Dest Doc]])*TblConstr[[#This Row],[CPA Platinum -DB]]*tech_3_3_2*TblTech[[#This Row],[3-3]]</f>
        <v>190329</v>
      </c>
      <c r="I94" s="94">
        <f ca="1">OFFSET(TblProd[[#This Row],[Food]],-1,0)+OFFSET(TblProd[[#This Row],[Food/hr]],-1,0)+ROUNDUP((TblConstr[[#This Row],[Farms]]*80+TblConstr[[#This Row],[Docks]]*35)*(1+OFFSET(TblProd[[#This Row],[Bonus Food/hr]],-1,0)),0)</f>
        <v>144415</v>
      </c>
      <c r="J94" s="94">
        <f ca="1">OFFSET(TblProd[[#This Row],[Lumber]],-1,0)+OFFSET(TblProd[[#This Row],[Lumber/hr]],-1,0) - TblProd[[#This Row],[Expenses Lumber]] + SUM(TblConstr[[#This Row],[Dest Hom]:[Dest Doc]])*TblConstr[[#This Row],[CPA Lumber -DB]]*tech_3_3_2*TblTech[[#This Row],[3-3]]</f>
        <v>65596</v>
      </c>
      <c r="K94" s="94">
        <f ca="1">OFFSET(TblProd[[#This Row],[Mana]],-1,0)+OFFSET(TblProd[[#This Row],[Mana/hr]],-1,0)- TblProd[[#This Row],[Expenses Mana]]</f>
        <v>0</v>
      </c>
      <c r="L94" s="94">
        <f ca="1">OFFSET(TblProd[[#This Row],[Ore]],-1,0)+OFFSET(TblProd[[#This Row],[Ore/hr]],-1,0) -TblProd[[#This Row],[Expenses Ore]]</f>
        <v>0</v>
      </c>
      <c r="M94" s="94">
        <f ca="1">OFFSET(TblProd[[#This Row],[Gems]],-1,0)+OFFSET(TblProd[[#This Row],[Gems/hr]],-1,0) - TblProd[[#This Row],[Expenses Gems]]</f>
        <v>0</v>
      </c>
      <c r="N94" s="94">
        <f ca="1">OFFSET(TblProd[[#This Row],[Boats]],-1,0)+OFFSET(TblProd[[#This Row],[Boats/hr]],-1,0)</f>
        <v>0</v>
      </c>
      <c r="O94" s="94">
        <f ca="1">OFFSET(TblProd[[#This Row],[Prestige]],-1,0)</f>
        <v>250</v>
      </c>
      <c r="P9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4" s="94">
        <f ca="1">MAX(_xlfn.CEILING.MATH(TblProd[[#This Row],[Land]]*2.5+IFERROR(OFFSET(TblTech[[#This Row],[Sum of tech]],-1,0)*50,0)),3750)</f>
        <v>3750</v>
      </c>
      <c r="R94" s="142"/>
      <c r="S94" s="94">
        <f ca="1">ROUNDDOWN(TblProd[[#This Row],[Raw Plat/hr]]*(1+TblProd[[#This Row],[Bonus Plat/hr]]),0)</f>
        <v>1098</v>
      </c>
      <c r="T94" s="94">
        <f ca="1">ROUND(TblProd[[#This Row],[Raw Food/hr]]*(1+TblProd[[#This Row],[Bonus Food/hr]])-TblProd[[#This Row],[Food decay]]-TblProd[[#This Row],[Food eaten]],0)</f>
        <v>867</v>
      </c>
      <c r="U94" s="94">
        <f ca="1">ROUND(TblProd[[#This Row],[Raw Lumber/hr]]*(1+TblProd[[#This Row],[Bonus Lumber/hr]])-TblProd[[#This Row],[Lumber rot]],0)</f>
        <v>344</v>
      </c>
      <c r="V94" s="94">
        <f ca="1">ROUND(TblProd[[#This Row],[Raw Mana/hr]]*(1+TblProd[[#This Row],[Bonus Mana/hr]])-TblProd[[#This Row],[Mana drain]],0)</f>
        <v>0</v>
      </c>
      <c r="W94" s="94">
        <f ca="1">ROUNDDOWN(TblProd[[#This Row],[Raw Ore/hr]]*(1+TblProd[[#This Row],[Bonux Ore/hr]]),0)</f>
        <v>0</v>
      </c>
      <c r="X94" s="94">
        <f ca="1">ROUNDDOWN(TblProd[[#This Row],[Raw Gems/hr]]*(1+TblProd[[#This Row],[Bonus Gems/hr]]),0)</f>
        <v>0</v>
      </c>
      <c r="Y94" s="155">
        <f ca="1">OFFSET(TblConstr[[#This Row],[Tot Doc]],1,0)*dock_boats_hr * (1 + tech_4_1*TblTech[[#This Row],[4-1]])</f>
        <v>0</v>
      </c>
      <c r="Z94" s="154"/>
      <c r="AA94" s="94">
        <f ca="1">TblPop[[#This Row],[Peasants]]*tax*TblPop[[#This Row],[Employment]] + (Construction!AZ95+Construction!BX95)*(alch_plat+(Magic!AN94&gt;0)*alchemist_flame_bonus)</f>
        <v>1098.9000000000001</v>
      </c>
      <c r="AB94" s="94">
        <f ca="1">TblConstr[[#This Row],[Tot Farm]]*farm_food + TblConstr[[#This Row],[Tot Doc]]*dock_food</f>
        <v>2400</v>
      </c>
      <c r="AC94" s="94">
        <f ca="1">TblConstr[[#This Row],[Tot Ly]]*ly_lumber + TblConstr[[#This Row],[Tot Hav]]*fh_lumber + IF(race="Wood Elf",TblMili[[#This Row],[Unit 2]]*MIN(TblMili[[#This Row],[Homeland%]]/wisp_bonus,wisp_cap),0)</f>
        <v>1000</v>
      </c>
      <c r="AD94" s="94">
        <f ca="1">OFFSET(TblConstr[[#This Row],[Tot Tow]],1,0)*(tower_mana + tech_4_5*TblTech[[#This Row],[4-5]]) + OFFSET(TblConstr[[#This Row],[Tot WG]],1,0)*wg_mana_prod</f>
        <v>0</v>
      </c>
      <c r="AE94" s="94">
        <f ca="1">OFFSET(TblConstr[[#This Row],[Tot OM]],1,0)*om_ore+IF(race="Dwarf",TblMili[[#This Row],[Unit 2]]*0.5,0)</f>
        <v>0</v>
      </c>
      <c r="AF94" s="94">
        <f ca="1">OFFSET(TblConstr[[#This Row],[Tot DM]],1,0)*dm_gems</f>
        <v>0</v>
      </c>
      <c r="AG94" s="142"/>
      <c r="AH94" s="156">
        <f ca="1">MIN(race_platinum_bonus + IF(TblMagic[[#This Row],[Active Alch Frost]]&gt;0,alch_frost_bonus,IF(Magic!AE94&gt;0,midas_bonus)) + TblImps[[#This Row],[Science]] - TblProd[[#This Row],[Guard]]*(0.02 + tech_5_7*TblTech[[#This Row],[5-7]]) + tech_1_5*TblTech[[#This Row],[1-5]] + tech_4_4*TblTech[[#This Row],[4-4]] + IF(TblMagic[[#This Row],[Active Infernal Command]]&gt;0,demonic_pact_plat,0), 0.5)</f>
        <v>0</v>
      </c>
      <c r="AI9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4" s="156">
        <f ca="1">race_lumber_bonus+ IF(TblMagic[[#This Row],[Active Gaia''s Blessing]]&gt;0,gaias_blessing_lumber)+ tech_1_3*TblTech[[#This Row],[1-3]] + tech_1_6*TblTech[[#This Row],[1-6]] + tech_3_3*TblTech[[#This Row],[3-3]]</f>
        <v>0</v>
      </c>
      <c r="AK94" s="156">
        <f ca="1">race_mana_bonus+ 0 + TblImps[[#This Row],[Spires]] + tech_1_2*TblTech[[#This Row],[1-2]] + tech_3_4*TblTech[[#This Row],[3-4]]</f>
        <v>0</v>
      </c>
      <c r="AL94" s="156">
        <f ca="1">race_ore_bonus + IF(TblMagic[[#This Row],[Active Miner''s Sight]]&gt;0,miners_sight_bonus,IF(TblMagic[[#This Row],[Active Mining Strength]]&gt;0,mining_strength_bonus)) +  tech_1_6*TblTech[[#This Row],[1-6]]</f>
        <v>0</v>
      </c>
      <c r="AM94" s="156">
        <f>race_gem_bonus+ tech_3_2*TblTech[[#This Row],[3-2]] + tech_4_3*TblTech[[#This Row],[4-3]] + tech_6_2*TblTech[[#This Row],[6-2]]</f>
        <v>0</v>
      </c>
      <c r="AN94" s="142"/>
      <c r="AO94" s="94">
        <f ca="1">TblProd[[#This Row],[Food]]*food_decay * (1 + tech_2_1*TblTech[[#This Row],[2-1]] + tech_2_8*TblTech[[#This Row],[2-8]] + IF(AND(TblMagic[[#This Row],[Active DnD]]&lt;12,TblMagic[[#This Row],[Active DnD]]&gt;5),1,0))</f>
        <v>1444.15</v>
      </c>
      <c r="AP94" s="94">
        <f ca="1">(1+race_food_consumption)*TblPop[[#This Row],[Total]]*food_per_person*(1+tech_1_10*TblTech[[#This Row],[1-10]]+tech_7_5*TblTech[[#This Row],[7-5]] + IF(TblMagic[[#This Row],[Active Infernal Command]]&gt;0,demonic_pact_food_cons,0))</f>
        <v>269</v>
      </c>
      <c r="AQ94" s="94">
        <f ca="1">TblProd[[#This Row],[Lumber]]*lumber_rot * (1 + tech_2_1*TblTech[[#This Row],[2-1]] + tech_2_8*TblTech[[#This Row],[2-8]] + tech_5_2*TblTech[[#This Row],[5-2]] + IF(AND(TblMagic[[#This Row],[Active DnD]]&lt;12,TblMagic[[#This Row],[Active DnD]]&gt;5),1,0))</f>
        <v>655.96</v>
      </c>
      <c r="AR94" s="94">
        <f ca="1">TblProd[[#This Row],[Mana]]*mana_drain * (1 + tech_2_1*TblTech[[#This Row],[2-1]] + tech_2_8*TblTech[[#This Row],[2-8]])</f>
        <v>0</v>
      </c>
      <c r="AS94" s="154"/>
      <c r="AT94" s="94">
        <f ca="1">TblExplore[[#This Row],[Platinum (2)]]+TblConstr[[#This Row],[Total Plat Cost]]+TblMili[[#This Row],[Plat Cost]]+TblRezone[[#This Row],[Platinum cost]]+TblImps[[#This Row],[P1]]-TblProd[[#This Row],[Bank Plat]]</f>
        <v>0</v>
      </c>
      <c r="AU94" s="94">
        <f ca="1">TblConstr[[#This Row],[Total Lum Cost]]+TblImps[[#This Row],[L1]]-TblProd[[#This Row],[Bank Lumber]] + Military!$CO$25*TblMili[[#This Row],[Sec. rec. Cost]]</f>
        <v>0</v>
      </c>
      <c r="AV94" s="94">
        <f ca="1">TblMagic[[#This Row],[Mana cost]] + Military!$CO$26*TblMili[[#This Row],[Sec. rec. Cost]]</f>
        <v>0</v>
      </c>
      <c r="AW94" s="94">
        <f ca="1">Military!$CO$24*TblMili[[#This Row],[Sec. rec. Cost]]+TblImps[[#This Row],[O1]]-TblProd[[#This Row],[Bank Ore]]</f>
        <v>0</v>
      </c>
      <c r="AX94" s="94">
        <f>TblImps[[#This Row],[G1]]-TblProd[[#This Row],[Bank Gems]]</f>
        <v>0</v>
      </c>
      <c r="AY94" s="142"/>
      <c r="AZ94" s="61" t="b">
        <f ca="1">IF(TblProd[[#This Row],[Set Guard]]&lt;&gt;"",TblProd[[#This Row],[Set Guard]],OFFSET(TblProd[[#This Row],[Guard]],-1,0))</f>
        <v>0</v>
      </c>
      <c r="BA94" s="153"/>
      <c r="BB94" s="45">
        <f>TblProd[[#This Row],[Hour]]</f>
        <v>55</v>
      </c>
      <c r="BC94" s="158">
        <f>-TblProd[[#This Row],[Bank Lumber]] / 2 + -TblProd[[#This Row],[Bank Gems]] * 2 + -TblProd[[#This Row],[Bank Ore]] / 2</f>
        <v>0</v>
      </c>
      <c r="BD94" s="158"/>
      <c r="BE94" s="158"/>
      <c r="BF94" s="158"/>
      <c r="BG94" s="159">
        <f ca="1">TblProd[[#This Row],[Time]]</f>
        <v>46050.749999999782</v>
      </c>
      <c r="BH94" s="45" t="str">
        <f>IF(AND(TblProd[[#This Row],[Bank Plat]]=0,TblProd[[#This Row],[Bank Lumber]]=0,TblProd[[#This Row],[Bank Ore]]=0,TblProd[[#This Row],[Bank Gems]]=0),"",IF(TblProd[[#This Row],[Bank Plat]]&gt;0,IF((TblProd[[#This Row],[Bank Lumber]]+TblProd[[#This Row],[Bank Ore]])/2+TblProd[[#This Row],[Bank Gems]]*2+ROUNDUP(TblProd[[#This Row],[Bank Plat]]/(1 + tech_2_2*Techs!Y94),0)=0,"Ok","Nope"),IF(TblProd[[#This Row],[Bank Lumber]]&gt;0,IF((TblProd[[#This Row],[Bank Plat]]+TblProd[[#This Row],[Bank Ore]])/2+TblProd[[#This Row],[Bank Gems]]*2+ROUNDUP(TblProd[[#This Row],[Bank Lumber]]/(1 + tech_2_2*Techs!Y94),0)=0,"Ok","Nope"),IF(TblProd[[#This Row],[Bank Ore]]&gt;0,IF((TblProd[[#This Row],[Bank Plat]]+TblProd[[#This Row],[Bank Lumber]])/2+TblProd[[#This Row],[Bank Gems]]*2+ROUNDUP(TblProd[[#This Row],[Bank Ore]]/(1 + tech_2_2*Techs!Y94),0)=0,"Ok","Nope")))))</f>
        <v/>
      </c>
      <c r="BI94" s="94">
        <f ca="1">TblProd[[#This Row],[Platinum]]</f>
        <v>190329</v>
      </c>
      <c r="BJ94" s="94">
        <f ca="1">TblProd[[#This Row],[Food]]</f>
        <v>144415</v>
      </c>
      <c r="BK94" s="94">
        <f ca="1">TblProd[[#This Row],[Lumber]]</f>
        <v>65596</v>
      </c>
      <c r="BL94" s="94">
        <f ca="1">TblProd[[#This Row],[Mana]]</f>
        <v>0</v>
      </c>
      <c r="BM94" s="94">
        <f ca="1">TblProd[[#This Row],[Ore]]</f>
        <v>0</v>
      </c>
    </row>
    <row r="95" spans="1:65" x14ac:dyDescent="0.2">
      <c r="A95" s="137">
        <f t="shared" si="0"/>
        <v>56</v>
      </c>
      <c r="B95" s="152">
        <f ca="1">TblImps[[#This Row],[Time]]</f>
        <v>46050.791666666446</v>
      </c>
      <c r="C95" s="153"/>
      <c r="D95" s="154"/>
      <c r="E95" s="94">
        <f ca="1">TblConstr[[#This Row],[Land]]</f>
        <v>110</v>
      </c>
      <c r="F95" s="94">
        <f ca="1">TblPop[[#This Row],[Peasants]]</f>
        <v>403</v>
      </c>
      <c r="G95" s="94">
        <f ca="1">TblMili[[#This Row],[Networth (2)]]</f>
        <v>2450</v>
      </c>
      <c r="H95" s="94">
        <f ca="1">OFFSET(TblProd[[#This Row],[Platinum]],-1,0)+OFFSET(TblProd[[#This Row],[Plat/hr]],-1,0) - TblProd[[#This Row],[Expenses Platinum]] + IF(TblProd[[#This Row],[Plat Bonus]],TblPop[[#This Row],[Peasants]]*4) + SUM(TblConstr[[#This Row],[Dest Hom]:[Dest Doc]])*TblConstr[[#This Row],[CPA Platinum -DB]]*tech_3_3_2*TblTech[[#This Row],[3-3]]</f>
        <v>191427</v>
      </c>
      <c r="I95" s="94">
        <f ca="1">OFFSET(TblProd[[#This Row],[Food]],-1,0)+OFFSET(TblProd[[#This Row],[Food/hr]],-1,0)+ROUNDUP((TblConstr[[#This Row],[Farms]]*80+TblConstr[[#This Row],[Docks]]*35)*(1+OFFSET(TblProd[[#This Row],[Bonus Food/hr]],-1,0)),0)</f>
        <v>145282</v>
      </c>
      <c r="J95" s="94">
        <f ca="1">OFFSET(TblProd[[#This Row],[Lumber]],-1,0)+OFFSET(TblProd[[#This Row],[Lumber/hr]],-1,0) - TblProd[[#This Row],[Expenses Lumber]] + SUM(TblConstr[[#This Row],[Dest Hom]:[Dest Doc]])*TblConstr[[#This Row],[CPA Lumber -DB]]*tech_3_3_2*TblTech[[#This Row],[3-3]]</f>
        <v>65940</v>
      </c>
      <c r="K95" s="94">
        <f ca="1">OFFSET(TblProd[[#This Row],[Mana]],-1,0)+OFFSET(TblProd[[#This Row],[Mana/hr]],-1,0)- TblProd[[#This Row],[Expenses Mana]]</f>
        <v>0</v>
      </c>
      <c r="L95" s="94">
        <f ca="1">OFFSET(TblProd[[#This Row],[Ore]],-1,0)+OFFSET(TblProd[[#This Row],[Ore/hr]],-1,0) -TblProd[[#This Row],[Expenses Ore]]</f>
        <v>0</v>
      </c>
      <c r="M95" s="94">
        <f ca="1">OFFSET(TblProd[[#This Row],[Gems]],-1,0)+OFFSET(TblProd[[#This Row],[Gems/hr]],-1,0) - TblProd[[#This Row],[Expenses Gems]]</f>
        <v>0</v>
      </c>
      <c r="N95" s="94">
        <f ca="1">OFFSET(TblProd[[#This Row],[Boats]],-1,0)+OFFSET(TblProd[[#This Row],[Boats/hr]],-1,0)</f>
        <v>0</v>
      </c>
      <c r="O95" s="94">
        <f ca="1">OFFSET(TblProd[[#This Row],[Prestige]],-1,0)</f>
        <v>250</v>
      </c>
      <c r="P9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5" s="94">
        <f ca="1">MAX(_xlfn.CEILING.MATH(TblProd[[#This Row],[Land]]*2.5+IFERROR(OFFSET(TblTech[[#This Row],[Sum of tech]],-1,0)*50,0)),3750)</f>
        <v>3750</v>
      </c>
      <c r="R95" s="142"/>
      <c r="S95" s="94">
        <f ca="1">ROUNDDOWN(TblProd[[#This Row],[Raw Plat/hr]]*(1+TblProd[[#This Row],[Bonus Plat/hr]]),0)</f>
        <v>1088</v>
      </c>
      <c r="T95" s="94">
        <f ca="1">ROUND(TblProd[[#This Row],[Raw Food/hr]]*(1+TblProd[[#This Row],[Bonus Food/hr]])-TblProd[[#This Row],[Food decay]]-TblProd[[#This Row],[Food eaten]],0)</f>
        <v>858</v>
      </c>
      <c r="U95" s="94">
        <f ca="1">ROUND(TblProd[[#This Row],[Raw Lumber/hr]]*(1+TblProd[[#This Row],[Bonus Lumber/hr]])-TblProd[[#This Row],[Lumber rot]],0)</f>
        <v>341</v>
      </c>
      <c r="V95" s="94">
        <f ca="1">ROUND(TblProd[[#This Row],[Raw Mana/hr]]*(1+TblProd[[#This Row],[Bonus Mana/hr]])-TblProd[[#This Row],[Mana drain]],0)</f>
        <v>0</v>
      </c>
      <c r="W95" s="94">
        <f ca="1">ROUNDDOWN(TblProd[[#This Row],[Raw Ore/hr]]*(1+TblProd[[#This Row],[Bonux Ore/hr]]),0)</f>
        <v>0</v>
      </c>
      <c r="X95" s="94">
        <f ca="1">ROUNDDOWN(TblProd[[#This Row],[Raw Gems/hr]]*(1+TblProd[[#This Row],[Bonus Gems/hr]]),0)</f>
        <v>0</v>
      </c>
      <c r="Y95" s="155">
        <f ca="1">OFFSET(TblConstr[[#This Row],[Tot Doc]],1,0)*dock_boats_hr * (1 + tech_4_1*TblTech[[#This Row],[4-1]])</f>
        <v>0</v>
      </c>
      <c r="Z95" s="154"/>
      <c r="AA95" s="94">
        <f ca="1">TblPop[[#This Row],[Peasants]]*tax*TblPop[[#This Row],[Employment]] + (Construction!AZ96+Construction!BX96)*(alch_plat+(Magic!AN95&gt;0)*alchemist_flame_bonus)</f>
        <v>1088.1000000000001</v>
      </c>
      <c r="AB95" s="94">
        <f ca="1">TblConstr[[#This Row],[Tot Farm]]*farm_food + TblConstr[[#This Row],[Tot Doc]]*dock_food</f>
        <v>2400</v>
      </c>
      <c r="AC95" s="94">
        <f ca="1">TblConstr[[#This Row],[Tot Ly]]*ly_lumber + TblConstr[[#This Row],[Tot Hav]]*fh_lumber + IF(race="Wood Elf",TblMili[[#This Row],[Unit 2]]*MIN(TblMili[[#This Row],[Homeland%]]/wisp_bonus,wisp_cap),0)</f>
        <v>1000</v>
      </c>
      <c r="AD95" s="94">
        <f ca="1">OFFSET(TblConstr[[#This Row],[Tot Tow]],1,0)*(tower_mana + tech_4_5*TblTech[[#This Row],[4-5]]) + OFFSET(TblConstr[[#This Row],[Tot WG]],1,0)*wg_mana_prod</f>
        <v>0</v>
      </c>
      <c r="AE95" s="94">
        <f ca="1">OFFSET(TblConstr[[#This Row],[Tot OM]],1,0)*om_ore+IF(race="Dwarf",TblMili[[#This Row],[Unit 2]]*0.5,0)</f>
        <v>0</v>
      </c>
      <c r="AF95" s="94">
        <f ca="1">OFFSET(TblConstr[[#This Row],[Tot DM]],1,0)*dm_gems</f>
        <v>0</v>
      </c>
      <c r="AG95" s="142"/>
      <c r="AH95" s="156">
        <f ca="1">MIN(race_platinum_bonus + IF(TblMagic[[#This Row],[Active Alch Frost]]&gt;0,alch_frost_bonus,IF(Magic!AE95&gt;0,midas_bonus)) + TblImps[[#This Row],[Science]] - TblProd[[#This Row],[Guard]]*(0.02 + tech_5_7*TblTech[[#This Row],[5-7]]) + tech_1_5*TblTech[[#This Row],[1-5]] + tech_4_4*TblTech[[#This Row],[4-4]] + IF(TblMagic[[#This Row],[Active Infernal Command]]&gt;0,demonic_pact_plat,0), 0.5)</f>
        <v>0</v>
      </c>
      <c r="AI9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5" s="156">
        <f ca="1">race_lumber_bonus+ IF(TblMagic[[#This Row],[Active Gaia''s Blessing]]&gt;0,gaias_blessing_lumber)+ tech_1_3*TblTech[[#This Row],[1-3]] + tech_1_6*TblTech[[#This Row],[1-6]] + tech_3_3*TblTech[[#This Row],[3-3]]</f>
        <v>0</v>
      </c>
      <c r="AK95" s="156">
        <f ca="1">race_mana_bonus+ 0 + TblImps[[#This Row],[Spires]] + tech_1_2*TblTech[[#This Row],[1-2]] + tech_3_4*TblTech[[#This Row],[3-4]]</f>
        <v>0</v>
      </c>
      <c r="AL95" s="156">
        <f ca="1">race_ore_bonus + IF(TblMagic[[#This Row],[Active Miner''s Sight]]&gt;0,miners_sight_bonus,IF(TblMagic[[#This Row],[Active Mining Strength]]&gt;0,mining_strength_bonus)) +  tech_1_6*TblTech[[#This Row],[1-6]]</f>
        <v>0</v>
      </c>
      <c r="AM95" s="156">
        <f>race_gem_bonus+ tech_3_2*TblTech[[#This Row],[3-2]] + tech_4_3*TblTech[[#This Row],[4-3]] + tech_6_2*TblTech[[#This Row],[6-2]]</f>
        <v>0</v>
      </c>
      <c r="AN95" s="142"/>
      <c r="AO95" s="94">
        <f ca="1">TblProd[[#This Row],[Food]]*food_decay * (1 + tech_2_1*TblTech[[#This Row],[2-1]] + tech_2_8*TblTech[[#This Row],[2-8]] + IF(AND(TblMagic[[#This Row],[Active DnD]]&lt;12,TblMagic[[#This Row],[Active DnD]]&gt;5),1,0))</f>
        <v>1452.82</v>
      </c>
      <c r="AP95" s="94">
        <f ca="1">(1+race_food_consumption)*TblPop[[#This Row],[Total]]*food_per_person*(1+tech_1_10*TblTech[[#This Row],[1-10]]+tech_7_5*TblTech[[#This Row],[7-5]] + IF(TblMagic[[#This Row],[Active Infernal Command]]&gt;0,demonic_pact_food_cons,0))</f>
        <v>269</v>
      </c>
      <c r="AQ95" s="94">
        <f ca="1">TblProd[[#This Row],[Lumber]]*lumber_rot * (1 + tech_2_1*TblTech[[#This Row],[2-1]] + tech_2_8*TblTech[[#This Row],[2-8]] + tech_5_2*TblTech[[#This Row],[5-2]] + IF(AND(TblMagic[[#This Row],[Active DnD]]&lt;12,TblMagic[[#This Row],[Active DnD]]&gt;5),1,0))</f>
        <v>659.4</v>
      </c>
      <c r="AR95" s="94">
        <f ca="1">TblProd[[#This Row],[Mana]]*mana_drain * (1 + tech_2_1*TblTech[[#This Row],[2-1]] + tech_2_8*TblTech[[#This Row],[2-8]])</f>
        <v>0</v>
      </c>
      <c r="AS95" s="154"/>
      <c r="AT95" s="94">
        <f ca="1">TblExplore[[#This Row],[Platinum (2)]]+TblConstr[[#This Row],[Total Plat Cost]]+TblMili[[#This Row],[Plat Cost]]+TblRezone[[#This Row],[Platinum cost]]+TblImps[[#This Row],[P1]]-TblProd[[#This Row],[Bank Plat]]</f>
        <v>0</v>
      </c>
      <c r="AU95" s="94">
        <f ca="1">TblConstr[[#This Row],[Total Lum Cost]]+TblImps[[#This Row],[L1]]-TblProd[[#This Row],[Bank Lumber]] + Military!$CO$25*TblMili[[#This Row],[Sec. rec. Cost]]</f>
        <v>0</v>
      </c>
      <c r="AV95" s="94">
        <f ca="1">TblMagic[[#This Row],[Mana cost]] + Military!$CO$26*TblMili[[#This Row],[Sec. rec. Cost]]</f>
        <v>0</v>
      </c>
      <c r="AW95" s="94">
        <f ca="1">Military!$CO$24*TblMili[[#This Row],[Sec. rec. Cost]]+TblImps[[#This Row],[O1]]-TblProd[[#This Row],[Bank Ore]]</f>
        <v>0</v>
      </c>
      <c r="AX95" s="94">
        <f>TblImps[[#This Row],[G1]]-TblProd[[#This Row],[Bank Gems]]</f>
        <v>0</v>
      </c>
      <c r="AY95" s="142"/>
      <c r="AZ95" s="61" t="b">
        <f ca="1">IF(TblProd[[#This Row],[Set Guard]]&lt;&gt;"",TblProd[[#This Row],[Set Guard]],OFFSET(TblProd[[#This Row],[Guard]],-1,0))</f>
        <v>0</v>
      </c>
      <c r="BA95" s="153"/>
      <c r="BB95" s="45">
        <f>TblProd[[#This Row],[Hour]]</f>
        <v>56</v>
      </c>
      <c r="BC95" s="158">
        <f>-TblProd[[#This Row],[Bank Lumber]] / 2 + -TblProd[[#This Row],[Bank Gems]] * 2 + -TblProd[[#This Row],[Bank Ore]] / 2</f>
        <v>0</v>
      </c>
      <c r="BD95" s="158"/>
      <c r="BE95" s="158"/>
      <c r="BF95" s="158"/>
      <c r="BG95" s="159">
        <f ca="1">TblProd[[#This Row],[Time]]</f>
        <v>46050.791666666446</v>
      </c>
      <c r="BH95" s="45" t="str">
        <f>IF(AND(TblProd[[#This Row],[Bank Plat]]=0,TblProd[[#This Row],[Bank Lumber]]=0,TblProd[[#This Row],[Bank Ore]]=0,TblProd[[#This Row],[Bank Gems]]=0),"",IF(TblProd[[#This Row],[Bank Plat]]&gt;0,IF((TblProd[[#This Row],[Bank Lumber]]+TblProd[[#This Row],[Bank Ore]])/2+TblProd[[#This Row],[Bank Gems]]*2+ROUNDUP(TblProd[[#This Row],[Bank Plat]]/(1 + tech_2_2*Techs!Y95),0)=0,"Ok","Nope"),IF(TblProd[[#This Row],[Bank Lumber]]&gt;0,IF((TblProd[[#This Row],[Bank Plat]]+TblProd[[#This Row],[Bank Ore]])/2+TblProd[[#This Row],[Bank Gems]]*2+ROUNDUP(TblProd[[#This Row],[Bank Lumber]]/(1 + tech_2_2*Techs!Y95),0)=0,"Ok","Nope"),IF(TblProd[[#This Row],[Bank Ore]]&gt;0,IF((TblProd[[#This Row],[Bank Plat]]+TblProd[[#This Row],[Bank Lumber]])/2+TblProd[[#This Row],[Bank Gems]]*2+ROUNDUP(TblProd[[#This Row],[Bank Ore]]/(1 + tech_2_2*Techs!Y95),0)=0,"Ok","Nope")))))</f>
        <v/>
      </c>
      <c r="BI95" s="94">
        <f ca="1">TblProd[[#This Row],[Platinum]]</f>
        <v>191427</v>
      </c>
      <c r="BJ95" s="94">
        <f ca="1">TblProd[[#This Row],[Food]]</f>
        <v>145282</v>
      </c>
      <c r="BK95" s="94">
        <f ca="1">TblProd[[#This Row],[Lumber]]</f>
        <v>65940</v>
      </c>
      <c r="BL95" s="94">
        <f ca="1">TblProd[[#This Row],[Mana]]</f>
        <v>0</v>
      </c>
      <c r="BM95" s="94">
        <f ca="1">TblProd[[#This Row],[Ore]]</f>
        <v>0</v>
      </c>
    </row>
    <row r="96" spans="1:65" x14ac:dyDescent="0.2">
      <c r="A96" s="137">
        <f t="shared" si="0"/>
        <v>57</v>
      </c>
      <c r="B96" s="152">
        <f ca="1">TblImps[[#This Row],[Time]]</f>
        <v>46050.83333333311</v>
      </c>
      <c r="C96" s="153"/>
      <c r="D96" s="154"/>
      <c r="E96" s="94">
        <f ca="1">TblConstr[[#This Row],[Land]]</f>
        <v>110</v>
      </c>
      <c r="F96" s="94">
        <f ca="1">TblPop[[#This Row],[Peasants]]</f>
        <v>399</v>
      </c>
      <c r="G96" s="94">
        <f ca="1">TblMili[[#This Row],[Networth (2)]]</f>
        <v>2450</v>
      </c>
      <c r="H96" s="94">
        <f ca="1">OFFSET(TblProd[[#This Row],[Platinum]],-1,0)+OFFSET(TblProd[[#This Row],[Plat/hr]],-1,0) - TblProd[[#This Row],[Expenses Platinum]] + IF(TblProd[[#This Row],[Plat Bonus]],TblPop[[#This Row],[Peasants]]*4) + SUM(TblConstr[[#This Row],[Dest Hom]:[Dest Doc]])*TblConstr[[#This Row],[CPA Platinum -DB]]*tech_3_3_2*TblTech[[#This Row],[3-3]]</f>
        <v>192515</v>
      </c>
      <c r="I96" s="94">
        <f ca="1">OFFSET(TblProd[[#This Row],[Food]],-1,0)+OFFSET(TblProd[[#This Row],[Food/hr]],-1,0)+ROUNDUP((TblConstr[[#This Row],[Farms]]*80+TblConstr[[#This Row],[Docks]]*35)*(1+OFFSET(TblProd[[#This Row],[Bonus Food/hr]],-1,0)),0)</f>
        <v>146140</v>
      </c>
      <c r="J96" s="94">
        <f ca="1">OFFSET(TblProd[[#This Row],[Lumber]],-1,0)+OFFSET(TblProd[[#This Row],[Lumber/hr]],-1,0) - TblProd[[#This Row],[Expenses Lumber]] + SUM(TblConstr[[#This Row],[Dest Hom]:[Dest Doc]])*TblConstr[[#This Row],[CPA Lumber -DB]]*tech_3_3_2*TblTech[[#This Row],[3-3]]</f>
        <v>66281</v>
      </c>
      <c r="K96" s="94">
        <f ca="1">OFFSET(TblProd[[#This Row],[Mana]],-1,0)+OFFSET(TblProd[[#This Row],[Mana/hr]],-1,0)- TblProd[[#This Row],[Expenses Mana]]</f>
        <v>0</v>
      </c>
      <c r="L96" s="94">
        <f ca="1">OFFSET(TblProd[[#This Row],[Ore]],-1,0)+OFFSET(TblProd[[#This Row],[Ore/hr]],-1,0) -TblProd[[#This Row],[Expenses Ore]]</f>
        <v>0</v>
      </c>
      <c r="M96" s="94">
        <f ca="1">OFFSET(TblProd[[#This Row],[Gems]],-1,0)+OFFSET(TblProd[[#This Row],[Gems/hr]],-1,0) - TblProd[[#This Row],[Expenses Gems]]</f>
        <v>0</v>
      </c>
      <c r="N96" s="94">
        <f ca="1">OFFSET(TblProd[[#This Row],[Boats]],-1,0)+OFFSET(TblProd[[#This Row],[Boats/hr]],-1,0)</f>
        <v>0</v>
      </c>
      <c r="O96" s="94">
        <f ca="1">OFFSET(TblProd[[#This Row],[Prestige]],-1,0)</f>
        <v>250</v>
      </c>
      <c r="P9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6" s="94">
        <f ca="1">MAX(_xlfn.CEILING.MATH(TblProd[[#This Row],[Land]]*2.5+IFERROR(OFFSET(TblTech[[#This Row],[Sum of tech]],-1,0)*50,0)),3750)</f>
        <v>3750</v>
      </c>
      <c r="R96" s="142"/>
      <c r="S96" s="94">
        <f ca="1">ROUNDDOWN(TblProd[[#This Row],[Raw Plat/hr]]*(1+TblProd[[#This Row],[Bonus Plat/hr]]),0)</f>
        <v>1077</v>
      </c>
      <c r="T96" s="94">
        <f ca="1">ROUND(TblProd[[#This Row],[Raw Food/hr]]*(1+TblProd[[#This Row],[Bonus Food/hr]])-TblProd[[#This Row],[Food decay]]-TblProd[[#This Row],[Food eaten]],0)</f>
        <v>850</v>
      </c>
      <c r="U96" s="94">
        <f ca="1">ROUND(TblProd[[#This Row],[Raw Lumber/hr]]*(1+TblProd[[#This Row],[Bonus Lumber/hr]])-TblProd[[#This Row],[Lumber rot]],0)</f>
        <v>337</v>
      </c>
      <c r="V96" s="94">
        <f ca="1">ROUND(TblProd[[#This Row],[Raw Mana/hr]]*(1+TblProd[[#This Row],[Bonus Mana/hr]])-TblProd[[#This Row],[Mana drain]],0)</f>
        <v>0</v>
      </c>
      <c r="W96" s="94">
        <f ca="1">ROUNDDOWN(TblProd[[#This Row],[Raw Ore/hr]]*(1+TblProd[[#This Row],[Bonux Ore/hr]]),0)</f>
        <v>0</v>
      </c>
      <c r="X96" s="94">
        <f ca="1">ROUNDDOWN(TblProd[[#This Row],[Raw Gems/hr]]*(1+TblProd[[#This Row],[Bonus Gems/hr]]),0)</f>
        <v>0</v>
      </c>
      <c r="Y96" s="155">
        <f ca="1">OFFSET(TblConstr[[#This Row],[Tot Doc]],1,0)*dock_boats_hr * (1 + tech_4_1*TblTech[[#This Row],[4-1]])</f>
        <v>0</v>
      </c>
      <c r="Z96" s="154"/>
      <c r="AA96" s="94">
        <f ca="1">TblPop[[#This Row],[Peasants]]*tax*TblPop[[#This Row],[Employment]] + (Construction!AZ97+Construction!BX97)*(alch_plat+(Magic!AN96&gt;0)*alchemist_flame_bonus)</f>
        <v>1077.3000000000002</v>
      </c>
      <c r="AB96" s="94">
        <f ca="1">TblConstr[[#This Row],[Tot Farm]]*farm_food + TblConstr[[#This Row],[Tot Doc]]*dock_food</f>
        <v>2400</v>
      </c>
      <c r="AC96" s="94">
        <f ca="1">TblConstr[[#This Row],[Tot Ly]]*ly_lumber + TblConstr[[#This Row],[Tot Hav]]*fh_lumber + IF(race="Wood Elf",TblMili[[#This Row],[Unit 2]]*MIN(TblMili[[#This Row],[Homeland%]]/wisp_bonus,wisp_cap),0)</f>
        <v>1000</v>
      </c>
      <c r="AD96" s="94">
        <f ca="1">OFFSET(TblConstr[[#This Row],[Tot Tow]],1,0)*(tower_mana + tech_4_5*TblTech[[#This Row],[4-5]]) + OFFSET(TblConstr[[#This Row],[Tot WG]],1,0)*wg_mana_prod</f>
        <v>0</v>
      </c>
      <c r="AE96" s="94">
        <f ca="1">OFFSET(TblConstr[[#This Row],[Tot OM]],1,0)*om_ore+IF(race="Dwarf",TblMili[[#This Row],[Unit 2]]*0.5,0)</f>
        <v>0</v>
      </c>
      <c r="AF96" s="94">
        <f ca="1">OFFSET(TblConstr[[#This Row],[Tot DM]],1,0)*dm_gems</f>
        <v>0</v>
      </c>
      <c r="AG96" s="142"/>
      <c r="AH96" s="156">
        <f ca="1">MIN(race_platinum_bonus + IF(TblMagic[[#This Row],[Active Alch Frost]]&gt;0,alch_frost_bonus,IF(Magic!AE96&gt;0,midas_bonus)) + TblImps[[#This Row],[Science]] - TblProd[[#This Row],[Guard]]*(0.02 + tech_5_7*TblTech[[#This Row],[5-7]]) + tech_1_5*TblTech[[#This Row],[1-5]] + tech_4_4*TblTech[[#This Row],[4-4]] + IF(TblMagic[[#This Row],[Active Infernal Command]]&gt;0,demonic_pact_plat,0), 0.5)</f>
        <v>0</v>
      </c>
      <c r="AI9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6" s="156">
        <f ca="1">race_lumber_bonus+ IF(TblMagic[[#This Row],[Active Gaia''s Blessing]]&gt;0,gaias_blessing_lumber)+ tech_1_3*TblTech[[#This Row],[1-3]] + tech_1_6*TblTech[[#This Row],[1-6]] + tech_3_3*TblTech[[#This Row],[3-3]]</f>
        <v>0</v>
      </c>
      <c r="AK96" s="156">
        <f ca="1">race_mana_bonus+ 0 + TblImps[[#This Row],[Spires]] + tech_1_2*TblTech[[#This Row],[1-2]] + tech_3_4*TblTech[[#This Row],[3-4]]</f>
        <v>0</v>
      </c>
      <c r="AL96" s="156">
        <f ca="1">race_ore_bonus + IF(TblMagic[[#This Row],[Active Miner''s Sight]]&gt;0,miners_sight_bonus,IF(TblMagic[[#This Row],[Active Mining Strength]]&gt;0,mining_strength_bonus)) +  tech_1_6*TblTech[[#This Row],[1-6]]</f>
        <v>0</v>
      </c>
      <c r="AM96" s="156">
        <f>race_gem_bonus+ tech_3_2*TblTech[[#This Row],[3-2]] + tech_4_3*TblTech[[#This Row],[4-3]] + tech_6_2*TblTech[[#This Row],[6-2]]</f>
        <v>0</v>
      </c>
      <c r="AN96" s="142"/>
      <c r="AO96" s="94">
        <f ca="1">TblProd[[#This Row],[Food]]*food_decay * (1 + tech_2_1*TblTech[[#This Row],[2-1]] + tech_2_8*TblTech[[#This Row],[2-8]] + IF(AND(TblMagic[[#This Row],[Active DnD]]&lt;12,TblMagic[[#This Row],[Active DnD]]&gt;5),1,0))</f>
        <v>1461.4</v>
      </c>
      <c r="AP96" s="94">
        <f ca="1">(1+race_food_consumption)*TblPop[[#This Row],[Total]]*food_per_person*(1+tech_1_10*TblTech[[#This Row],[1-10]]+tech_7_5*TblTech[[#This Row],[7-5]] + IF(TblMagic[[#This Row],[Active Infernal Command]]&gt;0,demonic_pact_food_cons,0))</f>
        <v>269</v>
      </c>
      <c r="AQ96" s="94">
        <f ca="1">TblProd[[#This Row],[Lumber]]*lumber_rot * (1 + tech_2_1*TblTech[[#This Row],[2-1]] + tech_2_8*TblTech[[#This Row],[2-8]] + tech_5_2*TblTech[[#This Row],[5-2]] + IF(AND(TblMagic[[#This Row],[Active DnD]]&lt;12,TblMagic[[#This Row],[Active DnD]]&gt;5),1,0))</f>
        <v>662.81000000000006</v>
      </c>
      <c r="AR96" s="94">
        <f ca="1">TblProd[[#This Row],[Mana]]*mana_drain * (1 + tech_2_1*TblTech[[#This Row],[2-1]] + tech_2_8*TblTech[[#This Row],[2-8]])</f>
        <v>0</v>
      </c>
      <c r="AS96" s="154"/>
      <c r="AT96" s="94">
        <f ca="1">TblExplore[[#This Row],[Platinum (2)]]+TblConstr[[#This Row],[Total Plat Cost]]+TblMili[[#This Row],[Plat Cost]]+TblRezone[[#This Row],[Platinum cost]]+TblImps[[#This Row],[P1]]-TblProd[[#This Row],[Bank Plat]]</f>
        <v>0</v>
      </c>
      <c r="AU96" s="94">
        <f ca="1">TblConstr[[#This Row],[Total Lum Cost]]+TblImps[[#This Row],[L1]]-TblProd[[#This Row],[Bank Lumber]] + Military!$CO$25*TblMili[[#This Row],[Sec. rec. Cost]]</f>
        <v>0</v>
      </c>
      <c r="AV96" s="94">
        <f ca="1">TblMagic[[#This Row],[Mana cost]] + Military!$CO$26*TblMili[[#This Row],[Sec. rec. Cost]]</f>
        <v>0</v>
      </c>
      <c r="AW96" s="94">
        <f ca="1">Military!$CO$24*TblMili[[#This Row],[Sec. rec. Cost]]+TblImps[[#This Row],[O1]]-TblProd[[#This Row],[Bank Ore]]</f>
        <v>0</v>
      </c>
      <c r="AX96" s="94">
        <f>TblImps[[#This Row],[G1]]-TblProd[[#This Row],[Bank Gems]]</f>
        <v>0</v>
      </c>
      <c r="AY96" s="142"/>
      <c r="AZ96" s="61" t="b">
        <f ca="1">IF(TblProd[[#This Row],[Set Guard]]&lt;&gt;"",TblProd[[#This Row],[Set Guard]],OFFSET(TblProd[[#This Row],[Guard]],-1,0))</f>
        <v>0</v>
      </c>
      <c r="BA96" s="153"/>
      <c r="BB96" s="45">
        <f>TblProd[[#This Row],[Hour]]</f>
        <v>57</v>
      </c>
      <c r="BC96" s="158">
        <f>-TblProd[[#This Row],[Bank Lumber]] / 2 + -TblProd[[#This Row],[Bank Gems]] * 2 + -TblProd[[#This Row],[Bank Ore]] / 2</f>
        <v>0</v>
      </c>
      <c r="BD96" s="158"/>
      <c r="BE96" s="158"/>
      <c r="BF96" s="158"/>
      <c r="BG96" s="159">
        <f ca="1">TblProd[[#This Row],[Time]]</f>
        <v>46050.83333333311</v>
      </c>
      <c r="BH96" s="45" t="str">
        <f>IF(AND(TblProd[[#This Row],[Bank Plat]]=0,TblProd[[#This Row],[Bank Lumber]]=0,TblProd[[#This Row],[Bank Ore]]=0,TblProd[[#This Row],[Bank Gems]]=0),"",IF(TblProd[[#This Row],[Bank Plat]]&gt;0,IF((TblProd[[#This Row],[Bank Lumber]]+TblProd[[#This Row],[Bank Ore]])/2+TblProd[[#This Row],[Bank Gems]]*2+ROUNDUP(TblProd[[#This Row],[Bank Plat]]/(1 + tech_2_2*Techs!Y96),0)=0,"Ok","Nope"),IF(TblProd[[#This Row],[Bank Lumber]]&gt;0,IF((TblProd[[#This Row],[Bank Plat]]+TblProd[[#This Row],[Bank Ore]])/2+TblProd[[#This Row],[Bank Gems]]*2+ROUNDUP(TblProd[[#This Row],[Bank Lumber]]/(1 + tech_2_2*Techs!Y96),0)=0,"Ok","Nope"),IF(TblProd[[#This Row],[Bank Ore]]&gt;0,IF((TblProd[[#This Row],[Bank Plat]]+TblProd[[#This Row],[Bank Lumber]])/2+TblProd[[#This Row],[Bank Gems]]*2+ROUNDUP(TblProd[[#This Row],[Bank Ore]]/(1 + tech_2_2*Techs!Y96),0)=0,"Ok","Nope")))))</f>
        <v/>
      </c>
      <c r="BI96" s="94">
        <f ca="1">TblProd[[#This Row],[Platinum]]</f>
        <v>192515</v>
      </c>
      <c r="BJ96" s="94">
        <f ca="1">TblProd[[#This Row],[Food]]</f>
        <v>146140</v>
      </c>
      <c r="BK96" s="94">
        <f ca="1">TblProd[[#This Row],[Lumber]]</f>
        <v>66281</v>
      </c>
      <c r="BL96" s="94">
        <f ca="1">TblProd[[#This Row],[Mana]]</f>
        <v>0</v>
      </c>
      <c r="BM96" s="94">
        <f ca="1">TblProd[[#This Row],[Ore]]</f>
        <v>0</v>
      </c>
    </row>
    <row r="97" spans="1:65" x14ac:dyDescent="0.2">
      <c r="A97" s="137">
        <f t="shared" si="0"/>
        <v>58</v>
      </c>
      <c r="B97" s="152">
        <f ca="1">TblImps[[#This Row],[Time]]</f>
        <v>46050.874999999774</v>
      </c>
      <c r="C97" s="153"/>
      <c r="D97" s="154"/>
      <c r="E97" s="94">
        <f ca="1">TblConstr[[#This Row],[Land]]</f>
        <v>110</v>
      </c>
      <c r="F97" s="94">
        <f ca="1">TblPop[[#This Row],[Peasants]]</f>
        <v>395</v>
      </c>
      <c r="G97" s="94">
        <f ca="1">TblMili[[#This Row],[Networth (2)]]</f>
        <v>2450</v>
      </c>
      <c r="H97" s="94">
        <f ca="1">OFFSET(TblProd[[#This Row],[Platinum]],-1,0)+OFFSET(TblProd[[#This Row],[Plat/hr]],-1,0) - TblProd[[#This Row],[Expenses Platinum]] + IF(TblProd[[#This Row],[Plat Bonus]],TblPop[[#This Row],[Peasants]]*4) + SUM(TblConstr[[#This Row],[Dest Hom]:[Dest Doc]])*TblConstr[[#This Row],[CPA Platinum -DB]]*tech_3_3_2*TblTech[[#This Row],[3-3]]</f>
        <v>193592</v>
      </c>
      <c r="I97" s="94">
        <f ca="1">OFFSET(TblProd[[#This Row],[Food]],-1,0)+OFFSET(TblProd[[#This Row],[Food/hr]],-1,0)+ROUNDUP((TblConstr[[#This Row],[Farms]]*80+TblConstr[[#This Row],[Docks]]*35)*(1+OFFSET(TblProd[[#This Row],[Bonus Food/hr]],-1,0)),0)</f>
        <v>146990</v>
      </c>
      <c r="J97" s="94">
        <f ca="1">OFFSET(TblProd[[#This Row],[Lumber]],-1,0)+OFFSET(TblProd[[#This Row],[Lumber/hr]],-1,0) - TblProd[[#This Row],[Expenses Lumber]] + SUM(TblConstr[[#This Row],[Dest Hom]:[Dest Doc]])*TblConstr[[#This Row],[CPA Lumber -DB]]*tech_3_3_2*TblTech[[#This Row],[3-3]]</f>
        <v>66618</v>
      </c>
      <c r="K97" s="94">
        <f ca="1">OFFSET(TblProd[[#This Row],[Mana]],-1,0)+OFFSET(TblProd[[#This Row],[Mana/hr]],-1,0)- TblProd[[#This Row],[Expenses Mana]]</f>
        <v>0</v>
      </c>
      <c r="L97" s="94">
        <f ca="1">OFFSET(TblProd[[#This Row],[Ore]],-1,0)+OFFSET(TblProd[[#This Row],[Ore/hr]],-1,0) -TblProd[[#This Row],[Expenses Ore]]</f>
        <v>0</v>
      </c>
      <c r="M97" s="94">
        <f ca="1">OFFSET(TblProd[[#This Row],[Gems]],-1,0)+OFFSET(TblProd[[#This Row],[Gems/hr]],-1,0) - TblProd[[#This Row],[Expenses Gems]]</f>
        <v>0</v>
      </c>
      <c r="N97" s="94">
        <f ca="1">OFFSET(TblProd[[#This Row],[Boats]],-1,0)+OFFSET(TblProd[[#This Row],[Boats/hr]],-1,0)</f>
        <v>0</v>
      </c>
      <c r="O97" s="94">
        <f ca="1">OFFSET(TblProd[[#This Row],[Prestige]],-1,0)</f>
        <v>250</v>
      </c>
      <c r="P9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7" s="94">
        <f ca="1">MAX(_xlfn.CEILING.MATH(TblProd[[#This Row],[Land]]*2.5+IFERROR(OFFSET(TblTech[[#This Row],[Sum of tech]],-1,0)*50,0)),3750)</f>
        <v>3750</v>
      </c>
      <c r="R97" s="142"/>
      <c r="S97" s="94">
        <f ca="1">ROUNDDOWN(TblProd[[#This Row],[Raw Plat/hr]]*(1+TblProd[[#This Row],[Bonus Plat/hr]]),0)</f>
        <v>1066</v>
      </c>
      <c r="T97" s="94">
        <f ca="1">ROUND(TblProd[[#This Row],[Raw Food/hr]]*(1+TblProd[[#This Row],[Bonus Food/hr]])-TblProd[[#This Row],[Food decay]]-TblProd[[#This Row],[Food eaten]],0)</f>
        <v>841</v>
      </c>
      <c r="U97" s="94">
        <f ca="1">ROUND(TblProd[[#This Row],[Raw Lumber/hr]]*(1+TblProd[[#This Row],[Bonus Lumber/hr]])-TblProd[[#This Row],[Lumber rot]],0)</f>
        <v>334</v>
      </c>
      <c r="V97" s="94">
        <f ca="1">ROUND(TblProd[[#This Row],[Raw Mana/hr]]*(1+TblProd[[#This Row],[Bonus Mana/hr]])-TblProd[[#This Row],[Mana drain]],0)</f>
        <v>0</v>
      </c>
      <c r="W97" s="94">
        <f ca="1">ROUNDDOWN(TblProd[[#This Row],[Raw Ore/hr]]*(1+TblProd[[#This Row],[Bonux Ore/hr]]),0)</f>
        <v>0</v>
      </c>
      <c r="X97" s="94">
        <f ca="1">ROUNDDOWN(TblProd[[#This Row],[Raw Gems/hr]]*(1+TblProd[[#This Row],[Bonus Gems/hr]]),0)</f>
        <v>0</v>
      </c>
      <c r="Y97" s="155">
        <f ca="1">OFFSET(TblConstr[[#This Row],[Tot Doc]],1,0)*dock_boats_hr * (1 + tech_4_1*TblTech[[#This Row],[4-1]])</f>
        <v>0</v>
      </c>
      <c r="Z97" s="154"/>
      <c r="AA97" s="94">
        <f ca="1">TblPop[[#This Row],[Peasants]]*tax*TblPop[[#This Row],[Employment]] + (Construction!AZ98+Construction!BX98)*(alch_plat+(Magic!AN97&gt;0)*alchemist_flame_bonus)</f>
        <v>1066.5</v>
      </c>
      <c r="AB97" s="94">
        <f ca="1">TblConstr[[#This Row],[Tot Farm]]*farm_food + TblConstr[[#This Row],[Tot Doc]]*dock_food</f>
        <v>2400</v>
      </c>
      <c r="AC97" s="94">
        <f ca="1">TblConstr[[#This Row],[Tot Ly]]*ly_lumber + TblConstr[[#This Row],[Tot Hav]]*fh_lumber + IF(race="Wood Elf",TblMili[[#This Row],[Unit 2]]*MIN(TblMili[[#This Row],[Homeland%]]/wisp_bonus,wisp_cap),0)</f>
        <v>1000</v>
      </c>
      <c r="AD97" s="94">
        <f ca="1">OFFSET(TblConstr[[#This Row],[Tot Tow]],1,0)*(tower_mana + tech_4_5*TblTech[[#This Row],[4-5]]) + OFFSET(TblConstr[[#This Row],[Tot WG]],1,0)*wg_mana_prod</f>
        <v>0</v>
      </c>
      <c r="AE97" s="94">
        <f ca="1">OFFSET(TblConstr[[#This Row],[Tot OM]],1,0)*om_ore+IF(race="Dwarf",TblMili[[#This Row],[Unit 2]]*0.5,0)</f>
        <v>0</v>
      </c>
      <c r="AF97" s="94">
        <f ca="1">OFFSET(TblConstr[[#This Row],[Tot DM]],1,0)*dm_gems</f>
        <v>0</v>
      </c>
      <c r="AG97" s="142"/>
      <c r="AH97" s="156">
        <f ca="1">MIN(race_platinum_bonus + IF(TblMagic[[#This Row],[Active Alch Frost]]&gt;0,alch_frost_bonus,IF(Magic!AE97&gt;0,midas_bonus)) + TblImps[[#This Row],[Science]] - TblProd[[#This Row],[Guard]]*(0.02 + tech_5_7*TblTech[[#This Row],[5-7]]) + tech_1_5*TblTech[[#This Row],[1-5]] + tech_4_4*TblTech[[#This Row],[4-4]] + IF(TblMagic[[#This Row],[Active Infernal Command]]&gt;0,demonic_pact_plat,0), 0.5)</f>
        <v>0</v>
      </c>
      <c r="AI9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7" s="156">
        <f ca="1">race_lumber_bonus+ IF(TblMagic[[#This Row],[Active Gaia''s Blessing]]&gt;0,gaias_blessing_lumber)+ tech_1_3*TblTech[[#This Row],[1-3]] + tech_1_6*TblTech[[#This Row],[1-6]] + tech_3_3*TblTech[[#This Row],[3-3]]</f>
        <v>0</v>
      </c>
      <c r="AK97" s="156">
        <f ca="1">race_mana_bonus+ 0 + TblImps[[#This Row],[Spires]] + tech_1_2*TblTech[[#This Row],[1-2]] + tech_3_4*TblTech[[#This Row],[3-4]]</f>
        <v>0</v>
      </c>
      <c r="AL97" s="156">
        <f ca="1">race_ore_bonus + IF(TblMagic[[#This Row],[Active Miner''s Sight]]&gt;0,miners_sight_bonus,IF(TblMagic[[#This Row],[Active Mining Strength]]&gt;0,mining_strength_bonus)) +  tech_1_6*TblTech[[#This Row],[1-6]]</f>
        <v>0</v>
      </c>
      <c r="AM97" s="156">
        <f>race_gem_bonus+ tech_3_2*TblTech[[#This Row],[3-2]] + tech_4_3*TblTech[[#This Row],[4-3]] + tech_6_2*TblTech[[#This Row],[6-2]]</f>
        <v>0</v>
      </c>
      <c r="AN97" s="142"/>
      <c r="AO97" s="94">
        <f ca="1">TblProd[[#This Row],[Food]]*food_decay * (1 + tech_2_1*TblTech[[#This Row],[2-1]] + tech_2_8*TblTech[[#This Row],[2-8]] + IF(AND(TblMagic[[#This Row],[Active DnD]]&lt;12,TblMagic[[#This Row],[Active DnD]]&gt;5),1,0))</f>
        <v>1469.9</v>
      </c>
      <c r="AP97" s="94">
        <f ca="1">(1+race_food_consumption)*TblPop[[#This Row],[Total]]*food_per_person*(1+tech_1_10*TblTech[[#This Row],[1-10]]+tech_7_5*TblTech[[#This Row],[7-5]] + IF(TblMagic[[#This Row],[Active Infernal Command]]&gt;0,demonic_pact_food_cons,0))</f>
        <v>269</v>
      </c>
      <c r="AQ97" s="94">
        <f ca="1">TblProd[[#This Row],[Lumber]]*lumber_rot * (1 + tech_2_1*TblTech[[#This Row],[2-1]] + tech_2_8*TblTech[[#This Row],[2-8]] + tech_5_2*TblTech[[#This Row],[5-2]] + IF(AND(TblMagic[[#This Row],[Active DnD]]&lt;12,TblMagic[[#This Row],[Active DnD]]&gt;5),1,0))</f>
        <v>666.18000000000006</v>
      </c>
      <c r="AR97" s="94">
        <f ca="1">TblProd[[#This Row],[Mana]]*mana_drain * (1 + tech_2_1*TblTech[[#This Row],[2-1]] + tech_2_8*TblTech[[#This Row],[2-8]])</f>
        <v>0</v>
      </c>
      <c r="AS97" s="154"/>
      <c r="AT97" s="94">
        <f ca="1">TblExplore[[#This Row],[Platinum (2)]]+TblConstr[[#This Row],[Total Plat Cost]]+TblMili[[#This Row],[Plat Cost]]+TblRezone[[#This Row],[Platinum cost]]+TblImps[[#This Row],[P1]]-TblProd[[#This Row],[Bank Plat]]</f>
        <v>0</v>
      </c>
      <c r="AU97" s="94">
        <f ca="1">TblConstr[[#This Row],[Total Lum Cost]]+TblImps[[#This Row],[L1]]-TblProd[[#This Row],[Bank Lumber]] + Military!$CO$25*TblMili[[#This Row],[Sec. rec. Cost]]</f>
        <v>0</v>
      </c>
      <c r="AV97" s="94">
        <f ca="1">TblMagic[[#This Row],[Mana cost]] + Military!$CO$26*TblMili[[#This Row],[Sec. rec. Cost]]</f>
        <v>0</v>
      </c>
      <c r="AW97" s="94">
        <f ca="1">Military!$CO$24*TblMili[[#This Row],[Sec. rec. Cost]]+TblImps[[#This Row],[O1]]-TblProd[[#This Row],[Bank Ore]]</f>
        <v>0</v>
      </c>
      <c r="AX97" s="94">
        <f>TblImps[[#This Row],[G1]]-TblProd[[#This Row],[Bank Gems]]</f>
        <v>0</v>
      </c>
      <c r="AY97" s="142"/>
      <c r="AZ97" s="61" t="b">
        <f ca="1">IF(TblProd[[#This Row],[Set Guard]]&lt;&gt;"",TblProd[[#This Row],[Set Guard]],OFFSET(TblProd[[#This Row],[Guard]],-1,0))</f>
        <v>0</v>
      </c>
      <c r="BA97" s="153"/>
      <c r="BB97" s="45">
        <f>TblProd[[#This Row],[Hour]]</f>
        <v>58</v>
      </c>
      <c r="BC97" s="158">
        <f>-TblProd[[#This Row],[Bank Lumber]] / 2 + -TblProd[[#This Row],[Bank Gems]] * 2 + -TblProd[[#This Row],[Bank Ore]] / 2</f>
        <v>0</v>
      </c>
      <c r="BD97" s="158"/>
      <c r="BE97" s="158"/>
      <c r="BF97" s="158"/>
      <c r="BG97" s="159">
        <f ca="1">TblProd[[#This Row],[Time]]</f>
        <v>46050.874999999774</v>
      </c>
      <c r="BH97" s="45" t="str">
        <f>IF(AND(TblProd[[#This Row],[Bank Plat]]=0,TblProd[[#This Row],[Bank Lumber]]=0,TblProd[[#This Row],[Bank Ore]]=0,TblProd[[#This Row],[Bank Gems]]=0),"",IF(TblProd[[#This Row],[Bank Plat]]&gt;0,IF((TblProd[[#This Row],[Bank Lumber]]+TblProd[[#This Row],[Bank Ore]])/2+TblProd[[#This Row],[Bank Gems]]*2+ROUNDUP(TblProd[[#This Row],[Bank Plat]]/(1 + tech_2_2*Techs!Y97),0)=0,"Ok","Nope"),IF(TblProd[[#This Row],[Bank Lumber]]&gt;0,IF((TblProd[[#This Row],[Bank Plat]]+TblProd[[#This Row],[Bank Ore]])/2+TblProd[[#This Row],[Bank Gems]]*2+ROUNDUP(TblProd[[#This Row],[Bank Lumber]]/(1 + tech_2_2*Techs!Y97),0)=0,"Ok","Nope"),IF(TblProd[[#This Row],[Bank Ore]]&gt;0,IF((TblProd[[#This Row],[Bank Plat]]+TblProd[[#This Row],[Bank Lumber]])/2+TblProd[[#This Row],[Bank Gems]]*2+ROUNDUP(TblProd[[#This Row],[Bank Ore]]/(1 + tech_2_2*Techs!Y97),0)=0,"Ok","Nope")))))</f>
        <v/>
      </c>
      <c r="BI97" s="94">
        <f ca="1">TblProd[[#This Row],[Platinum]]</f>
        <v>193592</v>
      </c>
      <c r="BJ97" s="94">
        <f ca="1">TblProd[[#This Row],[Food]]</f>
        <v>146990</v>
      </c>
      <c r="BK97" s="94">
        <f ca="1">TblProd[[#This Row],[Lumber]]</f>
        <v>66618</v>
      </c>
      <c r="BL97" s="94">
        <f ca="1">TblProd[[#This Row],[Mana]]</f>
        <v>0</v>
      </c>
      <c r="BM97" s="94">
        <f ca="1">TblProd[[#This Row],[Ore]]</f>
        <v>0</v>
      </c>
    </row>
    <row r="98" spans="1:65" x14ac:dyDescent="0.2">
      <c r="A98" s="137">
        <f t="shared" si="0"/>
        <v>59</v>
      </c>
      <c r="B98" s="152">
        <f ca="1">TblImps[[#This Row],[Time]]</f>
        <v>46050.916666666439</v>
      </c>
      <c r="C98" s="153"/>
      <c r="D98" s="154"/>
      <c r="E98" s="94">
        <f ca="1">TblConstr[[#This Row],[Land]]</f>
        <v>110</v>
      </c>
      <c r="F98" s="94">
        <f ca="1">TblPop[[#This Row],[Peasants]]</f>
        <v>391</v>
      </c>
      <c r="G98" s="94">
        <f ca="1">TblMili[[#This Row],[Networth (2)]]</f>
        <v>2450</v>
      </c>
      <c r="H98" s="94">
        <f ca="1">OFFSET(TblProd[[#This Row],[Platinum]],-1,0)+OFFSET(TblProd[[#This Row],[Plat/hr]],-1,0) - TblProd[[#This Row],[Expenses Platinum]] + IF(TblProd[[#This Row],[Plat Bonus]],TblPop[[#This Row],[Peasants]]*4) + SUM(TblConstr[[#This Row],[Dest Hom]:[Dest Doc]])*TblConstr[[#This Row],[CPA Platinum -DB]]*tech_3_3_2*TblTech[[#This Row],[3-3]]</f>
        <v>194658</v>
      </c>
      <c r="I98" s="94">
        <f ca="1">OFFSET(TblProd[[#This Row],[Food]],-1,0)+OFFSET(TblProd[[#This Row],[Food/hr]],-1,0)+ROUNDUP((TblConstr[[#This Row],[Farms]]*80+TblConstr[[#This Row],[Docks]]*35)*(1+OFFSET(TblProd[[#This Row],[Bonus Food/hr]],-1,0)),0)</f>
        <v>147831</v>
      </c>
      <c r="J98" s="94">
        <f ca="1">OFFSET(TblProd[[#This Row],[Lumber]],-1,0)+OFFSET(TblProd[[#This Row],[Lumber/hr]],-1,0) - TblProd[[#This Row],[Expenses Lumber]] + SUM(TblConstr[[#This Row],[Dest Hom]:[Dest Doc]])*TblConstr[[#This Row],[CPA Lumber -DB]]*tech_3_3_2*TblTech[[#This Row],[3-3]]</f>
        <v>66952</v>
      </c>
      <c r="K98" s="94">
        <f ca="1">OFFSET(TblProd[[#This Row],[Mana]],-1,0)+OFFSET(TblProd[[#This Row],[Mana/hr]],-1,0)- TblProd[[#This Row],[Expenses Mana]]</f>
        <v>0</v>
      </c>
      <c r="L98" s="94">
        <f ca="1">OFFSET(TblProd[[#This Row],[Ore]],-1,0)+OFFSET(TblProd[[#This Row],[Ore/hr]],-1,0) -TblProd[[#This Row],[Expenses Ore]]</f>
        <v>0</v>
      </c>
      <c r="M98" s="94">
        <f ca="1">OFFSET(TblProd[[#This Row],[Gems]],-1,0)+OFFSET(TblProd[[#This Row],[Gems/hr]],-1,0) - TblProd[[#This Row],[Expenses Gems]]</f>
        <v>0</v>
      </c>
      <c r="N98" s="94">
        <f ca="1">OFFSET(TblProd[[#This Row],[Boats]],-1,0)+OFFSET(TblProd[[#This Row],[Boats/hr]],-1,0)</f>
        <v>0</v>
      </c>
      <c r="O98" s="94">
        <f ca="1">OFFSET(TblProd[[#This Row],[Prestige]],-1,0)</f>
        <v>250</v>
      </c>
      <c r="P9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8" s="94">
        <f ca="1">MAX(_xlfn.CEILING.MATH(TblProd[[#This Row],[Land]]*2.5+IFERROR(OFFSET(TblTech[[#This Row],[Sum of tech]],-1,0)*50,0)),3750)</f>
        <v>3750</v>
      </c>
      <c r="R98" s="142"/>
      <c r="S98" s="94">
        <f ca="1">ROUNDDOWN(TblProd[[#This Row],[Raw Plat/hr]]*(1+TblProd[[#This Row],[Bonus Plat/hr]]),0)</f>
        <v>1055</v>
      </c>
      <c r="T98" s="94">
        <f ca="1">ROUND(TblProd[[#This Row],[Raw Food/hr]]*(1+TblProd[[#This Row],[Bonus Food/hr]])-TblProd[[#This Row],[Food decay]]-TblProd[[#This Row],[Food eaten]],0)</f>
        <v>833</v>
      </c>
      <c r="U98" s="94">
        <f ca="1">ROUND(TblProd[[#This Row],[Raw Lumber/hr]]*(1+TblProd[[#This Row],[Bonus Lumber/hr]])-TblProd[[#This Row],[Lumber rot]],0)</f>
        <v>330</v>
      </c>
      <c r="V98" s="94">
        <f ca="1">ROUND(TblProd[[#This Row],[Raw Mana/hr]]*(1+TblProd[[#This Row],[Bonus Mana/hr]])-TblProd[[#This Row],[Mana drain]],0)</f>
        <v>0</v>
      </c>
      <c r="W98" s="94">
        <f ca="1">ROUNDDOWN(TblProd[[#This Row],[Raw Ore/hr]]*(1+TblProd[[#This Row],[Bonux Ore/hr]]),0)</f>
        <v>0</v>
      </c>
      <c r="X98" s="94">
        <f ca="1">ROUNDDOWN(TblProd[[#This Row],[Raw Gems/hr]]*(1+TblProd[[#This Row],[Bonus Gems/hr]]),0)</f>
        <v>0</v>
      </c>
      <c r="Y98" s="155">
        <f ca="1">OFFSET(TblConstr[[#This Row],[Tot Doc]],1,0)*dock_boats_hr * (1 + tech_4_1*TblTech[[#This Row],[4-1]])</f>
        <v>0</v>
      </c>
      <c r="Z98" s="154"/>
      <c r="AA98" s="94">
        <f ca="1">TblPop[[#This Row],[Peasants]]*tax*TblPop[[#This Row],[Employment]] + (Construction!AZ99+Construction!BX99)*(alch_plat+(Magic!AN98&gt;0)*alchemist_flame_bonus)</f>
        <v>1055.7</v>
      </c>
      <c r="AB98" s="94">
        <f ca="1">TblConstr[[#This Row],[Tot Farm]]*farm_food + TblConstr[[#This Row],[Tot Doc]]*dock_food</f>
        <v>2400</v>
      </c>
      <c r="AC98" s="94">
        <f ca="1">TblConstr[[#This Row],[Tot Ly]]*ly_lumber + TblConstr[[#This Row],[Tot Hav]]*fh_lumber + IF(race="Wood Elf",TblMili[[#This Row],[Unit 2]]*MIN(TblMili[[#This Row],[Homeland%]]/wisp_bonus,wisp_cap),0)</f>
        <v>1000</v>
      </c>
      <c r="AD98" s="94">
        <f ca="1">OFFSET(TblConstr[[#This Row],[Tot Tow]],1,0)*(tower_mana + tech_4_5*TblTech[[#This Row],[4-5]]) + OFFSET(TblConstr[[#This Row],[Tot WG]],1,0)*wg_mana_prod</f>
        <v>0</v>
      </c>
      <c r="AE98" s="94">
        <f ca="1">OFFSET(TblConstr[[#This Row],[Tot OM]],1,0)*om_ore+IF(race="Dwarf",TblMili[[#This Row],[Unit 2]]*0.5,0)</f>
        <v>0</v>
      </c>
      <c r="AF98" s="94">
        <f ca="1">OFFSET(TblConstr[[#This Row],[Tot DM]],1,0)*dm_gems</f>
        <v>0</v>
      </c>
      <c r="AG98" s="142"/>
      <c r="AH98" s="156">
        <f ca="1">MIN(race_platinum_bonus + IF(TblMagic[[#This Row],[Active Alch Frost]]&gt;0,alch_frost_bonus,IF(Magic!AE98&gt;0,midas_bonus)) + TblImps[[#This Row],[Science]] - TblProd[[#This Row],[Guard]]*(0.02 + tech_5_7*TblTech[[#This Row],[5-7]]) + tech_1_5*TblTech[[#This Row],[1-5]] + tech_4_4*TblTech[[#This Row],[4-4]] + IF(TblMagic[[#This Row],[Active Infernal Command]]&gt;0,demonic_pact_plat,0), 0.5)</f>
        <v>0</v>
      </c>
      <c r="AI9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8" s="156">
        <f ca="1">race_lumber_bonus+ IF(TblMagic[[#This Row],[Active Gaia''s Blessing]]&gt;0,gaias_blessing_lumber)+ tech_1_3*TblTech[[#This Row],[1-3]] + tech_1_6*TblTech[[#This Row],[1-6]] + tech_3_3*TblTech[[#This Row],[3-3]]</f>
        <v>0</v>
      </c>
      <c r="AK98" s="156">
        <f ca="1">race_mana_bonus+ 0 + TblImps[[#This Row],[Spires]] + tech_1_2*TblTech[[#This Row],[1-2]] + tech_3_4*TblTech[[#This Row],[3-4]]</f>
        <v>0</v>
      </c>
      <c r="AL98" s="156">
        <f ca="1">race_ore_bonus + IF(TblMagic[[#This Row],[Active Miner''s Sight]]&gt;0,miners_sight_bonus,IF(TblMagic[[#This Row],[Active Mining Strength]]&gt;0,mining_strength_bonus)) +  tech_1_6*TblTech[[#This Row],[1-6]]</f>
        <v>0</v>
      </c>
      <c r="AM98" s="156">
        <f>race_gem_bonus+ tech_3_2*TblTech[[#This Row],[3-2]] + tech_4_3*TblTech[[#This Row],[4-3]] + tech_6_2*TblTech[[#This Row],[6-2]]</f>
        <v>0</v>
      </c>
      <c r="AN98" s="142"/>
      <c r="AO98" s="94">
        <f ca="1">TblProd[[#This Row],[Food]]*food_decay * (1 + tech_2_1*TblTech[[#This Row],[2-1]] + tech_2_8*TblTech[[#This Row],[2-8]] + IF(AND(TblMagic[[#This Row],[Active DnD]]&lt;12,TblMagic[[#This Row],[Active DnD]]&gt;5),1,0))</f>
        <v>1478.31</v>
      </c>
      <c r="AP98" s="94">
        <f ca="1">(1+race_food_consumption)*TblPop[[#This Row],[Total]]*food_per_person*(1+tech_1_10*TblTech[[#This Row],[1-10]]+tech_7_5*TblTech[[#This Row],[7-5]] + IF(TblMagic[[#This Row],[Active Infernal Command]]&gt;0,demonic_pact_food_cons,0))</f>
        <v>269</v>
      </c>
      <c r="AQ98" s="94">
        <f ca="1">TblProd[[#This Row],[Lumber]]*lumber_rot * (1 + tech_2_1*TblTech[[#This Row],[2-1]] + tech_2_8*TblTech[[#This Row],[2-8]] + tech_5_2*TblTech[[#This Row],[5-2]] + IF(AND(TblMagic[[#This Row],[Active DnD]]&lt;12,TblMagic[[#This Row],[Active DnD]]&gt;5),1,0))</f>
        <v>669.52</v>
      </c>
      <c r="AR98" s="94">
        <f ca="1">TblProd[[#This Row],[Mana]]*mana_drain * (1 + tech_2_1*TblTech[[#This Row],[2-1]] + tech_2_8*TblTech[[#This Row],[2-8]])</f>
        <v>0</v>
      </c>
      <c r="AS98" s="154"/>
      <c r="AT98" s="94">
        <f ca="1">TblExplore[[#This Row],[Platinum (2)]]+TblConstr[[#This Row],[Total Plat Cost]]+TblMili[[#This Row],[Plat Cost]]+TblRezone[[#This Row],[Platinum cost]]+TblImps[[#This Row],[P1]]-TblProd[[#This Row],[Bank Plat]]</f>
        <v>0</v>
      </c>
      <c r="AU98" s="94">
        <f ca="1">TblConstr[[#This Row],[Total Lum Cost]]+TblImps[[#This Row],[L1]]-TblProd[[#This Row],[Bank Lumber]] + Military!$CO$25*TblMili[[#This Row],[Sec. rec. Cost]]</f>
        <v>0</v>
      </c>
      <c r="AV98" s="94">
        <f ca="1">TblMagic[[#This Row],[Mana cost]] + Military!$CO$26*TblMili[[#This Row],[Sec. rec. Cost]]</f>
        <v>0</v>
      </c>
      <c r="AW98" s="94">
        <f ca="1">Military!$CO$24*TblMili[[#This Row],[Sec. rec. Cost]]+TblImps[[#This Row],[O1]]-TblProd[[#This Row],[Bank Ore]]</f>
        <v>0</v>
      </c>
      <c r="AX98" s="94">
        <f>TblImps[[#This Row],[G1]]-TblProd[[#This Row],[Bank Gems]]</f>
        <v>0</v>
      </c>
      <c r="AY98" s="142"/>
      <c r="AZ98" s="61" t="b">
        <f ca="1">IF(TblProd[[#This Row],[Set Guard]]&lt;&gt;"",TblProd[[#This Row],[Set Guard]],OFFSET(TblProd[[#This Row],[Guard]],-1,0))</f>
        <v>0</v>
      </c>
      <c r="BA98" s="153"/>
      <c r="BB98" s="45">
        <f>TblProd[[#This Row],[Hour]]</f>
        <v>59</v>
      </c>
      <c r="BC98" s="158">
        <f>-TblProd[[#This Row],[Bank Lumber]] / 2 + -TblProd[[#This Row],[Bank Gems]] * 2 + -TblProd[[#This Row],[Bank Ore]] / 2</f>
        <v>0</v>
      </c>
      <c r="BD98" s="158"/>
      <c r="BE98" s="158"/>
      <c r="BF98" s="158"/>
      <c r="BG98" s="159">
        <f ca="1">TblProd[[#This Row],[Time]]</f>
        <v>46050.916666666439</v>
      </c>
      <c r="BH98" s="45" t="str">
        <f>IF(AND(TblProd[[#This Row],[Bank Plat]]=0,TblProd[[#This Row],[Bank Lumber]]=0,TblProd[[#This Row],[Bank Ore]]=0,TblProd[[#This Row],[Bank Gems]]=0),"",IF(TblProd[[#This Row],[Bank Plat]]&gt;0,IF((TblProd[[#This Row],[Bank Lumber]]+TblProd[[#This Row],[Bank Ore]])/2+TblProd[[#This Row],[Bank Gems]]*2+ROUNDUP(TblProd[[#This Row],[Bank Plat]]/(1 + tech_2_2*Techs!Y98),0)=0,"Ok","Nope"),IF(TblProd[[#This Row],[Bank Lumber]]&gt;0,IF((TblProd[[#This Row],[Bank Plat]]+TblProd[[#This Row],[Bank Ore]])/2+TblProd[[#This Row],[Bank Gems]]*2+ROUNDUP(TblProd[[#This Row],[Bank Lumber]]/(1 + tech_2_2*Techs!Y98),0)=0,"Ok","Nope"),IF(TblProd[[#This Row],[Bank Ore]]&gt;0,IF((TblProd[[#This Row],[Bank Plat]]+TblProd[[#This Row],[Bank Lumber]])/2+TblProd[[#This Row],[Bank Gems]]*2+ROUNDUP(TblProd[[#This Row],[Bank Ore]]/(1 + tech_2_2*Techs!Y98),0)=0,"Ok","Nope")))))</f>
        <v/>
      </c>
      <c r="BI98" s="94">
        <f ca="1">TblProd[[#This Row],[Platinum]]</f>
        <v>194658</v>
      </c>
      <c r="BJ98" s="94">
        <f ca="1">TblProd[[#This Row],[Food]]</f>
        <v>147831</v>
      </c>
      <c r="BK98" s="94">
        <f ca="1">TblProd[[#This Row],[Lumber]]</f>
        <v>66952</v>
      </c>
      <c r="BL98" s="94">
        <f ca="1">TblProd[[#This Row],[Mana]]</f>
        <v>0</v>
      </c>
      <c r="BM98" s="94">
        <f ca="1">TblProd[[#This Row],[Ore]]</f>
        <v>0</v>
      </c>
    </row>
    <row r="99" spans="1:65" x14ac:dyDescent="0.2">
      <c r="A99" s="137">
        <f t="shared" si="0"/>
        <v>60</v>
      </c>
      <c r="B99" s="152">
        <f ca="1">TblImps[[#This Row],[Time]]</f>
        <v>46050.958333333103</v>
      </c>
      <c r="C99" s="153"/>
      <c r="D99" s="154"/>
      <c r="E99" s="94">
        <f ca="1">TblConstr[[#This Row],[Land]]</f>
        <v>110</v>
      </c>
      <c r="F99" s="94">
        <f ca="1">TblPop[[#This Row],[Peasants]]</f>
        <v>387</v>
      </c>
      <c r="G99" s="94">
        <f ca="1">TblMili[[#This Row],[Networth (2)]]</f>
        <v>2450</v>
      </c>
      <c r="H99" s="94">
        <f ca="1">OFFSET(TblProd[[#This Row],[Platinum]],-1,0)+OFFSET(TblProd[[#This Row],[Plat/hr]],-1,0) - TblProd[[#This Row],[Expenses Platinum]] + IF(TblProd[[#This Row],[Plat Bonus]],TblPop[[#This Row],[Peasants]]*4) + SUM(TblConstr[[#This Row],[Dest Hom]:[Dest Doc]])*TblConstr[[#This Row],[CPA Platinum -DB]]*tech_3_3_2*TblTech[[#This Row],[3-3]]</f>
        <v>195713</v>
      </c>
      <c r="I99" s="94">
        <f ca="1">OFFSET(TblProd[[#This Row],[Food]],-1,0)+OFFSET(TblProd[[#This Row],[Food/hr]],-1,0)+ROUNDUP((TblConstr[[#This Row],[Farms]]*80+TblConstr[[#This Row],[Docks]]*35)*(1+OFFSET(TblProd[[#This Row],[Bonus Food/hr]],-1,0)),0)</f>
        <v>148664</v>
      </c>
      <c r="J99" s="94">
        <f ca="1">OFFSET(TblProd[[#This Row],[Lumber]],-1,0)+OFFSET(TblProd[[#This Row],[Lumber/hr]],-1,0) - TblProd[[#This Row],[Expenses Lumber]] + SUM(TblConstr[[#This Row],[Dest Hom]:[Dest Doc]])*TblConstr[[#This Row],[CPA Lumber -DB]]*tech_3_3_2*TblTech[[#This Row],[3-3]]</f>
        <v>67282</v>
      </c>
      <c r="K99" s="94">
        <f ca="1">OFFSET(TblProd[[#This Row],[Mana]],-1,0)+OFFSET(TblProd[[#This Row],[Mana/hr]],-1,0)- TblProd[[#This Row],[Expenses Mana]]</f>
        <v>0</v>
      </c>
      <c r="L99" s="94">
        <f ca="1">OFFSET(TblProd[[#This Row],[Ore]],-1,0)+OFFSET(TblProd[[#This Row],[Ore/hr]],-1,0) -TblProd[[#This Row],[Expenses Ore]]</f>
        <v>0</v>
      </c>
      <c r="M99" s="94">
        <f ca="1">OFFSET(TblProd[[#This Row],[Gems]],-1,0)+OFFSET(TblProd[[#This Row],[Gems/hr]],-1,0) - TblProd[[#This Row],[Expenses Gems]]</f>
        <v>0</v>
      </c>
      <c r="N99" s="94">
        <f ca="1">OFFSET(TblProd[[#This Row],[Boats]],-1,0)+OFFSET(TblProd[[#This Row],[Boats/hr]],-1,0)</f>
        <v>0</v>
      </c>
      <c r="O99" s="94">
        <f ca="1">OFFSET(TblProd[[#This Row],[Prestige]],-1,0)</f>
        <v>250</v>
      </c>
      <c r="P9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99" s="94">
        <f ca="1">MAX(_xlfn.CEILING.MATH(TblProd[[#This Row],[Land]]*2.5+IFERROR(OFFSET(TblTech[[#This Row],[Sum of tech]],-1,0)*50,0)),3750)</f>
        <v>3750</v>
      </c>
      <c r="R99" s="142"/>
      <c r="S99" s="94">
        <f ca="1">ROUNDDOWN(TblProd[[#This Row],[Raw Plat/hr]]*(1+TblProd[[#This Row],[Bonus Plat/hr]]),0)</f>
        <v>1044</v>
      </c>
      <c r="T99" s="94">
        <f ca="1">ROUND(TblProd[[#This Row],[Raw Food/hr]]*(1+TblProd[[#This Row],[Bonus Food/hr]])-TblProd[[#This Row],[Food decay]]-TblProd[[#This Row],[Food eaten]],0)</f>
        <v>824</v>
      </c>
      <c r="U99" s="94">
        <f ca="1">ROUND(TblProd[[#This Row],[Raw Lumber/hr]]*(1+TblProd[[#This Row],[Bonus Lumber/hr]])-TblProd[[#This Row],[Lumber rot]],0)</f>
        <v>327</v>
      </c>
      <c r="V99" s="94">
        <f ca="1">ROUND(TblProd[[#This Row],[Raw Mana/hr]]*(1+TblProd[[#This Row],[Bonus Mana/hr]])-TblProd[[#This Row],[Mana drain]],0)</f>
        <v>0</v>
      </c>
      <c r="W99" s="94">
        <f ca="1">ROUNDDOWN(TblProd[[#This Row],[Raw Ore/hr]]*(1+TblProd[[#This Row],[Bonux Ore/hr]]),0)</f>
        <v>0</v>
      </c>
      <c r="X99" s="94">
        <f ca="1">ROUNDDOWN(TblProd[[#This Row],[Raw Gems/hr]]*(1+TblProd[[#This Row],[Bonus Gems/hr]]),0)</f>
        <v>0</v>
      </c>
      <c r="Y99" s="155">
        <f ca="1">OFFSET(TblConstr[[#This Row],[Tot Doc]],1,0)*dock_boats_hr * (1 + tech_4_1*TblTech[[#This Row],[4-1]])</f>
        <v>0</v>
      </c>
      <c r="Z99" s="154"/>
      <c r="AA99" s="94">
        <f ca="1">TblPop[[#This Row],[Peasants]]*tax*TblPop[[#This Row],[Employment]] + (Construction!AZ100+Construction!BX100)*(alch_plat+(Magic!AN99&gt;0)*alchemist_flame_bonus)</f>
        <v>1044.9000000000001</v>
      </c>
      <c r="AB99" s="94">
        <f ca="1">TblConstr[[#This Row],[Tot Farm]]*farm_food + TblConstr[[#This Row],[Tot Doc]]*dock_food</f>
        <v>2400</v>
      </c>
      <c r="AC99" s="94">
        <f ca="1">TblConstr[[#This Row],[Tot Ly]]*ly_lumber + TblConstr[[#This Row],[Tot Hav]]*fh_lumber + IF(race="Wood Elf",TblMili[[#This Row],[Unit 2]]*MIN(TblMili[[#This Row],[Homeland%]]/wisp_bonus,wisp_cap),0)</f>
        <v>1000</v>
      </c>
      <c r="AD99" s="94">
        <f ca="1">OFFSET(TblConstr[[#This Row],[Tot Tow]],1,0)*(tower_mana + tech_4_5*TblTech[[#This Row],[4-5]]) + OFFSET(TblConstr[[#This Row],[Tot WG]],1,0)*wg_mana_prod</f>
        <v>0</v>
      </c>
      <c r="AE99" s="94">
        <f ca="1">OFFSET(TblConstr[[#This Row],[Tot OM]],1,0)*om_ore+IF(race="Dwarf",TblMili[[#This Row],[Unit 2]]*0.5,0)</f>
        <v>0</v>
      </c>
      <c r="AF99" s="94">
        <f ca="1">OFFSET(TblConstr[[#This Row],[Tot DM]],1,0)*dm_gems</f>
        <v>0</v>
      </c>
      <c r="AG99" s="142"/>
      <c r="AH99" s="156">
        <f ca="1">MIN(race_platinum_bonus + IF(TblMagic[[#This Row],[Active Alch Frost]]&gt;0,alch_frost_bonus,IF(Magic!AE99&gt;0,midas_bonus)) + TblImps[[#This Row],[Science]] - TblProd[[#This Row],[Guard]]*(0.02 + tech_5_7*TblTech[[#This Row],[5-7]]) + tech_1_5*TblTech[[#This Row],[1-5]] + tech_4_4*TblTech[[#This Row],[4-4]] + IF(TblMagic[[#This Row],[Active Infernal Command]]&gt;0,demonic_pact_plat,0), 0.5)</f>
        <v>0</v>
      </c>
      <c r="AI9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99" s="156">
        <f ca="1">race_lumber_bonus+ IF(TblMagic[[#This Row],[Active Gaia''s Blessing]]&gt;0,gaias_blessing_lumber)+ tech_1_3*TblTech[[#This Row],[1-3]] + tech_1_6*TblTech[[#This Row],[1-6]] + tech_3_3*TblTech[[#This Row],[3-3]]</f>
        <v>0</v>
      </c>
      <c r="AK99" s="156">
        <f ca="1">race_mana_bonus+ 0 + TblImps[[#This Row],[Spires]] + tech_1_2*TblTech[[#This Row],[1-2]] + tech_3_4*TblTech[[#This Row],[3-4]]</f>
        <v>0</v>
      </c>
      <c r="AL99" s="156">
        <f ca="1">race_ore_bonus + IF(TblMagic[[#This Row],[Active Miner''s Sight]]&gt;0,miners_sight_bonus,IF(TblMagic[[#This Row],[Active Mining Strength]]&gt;0,mining_strength_bonus)) +  tech_1_6*TblTech[[#This Row],[1-6]]</f>
        <v>0</v>
      </c>
      <c r="AM99" s="156">
        <f>race_gem_bonus+ tech_3_2*TblTech[[#This Row],[3-2]] + tech_4_3*TblTech[[#This Row],[4-3]] + tech_6_2*TblTech[[#This Row],[6-2]]</f>
        <v>0</v>
      </c>
      <c r="AN99" s="142"/>
      <c r="AO99" s="94">
        <f ca="1">TblProd[[#This Row],[Food]]*food_decay * (1 + tech_2_1*TblTech[[#This Row],[2-1]] + tech_2_8*TblTech[[#This Row],[2-8]] + IF(AND(TblMagic[[#This Row],[Active DnD]]&lt;12,TblMagic[[#This Row],[Active DnD]]&gt;5),1,0))</f>
        <v>1486.64</v>
      </c>
      <c r="AP99" s="94">
        <f ca="1">(1+race_food_consumption)*TblPop[[#This Row],[Total]]*food_per_person*(1+tech_1_10*TblTech[[#This Row],[1-10]]+tech_7_5*TblTech[[#This Row],[7-5]] + IF(TblMagic[[#This Row],[Active Infernal Command]]&gt;0,demonic_pact_food_cons,0))</f>
        <v>269</v>
      </c>
      <c r="AQ99" s="94">
        <f ca="1">TblProd[[#This Row],[Lumber]]*lumber_rot * (1 + tech_2_1*TblTech[[#This Row],[2-1]] + tech_2_8*TblTech[[#This Row],[2-8]] + tech_5_2*TblTech[[#This Row],[5-2]] + IF(AND(TblMagic[[#This Row],[Active DnD]]&lt;12,TblMagic[[#This Row],[Active DnD]]&gt;5),1,0))</f>
        <v>672.82</v>
      </c>
      <c r="AR99" s="94">
        <f ca="1">TblProd[[#This Row],[Mana]]*mana_drain * (1 + tech_2_1*TblTech[[#This Row],[2-1]] + tech_2_8*TblTech[[#This Row],[2-8]])</f>
        <v>0</v>
      </c>
      <c r="AS99" s="154"/>
      <c r="AT99" s="94">
        <f ca="1">TblExplore[[#This Row],[Platinum (2)]]+TblConstr[[#This Row],[Total Plat Cost]]+TblMili[[#This Row],[Plat Cost]]+TblRezone[[#This Row],[Platinum cost]]+TblImps[[#This Row],[P1]]-TblProd[[#This Row],[Bank Plat]]</f>
        <v>0</v>
      </c>
      <c r="AU99" s="94">
        <f ca="1">TblConstr[[#This Row],[Total Lum Cost]]+TblImps[[#This Row],[L1]]-TblProd[[#This Row],[Bank Lumber]] + Military!$CO$25*TblMili[[#This Row],[Sec. rec. Cost]]</f>
        <v>0</v>
      </c>
      <c r="AV99" s="94">
        <f ca="1">TblMagic[[#This Row],[Mana cost]] + Military!$CO$26*TblMili[[#This Row],[Sec. rec. Cost]]</f>
        <v>0</v>
      </c>
      <c r="AW99" s="94">
        <f ca="1">Military!$CO$24*TblMili[[#This Row],[Sec. rec. Cost]]+TblImps[[#This Row],[O1]]-TblProd[[#This Row],[Bank Ore]]</f>
        <v>0</v>
      </c>
      <c r="AX99" s="94">
        <f>TblImps[[#This Row],[G1]]-TblProd[[#This Row],[Bank Gems]]</f>
        <v>0</v>
      </c>
      <c r="AY99" s="142"/>
      <c r="AZ99" s="61" t="b">
        <f ca="1">IF(TblProd[[#This Row],[Set Guard]]&lt;&gt;"",TblProd[[#This Row],[Set Guard]],OFFSET(TblProd[[#This Row],[Guard]],-1,0))</f>
        <v>0</v>
      </c>
      <c r="BA99" s="153"/>
      <c r="BB99" s="45">
        <f>TblProd[[#This Row],[Hour]]</f>
        <v>60</v>
      </c>
      <c r="BC99" s="158">
        <f>-TblProd[[#This Row],[Bank Lumber]] / 2 + -TblProd[[#This Row],[Bank Gems]] * 2 + -TblProd[[#This Row],[Bank Ore]] / 2</f>
        <v>0</v>
      </c>
      <c r="BD99" s="158"/>
      <c r="BE99" s="158"/>
      <c r="BF99" s="158"/>
      <c r="BG99" s="159">
        <f ca="1">TblProd[[#This Row],[Time]]</f>
        <v>46050.958333333103</v>
      </c>
      <c r="BH99" s="45" t="str">
        <f>IF(AND(TblProd[[#This Row],[Bank Plat]]=0,TblProd[[#This Row],[Bank Lumber]]=0,TblProd[[#This Row],[Bank Ore]]=0,TblProd[[#This Row],[Bank Gems]]=0),"",IF(TblProd[[#This Row],[Bank Plat]]&gt;0,IF((TblProd[[#This Row],[Bank Lumber]]+TblProd[[#This Row],[Bank Ore]])/2+TblProd[[#This Row],[Bank Gems]]*2+ROUNDUP(TblProd[[#This Row],[Bank Plat]]/(1 + tech_2_2*Techs!Y99),0)=0,"Ok","Nope"),IF(TblProd[[#This Row],[Bank Lumber]]&gt;0,IF((TblProd[[#This Row],[Bank Plat]]+TblProd[[#This Row],[Bank Ore]])/2+TblProd[[#This Row],[Bank Gems]]*2+ROUNDUP(TblProd[[#This Row],[Bank Lumber]]/(1 + tech_2_2*Techs!Y99),0)=0,"Ok","Nope"),IF(TblProd[[#This Row],[Bank Ore]]&gt;0,IF((TblProd[[#This Row],[Bank Plat]]+TblProd[[#This Row],[Bank Lumber]])/2+TblProd[[#This Row],[Bank Gems]]*2+ROUNDUP(TblProd[[#This Row],[Bank Ore]]/(1 + tech_2_2*Techs!Y99),0)=0,"Ok","Nope")))))</f>
        <v/>
      </c>
      <c r="BI99" s="94">
        <f ca="1">TblProd[[#This Row],[Platinum]]</f>
        <v>195713</v>
      </c>
      <c r="BJ99" s="94">
        <f ca="1">TblProd[[#This Row],[Food]]</f>
        <v>148664</v>
      </c>
      <c r="BK99" s="94">
        <f ca="1">TblProd[[#This Row],[Lumber]]</f>
        <v>67282</v>
      </c>
      <c r="BL99" s="94">
        <f ca="1">TblProd[[#This Row],[Mana]]</f>
        <v>0</v>
      </c>
      <c r="BM99" s="94">
        <f ca="1">TblProd[[#This Row],[Ore]]</f>
        <v>0</v>
      </c>
    </row>
    <row r="100" spans="1:65" x14ac:dyDescent="0.2">
      <c r="A100" s="137">
        <f t="shared" si="0"/>
        <v>61</v>
      </c>
      <c r="B100" s="152">
        <f ca="1">TblImps[[#This Row],[Time]]</f>
        <v>46050.999999999767</v>
      </c>
      <c r="C100" s="153"/>
      <c r="D100" s="154"/>
      <c r="E100" s="94">
        <f ca="1">TblConstr[[#This Row],[Land]]</f>
        <v>110</v>
      </c>
      <c r="F100" s="94">
        <f ca="1">TblPop[[#This Row],[Peasants]]</f>
        <v>383</v>
      </c>
      <c r="G100" s="94">
        <f ca="1">TblMili[[#This Row],[Networth (2)]]</f>
        <v>2450</v>
      </c>
      <c r="H100" s="94">
        <f ca="1">OFFSET(TblProd[[#This Row],[Platinum]],-1,0)+OFFSET(TblProd[[#This Row],[Plat/hr]],-1,0) - TblProd[[#This Row],[Expenses Platinum]] + IF(TblProd[[#This Row],[Plat Bonus]],TblPop[[#This Row],[Peasants]]*4) + SUM(TblConstr[[#This Row],[Dest Hom]:[Dest Doc]])*TblConstr[[#This Row],[CPA Platinum -DB]]*tech_3_3_2*TblTech[[#This Row],[3-3]]</f>
        <v>196757</v>
      </c>
      <c r="I100" s="94">
        <f ca="1">OFFSET(TblProd[[#This Row],[Food]],-1,0)+OFFSET(TblProd[[#This Row],[Food/hr]],-1,0)+ROUNDUP((TblConstr[[#This Row],[Farms]]*80+TblConstr[[#This Row],[Docks]]*35)*(1+OFFSET(TblProd[[#This Row],[Bonus Food/hr]],-1,0)),0)</f>
        <v>149488</v>
      </c>
      <c r="J100" s="94">
        <f ca="1">OFFSET(TblProd[[#This Row],[Lumber]],-1,0)+OFFSET(TblProd[[#This Row],[Lumber/hr]],-1,0) - TblProd[[#This Row],[Expenses Lumber]] + SUM(TblConstr[[#This Row],[Dest Hom]:[Dest Doc]])*TblConstr[[#This Row],[CPA Lumber -DB]]*tech_3_3_2*TblTech[[#This Row],[3-3]]</f>
        <v>67609</v>
      </c>
      <c r="K100" s="94">
        <f ca="1">OFFSET(TblProd[[#This Row],[Mana]],-1,0)+OFFSET(TblProd[[#This Row],[Mana/hr]],-1,0)- TblProd[[#This Row],[Expenses Mana]]</f>
        <v>0</v>
      </c>
      <c r="L100" s="94">
        <f ca="1">OFFSET(TblProd[[#This Row],[Ore]],-1,0)+OFFSET(TblProd[[#This Row],[Ore/hr]],-1,0) -TblProd[[#This Row],[Expenses Ore]]</f>
        <v>0</v>
      </c>
      <c r="M100" s="94">
        <f ca="1">OFFSET(TblProd[[#This Row],[Gems]],-1,0)+OFFSET(TblProd[[#This Row],[Gems/hr]],-1,0) - TblProd[[#This Row],[Expenses Gems]]</f>
        <v>0</v>
      </c>
      <c r="N100" s="94">
        <f ca="1">OFFSET(TblProd[[#This Row],[Boats]],-1,0)+OFFSET(TblProd[[#This Row],[Boats/hr]],-1,0)</f>
        <v>0</v>
      </c>
      <c r="O100" s="94">
        <f ca="1">OFFSET(TblProd[[#This Row],[Prestige]],-1,0)</f>
        <v>250</v>
      </c>
      <c r="P10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0" s="94">
        <f ca="1">MAX(_xlfn.CEILING.MATH(TblProd[[#This Row],[Land]]*2.5+IFERROR(OFFSET(TblTech[[#This Row],[Sum of tech]],-1,0)*50,0)),3750)</f>
        <v>3750</v>
      </c>
      <c r="R100" s="142"/>
      <c r="S100" s="94">
        <f ca="1">ROUNDDOWN(TblProd[[#This Row],[Raw Plat/hr]]*(1+TblProd[[#This Row],[Bonus Plat/hr]]),0)</f>
        <v>1034</v>
      </c>
      <c r="T100" s="94">
        <f ca="1">ROUND(TblProd[[#This Row],[Raw Food/hr]]*(1+TblProd[[#This Row],[Bonus Food/hr]])-TblProd[[#This Row],[Food decay]]-TblProd[[#This Row],[Food eaten]],0)</f>
        <v>816</v>
      </c>
      <c r="U100" s="94">
        <f ca="1">ROUND(TblProd[[#This Row],[Raw Lumber/hr]]*(1+TblProd[[#This Row],[Bonus Lumber/hr]])-TblProd[[#This Row],[Lumber rot]],0)</f>
        <v>324</v>
      </c>
      <c r="V100" s="94">
        <f ca="1">ROUND(TblProd[[#This Row],[Raw Mana/hr]]*(1+TblProd[[#This Row],[Bonus Mana/hr]])-TblProd[[#This Row],[Mana drain]],0)</f>
        <v>0</v>
      </c>
      <c r="W100" s="94">
        <f ca="1">ROUNDDOWN(TblProd[[#This Row],[Raw Ore/hr]]*(1+TblProd[[#This Row],[Bonux Ore/hr]]),0)</f>
        <v>0</v>
      </c>
      <c r="X100" s="94">
        <f ca="1">ROUNDDOWN(TblProd[[#This Row],[Raw Gems/hr]]*(1+TblProd[[#This Row],[Bonus Gems/hr]]),0)</f>
        <v>0</v>
      </c>
      <c r="Y100" s="155">
        <f ca="1">OFFSET(TblConstr[[#This Row],[Tot Doc]],1,0)*dock_boats_hr * (1 + tech_4_1*TblTech[[#This Row],[4-1]])</f>
        <v>0</v>
      </c>
      <c r="Z100" s="154"/>
      <c r="AA100" s="94">
        <f ca="1">TblPop[[#This Row],[Peasants]]*tax*TblPop[[#This Row],[Employment]] + (Construction!AZ101+Construction!BX101)*(alch_plat+(Magic!AN100&gt;0)*alchemist_flame_bonus)</f>
        <v>1034.1000000000001</v>
      </c>
      <c r="AB100" s="94">
        <f ca="1">TblConstr[[#This Row],[Tot Farm]]*farm_food + TblConstr[[#This Row],[Tot Doc]]*dock_food</f>
        <v>2400</v>
      </c>
      <c r="AC100" s="94">
        <f ca="1">TblConstr[[#This Row],[Tot Ly]]*ly_lumber + TblConstr[[#This Row],[Tot Hav]]*fh_lumber + IF(race="Wood Elf",TblMili[[#This Row],[Unit 2]]*MIN(TblMili[[#This Row],[Homeland%]]/wisp_bonus,wisp_cap),0)</f>
        <v>1000</v>
      </c>
      <c r="AD100" s="94">
        <f ca="1">OFFSET(TblConstr[[#This Row],[Tot Tow]],1,0)*(tower_mana + tech_4_5*TblTech[[#This Row],[4-5]]) + OFFSET(TblConstr[[#This Row],[Tot WG]],1,0)*wg_mana_prod</f>
        <v>0</v>
      </c>
      <c r="AE100" s="94">
        <f ca="1">OFFSET(TblConstr[[#This Row],[Tot OM]],1,0)*om_ore+IF(race="Dwarf",TblMili[[#This Row],[Unit 2]]*0.5,0)</f>
        <v>0</v>
      </c>
      <c r="AF100" s="94">
        <f ca="1">OFFSET(TblConstr[[#This Row],[Tot DM]],1,0)*dm_gems</f>
        <v>0</v>
      </c>
      <c r="AG100" s="142"/>
      <c r="AH100" s="156">
        <f ca="1">MIN(race_platinum_bonus + IF(TblMagic[[#This Row],[Active Alch Frost]]&gt;0,alch_frost_bonus,IF(Magic!AE100&gt;0,midas_bonus)) + TblImps[[#This Row],[Science]] - TblProd[[#This Row],[Guard]]*(0.02 + tech_5_7*TblTech[[#This Row],[5-7]]) + tech_1_5*TblTech[[#This Row],[1-5]] + tech_4_4*TblTech[[#This Row],[4-4]] + IF(TblMagic[[#This Row],[Active Infernal Command]]&gt;0,demonic_pact_plat,0), 0.5)</f>
        <v>0</v>
      </c>
      <c r="AI10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0" s="156">
        <f ca="1">race_lumber_bonus+ IF(TblMagic[[#This Row],[Active Gaia''s Blessing]]&gt;0,gaias_blessing_lumber)+ tech_1_3*TblTech[[#This Row],[1-3]] + tech_1_6*TblTech[[#This Row],[1-6]] + tech_3_3*TblTech[[#This Row],[3-3]]</f>
        <v>0</v>
      </c>
      <c r="AK100" s="156">
        <f ca="1">race_mana_bonus+ 0 + TblImps[[#This Row],[Spires]] + tech_1_2*TblTech[[#This Row],[1-2]] + tech_3_4*TblTech[[#This Row],[3-4]]</f>
        <v>0</v>
      </c>
      <c r="AL100" s="156">
        <f ca="1">race_ore_bonus + IF(TblMagic[[#This Row],[Active Miner''s Sight]]&gt;0,miners_sight_bonus,IF(TblMagic[[#This Row],[Active Mining Strength]]&gt;0,mining_strength_bonus)) +  tech_1_6*TblTech[[#This Row],[1-6]]</f>
        <v>0</v>
      </c>
      <c r="AM100" s="156">
        <f>race_gem_bonus+ tech_3_2*TblTech[[#This Row],[3-2]] + tech_4_3*TblTech[[#This Row],[4-3]] + tech_6_2*TblTech[[#This Row],[6-2]]</f>
        <v>0</v>
      </c>
      <c r="AN100" s="142"/>
      <c r="AO100" s="94">
        <f ca="1">TblProd[[#This Row],[Food]]*food_decay * (1 + tech_2_1*TblTech[[#This Row],[2-1]] + tech_2_8*TblTech[[#This Row],[2-8]] + IF(AND(TblMagic[[#This Row],[Active DnD]]&lt;12,TblMagic[[#This Row],[Active DnD]]&gt;5),1,0))</f>
        <v>1494.88</v>
      </c>
      <c r="AP100" s="94">
        <f ca="1">(1+race_food_consumption)*TblPop[[#This Row],[Total]]*food_per_person*(1+tech_1_10*TblTech[[#This Row],[1-10]]+tech_7_5*TblTech[[#This Row],[7-5]] + IF(TblMagic[[#This Row],[Active Infernal Command]]&gt;0,demonic_pact_food_cons,0))</f>
        <v>269</v>
      </c>
      <c r="AQ100" s="94">
        <f ca="1">TblProd[[#This Row],[Lumber]]*lumber_rot * (1 + tech_2_1*TblTech[[#This Row],[2-1]] + tech_2_8*TblTech[[#This Row],[2-8]] + tech_5_2*TblTech[[#This Row],[5-2]] + IF(AND(TblMagic[[#This Row],[Active DnD]]&lt;12,TblMagic[[#This Row],[Active DnD]]&gt;5),1,0))</f>
        <v>676.09</v>
      </c>
      <c r="AR100" s="94">
        <f ca="1">TblProd[[#This Row],[Mana]]*mana_drain * (1 + tech_2_1*TblTech[[#This Row],[2-1]] + tech_2_8*TblTech[[#This Row],[2-8]])</f>
        <v>0</v>
      </c>
      <c r="AS100" s="154"/>
      <c r="AT100" s="94">
        <f ca="1">TblExplore[[#This Row],[Platinum (2)]]+TblConstr[[#This Row],[Total Plat Cost]]+TblMili[[#This Row],[Plat Cost]]+TblRezone[[#This Row],[Platinum cost]]+TblImps[[#This Row],[P1]]-TblProd[[#This Row],[Bank Plat]]</f>
        <v>0</v>
      </c>
      <c r="AU100" s="94">
        <f ca="1">TblConstr[[#This Row],[Total Lum Cost]]+TblImps[[#This Row],[L1]]-TblProd[[#This Row],[Bank Lumber]] + Military!$CO$25*TblMili[[#This Row],[Sec. rec. Cost]]</f>
        <v>0</v>
      </c>
      <c r="AV100" s="94">
        <f ca="1">TblMagic[[#This Row],[Mana cost]] + Military!$CO$26*TblMili[[#This Row],[Sec. rec. Cost]]</f>
        <v>0</v>
      </c>
      <c r="AW100" s="94">
        <f ca="1">Military!$CO$24*TblMili[[#This Row],[Sec. rec. Cost]]+TblImps[[#This Row],[O1]]-TblProd[[#This Row],[Bank Ore]]</f>
        <v>0</v>
      </c>
      <c r="AX100" s="94">
        <f>TblImps[[#This Row],[G1]]-TblProd[[#This Row],[Bank Gems]]</f>
        <v>0</v>
      </c>
      <c r="AY100" s="142"/>
      <c r="AZ100" s="61" t="b">
        <f ca="1">IF(TblProd[[#This Row],[Set Guard]]&lt;&gt;"",TblProd[[#This Row],[Set Guard]],OFFSET(TblProd[[#This Row],[Guard]],-1,0))</f>
        <v>0</v>
      </c>
      <c r="BA100" s="153"/>
      <c r="BB100" s="45">
        <f>TblProd[[#This Row],[Hour]]</f>
        <v>61</v>
      </c>
      <c r="BC100" s="158">
        <f>-TblProd[[#This Row],[Bank Lumber]] / 2 + -TblProd[[#This Row],[Bank Gems]] * 2 + -TblProd[[#This Row],[Bank Ore]] / 2</f>
        <v>0</v>
      </c>
      <c r="BD100" s="158"/>
      <c r="BE100" s="158"/>
      <c r="BF100" s="158"/>
      <c r="BG100" s="159">
        <f ca="1">TblProd[[#This Row],[Time]]</f>
        <v>46050.999999999767</v>
      </c>
      <c r="BH100" s="45" t="str">
        <f>IF(AND(TblProd[[#This Row],[Bank Plat]]=0,TblProd[[#This Row],[Bank Lumber]]=0,TblProd[[#This Row],[Bank Ore]]=0,TblProd[[#This Row],[Bank Gems]]=0),"",IF(TblProd[[#This Row],[Bank Plat]]&gt;0,IF((TblProd[[#This Row],[Bank Lumber]]+TblProd[[#This Row],[Bank Ore]])/2+TblProd[[#This Row],[Bank Gems]]*2+ROUNDUP(TblProd[[#This Row],[Bank Plat]]/(1 + tech_2_2*Techs!Y100),0)=0,"Ok","Nope"),IF(TblProd[[#This Row],[Bank Lumber]]&gt;0,IF((TblProd[[#This Row],[Bank Plat]]+TblProd[[#This Row],[Bank Ore]])/2+TblProd[[#This Row],[Bank Gems]]*2+ROUNDUP(TblProd[[#This Row],[Bank Lumber]]/(1 + tech_2_2*Techs!Y100),0)=0,"Ok","Nope"),IF(TblProd[[#This Row],[Bank Ore]]&gt;0,IF((TblProd[[#This Row],[Bank Plat]]+TblProd[[#This Row],[Bank Lumber]])/2+TblProd[[#This Row],[Bank Gems]]*2+ROUNDUP(TblProd[[#This Row],[Bank Ore]]/(1 + tech_2_2*Techs!Y100),0)=0,"Ok","Nope")))))</f>
        <v/>
      </c>
      <c r="BI100" s="94">
        <f ca="1">TblProd[[#This Row],[Platinum]]</f>
        <v>196757</v>
      </c>
      <c r="BJ100" s="94">
        <f ca="1">TblProd[[#This Row],[Food]]</f>
        <v>149488</v>
      </c>
      <c r="BK100" s="94">
        <f ca="1">TblProd[[#This Row],[Lumber]]</f>
        <v>67609</v>
      </c>
      <c r="BL100" s="94">
        <f ca="1">TblProd[[#This Row],[Mana]]</f>
        <v>0</v>
      </c>
      <c r="BM100" s="94">
        <f ca="1">TblProd[[#This Row],[Ore]]</f>
        <v>0</v>
      </c>
    </row>
    <row r="101" spans="1:65" x14ac:dyDescent="0.2">
      <c r="A101" s="137">
        <f t="shared" si="0"/>
        <v>62</v>
      </c>
      <c r="B101" s="152">
        <f ca="1">TblImps[[#This Row],[Time]]</f>
        <v>46051.041666666431</v>
      </c>
      <c r="C101" s="153"/>
      <c r="D101" s="154"/>
      <c r="E101" s="94">
        <f ca="1">TblConstr[[#This Row],[Land]]</f>
        <v>110</v>
      </c>
      <c r="F101" s="94">
        <f ca="1">TblPop[[#This Row],[Peasants]]</f>
        <v>379</v>
      </c>
      <c r="G101" s="94">
        <f ca="1">TblMili[[#This Row],[Networth (2)]]</f>
        <v>2450</v>
      </c>
      <c r="H101" s="94">
        <f ca="1">OFFSET(TblProd[[#This Row],[Platinum]],-1,0)+OFFSET(TblProd[[#This Row],[Plat/hr]],-1,0) - TblProd[[#This Row],[Expenses Platinum]] + IF(TblProd[[#This Row],[Plat Bonus]],TblPop[[#This Row],[Peasants]]*4) + SUM(TblConstr[[#This Row],[Dest Hom]:[Dest Doc]])*TblConstr[[#This Row],[CPA Platinum -DB]]*tech_3_3_2*TblTech[[#This Row],[3-3]]</f>
        <v>197791</v>
      </c>
      <c r="I101" s="94">
        <f ca="1">OFFSET(TblProd[[#This Row],[Food]],-1,0)+OFFSET(TblProd[[#This Row],[Food/hr]],-1,0)+ROUNDUP((TblConstr[[#This Row],[Farms]]*80+TblConstr[[#This Row],[Docks]]*35)*(1+OFFSET(TblProd[[#This Row],[Bonus Food/hr]],-1,0)),0)</f>
        <v>150304</v>
      </c>
      <c r="J101" s="94">
        <f ca="1">OFFSET(TblProd[[#This Row],[Lumber]],-1,0)+OFFSET(TblProd[[#This Row],[Lumber/hr]],-1,0) - TblProd[[#This Row],[Expenses Lumber]] + SUM(TblConstr[[#This Row],[Dest Hom]:[Dest Doc]])*TblConstr[[#This Row],[CPA Lumber -DB]]*tech_3_3_2*TblTech[[#This Row],[3-3]]</f>
        <v>67933</v>
      </c>
      <c r="K101" s="94">
        <f ca="1">OFFSET(TblProd[[#This Row],[Mana]],-1,0)+OFFSET(TblProd[[#This Row],[Mana/hr]],-1,0)- TblProd[[#This Row],[Expenses Mana]]</f>
        <v>0</v>
      </c>
      <c r="L101" s="94">
        <f ca="1">OFFSET(TblProd[[#This Row],[Ore]],-1,0)+OFFSET(TblProd[[#This Row],[Ore/hr]],-1,0) -TblProd[[#This Row],[Expenses Ore]]</f>
        <v>0</v>
      </c>
      <c r="M101" s="94">
        <f ca="1">OFFSET(TblProd[[#This Row],[Gems]],-1,0)+OFFSET(TblProd[[#This Row],[Gems/hr]],-1,0) - TblProd[[#This Row],[Expenses Gems]]</f>
        <v>0</v>
      </c>
      <c r="N101" s="94">
        <f ca="1">OFFSET(TblProd[[#This Row],[Boats]],-1,0)+OFFSET(TblProd[[#This Row],[Boats/hr]],-1,0)</f>
        <v>0</v>
      </c>
      <c r="O101" s="94">
        <f ca="1">OFFSET(TblProd[[#This Row],[Prestige]],-1,0)</f>
        <v>250</v>
      </c>
      <c r="P10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1" s="94">
        <f ca="1">MAX(_xlfn.CEILING.MATH(TblProd[[#This Row],[Land]]*2.5+IFERROR(OFFSET(TblTech[[#This Row],[Sum of tech]],-1,0)*50,0)),3750)</f>
        <v>3750</v>
      </c>
      <c r="R101" s="142"/>
      <c r="S101" s="94">
        <f ca="1">ROUNDDOWN(TblProd[[#This Row],[Raw Plat/hr]]*(1+TblProd[[#This Row],[Bonus Plat/hr]]),0)</f>
        <v>1023</v>
      </c>
      <c r="T101" s="94">
        <f ca="1">ROUND(TblProd[[#This Row],[Raw Food/hr]]*(1+TblProd[[#This Row],[Bonus Food/hr]])-TblProd[[#This Row],[Food decay]]-TblProd[[#This Row],[Food eaten]],0)</f>
        <v>808</v>
      </c>
      <c r="U101" s="94">
        <f ca="1">ROUND(TblProd[[#This Row],[Raw Lumber/hr]]*(1+TblProd[[#This Row],[Bonus Lumber/hr]])-TblProd[[#This Row],[Lumber rot]],0)</f>
        <v>321</v>
      </c>
      <c r="V101" s="94">
        <f ca="1">ROUND(TblProd[[#This Row],[Raw Mana/hr]]*(1+TblProd[[#This Row],[Bonus Mana/hr]])-TblProd[[#This Row],[Mana drain]],0)</f>
        <v>0</v>
      </c>
      <c r="W101" s="94">
        <f ca="1">ROUNDDOWN(TblProd[[#This Row],[Raw Ore/hr]]*(1+TblProd[[#This Row],[Bonux Ore/hr]]),0)</f>
        <v>0</v>
      </c>
      <c r="X101" s="94">
        <f ca="1">ROUNDDOWN(TblProd[[#This Row],[Raw Gems/hr]]*(1+TblProd[[#This Row],[Bonus Gems/hr]]),0)</f>
        <v>0</v>
      </c>
      <c r="Y101" s="155">
        <f ca="1">OFFSET(TblConstr[[#This Row],[Tot Doc]],1,0)*dock_boats_hr * (1 + tech_4_1*TblTech[[#This Row],[4-1]])</f>
        <v>0</v>
      </c>
      <c r="Z101" s="154"/>
      <c r="AA101" s="94">
        <f ca="1">TblPop[[#This Row],[Peasants]]*tax*TblPop[[#This Row],[Employment]] + (Construction!AZ102+Construction!BX102)*(alch_plat+(Magic!AN101&gt;0)*alchemist_flame_bonus)</f>
        <v>1023.3000000000001</v>
      </c>
      <c r="AB101" s="94">
        <f ca="1">TblConstr[[#This Row],[Tot Farm]]*farm_food + TblConstr[[#This Row],[Tot Doc]]*dock_food</f>
        <v>2400</v>
      </c>
      <c r="AC101" s="94">
        <f ca="1">TblConstr[[#This Row],[Tot Ly]]*ly_lumber + TblConstr[[#This Row],[Tot Hav]]*fh_lumber + IF(race="Wood Elf",TblMili[[#This Row],[Unit 2]]*MIN(TblMili[[#This Row],[Homeland%]]/wisp_bonus,wisp_cap),0)</f>
        <v>1000</v>
      </c>
      <c r="AD101" s="94">
        <f ca="1">OFFSET(TblConstr[[#This Row],[Tot Tow]],1,0)*(tower_mana + tech_4_5*TblTech[[#This Row],[4-5]]) + OFFSET(TblConstr[[#This Row],[Tot WG]],1,0)*wg_mana_prod</f>
        <v>0</v>
      </c>
      <c r="AE101" s="94">
        <f ca="1">OFFSET(TblConstr[[#This Row],[Tot OM]],1,0)*om_ore+IF(race="Dwarf",TblMili[[#This Row],[Unit 2]]*0.5,0)</f>
        <v>0</v>
      </c>
      <c r="AF101" s="94">
        <f ca="1">OFFSET(TblConstr[[#This Row],[Tot DM]],1,0)*dm_gems</f>
        <v>0</v>
      </c>
      <c r="AG101" s="142"/>
      <c r="AH101" s="156">
        <f ca="1">MIN(race_platinum_bonus + IF(TblMagic[[#This Row],[Active Alch Frost]]&gt;0,alch_frost_bonus,IF(Magic!AE101&gt;0,midas_bonus)) + TblImps[[#This Row],[Science]] - TblProd[[#This Row],[Guard]]*(0.02 + tech_5_7*TblTech[[#This Row],[5-7]]) + tech_1_5*TblTech[[#This Row],[1-5]] + tech_4_4*TblTech[[#This Row],[4-4]] + IF(TblMagic[[#This Row],[Active Infernal Command]]&gt;0,demonic_pact_plat,0), 0.5)</f>
        <v>0</v>
      </c>
      <c r="AI10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1" s="156">
        <f ca="1">race_lumber_bonus+ IF(TblMagic[[#This Row],[Active Gaia''s Blessing]]&gt;0,gaias_blessing_lumber)+ tech_1_3*TblTech[[#This Row],[1-3]] + tech_1_6*TblTech[[#This Row],[1-6]] + tech_3_3*TblTech[[#This Row],[3-3]]</f>
        <v>0</v>
      </c>
      <c r="AK101" s="156">
        <f ca="1">race_mana_bonus+ 0 + TblImps[[#This Row],[Spires]] + tech_1_2*TblTech[[#This Row],[1-2]] + tech_3_4*TblTech[[#This Row],[3-4]]</f>
        <v>0</v>
      </c>
      <c r="AL101" s="156">
        <f ca="1">race_ore_bonus + IF(TblMagic[[#This Row],[Active Miner''s Sight]]&gt;0,miners_sight_bonus,IF(TblMagic[[#This Row],[Active Mining Strength]]&gt;0,mining_strength_bonus)) +  tech_1_6*TblTech[[#This Row],[1-6]]</f>
        <v>0</v>
      </c>
      <c r="AM101" s="156">
        <f>race_gem_bonus+ tech_3_2*TblTech[[#This Row],[3-2]] + tech_4_3*TblTech[[#This Row],[4-3]] + tech_6_2*TblTech[[#This Row],[6-2]]</f>
        <v>0</v>
      </c>
      <c r="AN101" s="142"/>
      <c r="AO101" s="94">
        <f ca="1">TblProd[[#This Row],[Food]]*food_decay * (1 + tech_2_1*TblTech[[#This Row],[2-1]] + tech_2_8*TblTech[[#This Row],[2-8]] + IF(AND(TblMagic[[#This Row],[Active DnD]]&lt;12,TblMagic[[#This Row],[Active DnD]]&gt;5),1,0))</f>
        <v>1503.04</v>
      </c>
      <c r="AP101" s="94">
        <f ca="1">(1+race_food_consumption)*TblPop[[#This Row],[Total]]*food_per_person*(1+tech_1_10*TblTech[[#This Row],[1-10]]+tech_7_5*TblTech[[#This Row],[7-5]] + IF(TblMagic[[#This Row],[Active Infernal Command]]&gt;0,demonic_pact_food_cons,0))</f>
        <v>269</v>
      </c>
      <c r="AQ101" s="94">
        <f ca="1">TblProd[[#This Row],[Lumber]]*lumber_rot * (1 + tech_2_1*TblTech[[#This Row],[2-1]] + tech_2_8*TblTech[[#This Row],[2-8]] + tech_5_2*TblTech[[#This Row],[5-2]] + IF(AND(TblMagic[[#This Row],[Active DnD]]&lt;12,TblMagic[[#This Row],[Active DnD]]&gt;5),1,0))</f>
        <v>679.33</v>
      </c>
      <c r="AR101" s="94">
        <f ca="1">TblProd[[#This Row],[Mana]]*mana_drain * (1 + tech_2_1*TblTech[[#This Row],[2-1]] + tech_2_8*TblTech[[#This Row],[2-8]])</f>
        <v>0</v>
      </c>
      <c r="AS101" s="154"/>
      <c r="AT101" s="94">
        <f ca="1">TblExplore[[#This Row],[Platinum (2)]]+TblConstr[[#This Row],[Total Plat Cost]]+TblMili[[#This Row],[Plat Cost]]+TblRezone[[#This Row],[Platinum cost]]+TblImps[[#This Row],[P1]]-TblProd[[#This Row],[Bank Plat]]</f>
        <v>0</v>
      </c>
      <c r="AU101" s="94">
        <f ca="1">TblConstr[[#This Row],[Total Lum Cost]]+TblImps[[#This Row],[L1]]-TblProd[[#This Row],[Bank Lumber]] + Military!$CO$25*TblMili[[#This Row],[Sec. rec. Cost]]</f>
        <v>0</v>
      </c>
      <c r="AV101" s="94">
        <f ca="1">TblMagic[[#This Row],[Mana cost]] + Military!$CO$26*TblMili[[#This Row],[Sec. rec. Cost]]</f>
        <v>0</v>
      </c>
      <c r="AW101" s="94">
        <f ca="1">Military!$CO$24*TblMili[[#This Row],[Sec. rec. Cost]]+TblImps[[#This Row],[O1]]-TblProd[[#This Row],[Bank Ore]]</f>
        <v>0</v>
      </c>
      <c r="AX101" s="94">
        <f>TblImps[[#This Row],[G1]]-TblProd[[#This Row],[Bank Gems]]</f>
        <v>0</v>
      </c>
      <c r="AY101" s="142"/>
      <c r="AZ101" s="61" t="b">
        <f ca="1">IF(TblProd[[#This Row],[Set Guard]]&lt;&gt;"",TblProd[[#This Row],[Set Guard]],OFFSET(TblProd[[#This Row],[Guard]],-1,0))</f>
        <v>0</v>
      </c>
      <c r="BA101" s="153"/>
      <c r="BB101" s="45">
        <f>TblProd[[#This Row],[Hour]]</f>
        <v>62</v>
      </c>
      <c r="BC101" s="158">
        <f>-TblProd[[#This Row],[Bank Lumber]] / 2 + -TblProd[[#This Row],[Bank Gems]] * 2 + -TblProd[[#This Row],[Bank Ore]] / 2</f>
        <v>0</v>
      </c>
      <c r="BD101" s="158"/>
      <c r="BE101" s="158"/>
      <c r="BF101" s="158"/>
      <c r="BG101" s="159">
        <f ca="1">TblProd[[#This Row],[Time]]</f>
        <v>46051.041666666431</v>
      </c>
      <c r="BH101" s="45" t="str">
        <f>IF(AND(TblProd[[#This Row],[Bank Plat]]=0,TblProd[[#This Row],[Bank Lumber]]=0,TblProd[[#This Row],[Bank Ore]]=0,TblProd[[#This Row],[Bank Gems]]=0),"",IF(TblProd[[#This Row],[Bank Plat]]&gt;0,IF((TblProd[[#This Row],[Bank Lumber]]+TblProd[[#This Row],[Bank Ore]])/2+TblProd[[#This Row],[Bank Gems]]*2+ROUNDUP(TblProd[[#This Row],[Bank Plat]]/(1 + tech_2_2*Techs!Y101),0)=0,"Ok","Nope"),IF(TblProd[[#This Row],[Bank Lumber]]&gt;0,IF((TblProd[[#This Row],[Bank Plat]]+TblProd[[#This Row],[Bank Ore]])/2+TblProd[[#This Row],[Bank Gems]]*2+ROUNDUP(TblProd[[#This Row],[Bank Lumber]]/(1 + tech_2_2*Techs!Y101),0)=0,"Ok","Nope"),IF(TblProd[[#This Row],[Bank Ore]]&gt;0,IF((TblProd[[#This Row],[Bank Plat]]+TblProd[[#This Row],[Bank Lumber]])/2+TblProd[[#This Row],[Bank Gems]]*2+ROUNDUP(TblProd[[#This Row],[Bank Ore]]/(1 + tech_2_2*Techs!Y101),0)=0,"Ok","Nope")))))</f>
        <v/>
      </c>
      <c r="BI101" s="94">
        <f ca="1">TblProd[[#This Row],[Platinum]]</f>
        <v>197791</v>
      </c>
      <c r="BJ101" s="94">
        <f ca="1">TblProd[[#This Row],[Food]]</f>
        <v>150304</v>
      </c>
      <c r="BK101" s="94">
        <f ca="1">TblProd[[#This Row],[Lumber]]</f>
        <v>67933</v>
      </c>
      <c r="BL101" s="94">
        <f ca="1">TblProd[[#This Row],[Mana]]</f>
        <v>0</v>
      </c>
      <c r="BM101" s="94">
        <f ca="1">TblProd[[#This Row],[Ore]]</f>
        <v>0</v>
      </c>
    </row>
    <row r="102" spans="1:65" x14ac:dyDescent="0.2">
      <c r="A102" s="137">
        <f t="shared" si="0"/>
        <v>63</v>
      </c>
      <c r="B102" s="152">
        <f ca="1">TblImps[[#This Row],[Time]]</f>
        <v>46051.083333333096</v>
      </c>
      <c r="C102" s="153"/>
      <c r="D102" s="154"/>
      <c r="E102" s="94">
        <f ca="1">TblConstr[[#This Row],[Land]]</f>
        <v>110</v>
      </c>
      <c r="F102" s="94">
        <f ca="1">TblPop[[#This Row],[Peasants]]</f>
        <v>375</v>
      </c>
      <c r="G102" s="94">
        <f ca="1">TblMili[[#This Row],[Networth (2)]]</f>
        <v>2450</v>
      </c>
      <c r="H102" s="94">
        <f ca="1">OFFSET(TblProd[[#This Row],[Platinum]],-1,0)+OFFSET(TblProd[[#This Row],[Plat/hr]],-1,0) - TblProd[[#This Row],[Expenses Platinum]] + IF(TblProd[[#This Row],[Plat Bonus]],TblPop[[#This Row],[Peasants]]*4) + SUM(TblConstr[[#This Row],[Dest Hom]:[Dest Doc]])*TblConstr[[#This Row],[CPA Platinum -DB]]*tech_3_3_2*TblTech[[#This Row],[3-3]]</f>
        <v>198814</v>
      </c>
      <c r="I102" s="94">
        <f ca="1">OFFSET(TblProd[[#This Row],[Food]],-1,0)+OFFSET(TblProd[[#This Row],[Food/hr]],-1,0)+ROUNDUP((TblConstr[[#This Row],[Farms]]*80+TblConstr[[#This Row],[Docks]]*35)*(1+OFFSET(TblProd[[#This Row],[Bonus Food/hr]],-1,0)),0)</f>
        <v>151112</v>
      </c>
      <c r="J102" s="94">
        <f ca="1">OFFSET(TblProd[[#This Row],[Lumber]],-1,0)+OFFSET(TblProd[[#This Row],[Lumber/hr]],-1,0) - TblProd[[#This Row],[Expenses Lumber]] + SUM(TblConstr[[#This Row],[Dest Hom]:[Dest Doc]])*TblConstr[[#This Row],[CPA Lumber -DB]]*tech_3_3_2*TblTech[[#This Row],[3-3]]</f>
        <v>68254</v>
      </c>
      <c r="K102" s="94">
        <f ca="1">OFFSET(TblProd[[#This Row],[Mana]],-1,0)+OFFSET(TblProd[[#This Row],[Mana/hr]],-1,0)- TblProd[[#This Row],[Expenses Mana]]</f>
        <v>0</v>
      </c>
      <c r="L102" s="94">
        <f ca="1">OFFSET(TblProd[[#This Row],[Ore]],-1,0)+OFFSET(TblProd[[#This Row],[Ore/hr]],-1,0) -TblProd[[#This Row],[Expenses Ore]]</f>
        <v>0</v>
      </c>
      <c r="M102" s="94">
        <f ca="1">OFFSET(TblProd[[#This Row],[Gems]],-1,0)+OFFSET(TblProd[[#This Row],[Gems/hr]],-1,0) - TblProd[[#This Row],[Expenses Gems]]</f>
        <v>0</v>
      </c>
      <c r="N102" s="94">
        <f ca="1">OFFSET(TblProd[[#This Row],[Boats]],-1,0)+OFFSET(TblProd[[#This Row],[Boats/hr]],-1,0)</f>
        <v>0</v>
      </c>
      <c r="O102" s="94">
        <f ca="1">OFFSET(TblProd[[#This Row],[Prestige]],-1,0)</f>
        <v>250</v>
      </c>
      <c r="P10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2" s="94">
        <f ca="1">MAX(_xlfn.CEILING.MATH(TblProd[[#This Row],[Land]]*2.5+IFERROR(OFFSET(TblTech[[#This Row],[Sum of tech]],-1,0)*50,0)),3750)</f>
        <v>3750</v>
      </c>
      <c r="R102" s="142"/>
      <c r="S102" s="94">
        <f ca="1">ROUNDDOWN(TblProd[[#This Row],[Raw Plat/hr]]*(1+TblProd[[#This Row],[Bonus Plat/hr]]),0)</f>
        <v>1012</v>
      </c>
      <c r="T102" s="94">
        <f ca="1">ROUND(TblProd[[#This Row],[Raw Food/hr]]*(1+TblProd[[#This Row],[Bonus Food/hr]])-TblProd[[#This Row],[Food decay]]-TblProd[[#This Row],[Food eaten]],0)</f>
        <v>800</v>
      </c>
      <c r="U102" s="94">
        <f ca="1">ROUND(TblProd[[#This Row],[Raw Lumber/hr]]*(1+TblProd[[#This Row],[Bonus Lumber/hr]])-TblProd[[#This Row],[Lumber rot]],0)</f>
        <v>317</v>
      </c>
      <c r="V102" s="94">
        <f ca="1">ROUND(TblProd[[#This Row],[Raw Mana/hr]]*(1+TblProd[[#This Row],[Bonus Mana/hr]])-TblProd[[#This Row],[Mana drain]],0)</f>
        <v>0</v>
      </c>
      <c r="W102" s="94">
        <f ca="1">ROUNDDOWN(TblProd[[#This Row],[Raw Ore/hr]]*(1+TblProd[[#This Row],[Bonux Ore/hr]]),0)</f>
        <v>0</v>
      </c>
      <c r="X102" s="94">
        <f ca="1">ROUNDDOWN(TblProd[[#This Row],[Raw Gems/hr]]*(1+TblProd[[#This Row],[Bonus Gems/hr]]),0)</f>
        <v>0</v>
      </c>
      <c r="Y102" s="155">
        <f ca="1">OFFSET(TblConstr[[#This Row],[Tot Doc]],1,0)*dock_boats_hr * (1 + tech_4_1*TblTech[[#This Row],[4-1]])</f>
        <v>0</v>
      </c>
      <c r="Z102" s="154"/>
      <c r="AA102" s="94">
        <f ca="1">TblPop[[#This Row],[Peasants]]*tax*TblPop[[#This Row],[Employment]] + (Construction!AZ103+Construction!BX103)*(alch_plat+(Magic!AN102&gt;0)*alchemist_flame_bonus)</f>
        <v>1012.5000000000001</v>
      </c>
      <c r="AB102" s="94">
        <f ca="1">TblConstr[[#This Row],[Tot Farm]]*farm_food + TblConstr[[#This Row],[Tot Doc]]*dock_food</f>
        <v>2400</v>
      </c>
      <c r="AC102" s="94">
        <f ca="1">TblConstr[[#This Row],[Tot Ly]]*ly_lumber + TblConstr[[#This Row],[Tot Hav]]*fh_lumber + IF(race="Wood Elf",TblMili[[#This Row],[Unit 2]]*MIN(TblMili[[#This Row],[Homeland%]]/wisp_bonus,wisp_cap),0)</f>
        <v>1000</v>
      </c>
      <c r="AD102" s="94">
        <f ca="1">OFFSET(TblConstr[[#This Row],[Tot Tow]],1,0)*(tower_mana + tech_4_5*TblTech[[#This Row],[4-5]]) + OFFSET(TblConstr[[#This Row],[Tot WG]],1,0)*wg_mana_prod</f>
        <v>0</v>
      </c>
      <c r="AE102" s="94">
        <f ca="1">OFFSET(TblConstr[[#This Row],[Tot OM]],1,0)*om_ore+IF(race="Dwarf",TblMili[[#This Row],[Unit 2]]*0.5,0)</f>
        <v>0</v>
      </c>
      <c r="AF102" s="94">
        <f ca="1">OFFSET(TblConstr[[#This Row],[Tot DM]],1,0)*dm_gems</f>
        <v>0</v>
      </c>
      <c r="AG102" s="142"/>
      <c r="AH102" s="156">
        <f ca="1">MIN(race_platinum_bonus + IF(TblMagic[[#This Row],[Active Alch Frost]]&gt;0,alch_frost_bonus,IF(Magic!AE102&gt;0,midas_bonus)) + TblImps[[#This Row],[Science]] - TblProd[[#This Row],[Guard]]*(0.02 + tech_5_7*TblTech[[#This Row],[5-7]]) + tech_1_5*TblTech[[#This Row],[1-5]] + tech_4_4*TblTech[[#This Row],[4-4]] + IF(TblMagic[[#This Row],[Active Infernal Command]]&gt;0,demonic_pact_plat,0), 0.5)</f>
        <v>0</v>
      </c>
      <c r="AI10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2" s="156">
        <f ca="1">race_lumber_bonus+ IF(TblMagic[[#This Row],[Active Gaia''s Blessing]]&gt;0,gaias_blessing_lumber)+ tech_1_3*TblTech[[#This Row],[1-3]] + tech_1_6*TblTech[[#This Row],[1-6]] + tech_3_3*TblTech[[#This Row],[3-3]]</f>
        <v>0</v>
      </c>
      <c r="AK102" s="156">
        <f ca="1">race_mana_bonus+ 0 + TblImps[[#This Row],[Spires]] + tech_1_2*TblTech[[#This Row],[1-2]] + tech_3_4*TblTech[[#This Row],[3-4]]</f>
        <v>0</v>
      </c>
      <c r="AL102" s="156">
        <f ca="1">race_ore_bonus + IF(TblMagic[[#This Row],[Active Miner''s Sight]]&gt;0,miners_sight_bonus,IF(TblMagic[[#This Row],[Active Mining Strength]]&gt;0,mining_strength_bonus)) +  tech_1_6*TblTech[[#This Row],[1-6]]</f>
        <v>0</v>
      </c>
      <c r="AM102" s="156">
        <f>race_gem_bonus+ tech_3_2*TblTech[[#This Row],[3-2]] + tech_4_3*TblTech[[#This Row],[4-3]] + tech_6_2*TblTech[[#This Row],[6-2]]</f>
        <v>0</v>
      </c>
      <c r="AN102" s="142"/>
      <c r="AO102" s="94">
        <f ca="1">TblProd[[#This Row],[Food]]*food_decay * (1 + tech_2_1*TblTech[[#This Row],[2-1]] + tech_2_8*TblTech[[#This Row],[2-8]] + IF(AND(TblMagic[[#This Row],[Active DnD]]&lt;12,TblMagic[[#This Row],[Active DnD]]&gt;5),1,0))</f>
        <v>1511.1200000000001</v>
      </c>
      <c r="AP102" s="94">
        <f ca="1">(1+race_food_consumption)*TblPop[[#This Row],[Total]]*food_per_person*(1+tech_1_10*TblTech[[#This Row],[1-10]]+tech_7_5*TblTech[[#This Row],[7-5]] + IF(TblMagic[[#This Row],[Active Infernal Command]]&gt;0,demonic_pact_food_cons,0))</f>
        <v>269</v>
      </c>
      <c r="AQ102" s="94">
        <f ca="1">TblProd[[#This Row],[Lumber]]*lumber_rot * (1 + tech_2_1*TblTech[[#This Row],[2-1]] + tech_2_8*TblTech[[#This Row],[2-8]] + tech_5_2*TblTech[[#This Row],[5-2]] + IF(AND(TblMagic[[#This Row],[Active DnD]]&lt;12,TblMagic[[#This Row],[Active DnD]]&gt;5),1,0))</f>
        <v>682.54</v>
      </c>
      <c r="AR102" s="94">
        <f ca="1">TblProd[[#This Row],[Mana]]*mana_drain * (1 + tech_2_1*TblTech[[#This Row],[2-1]] + tech_2_8*TblTech[[#This Row],[2-8]])</f>
        <v>0</v>
      </c>
      <c r="AS102" s="154"/>
      <c r="AT102" s="94">
        <f ca="1">TblExplore[[#This Row],[Platinum (2)]]+TblConstr[[#This Row],[Total Plat Cost]]+TblMili[[#This Row],[Plat Cost]]+TblRezone[[#This Row],[Platinum cost]]+TblImps[[#This Row],[P1]]-TblProd[[#This Row],[Bank Plat]]</f>
        <v>0</v>
      </c>
      <c r="AU102" s="94">
        <f ca="1">TblConstr[[#This Row],[Total Lum Cost]]+TblImps[[#This Row],[L1]]-TblProd[[#This Row],[Bank Lumber]] + Military!$CO$25*TblMili[[#This Row],[Sec. rec. Cost]]</f>
        <v>0</v>
      </c>
      <c r="AV102" s="94">
        <f ca="1">TblMagic[[#This Row],[Mana cost]] + Military!$CO$26*TblMili[[#This Row],[Sec. rec. Cost]]</f>
        <v>0</v>
      </c>
      <c r="AW102" s="94">
        <f ca="1">Military!$CO$24*TblMili[[#This Row],[Sec. rec. Cost]]+TblImps[[#This Row],[O1]]-TblProd[[#This Row],[Bank Ore]]</f>
        <v>0</v>
      </c>
      <c r="AX102" s="94">
        <f>TblImps[[#This Row],[G1]]-TblProd[[#This Row],[Bank Gems]]</f>
        <v>0</v>
      </c>
      <c r="AY102" s="142"/>
      <c r="AZ102" s="61" t="b">
        <f ca="1">IF(TblProd[[#This Row],[Set Guard]]&lt;&gt;"",TblProd[[#This Row],[Set Guard]],OFFSET(TblProd[[#This Row],[Guard]],-1,0))</f>
        <v>0</v>
      </c>
      <c r="BA102" s="153"/>
      <c r="BB102" s="45">
        <f>TblProd[[#This Row],[Hour]]</f>
        <v>63</v>
      </c>
      <c r="BC102" s="158">
        <f>-TblProd[[#This Row],[Bank Lumber]] / 2 + -TblProd[[#This Row],[Bank Gems]] * 2 + -TblProd[[#This Row],[Bank Ore]] / 2</f>
        <v>0</v>
      </c>
      <c r="BD102" s="158"/>
      <c r="BE102" s="158"/>
      <c r="BF102" s="158"/>
      <c r="BG102" s="159">
        <f ca="1">TblProd[[#This Row],[Time]]</f>
        <v>46051.083333333096</v>
      </c>
      <c r="BH102" s="45" t="str">
        <f>IF(AND(TblProd[[#This Row],[Bank Plat]]=0,TblProd[[#This Row],[Bank Lumber]]=0,TblProd[[#This Row],[Bank Ore]]=0,TblProd[[#This Row],[Bank Gems]]=0),"",IF(TblProd[[#This Row],[Bank Plat]]&gt;0,IF((TblProd[[#This Row],[Bank Lumber]]+TblProd[[#This Row],[Bank Ore]])/2+TblProd[[#This Row],[Bank Gems]]*2+ROUNDUP(TblProd[[#This Row],[Bank Plat]]/(1 + tech_2_2*Techs!Y102),0)=0,"Ok","Nope"),IF(TblProd[[#This Row],[Bank Lumber]]&gt;0,IF((TblProd[[#This Row],[Bank Plat]]+TblProd[[#This Row],[Bank Ore]])/2+TblProd[[#This Row],[Bank Gems]]*2+ROUNDUP(TblProd[[#This Row],[Bank Lumber]]/(1 + tech_2_2*Techs!Y102),0)=0,"Ok","Nope"),IF(TblProd[[#This Row],[Bank Ore]]&gt;0,IF((TblProd[[#This Row],[Bank Plat]]+TblProd[[#This Row],[Bank Lumber]])/2+TblProd[[#This Row],[Bank Gems]]*2+ROUNDUP(TblProd[[#This Row],[Bank Ore]]/(1 + tech_2_2*Techs!Y102),0)=0,"Ok","Nope")))))</f>
        <v/>
      </c>
      <c r="BI102" s="94">
        <f ca="1">TblProd[[#This Row],[Platinum]]</f>
        <v>198814</v>
      </c>
      <c r="BJ102" s="94">
        <f ca="1">TblProd[[#This Row],[Food]]</f>
        <v>151112</v>
      </c>
      <c r="BK102" s="94">
        <f ca="1">TblProd[[#This Row],[Lumber]]</f>
        <v>68254</v>
      </c>
      <c r="BL102" s="94">
        <f ca="1">TblProd[[#This Row],[Mana]]</f>
        <v>0</v>
      </c>
      <c r="BM102" s="94">
        <f ca="1">TblProd[[#This Row],[Ore]]</f>
        <v>0</v>
      </c>
    </row>
    <row r="103" spans="1:65" x14ac:dyDescent="0.2">
      <c r="A103" s="137">
        <f t="shared" si="0"/>
        <v>64</v>
      </c>
      <c r="B103" s="152">
        <f ca="1">TblImps[[#This Row],[Time]]</f>
        <v>46051.12499999976</v>
      </c>
      <c r="C103" s="153"/>
      <c r="D103" s="154"/>
      <c r="E103" s="94">
        <f ca="1">TblConstr[[#This Row],[Land]]</f>
        <v>110</v>
      </c>
      <c r="F103" s="94">
        <f ca="1">TblPop[[#This Row],[Peasants]]</f>
        <v>371</v>
      </c>
      <c r="G103" s="94">
        <f ca="1">TblMili[[#This Row],[Networth (2)]]</f>
        <v>2450</v>
      </c>
      <c r="H103" s="94">
        <f ca="1">OFFSET(TblProd[[#This Row],[Platinum]],-1,0)+OFFSET(TblProd[[#This Row],[Plat/hr]],-1,0) - TblProd[[#This Row],[Expenses Platinum]] + IF(TblProd[[#This Row],[Plat Bonus]],TblPop[[#This Row],[Peasants]]*4) + SUM(TblConstr[[#This Row],[Dest Hom]:[Dest Doc]])*TblConstr[[#This Row],[CPA Platinum -DB]]*tech_3_3_2*TblTech[[#This Row],[3-3]]</f>
        <v>199826</v>
      </c>
      <c r="I103" s="94">
        <f ca="1">OFFSET(TblProd[[#This Row],[Food]],-1,0)+OFFSET(TblProd[[#This Row],[Food/hr]],-1,0)+ROUNDUP((TblConstr[[#This Row],[Farms]]*80+TblConstr[[#This Row],[Docks]]*35)*(1+OFFSET(TblProd[[#This Row],[Bonus Food/hr]],-1,0)),0)</f>
        <v>151912</v>
      </c>
      <c r="J103" s="94">
        <f ca="1">OFFSET(TblProd[[#This Row],[Lumber]],-1,0)+OFFSET(TblProd[[#This Row],[Lumber/hr]],-1,0) - TblProd[[#This Row],[Expenses Lumber]] + SUM(TblConstr[[#This Row],[Dest Hom]:[Dest Doc]])*TblConstr[[#This Row],[CPA Lumber -DB]]*tech_3_3_2*TblTech[[#This Row],[3-3]]</f>
        <v>68571</v>
      </c>
      <c r="K103" s="94">
        <f ca="1">OFFSET(TblProd[[#This Row],[Mana]],-1,0)+OFFSET(TblProd[[#This Row],[Mana/hr]],-1,0)- TblProd[[#This Row],[Expenses Mana]]</f>
        <v>0</v>
      </c>
      <c r="L103" s="94">
        <f ca="1">OFFSET(TblProd[[#This Row],[Ore]],-1,0)+OFFSET(TblProd[[#This Row],[Ore/hr]],-1,0) -TblProd[[#This Row],[Expenses Ore]]</f>
        <v>0</v>
      </c>
      <c r="M103" s="94">
        <f ca="1">OFFSET(TblProd[[#This Row],[Gems]],-1,0)+OFFSET(TblProd[[#This Row],[Gems/hr]],-1,0) - TblProd[[#This Row],[Expenses Gems]]</f>
        <v>0</v>
      </c>
      <c r="N103" s="94">
        <f ca="1">OFFSET(TblProd[[#This Row],[Boats]],-1,0)+OFFSET(TblProd[[#This Row],[Boats/hr]],-1,0)</f>
        <v>0</v>
      </c>
      <c r="O103" s="94">
        <f ca="1">OFFSET(TblProd[[#This Row],[Prestige]],-1,0)</f>
        <v>250</v>
      </c>
      <c r="P10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3" s="94">
        <f ca="1">MAX(_xlfn.CEILING.MATH(TblProd[[#This Row],[Land]]*2.5+IFERROR(OFFSET(TblTech[[#This Row],[Sum of tech]],-1,0)*50,0)),3750)</f>
        <v>3750</v>
      </c>
      <c r="R103" s="142"/>
      <c r="S103" s="94">
        <f ca="1">ROUNDDOWN(TblProd[[#This Row],[Raw Plat/hr]]*(1+TblProd[[#This Row],[Bonus Plat/hr]]),0)</f>
        <v>1001</v>
      </c>
      <c r="T103" s="94">
        <f ca="1">ROUND(TblProd[[#This Row],[Raw Food/hr]]*(1+TblProd[[#This Row],[Bonus Food/hr]])-TblProd[[#This Row],[Food decay]]-TblProd[[#This Row],[Food eaten]],0)</f>
        <v>792</v>
      </c>
      <c r="U103" s="94">
        <f ca="1">ROUND(TblProd[[#This Row],[Raw Lumber/hr]]*(1+TblProd[[#This Row],[Bonus Lumber/hr]])-TblProd[[#This Row],[Lumber rot]],0)</f>
        <v>314</v>
      </c>
      <c r="V103" s="94">
        <f ca="1">ROUND(TblProd[[#This Row],[Raw Mana/hr]]*(1+TblProd[[#This Row],[Bonus Mana/hr]])-TblProd[[#This Row],[Mana drain]],0)</f>
        <v>0</v>
      </c>
      <c r="W103" s="94">
        <f ca="1">ROUNDDOWN(TblProd[[#This Row],[Raw Ore/hr]]*(1+TblProd[[#This Row],[Bonux Ore/hr]]),0)</f>
        <v>0</v>
      </c>
      <c r="X103" s="94">
        <f ca="1">ROUNDDOWN(TblProd[[#This Row],[Raw Gems/hr]]*(1+TblProd[[#This Row],[Bonus Gems/hr]]),0)</f>
        <v>0</v>
      </c>
      <c r="Y103" s="155">
        <f ca="1">OFFSET(TblConstr[[#This Row],[Tot Doc]],1,0)*dock_boats_hr * (1 + tech_4_1*TblTech[[#This Row],[4-1]])</f>
        <v>0</v>
      </c>
      <c r="Z103" s="154"/>
      <c r="AA103" s="94">
        <f ca="1">TblPop[[#This Row],[Peasants]]*tax*TblPop[[#This Row],[Employment]] + (Construction!AZ104+Construction!BX104)*(alch_plat+(Magic!AN103&gt;0)*alchemist_flame_bonus)</f>
        <v>1001.7</v>
      </c>
      <c r="AB103" s="94">
        <f ca="1">TblConstr[[#This Row],[Tot Farm]]*farm_food + TblConstr[[#This Row],[Tot Doc]]*dock_food</f>
        <v>2400</v>
      </c>
      <c r="AC103" s="94">
        <f ca="1">TblConstr[[#This Row],[Tot Ly]]*ly_lumber + TblConstr[[#This Row],[Tot Hav]]*fh_lumber + IF(race="Wood Elf",TblMili[[#This Row],[Unit 2]]*MIN(TblMili[[#This Row],[Homeland%]]/wisp_bonus,wisp_cap),0)</f>
        <v>1000</v>
      </c>
      <c r="AD103" s="94">
        <f ca="1">OFFSET(TblConstr[[#This Row],[Tot Tow]],1,0)*(tower_mana + tech_4_5*TblTech[[#This Row],[4-5]]) + OFFSET(TblConstr[[#This Row],[Tot WG]],1,0)*wg_mana_prod</f>
        <v>0</v>
      </c>
      <c r="AE103" s="94">
        <f ca="1">OFFSET(TblConstr[[#This Row],[Tot OM]],1,0)*om_ore+IF(race="Dwarf",TblMili[[#This Row],[Unit 2]]*0.5,0)</f>
        <v>0</v>
      </c>
      <c r="AF103" s="94">
        <f ca="1">OFFSET(TblConstr[[#This Row],[Tot DM]],1,0)*dm_gems</f>
        <v>0</v>
      </c>
      <c r="AG103" s="142"/>
      <c r="AH103" s="156">
        <f ca="1">MIN(race_platinum_bonus + IF(TblMagic[[#This Row],[Active Alch Frost]]&gt;0,alch_frost_bonus,IF(Magic!AE103&gt;0,midas_bonus)) + TblImps[[#This Row],[Science]] - TblProd[[#This Row],[Guard]]*(0.02 + tech_5_7*TblTech[[#This Row],[5-7]]) + tech_1_5*TblTech[[#This Row],[1-5]] + tech_4_4*TblTech[[#This Row],[4-4]] + IF(TblMagic[[#This Row],[Active Infernal Command]]&gt;0,demonic_pact_plat,0), 0.5)</f>
        <v>0</v>
      </c>
      <c r="AI10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3" s="156">
        <f ca="1">race_lumber_bonus+ IF(TblMagic[[#This Row],[Active Gaia''s Blessing]]&gt;0,gaias_blessing_lumber)+ tech_1_3*TblTech[[#This Row],[1-3]] + tech_1_6*TblTech[[#This Row],[1-6]] + tech_3_3*TblTech[[#This Row],[3-3]]</f>
        <v>0</v>
      </c>
      <c r="AK103" s="156">
        <f ca="1">race_mana_bonus+ 0 + TblImps[[#This Row],[Spires]] + tech_1_2*TblTech[[#This Row],[1-2]] + tech_3_4*TblTech[[#This Row],[3-4]]</f>
        <v>0</v>
      </c>
      <c r="AL103" s="156">
        <f ca="1">race_ore_bonus + IF(TblMagic[[#This Row],[Active Miner''s Sight]]&gt;0,miners_sight_bonus,IF(TblMagic[[#This Row],[Active Mining Strength]]&gt;0,mining_strength_bonus)) +  tech_1_6*TblTech[[#This Row],[1-6]]</f>
        <v>0</v>
      </c>
      <c r="AM103" s="156">
        <f>race_gem_bonus+ tech_3_2*TblTech[[#This Row],[3-2]] + tech_4_3*TblTech[[#This Row],[4-3]] + tech_6_2*TblTech[[#This Row],[6-2]]</f>
        <v>0</v>
      </c>
      <c r="AN103" s="142"/>
      <c r="AO103" s="94">
        <f ca="1">TblProd[[#This Row],[Food]]*food_decay * (1 + tech_2_1*TblTech[[#This Row],[2-1]] + tech_2_8*TblTech[[#This Row],[2-8]] + IF(AND(TblMagic[[#This Row],[Active DnD]]&lt;12,TblMagic[[#This Row],[Active DnD]]&gt;5),1,0))</f>
        <v>1519.1200000000001</v>
      </c>
      <c r="AP103" s="94">
        <f ca="1">(1+race_food_consumption)*TblPop[[#This Row],[Total]]*food_per_person*(1+tech_1_10*TblTech[[#This Row],[1-10]]+tech_7_5*TblTech[[#This Row],[7-5]] + IF(TblMagic[[#This Row],[Active Infernal Command]]&gt;0,demonic_pact_food_cons,0))</f>
        <v>269</v>
      </c>
      <c r="AQ103" s="94">
        <f ca="1">TblProd[[#This Row],[Lumber]]*lumber_rot * (1 + tech_2_1*TblTech[[#This Row],[2-1]] + tech_2_8*TblTech[[#This Row],[2-8]] + tech_5_2*TblTech[[#This Row],[5-2]] + IF(AND(TblMagic[[#This Row],[Active DnD]]&lt;12,TblMagic[[#This Row],[Active DnD]]&gt;5),1,0))</f>
        <v>685.71</v>
      </c>
      <c r="AR103" s="94">
        <f ca="1">TblProd[[#This Row],[Mana]]*mana_drain * (1 + tech_2_1*TblTech[[#This Row],[2-1]] + tech_2_8*TblTech[[#This Row],[2-8]])</f>
        <v>0</v>
      </c>
      <c r="AS103" s="154"/>
      <c r="AT103" s="94">
        <f ca="1">TblExplore[[#This Row],[Platinum (2)]]+TblConstr[[#This Row],[Total Plat Cost]]+TblMili[[#This Row],[Plat Cost]]+TblRezone[[#This Row],[Platinum cost]]+TblImps[[#This Row],[P1]]-TblProd[[#This Row],[Bank Plat]]</f>
        <v>0</v>
      </c>
      <c r="AU103" s="94">
        <f ca="1">TblConstr[[#This Row],[Total Lum Cost]]+TblImps[[#This Row],[L1]]-TblProd[[#This Row],[Bank Lumber]] + Military!$CO$25*TblMili[[#This Row],[Sec. rec. Cost]]</f>
        <v>0</v>
      </c>
      <c r="AV103" s="94">
        <f ca="1">TblMagic[[#This Row],[Mana cost]] + Military!$CO$26*TblMili[[#This Row],[Sec. rec. Cost]]</f>
        <v>0</v>
      </c>
      <c r="AW103" s="94">
        <f ca="1">Military!$CO$24*TblMili[[#This Row],[Sec. rec. Cost]]+TblImps[[#This Row],[O1]]-TblProd[[#This Row],[Bank Ore]]</f>
        <v>0</v>
      </c>
      <c r="AX103" s="94">
        <f>TblImps[[#This Row],[G1]]-TblProd[[#This Row],[Bank Gems]]</f>
        <v>0</v>
      </c>
      <c r="AY103" s="142"/>
      <c r="AZ103" s="61" t="b">
        <f ca="1">IF(TblProd[[#This Row],[Set Guard]]&lt;&gt;"",TblProd[[#This Row],[Set Guard]],OFFSET(TblProd[[#This Row],[Guard]],-1,0))</f>
        <v>0</v>
      </c>
      <c r="BA103" s="153"/>
      <c r="BB103" s="45">
        <f>TblProd[[#This Row],[Hour]]</f>
        <v>64</v>
      </c>
      <c r="BC103" s="158">
        <f>-TblProd[[#This Row],[Bank Lumber]] / 2 + -TblProd[[#This Row],[Bank Gems]] * 2 + -TblProd[[#This Row],[Bank Ore]] / 2</f>
        <v>0</v>
      </c>
      <c r="BD103" s="158"/>
      <c r="BE103" s="158"/>
      <c r="BF103" s="158"/>
      <c r="BG103" s="159">
        <f ca="1">TblProd[[#This Row],[Time]]</f>
        <v>46051.12499999976</v>
      </c>
      <c r="BH103" s="45" t="str">
        <f>IF(AND(TblProd[[#This Row],[Bank Plat]]=0,TblProd[[#This Row],[Bank Lumber]]=0,TblProd[[#This Row],[Bank Ore]]=0,TblProd[[#This Row],[Bank Gems]]=0),"",IF(TblProd[[#This Row],[Bank Plat]]&gt;0,IF((TblProd[[#This Row],[Bank Lumber]]+TblProd[[#This Row],[Bank Ore]])/2+TblProd[[#This Row],[Bank Gems]]*2+ROUNDUP(TblProd[[#This Row],[Bank Plat]]/(1 + tech_2_2*Techs!Y103),0)=0,"Ok","Nope"),IF(TblProd[[#This Row],[Bank Lumber]]&gt;0,IF((TblProd[[#This Row],[Bank Plat]]+TblProd[[#This Row],[Bank Ore]])/2+TblProd[[#This Row],[Bank Gems]]*2+ROUNDUP(TblProd[[#This Row],[Bank Lumber]]/(1 + tech_2_2*Techs!Y103),0)=0,"Ok","Nope"),IF(TblProd[[#This Row],[Bank Ore]]&gt;0,IF((TblProd[[#This Row],[Bank Plat]]+TblProd[[#This Row],[Bank Lumber]])/2+TblProd[[#This Row],[Bank Gems]]*2+ROUNDUP(TblProd[[#This Row],[Bank Ore]]/(1 + tech_2_2*Techs!Y103),0)=0,"Ok","Nope")))))</f>
        <v/>
      </c>
      <c r="BI103" s="94">
        <f ca="1">TblProd[[#This Row],[Platinum]]</f>
        <v>199826</v>
      </c>
      <c r="BJ103" s="94">
        <f ca="1">TblProd[[#This Row],[Food]]</f>
        <v>151912</v>
      </c>
      <c r="BK103" s="94">
        <f ca="1">TblProd[[#This Row],[Lumber]]</f>
        <v>68571</v>
      </c>
      <c r="BL103" s="94">
        <f ca="1">TblProd[[#This Row],[Mana]]</f>
        <v>0</v>
      </c>
      <c r="BM103" s="94">
        <f ca="1">TblProd[[#This Row],[Ore]]</f>
        <v>0</v>
      </c>
    </row>
    <row r="104" spans="1:65" x14ac:dyDescent="0.2">
      <c r="A104" s="137">
        <f t="shared" si="0"/>
        <v>65</v>
      </c>
      <c r="B104" s="152">
        <f ca="1">TblImps[[#This Row],[Time]]</f>
        <v>46051.166666666424</v>
      </c>
      <c r="C104" s="153"/>
      <c r="D104" s="154"/>
      <c r="E104" s="94">
        <f ca="1">TblConstr[[#This Row],[Land]]</f>
        <v>110</v>
      </c>
      <c r="F104" s="94">
        <f ca="1">TblPop[[#This Row],[Peasants]]</f>
        <v>367</v>
      </c>
      <c r="G104" s="94">
        <f ca="1">TblMili[[#This Row],[Networth (2)]]</f>
        <v>2450</v>
      </c>
      <c r="H104" s="94">
        <f ca="1">OFFSET(TblProd[[#This Row],[Platinum]],-1,0)+OFFSET(TblProd[[#This Row],[Plat/hr]],-1,0) - TblProd[[#This Row],[Expenses Platinum]] + IF(TblProd[[#This Row],[Plat Bonus]],TblPop[[#This Row],[Peasants]]*4) + SUM(TblConstr[[#This Row],[Dest Hom]:[Dest Doc]])*TblConstr[[#This Row],[CPA Platinum -DB]]*tech_3_3_2*TblTech[[#This Row],[3-3]]</f>
        <v>200827</v>
      </c>
      <c r="I104" s="94">
        <f ca="1">OFFSET(TblProd[[#This Row],[Food]],-1,0)+OFFSET(TblProd[[#This Row],[Food/hr]],-1,0)+ROUNDUP((TblConstr[[#This Row],[Farms]]*80+TblConstr[[#This Row],[Docks]]*35)*(1+OFFSET(TblProd[[#This Row],[Bonus Food/hr]],-1,0)),0)</f>
        <v>152704</v>
      </c>
      <c r="J104" s="94">
        <f ca="1">OFFSET(TblProd[[#This Row],[Lumber]],-1,0)+OFFSET(TblProd[[#This Row],[Lumber/hr]],-1,0) - TblProd[[#This Row],[Expenses Lumber]] + SUM(TblConstr[[#This Row],[Dest Hom]:[Dest Doc]])*TblConstr[[#This Row],[CPA Lumber -DB]]*tech_3_3_2*TblTech[[#This Row],[3-3]]</f>
        <v>68885</v>
      </c>
      <c r="K104" s="94">
        <f ca="1">OFFSET(TblProd[[#This Row],[Mana]],-1,0)+OFFSET(TblProd[[#This Row],[Mana/hr]],-1,0)- TblProd[[#This Row],[Expenses Mana]]</f>
        <v>0</v>
      </c>
      <c r="L104" s="94">
        <f ca="1">OFFSET(TblProd[[#This Row],[Ore]],-1,0)+OFFSET(TblProd[[#This Row],[Ore/hr]],-1,0) -TblProd[[#This Row],[Expenses Ore]]</f>
        <v>0</v>
      </c>
      <c r="M104" s="94">
        <f ca="1">OFFSET(TblProd[[#This Row],[Gems]],-1,0)+OFFSET(TblProd[[#This Row],[Gems/hr]],-1,0) - TblProd[[#This Row],[Expenses Gems]]</f>
        <v>0</v>
      </c>
      <c r="N104" s="94">
        <f ca="1">OFFSET(TblProd[[#This Row],[Boats]],-1,0)+OFFSET(TblProd[[#This Row],[Boats/hr]],-1,0)</f>
        <v>0</v>
      </c>
      <c r="O104" s="94">
        <f ca="1">OFFSET(TblProd[[#This Row],[Prestige]],-1,0)</f>
        <v>250</v>
      </c>
      <c r="P10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4" s="94">
        <f ca="1">MAX(_xlfn.CEILING.MATH(TblProd[[#This Row],[Land]]*2.5+IFERROR(OFFSET(TblTech[[#This Row],[Sum of tech]],-1,0)*50,0)),3750)</f>
        <v>3750</v>
      </c>
      <c r="R104" s="142"/>
      <c r="S104" s="94">
        <f ca="1">ROUNDDOWN(TblProd[[#This Row],[Raw Plat/hr]]*(1+TblProd[[#This Row],[Bonus Plat/hr]]),0)</f>
        <v>990</v>
      </c>
      <c r="T104" s="94">
        <f ca="1">ROUND(TblProd[[#This Row],[Raw Food/hr]]*(1+TblProd[[#This Row],[Bonus Food/hr]])-TblProd[[#This Row],[Food decay]]-TblProd[[#This Row],[Food eaten]],0)</f>
        <v>784</v>
      </c>
      <c r="U104" s="94">
        <f ca="1">ROUND(TblProd[[#This Row],[Raw Lumber/hr]]*(1+TblProd[[#This Row],[Bonus Lumber/hr]])-TblProd[[#This Row],[Lumber rot]],0)</f>
        <v>311</v>
      </c>
      <c r="V104" s="94">
        <f ca="1">ROUND(TblProd[[#This Row],[Raw Mana/hr]]*(1+TblProd[[#This Row],[Bonus Mana/hr]])-TblProd[[#This Row],[Mana drain]],0)</f>
        <v>0</v>
      </c>
      <c r="W104" s="94">
        <f ca="1">ROUNDDOWN(TblProd[[#This Row],[Raw Ore/hr]]*(1+TblProd[[#This Row],[Bonux Ore/hr]]),0)</f>
        <v>0</v>
      </c>
      <c r="X104" s="94">
        <f ca="1">ROUNDDOWN(TblProd[[#This Row],[Raw Gems/hr]]*(1+TblProd[[#This Row],[Bonus Gems/hr]]),0)</f>
        <v>0</v>
      </c>
      <c r="Y104" s="155">
        <f ca="1">OFFSET(TblConstr[[#This Row],[Tot Doc]],1,0)*dock_boats_hr * (1 + tech_4_1*TblTech[[#This Row],[4-1]])</f>
        <v>0</v>
      </c>
      <c r="Z104" s="154"/>
      <c r="AA104" s="94">
        <f ca="1">TblPop[[#This Row],[Peasants]]*tax*TblPop[[#This Row],[Employment]] + (Construction!AZ105+Construction!BX105)*(alch_plat+(Magic!AN104&gt;0)*alchemist_flame_bonus)</f>
        <v>990.90000000000009</v>
      </c>
      <c r="AB104" s="94">
        <f ca="1">TblConstr[[#This Row],[Tot Farm]]*farm_food + TblConstr[[#This Row],[Tot Doc]]*dock_food</f>
        <v>2400</v>
      </c>
      <c r="AC104" s="94">
        <f ca="1">TblConstr[[#This Row],[Tot Ly]]*ly_lumber + TblConstr[[#This Row],[Tot Hav]]*fh_lumber + IF(race="Wood Elf",TblMili[[#This Row],[Unit 2]]*MIN(TblMili[[#This Row],[Homeland%]]/wisp_bonus,wisp_cap),0)</f>
        <v>1000</v>
      </c>
      <c r="AD104" s="94">
        <f ca="1">OFFSET(TblConstr[[#This Row],[Tot Tow]],1,0)*(tower_mana + tech_4_5*TblTech[[#This Row],[4-5]]) + OFFSET(TblConstr[[#This Row],[Tot WG]],1,0)*wg_mana_prod</f>
        <v>0</v>
      </c>
      <c r="AE104" s="94">
        <f ca="1">OFFSET(TblConstr[[#This Row],[Tot OM]],1,0)*om_ore+IF(race="Dwarf",TblMili[[#This Row],[Unit 2]]*0.5,0)</f>
        <v>0</v>
      </c>
      <c r="AF104" s="94">
        <f ca="1">OFFSET(TblConstr[[#This Row],[Tot DM]],1,0)*dm_gems</f>
        <v>0</v>
      </c>
      <c r="AG104" s="142"/>
      <c r="AH104" s="156">
        <f ca="1">MIN(race_platinum_bonus + IF(TblMagic[[#This Row],[Active Alch Frost]]&gt;0,alch_frost_bonus,IF(Magic!AE104&gt;0,midas_bonus)) + TblImps[[#This Row],[Science]] - TblProd[[#This Row],[Guard]]*(0.02 + tech_5_7*TblTech[[#This Row],[5-7]]) + tech_1_5*TblTech[[#This Row],[1-5]] + tech_4_4*TblTech[[#This Row],[4-4]] + IF(TblMagic[[#This Row],[Active Infernal Command]]&gt;0,demonic_pact_plat,0), 0.5)</f>
        <v>0</v>
      </c>
      <c r="AI10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4" s="156">
        <f ca="1">race_lumber_bonus+ IF(TblMagic[[#This Row],[Active Gaia''s Blessing]]&gt;0,gaias_blessing_lumber)+ tech_1_3*TblTech[[#This Row],[1-3]] + tech_1_6*TblTech[[#This Row],[1-6]] + tech_3_3*TblTech[[#This Row],[3-3]]</f>
        <v>0</v>
      </c>
      <c r="AK104" s="156">
        <f ca="1">race_mana_bonus+ 0 + TblImps[[#This Row],[Spires]] + tech_1_2*TblTech[[#This Row],[1-2]] + tech_3_4*TblTech[[#This Row],[3-4]]</f>
        <v>0</v>
      </c>
      <c r="AL104" s="156">
        <f ca="1">race_ore_bonus + IF(TblMagic[[#This Row],[Active Miner''s Sight]]&gt;0,miners_sight_bonus,IF(TblMagic[[#This Row],[Active Mining Strength]]&gt;0,mining_strength_bonus)) +  tech_1_6*TblTech[[#This Row],[1-6]]</f>
        <v>0</v>
      </c>
      <c r="AM104" s="156">
        <f>race_gem_bonus+ tech_3_2*TblTech[[#This Row],[3-2]] + tech_4_3*TblTech[[#This Row],[4-3]] + tech_6_2*TblTech[[#This Row],[6-2]]</f>
        <v>0</v>
      </c>
      <c r="AN104" s="142"/>
      <c r="AO104" s="94">
        <f ca="1">TblProd[[#This Row],[Food]]*food_decay * (1 + tech_2_1*TblTech[[#This Row],[2-1]] + tech_2_8*TblTech[[#This Row],[2-8]] + IF(AND(TblMagic[[#This Row],[Active DnD]]&lt;12,TblMagic[[#This Row],[Active DnD]]&gt;5),1,0))</f>
        <v>1527.04</v>
      </c>
      <c r="AP104" s="94">
        <f ca="1">(1+race_food_consumption)*TblPop[[#This Row],[Total]]*food_per_person*(1+tech_1_10*TblTech[[#This Row],[1-10]]+tech_7_5*TblTech[[#This Row],[7-5]] + IF(TblMagic[[#This Row],[Active Infernal Command]]&gt;0,demonic_pact_food_cons,0))</f>
        <v>269</v>
      </c>
      <c r="AQ104" s="94">
        <f ca="1">TblProd[[#This Row],[Lumber]]*lumber_rot * (1 + tech_2_1*TblTech[[#This Row],[2-1]] + tech_2_8*TblTech[[#This Row],[2-8]] + tech_5_2*TblTech[[#This Row],[5-2]] + IF(AND(TblMagic[[#This Row],[Active DnD]]&lt;12,TblMagic[[#This Row],[Active DnD]]&gt;5),1,0))</f>
        <v>688.85</v>
      </c>
      <c r="AR104" s="94">
        <f ca="1">TblProd[[#This Row],[Mana]]*mana_drain * (1 + tech_2_1*TblTech[[#This Row],[2-1]] + tech_2_8*TblTech[[#This Row],[2-8]])</f>
        <v>0</v>
      </c>
      <c r="AS104" s="154"/>
      <c r="AT104" s="94">
        <f ca="1">TblExplore[[#This Row],[Platinum (2)]]+TblConstr[[#This Row],[Total Plat Cost]]+TblMili[[#This Row],[Plat Cost]]+TblRezone[[#This Row],[Platinum cost]]+TblImps[[#This Row],[P1]]-TblProd[[#This Row],[Bank Plat]]</f>
        <v>0</v>
      </c>
      <c r="AU104" s="94">
        <f ca="1">TblConstr[[#This Row],[Total Lum Cost]]+TblImps[[#This Row],[L1]]-TblProd[[#This Row],[Bank Lumber]] + Military!$CO$25*TblMili[[#This Row],[Sec. rec. Cost]]</f>
        <v>0</v>
      </c>
      <c r="AV104" s="94">
        <f ca="1">TblMagic[[#This Row],[Mana cost]] + Military!$CO$26*TblMili[[#This Row],[Sec. rec. Cost]]</f>
        <v>0</v>
      </c>
      <c r="AW104" s="94">
        <f ca="1">Military!$CO$24*TblMili[[#This Row],[Sec. rec. Cost]]+TblImps[[#This Row],[O1]]-TblProd[[#This Row],[Bank Ore]]</f>
        <v>0</v>
      </c>
      <c r="AX104" s="94">
        <f>TblImps[[#This Row],[G1]]-TblProd[[#This Row],[Bank Gems]]</f>
        <v>0</v>
      </c>
      <c r="AY104" s="142"/>
      <c r="AZ104" s="61" t="b">
        <f ca="1">IF(TblProd[[#This Row],[Set Guard]]&lt;&gt;"",TblProd[[#This Row],[Set Guard]],OFFSET(TblProd[[#This Row],[Guard]],-1,0))</f>
        <v>0</v>
      </c>
      <c r="BA104" s="153"/>
      <c r="BB104" s="45">
        <f>TblProd[[#This Row],[Hour]]</f>
        <v>65</v>
      </c>
      <c r="BC104" s="158">
        <f>-TblProd[[#This Row],[Bank Lumber]] / 2 + -TblProd[[#This Row],[Bank Gems]] * 2 + -TblProd[[#This Row],[Bank Ore]] / 2</f>
        <v>0</v>
      </c>
      <c r="BD104" s="158"/>
      <c r="BE104" s="158"/>
      <c r="BF104" s="158"/>
      <c r="BG104" s="159">
        <f ca="1">TblProd[[#This Row],[Time]]</f>
        <v>46051.166666666424</v>
      </c>
      <c r="BH104" s="45" t="str">
        <f>IF(AND(TblProd[[#This Row],[Bank Plat]]=0,TblProd[[#This Row],[Bank Lumber]]=0,TblProd[[#This Row],[Bank Ore]]=0,TblProd[[#This Row],[Bank Gems]]=0),"",IF(TblProd[[#This Row],[Bank Plat]]&gt;0,IF((TblProd[[#This Row],[Bank Lumber]]+TblProd[[#This Row],[Bank Ore]])/2+TblProd[[#This Row],[Bank Gems]]*2+ROUNDUP(TblProd[[#This Row],[Bank Plat]]/(1 + tech_2_2*Techs!Y104),0)=0,"Ok","Nope"),IF(TblProd[[#This Row],[Bank Lumber]]&gt;0,IF((TblProd[[#This Row],[Bank Plat]]+TblProd[[#This Row],[Bank Ore]])/2+TblProd[[#This Row],[Bank Gems]]*2+ROUNDUP(TblProd[[#This Row],[Bank Lumber]]/(1 + tech_2_2*Techs!Y104),0)=0,"Ok","Nope"),IF(TblProd[[#This Row],[Bank Ore]]&gt;0,IF((TblProd[[#This Row],[Bank Plat]]+TblProd[[#This Row],[Bank Lumber]])/2+TblProd[[#This Row],[Bank Gems]]*2+ROUNDUP(TblProd[[#This Row],[Bank Ore]]/(1 + tech_2_2*Techs!Y104),0)=0,"Ok","Nope")))))</f>
        <v/>
      </c>
      <c r="BI104" s="94">
        <f ca="1">TblProd[[#This Row],[Platinum]]</f>
        <v>200827</v>
      </c>
      <c r="BJ104" s="94">
        <f ca="1">TblProd[[#This Row],[Food]]</f>
        <v>152704</v>
      </c>
      <c r="BK104" s="94">
        <f ca="1">TblProd[[#This Row],[Lumber]]</f>
        <v>68885</v>
      </c>
      <c r="BL104" s="94">
        <f ca="1">TblProd[[#This Row],[Mana]]</f>
        <v>0</v>
      </c>
      <c r="BM104" s="94">
        <f ca="1">TblProd[[#This Row],[Ore]]</f>
        <v>0</v>
      </c>
    </row>
    <row r="105" spans="1:65" x14ac:dyDescent="0.2">
      <c r="A105" s="137">
        <f t="shared" si="0"/>
        <v>66</v>
      </c>
      <c r="B105" s="152">
        <f ca="1">TblImps[[#This Row],[Time]]</f>
        <v>46051.208333333088</v>
      </c>
      <c r="C105" s="153"/>
      <c r="D105" s="154"/>
      <c r="E105" s="94">
        <f ca="1">TblConstr[[#This Row],[Land]]</f>
        <v>110</v>
      </c>
      <c r="F105" s="94">
        <f ca="1">TblPop[[#This Row],[Peasants]]</f>
        <v>363</v>
      </c>
      <c r="G105" s="94">
        <f ca="1">TblMili[[#This Row],[Networth (2)]]</f>
        <v>2450</v>
      </c>
      <c r="H105" s="94">
        <f ca="1">OFFSET(TblProd[[#This Row],[Platinum]],-1,0)+OFFSET(TblProd[[#This Row],[Plat/hr]],-1,0) - TblProd[[#This Row],[Expenses Platinum]] + IF(TblProd[[#This Row],[Plat Bonus]],TblPop[[#This Row],[Peasants]]*4) + SUM(TblConstr[[#This Row],[Dest Hom]:[Dest Doc]])*TblConstr[[#This Row],[CPA Platinum -DB]]*tech_3_3_2*TblTech[[#This Row],[3-3]]</f>
        <v>201817</v>
      </c>
      <c r="I105" s="94">
        <f ca="1">OFFSET(TblProd[[#This Row],[Food]],-1,0)+OFFSET(TblProd[[#This Row],[Food/hr]],-1,0)+ROUNDUP((TblConstr[[#This Row],[Farms]]*80+TblConstr[[#This Row],[Docks]]*35)*(1+OFFSET(TblProd[[#This Row],[Bonus Food/hr]],-1,0)),0)</f>
        <v>153488</v>
      </c>
      <c r="J105" s="94">
        <f ca="1">OFFSET(TblProd[[#This Row],[Lumber]],-1,0)+OFFSET(TblProd[[#This Row],[Lumber/hr]],-1,0) - TblProd[[#This Row],[Expenses Lumber]] + SUM(TblConstr[[#This Row],[Dest Hom]:[Dest Doc]])*TblConstr[[#This Row],[CPA Lumber -DB]]*tech_3_3_2*TblTech[[#This Row],[3-3]]</f>
        <v>69196</v>
      </c>
      <c r="K105" s="94">
        <f ca="1">OFFSET(TblProd[[#This Row],[Mana]],-1,0)+OFFSET(TblProd[[#This Row],[Mana/hr]],-1,0)- TblProd[[#This Row],[Expenses Mana]]</f>
        <v>0</v>
      </c>
      <c r="L105" s="94">
        <f ca="1">OFFSET(TblProd[[#This Row],[Ore]],-1,0)+OFFSET(TblProd[[#This Row],[Ore/hr]],-1,0) -TblProd[[#This Row],[Expenses Ore]]</f>
        <v>0</v>
      </c>
      <c r="M105" s="94">
        <f ca="1">OFFSET(TblProd[[#This Row],[Gems]],-1,0)+OFFSET(TblProd[[#This Row],[Gems/hr]],-1,0) - TblProd[[#This Row],[Expenses Gems]]</f>
        <v>0</v>
      </c>
      <c r="N105" s="94">
        <f ca="1">OFFSET(TblProd[[#This Row],[Boats]],-1,0)+OFFSET(TblProd[[#This Row],[Boats/hr]],-1,0)</f>
        <v>0</v>
      </c>
      <c r="O105" s="94">
        <f ca="1">OFFSET(TblProd[[#This Row],[Prestige]],-1,0)</f>
        <v>250</v>
      </c>
      <c r="P10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5" s="94">
        <f ca="1">MAX(_xlfn.CEILING.MATH(TblProd[[#This Row],[Land]]*2.5+IFERROR(OFFSET(TblTech[[#This Row],[Sum of tech]],-1,0)*50,0)),3750)</f>
        <v>3750</v>
      </c>
      <c r="R105" s="142"/>
      <c r="S105" s="94">
        <f ca="1">ROUNDDOWN(TblProd[[#This Row],[Raw Plat/hr]]*(1+TblProd[[#This Row],[Bonus Plat/hr]]),0)</f>
        <v>980</v>
      </c>
      <c r="T105" s="94">
        <f ca="1">ROUND(TblProd[[#This Row],[Raw Food/hr]]*(1+TblProd[[#This Row],[Bonus Food/hr]])-TblProd[[#This Row],[Food decay]]-TblProd[[#This Row],[Food eaten]],0)</f>
        <v>776</v>
      </c>
      <c r="U105" s="94">
        <f ca="1">ROUND(TblProd[[#This Row],[Raw Lumber/hr]]*(1+TblProd[[#This Row],[Bonus Lumber/hr]])-TblProd[[#This Row],[Lumber rot]],0)</f>
        <v>308</v>
      </c>
      <c r="V105" s="94">
        <f ca="1">ROUND(TblProd[[#This Row],[Raw Mana/hr]]*(1+TblProd[[#This Row],[Bonus Mana/hr]])-TblProd[[#This Row],[Mana drain]],0)</f>
        <v>0</v>
      </c>
      <c r="W105" s="94">
        <f ca="1">ROUNDDOWN(TblProd[[#This Row],[Raw Ore/hr]]*(1+TblProd[[#This Row],[Bonux Ore/hr]]),0)</f>
        <v>0</v>
      </c>
      <c r="X105" s="94">
        <f ca="1">ROUNDDOWN(TblProd[[#This Row],[Raw Gems/hr]]*(1+TblProd[[#This Row],[Bonus Gems/hr]]),0)</f>
        <v>0</v>
      </c>
      <c r="Y105" s="155">
        <f ca="1">OFFSET(TblConstr[[#This Row],[Tot Doc]],1,0)*dock_boats_hr * (1 + tech_4_1*TblTech[[#This Row],[4-1]])</f>
        <v>0</v>
      </c>
      <c r="Z105" s="154"/>
      <c r="AA105" s="94">
        <f ca="1">TblPop[[#This Row],[Peasants]]*tax*TblPop[[#This Row],[Employment]] + (Construction!AZ106+Construction!BX106)*(alch_plat+(Magic!AN105&gt;0)*alchemist_flame_bonus)</f>
        <v>980.1</v>
      </c>
      <c r="AB105" s="94">
        <f ca="1">TblConstr[[#This Row],[Tot Farm]]*farm_food + TblConstr[[#This Row],[Tot Doc]]*dock_food</f>
        <v>2400</v>
      </c>
      <c r="AC105" s="94">
        <f ca="1">TblConstr[[#This Row],[Tot Ly]]*ly_lumber + TblConstr[[#This Row],[Tot Hav]]*fh_lumber + IF(race="Wood Elf",TblMili[[#This Row],[Unit 2]]*MIN(TblMili[[#This Row],[Homeland%]]/wisp_bonus,wisp_cap),0)</f>
        <v>1000</v>
      </c>
      <c r="AD105" s="94">
        <f ca="1">OFFSET(TblConstr[[#This Row],[Tot Tow]],1,0)*(tower_mana + tech_4_5*TblTech[[#This Row],[4-5]]) + OFFSET(TblConstr[[#This Row],[Tot WG]],1,0)*wg_mana_prod</f>
        <v>0</v>
      </c>
      <c r="AE105" s="94">
        <f ca="1">OFFSET(TblConstr[[#This Row],[Tot OM]],1,0)*om_ore+IF(race="Dwarf",TblMili[[#This Row],[Unit 2]]*0.5,0)</f>
        <v>0</v>
      </c>
      <c r="AF105" s="94">
        <f ca="1">OFFSET(TblConstr[[#This Row],[Tot DM]],1,0)*dm_gems</f>
        <v>0</v>
      </c>
      <c r="AG105" s="142"/>
      <c r="AH105" s="156">
        <f ca="1">MIN(race_platinum_bonus + IF(TblMagic[[#This Row],[Active Alch Frost]]&gt;0,alch_frost_bonus,IF(Magic!AE105&gt;0,midas_bonus)) + TblImps[[#This Row],[Science]] - TblProd[[#This Row],[Guard]]*(0.02 + tech_5_7*TblTech[[#This Row],[5-7]]) + tech_1_5*TblTech[[#This Row],[1-5]] + tech_4_4*TblTech[[#This Row],[4-4]] + IF(TblMagic[[#This Row],[Active Infernal Command]]&gt;0,demonic_pact_plat,0), 0.5)</f>
        <v>0</v>
      </c>
      <c r="AI10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5" s="156">
        <f ca="1">race_lumber_bonus+ IF(TblMagic[[#This Row],[Active Gaia''s Blessing]]&gt;0,gaias_blessing_lumber)+ tech_1_3*TblTech[[#This Row],[1-3]] + tech_1_6*TblTech[[#This Row],[1-6]] + tech_3_3*TblTech[[#This Row],[3-3]]</f>
        <v>0</v>
      </c>
      <c r="AK105" s="156">
        <f ca="1">race_mana_bonus+ 0 + TblImps[[#This Row],[Spires]] + tech_1_2*TblTech[[#This Row],[1-2]] + tech_3_4*TblTech[[#This Row],[3-4]]</f>
        <v>0</v>
      </c>
      <c r="AL105" s="156">
        <f ca="1">race_ore_bonus + IF(TblMagic[[#This Row],[Active Miner''s Sight]]&gt;0,miners_sight_bonus,IF(TblMagic[[#This Row],[Active Mining Strength]]&gt;0,mining_strength_bonus)) +  tech_1_6*TblTech[[#This Row],[1-6]]</f>
        <v>0</v>
      </c>
      <c r="AM105" s="156">
        <f>race_gem_bonus+ tech_3_2*TblTech[[#This Row],[3-2]] + tech_4_3*TblTech[[#This Row],[4-3]] + tech_6_2*TblTech[[#This Row],[6-2]]</f>
        <v>0</v>
      </c>
      <c r="AN105" s="142"/>
      <c r="AO105" s="94">
        <f ca="1">TblProd[[#This Row],[Food]]*food_decay * (1 + tech_2_1*TblTech[[#This Row],[2-1]] + tech_2_8*TblTech[[#This Row],[2-8]] + IF(AND(TblMagic[[#This Row],[Active DnD]]&lt;12,TblMagic[[#This Row],[Active DnD]]&gt;5),1,0))</f>
        <v>1534.88</v>
      </c>
      <c r="AP105" s="94">
        <f ca="1">(1+race_food_consumption)*TblPop[[#This Row],[Total]]*food_per_person*(1+tech_1_10*TblTech[[#This Row],[1-10]]+tech_7_5*TblTech[[#This Row],[7-5]] + IF(TblMagic[[#This Row],[Active Infernal Command]]&gt;0,demonic_pact_food_cons,0))</f>
        <v>269</v>
      </c>
      <c r="AQ105" s="94">
        <f ca="1">TblProd[[#This Row],[Lumber]]*lumber_rot * (1 + tech_2_1*TblTech[[#This Row],[2-1]] + tech_2_8*TblTech[[#This Row],[2-8]] + tech_5_2*TblTech[[#This Row],[5-2]] + IF(AND(TblMagic[[#This Row],[Active DnD]]&lt;12,TblMagic[[#This Row],[Active DnD]]&gt;5),1,0))</f>
        <v>691.96</v>
      </c>
      <c r="AR105" s="94">
        <f ca="1">TblProd[[#This Row],[Mana]]*mana_drain * (1 + tech_2_1*TblTech[[#This Row],[2-1]] + tech_2_8*TblTech[[#This Row],[2-8]])</f>
        <v>0</v>
      </c>
      <c r="AS105" s="154"/>
      <c r="AT105" s="94">
        <f ca="1">TblExplore[[#This Row],[Platinum (2)]]+TblConstr[[#This Row],[Total Plat Cost]]+TblMili[[#This Row],[Plat Cost]]+TblRezone[[#This Row],[Platinum cost]]+TblImps[[#This Row],[P1]]-TblProd[[#This Row],[Bank Plat]]</f>
        <v>0</v>
      </c>
      <c r="AU105" s="94">
        <f ca="1">TblConstr[[#This Row],[Total Lum Cost]]+TblImps[[#This Row],[L1]]-TblProd[[#This Row],[Bank Lumber]] + Military!$CO$25*TblMili[[#This Row],[Sec. rec. Cost]]</f>
        <v>0</v>
      </c>
      <c r="AV105" s="94">
        <f ca="1">TblMagic[[#This Row],[Mana cost]] + Military!$CO$26*TblMili[[#This Row],[Sec. rec. Cost]]</f>
        <v>0</v>
      </c>
      <c r="AW105" s="94">
        <f ca="1">Military!$CO$24*TblMili[[#This Row],[Sec. rec. Cost]]+TblImps[[#This Row],[O1]]-TblProd[[#This Row],[Bank Ore]]</f>
        <v>0</v>
      </c>
      <c r="AX105" s="94">
        <f>TblImps[[#This Row],[G1]]-TblProd[[#This Row],[Bank Gems]]</f>
        <v>0</v>
      </c>
      <c r="AY105" s="142"/>
      <c r="AZ105" s="61" t="b">
        <f ca="1">IF(TblProd[[#This Row],[Set Guard]]&lt;&gt;"",TblProd[[#This Row],[Set Guard]],OFFSET(TblProd[[#This Row],[Guard]],-1,0))</f>
        <v>0</v>
      </c>
      <c r="BA105" s="153"/>
      <c r="BB105" s="45">
        <f>TblProd[[#This Row],[Hour]]</f>
        <v>66</v>
      </c>
      <c r="BC105" s="158">
        <f>-TblProd[[#This Row],[Bank Lumber]] / 2 + -TblProd[[#This Row],[Bank Gems]] * 2 + -TblProd[[#This Row],[Bank Ore]] / 2</f>
        <v>0</v>
      </c>
      <c r="BD105" s="158"/>
      <c r="BE105" s="158"/>
      <c r="BF105" s="158"/>
      <c r="BG105" s="159">
        <f ca="1">TblProd[[#This Row],[Time]]</f>
        <v>46051.208333333088</v>
      </c>
      <c r="BH105" s="45" t="str">
        <f>IF(AND(TblProd[[#This Row],[Bank Plat]]=0,TblProd[[#This Row],[Bank Lumber]]=0,TblProd[[#This Row],[Bank Ore]]=0,TblProd[[#This Row],[Bank Gems]]=0),"",IF(TblProd[[#This Row],[Bank Plat]]&gt;0,IF((TblProd[[#This Row],[Bank Lumber]]+TblProd[[#This Row],[Bank Ore]])/2+TblProd[[#This Row],[Bank Gems]]*2+ROUNDUP(TblProd[[#This Row],[Bank Plat]]/(1 + tech_2_2*Techs!Y105),0)=0,"Ok","Nope"),IF(TblProd[[#This Row],[Bank Lumber]]&gt;0,IF((TblProd[[#This Row],[Bank Plat]]+TblProd[[#This Row],[Bank Ore]])/2+TblProd[[#This Row],[Bank Gems]]*2+ROUNDUP(TblProd[[#This Row],[Bank Lumber]]/(1 + tech_2_2*Techs!Y105),0)=0,"Ok","Nope"),IF(TblProd[[#This Row],[Bank Ore]]&gt;0,IF((TblProd[[#This Row],[Bank Plat]]+TblProd[[#This Row],[Bank Lumber]])/2+TblProd[[#This Row],[Bank Gems]]*2+ROUNDUP(TblProd[[#This Row],[Bank Ore]]/(1 + tech_2_2*Techs!Y105),0)=0,"Ok","Nope")))))</f>
        <v/>
      </c>
      <c r="BI105" s="94">
        <f ca="1">TblProd[[#This Row],[Platinum]]</f>
        <v>201817</v>
      </c>
      <c r="BJ105" s="94">
        <f ca="1">TblProd[[#This Row],[Food]]</f>
        <v>153488</v>
      </c>
      <c r="BK105" s="94">
        <f ca="1">TblProd[[#This Row],[Lumber]]</f>
        <v>69196</v>
      </c>
      <c r="BL105" s="94">
        <f ca="1">TblProd[[#This Row],[Mana]]</f>
        <v>0</v>
      </c>
      <c r="BM105" s="94">
        <f ca="1">TblProd[[#This Row],[Ore]]</f>
        <v>0</v>
      </c>
    </row>
    <row r="106" spans="1:65" x14ac:dyDescent="0.2">
      <c r="A106" s="137">
        <f t="shared" si="0"/>
        <v>67</v>
      </c>
      <c r="B106" s="152">
        <f ca="1">TblImps[[#This Row],[Time]]</f>
        <v>46051.249999999753</v>
      </c>
      <c r="C106" s="153"/>
      <c r="D106" s="154"/>
      <c r="E106" s="94">
        <f ca="1">TblConstr[[#This Row],[Land]]</f>
        <v>110</v>
      </c>
      <c r="F106" s="94">
        <f ca="1">TblPop[[#This Row],[Peasants]]</f>
        <v>359</v>
      </c>
      <c r="G106" s="94">
        <f ca="1">TblMili[[#This Row],[Networth (2)]]</f>
        <v>2450</v>
      </c>
      <c r="H106" s="94">
        <f ca="1">OFFSET(TblProd[[#This Row],[Platinum]],-1,0)+OFFSET(TblProd[[#This Row],[Plat/hr]],-1,0) - TblProd[[#This Row],[Expenses Platinum]] + IF(TblProd[[#This Row],[Plat Bonus]],TblPop[[#This Row],[Peasants]]*4) + SUM(TblConstr[[#This Row],[Dest Hom]:[Dest Doc]])*TblConstr[[#This Row],[CPA Platinum -DB]]*tech_3_3_2*TblTech[[#This Row],[3-3]]</f>
        <v>202797</v>
      </c>
      <c r="I106" s="94">
        <f ca="1">OFFSET(TblProd[[#This Row],[Food]],-1,0)+OFFSET(TblProd[[#This Row],[Food/hr]],-1,0)+ROUNDUP((TblConstr[[#This Row],[Farms]]*80+TblConstr[[#This Row],[Docks]]*35)*(1+OFFSET(TblProd[[#This Row],[Bonus Food/hr]],-1,0)),0)</f>
        <v>154264</v>
      </c>
      <c r="J106" s="94">
        <f ca="1">OFFSET(TblProd[[#This Row],[Lumber]],-1,0)+OFFSET(TblProd[[#This Row],[Lumber/hr]],-1,0) - TblProd[[#This Row],[Expenses Lumber]] + SUM(TblConstr[[#This Row],[Dest Hom]:[Dest Doc]])*TblConstr[[#This Row],[CPA Lumber -DB]]*tech_3_3_2*TblTech[[#This Row],[3-3]]</f>
        <v>69504</v>
      </c>
      <c r="K106" s="94">
        <f ca="1">OFFSET(TblProd[[#This Row],[Mana]],-1,0)+OFFSET(TblProd[[#This Row],[Mana/hr]],-1,0)- TblProd[[#This Row],[Expenses Mana]]</f>
        <v>0</v>
      </c>
      <c r="L106" s="94">
        <f ca="1">OFFSET(TblProd[[#This Row],[Ore]],-1,0)+OFFSET(TblProd[[#This Row],[Ore/hr]],-1,0) -TblProd[[#This Row],[Expenses Ore]]</f>
        <v>0</v>
      </c>
      <c r="M106" s="94">
        <f ca="1">OFFSET(TblProd[[#This Row],[Gems]],-1,0)+OFFSET(TblProd[[#This Row],[Gems/hr]],-1,0) - TblProd[[#This Row],[Expenses Gems]]</f>
        <v>0</v>
      </c>
      <c r="N106" s="94">
        <f ca="1">OFFSET(TblProd[[#This Row],[Boats]],-1,0)+OFFSET(TblProd[[#This Row],[Boats/hr]],-1,0)</f>
        <v>0</v>
      </c>
      <c r="O106" s="94">
        <f ca="1">OFFSET(TblProd[[#This Row],[Prestige]],-1,0)</f>
        <v>250</v>
      </c>
      <c r="P10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6" s="94">
        <f ca="1">MAX(_xlfn.CEILING.MATH(TblProd[[#This Row],[Land]]*2.5+IFERROR(OFFSET(TblTech[[#This Row],[Sum of tech]],-1,0)*50,0)),3750)</f>
        <v>3750</v>
      </c>
      <c r="R106" s="142"/>
      <c r="S106" s="94">
        <f ca="1">ROUNDDOWN(TblProd[[#This Row],[Raw Plat/hr]]*(1+TblProd[[#This Row],[Bonus Plat/hr]]),0)</f>
        <v>969</v>
      </c>
      <c r="T106" s="94">
        <f ca="1">ROUND(TblProd[[#This Row],[Raw Food/hr]]*(1+TblProd[[#This Row],[Bonus Food/hr]])-TblProd[[#This Row],[Food decay]]-TblProd[[#This Row],[Food eaten]],0)</f>
        <v>768</v>
      </c>
      <c r="U106" s="94">
        <f ca="1">ROUND(TblProd[[#This Row],[Raw Lumber/hr]]*(1+TblProd[[#This Row],[Bonus Lumber/hr]])-TblProd[[#This Row],[Lumber rot]],0)</f>
        <v>305</v>
      </c>
      <c r="V106" s="94">
        <f ca="1">ROUND(TblProd[[#This Row],[Raw Mana/hr]]*(1+TblProd[[#This Row],[Bonus Mana/hr]])-TblProd[[#This Row],[Mana drain]],0)</f>
        <v>0</v>
      </c>
      <c r="W106" s="94">
        <f ca="1">ROUNDDOWN(TblProd[[#This Row],[Raw Ore/hr]]*(1+TblProd[[#This Row],[Bonux Ore/hr]]),0)</f>
        <v>0</v>
      </c>
      <c r="X106" s="94">
        <f ca="1">ROUNDDOWN(TblProd[[#This Row],[Raw Gems/hr]]*(1+TblProd[[#This Row],[Bonus Gems/hr]]),0)</f>
        <v>0</v>
      </c>
      <c r="Y106" s="155">
        <f ca="1">OFFSET(TblConstr[[#This Row],[Tot Doc]],1,0)*dock_boats_hr * (1 + tech_4_1*TblTech[[#This Row],[4-1]])</f>
        <v>0</v>
      </c>
      <c r="Z106" s="154"/>
      <c r="AA106" s="94">
        <f ca="1">TblPop[[#This Row],[Peasants]]*tax*TblPop[[#This Row],[Employment]] + (Construction!AZ107+Construction!BX107)*(alch_plat+(Magic!AN106&gt;0)*alchemist_flame_bonus)</f>
        <v>969.30000000000007</v>
      </c>
      <c r="AB106" s="94">
        <f ca="1">TblConstr[[#This Row],[Tot Farm]]*farm_food + TblConstr[[#This Row],[Tot Doc]]*dock_food</f>
        <v>2400</v>
      </c>
      <c r="AC106" s="94">
        <f ca="1">TblConstr[[#This Row],[Tot Ly]]*ly_lumber + TblConstr[[#This Row],[Tot Hav]]*fh_lumber + IF(race="Wood Elf",TblMili[[#This Row],[Unit 2]]*MIN(TblMili[[#This Row],[Homeland%]]/wisp_bonus,wisp_cap),0)</f>
        <v>1000</v>
      </c>
      <c r="AD106" s="94">
        <f ca="1">OFFSET(TblConstr[[#This Row],[Tot Tow]],1,0)*(tower_mana + tech_4_5*TblTech[[#This Row],[4-5]]) + OFFSET(TblConstr[[#This Row],[Tot WG]],1,0)*wg_mana_prod</f>
        <v>0</v>
      </c>
      <c r="AE106" s="94">
        <f ca="1">OFFSET(TblConstr[[#This Row],[Tot OM]],1,0)*om_ore+IF(race="Dwarf",TblMili[[#This Row],[Unit 2]]*0.5,0)</f>
        <v>0</v>
      </c>
      <c r="AF106" s="94">
        <f ca="1">OFFSET(TblConstr[[#This Row],[Tot DM]],1,0)*dm_gems</f>
        <v>0</v>
      </c>
      <c r="AG106" s="142"/>
      <c r="AH106" s="156">
        <f ca="1">MIN(race_platinum_bonus + IF(TblMagic[[#This Row],[Active Alch Frost]]&gt;0,alch_frost_bonus,IF(Magic!AE106&gt;0,midas_bonus)) + TblImps[[#This Row],[Science]] - TblProd[[#This Row],[Guard]]*(0.02 + tech_5_7*TblTech[[#This Row],[5-7]]) + tech_1_5*TblTech[[#This Row],[1-5]] + tech_4_4*TblTech[[#This Row],[4-4]] + IF(TblMagic[[#This Row],[Active Infernal Command]]&gt;0,demonic_pact_plat,0), 0.5)</f>
        <v>0</v>
      </c>
      <c r="AI10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6" s="156">
        <f ca="1">race_lumber_bonus+ IF(TblMagic[[#This Row],[Active Gaia''s Blessing]]&gt;0,gaias_blessing_lumber)+ tech_1_3*TblTech[[#This Row],[1-3]] + tech_1_6*TblTech[[#This Row],[1-6]] + tech_3_3*TblTech[[#This Row],[3-3]]</f>
        <v>0</v>
      </c>
      <c r="AK106" s="156">
        <f ca="1">race_mana_bonus+ 0 + TblImps[[#This Row],[Spires]] + tech_1_2*TblTech[[#This Row],[1-2]] + tech_3_4*TblTech[[#This Row],[3-4]]</f>
        <v>0</v>
      </c>
      <c r="AL106" s="156">
        <f ca="1">race_ore_bonus + IF(TblMagic[[#This Row],[Active Miner''s Sight]]&gt;0,miners_sight_bonus,IF(TblMagic[[#This Row],[Active Mining Strength]]&gt;0,mining_strength_bonus)) +  tech_1_6*TblTech[[#This Row],[1-6]]</f>
        <v>0</v>
      </c>
      <c r="AM106" s="156">
        <f>race_gem_bonus+ tech_3_2*TblTech[[#This Row],[3-2]] + tech_4_3*TblTech[[#This Row],[4-3]] + tech_6_2*TblTech[[#This Row],[6-2]]</f>
        <v>0</v>
      </c>
      <c r="AN106" s="142"/>
      <c r="AO106" s="94">
        <f ca="1">TblProd[[#This Row],[Food]]*food_decay * (1 + tech_2_1*TblTech[[#This Row],[2-1]] + tech_2_8*TblTech[[#This Row],[2-8]] + IF(AND(TblMagic[[#This Row],[Active DnD]]&lt;12,TblMagic[[#This Row],[Active DnD]]&gt;5),1,0))</f>
        <v>1542.64</v>
      </c>
      <c r="AP106" s="94">
        <f ca="1">(1+race_food_consumption)*TblPop[[#This Row],[Total]]*food_per_person*(1+tech_1_10*TblTech[[#This Row],[1-10]]+tech_7_5*TblTech[[#This Row],[7-5]] + IF(TblMagic[[#This Row],[Active Infernal Command]]&gt;0,demonic_pact_food_cons,0))</f>
        <v>269</v>
      </c>
      <c r="AQ106" s="94">
        <f ca="1">TblProd[[#This Row],[Lumber]]*lumber_rot * (1 + tech_2_1*TblTech[[#This Row],[2-1]] + tech_2_8*TblTech[[#This Row],[2-8]] + tech_5_2*TblTech[[#This Row],[5-2]] + IF(AND(TblMagic[[#This Row],[Active DnD]]&lt;12,TblMagic[[#This Row],[Active DnD]]&gt;5),1,0))</f>
        <v>695.04</v>
      </c>
      <c r="AR106" s="94">
        <f ca="1">TblProd[[#This Row],[Mana]]*mana_drain * (1 + tech_2_1*TblTech[[#This Row],[2-1]] + tech_2_8*TblTech[[#This Row],[2-8]])</f>
        <v>0</v>
      </c>
      <c r="AS106" s="154"/>
      <c r="AT106" s="94">
        <f ca="1">TblExplore[[#This Row],[Platinum (2)]]+TblConstr[[#This Row],[Total Plat Cost]]+TblMili[[#This Row],[Plat Cost]]+TblRezone[[#This Row],[Platinum cost]]+TblImps[[#This Row],[P1]]-TblProd[[#This Row],[Bank Plat]]</f>
        <v>0</v>
      </c>
      <c r="AU106" s="94">
        <f ca="1">TblConstr[[#This Row],[Total Lum Cost]]+TblImps[[#This Row],[L1]]-TblProd[[#This Row],[Bank Lumber]] + Military!$CO$25*TblMili[[#This Row],[Sec. rec. Cost]]</f>
        <v>0</v>
      </c>
      <c r="AV106" s="94">
        <f ca="1">TblMagic[[#This Row],[Mana cost]] + Military!$CO$26*TblMili[[#This Row],[Sec. rec. Cost]]</f>
        <v>0</v>
      </c>
      <c r="AW106" s="94">
        <f ca="1">Military!$CO$24*TblMili[[#This Row],[Sec. rec. Cost]]+TblImps[[#This Row],[O1]]-TblProd[[#This Row],[Bank Ore]]</f>
        <v>0</v>
      </c>
      <c r="AX106" s="94">
        <f>TblImps[[#This Row],[G1]]-TblProd[[#This Row],[Bank Gems]]</f>
        <v>0</v>
      </c>
      <c r="AY106" s="142"/>
      <c r="AZ106" s="61" t="b">
        <f ca="1">IF(TblProd[[#This Row],[Set Guard]]&lt;&gt;"",TblProd[[#This Row],[Set Guard]],OFFSET(TblProd[[#This Row],[Guard]],-1,0))</f>
        <v>0</v>
      </c>
      <c r="BA106" s="153"/>
      <c r="BB106" s="45">
        <f>TblProd[[#This Row],[Hour]]</f>
        <v>67</v>
      </c>
      <c r="BC106" s="158">
        <f>-TblProd[[#This Row],[Bank Lumber]] / 2 + -TblProd[[#This Row],[Bank Gems]] * 2 + -TblProd[[#This Row],[Bank Ore]] / 2</f>
        <v>0</v>
      </c>
      <c r="BD106" s="158"/>
      <c r="BE106" s="158"/>
      <c r="BF106" s="158"/>
      <c r="BG106" s="159">
        <f ca="1">TblProd[[#This Row],[Time]]</f>
        <v>46051.249999999753</v>
      </c>
      <c r="BH106" s="45" t="str">
        <f>IF(AND(TblProd[[#This Row],[Bank Plat]]=0,TblProd[[#This Row],[Bank Lumber]]=0,TblProd[[#This Row],[Bank Ore]]=0,TblProd[[#This Row],[Bank Gems]]=0),"",IF(TblProd[[#This Row],[Bank Plat]]&gt;0,IF((TblProd[[#This Row],[Bank Lumber]]+TblProd[[#This Row],[Bank Ore]])/2+TblProd[[#This Row],[Bank Gems]]*2+ROUNDUP(TblProd[[#This Row],[Bank Plat]]/(1 + tech_2_2*Techs!Y106),0)=0,"Ok","Nope"),IF(TblProd[[#This Row],[Bank Lumber]]&gt;0,IF((TblProd[[#This Row],[Bank Plat]]+TblProd[[#This Row],[Bank Ore]])/2+TblProd[[#This Row],[Bank Gems]]*2+ROUNDUP(TblProd[[#This Row],[Bank Lumber]]/(1 + tech_2_2*Techs!Y106),0)=0,"Ok","Nope"),IF(TblProd[[#This Row],[Bank Ore]]&gt;0,IF((TblProd[[#This Row],[Bank Plat]]+TblProd[[#This Row],[Bank Lumber]])/2+TblProd[[#This Row],[Bank Gems]]*2+ROUNDUP(TblProd[[#This Row],[Bank Ore]]/(1 + tech_2_2*Techs!Y106),0)=0,"Ok","Nope")))))</f>
        <v/>
      </c>
      <c r="BI106" s="94">
        <f ca="1">TblProd[[#This Row],[Platinum]]</f>
        <v>202797</v>
      </c>
      <c r="BJ106" s="94">
        <f ca="1">TblProd[[#This Row],[Food]]</f>
        <v>154264</v>
      </c>
      <c r="BK106" s="94">
        <f ca="1">TblProd[[#This Row],[Lumber]]</f>
        <v>69504</v>
      </c>
      <c r="BL106" s="94">
        <f ca="1">TblProd[[#This Row],[Mana]]</f>
        <v>0</v>
      </c>
      <c r="BM106" s="94">
        <f ca="1">TblProd[[#This Row],[Ore]]</f>
        <v>0</v>
      </c>
    </row>
    <row r="107" spans="1:65" x14ac:dyDescent="0.2">
      <c r="A107" s="137">
        <f t="shared" ref="A107:A136" si="1">A106+1</f>
        <v>68</v>
      </c>
      <c r="B107" s="152">
        <f ca="1">TblImps[[#This Row],[Time]]</f>
        <v>46051.291666666417</v>
      </c>
      <c r="C107" s="153"/>
      <c r="D107" s="154"/>
      <c r="E107" s="94">
        <f ca="1">TblConstr[[#This Row],[Land]]</f>
        <v>110</v>
      </c>
      <c r="F107" s="94">
        <f ca="1">TblPop[[#This Row],[Peasants]]</f>
        <v>355</v>
      </c>
      <c r="G107" s="94">
        <f ca="1">TblMili[[#This Row],[Networth (2)]]</f>
        <v>2450</v>
      </c>
      <c r="H107" s="94">
        <f ca="1">OFFSET(TblProd[[#This Row],[Platinum]],-1,0)+OFFSET(TblProd[[#This Row],[Plat/hr]],-1,0) - TblProd[[#This Row],[Expenses Platinum]] + IF(TblProd[[#This Row],[Plat Bonus]],TblPop[[#This Row],[Peasants]]*4) + SUM(TblConstr[[#This Row],[Dest Hom]:[Dest Doc]])*TblConstr[[#This Row],[CPA Platinum -DB]]*tech_3_3_2*TblTech[[#This Row],[3-3]]</f>
        <v>203766</v>
      </c>
      <c r="I107" s="94">
        <f ca="1">OFFSET(TblProd[[#This Row],[Food]],-1,0)+OFFSET(TblProd[[#This Row],[Food/hr]],-1,0)+ROUNDUP((TblConstr[[#This Row],[Farms]]*80+TblConstr[[#This Row],[Docks]]*35)*(1+OFFSET(TblProd[[#This Row],[Bonus Food/hr]],-1,0)),0)</f>
        <v>155032</v>
      </c>
      <c r="J107" s="94">
        <f ca="1">OFFSET(TblProd[[#This Row],[Lumber]],-1,0)+OFFSET(TblProd[[#This Row],[Lumber/hr]],-1,0) - TblProd[[#This Row],[Expenses Lumber]] + SUM(TblConstr[[#This Row],[Dest Hom]:[Dest Doc]])*TblConstr[[#This Row],[CPA Lumber -DB]]*tech_3_3_2*TblTech[[#This Row],[3-3]]</f>
        <v>69809</v>
      </c>
      <c r="K107" s="94">
        <f ca="1">OFFSET(TblProd[[#This Row],[Mana]],-1,0)+OFFSET(TblProd[[#This Row],[Mana/hr]],-1,0)- TblProd[[#This Row],[Expenses Mana]]</f>
        <v>0</v>
      </c>
      <c r="L107" s="94">
        <f ca="1">OFFSET(TblProd[[#This Row],[Ore]],-1,0)+OFFSET(TblProd[[#This Row],[Ore/hr]],-1,0) -TblProd[[#This Row],[Expenses Ore]]</f>
        <v>0</v>
      </c>
      <c r="M107" s="94">
        <f ca="1">OFFSET(TblProd[[#This Row],[Gems]],-1,0)+OFFSET(TblProd[[#This Row],[Gems/hr]],-1,0) - TblProd[[#This Row],[Expenses Gems]]</f>
        <v>0</v>
      </c>
      <c r="N107" s="94">
        <f ca="1">OFFSET(TblProd[[#This Row],[Boats]],-1,0)+OFFSET(TblProd[[#This Row],[Boats/hr]],-1,0)</f>
        <v>0</v>
      </c>
      <c r="O107" s="94">
        <f ca="1">OFFSET(TblProd[[#This Row],[Prestige]],-1,0)</f>
        <v>250</v>
      </c>
      <c r="P10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7" s="94">
        <f ca="1">MAX(_xlfn.CEILING.MATH(TblProd[[#This Row],[Land]]*2.5+IFERROR(OFFSET(TblTech[[#This Row],[Sum of tech]],-1,0)*50,0)),3750)</f>
        <v>3750</v>
      </c>
      <c r="R107" s="142"/>
      <c r="S107" s="94">
        <f ca="1">ROUNDDOWN(TblProd[[#This Row],[Raw Plat/hr]]*(1+TblProd[[#This Row],[Bonus Plat/hr]]),0)</f>
        <v>958</v>
      </c>
      <c r="T107" s="94">
        <f ca="1">ROUND(TblProd[[#This Row],[Raw Food/hr]]*(1+TblProd[[#This Row],[Bonus Food/hr]])-TblProd[[#This Row],[Food decay]]-TblProd[[#This Row],[Food eaten]],0)</f>
        <v>761</v>
      </c>
      <c r="U107" s="94">
        <f ca="1">ROUND(TblProd[[#This Row],[Raw Lumber/hr]]*(1+TblProd[[#This Row],[Bonus Lumber/hr]])-TblProd[[#This Row],[Lumber rot]],0)</f>
        <v>302</v>
      </c>
      <c r="V107" s="94">
        <f ca="1">ROUND(TblProd[[#This Row],[Raw Mana/hr]]*(1+TblProd[[#This Row],[Bonus Mana/hr]])-TblProd[[#This Row],[Mana drain]],0)</f>
        <v>0</v>
      </c>
      <c r="W107" s="94">
        <f ca="1">ROUNDDOWN(TblProd[[#This Row],[Raw Ore/hr]]*(1+TblProd[[#This Row],[Bonux Ore/hr]]),0)</f>
        <v>0</v>
      </c>
      <c r="X107" s="94">
        <f ca="1">ROUNDDOWN(TblProd[[#This Row],[Raw Gems/hr]]*(1+TblProd[[#This Row],[Bonus Gems/hr]]),0)</f>
        <v>0</v>
      </c>
      <c r="Y107" s="155">
        <f ca="1">OFFSET(TblConstr[[#This Row],[Tot Doc]],1,0)*dock_boats_hr * (1 + tech_4_1*TblTech[[#This Row],[4-1]])</f>
        <v>0</v>
      </c>
      <c r="Z107" s="154"/>
      <c r="AA107" s="94">
        <f ca="1">TblPop[[#This Row],[Peasants]]*tax*TblPop[[#This Row],[Employment]] + (Construction!AZ108+Construction!BX108)*(alch_plat+(Magic!AN107&gt;0)*alchemist_flame_bonus)</f>
        <v>958.50000000000011</v>
      </c>
      <c r="AB107" s="94">
        <f ca="1">TblConstr[[#This Row],[Tot Farm]]*farm_food + TblConstr[[#This Row],[Tot Doc]]*dock_food</f>
        <v>2400</v>
      </c>
      <c r="AC107" s="94">
        <f ca="1">TblConstr[[#This Row],[Tot Ly]]*ly_lumber + TblConstr[[#This Row],[Tot Hav]]*fh_lumber + IF(race="Wood Elf",TblMili[[#This Row],[Unit 2]]*MIN(TblMili[[#This Row],[Homeland%]]/wisp_bonus,wisp_cap),0)</f>
        <v>1000</v>
      </c>
      <c r="AD107" s="94">
        <f ca="1">OFFSET(TblConstr[[#This Row],[Tot Tow]],1,0)*(tower_mana + tech_4_5*TblTech[[#This Row],[4-5]]) + OFFSET(TblConstr[[#This Row],[Tot WG]],1,0)*wg_mana_prod</f>
        <v>0</v>
      </c>
      <c r="AE107" s="94">
        <f ca="1">OFFSET(TblConstr[[#This Row],[Tot OM]],1,0)*om_ore+IF(race="Dwarf",TblMili[[#This Row],[Unit 2]]*0.5,0)</f>
        <v>0</v>
      </c>
      <c r="AF107" s="94">
        <f ca="1">OFFSET(TblConstr[[#This Row],[Tot DM]],1,0)*dm_gems</f>
        <v>0</v>
      </c>
      <c r="AG107" s="142"/>
      <c r="AH107" s="156">
        <f ca="1">MIN(race_platinum_bonus + IF(TblMagic[[#This Row],[Active Alch Frost]]&gt;0,alch_frost_bonus,IF(Magic!AE107&gt;0,midas_bonus)) + TblImps[[#This Row],[Science]] - TblProd[[#This Row],[Guard]]*(0.02 + tech_5_7*TblTech[[#This Row],[5-7]]) + tech_1_5*TblTech[[#This Row],[1-5]] + tech_4_4*TblTech[[#This Row],[4-4]] + IF(TblMagic[[#This Row],[Active Infernal Command]]&gt;0,demonic_pact_plat,0), 0.5)</f>
        <v>0</v>
      </c>
      <c r="AI10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7" s="156">
        <f ca="1">race_lumber_bonus+ IF(TblMagic[[#This Row],[Active Gaia''s Blessing]]&gt;0,gaias_blessing_lumber)+ tech_1_3*TblTech[[#This Row],[1-3]] + tech_1_6*TblTech[[#This Row],[1-6]] + tech_3_3*TblTech[[#This Row],[3-3]]</f>
        <v>0</v>
      </c>
      <c r="AK107" s="156">
        <f ca="1">race_mana_bonus+ 0 + TblImps[[#This Row],[Spires]] + tech_1_2*TblTech[[#This Row],[1-2]] + tech_3_4*TblTech[[#This Row],[3-4]]</f>
        <v>0</v>
      </c>
      <c r="AL107" s="156">
        <f ca="1">race_ore_bonus + IF(TblMagic[[#This Row],[Active Miner''s Sight]]&gt;0,miners_sight_bonus,IF(TblMagic[[#This Row],[Active Mining Strength]]&gt;0,mining_strength_bonus)) +  tech_1_6*TblTech[[#This Row],[1-6]]</f>
        <v>0</v>
      </c>
      <c r="AM107" s="156">
        <f>race_gem_bonus+ tech_3_2*TblTech[[#This Row],[3-2]] + tech_4_3*TblTech[[#This Row],[4-3]] + tech_6_2*TblTech[[#This Row],[6-2]]</f>
        <v>0</v>
      </c>
      <c r="AN107" s="142"/>
      <c r="AO107" s="94">
        <f ca="1">TblProd[[#This Row],[Food]]*food_decay * (1 + tech_2_1*TblTech[[#This Row],[2-1]] + tech_2_8*TblTech[[#This Row],[2-8]] + IF(AND(TblMagic[[#This Row],[Active DnD]]&lt;12,TblMagic[[#This Row],[Active DnD]]&gt;5),1,0))</f>
        <v>1550.32</v>
      </c>
      <c r="AP107" s="94">
        <f ca="1">(1+race_food_consumption)*TblPop[[#This Row],[Total]]*food_per_person*(1+tech_1_10*TblTech[[#This Row],[1-10]]+tech_7_5*TblTech[[#This Row],[7-5]] + IF(TblMagic[[#This Row],[Active Infernal Command]]&gt;0,demonic_pact_food_cons,0))</f>
        <v>269</v>
      </c>
      <c r="AQ107" s="94">
        <f ca="1">TblProd[[#This Row],[Lumber]]*lumber_rot * (1 + tech_2_1*TblTech[[#This Row],[2-1]] + tech_2_8*TblTech[[#This Row],[2-8]] + tech_5_2*TblTech[[#This Row],[5-2]] + IF(AND(TblMagic[[#This Row],[Active DnD]]&lt;12,TblMagic[[#This Row],[Active DnD]]&gt;5),1,0))</f>
        <v>698.09</v>
      </c>
      <c r="AR107" s="94">
        <f ca="1">TblProd[[#This Row],[Mana]]*mana_drain * (1 + tech_2_1*TblTech[[#This Row],[2-1]] + tech_2_8*TblTech[[#This Row],[2-8]])</f>
        <v>0</v>
      </c>
      <c r="AS107" s="154"/>
      <c r="AT107" s="94">
        <f ca="1">TblExplore[[#This Row],[Platinum (2)]]+TblConstr[[#This Row],[Total Plat Cost]]+TblMili[[#This Row],[Plat Cost]]+TblRezone[[#This Row],[Platinum cost]]+TblImps[[#This Row],[P1]]-TblProd[[#This Row],[Bank Plat]]</f>
        <v>0</v>
      </c>
      <c r="AU107" s="94">
        <f ca="1">TblConstr[[#This Row],[Total Lum Cost]]+TblImps[[#This Row],[L1]]-TblProd[[#This Row],[Bank Lumber]] + Military!$CO$25*TblMili[[#This Row],[Sec. rec. Cost]]</f>
        <v>0</v>
      </c>
      <c r="AV107" s="94">
        <f ca="1">TblMagic[[#This Row],[Mana cost]] + Military!$CO$26*TblMili[[#This Row],[Sec. rec. Cost]]</f>
        <v>0</v>
      </c>
      <c r="AW107" s="94">
        <f ca="1">Military!$CO$24*TblMili[[#This Row],[Sec. rec. Cost]]+TblImps[[#This Row],[O1]]-TblProd[[#This Row],[Bank Ore]]</f>
        <v>0</v>
      </c>
      <c r="AX107" s="94">
        <f>TblImps[[#This Row],[G1]]-TblProd[[#This Row],[Bank Gems]]</f>
        <v>0</v>
      </c>
      <c r="AY107" s="142"/>
      <c r="AZ107" s="61" t="b">
        <f ca="1">IF(TblProd[[#This Row],[Set Guard]]&lt;&gt;"",TblProd[[#This Row],[Set Guard]],OFFSET(TblProd[[#This Row],[Guard]],-1,0))</f>
        <v>0</v>
      </c>
      <c r="BA107" s="153"/>
      <c r="BB107" s="45">
        <f>TblProd[[#This Row],[Hour]]</f>
        <v>68</v>
      </c>
      <c r="BC107" s="158">
        <f>-TblProd[[#This Row],[Bank Lumber]] / 2 + -TblProd[[#This Row],[Bank Gems]] * 2 + -TblProd[[#This Row],[Bank Ore]] / 2</f>
        <v>0</v>
      </c>
      <c r="BD107" s="158"/>
      <c r="BE107" s="158"/>
      <c r="BF107" s="158"/>
      <c r="BG107" s="159">
        <f ca="1">TblProd[[#This Row],[Time]]</f>
        <v>46051.291666666417</v>
      </c>
      <c r="BH107" s="45" t="str">
        <f>IF(AND(TblProd[[#This Row],[Bank Plat]]=0,TblProd[[#This Row],[Bank Lumber]]=0,TblProd[[#This Row],[Bank Ore]]=0,TblProd[[#This Row],[Bank Gems]]=0),"",IF(TblProd[[#This Row],[Bank Plat]]&gt;0,IF((TblProd[[#This Row],[Bank Lumber]]+TblProd[[#This Row],[Bank Ore]])/2+TblProd[[#This Row],[Bank Gems]]*2+ROUNDUP(TblProd[[#This Row],[Bank Plat]]/(1 + tech_2_2*Techs!Y107),0)=0,"Ok","Nope"),IF(TblProd[[#This Row],[Bank Lumber]]&gt;0,IF((TblProd[[#This Row],[Bank Plat]]+TblProd[[#This Row],[Bank Ore]])/2+TblProd[[#This Row],[Bank Gems]]*2+ROUNDUP(TblProd[[#This Row],[Bank Lumber]]/(1 + tech_2_2*Techs!Y107),0)=0,"Ok","Nope"),IF(TblProd[[#This Row],[Bank Ore]]&gt;0,IF((TblProd[[#This Row],[Bank Plat]]+TblProd[[#This Row],[Bank Lumber]])/2+TblProd[[#This Row],[Bank Gems]]*2+ROUNDUP(TblProd[[#This Row],[Bank Ore]]/(1 + tech_2_2*Techs!Y107),0)=0,"Ok","Nope")))))</f>
        <v/>
      </c>
      <c r="BI107" s="94">
        <f ca="1">TblProd[[#This Row],[Platinum]]</f>
        <v>203766</v>
      </c>
      <c r="BJ107" s="94">
        <f ca="1">TblProd[[#This Row],[Food]]</f>
        <v>155032</v>
      </c>
      <c r="BK107" s="94">
        <f ca="1">TblProd[[#This Row],[Lumber]]</f>
        <v>69809</v>
      </c>
      <c r="BL107" s="94">
        <f ca="1">TblProd[[#This Row],[Mana]]</f>
        <v>0</v>
      </c>
      <c r="BM107" s="94">
        <f ca="1">TblProd[[#This Row],[Ore]]</f>
        <v>0</v>
      </c>
    </row>
    <row r="108" spans="1:65" x14ac:dyDescent="0.2">
      <c r="A108" s="137">
        <f t="shared" si="1"/>
        <v>69</v>
      </c>
      <c r="B108" s="152">
        <f ca="1">TblImps[[#This Row],[Time]]</f>
        <v>46051.333333333081</v>
      </c>
      <c r="C108" s="153"/>
      <c r="D108" s="154"/>
      <c r="E108" s="94">
        <f ca="1">TblConstr[[#This Row],[Land]]</f>
        <v>110</v>
      </c>
      <c r="F108" s="94">
        <f ca="1">TblPop[[#This Row],[Peasants]]</f>
        <v>351</v>
      </c>
      <c r="G108" s="94">
        <f ca="1">TblMili[[#This Row],[Networth (2)]]</f>
        <v>2450</v>
      </c>
      <c r="H108" s="94">
        <f ca="1">OFFSET(TblProd[[#This Row],[Platinum]],-1,0)+OFFSET(TblProd[[#This Row],[Plat/hr]],-1,0) - TblProd[[#This Row],[Expenses Platinum]] + IF(TblProd[[#This Row],[Plat Bonus]],TblPop[[#This Row],[Peasants]]*4) + SUM(TblConstr[[#This Row],[Dest Hom]:[Dest Doc]])*TblConstr[[#This Row],[CPA Platinum -DB]]*tech_3_3_2*TblTech[[#This Row],[3-3]]</f>
        <v>204724</v>
      </c>
      <c r="I108" s="94">
        <f ca="1">OFFSET(TblProd[[#This Row],[Food]],-1,0)+OFFSET(TblProd[[#This Row],[Food/hr]],-1,0)+ROUNDUP((TblConstr[[#This Row],[Farms]]*80+TblConstr[[#This Row],[Docks]]*35)*(1+OFFSET(TblProd[[#This Row],[Bonus Food/hr]],-1,0)),0)</f>
        <v>155793</v>
      </c>
      <c r="J108" s="94">
        <f ca="1">OFFSET(TblProd[[#This Row],[Lumber]],-1,0)+OFFSET(TblProd[[#This Row],[Lumber/hr]],-1,0) - TblProd[[#This Row],[Expenses Lumber]] + SUM(TblConstr[[#This Row],[Dest Hom]:[Dest Doc]])*TblConstr[[#This Row],[CPA Lumber -DB]]*tech_3_3_2*TblTech[[#This Row],[3-3]]</f>
        <v>70111</v>
      </c>
      <c r="K108" s="94">
        <f ca="1">OFFSET(TblProd[[#This Row],[Mana]],-1,0)+OFFSET(TblProd[[#This Row],[Mana/hr]],-1,0)- TblProd[[#This Row],[Expenses Mana]]</f>
        <v>0</v>
      </c>
      <c r="L108" s="94">
        <f ca="1">OFFSET(TblProd[[#This Row],[Ore]],-1,0)+OFFSET(TblProd[[#This Row],[Ore/hr]],-1,0) -TblProd[[#This Row],[Expenses Ore]]</f>
        <v>0</v>
      </c>
      <c r="M108" s="94">
        <f ca="1">OFFSET(TblProd[[#This Row],[Gems]],-1,0)+OFFSET(TblProd[[#This Row],[Gems/hr]],-1,0) - TblProd[[#This Row],[Expenses Gems]]</f>
        <v>0</v>
      </c>
      <c r="N108" s="94">
        <f ca="1">OFFSET(TblProd[[#This Row],[Boats]],-1,0)+OFFSET(TblProd[[#This Row],[Boats/hr]],-1,0)</f>
        <v>0</v>
      </c>
      <c r="O108" s="94">
        <f ca="1">OFFSET(TblProd[[#This Row],[Prestige]],-1,0)</f>
        <v>250</v>
      </c>
      <c r="P10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8" s="94">
        <f ca="1">MAX(_xlfn.CEILING.MATH(TblProd[[#This Row],[Land]]*2.5+IFERROR(OFFSET(TblTech[[#This Row],[Sum of tech]],-1,0)*50,0)),3750)</f>
        <v>3750</v>
      </c>
      <c r="R108" s="142"/>
      <c r="S108" s="94">
        <f ca="1">ROUNDDOWN(TblProd[[#This Row],[Raw Plat/hr]]*(1+TblProd[[#This Row],[Bonus Plat/hr]]),0)</f>
        <v>947</v>
      </c>
      <c r="T108" s="94">
        <f ca="1">ROUND(TblProd[[#This Row],[Raw Food/hr]]*(1+TblProd[[#This Row],[Bonus Food/hr]])-TblProd[[#This Row],[Food decay]]-TblProd[[#This Row],[Food eaten]],0)</f>
        <v>753</v>
      </c>
      <c r="U108" s="94">
        <f ca="1">ROUND(TblProd[[#This Row],[Raw Lumber/hr]]*(1+TblProd[[#This Row],[Bonus Lumber/hr]])-TblProd[[#This Row],[Lumber rot]],0)</f>
        <v>299</v>
      </c>
      <c r="V108" s="94">
        <f ca="1">ROUND(TblProd[[#This Row],[Raw Mana/hr]]*(1+TblProd[[#This Row],[Bonus Mana/hr]])-TblProd[[#This Row],[Mana drain]],0)</f>
        <v>0</v>
      </c>
      <c r="W108" s="94">
        <f ca="1">ROUNDDOWN(TblProd[[#This Row],[Raw Ore/hr]]*(1+TblProd[[#This Row],[Bonux Ore/hr]]),0)</f>
        <v>0</v>
      </c>
      <c r="X108" s="94">
        <f ca="1">ROUNDDOWN(TblProd[[#This Row],[Raw Gems/hr]]*(1+TblProd[[#This Row],[Bonus Gems/hr]]),0)</f>
        <v>0</v>
      </c>
      <c r="Y108" s="155">
        <f ca="1">OFFSET(TblConstr[[#This Row],[Tot Doc]],1,0)*dock_boats_hr * (1 + tech_4_1*TblTech[[#This Row],[4-1]])</f>
        <v>0</v>
      </c>
      <c r="Z108" s="154"/>
      <c r="AA108" s="94">
        <f ca="1">TblPop[[#This Row],[Peasants]]*tax*TblPop[[#This Row],[Employment]] + (Construction!AZ109+Construction!BX109)*(alch_plat+(Magic!AN108&gt;0)*alchemist_flame_bonus)</f>
        <v>947.7</v>
      </c>
      <c r="AB108" s="94">
        <f ca="1">TblConstr[[#This Row],[Tot Farm]]*farm_food + TblConstr[[#This Row],[Tot Doc]]*dock_food</f>
        <v>2400</v>
      </c>
      <c r="AC108" s="94">
        <f ca="1">TblConstr[[#This Row],[Tot Ly]]*ly_lumber + TblConstr[[#This Row],[Tot Hav]]*fh_lumber + IF(race="Wood Elf",TblMili[[#This Row],[Unit 2]]*MIN(TblMili[[#This Row],[Homeland%]]/wisp_bonus,wisp_cap),0)</f>
        <v>1000</v>
      </c>
      <c r="AD108" s="94">
        <f ca="1">OFFSET(TblConstr[[#This Row],[Tot Tow]],1,0)*(tower_mana + tech_4_5*TblTech[[#This Row],[4-5]]) + OFFSET(TblConstr[[#This Row],[Tot WG]],1,0)*wg_mana_prod</f>
        <v>0</v>
      </c>
      <c r="AE108" s="94">
        <f ca="1">OFFSET(TblConstr[[#This Row],[Tot OM]],1,0)*om_ore+IF(race="Dwarf",TblMili[[#This Row],[Unit 2]]*0.5,0)</f>
        <v>0</v>
      </c>
      <c r="AF108" s="94">
        <f ca="1">OFFSET(TblConstr[[#This Row],[Tot DM]],1,0)*dm_gems</f>
        <v>0</v>
      </c>
      <c r="AG108" s="142"/>
      <c r="AH108" s="156">
        <f ca="1">MIN(race_platinum_bonus + IF(TblMagic[[#This Row],[Active Alch Frost]]&gt;0,alch_frost_bonus,IF(Magic!AE108&gt;0,midas_bonus)) + TblImps[[#This Row],[Science]] - TblProd[[#This Row],[Guard]]*(0.02 + tech_5_7*TblTech[[#This Row],[5-7]]) + tech_1_5*TblTech[[#This Row],[1-5]] + tech_4_4*TblTech[[#This Row],[4-4]] + IF(TblMagic[[#This Row],[Active Infernal Command]]&gt;0,demonic_pact_plat,0), 0.5)</f>
        <v>0</v>
      </c>
      <c r="AI10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8" s="156">
        <f ca="1">race_lumber_bonus+ IF(TblMagic[[#This Row],[Active Gaia''s Blessing]]&gt;0,gaias_blessing_lumber)+ tech_1_3*TblTech[[#This Row],[1-3]] + tech_1_6*TblTech[[#This Row],[1-6]] + tech_3_3*TblTech[[#This Row],[3-3]]</f>
        <v>0</v>
      </c>
      <c r="AK108" s="156">
        <f ca="1">race_mana_bonus+ 0 + TblImps[[#This Row],[Spires]] + tech_1_2*TblTech[[#This Row],[1-2]] + tech_3_4*TblTech[[#This Row],[3-4]]</f>
        <v>0</v>
      </c>
      <c r="AL108" s="156">
        <f ca="1">race_ore_bonus + IF(TblMagic[[#This Row],[Active Miner''s Sight]]&gt;0,miners_sight_bonus,IF(TblMagic[[#This Row],[Active Mining Strength]]&gt;0,mining_strength_bonus)) +  tech_1_6*TblTech[[#This Row],[1-6]]</f>
        <v>0</v>
      </c>
      <c r="AM108" s="156">
        <f>race_gem_bonus+ tech_3_2*TblTech[[#This Row],[3-2]] + tech_4_3*TblTech[[#This Row],[4-3]] + tech_6_2*TblTech[[#This Row],[6-2]]</f>
        <v>0</v>
      </c>
      <c r="AN108" s="142"/>
      <c r="AO108" s="94">
        <f ca="1">TblProd[[#This Row],[Food]]*food_decay * (1 + tech_2_1*TblTech[[#This Row],[2-1]] + tech_2_8*TblTech[[#This Row],[2-8]] + IF(AND(TblMagic[[#This Row],[Active DnD]]&lt;12,TblMagic[[#This Row],[Active DnD]]&gt;5),1,0))</f>
        <v>1557.93</v>
      </c>
      <c r="AP108" s="94">
        <f ca="1">(1+race_food_consumption)*TblPop[[#This Row],[Total]]*food_per_person*(1+tech_1_10*TblTech[[#This Row],[1-10]]+tech_7_5*TblTech[[#This Row],[7-5]] + IF(TblMagic[[#This Row],[Active Infernal Command]]&gt;0,demonic_pact_food_cons,0))</f>
        <v>269</v>
      </c>
      <c r="AQ108" s="94">
        <f ca="1">TblProd[[#This Row],[Lumber]]*lumber_rot * (1 + tech_2_1*TblTech[[#This Row],[2-1]] + tech_2_8*TblTech[[#This Row],[2-8]] + tech_5_2*TblTech[[#This Row],[5-2]] + IF(AND(TblMagic[[#This Row],[Active DnD]]&lt;12,TblMagic[[#This Row],[Active DnD]]&gt;5),1,0))</f>
        <v>701.11</v>
      </c>
      <c r="AR108" s="94">
        <f ca="1">TblProd[[#This Row],[Mana]]*mana_drain * (1 + tech_2_1*TblTech[[#This Row],[2-1]] + tech_2_8*TblTech[[#This Row],[2-8]])</f>
        <v>0</v>
      </c>
      <c r="AS108" s="154"/>
      <c r="AT108" s="94">
        <f ca="1">TblExplore[[#This Row],[Platinum (2)]]+TblConstr[[#This Row],[Total Plat Cost]]+TblMili[[#This Row],[Plat Cost]]+TblRezone[[#This Row],[Platinum cost]]+TblImps[[#This Row],[P1]]-TblProd[[#This Row],[Bank Plat]]</f>
        <v>0</v>
      </c>
      <c r="AU108" s="94">
        <f ca="1">TblConstr[[#This Row],[Total Lum Cost]]+TblImps[[#This Row],[L1]]-TblProd[[#This Row],[Bank Lumber]] + Military!$CO$25*TblMili[[#This Row],[Sec. rec. Cost]]</f>
        <v>0</v>
      </c>
      <c r="AV108" s="94">
        <f ca="1">TblMagic[[#This Row],[Mana cost]] + Military!$CO$26*TblMili[[#This Row],[Sec. rec. Cost]]</f>
        <v>0</v>
      </c>
      <c r="AW108" s="94">
        <f ca="1">Military!$CO$24*TblMili[[#This Row],[Sec. rec. Cost]]+TblImps[[#This Row],[O1]]-TblProd[[#This Row],[Bank Ore]]</f>
        <v>0</v>
      </c>
      <c r="AX108" s="94">
        <f>TblImps[[#This Row],[G1]]-TblProd[[#This Row],[Bank Gems]]</f>
        <v>0</v>
      </c>
      <c r="AY108" s="142"/>
      <c r="AZ108" s="61" t="b">
        <f ca="1">IF(TblProd[[#This Row],[Set Guard]]&lt;&gt;"",TblProd[[#This Row],[Set Guard]],OFFSET(TblProd[[#This Row],[Guard]],-1,0))</f>
        <v>0</v>
      </c>
      <c r="BA108" s="153"/>
      <c r="BB108" s="45">
        <f>TblProd[[#This Row],[Hour]]</f>
        <v>69</v>
      </c>
      <c r="BC108" s="158">
        <f>-TblProd[[#This Row],[Bank Lumber]] / 2 + -TblProd[[#This Row],[Bank Gems]] * 2 + -TblProd[[#This Row],[Bank Ore]] / 2</f>
        <v>0</v>
      </c>
      <c r="BD108" s="158"/>
      <c r="BE108" s="158"/>
      <c r="BF108" s="158"/>
      <c r="BG108" s="159">
        <f ca="1">TblProd[[#This Row],[Time]]</f>
        <v>46051.333333333081</v>
      </c>
      <c r="BH108" s="45" t="str">
        <f>IF(AND(TblProd[[#This Row],[Bank Plat]]=0,TblProd[[#This Row],[Bank Lumber]]=0,TblProd[[#This Row],[Bank Ore]]=0,TblProd[[#This Row],[Bank Gems]]=0),"",IF(TblProd[[#This Row],[Bank Plat]]&gt;0,IF((TblProd[[#This Row],[Bank Lumber]]+TblProd[[#This Row],[Bank Ore]])/2+TblProd[[#This Row],[Bank Gems]]*2+ROUNDUP(TblProd[[#This Row],[Bank Plat]]/(1 + tech_2_2*Techs!Y108),0)=0,"Ok","Nope"),IF(TblProd[[#This Row],[Bank Lumber]]&gt;0,IF((TblProd[[#This Row],[Bank Plat]]+TblProd[[#This Row],[Bank Ore]])/2+TblProd[[#This Row],[Bank Gems]]*2+ROUNDUP(TblProd[[#This Row],[Bank Lumber]]/(1 + tech_2_2*Techs!Y108),0)=0,"Ok","Nope"),IF(TblProd[[#This Row],[Bank Ore]]&gt;0,IF((TblProd[[#This Row],[Bank Plat]]+TblProd[[#This Row],[Bank Lumber]])/2+TblProd[[#This Row],[Bank Gems]]*2+ROUNDUP(TblProd[[#This Row],[Bank Ore]]/(1 + tech_2_2*Techs!Y108),0)=0,"Ok","Nope")))))</f>
        <v/>
      </c>
      <c r="BI108" s="94">
        <f ca="1">TblProd[[#This Row],[Platinum]]</f>
        <v>204724</v>
      </c>
      <c r="BJ108" s="94">
        <f ca="1">TblProd[[#This Row],[Food]]</f>
        <v>155793</v>
      </c>
      <c r="BK108" s="94">
        <f ca="1">TblProd[[#This Row],[Lumber]]</f>
        <v>70111</v>
      </c>
      <c r="BL108" s="94">
        <f ca="1">TblProd[[#This Row],[Mana]]</f>
        <v>0</v>
      </c>
      <c r="BM108" s="94">
        <f ca="1">TblProd[[#This Row],[Ore]]</f>
        <v>0</v>
      </c>
    </row>
    <row r="109" spans="1:65" x14ac:dyDescent="0.2">
      <c r="A109" s="137">
        <f t="shared" si="1"/>
        <v>70</v>
      </c>
      <c r="B109" s="152">
        <f ca="1">TblImps[[#This Row],[Time]]</f>
        <v>46051.374999999745</v>
      </c>
      <c r="C109" s="153"/>
      <c r="D109" s="154"/>
      <c r="E109" s="94">
        <f ca="1">TblConstr[[#This Row],[Land]]</f>
        <v>110</v>
      </c>
      <c r="F109" s="94">
        <f ca="1">TblPop[[#This Row],[Peasants]]</f>
        <v>347</v>
      </c>
      <c r="G109" s="94">
        <f ca="1">TblMili[[#This Row],[Networth (2)]]</f>
        <v>2450</v>
      </c>
      <c r="H109" s="94">
        <f ca="1">OFFSET(TblProd[[#This Row],[Platinum]],-1,0)+OFFSET(TblProd[[#This Row],[Plat/hr]],-1,0) - TblProd[[#This Row],[Expenses Platinum]] + IF(TblProd[[#This Row],[Plat Bonus]],TblPop[[#This Row],[Peasants]]*4) + SUM(TblConstr[[#This Row],[Dest Hom]:[Dest Doc]])*TblConstr[[#This Row],[CPA Platinum -DB]]*tech_3_3_2*TblTech[[#This Row],[3-3]]</f>
        <v>205671</v>
      </c>
      <c r="I109" s="94">
        <f ca="1">OFFSET(TblProd[[#This Row],[Food]],-1,0)+OFFSET(TblProd[[#This Row],[Food/hr]],-1,0)+ROUNDUP((TblConstr[[#This Row],[Farms]]*80+TblConstr[[#This Row],[Docks]]*35)*(1+OFFSET(TblProd[[#This Row],[Bonus Food/hr]],-1,0)),0)</f>
        <v>156546</v>
      </c>
      <c r="J109" s="94">
        <f ca="1">OFFSET(TblProd[[#This Row],[Lumber]],-1,0)+OFFSET(TblProd[[#This Row],[Lumber/hr]],-1,0) - TblProd[[#This Row],[Expenses Lumber]] + SUM(TblConstr[[#This Row],[Dest Hom]:[Dest Doc]])*TblConstr[[#This Row],[CPA Lumber -DB]]*tech_3_3_2*TblTech[[#This Row],[3-3]]</f>
        <v>70410</v>
      </c>
      <c r="K109" s="94">
        <f ca="1">OFFSET(TblProd[[#This Row],[Mana]],-1,0)+OFFSET(TblProd[[#This Row],[Mana/hr]],-1,0)- TblProd[[#This Row],[Expenses Mana]]</f>
        <v>0</v>
      </c>
      <c r="L109" s="94">
        <f ca="1">OFFSET(TblProd[[#This Row],[Ore]],-1,0)+OFFSET(TblProd[[#This Row],[Ore/hr]],-1,0) -TblProd[[#This Row],[Expenses Ore]]</f>
        <v>0</v>
      </c>
      <c r="M109" s="94">
        <f ca="1">OFFSET(TblProd[[#This Row],[Gems]],-1,0)+OFFSET(TblProd[[#This Row],[Gems/hr]],-1,0) - TblProd[[#This Row],[Expenses Gems]]</f>
        <v>0</v>
      </c>
      <c r="N109" s="94">
        <f ca="1">OFFSET(TblProd[[#This Row],[Boats]],-1,0)+OFFSET(TblProd[[#This Row],[Boats/hr]],-1,0)</f>
        <v>0</v>
      </c>
      <c r="O109" s="94">
        <f ca="1">OFFSET(TblProd[[#This Row],[Prestige]],-1,0)</f>
        <v>250</v>
      </c>
      <c r="P10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09" s="94">
        <f ca="1">MAX(_xlfn.CEILING.MATH(TblProd[[#This Row],[Land]]*2.5+IFERROR(OFFSET(TblTech[[#This Row],[Sum of tech]],-1,0)*50,0)),3750)</f>
        <v>3750</v>
      </c>
      <c r="R109" s="142"/>
      <c r="S109" s="94">
        <f ca="1">ROUNDDOWN(TblProd[[#This Row],[Raw Plat/hr]]*(1+TblProd[[#This Row],[Bonus Plat/hr]]),0)</f>
        <v>936</v>
      </c>
      <c r="T109" s="94">
        <f ca="1">ROUND(TblProd[[#This Row],[Raw Food/hr]]*(1+TblProd[[#This Row],[Bonus Food/hr]])-TblProd[[#This Row],[Food decay]]-TblProd[[#This Row],[Food eaten]],0)</f>
        <v>746</v>
      </c>
      <c r="U109" s="94">
        <f ca="1">ROUND(TblProd[[#This Row],[Raw Lumber/hr]]*(1+TblProd[[#This Row],[Bonus Lumber/hr]])-TblProd[[#This Row],[Lumber rot]],0)</f>
        <v>296</v>
      </c>
      <c r="V109" s="94">
        <f ca="1">ROUND(TblProd[[#This Row],[Raw Mana/hr]]*(1+TblProd[[#This Row],[Bonus Mana/hr]])-TblProd[[#This Row],[Mana drain]],0)</f>
        <v>0</v>
      </c>
      <c r="W109" s="94">
        <f ca="1">ROUNDDOWN(TblProd[[#This Row],[Raw Ore/hr]]*(1+TblProd[[#This Row],[Bonux Ore/hr]]),0)</f>
        <v>0</v>
      </c>
      <c r="X109" s="94">
        <f ca="1">ROUNDDOWN(TblProd[[#This Row],[Raw Gems/hr]]*(1+TblProd[[#This Row],[Bonus Gems/hr]]),0)</f>
        <v>0</v>
      </c>
      <c r="Y109" s="155">
        <f ca="1">OFFSET(TblConstr[[#This Row],[Tot Doc]],1,0)*dock_boats_hr * (1 + tech_4_1*TblTech[[#This Row],[4-1]])</f>
        <v>0</v>
      </c>
      <c r="Z109" s="154"/>
      <c r="AA109" s="94">
        <f ca="1">TblPop[[#This Row],[Peasants]]*tax*TblPop[[#This Row],[Employment]] + (Construction!AZ110+Construction!BX110)*(alch_plat+(Magic!AN109&gt;0)*alchemist_flame_bonus)</f>
        <v>936.90000000000009</v>
      </c>
      <c r="AB109" s="94">
        <f ca="1">TblConstr[[#This Row],[Tot Farm]]*farm_food + TblConstr[[#This Row],[Tot Doc]]*dock_food</f>
        <v>2400</v>
      </c>
      <c r="AC109" s="94">
        <f ca="1">TblConstr[[#This Row],[Tot Ly]]*ly_lumber + TblConstr[[#This Row],[Tot Hav]]*fh_lumber + IF(race="Wood Elf",TblMili[[#This Row],[Unit 2]]*MIN(TblMili[[#This Row],[Homeland%]]/wisp_bonus,wisp_cap),0)</f>
        <v>1000</v>
      </c>
      <c r="AD109" s="94">
        <f ca="1">OFFSET(TblConstr[[#This Row],[Tot Tow]],1,0)*(tower_mana + tech_4_5*TblTech[[#This Row],[4-5]]) + OFFSET(TblConstr[[#This Row],[Tot WG]],1,0)*wg_mana_prod</f>
        <v>0</v>
      </c>
      <c r="AE109" s="94">
        <f ca="1">OFFSET(TblConstr[[#This Row],[Tot OM]],1,0)*om_ore+IF(race="Dwarf",TblMili[[#This Row],[Unit 2]]*0.5,0)</f>
        <v>0</v>
      </c>
      <c r="AF109" s="94">
        <f ca="1">OFFSET(TblConstr[[#This Row],[Tot DM]],1,0)*dm_gems</f>
        <v>0</v>
      </c>
      <c r="AG109" s="142"/>
      <c r="AH109" s="156">
        <f ca="1">MIN(race_platinum_bonus + IF(TblMagic[[#This Row],[Active Alch Frost]]&gt;0,alch_frost_bonus,IF(Magic!AE109&gt;0,midas_bonus)) + TblImps[[#This Row],[Science]] - TblProd[[#This Row],[Guard]]*(0.02 + tech_5_7*TblTech[[#This Row],[5-7]]) + tech_1_5*TblTech[[#This Row],[1-5]] + tech_4_4*TblTech[[#This Row],[4-4]] + IF(TblMagic[[#This Row],[Active Infernal Command]]&gt;0,demonic_pact_plat,0), 0.5)</f>
        <v>0</v>
      </c>
      <c r="AI10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09" s="156">
        <f ca="1">race_lumber_bonus+ IF(TblMagic[[#This Row],[Active Gaia''s Blessing]]&gt;0,gaias_blessing_lumber)+ tech_1_3*TblTech[[#This Row],[1-3]] + tech_1_6*TblTech[[#This Row],[1-6]] + tech_3_3*TblTech[[#This Row],[3-3]]</f>
        <v>0</v>
      </c>
      <c r="AK109" s="156">
        <f ca="1">race_mana_bonus+ 0 + TblImps[[#This Row],[Spires]] + tech_1_2*TblTech[[#This Row],[1-2]] + tech_3_4*TblTech[[#This Row],[3-4]]</f>
        <v>0</v>
      </c>
      <c r="AL109" s="156">
        <f ca="1">race_ore_bonus + IF(TblMagic[[#This Row],[Active Miner''s Sight]]&gt;0,miners_sight_bonus,IF(TblMagic[[#This Row],[Active Mining Strength]]&gt;0,mining_strength_bonus)) +  tech_1_6*TblTech[[#This Row],[1-6]]</f>
        <v>0</v>
      </c>
      <c r="AM109" s="156">
        <f>race_gem_bonus+ tech_3_2*TblTech[[#This Row],[3-2]] + tech_4_3*TblTech[[#This Row],[4-3]] + tech_6_2*TblTech[[#This Row],[6-2]]</f>
        <v>0</v>
      </c>
      <c r="AN109" s="142"/>
      <c r="AO109" s="94">
        <f ca="1">TblProd[[#This Row],[Food]]*food_decay * (1 + tech_2_1*TblTech[[#This Row],[2-1]] + tech_2_8*TblTech[[#This Row],[2-8]] + IF(AND(TblMagic[[#This Row],[Active DnD]]&lt;12,TblMagic[[#This Row],[Active DnD]]&gt;5),1,0))</f>
        <v>1565.46</v>
      </c>
      <c r="AP109" s="94">
        <f ca="1">(1+race_food_consumption)*TblPop[[#This Row],[Total]]*food_per_person*(1+tech_1_10*TblTech[[#This Row],[1-10]]+tech_7_5*TblTech[[#This Row],[7-5]] + IF(TblMagic[[#This Row],[Active Infernal Command]]&gt;0,demonic_pact_food_cons,0))</f>
        <v>269</v>
      </c>
      <c r="AQ109" s="94">
        <f ca="1">TblProd[[#This Row],[Lumber]]*lumber_rot * (1 + tech_2_1*TblTech[[#This Row],[2-1]] + tech_2_8*TblTech[[#This Row],[2-8]] + tech_5_2*TblTech[[#This Row],[5-2]] + IF(AND(TblMagic[[#This Row],[Active DnD]]&lt;12,TblMagic[[#This Row],[Active DnD]]&gt;5),1,0))</f>
        <v>704.1</v>
      </c>
      <c r="AR109" s="94">
        <f ca="1">TblProd[[#This Row],[Mana]]*mana_drain * (1 + tech_2_1*TblTech[[#This Row],[2-1]] + tech_2_8*TblTech[[#This Row],[2-8]])</f>
        <v>0</v>
      </c>
      <c r="AS109" s="154"/>
      <c r="AT109" s="94">
        <f ca="1">TblExplore[[#This Row],[Platinum (2)]]+TblConstr[[#This Row],[Total Plat Cost]]+TblMili[[#This Row],[Plat Cost]]+TblRezone[[#This Row],[Platinum cost]]+TblImps[[#This Row],[P1]]-TblProd[[#This Row],[Bank Plat]]</f>
        <v>0</v>
      </c>
      <c r="AU109" s="94">
        <f ca="1">TblConstr[[#This Row],[Total Lum Cost]]+TblImps[[#This Row],[L1]]-TblProd[[#This Row],[Bank Lumber]] + Military!$CO$25*TblMili[[#This Row],[Sec. rec. Cost]]</f>
        <v>0</v>
      </c>
      <c r="AV109" s="94">
        <f ca="1">TblMagic[[#This Row],[Mana cost]] + Military!$CO$26*TblMili[[#This Row],[Sec. rec. Cost]]</f>
        <v>0</v>
      </c>
      <c r="AW109" s="94">
        <f ca="1">Military!$CO$24*TblMili[[#This Row],[Sec. rec. Cost]]+TblImps[[#This Row],[O1]]-TblProd[[#This Row],[Bank Ore]]</f>
        <v>0</v>
      </c>
      <c r="AX109" s="94">
        <f>TblImps[[#This Row],[G1]]-TblProd[[#This Row],[Bank Gems]]</f>
        <v>0</v>
      </c>
      <c r="AY109" s="142"/>
      <c r="AZ109" s="61" t="b">
        <f ca="1">IF(TblProd[[#This Row],[Set Guard]]&lt;&gt;"",TblProd[[#This Row],[Set Guard]],OFFSET(TblProd[[#This Row],[Guard]],-1,0))</f>
        <v>0</v>
      </c>
      <c r="BA109" s="153"/>
      <c r="BB109" s="45">
        <f>TblProd[[#This Row],[Hour]]</f>
        <v>70</v>
      </c>
      <c r="BC109" s="158">
        <f>-TblProd[[#This Row],[Bank Lumber]] / 2 + -TblProd[[#This Row],[Bank Gems]] * 2 + -TblProd[[#This Row],[Bank Ore]] / 2</f>
        <v>0</v>
      </c>
      <c r="BD109" s="158"/>
      <c r="BE109" s="158"/>
      <c r="BF109" s="158"/>
      <c r="BG109" s="159">
        <f ca="1">TblProd[[#This Row],[Time]]</f>
        <v>46051.374999999745</v>
      </c>
      <c r="BH109" s="45" t="str">
        <f>IF(AND(TblProd[[#This Row],[Bank Plat]]=0,TblProd[[#This Row],[Bank Lumber]]=0,TblProd[[#This Row],[Bank Ore]]=0,TblProd[[#This Row],[Bank Gems]]=0),"",IF(TblProd[[#This Row],[Bank Plat]]&gt;0,IF((TblProd[[#This Row],[Bank Lumber]]+TblProd[[#This Row],[Bank Ore]])/2+TblProd[[#This Row],[Bank Gems]]*2+ROUNDUP(TblProd[[#This Row],[Bank Plat]]/(1 + tech_2_2*Techs!Y109),0)=0,"Ok","Nope"),IF(TblProd[[#This Row],[Bank Lumber]]&gt;0,IF((TblProd[[#This Row],[Bank Plat]]+TblProd[[#This Row],[Bank Ore]])/2+TblProd[[#This Row],[Bank Gems]]*2+ROUNDUP(TblProd[[#This Row],[Bank Lumber]]/(1 + tech_2_2*Techs!Y109),0)=0,"Ok","Nope"),IF(TblProd[[#This Row],[Bank Ore]]&gt;0,IF((TblProd[[#This Row],[Bank Plat]]+TblProd[[#This Row],[Bank Lumber]])/2+TblProd[[#This Row],[Bank Gems]]*2+ROUNDUP(TblProd[[#This Row],[Bank Ore]]/(1 + tech_2_2*Techs!Y109),0)=0,"Ok","Nope")))))</f>
        <v/>
      </c>
      <c r="BI109" s="94">
        <f ca="1">TblProd[[#This Row],[Platinum]]</f>
        <v>205671</v>
      </c>
      <c r="BJ109" s="94">
        <f ca="1">TblProd[[#This Row],[Food]]</f>
        <v>156546</v>
      </c>
      <c r="BK109" s="94">
        <f ca="1">TblProd[[#This Row],[Lumber]]</f>
        <v>70410</v>
      </c>
      <c r="BL109" s="94">
        <f ca="1">TblProd[[#This Row],[Mana]]</f>
        <v>0</v>
      </c>
      <c r="BM109" s="94">
        <f ca="1">TblProd[[#This Row],[Ore]]</f>
        <v>0</v>
      </c>
    </row>
    <row r="110" spans="1:65" x14ac:dyDescent="0.2">
      <c r="A110" s="137">
        <f t="shared" si="1"/>
        <v>71</v>
      </c>
      <c r="B110" s="152">
        <f ca="1">TblImps[[#This Row],[Time]]</f>
        <v>46051.41666666641</v>
      </c>
      <c r="C110" s="153"/>
      <c r="D110" s="154"/>
      <c r="E110" s="94">
        <f ca="1">TblConstr[[#This Row],[Land]]</f>
        <v>110</v>
      </c>
      <c r="F110" s="94">
        <f ca="1">TblPop[[#This Row],[Peasants]]</f>
        <v>344</v>
      </c>
      <c r="G110" s="94">
        <f ca="1">TblMili[[#This Row],[Networth (2)]]</f>
        <v>2450</v>
      </c>
      <c r="H110" s="94">
        <f ca="1">OFFSET(TblProd[[#This Row],[Platinum]],-1,0)+OFFSET(TblProd[[#This Row],[Plat/hr]],-1,0) - TblProd[[#This Row],[Expenses Platinum]] + IF(TblProd[[#This Row],[Plat Bonus]],TblPop[[#This Row],[Peasants]]*4) + SUM(TblConstr[[#This Row],[Dest Hom]:[Dest Doc]])*TblConstr[[#This Row],[CPA Platinum -DB]]*tech_3_3_2*TblTech[[#This Row],[3-3]]</f>
        <v>206607</v>
      </c>
      <c r="I110" s="94">
        <f ca="1">OFFSET(TblProd[[#This Row],[Food]],-1,0)+OFFSET(TblProd[[#This Row],[Food/hr]],-1,0)+ROUNDUP((TblConstr[[#This Row],[Farms]]*80+TblConstr[[#This Row],[Docks]]*35)*(1+OFFSET(TblProd[[#This Row],[Bonus Food/hr]],-1,0)),0)</f>
        <v>157292</v>
      </c>
      <c r="J110" s="94">
        <f ca="1">OFFSET(TblProd[[#This Row],[Lumber]],-1,0)+OFFSET(TblProd[[#This Row],[Lumber/hr]],-1,0) - TblProd[[#This Row],[Expenses Lumber]] + SUM(TblConstr[[#This Row],[Dest Hom]:[Dest Doc]])*TblConstr[[#This Row],[CPA Lumber -DB]]*tech_3_3_2*TblTech[[#This Row],[3-3]]</f>
        <v>70706</v>
      </c>
      <c r="K110" s="94">
        <f ca="1">OFFSET(TblProd[[#This Row],[Mana]],-1,0)+OFFSET(TblProd[[#This Row],[Mana/hr]],-1,0)- TblProd[[#This Row],[Expenses Mana]]</f>
        <v>0</v>
      </c>
      <c r="L110" s="94">
        <f ca="1">OFFSET(TblProd[[#This Row],[Ore]],-1,0)+OFFSET(TblProd[[#This Row],[Ore/hr]],-1,0) -TblProd[[#This Row],[Expenses Ore]]</f>
        <v>0</v>
      </c>
      <c r="M110" s="94">
        <f ca="1">OFFSET(TblProd[[#This Row],[Gems]],-1,0)+OFFSET(TblProd[[#This Row],[Gems/hr]],-1,0) - TblProd[[#This Row],[Expenses Gems]]</f>
        <v>0</v>
      </c>
      <c r="N110" s="94">
        <f ca="1">OFFSET(TblProd[[#This Row],[Boats]],-1,0)+OFFSET(TblProd[[#This Row],[Boats/hr]],-1,0)</f>
        <v>0</v>
      </c>
      <c r="O110" s="94">
        <f ca="1">OFFSET(TblProd[[#This Row],[Prestige]],-1,0)</f>
        <v>250</v>
      </c>
      <c r="P11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0" s="94">
        <f ca="1">MAX(_xlfn.CEILING.MATH(TblProd[[#This Row],[Land]]*2.5+IFERROR(OFFSET(TblTech[[#This Row],[Sum of tech]],-1,0)*50,0)),3750)</f>
        <v>3750</v>
      </c>
      <c r="R110" s="142"/>
      <c r="S110" s="94">
        <f ca="1">ROUNDDOWN(TblProd[[#This Row],[Raw Plat/hr]]*(1+TblProd[[#This Row],[Bonus Plat/hr]]),0)</f>
        <v>928</v>
      </c>
      <c r="T110" s="94">
        <f ca="1">ROUND(TblProd[[#This Row],[Raw Food/hr]]*(1+TblProd[[#This Row],[Bonus Food/hr]])-TblProd[[#This Row],[Food decay]]-TblProd[[#This Row],[Food eaten]],0)</f>
        <v>738</v>
      </c>
      <c r="U110" s="94">
        <f ca="1">ROUND(TblProd[[#This Row],[Raw Lumber/hr]]*(1+TblProd[[#This Row],[Bonus Lumber/hr]])-TblProd[[#This Row],[Lumber rot]],0)</f>
        <v>293</v>
      </c>
      <c r="V110" s="94">
        <f ca="1">ROUND(TblProd[[#This Row],[Raw Mana/hr]]*(1+TblProd[[#This Row],[Bonus Mana/hr]])-TblProd[[#This Row],[Mana drain]],0)</f>
        <v>0</v>
      </c>
      <c r="W110" s="94">
        <f ca="1">ROUNDDOWN(TblProd[[#This Row],[Raw Ore/hr]]*(1+TblProd[[#This Row],[Bonux Ore/hr]]),0)</f>
        <v>0</v>
      </c>
      <c r="X110" s="94">
        <f ca="1">ROUNDDOWN(TblProd[[#This Row],[Raw Gems/hr]]*(1+TblProd[[#This Row],[Bonus Gems/hr]]),0)</f>
        <v>0</v>
      </c>
      <c r="Y110" s="155">
        <f ca="1">OFFSET(TblConstr[[#This Row],[Tot Doc]],1,0)*dock_boats_hr * (1 + tech_4_1*TblTech[[#This Row],[4-1]])</f>
        <v>0</v>
      </c>
      <c r="Z110" s="154"/>
      <c r="AA110" s="94">
        <f ca="1">TblPop[[#This Row],[Peasants]]*tax*TblPop[[#This Row],[Employment]] + (Construction!AZ111+Construction!BX111)*(alch_plat+(Magic!AN110&gt;0)*alchemist_flame_bonus)</f>
        <v>928.80000000000007</v>
      </c>
      <c r="AB110" s="94">
        <f ca="1">TblConstr[[#This Row],[Tot Farm]]*farm_food + TblConstr[[#This Row],[Tot Doc]]*dock_food</f>
        <v>2400</v>
      </c>
      <c r="AC110" s="94">
        <f ca="1">TblConstr[[#This Row],[Tot Ly]]*ly_lumber + TblConstr[[#This Row],[Tot Hav]]*fh_lumber + IF(race="Wood Elf",TblMili[[#This Row],[Unit 2]]*MIN(TblMili[[#This Row],[Homeland%]]/wisp_bonus,wisp_cap),0)</f>
        <v>1000</v>
      </c>
      <c r="AD110" s="94">
        <f ca="1">OFFSET(TblConstr[[#This Row],[Tot Tow]],1,0)*(tower_mana + tech_4_5*TblTech[[#This Row],[4-5]]) + OFFSET(TblConstr[[#This Row],[Tot WG]],1,0)*wg_mana_prod</f>
        <v>0</v>
      </c>
      <c r="AE110" s="94">
        <f ca="1">OFFSET(TblConstr[[#This Row],[Tot OM]],1,0)*om_ore+IF(race="Dwarf",TblMili[[#This Row],[Unit 2]]*0.5,0)</f>
        <v>0</v>
      </c>
      <c r="AF110" s="94">
        <f ca="1">OFFSET(TblConstr[[#This Row],[Tot DM]],1,0)*dm_gems</f>
        <v>0</v>
      </c>
      <c r="AG110" s="142"/>
      <c r="AH110" s="156">
        <f ca="1">MIN(race_platinum_bonus + IF(TblMagic[[#This Row],[Active Alch Frost]]&gt;0,alch_frost_bonus,IF(Magic!AE110&gt;0,midas_bonus)) + TblImps[[#This Row],[Science]] - TblProd[[#This Row],[Guard]]*(0.02 + tech_5_7*TblTech[[#This Row],[5-7]]) + tech_1_5*TblTech[[#This Row],[1-5]] + tech_4_4*TblTech[[#This Row],[4-4]] + IF(TblMagic[[#This Row],[Active Infernal Command]]&gt;0,demonic_pact_plat,0), 0.5)</f>
        <v>0</v>
      </c>
      <c r="AI11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0" s="156">
        <f ca="1">race_lumber_bonus+ IF(TblMagic[[#This Row],[Active Gaia''s Blessing]]&gt;0,gaias_blessing_lumber)+ tech_1_3*TblTech[[#This Row],[1-3]] + tech_1_6*TblTech[[#This Row],[1-6]] + tech_3_3*TblTech[[#This Row],[3-3]]</f>
        <v>0</v>
      </c>
      <c r="AK110" s="156">
        <f ca="1">race_mana_bonus+ 0 + TblImps[[#This Row],[Spires]] + tech_1_2*TblTech[[#This Row],[1-2]] + tech_3_4*TblTech[[#This Row],[3-4]]</f>
        <v>0</v>
      </c>
      <c r="AL110" s="156">
        <f ca="1">race_ore_bonus + IF(TblMagic[[#This Row],[Active Miner''s Sight]]&gt;0,miners_sight_bonus,IF(TblMagic[[#This Row],[Active Mining Strength]]&gt;0,mining_strength_bonus)) +  tech_1_6*TblTech[[#This Row],[1-6]]</f>
        <v>0</v>
      </c>
      <c r="AM110" s="156">
        <f>race_gem_bonus+ tech_3_2*TblTech[[#This Row],[3-2]] + tech_4_3*TblTech[[#This Row],[4-3]] + tech_6_2*TblTech[[#This Row],[6-2]]</f>
        <v>0</v>
      </c>
      <c r="AN110" s="142"/>
      <c r="AO110" s="94">
        <f ca="1">TblProd[[#This Row],[Food]]*food_decay * (1 + tech_2_1*TblTech[[#This Row],[2-1]] + tech_2_8*TblTech[[#This Row],[2-8]] + IF(AND(TblMagic[[#This Row],[Active DnD]]&lt;12,TblMagic[[#This Row],[Active DnD]]&gt;5),1,0))</f>
        <v>1572.92</v>
      </c>
      <c r="AP110" s="94">
        <f ca="1">(1+race_food_consumption)*TblPop[[#This Row],[Total]]*food_per_person*(1+tech_1_10*TblTech[[#This Row],[1-10]]+tech_7_5*TblTech[[#This Row],[7-5]] + IF(TblMagic[[#This Row],[Active Infernal Command]]&gt;0,demonic_pact_food_cons,0))</f>
        <v>269</v>
      </c>
      <c r="AQ110" s="94">
        <f ca="1">TblProd[[#This Row],[Lumber]]*lumber_rot * (1 + tech_2_1*TblTech[[#This Row],[2-1]] + tech_2_8*TblTech[[#This Row],[2-8]] + tech_5_2*TblTech[[#This Row],[5-2]] + IF(AND(TblMagic[[#This Row],[Active DnD]]&lt;12,TblMagic[[#This Row],[Active DnD]]&gt;5),1,0))</f>
        <v>707.06000000000006</v>
      </c>
      <c r="AR110" s="94">
        <f ca="1">TblProd[[#This Row],[Mana]]*mana_drain * (1 + tech_2_1*TblTech[[#This Row],[2-1]] + tech_2_8*TblTech[[#This Row],[2-8]])</f>
        <v>0</v>
      </c>
      <c r="AS110" s="154"/>
      <c r="AT110" s="94">
        <f ca="1">TblExplore[[#This Row],[Platinum (2)]]+TblConstr[[#This Row],[Total Plat Cost]]+TblMili[[#This Row],[Plat Cost]]+TblRezone[[#This Row],[Platinum cost]]+TblImps[[#This Row],[P1]]-TblProd[[#This Row],[Bank Plat]]</f>
        <v>0</v>
      </c>
      <c r="AU110" s="94">
        <f ca="1">TblConstr[[#This Row],[Total Lum Cost]]+TblImps[[#This Row],[L1]]-TblProd[[#This Row],[Bank Lumber]] + Military!$CO$25*TblMili[[#This Row],[Sec. rec. Cost]]</f>
        <v>0</v>
      </c>
      <c r="AV110" s="94">
        <f ca="1">TblMagic[[#This Row],[Mana cost]] + Military!$CO$26*TblMili[[#This Row],[Sec. rec. Cost]]</f>
        <v>0</v>
      </c>
      <c r="AW110" s="94">
        <f ca="1">Military!$CO$24*TblMili[[#This Row],[Sec. rec. Cost]]+TblImps[[#This Row],[O1]]-TblProd[[#This Row],[Bank Ore]]</f>
        <v>0</v>
      </c>
      <c r="AX110" s="94">
        <f>TblImps[[#This Row],[G1]]-TblProd[[#This Row],[Bank Gems]]</f>
        <v>0</v>
      </c>
      <c r="AY110" s="142"/>
      <c r="AZ110" s="61" t="b">
        <f ca="1">IF(TblProd[[#This Row],[Set Guard]]&lt;&gt;"",TblProd[[#This Row],[Set Guard]],OFFSET(TblProd[[#This Row],[Guard]],-1,0))</f>
        <v>0</v>
      </c>
      <c r="BA110" s="153"/>
      <c r="BB110" s="45">
        <f>TblProd[[#This Row],[Hour]]</f>
        <v>71</v>
      </c>
      <c r="BC110" s="158">
        <f>-TblProd[[#This Row],[Bank Lumber]] / 2 + -TblProd[[#This Row],[Bank Gems]] * 2 + -TblProd[[#This Row],[Bank Ore]] / 2</f>
        <v>0</v>
      </c>
      <c r="BD110" s="158"/>
      <c r="BE110" s="158"/>
      <c r="BF110" s="158"/>
      <c r="BG110" s="159">
        <f ca="1">TblProd[[#This Row],[Time]]</f>
        <v>46051.41666666641</v>
      </c>
      <c r="BH110" s="45" t="str">
        <f>IF(AND(TblProd[[#This Row],[Bank Plat]]=0,TblProd[[#This Row],[Bank Lumber]]=0,TblProd[[#This Row],[Bank Ore]]=0,TblProd[[#This Row],[Bank Gems]]=0),"",IF(TblProd[[#This Row],[Bank Plat]]&gt;0,IF((TblProd[[#This Row],[Bank Lumber]]+TblProd[[#This Row],[Bank Ore]])/2+TblProd[[#This Row],[Bank Gems]]*2+ROUNDUP(TblProd[[#This Row],[Bank Plat]]/(1 + tech_2_2*Techs!Y110),0)=0,"Ok","Nope"),IF(TblProd[[#This Row],[Bank Lumber]]&gt;0,IF((TblProd[[#This Row],[Bank Plat]]+TblProd[[#This Row],[Bank Ore]])/2+TblProd[[#This Row],[Bank Gems]]*2+ROUNDUP(TblProd[[#This Row],[Bank Lumber]]/(1 + tech_2_2*Techs!Y110),0)=0,"Ok","Nope"),IF(TblProd[[#This Row],[Bank Ore]]&gt;0,IF((TblProd[[#This Row],[Bank Plat]]+TblProd[[#This Row],[Bank Lumber]])/2+TblProd[[#This Row],[Bank Gems]]*2+ROUNDUP(TblProd[[#This Row],[Bank Ore]]/(1 + tech_2_2*Techs!Y110),0)=0,"Ok","Nope")))))</f>
        <v/>
      </c>
      <c r="BI110" s="94">
        <f ca="1">TblProd[[#This Row],[Platinum]]</f>
        <v>206607</v>
      </c>
      <c r="BJ110" s="94">
        <f ca="1">TblProd[[#This Row],[Food]]</f>
        <v>157292</v>
      </c>
      <c r="BK110" s="94">
        <f ca="1">TblProd[[#This Row],[Lumber]]</f>
        <v>70706</v>
      </c>
      <c r="BL110" s="94">
        <f ca="1">TblProd[[#This Row],[Mana]]</f>
        <v>0</v>
      </c>
      <c r="BM110" s="94">
        <f ca="1">TblProd[[#This Row],[Ore]]</f>
        <v>0</v>
      </c>
    </row>
    <row r="111" spans="1:65" x14ac:dyDescent="0.2">
      <c r="A111" s="137">
        <f t="shared" si="1"/>
        <v>72</v>
      </c>
      <c r="B111" s="152">
        <f ca="1">TblImps[[#This Row],[Time]]</f>
        <v>46051.458333333074</v>
      </c>
      <c r="C111" s="153"/>
      <c r="D111" s="154"/>
      <c r="E111" s="94">
        <f ca="1">TblConstr[[#This Row],[Land]]</f>
        <v>110</v>
      </c>
      <c r="F111" s="94">
        <f ca="1">TblPop[[#This Row],[Peasants]]</f>
        <v>341</v>
      </c>
      <c r="G111" s="94">
        <f ca="1">TblMili[[#This Row],[Networth (2)]]</f>
        <v>2450</v>
      </c>
      <c r="H111" s="94">
        <f ca="1">OFFSET(TblProd[[#This Row],[Platinum]],-1,0)+OFFSET(TblProd[[#This Row],[Plat/hr]],-1,0) - TblProd[[#This Row],[Expenses Platinum]] + IF(TblProd[[#This Row],[Plat Bonus]],TblPop[[#This Row],[Peasants]]*4) + SUM(TblConstr[[#This Row],[Dest Hom]:[Dest Doc]])*TblConstr[[#This Row],[CPA Platinum -DB]]*tech_3_3_2*TblTech[[#This Row],[3-3]]</f>
        <v>207535</v>
      </c>
      <c r="I111" s="94">
        <f ca="1">OFFSET(TblProd[[#This Row],[Food]],-1,0)+OFFSET(TblProd[[#This Row],[Food/hr]],-1,0)+ROUNDUP((TblConstr[[#This Row],[Farms]]*80+TblConstr[[#This Row],[Docks]]*35)*(1+OFFSET(TblProd[[#This Row],[Bonus Food/hr]],-1,0)),0)</f>
        <v>158030</v>
      </c>
      <c r="J111" s="94">
        <f ca="1">OFFSET(TblProd[[#This Row],[Lumber]],-1,0)+OFFSET(TblProd[[#This Row],[Lumber/hr]],-1,0) - TblProd[[#This Row],[Expenses Lumber]] + SUM(TblConstr[[#This Row],[Dest Hom]:[Dest Doc]])*TblConstr[[#This Row],[CPA Lumber -DB]]*tech_3_3_2*TblTech[[#This Row],[3-3]]</f>
        <v>70999</v>
      </c>
      <c r="K111" s="94">
        <f ca="1">OFFSET(TblProd[[#This Row],[Mana]],-1,0)+OFFSET(TblProd[[#This Row],[Mana/hr]],-1,0)- TblProd[[#This Row],[Expenses Mana]]</f>
        <v>0</v>
      </c>
      <c r="L111" s="94">
        <f ca="1">OFFSET(TblProd[[#This Row],[Ore]],-1,0)+OFFSET(TblProd[[#This Row],[Ore/hr]],-1,0) -TblProd[[#This Row],[Expenses Ore]]</f>
        <v>0</v>
      </c>
      <c r="M111" s="94">
        <f ca="1">OFFSET(TblProd[[#This Row],[Gems]],-1,0)+OFFSET(TblProd[[#This Row],[Gems/hr]],-1,0) - TblProd[[#This Row],[Expenses Gems]]</f>
        <v>0</v>
      </c>
      <c r="N111" s="94">
        <f ca="1">OFFSET(TblProd[[#This Row],[Boats]],-1,0)+OFFSET(TblProd[[#This Row],[Boats/hr]],-1,0)</f>
        <v>0</v>
      </c>
      <c r="O111" s="94">
        <f ca="1">OFFSET(TblProd[[#This Row],[Prestige]],-1,0)</f>
        <v>250</v>
      </c>
      <c r="P11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1" s="94">
        <f ca="1">MAX(_xlfn.CEILING.MATH(TblProd[[#This Row],[Land]]*2.5+IFERROR(OFFSET(TblTech[[#This Row],[Sum of tech]],-1,0)*50,0)),3750)</f>
        <v>3750</v>
      </c>
      <c r="R111" s="142"/>
      <c r="S111" s="94">
        <f ca="1">ROUNDDOWN(TblProd[[#This Row],[Raw Plat/hr]]*(1+TblProd[[#This Row],[Bonus Plat/hr]]),0)</f>
        <v>920</v>
      </c>
      <c r="T111" s="94">
        <f ca="1">ROUND(TblProd[[#This Row],[Raw Food/hr]]*(1+TblProd[[#This Row],[Bonus Food/hr]])-TblProd[[#This Row],[Food decay]]-TblProd[[#This Row],[Food eaten]],0)</f>
        <v>731</v>
      </c>
      <c r="U111" s="94">
        <f ca="1">ROUND(TblProd[[#This Row],[Raw Lumber/hr]]*(1+TblProd[[#This Row],[Bonus Lumber/hr]])-TblProd[[#This Row],[Lumber rot]],0)</f>
        <v>290</v>
      </c>
      <c r="V111" s="94">
        <f ca="1">ROUND(TblProd[[#This Row],[Raw Mana/hr]]*(1+TblProd[[#This Row],[Bonus Mana/hr]])-TblProd[[#This Row],[Mana drain]],0)</f>
        <v>0</v>
      </c>
      <c r="W111" s="94">
        <f ca="1">ROUNDDOWN(TblProd[[#This Row],[Raw Ore/hr]]*(1+TblProd[[#This Row],[Bonux Ore/hr]]),0)</f>
        <v>0</v>
      </c>
      <c r="X111" s="94">
        <f ca="1">ROUNDDOWN(TblProd[[#This Row],[Raw Gems/hr]]*(1+TblProd[[#This Row],[Bonus Gems/hr]]),0)</f>
        <v>0</v>
      </c>
      <c r="Y111" s="155">
        <f ca="1">OFFSET(TblConstr[[#This Row],[Tot Doc]],1,0)*dock_boats_hr * (1 + tech_4_1*TblTech[[#This Row],[4-1]])</f>
        <v>0</v>
      </c>
      <c r="Z111" s="154"/>
      <c r="AA111" s="94">
        <f ca="1">TblPop[[#This Row],[Peasants]]*tax*TblPop[[#This Row],[Employment]] + (Construction!AZ112+Construction!BX112)*(alch_plat+(Magic!AN111&gt;0)*alchemist_flame_bonus)</f>
        <v>920.7</v>
      </c>
      <c r="AB111" s="94">
        <f ca="1">TblConstr[[#This Row],[Tot Farm]]*farm_food + TblConstr[[#This Row],[Tot Doc]]*dock_food</f>
        <v>2400</v>
      </c>
      <c r="AC111" s="94">
        <f ca="1">TblConstr[[#This Row],[Tot Ly]]*ly_lumber + TblConstr[[#This Row],[Tot Hav]]*fh_lumber + IF(race="Wood Elf",TblMili[[#This Row],[Unit 2]]*MIN(TblMili[[#This Row],[Homeland%]]/wisp_bonus,wisp_cap),0)</f>
        <v>1000</v>
      </c>
      <c r="AD111" s="94">
        <f ca="1">OFFSET(TblConstr[[#This Row],[Tot Tow]],1,0)*(tower_mana + tech_4_5*TblTech[[#This Row],[4-5]]) + OFFSET(TblConstr[[#This Row],[Tot WG]],1,0)*wg_mana_prod</f>
        <v>0</v>
      </c>
      <c r="AE111" s="94">
        <f ca="1">OFFSET(TblConstr[[#This Row],[Tot OM]],1,0)*om_ore+IF(race="Dwarf",TblMili[[#This Row],[Unit 2]]*0.5,0)</f>
        <v>0</v>
      </c>
      <c r="AF111" s="94">
        <f ca="1">OFFSET(TblConstr[[#This Row],[Tot DM]],1,0)*dm_gems</f>
        <v>0</v>
      </c>
      <c r="AG111" s="142"/>
      <c r="AH111" s="156">
        <f ca="1">MIN(race_platinum_bonus + IF(TblMagic[[#This Row],[Active Alch Frost]]&gt;0,alch_frost_bonus,IF(Magic!AE111&gt;0,midas_bonus)) + TblImps[[#This Row],[Science]] - TblProd[[#This Row],[Guard]]*(0.02 + tech_5_7*TblTech[[#This Row],[5-7]]) + tech_1_5*TblTech[[#This Row],[1-5]] + tech_4_4*TblTech[[#This Row],[4-4]] + IF(TblMagic[[#This Row],[Active Infernal Command]]&gt;0,demonic_pact_plat,0), 0.5)</f>
        <v>0</v>
      </c>
      <c r="AI11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1" s="156">
        <f ca="1">race_lumber_bonus+ IF(TblMagic[[#This Row],[Active Gaia''s Blessing]]&gt;0,gaias_blessing_lumber)+ tech_1_3*TblTech[[#This Row],[1-3]] + tech_1_6*TblTech[[#This Row],[1-6]] + tech_3_3*TblTech[[#This Row],[3-3]]</f>
        <v>0</v>
      </c>
      <c r="AK111" s="156">
        <f ca="1">race_mana_bonus+ 0 + TblImps[[#This Row],[Spires]] + tech_1_2*TblTech[[#This Row],[1-2]] + tech_3_4*TblTech[[#This Row],[3-4]]</f>
        <v>0</v>
      </c>
      <c r="AL111" s="156">
        <f ca="1">race_ore_bonus + IF(TblMagic[[#This Row],[Active Miner''s Sight]]&gt;0,miners_sight_bonus,IF(TblMagic[[#This Row],[Active Mining Strength]]&gt;0,mining_strength_bonus)) +  tech_1_6*TblTech[[#This Row],[1-6]]</f>
        <v>0</v>
      </c>
      <c r="AM111" s="156">
        <f>race_gem_bonus+ tech_3_2*TblTech[[#This Row],[3-2]] + tech_4_3*TblTech[[#This Row],[4-3]] + tech_6_2*TblTech[[#This Row],[6-2]]</f>
        <v>0</v>
      </c>
      <c r="AN111" s="142"/>
      <c r="AO111" s="94">
        <f ca="1">TblProd[[#This Row],[Food]]*food_decay * (1 + tech_2_1*TblTech[[#This Row],[2-1]] + tech_2_8*TblTech[[#This Row],[2-8]] + IF(AND(TblMagic[[#This Row],[Active DnD]]&lt;12,TblMagic[[#This Row],[Active DnD]]&gt;5),1,0))</f>
        <v>1580.3</v>
      </c>
      <c r="AP111" s="94">
        <f ca="1">(1+race_food_consumption)*TblPop[[#This Row],[Total]]*food_per_person*(1+tech_1_10*TblTech[[#This Row],[1-10]]+tech_7_5*TblTech[[#This Row],[7-5]] + IF(TblMagic[[#This Row],[Active Infernal Command]]&gt;0,demonic_pact_food_cons,0))</f>
        <v>269</v>
      </c>
      <c r="AQ111" s="94">
        <f ca="1">TblProd[[#This Row],[Lumber]]*lumber_rot * (1 + tech_2_1*TblTech[[#This Row],[2-1]] + tech_2_8*TblTech[[#This Row],[2-8]] + tech_5_2*TblTech[[#This Row],[5-2]] + IF(AND(TblMagic[[#This Row],[Active DnD]]&lt;12,TblMagic[[#This Row],[Active DnD]]&gt;5),1,0))</f>
        <v>709.99</v>
      </c>
      <c r="AR111" s="94">
        <f ca="1">TblProd[[#This Row],[Mana]]*mana_drain * (1 + tech_2_1*TblTech[[#This Row],[2-1]] + tech_2_8*TblTech[[#This Row],[2-8]])</f>
        <v>0</v>
      </c>
      <c r="AS111" s="154"/>
      <c r="AT111" s="94">
        <f ca="1">TblExplore[[#This Row],[Platinum (2)]]+TblConstr[[#This Row],[Total Plat Cost]]+TblMili[[#This Row],[Plat Cost]]+TblRezone[[#This Row],[Platinum cost]]+TblImps[[#This Row],[P1]]-TblProd[[#This Row],[Bank Plat]]</f>
        <v>0</v>
      </c>
      <c r="AU111" s="94">
        <f ca="1">TblConstr[[#This Row],[Total Lum Cost]]+TblImps[[#This Row],[L1]]-TblProd[[#This Row],[Bank Lumber]] + Military!$CO$25*TblMili[[#This Row],[Sec. rec. Cost]]</f>
        <v>0</v>
      </c>
      <c r="AV111" s="94">
        <f ca="1">TblMagic[[#This Row],[Mana cost]] + Military!$CO$26*TblMili[[#This Row],[Sec. rec. Cost]]</f>
        <v>0</v>
      </c>
      <c r="AW111" s="94">
        <f ca="1">Military!$CO$24*TblMili[[#This Row],[Sec. rec. Cost]]+TblImps[[#This Row],[O1]]-TblProd[[#This Row],[Bank Ore]]</f>
        <v>0</v>
      </c>
      <c r="AX111" s="94">
        <f>TblImps[[#This Row],[G1]]-TblProd[[#This Row],[Bank Gems]]</f>
        <v>0</v>
      </c>
      <c r="AY111" s="142"/>
      <c r="AZ111" s="61" t="b">
        <f ca="1">IF(TblProd[[#This Row],[Set Guard]]&lt;&gt;"",TblProd[[#This Row],[Set Guard]],OFFSET(TblProd[[#This Row],[Guard]],-1,0))</f>
        <v>0</v>
      </c>
      <c r="BA111" s="153"/>
      <c r="BB111" s="45">
        <f>TblProd[[#This Row],[Hour]]</f>
        <v>72</v>
      </c>
      <c r="BC111" s="158">
        <f>-TblProd[[#This Row],[Bank Lumber]] / 2 + -TblProd[[#This Row],[Bank Gems]] * 2 + -TblProd[[#This Row],[Bank Ore]] / 2</f>
        <v>0</v>
      </c>
      <c r="BD111" s="158"/>
      <c r="BE111" s="158"/>
      <c r="BF111" s="158"/>
      <c r="BG111" s="159">
        <f ca="1">TblProd[[#This Row],[Time]]</f>
        <v>46051.458333333074</v>
      </c>
      <c r="BH111" s="45" t="str">
        <f>IF(AND(TblProd[[#This Row],[Bank Plat]]=0,TblProd[[#This Row],[Bank Lumber]]=0,TblProd[[#This Row],[Bank Ore]]=0,TblProd[[#This Row],[Bank Gems]]=0),"",IF(TblProd[[#This Row],[Bank Plat]]&gt;0,IF((TblProd[[#This Row],[Bank Lumber]]+TblProd[[#This Row],[Bank Ore]])/2+TblProd[[#This Row],[Bank Gems]]*2+ROUNDUP(TblProd[[#This Row],[Bank Plat]]/(1 + tech_2_2*Techs!Y111),0)=0,"Ok","Nope"),IF(TblProd[[#This Row],[Bank Lumber]]&gt;0,IF((TblProd[[#This Row],[Bank Plat]]+TblProd[[#This Row],[Bank Ore]])/2+TblProd[[#This Row],[Bank Gems]]*2+ROUNDUP(TblProd[[#This Row],[Bank Lumber]]/(1 + tech_2_2*Techs!Y111),0)=0,"Ok","Nope"),IF(TblProd[[#This Row],[Bank Ore]]&gt;0,IF((TblProd[[#This Row],[Bank Plat]]+TblProd[[#This Row],[Bank Lumber]])/2+TblProd[[#This Row],[Bank Gems]]*2+ROUNDUP(TblProd[[#This Row],[Bank Ore]]/(1 + tech_2_2*Techs!Y111),0)=0,"Ok","Nope")))))</f>
        <v/>
      </c>
      <c r="BI111" s="94">
        <f ca="1">TblProd[[#This Row],[Platinum]]</f>
        <v>207535</v>
      </c>
      <c r="BJ111" s="94">
        <f ca="1">TblProd[[#This Row],[Food]]</f>
        <v>158030</v>
      </c>
      <c r="BK111" s="94">
        <f ca="1">TblProd[[#This Row],[Lumber]]</f>
        <v>70999</v>
      </c>
      <c r="BL111" s="94">
        <f ca="1">TblProd[[#This Row],[Mana]]</f>
        <v>0</v>
      </c>
      <c r="BM111" s="94">
        <f ca="1">TblProd[[#This Row],[Ore]]</f>
        <v>0</v>
      </c>
    </row>
    <row r="112" spans="1:65" x14ac:dyDescent="0.2">
      <c r="A112" s="137">
        <f t="shared" si="1"/>
        <v>73</v>
      </c>
      <c r="B112" s="152">
        <f ca="1">TblImps[[#This Row],[Time]]</f>
        <v>46051.499999999738</v>
      </c>
      <c r="C112" s="153"/>
      <c r="D112" s="154"/>
      <c r="E112" s="94">
        <f ca="1">TblConstr[[#This Row],[Land]]</f>
        <v>110</v>
      </c>
      <c r="F112" s="94">
        <f ca="1">TblPop[[#This Row],[Peasants]]</f>
        <v>338</v>
      </c>
      <c r="G112" s="94">
        <f ca="1">TblMili[[#This Row],[Networth (2)]]</f>
        <v>2450</v>
      </c>
      <c r="H112" s="94">
        <f ca="1">OFFSET(TblProd[[#This Row],[Platinum]],-1,0)+OFFSET(TblProd[[#This Row],[Plat/hr]],-1,0) - TblProd[[#This Row],[Expenses Platinum]] + IF(TblProd[[#This Row],[Plat Bonus]],TblPop[[#This Row],[Peasants]]*4) + SUM(TblConstr[[#This Row],[Dest Hom]:[Dest Doc]])*TblConstr[[#This Row],[CPA Platinum -DB]]*tech_3_3_2*TblTech[[#This Row],[3-3]]</f>
        <v>208455</v>
      </c>
      <c r="I112" s="94">
        <f ca="1">OFFSET(TblProd[[#This Row],[Food]],-1,0)+OFFSET(TblProd[[#This Row],[Food/hr]],-1,0)+ROUNDUP((TblConstr[[#This Row],[Farms]]*80+TblConstr[[#This Row],[Docks]]*35)*(1+OFFSET(TblProd[[#This Row],[Bonus Food/hr]],-1,0)),0)</f>
        <v>158761</v>
      </c>
      <c r="J112" s="94">
        <f ca="1">OFFSET(TblProd[[#This Row],[Lumber]],-1,0)+OFFSET(TblProd[[#This Row],[Lumber/hr]],-1,0) - TblProd[[#This Row],[Expenses Lumber]] + SUM(TblConstr[[#This Row],[Dest Hom]:[Dest Doc]])*TblConstr[[#This Row],[CPA Lumber -DB]]*tech_3_3_2*TblTech[[#This Row],[3-3]]</f>
        <v>71289</v>
      </c>
      <c r="K112" s="94">
        <f ca="1">OFFSET(TblProd[[#This Row],[Mana]],-1,0)+OFFSET(TblProd[[#This Row],[Mana/hr]],-1,0)- TblProd[[#This Row],[Expenses Mana]]</f>
        <v>0</v>
      </c>
      <c r="L112" s="94">
        <f ca="1">OFFSET(TblProd[[#This Row],[Ore]],-1,0)+OFFSET(TblProd[[#This Row],[Ore/hr]],-1,0) -TblProd[[#This Row],[Expenses Ore]]</f>
        <v>0</v>
      </c>
      <c r="M112" s="94">
        <f ca="1">OFFSET(TblProd[[#This Row],[Gems]],-1,0)+OFFSET(TblProd[[#This Row],[Gems/hr]],-1,0) - TblProd[[#This Row],[Expenses Gems]]</f>
        <v>0</v>
      </c>
      <c r="N112" s="94">
        <f ca="1">OFFSET(TblProd[[#This Row],[Boats]],-1,0)+OFFSET(TblProd[[#This Row],[Boats/hr]],-1,0)</f>
        <v>0</v>
      </c>
      <c r="O112" s="94">
        <f ca="1">OFFSET(TblProd[[#This Row],[Prestige]],-1,0)</f>
        <v>250</v>
      </c>
      <c r="P11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2" s="94">
        <f ca="1">MAX(_xlfn.CEILING.MATH(TblProd[[#This Row],[Land]]*2.5+IFERROR(OFFSET(TblTech[[#This Row],[Sum of tech]],-1,0)*50,0)),3750)</f>
        <v>3750</v>
      </c>
      <c r="R112" s="142"/>
      <c r="S112" s="94">
        <f ca="1">ROUNDDOWN(TblProd[[#This Row],[Raw Plat/hr]]*(1+TblProd[[#This Row],[Bonus Plat/hr]]),0)</f>
        <v>912</v>
      </c>
      <c r="T112" s="94">
        <f ca="1">ROUND(TblProd[[#This Row],[Raw Food/hr]]*(1+TblProd[[#This Row],[Bonus Food/hr]])-TblProd[[#This Row],[Food decay]]-TblProd[[#This Row],[Food eaten]],0)</f>
        <v>723</v>
      </c>
      <c r="U112" s="94">
        <f ca="1">ROUND(TblProd[[#This Row],[Raw Lumber/hr]]*(1+TblProd[[#This Row],[Bonus Lumber/hr]])-TblProd[[#This Row],[Lumber rot]],0)</f>
        <v>287</v>
      </c>
      <c r="V112" s="94">
        <f ca="1">ROUND(TblProd[[#This Row],[Raw Mana/hr]]*(1+TblProd[[#This Row],[Bonus Mana/hr]])-TblProd[[#This Row],[Mana drain]],0)</f>
        <v>0</v>
      </c>
      <c r="W112" s="94">
        <f ca="1">ROUNDDOWN(TblProd[[#This Row],[Raw Ore/hr]]*(1+TblProd[[#This Row],[Bonux Ore/hr]]),0)</f>
        <v>0</v>
      </c>
      <c r="X112" s="94">
        <f ca="1">ROUNDDOWN(TblProd[[#This Row],[Raw Gems/hr]]*(1+TblProd[[#This Row],[Bonus Gems/hr]]),0)</f>
        <v>0</v>
      </c>
      <c r="Y112" s="155">
        <f ca="1">OFFSET(TblConstr[[#This Row],[Tot Doc]],1,0)*dock_boats_hr * (1 + tech_4_1*TblTech[[#This Row],[4-1]])</f>
        <v>0</v>
      </c>
      <c r="Z112" s="154"/>
      <c r="AA112" s="94">
        <f ca="1">TblPop[[#This Row],[Peasants]]*tax*TblPop[[#This Row],[Employment]] + (Construction!AZ113+Construction!BX113)*(alch_plat+(Magic!AN112&gt;0)*alchemist_flame_bonus)</f>
        <v>912.6</v>
      </c>
      <c r="AB112" s="94">
        <f ca="1">TblConstr[[#This Row],[Tot Farm]]*farm_food + TblConstr[[#This Row],[Tot Doc]]*dock_food</f>
        <v>2400</v>
      </c>
      <c r="AC112" s="94">
        <f ca="1">TblConstr[[#This Row],[Tot Ly]]*ly_lumber + TblConstr[[#This Row],[Tot Hav]]*fh_lumber + IF(race="Wood Elf",TblMili[[#This Row],[Unit 2]]*MIN(TblMili[[#This Row],[Homeland%]]/wisp_bonus,wisp_cap),0)</f>
        <v>1000</v>
      </c>
      <c r="AD112" s="94">
        <f ca="1">OFFSET(TblConstr[[#This Row],[Tot Tow]],1,0)*(tower_mana + tech_4_5*TblTech[[#This Row],[4-5]]) + OFFSET(TblConstr[[#This Row],[Tot WG]],1,0)*wg_mana_prod</f>
        <v>0</v>
      </c>
      <c r="AE112" s="94">
        <f ca="1">OFFSET(TblConstr[[#This Row],[Tot OM]],1,0)*om_ore+IF(race="Dwarf",TblMili[[#This Row],[Unit 2]]*0.5,0)</f>
        <v>0</v>
      </c>
      <c r="AF112" s="94">
        <f ca="1">OFFSET(TblConstr[[#This Row],[Tot DM]],1,0)*dm_gems</f>
        <v>0</v>
      </c>
      <c r="AG112" s="142"/>
      <c r="AH112" s="156">
        <f ca="1">MIN(race_platinum_bonus + IF(TblMagic[[#This Row],[Active Alch Frost]]&gt;0,alch_frost_bonus,IF(Magic!AE112&gt;0,midas_bonus)) + TblImps[[#This Row],[Science]] - TblProd[[#This Row],[Guard]]*(0.02 + tech_5_7*TblTech[[#This Row],[5-7]]) + tech_1_5*TblTech[[#This Row],[1-5]] + tech_4_4*TblTech[[#This Row],[4-4]] + IF(TblMagic[[#This Row],[Active Infernal Command]]&gt;0,demonic_pact_plat,0), 0.5)</f>
        <v>0</v>
      </c>
      <c r="AI11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2" s="156">
        <f ca="1">race_lumber_bonus+ IF(TblMagic[[#This Row],[Active Gaia''s Blessing]]&gt;0,gaias_blessing_lumber)+ tech_1_3*TblTech[[#This Row],[1-3]] + tech_1_6*TblTech[[#This Row],[1-6]] + tech_3_3*TblTech[[#This Row],[3-3]]</f>
        <v>0</v>
      </c>
      <c r="AK112" s="156">
        <f ca="1">race_mana_bonus+ 0 + TblImps[[#This Row],[Spires]] + tech_1_2*TblTech[[#This Row],[1-2]] + tech_3_4*TblTech[[#This Row],[3-4]]</f>
        <v>0</v>
      </c>
      <c r="AL112" s="156">
        <f ca="1">race_ore_bonus + IF(TblMagic[[#This Row],[Active Miner''s Sight]]&gt;0,miners_sight_bonus,IF(TblMagic[[#This Row],[Active Mining Strength]]&gt;0,mining_strength_bonus)) +  tech_1_6*TblTech[[#This Row],[1-6]]</f>
        <v>0</v>
      </c>
      <c r="AM112" s="156">
        <f>race_gem_bonus+ tech_3_2*TblTech[[#This Row],[3-2]] + tech_4_3*TblTech[[#This Row],[4-3]] + tech_6_2*TblTech[[#This Row],[6-2]]</f>
        <v>0</v>
      </c>
      <c r="AN112" s="142"/>
      <c r="AO112" s="94">
        <f ca="1">TblProd[[#This Row],[Food]]*food_decay * (1 + tech_2_1*TblTech[[#This Row],[2-1]] + tech_2_8*TblTech[[#This Row],[2-8]] + IF(AND(TblMagic[[#This Row],[Active DnD]]&lt;12,TblMagic[[#This Row],[Active DnD]]&gt;5),1,0))</f>
        <v>1587.6100000000001</v>
      </c>
      <c r="AP112" s="94">
        <f ca="1">(1+race_food_consumption)*TblPop[[#This Row],[Total]]*food_per_person*(1+tech_1_10*TblTech[[#This Row],[1-10]]+tech_7_5*TblTech[[#This Row],[7-5]] + IF(TblMagic[[#This Row],[Active Infernal Command]]&gt;0,demonic_pact_food_cons,0))</f>
        <v>269</v>
      </c>
      <c r="AQ112" s="94">
        <f ca="1">TblProd[[#This Row],[Lumber]]*lumber_rot * (1 + tech_2_1*TblTech[[#This Row],[2-1]] + tech_2_8*TblTech[[#This Row],[2-8]] + tech_5_2*TblTech[[#This Row],[5-2]] + IF(AND(TblMagic[[#This Row],[Active DnD]]&lt;12,TblMagic[[#This Row],[Active DnD]]&gt;5),1,0))</f>
        <v>712.89</v>
      </c>
      <c r="AR112" s="94">
        <f ca="1">TblProd[[#This Row],[Mana]]*mana_drain * (1 + tech_2_1*TblTech[[#This Row],[2-1]] + tech_2_8*TblTech[[#This Row],[2-8]])</f>
        <v>0</v>
      </c>
      <c r="AS112" s="154"/>
      <c r="AT112" s="94">
        <f ca="1">TblExplore[[#This Row],[Platinum (2)]]+TblConstr[[#This Row],[Total Plat Cost]]+TblMili[[#This Row],[Plat Cost]]+TblRezone[[#This Row],[Platinum cost]]+TblImps[[#This Row],[P1]]-TblProd[[#This Row],[Bank Plat]]</f>
        <v>0</v>
      </c>
      <c r="AU112" s="94">
        <f ca="1">TblConstr[[#This Row],[Total Lum Cost]]+TblImps[[#This Row],[L1]]-TblProd[[#This Row],[Bank Lumber]] + Military!$CO$25*TblMili[[#This Row],[Sec. rec. Cost]]</f>
        <v>0</v>
      </c>
      <c r="AV112" s="94">
        <f ca="1">TblMagic[[#This Row],[Mana cost]] + Military!$CO$26*TblMili[[#This Row],[Sec. rec. Cost]]</f>
        <v>0</v>
      </c>
      <c r="AW112" s="94">
        <f ca="1">Military!$CO$24*TblMili[[#This Row],[Sec. rec. Cost]]+TblImps[[#This Row],[O1]]-TblProd[[#This Row],[Bank Ore]]</f>
        <v>0</v>
      </c>
      <c r="AX112" s="94">
        <f>TblImps[[#This Row],[G1]]-TblProd[[#This Row],[Bank Gems]]</f>
        <v>0</v>
      </c>
      <c r="AY112" s="142"/>
      <c r="AZ112" s="61" t="b">
        <f ca="1">IF(TblProd[[#This Row],[Set Guard]]&lt;&gt;"",TblProd[[#This Row],[Set Guard]],OFFSET(TblProd[[#This Row],[Guard]],-1,0))</f>
        <v>0</v>
      </c>
      <c r="BA112" s="153"/>
      <c r="BB112" s="45">
        <f>TblProd[[#This Row],[Hour]]</f>
        <v>73</v>
      </c>
      <c r="BC112" s="158">
        <f>-TblProd[[#This Row],[Bank Lumber]] / 2 + -TblProd[[#This Row],[Bank Gems]] * 2 + -TblProd[[#This Row],[Bank Ore]] / 2</f>
        <v>0</v>
      </c>
      <c r="BD112" s="158"/>
      <c r="BE112" s="158"/>
      <c r="BF112" s="158"/>
      <c r="BG112" s="159">
        <f ca="1">TblProd[[#This Row],[Time]]</f>
        <v>46051.499999999738</v>
      </c>
      <c r="BH112" s="45" t="str">
        <f>IF(AND(TblProd[[#This Row],[Bank Plat]]=0,TblProd[[#This Row],[Bank Lumber]]=0,TblProd[[#This Row],[Bank Ore]]=0,TblProd[[#This Row],[Bank Gems]]=0),"",IF(TblProd[[#This Row],[Bank Plat]]&gt;0,IF((TblProd[[#This Row],[Bank Lumber]]+TblProd[[#This Row],[Bank Ore]])/2+TblProd[[#This Row],[Bank Gems]]*2+ROUNDUP(TblProd[[#This Row],[Bank Plat]]/(1 + tech_2_2*Techs!Y112),0)=0,"Ok","Nope"),IF(TblProd[[#This Row],[Bank Lumber]]&gt;0,IF((TblProd[[#This Row],[Bank Plat]]+TblProd[[#This Row],[Bank Ore]])/2+TblProd[[#This Row],[Bank Gems]]*2+ROUNDUP(TblProd[[#This Row],[Bank Lumber]]/(1 + tech_2_2*Techs!Y112),0)=0,"Ok","Nope"),IF(TblProd[[#This Row],[Bank Ore]]&gt;0,IF((TblProd[[#This Row],[Bank Plat]]+TblProd[[#This Row],[Bank Lumber]])/2+TblProd[[#This Row],[Bank Gems]]*2+ROUNDUP(TblProd[[#This Row],[Bank Ore]]/(1 + tech_2_2*Techs!Y112),0)=0,"Ok","Nope")))))</f>
        <v/>
      </c>
      <c r="BI112" s="94">
        <f ca="1">TblProd[[#This Row],[Platinum]]</f>
        <v>208455</v>
      </c>
      <c r="BJ112" s="94">
        <f ca="1">TblProd[[#This Row],[Food]]</f>
        <v>158761</v>
      </c>
      <c r="BK112" s="94">
        <f ca="1">TblProd[[#This Row],[Lumber]]</f>
        <v>71289</v>
      </c>
      <c r="BL112" s="94">
        <f ca="1">TblProd[[#This Row],[Mana]]</f>
        <v>0</v>
      </c>
      <c r="BM112" s="94">
        <f ca="1">TblProd[[#This Row],[Ore]]</f>
        <v>0</v>
      </c>
    </row>
    <row r="113" spans="1:65" x14ac:dyDescent="0.2">
      <c r="A113" s="137">
        <f t="shared" si="1"/>
        <v>74</v>
      </c>
      <c r="B113" s="152">
        <f ca="1">TblImps[[#This Row],[Time]]</f>
        <v>46051.541666666402</v>
      </c>
      <c r="C113" s="153"/>
      <c r="D113" s="154"/>
      <c r="E113" s="94">
        <f ca="1">TblConstr[[#This Row],[Land]]</f>
        <v>110</v>
      </c>
      <c r="F113" s="94">
        <f ca="1">TblPop[[#This Row],[Peasants]]</f>
        <v>335</v>
      </c>
      <c r="G113" s="94">
        <f ca="1">TblMili[[#This Row],[Networth (2)]]</f>
        <v>2450</v>
      </c>
      <c r="H113" s="94">
        <f ca="1">OFFSET(TblProd[[#This Row],[Platinum]],-1,0)+OFFSET(TblProd[[#This Row],[Plat/hr]],-1,0) - TblProd[[#This Row],[Expenses Platinum]] + IF(TblProd[[#This Row],[Plat Bonus]],TblPop[[#This Row],[Peasants]]*4) + SUM(TblConstr[[#This Row],[Dest Hom]:[Dest Doc]])*TblConstr[[#This Row],[CPA Platinum -DB]]*tech_3_3_2*TblTech[[#This Row],[3-3]]</f>
        <v>209367</v>
      </c>
      <c r="I113" s="94">
        <f ca="1">OFFSET(TblProd[[#This Row],[Food]],-1,0)+OFFSET(TblProd[[#This Row],[Food/hr]],-1,0)+ROUNDUP((TblConstr[[#This Row],[Farms]]*80+TblConstr[[#This Row],[Docks]]*35)*(1+OFFSET(TblProd[[#This Row],[Bonus Food/hr]],-1,0)),0)</f>
        <v>159484</v>
      </c>
      <c r="J113" s="94">
        <f ca="1">OFFSET(TblProd[[#This Row],[Lumber]],-1,0)+OFFSET(TblProd[[#This Row],[Lumber/hr]],-1,0) - TblProd[[#This Row],[Expenses Lumber]] + SUM(TblConstr[[#This Row],[Dest Hom]:[Dest Doc]])*TblConstr[[#This Row],[CPA Lumber -DB]]*tech_3_3_2*TblTech[[#This Row],[3-3]]</f>
        <v>71576</v>
      </c>
      <c r="K113" s="94">
        <f ca="1">OFFSET(TblProd[[#This Row],[Mana]],-1,0)+OFFSET(TblProd[[#This Row],[Mana/hr]],-1,0)- TblProd[[#This Row],[Expenses Mana]]</f>
        <v>0</v>
      </c>
      <c r="L113" s="94">
        <f ca="1">OFFSET(TblProd[[#This Row],[Ore]],-1,0)+OFFSET(TblProd[[#This Row],[Ore/hr]],-1,0) -TblProd[[#This Row],[Expenses Ore]]</f>
        <v>0</v>
      </c>
      <c r="M113" s="94">
        <f ca="1">OFFSET(TblProd[[#This Row],[Gems]],-1,0)+OFFSET(TblProd[[#This Row],[Gems/hr]],-1,0) - TblProd[[#This Row],[Expenses Gems]]</f>
        <v>0</v>
      </c>
      <c r="N113" s="94">
        <f ca="1">OFFSET(TblProd[[#This Row],[Boats]],-1,0)+OFFSET(TblProd[[#This Row],[Boats/hr]],-1,0)</f>
        <v>0</v>
      </c>
      <c r="O113" s="94">
        <f ca="1">OFFSET(TblProd[[#This Row],[Prestige]],-1,0)</f>
        <v>250</v>
      </c>
      <c r="P11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3" s="94">
        <f ca="1">MAX(_xlfn.CEILING.MATH(TblProd[[#This Row],[Land]]*2.5+IFERROR(OFFSET(TblTech[[#This Row],[Sum of tech]],-1,0)*50,0)),3750)</f>
        <v>3750</v>
      </c>
      <c r="R113" s="142"/>
      <c r="S113" s="94">
        <f ca="1">ROUNDDOWN(TblProd[[#This Row],[Raw Plat/hr]]*(1+TblProd[[#This Row],[Bonus Plat/hr]]),0)</f>
        <v>904</v>
      </c>
      <c r="T113" s="94">
        <f ca="1">ROUND(TblProd[[#This Row],[Raw Food/hr]]*(1+TblProd[[#This Row],[Bonus Food/hr]])-TblProd[[#This Row],[Food decay]]-TblProd[[#This Row],[Food eaten]],0)</f>
        <v>716</v>
      </c>
      <c r="U113" s="94">
        <f ca="1">ROUND(TblProd[[#This Row],[Raw Lumber/hr]]*(1+TblProd[[#This Row],[Bonus Lumber/hr]])-TblProd[[#This Row],[Lumber rot]],0)</f>
        <v>284</v>
      </c>
      <c r="V113" s="94">
        <f ca="1">ROUND(TblProd[[#This Row],[Raw Mana/hr]]*(1+TblProd[[#This Row],[Bonus Mana/hr]])-TblProd[[#This Row],[Mana drain]],0)</f>
        <v>0</v>
      </c>
      <c r="W113" s="94">
        <f ca="1">ROUNDDOWN(TblProd[[#This Row],[Raw Ore/hr]]*(1+TblProd[[#This Row],[Bonux Ore/hr]]),0)</f>
        <v>0</v>
      </c>
      <c r="X113" s="94">
        <f ca="1">ROUNDDOWN(TblProd[[#This Row],[Raw Gems/hr]]*(1+TblProd[[#This Row],[Bonus Gems/hr]]),0)</f>
        <v>0</v>
      </c>
      <c r="Y113" s="155">
        <f ca="1">OFFSET(TblConstr[[#This Row],[Tot Doc]],1,0)*dock_boats_hr * (1 + tech_4_1*TblTech[[#This Row],[4-1]])</f>
        <v>0</v>
      </c>
      <c r="Z113" s="154"/>
      <c r="AA113" s="94">
        <f ca="1">TblPop[[#This Row],[Peasants]]*tax*TblPop[[#This Row],[Employment]] + (Construction!AZ114+Construction!BX114)*(alch_plat+(Magic!AN113&gt;0)*alchemist_flame_bonus)</f>
        <v>904.50000000000011</v>
      </c>
      <c r="AB113" s="94">
        <f ca="1">TblConstr[[#This Row],[Tot Farm]]*farm_food + TblConstr[[#This Row],[Tot Doc]]*dock_food</f>
        <v>2400</v>
      </c>
      <c r="AC113" s="94">
        <f ca="1">TblConstr[[#This Row],[Tot Ly]]*ly_lumber + TblConstr[[#This Row],[Tot Hav]]*fh_lumber + IF(race="Wood Elf",TblMili[[#This Row],[Unit 2]]*MIN(TblMili[[#This Row],[Homeland%]]/wisp_bonus,wisp_cap),0)</f>
        <v>1000</v>
      </c>
      <c r="AD113" s="94">
        <f ca="1">OFFSET(TblConstr[[#This Row],[Tot Tow]],1,0)*(tower_mana + tech_4_5*TblTech[[#This Row],[4-5]]) + OFFSET(TblConstr[[#This Row],[Tot WG]],1,0)*wg_mana_prod</f>
        <v>0</v>
      </c>
      <c r="AE113" s="94">
        <f ca="1">OFFSET(TblConstr[[#This Row],[Tot OM]],1,0)*om_ore+IF(race="Dwarf",TblMili[[#This Row],[Unit 2]]*0.5,0)</f>
        <v>0</v>
      </c>
      <c r="AF113" s="94">
        <f ca="1">OFFSET(TblConstr[[#This Row],[Tot DM]],1,0)*dm_gems</f>
        <v>0</v>
      </c>
      <c r="AG113" s="142"/>
      <c r="AH113" s="156">
        <f ca="1">MIN(race_platinum_bonus + IF(TblMagic[[#This Row],[Active Alch Frost]]&gt;0,alch_frost_bonus,IF(Magic!AE113&gt;0,midas_bonus)) + TblImps[[#This Row],[Science]] - TblProd[[#This Row],[Guard]]*(0.02 + tech_5_7*TblTech[[#This Row],[5-7]]) + tech_1_5*TblTech[[#This Row],[1-5]] + tech_4_4*TblTech[[#This Row],[4-4]] + IF(TblMagic[[#This Row],[Active Infernal Command]]&gt;0,demonic_pact_plat,0), 0.5)</f>
        <v>0</v>
      </c>
      <c r="AI11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3" s="156">
        <f ca="1">race_lumber_bonus+ IF(TblMagic[[#This Row],[Active Gaia''s Blessing]]&gt;0,gaias_blessing_lumber)+ tech_1_3*TblTech[[#This Row],[1-3]] + tech_1_6*TblTech[[#This Row],[1-6]] + tech_3_3*TblTech[[#This Row],[3-3]]</f>
        <v>0</v>
      </c>
      <c r="AK113" s="156">
        <f ca="1">race_mana_bonus+ 0 + TblImps[[#This Row],[Spires]] + tech_1_2*TblTech[[#This Row],[1-2]] + tech_3_4*TblTech[[#This Row],[3-4]]</f>
        <v>0</v>
      </c>
      <c r="AL113" s="156">
        <f ca="1">race_ore_bonus + IF(TblMagic[[#This Row],[Active Miner''s Sight]]&gt;0,miners_sight_bonus,IF(TblMagic[[#This Row],[Active Mining Strength]]&gt;0,mining_strength_bonus)) +  tech_1_6*TblTech[[#This Row],[1-6]]</f>
        <v>0</v>
      </c>
      <c r="AM113" s="156">
        <f>race_gem_bonus+ tech_3_2*TblTech[[#This Row],[3-2]] + tech_4_3*TblTech[[#This Row],[4-3]] + tech_6_2*TblTech[[#This Row],[6-2]]</f>
        <v>0</v>
      </c>
      <c r="AN113" s="142"/>
      <c r="AO113" s="94">
        <f ca="1">TblProd[[#This Row],[Food]]*food_decay * (1 + tech_2_1*TblTech[[#This Row],[2-1]] + tech_2_8*TblTech[[#This Row],[2-8]] + IF(AND(TblMagic[[#This Row],[Active DnD]]&lt;12,TblMagic[[#This Row],[Active DnD]]&gt;5),1,0))</f>
        <v>1594.8400000000001</v>
      </c>
      <c r="AP113" s="94">
        <f ca="1">(1+race_food_consumption)*TblPop[[#This Row],[Total]]*food_per_person*(1+tech_1_10*TblTech[[#This Row],[1-10]]+tech_7_5*TblTech[[#This Row],[7-5]] + IF(TblMagic[[#This Row],[Active Infernal Command]]&gt;0,demonic_pact_food_cons,0))</f>
        <v>269</v>
      </c>
      <c r="AQ113" s="94">
        <f ca="1">TblProd[[#This Row],[Lumber]]*lumber_rot * (1 + tech_2_1*TblTech[[#This Row],[2-1]] + tech_2_8*TblTech[[#This Row],[2-8]] + tech_5_2*TblTech[[#This Row],[5-2]] + IF(AND(TblMagic[[#This Row],[Active DnD]]&lt;12,TblMagic[[#This Row],[Active DnD]]&gt;5),1,0))</f>
        <v>715.76</v>
      </c>
      <c r="AR113" s="94">
        <f ca="1">TblProd[[#This Row],[Mana]]*mana_drain * (1 + tech_2_1*TblTech[[#This Row],[2-1]] + tech_2_8*TblTech[[#This Row],[2-8]])</f>
        <v>0</v>
      </c>
      <c r="AS113" s="154"/>
      <c r="AT113" s="94">
        <f ca="1">TblExplore[[#This Row],[Platinum (2)]]+TblConstr[[#This Row],[Total Plat Cost]]+TblMili[[#This Row],[Plat Cost]]+TblRezone[[#This Row],[Platinum cost]]+TblImps[[#This Row],[P1]]-TblProd[[#This Row],[Bank Plat]]</f>
        <v>0</v>
      </c>
      <c r="AU113" s="94">
        <f ca="1">TblConstr[[#This Row],[Total Lum Cost]]+TblImps[[#This Row],[L1]]-TblProd[[#This Row],[Bank Lumber]] + Military!$CO$25*TblMili[[#This Row],[Sec. rec. Cost]]</f>
        <v>0</v>
      </c>
      <c r="AV113" s="94">
        <f ca="1">TblMagic[[#This Row],[Mana cost]] + Military!$CO$26*TblMili[[#This Row],[Sec. rec. Cost]]</f>
        <v>0</v>
      </c>
      <c r="AW113" s="94">
        <f ca="1">Military!$CO$24*TblMili[[#This Row],[Sec. rec. Cost]]+TblImps[[#This Row],[O1]]-TblProd[[#This Row],[Bank Ore]]</f>
        <v>0</v>
      </c>
      <c r="AX113" s="94">
        <f>TblImps[[#This Row],[G1]]-TblProd[[#This Row],[Bank Gems]]</f>
        <v>0</v>
      </c>
      <c r="AY113" s="142"/>
      <c r="AZ113" s="61" t="b">
        <f ca="1">IF(TblProd[[#This Row],[Set Guard]]&lt;&gt;"",TblProd[[#This Row],[Set Guard]],OFFSET(TblProd[[#This Row],[Guard]],-1,0))</f>
        <v>0</v>
      </c>
      <c r="BA113" s="153"/>
      <c r="BB113" s="45">
        <f>TblProd[[#This Row],[Hour]]</f>
        <v>74</v>
      </c>
      <c r="BC113" s="158">
        <f>-TblProd[[#This Row],[Bank Lumber]] / 2 + -TblProd[[#This Row],[Bank Gems]] * 2 + -TblProd[[#This Row],[Bank Ore]] / 2</f>
        <v>0</v>
      </c>
      <c r="BD113" s="158"/>
      <c r="BE113" s="158"/>
      <c r="BF113" s="158"/>
      <c r="BG113" s="159">
        <f ca="1">TblProd[[#This Row],[Time]]</f>
        <v>46051.541666666402</v>
      </c>
      <c r="BH113" s="45" t="str">
        <f>IF(AND(TblProd[[#This Row],[Bank Plat]]=0,TblProd[[#This Row],[Bank Lumber]]=0,TblProd[[#This Row],[Bank Ore]]=0,TblProd[[#This Row],[Bank Gems]]=0),"",IF(TblProd[[#This Row],[Bank Plat]]&gt;0,IF((TblProd[[#This Row],[Bank Lumber]]+TblProd[[#This Row],[Bank Ore]])/2+TblProd[[#This Row],[Bank Gems]]*2+ROUNDUP(TblProd[[#This Row],[Bank Plat]]/(1 + tech_2_2*Techs!Y113),0)=0,"Ok","Nope"),IF(TblProd[[#This Row],[Bank Lumber]]&gt;0,IF((TblProd[[#This Row],[Bank Plat]]+TblProd[[#This Row],[Bank Ore]])/2+TblProd[[#This Row],[Bank Gems]]*2+ROUNDUP(TblProd[[#This Row],[Bank Lumber]]/(1 + tech_2_2*Techs!Y113),0)=0,"Ok","Nope"),IF(TblProd[[#This Row],[Bank Ore]]&gt;0,IF((TblProd[[#This Row],[Bank Plat]]+TblProd[[#This Row],[Bank Lumber]])/2+TblProd[[#This Row],[Bank Gems]]*2+ROUNDUP(TblProd[[#This Row],[Bank Ore]]/(1 + tech_2_2*Techs!Y113),0)=0,"Ok","Nope")))))</f>
        <v/>
      </c>
      <c r="BI113" s="94">
        <f ca="1">TblProd[[#This Row],[Platinum]]</f>
        <v>209367</v>
      </c>
      <c r="BJ113" s="94">
        <f ca="1">TblProd[[#This Row],[Food]]</f>
        <v>159484</v>
      </c>
      <c r="BK113" s="94">
        <f ca="1">TblProd[[#This Row],[Lumber]]</f>
        <v>71576</v>
      </c>
      <c r="BL113" s="94">
        <f ca="1">TblProd[[#This Row],[Mana]]</f>
        <v>0</v>
      </c>
      <c r="BM113" s="94">
        <f ca="1">TblProd[[#This Row],[Ore]]</f>
        <v>0</v>
      </c>
    </row>
    <row r="114" spans="1:65" x14ac:dyDescent="0.2">
      <c r="A114" s="137">
        <f t="shared" si="1"/>
        <v>75</v>
      </c>
      <c r="B114" s="152">
        <f ca="1">TblImps[[#This Row],[Time]]</f>
        <v>46051.583333333067</v>
      </c>
      <c r="C114" s="153"/>
      <c r="D114" s="154"/>
      <c r="E114" s="94">
        <f ca="1">TblConstr[[#This Row],[Land]]</f>
        <v>110</v>
      </c>
      <c r="F114" s="94">
        <f ca="1">TblPop[[#This Row],[Peasants]]</f>
        <v>332</v>
      </c>
      <c r="G114" s="94">
        <f ca="1">TblMili[[#This Row],[Networth (2)]]</f>
        <v>2450</v>
      </c>
      <c r="H114" s="94">
        <f ca="1">OFFSET(TblProd[[#This Row],[Platinum]],-1,0)+OFFSET(TblProd[[#This Row],[Plat/hr]],-1,0) - TblProd[[#This Row],[Expenses Platinum]] + IF(TblProd[[#This Row],[Plat Bonus]],TblPop[[#This Row],[Peasants]]*4) + SUM(TblConstr[[#This Row],[Dest Hom]:[Dest Doc]])*TblConstr[[#This Row],[CPA Platinum -DB]]*tech_3_3_2*TblTech[[#This Row],[3-3]]</f>
        <v>210271</v>
      </c>
      <c r="I114" s="94">
        <f ca="1">OFFSET(TblProd[[#This Row],[Food]],-1,0)+OFFSET(TblProd[[#This Row],[Food/hr]],-1,0)+ROUNDUP((TblConstr[[#This Row],[Farms]]*80+TblConstr[[#This Row],[Docks]]*35)*(1+OFFSET(TblProd[[#This Row],[Bonus Food/hr]],-1,0)),0)</f>
        <v>160200</v>
      </c>
      <c r="J114" s="94">
        <f ca="1">OFFSET(TblProd[[#This Row],[Lumber]],-1,0)+OFFSET(TblProd[[#This Row],[Lumber/hr]],-1,0) - TblProd[[#This Row],[Expenses Lumber]] + SUM(TblConstr[[#This Row],[Dest Hom]:[Dest Doc]])*TblConstr[[#This Row],[CPA Lumber -DB]]*tech_3_3_2*TblTech[[#This Row],[3-3]]</f>
        <v>71860</v>
      </c>
      <c r="K114" s="94">
        <f ca="1">OFFSET(TblProd[[#This Row],[Mana]],-1,0)+OFFSET(TblProd[[#This Row],[Mana/hr]],-1,0)- TblProd[[#This Row],[Expenses Mana]]</f>
        <v>0</v>
      </c>
      <c r="L114" s="94">
        <f ca="1">OFFSET(TblProd[[#This Row],[Ore]],-1,0)+OFFSET(TblProd[[#This Row],[Ore/hr]],-1,0) -TblProd[[#This Row],[Expenses Ore]]</f>
        <v>0</v>
      </c>
      <c r="M114" s="94">
        <f ca="1">OFFSET(TblProd[[#This Row],[Gems]],-1,0)+OFFSET(TblProd[[#This Row],[Gems/hr]],-1,0) - TblProd[[#This Row],[Expenses Gems]]</f>
        <v>0</v>
      </c>
      <c r="N114" s="94">
        <f ca="1">OFFSET(TblProd[[#This Row],[Boats]],-1,0)+OFFSET(TblProd[[#This Row],[Boats/hr]],-1,0)</f>
        <v>0</v>
      </c>
      <c r="O114" s="94">
        <f ca="1">OFFSET(TblProd[[#This Row],[Prestige]],-1,0)</f>
        <v>250</v>
      </c>
      <c r="P11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4" s="94">
        <f ca="1">MAX(_xlfn.CEILING.MATH(TblProd[[#This Row],[Land]]*2.5+IFERROR(OFFSET(TblTech[[#This Row],[Sum of tech]],-1,0)*50,0)),3750)</f>
        <v>3750</v>
      </c>
      <c r="R114" s="142"/>
      <c r="S114" s="94">
        <f ca="1">ROUNDDOWN(TblProd[[#This Row],[Raw Plat/hr]]*(1+TblProd[[#This Row],[Bonus Plat/hr]]),0)</f>
        <v>896</v>
      </c>
      <c r="T114" s="94">
        <f ca="1">ROUND(TblProd[[#This Row],[Raw Food/hr]]*(1+TblProd[[#This Row],[Bonus Food/hr]])-TblProd[[#This Row],[Food decay]]-TblProd[[#This Row],[Food eaten]],0)</f>
        <v>709</v>
      </c>
      <c r="U114" s="94">
        <f ca="1">ROUND(TblProd[[#This Row],[Raw Lumber/hr]]*(1+TblProd[[#This Row],[Bonus Lumber/hr]])-TblProd[[#This Row],[Lumber rot]],0)</f>
        <v>281</v>
      </c>
      <c r="V114" s="94">
        <f ca="1">ROUND(TblProd[[#This Row],[Raw Mana/hr]]*(1+TblProd[[#This Row],[Bonus Mana/hr]])-TblProd[[#This Row],[Mana drain]],0)</f>
        <v>0</v>
      </c>
      <c r="W114" s="94">
        <f ca="1">ROUNDDOWN(TblProd[[#This Row],[Raw Ore/hr]]*(1+TblProd[[#This Row],[Bonux Ore/hr]]),0)</f>
        <v>0</v>
      </c>
      <c r="X114" s="94">
        <f ca="1">ROUNDDOWN(TblProd[[#This Row],[Raw Gems/hr]]*(1+TblProd[[#This Row],[Bonus Gems/hr]]),0)</f>
        <v>0</v>
      </c>
      <c r="Y114" s="155">
        <f ca="1">OFFSET(TblConstr[[#This Row],[Tot Doc]],1,0)*dock_boats_hr * (1 + tech_4_1*TblTech[[#This Row],[4-1]])</f>
        <v>0</v>
      </c>
      <c r="Z114" s="154"/>
      <c r="AA114" s="94">
        <f ca="1">TblPop[[#This Row],[Peasants]]*tax*TblPop[[#This Row],[Employment]] + (Construction!AZ115+Construction!BX115)*(alch_plat+(Magic!AN114&gt;0)*alchemist_flame_bonus)</f>
        <v>896.40000000000009</v>
      </c>
      <c r="AB114" s="94">
        <f ca="1">TblConstr[[#This Row],[Tot Farm]]*farm_food + TblConstr[[#This Row],[Tot Doc]]*dock_food</f>
        <v>2400</v>
      </c>
      <c r="AC114" s="94">
        <f ca="1">TblConstr[[#This Row],[Tot Ly]]*ly_lumber + TblConstr[[#This Row],[Tot Hav]]*fh_lumber + IF(race="Wood Elf",TblMili[[#This Row],[Unit 2]]*MIN(TblMili[[#This Row],[Homeland%]]/wisp_bonus,wisp_cap),0)</f>
        <v>1000</v>
      </c>
      <c r="AD114" s="94">
        <f ca="1">OFFSET(TblConstr[[#This Row],[Tot Tow]],1,0)*(tower_mana + tech_4_5*TblTech[[#This Row],[4-5]]) + OFFSET(TblConstr[[#This Row],[Tot WG]],1,0)*wg_mana_prod</f>
        <v>0</v>
      </c>
      <c r="AE114" s="94">
        <f ca="1">OFFSET(TblConstr[[#This Row],[Tot OM]],1,0)*om_ore+IF(race="Dwarf",TblMili[[#This Row],[Unit 2]]*0.5,0)</f>
        <v>0</v>
      </c>
      <c r="AF114" s="94">
        <f ca="1">OFFSET(TblConstr[[#This Row],[Tot DM]],1,0)*dm_gems</f>
        <v>0</v>
      </c>
      <c r="AG114" s="142"/>
      <c r="AH114" s="156">
        <f ca="1">MIN(race_platinum_bonus + IF(TblMagic[[#This Row],[Active Alch Frost]]&gt;0,alch_frost_bonus,IF(Magic!AE114&gt;0,midas_bonus)) + TblImps[[#This Row],[Science]] - TblProd[[#This Row],[Guard]]*(0.02 + tech_5_7*TblTech[[#This Row],[5-7]]) + tech_1_5*TblTech[[#This Row],[1-5]] + tech_4_4*TblTech[[#This Row],[4-4]] + IF(TblMagic[[#This Row],[Active Infernal Command]]&gt;0,demonic_pact_plat,0), 0.5)</f>
        <v>0</v>
      </c>
      <c r="AI11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4" s="156">
        <f ca="1">race_lumber_bonus+ IF(TblMagic[[#This Row],[Active Gaia''s Blessing]]&gt;0,gaias_blessing_lumber)+ tech_1_3*TblTech[[#This Row],[1-3]] + tech_1_6*TblTech[[#This Row],[1-6]] + tech_3_3*TblTech[[#This Row],[3-3]]</f>
        <v>0</v>
      </c>
      <c r="AK114" s="156">
        <f ca="1">race_mana_bonus+ 0 + TblImps[[#This Row],[Spires]] + tech_1_2*TblTech[[#This Row],[1-2]] + tech_3_4*TblTech[[#This Row],[3-4]]</f>
        <v>0</v>
      </c>
      <c r="AL114" s="156">
        <f ca="1">race_ore_bonus + IF(TblMagic[[#This Row],[Active Miner''s Sight]]&gt;0,miners_sight_bonus,IF(TblMagic[[#This Row],[Active Mining Strength]]&gt;0,mining_strength_bonus)) +  tech_1_6*TblTech[[#This Row],[1-6]]</f>
        <v>0</v>
      </c>
      <c r="AM114" s="156">
        <f>race_gem_bonus+ tech_3_2*TblTech[[#This Row],[3-2]] + tech_4_3*TblTech[[#This Row],[4-3]] + tech_6_2*TblTech[[#This Row],[6-2]]</f>
        <v>0</v>
      </c>
      <c r="AN114" s="142"/>
      <c r="AO114" s="94">
        <f ca="1">TblProd[[#This Row],[Food]]*food_decay * (1 + tech_2_1*TblTech[[#This Row],[2-1]] + tech_2_8*TblTech[[#This Row],[2-8]] + IF(AND(TblMagic[[#This Row],[Active DnD]]&lt;12,TblMagic[[#This Row],[Active DnD]]&gt;5),1,0))</f>
        <v>1602</v>
      </c>
      <c r="AP114" s="94">
        <f ca="1">(1+race_food_consumption)*TblPop[[#This Row],[Total]]*food_per_person*(1+tech_1_10*TblTech[[#This Row],[1-10]]+tech_7_5*TblTech[[#This Row],[7-5]] + IF(TblMagic[[#This Row],[Active Infernal Command]]&gt;0,demonic_pact_food_cons,0))</f>
        <v>269</v>
      </c>
      <c r="AQ114" s="94">
        <f ca="1">TblProd[[#This Row],[Lumber]]*lumber_rot * (1 + tech_2_1*TblTech[[#This Row],[2-1]] + tech_2_8*TblTech[[#This Row],[2-8]] + tech_5_2*TblTech[[#This Row],[5-2]] + IF(AND(TblMagic[[#This Row],[Active DnD]]&lt;12,TblMagic[[#This Row],[Active DnD]]&gt;5),1,0))</f>
        <v>718.6</v>
      </c>
      <c r="AR114" s="94">
        <f ca="1">TblProd[[#This Row],[Mana]]*mana_drain * (1 + tech_2_1*TblTech[[#This Row],[2-1]] + tech_2_8*TblTech[[#This Row],[2-8]])</f>
        <v>0</v>
      </c>
      <c r="AS114" s="154"/>
      <c r="AT114" s="94">
        <f ca="1">TblExplore[[#This Row],[Platinum (2)]]+TblConstr[[#This Row],[Total Plat Cost]]+TblMili[[#This Row],[Plat Cost]]+TblRezone[[#This Row],[Platinum cost]]+TblImps[[#This Row],[P1]]-TblProd[[#This Row],[Bank Plat]]</f>
        <v>0</v>
      </c>
      <c r="AU114" s="94">
        <f ca="1">TblConstr[[#This Row],[Total Lum Cost]]+TblImps[[#This Row],[L1]]-TblProd[[#This Row],[Bank Lumber]] + Military!$CO$25*TblMili[[#This Row],[Sec. rec. Cost]]</f>
        <v>0</v>
      </c>
      <c r="AV114" s="94">
        <f ca="1">TblMagic[[#This Row],[Mana cost]] + Military!$CO$26*TblMili[[#This Row],[Sec. rec. Cost]]</f>
        <v>0</v>
      </c>
      <c r="AW114" s="94">
        <f ca="1">Military!$CO$24*TblMili[[#This Row],[Sec. rec. Cost]]+TblImps[[#This Row],[O1]]-TblProd[[#This Row],[Bank Ore]]</f>
        <v>0</v>
      </c>
      <c r="AX114" s="94">
        <f>TblImps[[#This Row],[G1]]-TblProd[[#This Row],[Bank Gems]]</f>
        <v>0</v>
      </c>
      <c r="AY114" s="142"/>
      <c r="AZ114" s="61" t="b">
        <f ca="1">IF(TblProd[[#This Row],[Set Guard]]&lt;&gt;"",TblProd[[#This Row],[Set Guard]],OFFSET(TblProd[[#This Row],[Guard]],-1,0))</f>
        <v>0</v>
      </c>
      <c r="BA114" s="153"/>
      <c r="BB114" s="45">
        <f>TblProd[[#This Row],[Hour]]</f>
        <v>75</v>
      </c>
      <c r="BC114" s="158">
        <f>-TblProd[[#This Row],[Bank Lumber]] / 2 + -TblProd[[#This Row],[Bank Gems]] * 2 + -TblProd[[#This Row],[Bank Ore]] / 2</f>
        <v>0</v>
      </c>
      <c r="BD114" s="158"/>
      <c r="BE114" s="158"/>
      <c r="BF114" s="158"/>
      <c r="BG114" s="159">
        <f ca="1">TblProd[[#This Row],[Time]]</f>
        <v>46051.583333333067</v>
      </c>
      <c r="BH114" s="45" t="str">
        <f>IF(AND(TblProd[[#This Row],[Bank Plat]]=0,TblProd[[#This Row],[Bank Lumber]]=0,TblProd[[#This Row],[Bank Ore]]=0,TblProd[[#This Row],[Bank Gems]]=0),"",IF(TblProd[[#This Row],[Bank Plat]]&gt;0,IF((TblProd[[#This Row],[Bank Lumber]]+TblProd[[#This Row],[Bank Ore]])/2+TblProd[[#This Row],[Bank Gems]]*2+ROUNDUP(TblProd[[#This Row],[Bank Plat]]/(1 + tech_2_2*Techs!Y114),0)=0,"Ok","Nope"),IF(TblProd[[#This Row],[Bank Lumber]]&gt;0,IF((TblProd[[#This Row],[Bank Plat]]+TblProd[[#This Row],[Bank Ore]])/2+TblProd[[#This Row],[Bank Gems]]*2+ROUNDUP(TblProd[[#This Row],[Bank Lumber]]/(1 + tech_2_2*Techs!Y114),0)=0,"Ok","Nope"),IF(TblProd[[#This Row],[Bank Ore]]&gt;0,IF((TblProd[[#This Row],[Bank Plat]]+TblProd[[#This Row],[Bank Lumber]])/2+TblProd[[#This Row],[Bank Gems]]*2+ROUNDUP(TblProd[[#This Row],[Bank Ore]]/(1 + tech_2_2*Techs!Y114),0)=0,"Ok","Nope")))))</f>
        <v/>
      </c>
      <c r="BI114" s="94">
        <f ca="1">TblProd[[#This Row],[Platinum]]</f>
        <v>210271</v>
      </c>
      <c r="BJ114" s="94">
        <f ca="1">TblProd[[#This Row],[Food]]</f>
        <v>160200</v>
      </c>
      <c r="BK114" s="94">
        <f ca="1">TblProd[[#This Row],[Lumber]]</f>
        <v>71860</v>
      </c>
      <c r="BL114" s="94">
        <f ca="1">TblProd[[#This Row],[Mana]]</f>
        <v>0</v>
      </c>
      <c r="BM114" s="94">
        <f ca="1">TblProd[[#This Row],[Ore]]</f>
        <v>0</v>
      </c>
    </row>
    <row r="115" spans="1:65" x14ac:dyDescent="0.2">
      <c r="A115" s="137">
        <f t="shared" si="1"/>
        <v>76</v>
      </c>
      <c r="B115" s="152">
        <f ca="1">TblImps[[#This Row],[Time]]</f>
        <v>46051.624999999731</v>
      </c>
      <c r="C115" s="153"/>
      <c r="D115" s="154"/>
      <c r="E115" s="94">
        <f ca="1">TblConstr[[#This Row],[Land]]</f>
        <v>110</v>
      </c>
      <c r="F115" s="94">
        <f ca="1">TblPop[[#This Row],[Peasants]]</f>
        <v>329</v>
      </c>
      <c r="G115" s="94">
        <f ca="1">TblMili[[#This Row],[Networth (2)]]</f>
        <v>2450</v>
      </c>
      <c r="H115" s="94">
        <f ca="1">OFFSET(TblProd[[#This Row],[Platinum]],-1,0)+OFFSET(TblProd[[#This Row],[Plat/hr]],-1,0) - TblProd[[#This Row],[Expenses Platinum]] + IF(TblProd[[#This Row],[Plat Bonus]],TblPop[[#This Row],[Peasants]]*4) + SUM(TblConstr[[#This Row],[Dest Hom]:[Dest Doc]])*TblConstr[[#This Row],[CPA Platinum -DB]]*tech_3_3_2*TblTech[[#This Row],[3-3]]</f>
        <v>211167</v>
      </c>
      <c r="I115" s="94">
        <f ca="1">OFFSET(TblProd[[#This Row],[Food]],-1,0)+OFFSET(TblProd[[#This Row],[Food/hr]],-1,0)+ROUNDUP((TblConstr[[#This Row],[Farms]]*80+TblConstr[[#This Row],[Docks]]*35)*(1+OFFSET(TblProd[[#This Row],[Bonus Food/hr]],-1,0)),0)</f>
        <v>160909</v>
      </c>
      <c r="J115" s="94">
        <f ca="1">OFFSET(TblProd[[#This Row],[Lumber]],-1,0)+OFFSET(TblProd[[#This Row],[Lumber/hr]],-1,0) - TblProd[[#This Row],[Expenses Lumber]] + SUM(TblConstr[[#This Row],[Dest Hom]:[Dest Doc]])*TblConstr[[#This Row],[CPA Lumber -DB]]*tech_3_3_2*TblTech[[#This Row],[3-3]]</f>
        <v>72141</v>
      </c>
      <c r="K115" s="94">
        <f ca="1">OFFSET(TblProd[[#This Row],[Mana]],-1,0)+OFFSET(TblProd[[#This Row],[Mana/hr]],-1,0)- TblProd[[#This Row],[Expenses Mana]]</f>
        <v>0</v>
      </c>
      <c r="L115" s="94">
        <f ca="1">OFFSET(TblProd[[#This Row],[Ore]],-1,0)+OFFSET(TblProd[[#This Row],[Ore/hr]],-1,0) -TblProd[[#This Row],[Expenses Ore]]</f>
        <v>0</v>
      </c>
      <c r="M115" s="94">
        <f ca="1">OFFSET(TblProd[[#This Row],[Gems]],-1,0)+OFFSET(TblProd[[#This Row],[Gems/hr]],-1,0) - TblProd[[#This Row],[Expenses Gems]]</f>
        <v>0</v>
      </c>
      <c r="N115" s="94">
        <f ca="1">OFFSET(TblProd[[#This Row],[Boats]],-1,0)+OFFSET(TblProd[[#This Row],[Boats/hr]],-1,0)</f>
        <v>0</v>
      </c>
      <c r="O115" s="94">
        <f ca="1">OFFSET(TblProd[[#This Row],[Prestige]],-1,0)</f>
        <v>250</v>
      </c>
      <c r="P11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5" s="94">
        <f ca="1">MAX(_xlfn.CEILING.MATH(TblProd[[#This Row],[Land]]*2.5+IFERROR(OFFSET(TblTech[[#This Row],[Sum of tech]],-1,0)*50,0)),3750)</f>
        <v>3750</v>
      </c>
      <c r="R115" s="142"/>
      <c r="S115" s="94">
        <f ca="1">ROUNDDOWN(TblProd[[#This Row],[Raw Plat/hr]]*(1+TblProd[[#This Row],[Bonus Plat/hr]]),0)</f>
        <v>888</v>
      </c>
      <c r="T115" s="94">
        <f ca="1">ROUND(TblProd[[#This Row],[Raw Food/hr]]*(1+TblProd[[#This Row],[Bonus Food/hr]])-TblProd[[#This Row],[Food decay]]-TblProd[[#This Row],[Food eaten]],0)</f>
        <v>702</v>
      </c>
      <c r="U115" s="94">
        <f ca="1">ROUND(TblProd[[#This Row],[Raw Lumber/hr]]*(1+TblProd[[#This Row],[Bonus Lumber/hr]])-TblProd[[#This Row],[Lumber rot]],0)</f>
        <v>279</v>
      </c>
      <c r="V115" s="94">
        <f ca="1">ROUND(TblProd[[#This Row],[Raw Mana/hr]]*(1+TblProd[[#This Row],[Bonus Mana/hr]])-TblProd[[#This Row],[Mana drain]],0)</f>
        <v>0</v>
      </c>
      <c r="W115" s="94">
        <f ca="1">ROUNDDOWN(TblProd[[#This Row],[Raw Ore/hr]]*(1+TblProd[[#This Row],[Bonux Ore/hr]]),0)</f>
        <v>0</v>
      </c>
      <c r="X115" s="94">
        <f ca="1">ROUNDDOWN(TblProd[[#This Row],[Raw Gems/hr]]*(1+TblProd[[#This Row],[Bonus Gems/hr]]),0)</f>
        <v>0</v>
      </c>
      <c r="Y115" s="155">
        <f ca="1">OFFSET(TblConstr[[#This Row],[Tot Doc]],1,0)*dock_boats_hr * (1 + tech_4_1*TblTech[[#This Row],[4-1]])</f>
        <v>0</v>
      </c>
      <c r="Z115" s="154"/>
      <c r="AA115" s="94">
        <f ca="1">TblPop[[#This Row],[Peasants]]*tax*TblPop[[#This Row],[Employment]] + (Construction!AZ116+Construction!BX116)*(alch_plat+(Magic!AN115&gt;0)*alchemist_flame_bonus)</f>
        <v>888.30000000000007</v>
      </c>
      <c r="AB115" s="94">
        <f ca="1">TblConstr[[#This Row],[Tot Farm]]*farm_food + TblConstr[[#This Row],[Tot Doc]]*dock_food</f>
        <v>2400</v>
      </c>
      <c r="AC115" s="94">
        <f ca="1">TblConstr[[#This Row],[Tot Ly]]*ly_lumber + TblConstr[[#This Row],[Tot Hav]]*fh_lumber + IF(race="Wood Elf",TblMili[[#This Row],[Unit 2]]*MIN(TblMili[[#This Row],[Homeland%]]/wisp_bonus,wisp_cap),0)</f>
        <v>1000</v>
      </c>
      <c r="AD115" s="94">
        <f ca="1">OFFSET(TblConstr[[#This Row],[Tot Tow]],1,0)*(tower_mana + tech_4_5*TblTech[[#This Row],[4-5]]) + OFFSET(TblConstr[[#This Row],[Tot WG]],1,0)*wg_mana_prod</f>
        <v>0</v>
      </c>
      <c r="AE115" s="94">
        <f ca="1">OFFSET(TblConstr[[#This Row],[Tot OM]],1,0)*om_ore+IF(race="Dwarf",TblMili[[#This Row],[Unit 2]]*0.5,0)</f>
        <v>0</v>
      </c>
      <c r="AF115" s="94">
        <f ca="1">OFFSET(TblConstr[[#This Row],[Tot DM]],1,0)*dm_gems</f>
        <v>0</v>
      </c>
      <c r="AG115" s="142"/>
      <c r="AH115" s="156">
        <f ca="1">MIN(race_platinum_bonus + IF(TblMagic[[#This Row],[Active Alch Frost]]&gt;0,alch_frost_bonus,IF(Magic!AE115&gt;0,midas_bonus)) + TblImps[[#This Row],[Science]] - TblProd[[#This Row],[Guard]]*(0.02 + tech_5_7*TblTech[[#This Row],[5-7]]) + tech_1_5*TblTech[[#This Row],[1-5]] + tech_4_4*TblTech[[#This Row],[4-4]] + IF(TblMagic[[#This Row],[Active Infernal Command]]&gt;0,demonic_pact_plat,0), 0.5)</f>
        <v>0</v>
      </c>
      <c r="AI11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5" s="156">
        <f ca="1">race_lumber_bonus+ IF(TblMagic[[#This Row],[Active Gaia''s Blessing]]&gt;0,gaias_blessing_lumber)+ tech_1_3*TblTech[[#This Row],[1-3]] + tech_1_6*TblTech[[#This Row],[1-6]] + tech_3_3*TblTech[[#This Row],[3-3]]</f>
        <v>0</v>
      </c>
      <c r="AK115" s="156">
        <f ca="1">race_mana_bonus+ 0 + TblImps[[#This Row],[Spires]] + tech_1_2*TblTech[[#This Row],[1-2]] + tech_3_4*TblTech[[#This Row],[3-4]]</f>
        <v>0</v>
      </c>
      <c r="AL115" s="156">
        <f ca="1">race_ore_bonus + IF(TblMagic[[#This Row],[Active Miner''s Sight]]&gt;0,miners_sight_bonus,IF(TblMagic[[#This Row],[Active Mining Strength]]&gt;0,mining_strength_bonus)) +  tech_1_6*TblTech[[#This Row],[1-6]]</f>
        <v>0</v>
      </c>
      <c r="AM115" s="156">
        <f>race_gem_bonus+ tech_3_2*TblTech[[#This Row],[3-2]] + tech_4_3*TblTech[[#This Row],[4-3]] + tech_6_2*TblTech[[#This Row],[6-2]]</f>
        <v>0</v>
      </c>
      <c r="AN115" s="142"/>
      <c r="AO115" s="94">
        <f ca="1">TblProd[[#This Row],[Food]]*food_decay * (1 + tech_2_1*TblTech[[#This Row],[2-1]] + tech_2_8*TblTech[[#This Row],[2-8]] + IF(AND(TblMagic[[#This Row],[Active DnD]]&lt;12,TblMagic[[#This Row],[Active DnD]]&gt;5),1,0))</f>
        <v>1609.0900000000001</v>
      </c>
      <c r="AP115" s="94">
        <f ca="1">(1+race_food_consumption)*TblPop[[#This Row],[Total]]*food_per_person*(1+tech_1_10*TblTech[[#This Row],[1-10]]+tech_7_5*TblTech[[#This Row],[7-5]] + IF(TblMagic[[#This Row],[Active Infernal Command]]&gt;0,demonic_pact_food_cons,0))</f>
        <v>269</v>
      </c>
      <c r="AQ115" s="94">
        <f ca="1">TblProd[[#This Row],[Lumber]]*lumber_rot * (1 + tech_2_1*TblTech[[#This Row],[2-1]] + tech_2_8*TblTech[[#This Row],[2-8]] + tech_5_2*TblTech[[#This Row],[5-2]] + IF(AND(TblMagic[[#This Row],[Active DnD]]&lt;12,TblMagic[[#This Row],[Active DnD]]&gt;5),1,0))</f>
        <v>721.41</v>
      </c>
      <c r="AR115" s="94">
        <f ca="1">TblProd[[#This Row],[Mana]]*mana_drain * (1 + tech_2_1*TblTech[[#This Row],[2-1]] + tech_2_8*TblTech[[#This Row],[2-8]])</f>
        <v>0</v>
      </c>
      <c r="AS115" s="154"/>
      <c r="AT115" s="94">
        <f ca="1">TblExplore[[#This Row],[Platinum (2)]]+TblConstr[[#This Row],[Total Plat Cost]]+TblMili[[#This Row],[Plat Cost]]+TblRezone[[#This Row],[Platinum cost]]+TblImps[[#This Row],[P1]]-TblProd[[#This Row],[Bank Plat]]</f>
        <v>0</v>
      </c>
      <c r="AU115" s="94">
        <f ca="1">TblConstr[[#This Row],[Total Lum Cost]]+TblImps[[#This Row],[L1]]-TblProd[[#This Row],[Bank Lumber]] + Military!$CO$25*TblMili[[#This Row],[Sec. rec. Cost]]</f>
        <v>0</v>
      </c>
      <c r="AV115" s="94">
        <f ca="1">TblMagic[[#This Row],[Mana cost]] + Military!$CO$26*TblMili[[#This Row],[Sec. rec. Cost]]</f>
        <v>0</v>
      </c>
      <c r="AW115" s="94">
        <f ca="1">Military!$CO$24*TblMili[[#This Row],[Sec. rec. Cost]]+TblImps[[#This Row],[O1]]-TblProd[[#This Row],[Bank Ore]]</f>
        <v>0</v>
      </c>
      <c r="AX115" s="94">
        <f>TblImps[[#This Row],[G1]]-TblProd[[#This Row],[Bank Gems]]</f>
        <v>0</v>
      </c>
      <c r="AY115" s="142"/>
      <c r="AZ115" s="61" t="b">
        <f ca="1">IF(TblProd[[#This Row],[Set Guard]]&lt;&gt;"",TblProd[[#This Row],[Set Guard]],OFFSET(TblProd[[#This Row],[Guard]],-1,0))</f>
        <v>0</v>
      </c>
      <c r="BA115" s="153"/>
      <c r="BB115" s="45">
        <f>TblProd[[#This Row],[Hour]]</f>
        <v>76</v>
      </c>
      <c r="BC115" s="158">
        <f>-TblProd[[#This Row],[Bank Lumber]] / 2 + -TblProd[[#This Row],[Bank Gems]] * 2 + -TblProd[[#This Row],[Bank Ore]] / 2</f>
        <v>0</v>
      </c>
      <c r="BD115" s="158"/>
      <c r="BE115" s="158"/>
      <c r="BF115" s="158"/>
      <c r="BG115" s="159">
        <f ca="1">TblProd[[#This Row],[Time]]</f>
        <v>46051.624999999731</v>
      </c>
      <c r="BH115" s="45" t="str">
        <f>IF(AND(TblProd[[#This Row],[Bank Plat]]=0,TblProd[[#This Row],[Bank Lumber]]=0,TblProd[[#This Row],[Bank Ore]]=0,TblProd[[#This Row],[Bank Gems]]=0),"",IF(TblProd[[#This Row],[Bank Plat]]&gt;0,IF((TblProd[[#This Row],[Bank Lumber]]+TblProd[[#This Row],[Bank Ore]])/2+TblProd[[#This Row],[Bank Gems]]*2+ROUNDUP(TblProd[[#This Row],[Bank Plat]]/(1 + tech_2_2*Techs!Y115),0)=0,"Ok","Nope"),IF(TblProd[[#This Row],[Bank Lumber]]&gt;0,IF((TblProd[[#This Row],[Bank Plat]]+TblProd[[#This Row],[Bank Ore]])/2+TblProd[[#This Row],[Bank Gems]]*2+ROUNDUP(TblProd[[#This Row],[Bank Lumber]]/(1 + tech_2_2*Techs!Y115),0)=0,"Ok","Nope"),IF(TblProd[[#This Row],[Bank Ore]]&gt;0,IF((TblProd[[#This Row],[Bank Plat]]+TblProd[[#This Row],[Bank Lumber]])/2+TblProd[[#This Row],[Bank Gems]]*2+ROUNDUP(TblProd[[#This Row],[Bank Ore]]/(1 + tech_2_2*Techs!Y115),0)=0,"Ok","Nope")))))</f>
        <v/>
      </c>
      <c r="BI115" s="94">
        <f ca="1">TblProd[[#This Row],[Platinum]]</f>
        <v>211167</v>
      </c>
      <c r="BJ115" s="94">
        <f ca="1">TblProd[[#This Row],[Food]]</f>
        <v>160909</v>
      </c>
      <c r="BK115" s="94">
        <f ca="1">TblProd[[#This Row],[Lumber]]</f>
        <v>72141</v>
      </c>
      <c r="BL115" s="94">
        <f ca="1">TblProd[[#This Row],[Mana]]</f>
        <v>0</v>
      </c>
      <c r="BM115" s="94">
        <f ca="1">TblProd[[#This Row],[Ore]]</f>
        <v>0</v>
      </c>
    </row>
    <row r="116" spans="1:65" x14ac:dyDescent="0.2">
      <c r="A116" s="137">
        <f t="shared" si="1"/>
        <v>77</v>
      </c>
      <c r="B116" s="152">
        <f ca="1">TblImps[[#This Row],[Time]]</f>
        <v>46051.666666666395</v>
      </c>
      <c r="C116" s="153"/>
      <c r="D116" s="154"/>
      <c r="E116" s="94">
        <f ca="1">TblConstr[[#This Row],[Land]]</f>
        <v>110</v>
      </c>
      <c r="F116" s="94">
        <f ca="1">TblPop[[#This Row],[Peasants]]</f>
        <v>326</v>
      </c>
      <c r="G116" s="94">
        <f ca="1">TblMili[[#This Row],[Networth (2)]]</f>
        <v>2450</v>
      </c>
      <c r="H116" s="94">
        <f ca="1">OFFSET(TblProd[[#This Row],[Platinum]],-1,0)+OFFSET(TblProd[[#This Row],[Plat/hr]],-1,0) - TblProd[[#This Row],[Expenses Platinum]] + IF(TblProd[[#This Row],[Plat Bonus]],TblPop[[#This Row],[Peasants]]*4) + SUM(TblConstr[[#This Row],[Dest Hom]:[Dest Doc]])*TblConstr[[#This Row],[CPA Platinum -DB]]*tech_3_3_2*TblTech[[#This Row],[3-3]]</f>
        <v>212055</v>
      </c>
      <c r="I116" s="94">
        <f ca="1">OFFSET(TblProd[[#This Row],[Food]],-1,0)+OFFSET(TblProd[[#This Row],[Food/hr]],-1,0)+ROUNDUP((TblConstr[[#This Row],[Farms]]*80+TblConstr[[#This Row],[Docks]]*35)*(1+OFFSET(TblProd[[#This Row],[Bonus Food/hr]],-1,0)),0)</f>
        <v>161611</v>
      </c>
      <c r="J116" s="94">
        <f ca="1">OFFSET(TblProd[[#This Row],[Lumber]],-1,0)+OFFSET(TblProd[[#This Row],[Lumber/hr]],-1,0) - TblProd[[#This Row],[Expenses Lumber]] + SUM(TblConstr[[#This Row],[Dest Hom]:[Dest Doc]])*TblConstr[[#This Row],[CPA Lumber -DB]]*tech_3_3_2*TblTech[[#This Row],[3-3]]</f>
        <v>72420</v>
      </c>
      <c r="K116" s="94">
        <f ca="1">OFFSET(TblProd[[#This Row],[Mana]],-1,0)+OFFSET(TblProd[[#This Row],[Mana/hr]],-1,0)- TblProd[[#This Row],[Expenses Mana]]</f>
        <v>0</v>
      </c>
      <c r="L116" s="94">
        <f ca="1">OFFSET(TblProd[[#This Row],[Ore]],-1,0)+OFFSET(TblProd[[#This Row],[Ore/hr]],-1,0) -TblProd[[#This Row],[Expenses Ore]]</f>
        <v>0</v>
      </c>
      <c r="M116" s="94">
        <f ca="1">OFFSET(TblProd[[#This Row],[Gems]],-1,0)+OFFSET(TblProd[[#This Row],[Gems/hr]],-1,0) - TblProd[[#This Row],[Expenses Gems]]</f>
        <v>0</v>
      </c>
      <c r="N116" s="94">
        <f ca="1">OFFSET(TblProd[[#This Row],[Boats]],-1,0)+OFFSET(TblProd[[#This Row],[Boats/hr]],-1,0)</f>
        <v>0</v>
      </c>
      <c r="O116" s="94">
        <f ca="1">OFFSET(TblProd[[#This Row],[Prestige]],-1,0)</f>
        <v>250</v>
      </c>
      <c r="P11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6" s="94">
        <f ca="1">MAX(_xlfn.CEILING.MATH(TblProd[[#This Row],[Land]]*2.5+IFERROR(OFFSET(TblTech[[#This Row],[Sum of tech]],-1,0)*50,0)),3750)</f>
        <v>3750</v>
      </c>
      <c r="R116" s="142"/>
      <c r="S116" s="94">
        <f ca="1">ROUNDDOWN(TblProd[[#This Row],[Raw Plat/hr]]*(1+TblProd[[#This Row],[Bonus Plat/hr]]),0)</f>
        <v>880</v>
      </c>
      <c r="T116" s="94">
        <f ca="1">ROUND(TblProd[[#This Row],[Raw Food/hr]]*(1+TblProd[[#This Row],[Bonus Food/hr]])-TblProd[[#This Row],[Food decay]]-TblProd[[#This Row],[Food eaten]],0)</f>
        <v>695</v>
      </c>
      <c r="U116" s="94">
        <f ca="1">ROUND(TblProd[[#This Row],[Raw Lumber/hr]]*(1+TblProd[[#This Row],[Bonus Lumber/hr]])-TblProd[[#This Row],[Lumber rot]],0)</f>
        <v>276</v>
      </c>
      <c r="V116" s="94">
        <f ca="1">ROUND(TblProd[[#This Row],[Raw Mana/hr]]*(1+TblProd[[#This Row],[Bonus Mana/hr]])-TblProd[[#This Row],[Mana drain]],0)</f>
        <v>0</v>
      </c>
      <c r="W116" s="94">
        <f ca="1">ROUNDDOWN(TblProd[[#This Row],[Raw Ore/hr]]*(1+TblProd[[#This Row],[Bonux Ore/hr]]),0)</f>
        <v>0</v>
      </c>
      <c r="X116" s="94">
        <f ca="1">ROUNDDOWN(TblProd[[#This Row],[Raw Gems/hr]]*(1+TblProd[[#This Row],[Bonus Gems/hr]]),0)</f>
        <v>0</v>
      </c>
      <c r="Y116" s="155">
        <f ca="1">OFFSET(TblConstr[[#This Row],[Tot Doc]],1,0)*dock_boats_hr * (1 + tech_4_1*TblTech[[#This Row],[4-1]])</f>
        <v>0</v>
      </c>
      <c r="Z116" s="154"/>
      <c r="AA116" s="94">
        <f ca="1">TblPop[[#This Row],[Peasants]]*tax*TblPop[[#This Row],[Employment]] + (Construction!AZ117+Construction!BX117)*(alch_plat+(Magic!AN116&gt;0)*alchemist_flame_bonus)</f>
        <v>880.2</v>
      </c>
      <c r="AB116" s="94">
        <f ca="1">TblConstr[[#This Row],[Tot Farm]]*farm_food + TblConstr[[#This Row],[Tot Doc]]*dock_food</f>
        <v>2400</v>
      </c>
      <c r="AC116" s="94">
        <f ca="1">TblConstr[[#This Row],[Tot Ly]]*ly_lumber + TblConstr[[#This Row],[Tot Hav]]*fh_lumber + IF(race="Wood Elf",TblMili[[#This Row],[Unit 2]]*MIN(TblMili[[#This Row],[Homeland%]]/wisp_bonus,wisp_cap),0)</f>
        <v>1000</v>
      </c>
      <c r="AD116" s="94">
        <f ca="1">OFFSET(TblConstr[[#This Row],[Tot Tow]],1,0)*(tower_mana + tech_4_5*TblTech[[#This Row],[4-5]]) + OFFSET(TblConstr[[#This Row],[Tot WG]],1,0)*wg_mana_prod</f>
        <v>0</v>
      </c>
      <c r="AE116" s="94">
        <f ca="1">OFFSET(TblConstr[[#This Row],[Tot OM]],1,0)*om_ore+IF(race="Dwarf",TblMili[[#This Row],[Unit 2]]*0.5,0)</f>
        <v>0</v>
      </c>
      <c r="AF116" s="94">
        <f ca="1">OFFSET(TblConstr[[#This Row],[Tot DM]],1,0)*dm_gems</f>
        <v>0</v>
      </c>
      <c r="AG116" s="142"/>
      <c r="AH116" s="156">
        <f ca="1">MIN(race_platinum_bonus + IF(TblMagic[[#This Row],[Active Alch Frost]]&gt;0,alch_frost_bonus,IF(Magic!AE116&gt;0,midas_bonus)) + TblImps[[#This Row],[Science]] - TblProd[[#This Row],[Guard]]*(0.02 + tech_5_7*TblTech[[#This Row],[5-7]]) + tech_1_5*TblTech[[#This Row],[1-5]] + tech_4_4*TblTech[[#This Row],[4-4]] + IF(TblMagic[[#This Row],[Active Infernal Command]]&gt;0,demonic_pact_plat,0), 0.5)</f>
        <v>0</v>
      </c>
      <c r="AI11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6" s="156">
        <f ca="1">race_lumber_bonus+ IF(TblMagic[[#This Row],[Active Gaia''s Blessing]]&gt;0,gaias_blessing_lumber)+ tech_1_3*TblTech[[#This Row],[1-3]] + tech_1_6*TblTech[[#This Row],[1-6]] + tech_3_3*TblTech[[#This Row],[3-3]]</f>
        <v>0</v>
      </c>
      <c r="AK116" s="156">
        <f ca="1">race_mana_bonus+ 0 + TblImps[[#This Row],[Spires]] + tech_1_2*TblTech[[#This Row],[1-2]] + tech_3_4*TblTech[[#This Row],[3-4]]</f>
        <v>0</v>
      </c>
      <c r="AL116" s="156">
        <f ca="1">race_ore_bonus + IF(TblMagic[[#This Row],[Active Miner''s Sight]]&gt;0,miners_sight_bonus,IF(TblMagic[[#This Row],[Active Mining Strength]]&gt;0,mining_strength_bonus)) +  tech_1_6*TblTech[[#This Row],[1-6]]</f>
        <v>0</v>
      </c>
      <c r="AM116" s="156">
        <f>race_gem_bonus+ tech_3_2*TblTech[[#This Row],[3-2]] + tech_4_3*TblTech[[#This Row],[4-3]] + tech_6_2*TblTech[[#This Row],[6-2]]</f>
        <v>0</v>
      </c>
      <c r="AN116" s="142"/>
      <c r="AO116" s="94">
        <f ca="1">TblProd[[#This Row],[Food]]*food_decay * (1 + tech_2_1*TblTech[[#This Row],[2-1]] + tech_2_8*TblTech[[#This Row],[2-8]] + IF(AND(TblMagic[[#This Row],[Active DnD]]&lt;12,TblMagic[[#This Row],[Active DnD]]&gt;5),1,0))</f>
        <v>1616.1100000000001</v>
      </c>
      <c r="AP116" s="94">
        <f ca="1">(1+race_food_consumption)*TblPop[[#This Row],[Total]]*food_per_person*(1+tech_1_10*TblTech[[#This Row],[1-10]]+tech_7_5*TblTech[[#This Row],[7-5]] + IF(TblMagic[[#This Row],[Active Infernal Command]]&gt;0,demonic_pact_food_cons,0))</f>
        <v>269</v>
      </c>
      <c r="AQ116" s="94">
        <f ca="1">TblProd[[#This Row],[Lumber]]*lumber_rot * (1 + tech_2_1*TblTech[[#This Row],[2-1]] + tech_2_8*TblTech[[#This Row],[2-8]] + tech_5_2*TblTech[[#This Row],[5-2]] + IF(AND(TblMagic[[#This Row],[Active DnD]]&lt;12,TblMagic[[#This Row],[Active DnD]]&gt;5),1,0))</f>
        <v>724.2</v>
      </c>
      <c r="AR116" s="94">
        <f ca="1">TblProd[[#This Row],[Mana]]*mana_drain * (1 + tech_2_1*TblTech[[#This Row],[2-1]] + tech_2_8*TblTech[[#This Row],[2-8]])</f>
        <v>0</v>
      </c>
      <c r="AS116" s="154"/>
      <c r="AT116" s="94">
        <f ca="1">TblExplore[[#This Row],[Platinum (2)]]+TblConstr[[#This Row],[Total Plat Cost]]+TblMili[[#This Row],[Plat Cost]]+TblRezone[[#This Row],[Platinum cost]]+TblImps[[#This Row],[P1]]-TblProd[[#This Row],[Bank Plat]]</f>
        <v>0</v>
      </c>
      <c r="AU116" s="94">
        <f ca="1">TblConstr[[#This Row],[Total Lum Cost]]+TblImps[[#This Row],[L1]]-TblProd[[#This Row],[Bank Lumber]] + Military!$CO$25*TblMili[[#This Row],[Sec. rec. Cost]]</f>
        <v>0</v>
      </c>
      <c r="AV116" s="94">
        <f ca="1">TblMagic[[#This Row],[Mana cost]] + Military!$CO$26*TblMili[[#This Row],[Sec. rec. Cost]]</f>
        <v>0</v>
      </c>
      <c r="AW116" s="94">
        <f ca="1">Military!$CO$24*TblMili[[#This Row],[Sec. rec. Cost]]+TblImps[[#This Row],[O1]]-TblProd[[#This Row],[Bank Ore]]</f>
        <v>0</v>
      </c>
      <c r="AX116" s="94">
        <f>TblImps[[#This Row],[G1]]-TblProd[[#This Row],[Bank Gems]]</f>
        <v>0</v>
      </c>
      <c r="AY116" s="142"/>
      <c r="AZ116" s="61" t="b">
        <f ca="1">IF(TblProd[[#This Row],[Set Guard]]&lt;&gt;"",TblProd[[#This Row],[Set Guard]],OFFSET(TblProd[[#This Row],[Guard]],-1,0))</f>
        <v>0</v>
      </c>
      <c r="BA116" s="153"/>
      <c r="BB116" s="45">
        <f>TblProd[[#This Row],[Hour]]</f>
        <v>77</v>
      </c>
      <c r="BC116" s="158">
        <f>-TblProd[[#This Row],[Bank Lumber]] / 2 + -TblProd[[#This Row],[Bank Gems]] * 2 + -TblProd[[#This Row],[Bank Ore]] / 2</f>
        <v>0</v>
      </c>
      <c r="BD116" s="158"/>
      <c r="BE116" s="158"/>
      <c r="BF116" s="158"/>
      <c r="BG116" s="159">
        <f ca="1">TblProd[[#This Row],[Time]]</f>
        <v>46051.666666666395</v>
      </c>
      <c r="BH116" s="45" t="str">
        <f>IF(AND(TblProd[[#This Row],[Bank Plat]]=0,TblProd[[#This Row],[Bank Lumber]]=0,TblProd[[#This Row],[Bank Ore]]=0,TblProd[[#This Row],[Bank Gems]]=0),"",IF(TblProd[[#This Row],[Bank Plat]]&gt;0,IF((TblProd[[#This Row],[Bank Lumber]]+TblProd[[#This Row],[Bank Ore]])/2+TblProd[[#This Row],[Bank Gems]]*2+ROUNDUP(TblProd[[#This Row],[Bank Plat]]/(1 + tech_2_2*Techs!Y116),0)=0,"Ok","Nope"),IF(TblProd[[#This Row],[Bank Lumber]]&gt;0,IF((TblProd[[#This Row],[Bank Plat]]+TblProd[[#This Row],[Bank Ore]])/2+TblProd[[#This Row],[Bank Gems]]*2+ROUNDUP(TblProd[[#This Row],[Bank Lumber]]/(1 + tech_2_2*Techs!Y116),0)=0,"Ok","Nope"),IF(TblProd[[#This Row],[Bank Ore]]&gt;0,IF((TblProd[[#This Row],[Bank Plat]]+TblProd[[#This Row],[Bank Lumber]])/2+TblProd[[#This Row],[Bank Gems]]*2+ROUNDUP(TblProd[[#This Row],[Bank Ore]]/(1 + tech_2_2*Techs!Y116),0)=0,"Ok","Nope")))))</f>
        <v/>
      </c>
      <c r="BI116" s="94">
        <f ca="1">TblProd[[#This Row],[Platinum]]</f>
        <v>212055</v>
      </c>
      <c r="BJ116" s="94">
        <f ca="1">TblProd[[#This Row],[Food]]</f>
        <v>161611</v>
      </c>
      <c r="BK116" s="94">
        <f ca="1">TblProd[[#This Row],[Lumber]]</f>
        <v>72420</v>
      </c>
      <c r="BL116" s="94">
        <f ca="1">TblProd[[#This Row],[Mana]]</f>
        <v>0</v>
      </c>
      <c r="BM116" s="94">
        <f ca="1">TblProd[[#This Row],[Ore]]</f>
        <v>0</v>
      </c>
    </row>
    <row r="117" spans="1:65" x14ac:dyDescent="0.2">
      <c r="A117" s="137">
        <f t="shared" si="1"/>
        <v>78</v>
      </c>
      <c r="B117" s="152">
        <f ca="1">TblImps[[#This Row],[Time]]</f>
        <v>46051.708333333059</v>
      </c>
      <c r="C117" s="153"/>
      <c r="D117" s="154"/>
      <c r="E117" s="94">
        <f ca="1">TblConstr[[#This Row],[Land]]</f>
        <v>110</v>
      </c>
      <c r="F117" s="94">
        <f ca="1">TblPop[[#This Row],[Peasants]]</f>
        <v>323</v>
      </c>
      <c r="G117" s="94">
        <f ca="1">TblMili[[#This Row],[Networth (2)]]</f>
        <v>2450</v>
      </c>
      <c r="H117" s="94">
        <f ca="1">OFFSET(TblProd[[#This Row],[Platinum]],-1,0)+OFFSET(TblProd[[#This Row],[Plat/hr]],-1,0) - TblProd[[#This Row],[Expenses Platinum]] + IF(TblProd[[#This Row],[Plat Bonus]],TblPop[[#This Row],[Peasants]]*4) + SUM(TblConstr[[#This Row],[Dest Hom]:[Dest Doc]])*TblConstr[[#This Row],[CPA Platinum -DB]]*tech_3_3_2*TblTech[[#This Row],[3-3]]</f>
        <v>212935</v>
      </c>
      <c r="I117" s="94">
        <f ca="1">OFFSET(TblProd[[#This Row],[Food]],-1,0)+OFFSET(TblProd[[#This Row],[Food/hr]],-1,0)+ROUNDUP((TblConstr[[#This Row],[Farms]]*80+TblConstr[[#This Row],[Docks]]*35)*(1+OFFSET(TblProd[[#This Row],[Bonus Food/hr]],-1,0)),0)</f>
        <v>162306</v>
      </c>
      <c r="J117" s="94">
        <f ca="1">OFFSET(TblProd[[#This Row],[Lumber]],-1,0)+OFFSET(TblProd[[#This Row],[Lumber/hr]],-1,0) - TblProd[[#This Row],[Expenses Lumber]] + SUM(TblConstr[[#This Row],[Dest Hom]:[Dest Doc]])*TblConstr[[#This Row],[CPA Lumber -DB]]*tech_3_3_2*TblTech[[#This Row],[3-3]]</f>
        <v>72696</v>
      </c>
      <c r="K117" s="94">
        <f ca="1">OFFSET(TblProd[[#This Row],[Mana]],-1,0)+OFFSET(TblProd[[#This Row],[Mana/hr]],-1,0)- TblProd[[#This Row],[Expenses Mana]]</f>
        <v>0</v>
      </c>
      <c r="L117" s="94">
        <f ca="1">OFFSET(TblProd[[#This Row],[Ore]],-1,0)+OFFSET(TblProd[[#This Row],[Ore/hr]],-1,0) -TblProd[[#This Row],[Expenses Ore]]</f>
        <v>0</v>
      </c>
      <c r="M117" s="94">
        <f ca="1">OFFSET(TblProd[[#This Row],[Gems]],-1,0)+OFFSET(TblProd[[#This Row],[Gems/hr]],-1,0) - TblProd[[#This Row],[Expenses Gems]]</f>
        <v>0</v>
      </c>
      <c r="N117" s="94">
        <f ca="1">OFFSET(TblProd[[#This Row],[Boats]],-1,0)+OFFSET(TblProd[[#This Row],[Boats/hr]],-1,0)</f>
        <v>0</v>
      </c>
      <c r="O117" s="94">
        <f ca="1">OFFSET(TblProd[[#This Row],[Prestige]],-1,0)</f>
        <v>250</v>
      </c>
      <c r="P11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7" s="94">
        <f ca="1">MAX(_xlfn.CEILING.MATH(TblProd[[#This Row],[Land]]*2.5+IFERROR(OFFSET(TblTech[[#This Row],[Sum of tech]],-1,0)*50,0)),3750)</f>
        <v>3750</v>
      </c>
      <c r="R117" s="142"/>
      <c r="S117" s="94">
        <f ca="1">ROUNDDOWN(TblProd[[#This Row],[Raw Plat/hr]]*(1+TblProd[[#This Row],[Bonus Plat/hr]]),0)</f>
        <v>872</v>
      </c>
      <c r="T117" s="94">
        <f ca="1">ROUND(TblProd[[#This Row],[Raw Food/hr]]*(1+TblProd[[#This Row],[Bonus Food/hr]])-TblProd[[#This Row],[Food decay]]-TblProd[[#This Row],[Food eaten]],0)</f>
        <v>688</v>
      </c>
      <c r="U117" s="94">
        <f ca="1">ROUND(TblProd[[#This Row],[Raw Lumber/hr]]*(1+TblProd[[#This Row],[Bonus Lumber/hr]])-TblProd[[#This Row],[Lumber rot]],0)</f>
        <v>273</v>
      </c>
      <c r="V117" s="94">
        <f ca="1">ROUND(TblProd[[#This Row],[Raw Mana/hr]]*(1+TblProd[[#This Row],[Bonus Mana/hr]])-TblProd[[#This Row],[Mana drain]],0)</f>
        <v>0</v>
      </c>
      <c r="W117" s="94">
        <f ca="1">ROUNDDOWN(TblProd[[#This Row],[Raw Ore/hr]]*(1+TblProd[[#This Row],[Bonux Ore/hr]]),0)</f>
        <v>0</v>
      </c>
      <c r="X117" s="94">
        <f ca="1">ROUNDDOWN(TblProd[[#This Row],[Raw Gems/hr]]*(1+TblProd[[#This Row],[Bonus Gems/hr]]),0)</f>
        <v>0</v>
      </c>
      <c r="Y117" s="155">
        <f ca="1">OFFSET(TblConstr[[#This Row],[Tot Doc]],1,0)*dock_boats_hr * (1 + tech_4_1*TblTech[[#This Row],[4-1]])</f>
        <v>0</v>
      </c>
      <c r="Z117" s="154"/>
      <c r="AA117" s="94">
        <f ca="1">TblPop[[#This Row],[Peasants]]*tax*TblPop[[#This Row],[Employment]] + (Construction!AZ118+Construction!BX118)*(alch_plat+(Magic!AN117&gt;0)*alchemist_flame_bonus)</f>
        <v>872.1</v>
      </c>
      <c r="AB117" s="94">
        <f ca="1">TblConstr[[#This Row],[Tot Farm]]*farm_food + TblConstr[[#This Row],[Tot Doc]]*dock_food</f>
        <v>2400</v>
      </c>
      <c r="AC117" s="94">
        <f ca="1">TblConstr[[#This Row],[Tot Ly]]*ly_lumber + TblConstr[[#This Row],[Tot Hav]]*fh_lumber + IF(race="Wood Elf",TblMili[[#This Row],[Unit 2]]*MIN(TblMili[[#This Row],[Homeland%]]/wisp_bonus,wisp_cap),0)</f>
        <v>1000</v>
      </c>
      <c r="AD117" s="94">
        <f ca="1">OFFSET(TblConstr[[#This Row],[Tot Tow]],1,0)*(tower_mana + tech_4_5*TblTech[[#This Row],[4-5]]) + OFFSET(TblConstr[[#This Row],[Tot WG]],1,0)*wg_mana_prod</f>
        <v>0</v>
      </c>
      <c r="AE117" s="94">
        <f ca="1">OFFSET(TblConstr[[#This Row],[Tot OM]],1,0)*om_ore+IF(race="Dwarf",TblMili[[#This Row],[Unit 2]]*0.5,0)</f>
        <v>0</v>
      </c>
      <c r="AF117" s="94">
        <f ca="1">OFFSET(TblConstr[[#This Row],[Tot DM]],1,0)*dm_gems</f>
        <v>0</v>
      </c>
      <c r="AG117" s="142"/>
      <c r="AH117" s="156">
        <f ca="1">MIN(race_platinum_bonus + IF(TblMagic[[#This Row],[Active Alch Frost]]&gt;0,alch_frost_bonus,IF(Magic!AE117&gt;0,midas_bonus)) + TblImps[[#This Row],[Science]] - TblProd[[#This Row],[Guard]]*(0.02 + tech_5_7*TblTech[[#This Row],[5-7]]) + tech_1_5*TblTech[[#This Row],[1-5]] + tech_4_4*TblTech[[#This Row],[4-4]] + IF(TblMagic[[#This Row],[Active Infernal Command]]&gt;0,demonic_pact_plat,0), 0.5)</f>
        <v>0</v>
      </c>
      <c r="AI11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7" s="156">
        <f ca="1">race_lumber_bonus+ IF(TblMagic[[#This Row],[Active Gaia''s Blessing]]&gt;0,gaias_blessing_lumber)+ tech_1_3*TblTech[[#This Row],[1-3]] + tech_1_6*TblTech[[#This Row],[1-6]] + tech_3_3*TblTech[[#This Row],[3-3]]</f>
        <v>0</v>
      </c>
      <c r="AK117" s="156">
        <f ca="1">race_mana_bonus+ 0 + TblImps[[#This Row],[Spires]] + tech_1_2*TblTech[[#This Row],[1-2]] + tech_3_4*TblTech[[#This Row],[3-4]]</f>
        <v>0</v>
      </c>
      <c r="AL117" s="156">
        <f ca="1">race_ore_bonus + IF(TblMagic[[#This Row],[Active Miner''s Sight]]&gt;0,miners_sight_bonus,IF(TblMagic[[#This Row],[Active Mining Strength]]&gt;0,mining_strength_bonus)) +  tech_1_6*TblTech[[#This Row],[1-6]]</f>
        <v>0</v>
      </c>
      <c r="AM117" s="156">
        <f>race_gem_bonus+ tech_3_2*TblTech[[#This Row],[3-2]] + tech_4_3*TblTech[[#This Row],[4-3]] + tech_6_2*TblTech[[#This Row],[6-2]]</f>
        <v>0</v>
      </c>
      <c r="AN117" s="142"/>
      <c r="AO117" s="94">
        <f ca="1">TblProd[[#This Row],[Food]]*food_decay * (1 + tech_2_1*TblTech[[#This Row],[2-1]] + tech_2_8*TblTech[[#This Row],[2-8]] + IF(AND(TblMagic[[#This Row],[Active DnD]]&lt;12,TblMagic[[#This Row],[Active DnD]]&gt;5),1,0))</f>
        <v>1623.06</v>
      </c>
      <c r="AP117" s="94">
        <f ca="1">(1+race_food_consumption)*TblPop[[#This Row],[Total]]*food_per_person*(1+tech_1_10*TblTech[[#This Row],[1-10]]+tech_7_5*TblTech[[#This Row],[7-5]] + IF(TblMagic[[#This Row],[Active Infernal Command]]&gt;0,demonic_pact_food_cons,0))</f>
        <v>269</v>
      </c>
      <c r="AQ117" s="94">
        <f ca="1">TblProd[[#This Row],[Lumber]]*lumber_rot * (1 + tech_2_1*TblTech[[#This Row],[2-1]] + tech_2_8*TblTech[[#This Row],[2-8]] + tech_5_2*TblTech[[#This Row],[5-2]] + IF(AND(TblMagic[[#This Row],[Active DnD]]&lt;12,TblMagic[[#This Row],[Active DnD]]&gt;5),1,0))</f>
        <v>726.96</v>
      </c>
      <c r="AR117" s="94">
        <f ca="1">TblProd[[#This Row],[Mana]]*mana_drain * (1 + tech_2_1*TblTech[[#This Row],[2-1]] + tech_2_8*TblTech[[#This Row],[2-8]])</f>
        <v>0</v>
      </c>
      <c r="AS117" s="154"/>
      <c r="AT117" s="94">
        <f ca="1">TblExplore[[#This Row],[Platinum (2)]]+TblConstr[[#This Row],[Total Plat Cost]]+TblMili[[#This Row],[Plat Cost]]+TblRezone[[#This Row],[Platinum cost]]+TblImps[[#This Row],[P1]]-TblProd[[#This Row],[Bank Plat]]</f>
        <v>0</v>
      </c>
      <c r="AU117" s="94">
        <f ca="1">TblConstr[[#This Row],[Total Lum Cost]]+TblImps[[#This Row],[L1]]-TblProd[[#This Row],[Bank Lumber]] + Military!$CO$25*TblMili[[#This Row],[Sec. rec. Cost]]</f>
        <v>0</v>
      </c>
      <c r="AV117" s="94">
        <f ca="1">TblMagic[[#This Row],[Mana cost]] + Military!$CO$26*TblMili[[#This Row],[Sec. rec. Cost]]</f>
        <v>0</v>
      </c>
      <c r="AW117" s="94">
        <f ca="1">Military!$CO$24*TblMili[[#This Row],[Sec. rec. Cost]]+TblImps[[#This Row],[O1]]-TblProd[[#This Row],[Bank Ore]]</f>
        <v>0</v>
      </c>
      <c r="AX117" s="94">
        <f>TblImps[[#This Row],[G1]]-TblProd[[#This Row],[Bank Gems]]</f>
        <v>0</v>
      </c>
      <c r="AY117" s="142"/>
      <c r="AZ117" s="61" t="b">
        <f ca="1">IF(TblProd[[#This Row],[Set Guard]]&lt;&gt;"",TblProd[[#This Row],[Set Guard]],OFFSET(TblProd[[#This Row],[Guard]],-1,0))</f>
        <v>0</v>
      </c>
      <c r="BA117" s="153"/>
      <c r="BB117" s="45">
        <f>TblProd[[#This Row],[Hour]]</f>
        <v>78</v>
      </c>
      <c r="BC117" s="158">
        <f>-TblProd[[#This Row],[Bank Lumber]] / 2 + -TblProd[[#This Row],[Bank Gems]] * 2 + -TblProd[[#This Row],[Bank Ore]] / 2</f>
        <v>0</v>
      </c>
      <c r="BD117" s="158"/>
      <c r="BE117" s="158"/>
      <c r="BF117" s="158"/>
      <c r="BG117" s="159">
        <f ca="1">TblProd[[#This Row],[Time]]</f>
        <v>46051.708333333059</v>
      </c>
      <c r="BH117" s="45" t="str">
        <f>IF(AND(TblProd[[#This Row],[Bank Plat]]=0,TblProd[[#This Row],[Bank Lumber]]=0,TblProd[[#This Row],[Bank Ore]]=0,TblProd[[#This Row],[Bank Gems]]=0),"",IF(TblProd[[#This Row],[Bank Plat]]&gt;0,IF((TblProd[[#This Row],[Bank Lumber]]+TblProd[[#This Row],[Bank Ore]])/2+TblProd[[#This Row],[Bank Gems]]*2+ROUNDUP(TblProd[[#This Row],[Bank Plat]]/(1 + tech_2_2*Techs!Y117),0)=0,"Ok","Nope"),IF(TblProd[[#This Row],[Bank Lumber]]&gt;0,IF((TblProd[[#This Row],[Bank Plat]]+TblProd[[#This Row],[Bank Ore]])/2+TblProd[[#This Row],[Bank Gems]]*2+ROUNDUP(TblProd[[#This Row],[Bank Lumber]]/(1 + tech_2_2*Techs!Y117),0)=0,"Ok","Nope"),IF(TblProd[[#This Row],[Bank Ore]]&gt;0,IF((TblProd[[#This Row],[Bank Plat]]+TblProd[[#This Row],[Bank Lumber]])/2+TblProd[[#This Row],[Bank Gems]]*2+ROUNDUP(TblProd[[#This Row],[Bank Ore]]/(1 + tech_2_2*Techs!Y117),0)=0,"Ok","Nope")))))</f>
        <v/>
      </c>
      <c r="BI117" s="94">
        <f ca="1">TblProd[[#This Row],[Platinum]]</f>
        <v>212935</v>
      </c>
      <c r="BJ117" s="94">
        <f ca="1">TblProd[[#This Row],[Food]]</f>
        <v>162306</v>
      </c>
      <c r="BK117" s="94">
        <f ca="1">TblProd[[#This Row],[Lumber]]</f>
        <v>72696</v>
      </c>
      <c r="BL117" s="94">
        <f ca="1">TblProd[[#This Row],[Mana]]</f>
        <v>0</v>
      </c>
      <c r="BM117" s="94">
        <f ca="1">TblProd[[#This Row],[Ore]]</f>
        <v>0</v>
      </c>
    </row>
    <row r="118" spans="1:65" x14ac:dyDescent="0.2">
      <c r="A118" s="137">
        <f t="shared" si="1"/>
        <v>79</v>
      </c>
      <c r="B118" s="152">
        <f ca="1">TblImps[[#This Row],[Time]]</f>
        <v>46051.749999999724</v>
      </c>
      <c r="C118" s="153"/>
      <c r="D118" s="154"/>
      <c r="E118" s="94">
        <f ca="1">TblConstr[[#This Row],[Land]]</f>
        <v>110</v>
      </c>
      <c r="F118" s="94">
        <f ca="1">TblPop[[#This Row],[Peasants]]</f>
        <v>320</v>
      </c>
      <c r="G118" s="94">
        <f ca="1">TblMili[[#This Row],[Networth (2)]]</f>
        <v>2450</v>
      </c>
      <c r="H118" s="94">
        <f ca="1">OFFSET(TblProd[[#This Row],[Platinum]],-1,0)+OFFSET(TblProd[[#This Row],[Plat/hr]],-1,0) - TblProd[[#This Row],[Expenses Platinum]] + IF(TblProd[[#This Row],[Plat Bonus]],TblPop[[#This Row],[Peasants]]*4) + SUM(TblConstr[[#This Row],[Dest Hom]:[Dest Doc]])*TblConstr[[#This Row],[CPA Platinum -DB]]*tech_3_3_2*TblTech[[#This Row],[3-3]]</f>
        <v>213807</v>
      </c>
      <c r="I118" s="94">
        <f ca="1">OFFSET(TblProd[[#This Row],[Food]],-1,0)+OFFSET(TblProd[[#This Row],[Food/hr]],-1,0)+ROUNDUP((TblConstr[[#This Row],[Farms]]*80+TblConstr[[#This Row],[Docks]]*35)*(1+OFFSET(TblProd[[#This Row],[Bonus Food/hr]],-1,0)),0)</f>
        <v>162994</v>
      </c>
      <c r="J118" s="94">
        <f ca="1">OFFSET(TblProd[[#This Row],[Lumber]],-1,0)+OFFSET(TblProd[[#This Row],[Lumber/hr]],-1,0) - TblProd[[#This Row],[Expenses Lumber]] + SUM(TblConstr[[#This Row],[Dest Hom]:[Dest Doc]])*TblConstr[[#This Row],[CPA Lumber -DB]]*tech_3_3_2*TblTech[[#This Row],[3-3]]</f>
        <v>72969</v>
      </c>
      <c r="K118" s="94">
        <f ca="1">OFFSET(TblProd[[#This Row],[Mana]],-1,0)+OFFSET(TblProd[[#This Row],[Mana/hr]],-1,0)- TblProd[[#This Row],[Expenses Mana]]</f>
        <v>0</v>
      </c>
      <c r="L118" s="94">
        <f ca="1">OFFSET(TblProd[[#This Row],[Ore]],-1,0)+OFFSET(TblProd[[#This Row],[Ore/hr]],-1,0) -TblProd[[#This Row],[Expenses Ore]]</f>
        <v>0</v>
      </c>
      <c r="M118" s="94">
        <f ca="1">OFFSET(TblProd[[#This Row],[Gems]],-1,0)+OFFSET(TblProd[[#This Row],[Gems/hr]],-1,0) - TblProd[[#This Row],[Expenses Gems]]</f>
        <v>0</v>
      </c>
      <c r="N118" s="94">
        <f ca="1">OFFSET(TblProd[[#This Row],[Boats]],-1,0)+OFFSET(TblProd[[#This Row],[Boats/hr]],-1,0)</f>
        <v>0</v>
      </c>
      <c r="O118" s="94">
        <f ca="1">OFFSET(TblProd[[#This Row],[Prestige]],-1,0)</f>
        <v>250</v>
      </c>
      <c r="P11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8" s="94">
        <f ca="1">MAX(_xlfn.CEILING.MATH(TblProd[[#This Row],[Land]]*2.5+IFERROR(OFFSET(TblTech[[#This Row],[Sum of tech]],-1,0)*50,0)),3750)</f>
        <v>3750</v>
      </c>
      <c r="R118" s="142"/>
      <c r="S118" s="94">
        <f ca="1">ROUNDDOWN(TblProd[[#This Row],[Raw Plat/hr]]*(1+TblProd[[#This Row],[Bonus Plat/hr]]),0)</f>
        <v>864</v>
      </c>
      <c r="T118" s="94">
        <f ca="1">ROUND(TblProd[[#This Row],[Raw Food/hr]]*(1+TblProd[[#This Row],[Bonus Food/hr]])-TblProd[[#This Row],[Food decay]]-TblProd[[#This Row],[Food eaten]],0)</f>
        <v>681</v>
      </c>
      <c r="U118" s="94">
        <f ca="1">ROUND(TblProd[[#This Row],[Raw Lumber/hr]]*(1+TblProd[[#This Row],[Bonus Lumber/hr]])-TblProd[[#This Row],[Lumber rot]],0)</f>
        <v>270</v>
      </c>
      <c r="V118" s="94">
        <f ca="1">ROUND(TblProd[[#This Row],[Raw Mana/hr]]*(1+TblProd[[#This Row],[Bonus Mana/hr]])-TblProd[[#This Row],[Mana drain]],0)</f>
        <v>0</v>
      </c>
      <c r="W118" s="94">
        <f ca="1">ROUNDDOWN(TblProd[[#This Row],[Raw Ore/hr]]*(1+TblProd[[#This Row],[Bonux Ore/hr]]),0)</f>
        <v>0</v>
      </c>
      <c r="X118" s="94">
        <f ca="1">ROUNDDOWN(TblProd[[#This Row],[Raw Gems/hr]]*(1+TblProd[[#This Row],[Bonus Gems/hr]]),0)</f>
        <v>0</v>
      </c>
      <c r="Y118" s="155">
        <f ca="1">OFFSET(TblConstr[[#This Row],[Tot Doc]],1,0)*dock_boats_hr * (1 + tech_4_1*TblTech[[#This Row],[4-1]])</f>
        <v>0</v>
      </c>
      <c r="Z118" s="154"/>
      <c r="AA118" s="94">
        <f ca="1">TblPop[[#This Row],[Peasants]]*tax*TblPop[[#This Row],[Employment]] + (Construction!AZ119+Construction!BX119)*(alch_plat+(Magic!AN118&gt;0)*alchemist_flame_bonus)</f>
        <v>864</v>
      </c>
      <c r="AB118" s="94">
        <f ca="1">TblConstr[[#This Row],[Tot Farm]]*farm_food + TblConstr[[#This Row],[Tot Doc]]*dock_food</f>
        <v>2400</v>
      </c>
      <c r="AC118" s="94">
        <f ca="1">TblConstr[[#This Row],[Tot Ly]]*ly_lumber + TblConstr[[#This Row],[Tot Hav]]*fh_lumber + IF(race="Wood Elf",TblMili[[#This Row],[Unit 2]]*MIN(TblMili[[#This Row],[Homeland%]]/wisp_bonus,wisp_cap),0)</f>
        <v>1000</v>
      </c>
      <c r="AD118" s="94">
        <f ca="1">OFFSET(TblConstr[[#This Row],[Tot Tow]],1,0)*(tower_mana + tech_4_5*TblTech[[#This Row],[4-5]]) + OFFSET(TblConstr[[#This Row],[Tot WG]],1,0)*wg_mana_prod</f>
        <v>0</v>
      </c>
      <c r="AE118" s="94">
        <f ca="1">OFFSET(TblConstr[[#This Row],[Tot OM]],1,0)*om_ore+IF(race="Dwarf",TblMili[[#This Row],[Unit 2]]*0.5,0)</f>
        <v>0</v>
      </c>
      <c r="AF118" s="94">
        <f ca="1">OFFSET(TblConstr[[#This Row],[Tot DM]],1,0)*dm_gems</f>
        <v>0</v>
      </c>
      <c r="AG118" s="142"/>
      <c r="AH118" s="156">
        <f ca="1">MIN(race_platinum_bonus + IF(TblMagic[[#This Row],[Active Alch Frost]]&gt;0,alch_frost_bonus,IF(Magic!AE118&gt;0,midas_bonus)) + TblImps[[#This Row],[Science]] - TblProd[[#This Row],[Guard]]*(0.02 + tech_5_7*TblTech[[#This Row],[5-7]]) + tech_1_5*TblTech[[#This Row],[1-5]] + tech_4_4*TblTech[[#This Row],[4-4]] + IF(TblMagic[[#This Row],[Active Infernal Command]]&gt;0,demonic_pact_plat,0), 0.5)</f>
        <v>0</v>
      </c>
      <c r="AI11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8" s="156">
        <f ca="1">race_lumber_bonus+ IF(TblMagic[[#This Row],[Active Gaia''s Blessing]]&gt;0,gaias_blessing_lumber)+ tech_1_3*TblTech[[#This Row],[1-3]] + tech_1_6*TblTech[[#This Row],[1-6]] + tech_3_3*TblTech[[#This Row],[3-3]]</f>
        <v>0</v>
      </c>
      <c r="AK118" s="156">
        <f ca="1">race_mana_bonus+ 0 + TblImps[[#This Row],[Spires]] + tech_1_2*TblTech[[#This Row],[1-2]] + tech_3_4*TblTech[[#This Row],[3-4]]</f>
        <v>0</v>
      </c>
      <c r="AL118" s="156">
        <f ca="1">race_ore_bonus + IF(TblMagic[[#This Row],[Active Miner''s Sight]]&gt;0,miners_sight_bonus,IF(TblMagic[[#This Row],[Active Mining Strength]]&gt;0,mining_strength_bonus)) +  tech_1_6*TblTech[[#This Row],[1-6]]</f>
        <v>0</v>
      </c>
      <c r="AM118" s="156">
        <f>race_gem_bonus+ tech_3_2*TblTech[[#This Row],[3-2]] + tech_4_3*TblTech[[#This Row],[4-3]] + tech_6_2*TblTech[[#This Row],[6-2]]</f>
        <v>0</v>
      </c>
      <c r="AN118" s="142"/>
      <c r="AO118" s="94">
        <f ca="1">TblProd[[#This Row],[Food]]*food_decay * (1 + tech_2_1*TblTech[[#This Row],[2-1]] + tech_2_8*TblTech[[#This Row],[2-8]] + IF(AND(TblMagic[[#This Row],[Active DnD]]&lt;12,TblMagic[[#This Row],[Active DnD]]&gt;5),1,0))</f>
        <v>1629.94</v>
      </c>
      <c r="AP118" s="94">
        <f ca="1">(1+race_food_consumption)*TblPop[[#This Row],[Total]]*food_per_person*(1+tech_1_10*TblTech[[#This Row],[1-10]]+tech_7_5*TblTech[[#This Row],[7-5]] + IF(TblMagic[[#This Row],[Active Infernal Command]]&gt;0,demonic_pact_food_cons,0))</f>
        <v>269</v>
      </c>
      <c r="AQ118" s="94">
        <f ca="1">TblProd[[#This Row],[Lumber]]*lumber_rot * (1 + tech_2_1*TblTech[[#This Row],[2-1]] + tech_2_8*TblTech[[#This Row],[2-8]] + tech_5_2*TblTech[[#This Row],[5-2]] + IF(AND(TblMagic[[#This Row],[Active DnD]]&lt;12,TblMagic[[#This Row],[Active DnD]]&gt;5),1,0))</f>
        <v>729.69</v>
      </c>
      <c r="AR118" s="94">
        <f ca="1">TblProd[[#This Row],[Mana]]*mana_drain * (1 + tech_2_1*TblTech[[#This Row],[2-1]] + tech_2_8*TblTech[[#This Row],[2-8]])</f>
        <v>0</v>
      </c>
      <c r="AS118" s="154"/>
      <c r="AT118" s="94">
        <f ca="1">TblExplore[[#This Row],[Platinum (2)]]+TblConstr[[#This Row],[Total Plat Cost]]+TblMili[[#This Row],[Plat Cost]]+TblRezone[[#This Row],[Platinum cost]]+TblImps[[#This Row],[P1]]-TblProd[[#This Row],[Bank Plat]]</f>
        <v>0</v>
      </c>
      <c r="AU118" s="94">
        <f ca="1">TblConstr[[#This Row],[Total Lum Cost]]+TblImps[[#This Row],[L1]]-TblProd[[#This Row],[Bank Lumber]] + Military!$CO$25*TblMili[[#This Row],[Sec. rec. Cost]]</f>
        <v>0</v>
      </c>
      <c r="AV118" s="94">
        <f ca="1">TblMagic[[#This Row],[Mana cost]] + Military!$CO$26*TblMili[[#This Row],[Sec. rec. Cost]]</f>
        <v>0</v>
      </c>
      <c r="AW118" s="94">
        <f ca="1">Military!$CO$24*TblMili[[#This Row],[Sec. rec. Cost]]+TblImps[[#This Row],[O1]]-TblProd[[#This Row],[Bank Ore]]</f>
        <v>0</v>
      </c>
      <c r="AX118" s="94">
        <f>TblImps[[#This Row],[G1]]-TblProd[[#This Row],[Bank Gems]]</f>
        <v>0</v>
      </c>
      <c r="AY118" s="142"/>
      <c r="AZ118" s="61" t="b">
        <f ca="1">IF(TblProd[[#This Row],[Set Guard]]&lt;&gt;"",TblProd[[#This Row],[Set Guard]],OFFSET(TblProd[[#This Row],[Guard]],-1,0))</f>
        <v>0</v>
      </c>
      <c r="BA118" s="153"/>
      <c r="BB118" s="45">
        <f>TblProd[[#This Row],[Hour]]</f>
        <v>79</v>
      </c>
      <c r="BC118" s="158">
        <f>-TblProd[[#This Row],[Bank Lumber]] / 2 + -TblProd[[#This Row],[Bank Gems]] * 2 + -TblProd[[#This Row],[Bank Ore]] / 2</f>
        <v>0</v>
      </c>
      <c r="BD118" s="158"/>
      <c r="BE118" s="158"/>
      <c r="BF118" s="158"/>
      <c r="BG118" s="159">
        <f ca="1">TblProd[[#This Row],[Time]]</f>
        <v>46051.749999999724</v>
      </c>
      <c r="BH118" s="45" t="str">
        <f>IF(AND(TblProd[[#This Row],[Bank Plat]]=0,TblProd[[#This Row],[Bank Lumber]]=0,TblProd[[#This Row],[Bank Ore]]=0,TblProd[[#This Row],[Bank Gems]]=0),"",IF(TblProd[[#This Row],[Bank Plat]]&gt;0,IF((TblProd[[#This Row],[Bank Lumber]]+TblProd[[#This Row],[Bank Ore]])/2+TblProd[[#This Row],[Bank Gems]]*2+ROUNDUP(TblProd[[#This Row],[Bank Plat]]/(1 + tech_2_2*Techs!Y118),0)=0,"Ok","Nope"),IF(TblProd[[#This Row],[Bank Lumber]]&gt;0,IF((TblProd[[#This Row],[Bank Plat]]+TblProd[[#This Row],[Bank Ore]])/2+TblProd[[#This Row],[Bank Gems]]*2+ROUNDUP(TblProd[[#This Row],[Bank Lumber]]/(1 + tech_2_2*Techs!Y118),0)=0,"Ok","Nope"),IF(TblProd[[#This Row],[Bank Ore]]&gt;0,IF((TblProd[[#This Row],[Bank Plat]]+TblProd[[#This Row],[Bank Lumber]])/2+TblProd[[#This Row],[Bank Gems]]*2+ROUNDUP(TblProd[[#This Row],[Bank Ore]]/(1 + tech_2_2*Techs!Y118),0)=0,"Ok","Nope")))))</f>
        <v/>
      </c>
      <c r="BI118" s="94">
        <f ca="1">TblProd[[#This Row],[Platinum]]</f>
        <v>213807</v>
      </c>
      <c r="BJ118" s="94">
        <f ca="1">TblProd[[#This Row],[Food]]</f>
        <v>162994</v>
      </c>
      <c r="BK118" s="94">
        <f ca="1">TblProd[[#This Row],[Lumber]]</f>
        <v>72969</v>
      </c>
      <c r="BL118" s="94">
        <f ca="1">TblProd[[#This Row],[Mana]]</f>
        <v>0</v>
      </c>
      <c r="BM118" s="94">
        <f ca="1">TblProd[[#This Row],[Ore]]</f>
        <v>0</v>
      </c>
    </row>
    <row r="119" spans="1:65" x14ac:dyDescent="0.2">
      <c r="A119" s="137">
        <f t="shared" si="1"/>
        <v>80</v>
      </c>
      <c r="B119" s="152">
        <f ca="1">TblImps[[#This Row],[Time]]</f>
        <v>46051.791666666388</v>
      </c>
      <c r="C119" s="153"/>
      <c r="D119" s="154"/>
      <c r="E119" s="94">
        <f ca="1">TblConstr[[#This Row],[Land]]</f>
        <v>110</v>
      </c>
      <c r="F119" s="94">
        <f ca="1">TblPop[[#This Row],[Peasants]]</f>
        <v>317</v>
      </c>
      <c r="G119" s="94">
        <f ca="1">TblMili[[#This Row],[Networth (2)]]</f>
        <v>2450</v>
      </c>
      <c r="H119" s="94">
        <f ca="1">OFFSET(TblProd[[#This Row],[Platinum]],-1,0)+OFFSET(TblProd[[#This Row],[Plat/hr]],-1,0) - TblProd[[#This Row],[Expenses Platinum]] + IF(TblProd[[#This Row],[Plat Bonus]],TblPop[[#This Row],[Peasants]]*4) + SUM(TblConstr[[#This Row],[Dest Hom]:[Dest Doc]])*TblConstr[[#This Row],[CPA Platinum -DB]]*tech_3_3_2*TblTech[[#This Row],[3-3]]</f>
        <v>214671</v>
      </c>
      <c r="I119" s="94">
        <f ca="1">OFFSET(TblProd[[#This Row],[Food]],-1,0)+OFFSET(TblProd[[#This Row],[Food/hr]],-1,0)+ROUNDUP((TblConstr[[#This Row],[Farms]]*80+TblConstr[[#This Row],[Docks]]*35)*(1+OFFSET(TblProd[[#This Row],[Bonus Food/hr]],-1,0)),0)</f>
        <v>163675</v>
      </c>
      <c r="J119" s="94">
        <f ca="1">OFFSET(TblProd[[#This Row],[Lumber]],-1,0)+OFFSET(TblProd[[#This Row],[Lumber/hr]],-1,0) - TblProd[[#This Row],[Expenses Lumber]] + SUM(TblConstr[[#This Row],[Dest Hom]:[Dest Doc]])*TblConstr[[#This Row],[CPA Lumber -DB]]*tech_3_3_2*TblTech[[#This Row],[3-3]]</f>
        <v>73239</v>
      </c>
      <c r="K119" s="94">
        <f ca="1">OFFSET(TblProd[[#This Row],[Mana]],-1,0)+OFFSET(TblProd[[#This Row],[Mana/hr]],-1,0)- TblProd[[#This Row],[Expenses Mana]]</f>
        <v>0</v>
      </c>
      <c r="L119" s="94">
        <f ca="1">OFFSET(TblProd[[#This Row],[Ore]],-1,0)+OFFSET(TblProd[[#This Row],[Ore/hr]],-1,0) -TblProd[[#This Row],[Expenses Ore]]</f>
        <v>0</v>
      </c>
      <c r="M119" s="94">
        <f ca="1">OFFSET(TblProd[[#This Row],[Gems]],-1,0)+OFFSET(TblProd[[#This Row],[Gems/hr]],-1,0) - TblProd[[#This Row],[Expenses Gems]]</f>
        <v>0</v>
      </c>
      <c r="N119" s="94">
        <f ca="1">OFFSET(TblProd[[#This Row],[Boats]],-1,0)+OFFSET(TblProd[[#This Row],[Boats/hr]],-1,0)</f>
        <v>0</v>
      </c>
      <c r="O119" s="94">
        <f ca="1">OFFSET(TblProd[[#This Row],[Prestige]],-1,0)</f>
        <v>250</v>
      </c>
      <c r="P11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19" s="94">
        <f ca="1">MAX(_xlfn.CEILING.MATH(TblProd[[#This Row],[Land]]*2.5+IFERROR(OFFSET(TblTech[[#This Row],[Sum of tech]],-1,0)*50,0)),3750)</f>
        <v>3750</v>
      </c>
      <c r="R119" s="142"/>
      <c r="S119" s="94">
        <f ca="1">ROUNDDOWN(TblProd[[#This Row],[Raw Plat/hr]]*(1+TblProd[[#This Row],[Bonus Plat/hr]]),0)</f>
        <v>855</v>
      </c>
      <c r="T119" s="94">
        <f ca="1">ROUND(TblProd[[#This Row],[Raw Food/hr]]*(1+TblProd[[#This Row],[Bonus Food/hr]])-TblProd[[#This Row],[Food decay]]-TblProd[[#This Row],[Food eaten]],0)</f>
        <v>674</v>
      </c>
      <c r="U119" s="94">
        <f ca="1">ROUND(TblProd[[#This Row],[Raw Lumber/hr]]*(1+TblProd[[#This Row],[Bonus Lumber/hr]])-TblProd[[#This Row],[Lumber rot]],0)</f>
        <v>268</v>
      </c>
      <c r="V119" s="94">
        <f ca="1">ROUND(TblProd[[#This Row],[Raw Mana/hr]]*(1+TblProd[[#This Row],[Bonus Mana/hr]])-TblProd[[#This Row],[Mana drain]],0)</f>
        <v>0</v>
      </c>
      <c r="W119" s="94">
        <f ca="1">ROUNDDOWN(TblProd[[#This Row],[Raw Ore/hr]]*(1+TblProd[[#This Row],[Bonux Ore/hr]]),0)</f>
        <v>0</v>
      </c>
      <c r="X119" s="94">
        <f ca="1">ROUNDDOWN(TblProd[[#This Row],[Raw Gems/hr]]*(1+TblProd[[#This Row],[Bonus Gems/hr]]),0)</f>
        <v>0</v>
      </c>
      <c r="Y119" s="155">
        <f ca="1">OFFSET(TblConstr[[#This Row],[Tot Doc]],1,0)*dock_boats_hr * (1 + tech_4_1*TblTech[[#This Row],[4-1]])</f>
        <v>0</v>
      </c>
      <c r="Z119" s="154"/>
      <c r="AA119" s="94">
        <f ca="1">TblPop[[#This Row],[Peasants]]*tax*TblPop[[#This Row],[Employment]] + (Construction!AZ120+Construction!BX120)*(alch_plat+(Magic!AN119&gt;0)*alchemist_flame_bonus)</f>
        <v>855.90000000000009</v>
      </c>
      <c r="AB119" s="94">
        <f ca="1">TblConstr[[#This Row],[Tot Farm]]*farm_food + TblConstr[[#This Row],[Tot Doc]]*dock_food</f>
        <v>2400</v>
      </c>
      <c r="AC119" s="94">
        <f ca="1">TblConstr[[#This Row],[Tot Ly]]*ly_lumber + TblConstr[[#This Row],[Tot Hav]]*fh_lumber + IF(race="Wood Elf",TblMili[[#This Row],[Unit 2]]*MIN(TblMili[[#This Row],[Homeland%]]/wisp_bonus,wisp_cap),0)</f>
        <v>1000</v>
      </c>
      <c r="AD119" s="94">
        <f ca="1">OFFSET(TblConstr[[#This Row],[Tot Tow]],1,0)*(tower_mana + tech_4_5*TblTech[[#This Row],[4-5]]) + OFFSET(TblConstr[[#This Row],[Tot WG]],1,0)*wg_mana_prod</f>
        <v>0</v>
      </c>
      <c r="AE119" s="94">
        <f ca="1">OFFSET(TblConstr[[#This Row],[Tot OM]],1,0)*om_ore+IF(race="Dwarf",TblMili[[#This Row],[Unit 2]]*0.5,0)</f>
        <v>0</v>
      </c>
      <c r="AF119" s="94">
        <f ca="1">OFFSET(TblConstr[[#This Row],[Tot DM]],1,0)*dm_gems</f>
        <v>0</v>
      </c>
      <c r="AG119" s="142"/>
      <c r="AH119" s="156">
        <f ca="1">MIN(race_platinum_bonus + IF(TblMagic[[#This Row],[Active Alch Frost]]&gt;0,alch_frost_bonus,IF(Magic!AE119&gt;0,midas_bonus)) + TblImps[[#This Row],[Science]] - TblProd[[#This Row],[Guard]]*(0.02 + tech_5_7*TblTech[[#This Row],[5-7]]) + tech_1_5*TblTech[[#This Row],[1-5]] + tech_4_4*TblTech[[#This Row],[4-4]] + IF(TblMagic[[#This Row],[Active Infernal Command]]&gt;0,demonic_pact_plat,0), 0.5)</f>
        <v>0</v>
      </c>
      <c r="AI11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19" s="156">
        <f ca="1">race_lumber_bonus+ IF(TblMagic[[#This Row],[Active Gaia''s Blessing]]&gt;0,gaias_blessing_lumber)+ tech_1_3*TblTech[[#This Row],[1-3]] + tech_1_6*TblTech[[#This Row],[1-6]] + tech_3_3*TblTech[[#This Row],[3-3]]</f>
        <v>0</v>
      </c>
      <c r="AK119" s="156">
        <f ca="1">race_mana_bonus+ 0 + TblImps[[#This Row],[Spires]] + tech_1_2*TblTech[[#This Row],[1-2]] + tech_3_4*TblTech[[#This Row],[3-4]]</f>
        <v>0</v>
      </c>
      <c r="AL119" s="156">
        <f ca="1">race_ore_bonus + IF(TblMagic[[#This Row],[Active Miner''s Sight]]&gt;0,miners_sight_bonus,IF(TblMagic[[#This Row],[Active Mining Strength]]&gt;0,mining_strength_bonus)) +  tech_1_6*TblTech[[#This Row],[1-6]]</f>
        <v>0</v>
      </c>
      <c r="AM119" s="156">
        <f>race_gem_bonus+ tech_3_2*TblTech[[#This Row],[3-2]] + tech_4_3*TblTech[[#This Row],[4-3]] + tech_6_2*TblTech[[#This Row],[6-2]]</f>
        <v>0</v>
      </c>
      <c r="AN119" s="142"/>
      <c r="AO119" s="94">
        <f ca="1">TblProd[[#This Row],[Food]]*food_decay * (1 + tech_2_1*TblTech[[#This Row],[2-1]] + tech_2_8*TblTech[[#This Row],[2-8]] + IF(AND(TblMagic[[#This Row],[Active DnD]]&lt;12,TblMagic[[#This Row],[Active DnD]]&gt;5),1,0))</f>
        <v>1636.75</v>
      </c>
      <c r="AP119" s="94">
        <f ca="1">(1+race_food_consumption)*TblPop[[#This Row],[Total]]*food_per_person*(1+tech_1_10*TblTech[[#This Row],[1-10]]+tech_7_5*TblTech[[#This Row],[7-5]] + IF(TblMagic[[#This Row],[Active Infernal Command]]&gt;0,demonic_pact_food_cons,0))</f>
        <v>269</v>
      </c>
      <c r="AQ119" s="94">
        <f ca="1">TblProd[[#This Row],[Lumber]]*lumber_rot * (1 + tech_2_1*TblTech[[#This Row],[2-1]] + tech_2_8*TblTech[[#This Row],[2-8]] + tech_5_2*TblTech[[#This Row],[5-2]] + IF(AND(TblMagic[[#This Row],[Active DnD]]&lt;12,TblMagic[[#This Row],[Active DnD]]&gt;5),1,0))</f>
        <v>732.39</v>
      </c>
      <c r="AR119" s="94">
        <f ca="1">TblProd[[#This Row],[Mana]]*mana_drain * (1 + tech_2_1*TblTech[[#This Row],[2-1]] + tech_2_8*TblTech[[#This Row],[2-8]])</f>
        <v>0</v>
      </c>
      <c r="AS119" s="154"/>
      <c r="AT119" s="94">
        <f ca="1">TblExplore[[#This Row],[Platinum (2)]]+TblConstr[[#This Row],[Total Plat Cost]]+TblMili[[#This Row],[Plat Cost]]+TblRezone[[#This Row],[Platinum cost]]+TblImps[[#This Row],[P1]]-TblProd[[#This Row],[Bank Plat]]</f>
        <v>0</v>
      </c>
      <c r="AU119" s="94">
        <f ca="1">TblConstr[[#This Row],[Total Lum Cost]]+TblImps[[#This Row],[L1]]-TblProd[[#This Row],[Bank Lumber]] + Military!$CO$25*TblMili[[#This Row],[Sec. rec. Cost]]</f>
        <v>0</v>
      </c>
      <c r="AV119" s="94">
        <f ca="1">TblMagic[[#This Row],[Mana cost]] + Military!$CO$26*TblMili[[#This Row],[Sec. rec. Cost]]</f>
        <v>0</v>
      </c>
      <c r="AW119" s="94">
        <f ca="1">Military!$CO$24*TblMili[[#This Row],[Sec. rec. Cost]]+TblImps[[#This Row],[O1]]-TblProd[[#This Row],[Bank Ore]]</f>
        <v>0</v>
      </c>
      <c r="AX119" s="94">
        <f>TblImps[[#This Row],[G1]]-TblProd[[#This Row],[Bank Gems]]</f>
        <v>0</v>
      </c>
      <c r="AY119" s="142"/>
      <c r="AZ119" s="61" t="b">
        <f ca="1">IF(TblProd[[#This Row],[Set Guard]]&lt;&gt;"",TblProd[[#This Row],[Set Guard]],OFFSET(TblProd[[#This Row],[Guard]],-1,0))</f>
        <v>0</v>
      </c>
      <c r="BA119" s="153"/>
      <c r="BB119" s="45">
        <f>TblProd[[#This Row],[Hour]]</f>
        <v>80</v>
      </c>
      <c r="BC119" s="158">
        <f>-TblProd[[#This Row],[Bank Lumber]] / 2 + -TblProd[[#This Row],[Bank Gems]] * 2 + -TblProd[[#This Row],[Bank Ore]] / 2</f>
        <v>0</v>
      </c>
      <c r="BD119" s="158"/>
      <c r="BE119" s="158"/>
      <c r="BF119" s="158"/>
      <c r="BG119" s="159">
        <f ca="1">TblProd[[#This Row],[Time]]</f>
        <v>46051.791666666388</v>
      </c>
      <c r="BH119" s="45" t="str">
        <f>IF(AND(TblProd[[#This Row],[Bank Plat]]=0,TblProd[[#This Row],[Bank Lumber]]=0,TblProd[[#This Row],[Bank Ore]]=0,TblProd[[#This Row],[Bank Gems]]=0),"",IF(TblProd[[#This Row],[Bank Plat]]&gt;0,IF((TblProd[[#This Row],[Bank Lumber]]+TblProd[[#This Row],[Bank Ore]])/2+TblProd[[#This Row],[Bank Gems]]*2+ROUNDUP(TblProd[[#This Row],[Bank Plat]]/(1 + tech_2_2*Techs!Y119),0)=0,"Ok","Nope"),IF(TblProd[[#This Row],[Bank Lumber]]&gt;0,IF((TblProd[[#This Row],[Bank Plat]]+TblProd[[#This Row],[Bank Ore]])/2+TblProd[[#This Row],[Bank Gems]]*2+ROUNDUP(TblProd[[#This Row],[Bank Lumber]]/(1 + tech_2_2*Techs!Y119),0)=0,"Ok","Nope"),IF(TblProd[[#This Row],[Bank Ore]]&gt;0,IF((TblProd[[#This Row],[Bank Plat]]+TblProd[[#This Row],[Bank Lumber]])/2+TblProd[[#This Row],[Bank Gems]]*2+ROUNDUP(TblProd[[#This Row],[Bank Ore]]/(1 + tech_2_2*Techs!Y119),0)=0,"Ok","Nope")))))</f>
        <v/>
      </c>
      <c r="BI119" s="94">
        <f ca="1">TblProd[[#This Row],[Platinum]]</f>
        <v>214671</v>
      </c>
      <c r="BJ119" s="94">
        <f ca="1">TblProd[[#This Row],[Food]]</f>
        <v>163675</v>
      </c>
      <c r="BK119" s="94">
        <f ca="1">TblProd[[#This Row],[Lumber]]</f>
        <v>73239</v>
      </c>
      <c r="BL119" s="94">
        <f ca="1">TblProd[[#This Row],[Mana]]</f>
        <v>0</v>
      </c>
      <c r="BM119" s="94">
        <f ca="1">TblProd[[#This Row],[Ore]]</f>
        <v>0</v>
      </c>
    </row>
    <row r="120" spans="1:65" x14ac:dyDescent="0.2">
      <c r="A120" s="137">
        <f t="shared" si="1"/>
        <v>81</v>
      </c>
      <c r="B120" s="152">
        <f ca="1">TblImps[[#This Row],[Time]]</f>
        <v>46051.833333333052</v>
      </c>
      <c r="C120" s="153"/>
      <c r="D120" s="154"/>
      <c r="E120" s="94">
        <f ca="1">TblConstr[[#This Row],[Land]]</f>
        <v>110</v>
      </c>
      <c r="F120" s="94">
        <f ca="1">TblPop[[#This Row],[Peasants]]</f>
        <v>314</v>
      </c>
      <c r="G120" s="94">
        <f ca="1">TblMili[[#This Row],[Networth (2)]]</f>
        <v>2450</v>
      </c>
      <c r="H120" s="94">
        <f ca="1">OFFSET(TblProd[[#This Row],[Platinum]],-1,0)+OFFSET(TblProd[[#This Row],[Plat/hr]],-1,0) - TblProd[[#This Row],[Expenses Platinum]] + IF(TblProd[[#This Row],[Plat Bonus]],TblPop[[#This Row],[Peasants]]*4) + SUM(TblConstr[[#This Row],[Dest Hom]:[Dest Doc]])*TblConstr[[#This Row],[CPA Platinum -DB]]*tech_3_3_2*TblTech[[#This Row],[3-3]]</f>
        <v>215526</v>
      </c>
      <c r="I120" s="94">
        <f ca="1">OFFSET(TblProd[[#This Row],[Food]],-1,0)+OFFSET(TblProd[[#This Row],[Food/hr]],-1,0)+ROUNDUP((TblConstr[[#This Row],[Farms]]*80+TblConstr[[#This Row],[Docks]]*35)*(1+OFFSET(TblProd[[#This Row],[Bonus Food/hr]],-1,0)),0)</f>
        <v>164349</v>
      </c>
      <c r="J120" s="94">
        <f ca="1">OFFSET(TblProd[[#This Row],[Lumber]],-1,0)+OFFSET(TblProd[[#This Row],[Lumber/hr]],-1,0) - TblProd[[#This Row],[Expenses Lumber]] + SUM(TblConstr[[#This Row],[Dest Hom]:[Dest Doc]])*TblConstr[[#This Row],[CPA Lumber -DB]]*tech_3_3_2*TblTech[[#This Row],[3-3]]</f>
        <v>73507</v>
      </c>
      <c r="K120" s="94">
        <f ca="1">OFFSET(TblProd[[#This Row],[Mana]],-1,0)+OFFSET(TblProd[[#This Row],[Mana/hr]],-1,0)- TblProd[[#This Row],[Expenses Mana]]</f>
        <v>0</v>
      </c>
      <c r="L120" s="94">
        <f ca="1">OFFSET(TblProd[[#This Row],[Ore]],-1,0)+OFFSET(TblProd[[#This Row],[Ore/hr]],-1,0) -TblProd[[#This Row],[Expenses Ore]]</f>
        <v>0</v>
      </c>
      <c r="M120" s="94">
        <f ca="1">OFFSET(TblProd[[#This Row],[Gems]],-1,0)+OFFSET(TblProd[[#This Row],[Gems/hr]],-1,0) - TblProd[[#This Row],[Expenses Gems]]</f>
        <v>0</v>
      </c>
      <c r="N120" s="94">
        <f ca="1">OFFSET(TblProd[[#This Row],[Boats]],-1,0)+OFFSET(TblProd[[#This Row],[Boats/hr]],-1,0)</f>
        <v>0</v>
      </c>
      <c r="O120" s="94">
        <f ca="1">OFFSET(TblProd[[#This Row],[Prestige]],-1,0)</f>
        <v>250</v>
      </c>
      <c r="P12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0" s="94">
        <f ca="1">MAX(_xlfn.CEILING.MATH(TblProd[[#This Row],[Land]]*2.5+IFERROR(OFFSET(TblTech[[#This Row],[Sum of tech]],-1,0)*50,0)),3750)</f>
        <v>3750</v>
      </c>
      <c r="R120" s="142"/>
      <c r="S120" s="94">
        <f ca="1">ROUNDDOWN(TblProd[[#This Row],[Raw Plat/hr]]*(1+TblProd[[#This Row],[Bonus Plat/hr]]),0)</f>
        <v>847</v>
      </c>
      <c r="T120" s="94">
        <f ca="1">ROUND(TblProd[[#This Row],[Raw Food/hr]]*(1+TblProd[[#This Row],[Bonus Food/hr]])-TblProd[[#This Row],[Food decay]]-TblProd[[#This Row],[Food eaten]],0)</f>
        <v>668</v>
      </c>
      <c r="U120" s="94">
        <f ca="1">ROUND(TblProd[[#This Row],[Raw Lumber/hr]]*(1+TblProd[[#This Row],[Bonus Lumber/hr]])-TblProd[[#This Row],[Lumber rot]],0)</f>
        <v>265</v>
      </c>
      <c r="V120" s="94">
        <f ca="1">ROUND(TblProd[[#This Row],[Raw Mana/hr]]*(1+TblProd[[#This Row],[Bonus Mana/hr]])-TblProd[[#This Row],[Mana drain]],0)</f>
        <v>0</v>
      </c>
      <c r="W120" s="94">
        <f ca="1">ROUNDDOWN(TblProd[[#This Row],[Raw Ore/hr]]*(1+TblProd[[#This Row],[Bonux Ore/hr]]),0)</f>
        <v>0</v>
      </c>
      <c r="X120" s="94">
        <f ca="1">ROUNDDOWN(TblProd[[#This Row],[Raw Gems/hr]]*(1+TblProd[[#This Row],[Bonus Gems/hr]]),0)</f>
        <v>0</v>
      </c>
      <c r="Y120" s="155">
        <f ca="1">OFFSET(TblConstr[[#This Row],[Tot Doc]],1,0)*dock_boats_hr * (1 + tech_4_1*TblTech[[#This Row],[4-1]])</f>
        <v>0</v>
      </c>
      <c r="Z120" s="154"/>
      <c r="AA120" s="94">
        <f ca="1">TblPop[[#This Row],[Peasants]]*tax*TblPop[[#This Row],[Employment]] + (Construction!AZ121+Construction!BX121)*(alch_plat+(Magic!AN120&gt;0)*alchemist_flame_bonus)</f>
        <v>847.80000000000007</v>
      </c>
      <c r="AB120" s="94">
        <f ca="1">TblConstr[[#This Row],[Tot Farm]]*farm_food + TblConstr[[#This Row],[Tot Doc]]*dock_food</f>
        <v>2400</v>
      </c>
      <c r="AC120" s="94">
        <f ca="1">TblConstr[[#This Row],[Tot Ly]]*ly_lumber + TblConstr[[#This Row],[Tot Hav]]*fh_lumber + IF(race="Wood Elf",TblMili[[#This Row],[Unit 2]]*MIN(TblMili[[#This Row],[Homeland%]]/wisp_bonus,wisp_cap),0)</f>
        <v>1000</v>
      </c>
      <c r="AD120" s="94">
        <f ca="1">OFFSET(TblConstr[[#This Row],[Tot Tow]],1,0)*(tower_mana + tech_4_5*TblTech[[#This Row],[4-5]]) + OFFSET(TblConstr[[#This Row],[Tot WG]],1,0)*wg_mana_prod</f>
        <v>0</v>
      </c>
      <c r="AE120" s="94">
        <f ca="1">OFFSET(TblConstr[[#This Row],[Tot OM]],1,0)*om_ore+IF(race="Dwarf",TblMili[[#This Row],[Unit 2]]*0.5,0)</f>
        <v>0</v>
      </c>
      <c r="AF120" s="94">
        <f ca="1">OFFSET(TblConstr[[#This Row],[Tot DM]],1,0)*dm_gems</f>
        <v>0</v>
      </c>
      <c r="AG120" s="142"/>
      <c r="AH120" s="156">
        <f ca="1">MIN(race_platinum_bonus + IF(TblMagic[[#This Row],[Active Alch Frost]]&gt;0,alch_frost_bonus,IF(Magic!AE120&gt;0,midas_bonus)) + TblImps[[#This Row],[Science]] - TblProd[[#This Row],[Guard]]*(0.02 + tech_5_7*TblTech[[#This Row],[5-7]]) + tech_1_5*TblTech[[#This Row],[1-5]] + tech_4_4*TblTech[[#This Row],[4-4]] + IF(TblMagic[[#This Row],[Active Infernal Command]]&gt;0,demonic_pact_plat,0), 0.5)</f>
        <v>0</v>
      </c>
      <c r="AI12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0" s="156">
        <f ca="1">race_lumber_bonus+ IF(TblMagic[[#This Row],[Active Gaia''s Blessing]]&gt;0,gaias_blessing_lumber)+ tech_1_3*TblTech[[#This Row],[1-3]] + tech_1_6*TblTech[[#This Row],[1-6]] + tech_3_3*TblTech[[#This Row],[3-3]]</f>
        <v>0</v>
      </c>
      <c r="AK120" s="156">
        <f ca="1">race_mana_bonus+ 0 + TblImps[[#This Row],[Spires]] + tech_1_2*TblTech[[#This Row],[1-2]] + tech_3_4*TblTech[[#This Row],[3-4]]</f>
        <v>0</v>
      </c>
      <c r="AL120" s="156">
        <f ca="1">race_ore_bonus + IF(TblMagic[[#This Row],[Active Miner''s Sight]]&gt;0,miners_sight_bonus,IF(TblMagic[[#This Row],[Active Mining Strength]]&gt;0,mining_strength_bonus)) +  tech_1_6*TblTech[[#This Row],[1-6]]</f>
        <v>0</v>
      </c>
      <c r="AM120" s="156">
        <f>race_gem_bonus+ tech_3_2*TblTech[[#This Row],[3-2]] + tech_4_3*TblTech[[#This Row],[4-3]] + tech_6_2*TblTech[[#This Row],[6-2]]</f>
        <v>0</v>
      </c>
      <c r="AN120" s="142"/>
      <c r="AO120" s="94">
        <f ca="1">TblProd[[#This Row],[Food]]*food_decay * (1 + tech_2_1*TblTech[[#This Row],[2-1]] + tech_2_8*TblTech[[#This Row],[2-8]] + IF(AND(TblMagic[[#This Row],[Active DnD]]&lt;12,TblMagic[[#This Row],[Active DnD]]&gt;5),1,0))</f>
        <v>1643.49</v>
      </c>
      <c r="AP120" s="94">
        <f ca="1">(1+race_food_consumption)*TblPop[[#This Row],[Total]]*food_per_person*(1+tech_1_10*TblTech[[#This Row],[1-10]]+tech_7_5*TblTech[[#This Row],[7-5]] + IF(TblMagic[[#This Row],[Active Infernal Command]]&gt;0,demonic_pact_food_cons,0))</f>
        <v>269</v>
      </c>
      <c r="AQ120" s="94">
        <f ca="1">TblProd[[#This Row],[Lumber]]*lumber_rot * (1 + tech_2_1*TblTech[[#This Row],[2-1]] + tech_2_8*TblTech[[#This Row],[2-8]] + tech_5_2*TblTech[[#This Row],[5-2]] + IF(AND(TblMagic[[#This Row],[Active DnD]]&lt;12,TblMagic[[#This Row],[Active DnD]]&gt;5),1,0))</f>
        <v>735.07</v>
      </c>
      <c r="AR120" s="94">
        <f ca="1">TblProd[[#This Row],[Mana]]*mana_drain * (1 + tech_2_1*TblTech[[#This Row],[2-1]] + tech_2_8*TblTech[[#This Row],[2-8]])</f>
        <v>0</v>
      </c>
      <c r="AS120" s="154"/>
      <c r="AT120" s="94">
        <f ca="1">TblExplore[[#This Row],[Platinum (2)]]+TblConstr[[#This Row],[Total Plat Cost]]+TblMili[[#This Row],[Plat Cost]]+TblRezone[[#This Row],[Platinum cost]]+TblImps[[#This Row],[P1]]-TblProd[[#This Row],[Bank Plat]]</f>
        <v>0</v>
      </c>
      <c r="AU120" s="94">
        <f ca="1">TblConstr[[#This Row],[Total Lum Cost]]+TblImps[[#This Row],[L1]]-TblProd[[#This Row],[Bank Lumber]] + Military!$CO$25*TblMili[[#This Row],[Sec. rec. Cost]]</f>
        <v>0</v>
      </c>
      <c r="AV120" s="94">
        <f ca="1">TblMagic[[#This Row],[Mana cost]] + Military!$CO$26*TblMili[[#This Row],[Sec. rec. Cost]]</f>
        <v>0</v>
      </c>
      <c r="AW120" s="94">
        <f ca="1">Military!$CO$24*TblMili[[#This Row],[Sec. rec. Cost]]+TblImps[[#This Row],[O1]]-TblProd[[#This Row],[Bank Ore]]</f>
        <v>0</v>
      </c>
      <c r="AX120" s="94">
        <f>TblImps[[#This Row],[G1]]-TblProd[[#This Row],[Bank Gems]]</f>
        <v>0</v>
      </c>
      <c r="AY120" s="142"/>
      <c r="AZ120" s="61" t="b">
        <f ca="1">IF(TblProd[[#This Row],[Set Guard]]&lt;&gt;"",TblProd[[#This Row],[Set Guard]],OFFSET(TblProd[[#This Row],[Guard]],-1,0))</f>
        <v>0</v>
      </c>
      <c r="BA120" s="153"/>
      <c r="BB120" s="45">
        <f>TblProd[[#This Row],[Hour]]</f>
        <v>81</v>
      </c>
      <c r="BC120" s="158">
        <f>-TblProd[[#This Row],[Bank Lumber]] / 2 + -TblProd[[#This Row],[Bank Gems]] * 2 + -TblProd[[#This Row],[Bank Ore]] / 2</f>
        <v>0</v>
      </c>
      <c r="BD120" s="158"/>
      <c r="BE120" s="158"/>
      <c r="BF120" s="158"/>
      <c r="BG120" s="159">
        <f ca="1">TblProd[[#This Row],[Time]]</f>
        <v>46051.833333333052</v>
      </c>
      <c r="BH120" s="45" t="str">
        <f>IF(AND(TblProd[[#This Row],[Bank Plat]]=0,TblProd[[#This Row],[Bank Lumber]]=0,TblProd[[#This Row],[Bank Ore]]=0,TblProd[[#This Row],[Bank Gems]]=0),"",IF(TblProd[[#This Row],[Bank Plat]]&gt;0,IF((TblProd[[#This Row],[Bank Lumber]]+TblProd[[#This Row],[Bank Ore]])/2+TblProd[[#This Row],[Bank Gems]]*2+ROUNDUP(TblProd[[#This Row],[Bank Plat]]/(1 + tech_2_2*Techs!Y120),0)=0,"Ok","Nope"),IF(TblProd[[#This Row],[Bank Lumber]]&gt;0,IF((TblProd[[#This Row],[Bank Plat]]+TblProd[[#This Row],[Bank Ore]])/2+TblProd[[#This Row],[Bank Gems]]*2+ROUNDUP(TblProd[[#This Row],[Bank Lumber]]/(1 + tech_2_2*Techs!Y120),0)=0,"Ok","Nope"),IF(TblProd[[#This Row],[Bank Ore]]&gt;0,IF((TblProd[[#This Row],[Bank Plat]]+TblProd[[#This Row],[Bank Lumber]])/2+TblProd[[#This Row],[Bank Gems]]*2+ROUNDUP(TblProd[[#This Row],[Bank Ore]]/(1 + tech_2_2*Techs!Y120),0)=0,"Ok","Nope")))))</f>
        <v/>
      </c>
      <c r="BI120" s="94">
        <f ca="1">TblProd[[#This Row],[Platinum]]</f>
        <v>215526</v>
      </c>
      <c r="BJ120" s="94">
        <f ca="1">TblProd[[#This Row],[Food]]</f>
        <v>164349</v>
      </c>
      <c r="BK120" s="94">
        <f ca="1">TblProd[[#This Row],[Lumber]]</f>
        <v>73507</v>
      </c>
      <c r="BL120" s="94">
        <f ca="1">TblProd[[#This Row],[Mana]]</f>
        <v>0</v>
      </c>
      <c r="BM120" s="94">
        <f ca="1">TblProd[[#This Row],[Ore]]</f>
        <v>0</v>
      </c>
    </row>
    <row r="121" spans="1:65" x14ac:dyDescent="0.2">
      <c r="A121" s="137">
        <f t="shared" si="1"/>
        <v>82</v>
      </c>
      <c r="B121" s="152">
        <f ca="1">TblImps[[#This Row],[Time]]</f>
        <v>46051.874999999716</v>
      </c>
      <c r="C121" s="153"/>
      <c r="D121" s="154"/>
      <c r="E121" s="94">
        <f ca="1">TblConstr[[#This Row],[Land]]</f>
        <v>110</v>
      </c>
      <c r="F121" s="94">
        <f ca="1">TblPop[[#This Row],[Peasants]]</f>
        <v>311</v>
      </c>
      <c r="G121" s="94">
        <f ca="1">TblMili[[#This Row],[Networth (2)]]</f>
        <v>2450</v>
      </c>
      <c r="H121" s="94">
        <f ca="1">OFFSET(TblProd[[#This Row],[Platinum]],-1,0)+OFFSET(TblProd[[#This Row],[Plat/hr]],-1,0) - TblProd[[#This Row],[Expenses Platinum]] + IF(TblProd[[#This Row],[Plat Bonus]],TblPop[[#This Row],[Peasants]]*4) + SUM(TblConstr[[#This Row],[Dest Hom]:[Dest Doc]])*TblConstr[[#This Row],[CPA Platinum -DB]]*tech_3_3_2*TblTech[[#This Row],[3-3]]</f>
        <v>216373</v>
      </c>
      <c r="I121" s="94">
        <f ca="1">OFFSET(TblProd[[#This Row],[Food]],-1,0)+OFFSET(TblProd[[#This Row],[Food/hr]],-1,0)+ROUNDUP((TblConstr[[#This Row],[Farms]]*80+TblConstr[[#This Row],[Docks]]*35)*(1+OFFSET(TblProd[[#This Row],[Bonus Food/hr]],-1,0)),0)</f>
        <v>165017</v>
      </c>
      <c r="J121" s="94">
        <f ca="1">OFFSET(TblProd[[#This Row],[Lumber]],-1,0)+OFFSET(TblProd[[#This Row],[Lumber/hr]],-1,0) - TblProd[[#This Row],[Expenses Lumber]] + SUM(TblConstr[[#This Row],[Dest Hom]:[Dest Doc]])*TblConstr[[#This Row],[CPA Lumber -DB]]*tech_3_3_2*TblTech[[#This Row],[3-3]]</f>
        <v>73772</v>
      </c>
      <c r="K121" s="94">
        <f ca="1">OFFSET(TblProd[[#This Row],[Mana]],-1,0)+OFFSET(TblProd[[#This Row],[Mana/hr]],-1,0)- TblProd[[#This Row],[Expenses Mana]]</f>
        <v>0</v>
      </c>
      <c r="L121" s="94">
        <f ca="1">OFFSET(TblProd[[#This Row],[Ore]],-1,0)+OFFSET(TblProd[[#This Row],[Ore/hr]],-1,0) -TblProd[[#This Row],[Expenses Ore]]</f>
        <v>0</v>
      </c>
      <c r="M121" s="94">
        <f ca="1">OFFSET(TblProd[[#This Row],[Gems]],-1,0)+OFFSET(TblProd[[#This Row],[Gems/hr]],-1,0) - TblProd[[#This Row],[Expenses Gems]]</f>
        <v>0</v>
      </c>
      <c r="N121" s="94">
        <f ca="1">OFFSET(TblProd[[#This Row],[Boats]],-1,0)+OFFSET(TblProd[[#This Row],[Boats/hr]],-1,0)</f>
        <v>0</v>
      </c>
      <c r="O121" s="94">
        <f ca="1">OFFSET(TblProd[[#This Row],[Prestige]],-1,0)</f>
        <v>250</v>
      </c>
      <c r="P12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1" s="94">
        <f ca="1">MAX(_xlfn.CEILING.MATH(TblProd[[#This Row],[Land]]*2.5+IFERROR(OFFSET(TblTech[[#This Row],[Sum of tech]],-1,0)*50,0)),3750)</f>
        <v>3750</v>
      </c>
      <c r="R121" s="142"/>
      <c r="S121" s="94">
        <f ca="1">ROUNDDOWN(TblProd[[#This Row],[Raw Plat/hr]]*(1+TblProd[[#This Row],[Bonus Plat/hr]]),0)</f>
        <v>839</v>
      </c>
      <c r="T121" s="94">
        <f ca="1">ROUND(TblProd[[#This Row],[Raw Food/hr]]*(1+TblProd[[#This Row],[Bonus Food/hr]])-TblProd[[#This Row],[Food decay]]-TblProd[[#This Row],[Food eaten]],0)</f>
        <v>661</v>
      </c>
      <c r="U121" s="94">
        <f ca="1">ROUND(TblProd[[#This Row],[Raw Lumber/hr]]*(1+TblProd[[#This Row],[Bonus Lumber/hr]])-TblProd[[#This Row],[Lumber rot]],0)</f>
        <v>262</v>
      </c>
      <c r="V121" s="94">
        <f ca="1">ROUND(TblProd[[#This Row],[Raw Mana/hr]]*(1+TblProd[[#This Row],[Bonus Mana/hr]])-TblProd[[#This Row],[Mana drain]],0)</f>
        <v>0</v>
      </c>
      <c r="W121" s="94">
        <f ca="1">ROUNDDOWN(TblProd[[#This Row],[Raw Ore/hr]]*(1+TblProd[[#This Row],[Bonux Ore/hr]]),0)</f>
        <v>0</v>
      </c>
      <c r="X121" s="94">
        <f ca="1">ROUNDDOWN(TblProd[[#This Row],[Raw Gems/hr]]*(1+TblProd[[#This Row],[Bonus Gems/hr]]),0)</f>
        <v>0</v>
      </c>
      <c r="Y121" s="155">
        <f ca="1">OFFSET(TblConstr[[#This Row],[Tot Doc]],1,0)*dock_boats_hr * (1 + tech_4_1*TblTech[[#This Row],[4-1]])</f>
        <v>0</v>
      </c>
      <c r="Z121" s="154"/>
      <c r="AA121" s="94">
        <f ca="1">TblPop[[#This Row],[Peasants]]*tax*TblPop[[#This Row],[Employment]] + (Construction!AZ122+Construction!BX122)*(alch_plat+(Magic!AN121&gt;0)*alchemist_flame_bonus)</f>
        <v>839.7</v>
      </c>
      <c r="AB121" s="94">
        <f ca="1">TblConstr[[#This Row],[Tot Farm]]*farm_food + TblConstr[[#This Row],[Tot Doc]]*dock_food</f>
        <v>2400</v>
      </c>
      <c r="AC121" s="94">
        <f ca="1">TblConstr[[#This Row],[Tot Ly]]*ly_lumber + TblConstr[[#This Row],[Tot Hav]]*fh_lumber + IF(race="Wood Elf",TblMili[[#This Row],[Unit 2]]*MIN(TblMili[[#This Row],[Homeland%]]/wisp_bonus,wisp_cap),0)</f>
        <v>1000</v>
      </c>
      <c r="AD121" s="94">
        <f ca="1">OFFSET(TblConstr[[#This Row],[Tot Tow]],1,0)*(tower_mana + tech_4_5*TblTech[[#This Row],[4-5]]) + OFFSET(TblConstr[[#This Row],[Tot WG]],1,0)*wg_mana_prod</f>
        <v>0</v>
      </c>
      <c r="AE121" s="94">
        <f ca="1">OFFSET(TblConstr[[#This Row],[Tot OM]],1,0)*om_ore+IF(race="Dwarf",TblMili[[#This Row],[Unit 2]]*0.5,0)</f>
        <v>0</v>
      </c>
      <c r="AF121" s="94">
        <f ca="1">OFFSET(TblConstr[[#This Row],[Tot DM]],1,0)*dm_gems</f>
        <v>0</v>
      </c>
      <c r="AG121" s="142"/>
      <c r="AH121" s="156">
        <f ca="1">MIN(race_platinum_bonus + IF(TblMagic[[#This Row],[Active Alch Frost]]&gt;0,alch_frost_bonus,IF(Magic!AE121&gt;0,midas_bonus)) + TblImps[[#This Row],[Science]] - TblProd[[#This Row],[Guard]]*(0.02 + tech_5_7*TblTech[[#This Row],[5-7]]) + tech_1_5*TblTech[[#This Row],[1-5]] + tech_4_4*TblTech[[#This Row],[4-4]] + IF(TblMagic[[#This Row],[Active Infernal Command]]&gt;0,demonic_pact_plat,0), 0.5)</f>
        <v>0</v>
      </c>
      <c r="AI12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1" s="156">
        <f ca="1">race_lumber_bonus+ IF(TblMagic[[#This Row],[Active Gaia''s Blessing]]&gt;0,gaias_blessing_lumber)+ tech_1_3*TblTech[[#This Row],[1-3]] + tech_1_6*TblTech[[#This Row],[1-6]] + tech_3_3*TblTech[[#This Row],[3-3]]</f>
        <v>0</v>
      </c>
      <c r="AK121" s="156">
        <f ca="1">race_mana_bonus+ 0 + TblImps[[#This Row],[Spires]] + tech_1_2*TblTech[[#This Row],[1-2]] + tech_3_4*TblTech[[#This Row],[3-4]]</f>
        <v>0</v>
      </c>
      <c r="AL121" s="156">
        <f ca="1">race_ore_bonus + IF(TblMagic[[#This Row],[Active Miner''s Sight]]&gt;0,miners_sight_bonus,IF(TblMagic[[#This Row],[Active Mining Strength]]&gt;0,mining_strength_bonus)) +  tech_1_6*TblTech[[#This Row],[1-6]]</f>
        <v>0</v>
      </c>
      <c r="AM121" s="156">
        <f>race_gem_bonus+ tech_3_2*TblTech[[#This Row],[3-2]] + tech_4_3*TblTech[[#This Row],[4-3]] + tech_6_2*TblTech[[#This Row],[6-2]]</f>
        <v>0</v>
      </c>
      <c r="AN121" s="142"/>
      <c r="AO121" s="94">
        <f ca="1">TblProd[[#This Row],[Food]]*food_decay * (1 + tech_2_1*TblTech[[#This Row],[2-1]] + tech_2_8*TblTech[[#This Row],[2-8]] + IF(AND(TblMagic[[#This Row],[Active DnD]]&lt;12,TblMagic[[#This Row],[Active DnD]]&gt;5),1,0))</f>
        <v>1650.17</v>
      </c>
      <c r="AP121" s="94">
        <f ca="1">(1+race_food_consumption)*TblPop[[#This Row],[Total]]*food_per_person*(1+tech_1_10*TblTech[[#This Row],[1-10]]+tech_7_5*TblTech[[#This Row],[7-5]] + IF(TblMagic[[#This Row],[Active Infernal Command]]&gt;0,demonic_pact_food_cons,0))</f>
        <v>269</v>
      </c>
      <c r="AQ121" s="94">
        <f ca="1">TblProd[[#This Row],[Lumber]]*lumber_rot * (1 + tech_2_1*TblTech[[#This Row],[2-1]] + tech_2_8*TblTech[[#This Row],[2-8]] + tech_5_2*TblTech[[#This Row],[5-2]] + IF(AND(TblMagic[[#This Row],[Active DnD]]&lt;12,TblMagic[[#This Row],[Active DnD]]&gt;5),1,0))</f>
        <v>737.72</v>
      </c>
      <c r="AR121" s="94">
        <f ca="1">TblProd[[#This Row],[Mana]]*mana_drain * (1 + tech_2_1*TblTech[[#This Row],[2-1]] + tech_2_8*TblTech[[#This Row],[2-8]])</f>
        <v>0</v>
      </c>
      <c r="AS121" s="154"/>
      <c r="AT121" s="94">
        <f ca="1">TblExplore[[#This Row],[Platinum (2)]]+TblConstr[[#This Row],[Total Plat Cost]]+TblMili[[#This Row],[Plat Cost]]+TblRezone[[#This Row],[Platinum cost]]+TblImps[[#This Row],[P1]]-TblProd[[#This Row],[Bank Plat]]</f>
        <v>0</v>
      </c>
      <c r="AU121" s="94">
        <f ca="1">TblConstr[[#This Row],[Total Lum Cost]]+TblImps[[#This Row],[L1]]-TblProd[[#This Row],[Bank Lumber]] + Military!$CO$25*TblMili[[#This Row],[Sec. rec. Cost]]</f>
        <v>0</v>
      </c>
      <c r="AV121" s="94">
        <f ca="1">TblMagic[[#This Row],[Mana cost]] + Military!$CO$26*TblMili[[#This Row],[Sec. rec. Cost]]</f>
        <v>0</v>
      </c>
      <c r="AW121" s="94">
        <f ca="1">Military!$CO$24*TblMili[[#This Row],[Sec. rec. Cost]]+TblImps[[#This Row],[O1]]-TblProd[[#This Row],[Bank Ore]]</f>
        <v>0</v>
      </c>
      <c r="AX121" s="94">
        <f>TblImps[[#This Row],[G1]]-TblProd[[#This Row],[Bank Gems]]</f>
        <v>0</v>
      </c>
      <c r="AY121" s="142"/>
      <c r="AZ121" s="61" t="b">
        <f ca="1">IF(TblProd[[#This Row],[Set Guard]]&lt;&gt;"",TblProd[[#This Row],[Set Guard]],OFFSET(TblProd[[#This Row],[Guard]],-1,0))</f>
        <v>0</v>
      </c>
      <c r="BA121" s="153"/>
      <c r="BB121" s="45">
        <f>TblProd[[#This Row],[Hour]]</f>
        <v>82</v>
      </c>
      <c r="BC121" s="158">
        <f>-TblProd[[#This Row],[Bank Lumber]] / 2 + -TblProd[[#This Row],[Bank Gems]] * 2 + -TblProd[[#This Row],[Bank Ore]] / 2</f>
        <v>0</v>
      </c>
      <c r="BD121" s="158"/>
      <c r="BE121" s="158"/>
      <c r="BF121" s="158"/>
      <c r="BG121" s="159">
        <f ca="1">TblProd[[#This Row],[Time]]</f>
        <v>46051.874999999716</v>
      </c>
      <c r="BH121" s="45" t="str">
        <f>IF(AND(TblProd[[#This Row],[Bank Plat]]=0,TblProd[[#This Row],[Bank Lumber]]=0,TblProd[[#This Row],[Bank Ore]]=0,TblProd[[#This Row],[Bank Gems]]=0),"",IF(TblProd[[#This Row],[Bank Plat]]&gt;0,IF((TblProd[[#This Row],[Bank Lumber]]+TblProd[[#This Row],[Bank Ore]])/2+TblProd[[#This Row],[Bank Gems]]*2+ROUNDUP(TblProd[[#This Row],[Bank Plat]]/(1 + tech_2_2*Techs!Y121),0)=0,"Ok","Nope"),IF(TblProd[[#This Row],[Bank Lumber]]&gt;0,IF((TblProd[[#This Row],[Bank Plat]]+TblProd[[#This Row],[Bank Ore]])/2+TblProd[[#This Row],[Bank Gems]]*2+ROUNDUP(TblProd[[#This Row],[Bank Lumber]]/(1 + tech_2_2*Techs!Y121),0)=0,"Ok","Nope"),IF(TblProd[[#This Row],[Bank Ore]]&gt;0,IF((TblProd[[#This Row],[Bank Plat]]+TblProd[[#This Row],[Bank Lumber]])/2+TblProd[[#This Row],[Bank Gems]]*2+ROUNDUP(TblProd[[#This Row],[Bank Ore]]/(1 + tech_2_2*Techs!Y121),0)=0,"Ok","Nope")))))</f>
        <v/>
      </c>
      <c r="BI121" s="94">
        <f ca="1">TblProd[[#This Row],[Platinum]]</f>
        <v>216373</v>
      </c>
      <c r="BJ121" s="94">
        <f ca="1">TblProd[[#This Row],[Food]]</f>
        <v>165017</v>
      </c>
      <c r="BK121" s="94">
        <f ca="1">TblProd[[#This Row],[Lumber]]</f>
        <v>73772</v>
      </c>
      <c r="BL121" s="94">
        <f ca="1">TblProd[[#This Row],[Mana]]</f>
        <v>0</v>
      </c>
      <c r="BM121" s="94">
        <f ca="1">TblProd[[#This Row],[Ore]]</f>
        <v>0</v>
      </c>
    </row>
    <row r="122" spans="1:65" x14ac:dyDescent="0.2">
      <c r="A122" s="137">
        <f t="shared" si="1"/>
        <v>83</v>
      </c>
      <c r="B122" s="152">
        <f ca="1">TblImps[[#This Row],[Time]]</f>
        <v>46051.91666666638</v>
      </c>
      <c r="C122" s="153"/>
      <c r="D122" s="154"/>
      <c r="E122" s="94">
        <f ca="1">TblConstr[[#This Row],[Land]]</f>
        <v>110</v>
      </c>
      <c r="F122" s="94">
        <f ca="1">TblPop[[#This Row],[Peasants]]</f>
        <v>308</v>
      </c>
      <c r="G122" s="94">
        <f ca="1">TblMili[[#This Row],[Networth (2)]]</f>
        <v>2450</v>
      </c>
      <c r="H122" s="94">
        <f ca="1">OFFSET(TblProd[[#This Row],[Platinum]],-1,0)+OFFSET(TblProd[[#This Row],[Plat/hr]],-1,0) - TblProd[[#This Row],[Expenses Platinum]] + IF(TblProd[[#This Row],[Plat Bonus]],TblPop[[#This Row],[Peasants]]*4) + SUM(TblConstr[[#This Row],[Dest Hom]:[Dest Doc]])*TblConstr[[#This Row],[CPA Platinum -DB]]*tech_3_3_2*TblTech[[#This Row],[3-3]]</f>
        <v>217212</v>
      </c>
      <c r="I122" s="94">
        <f ca="1">OFFSET(TblProd[[#This Row],[Food]],-1,0)+OFFSET(TblProd[[#This Row],[Food/hr]],-1,0)+ROUNDUP((TblConstr[[#This Row],[Farms]]*80+TblConstr[[#This Row],[Docks]]*35)*(1+OFFSET(TblProd[[#This Row],[Bonus Food/hr]],-1,0)),0)</f>
        <v>165678</v>
      </c>
      <c r="J122" s="94">
        <f ca="1">OFFSET(TblProd[[#This Row],[Lumber]],-1,0)+OFFSET(TblProd[[#This Row],[Lumber/hr]],-1,0) - TblProd[[#This Row],[Expenses Lumber]] + SUM(TblConstr[[#This Row],[Dest Hom]:[Dest Doc]])*TblConstr[[#This Row],[CPA Lumber -DB]]*tech_3_3_2*TblTech[[#This Row],[3-3]]</f>
        <v>74034</v>
      </c>
      <c r="K122" s="94">
        <f ca="1">OFFSET(TblProd[[#This Row],[Mana]],-1,0)+OFFSET(TblProd[[#This Row],[Mana/hr]],-1,0)- TblProd[[#This Row],[Expenses Mana]]</f>
        <v>0</v>
      </c>
      <c r="L122" s="94">
        <f ca="1">OFFSET(TblProd[[#This Row],[Ore]],-1,0)+OFFSET(TblProd[[#This Row],[Ore/hr]],-1,0) -TblProd[[#This Row],[Expenses Ore]]</f>
        <v>0</v>
      </c>
      <c r="M122" s="94">
        <f ca="1">OFFSET(TblProd[[#This Row],[Gems]],-1,0)+OFFSET(TblProd[[#This Row],[Gems/hr]],-1,0) - TblProd[[#This Row],[Expenses Gems]]</f>
        <v>0</v>
      </c>
      <c r="N122" s="94">
        <f ca="1">OFFSET(TblProd[[#This Row],[Boats]],-1,0)+OFFSET(TblProd[[#This Row],[Boats/hr]],-1,0)</f>
        <v>0</v>
      </c>
      <c r="O122" s="94">
        <f ca="1">OFFSET(TblProd[[#This Row],[Prestige]],-1,0)</f>
        <v>250</v>
      </c>
      <c r="P12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2" s="94">
        <f ca="1">MAX(_xlfn.CEILING.MATH(TblProd[[#This Row],[Land]]*2.5+IFERROR(OFFSET(TblTech[[#This Row],[Sum of tech]],-1,0)*50,0)),3750)</f>
        <v>3750</v>
      </c>
      <c r="R122" s="142"/>
      <c r="S122" s="94">
        <f ca="1">ROUNDDOWN(TblProd[[#This Row],[Raw Plat/hr]]*(1+TblProd[[#This Row],[Bonus Plat/hr]]),0)</f>
        <v>831</v>
      </c>
      <c r="T122" s="94">
        <f ca="1">ROUND(TblProd[[#This Row],[Raw Food/hr]]*(1+TblProd[[#This Row],[Bonus Food/hr]])-TblProd[[#This Row],[Food decay]]-TblProd[[#This Row],[Food eaten]],0)</f>
        <v>654</v>
      </c>
      <c r="U122" s="94">
        <f ca="1">ROUND(TblProd[[#This Row],[Raw Lumber/hr]]*(1+TblProd[[#This Row],[Bonus Lumber/hr]])-TblProd[[#This Row],[Lumber rot]],0)</f>
        <v>260</v>
      </c>
      <c r="V122" s="94">
        <f ca="1">ROUND(TblProd[[#This Row],[Raw Mana/hr]]*(1+TblProd[[#This Row],[Bonus Mana/hr]])-TblProd[[#This Row],[Mana drain]],0)</f>
        <v>0</v>
      </c>
      <c r="W122" s="94">
        <f ca="1">ROUNDDOWN(TblProd[[#This Row],[Raw Ore/hr]]*(1+TblProd[[#This Row],[Bonux Ore/hr]]),0)</f>
        <v>0</v>
      </c>
      <c r="X122" s="94">
        <f ca="1">ROUNDDOWN(TblProd[[#This Row],[Raw Gems/hr]]*(1+TblProd[[#This Row],[Bonus Gems/hr]]),0)</f>
        <v>0</v>
      </c>
      <c r="Y122" s="155">
        <f ca="1">OFFSET(TblConstr[[#This Row],[Tot Doc]],1,0)*dock_boats_hr * (1 + tech_4_1*TblTech[[#This Row],[4-1]])</f>
        <v>0</v>
      </c>
      <c r="Z122" s="154"/>
      <c r="AA122" s="94">
        <f ca="1">TblPop[[#This Row],[Peasants]]*tax*TblPop[[#This Row],[Employment]] + (Construction!AZ123+Construction!BX123)*(alch_plat+(Magic!AN122&gt;0)*alchemist_flame_bonus)</f>
        <v>831.6</v>
      </c>
      <c r="AB122" s="94">
        <f ca="1">TblConstr[[#This Row],[Tot Farm]]*farm_food + TblConstr[[#This Row],[Tot Doc]]*dock_food</f>
        <v>2400</v>
      </c>
      <c r="AC122" s="94">
        <f ca="1">TblConstr[[#This Row],[Tot Ly]]*ly_lumber + TblConstr[[#This Row],[Tot Hav]]*fh_lumber + IF(race="Wood Elf",TblMili[[#This Row],[Unit 2]]*MIN(TblMili[[#This Row],[Homeland%]]/wisp_bonus,wisp_cap),0)</f>
        <v>1000</v>
      </c>
      <c r="AD122" s="94">
        <f ca="1">OFFSET(TblConstr[[#This Row],[Tot Tow]],1,0)*(tower_mana + tech_4_5*TblTech[[#This Row],[4-5]]) + OFFSET(TblConstr[[#This Row],[Tot WG]],1,0)*wg_mana_prod</f>
        <v>0</v>
      </c>
      <c r="AE122" s="94">
        <f ca="1">OFFSET(TblConstr[[#This Row],[Tot OM]],1,0)*om_ore+IF(race="Dwarf",TblMili[[#This Row],[Unit 2]]*0.5,0)</f>
        <v>0</v>
      </c>
      <c r="AF122" s="94">
        <f ca="1">OFFSET(TblConstr[[#This Row],[Tot DM]],1,0)*dm_gems</f>
        <v>0</v>
      </c>
      <c r="AG122" s="142"/>
      <c r="AH122" s="156">
        <f ca="1">MIN(race_platinum_bonus + IF(TblMagic[[#This Row],[Active Alch Frost]]&gt;0,alch_frost_bonus,IF(Magic!AE122&gt;0,midas_bonus)) + TblImps[[#This Row],[Science]] - TblProd[[#This Row],[Guard]]*(0.02 + tech_5_7*TblTech[[#This Row],[5-7]]) + tech_1_5*TblTech[[#This Row],[1-5]] + tech_4_4*TblTech[[#This Row],[4-4]] + IF(TblMagic[[#This Row],[Active Infernal Command]]&gt;0,demonic_pact_plat,0), 0.5)</f>
        <v>0</v>
      </c>
      <c r="AI12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2" s="156">
        <f ca="1">race_lumber_bonus+ IF(TblMagic[[#This Row],[Active Gaia''s Blessing]]&gt;0,gaias_blessing_lumber)+ tech_1_3*TblTech[[#This Row],[1-3]] + tech_1_6*TblTech[[#This Row],[1-6]] + tech_3_3*TblTech[[#This Row],[3-3]]</f>
        <v>0</v>
      </c>
      <c r="AK122" s="156">
        <f ca="1">race_mana_bonus+ 0 + TblImps[[#This Row],[Spires]] + tech_1_2*TblTech[[#This Row],[1-2]] + tech_3_4*TblTech[[#This Row],[3-4]]</f>
        <v>0</v>
      </c>
      <c r="AL122" s="156">
        <f ca="1">race_ore_bonus + IF(TblMagic[[#This Row],[Active Miner''s Sight]]&gt;0,miners_sight_bonus,IF(TblMagic[[#This Row],[Active Mining Strength]]&gt;0,mining_strength_bonus)) +  tech_1_6*TblTech[[#This Row],[1-6]]</f>
        <v>0</v>
      </c>
      <c r="AM122" s="156">
        <f>race_gem_bonus+ tech_3_2*TblTech[[#This Row],[3-2]] + tech_4_3*TblTech[[#This Row],[4-3]] + tech_6_2*TblTech[[#This Row],[6-2]]</f>
        <v>0</v>
      </c>
      <c r="AN122" s="142"/>
      <c r="AO122" s="94">
        <f ca="1">TblProd[[#This Row],[Food]]*food_decay * (1 + tech_2_1*TblTech[[#This Row],[2-1]] + tech_2_8*TblTech[[#This Row],[2-8]] + IF(AND(TblMagic[[#This Row],[Active DnD]]&lt;12,TblMagic[[#This Row],[Active DnD]]&gt;5),1,0))</f>
        <v>1656.78</v>
      </c>
      <c r="AP122" s="94">
        <f ca="1">(1+race_food_consumption)*TblPop[[#This Row],[Total]]*food_per_person*(1+tech_1_10*TblTech[[#This Row],[1-10]]+tech_7_5*TblTech[[#This Row],[7-5]] + IF(TblMagic[[#This Row],[Active Infernal Command]]&gt;0,demonic_pact_food_cons,0))</f>
        <v>269</v>
      </c>
      <c r="AQ122" s="94">
        <f ca="1">TblProd[[#This Row],[Lumber]]*lumber_rot * (1 + tech_2_1*TblTech[[#This Row],[2-1]] + tech_2_8*TblTech[[#This Row],[2-8]] + tech_5_2*TblTech[[#This Row],[5-2]] + IF(AND(TblMagic[[#This Row],[Active DnD]]&lt;12,TblMagic[[#This Row],[Active DnD]]&gt;5),1,0))</f>
        <v>740.34</v>
      </c>
      <c r="AR122" s="94">
        <f ca="1">TblProd[[#This Row],[Mana]]*mana_drain * (1 + tech_2_1*TblTech[[#This Row],[2-1]] + tech_2_8*TblTech[[#This Row],[2-8]])</f>
        <v>0</v>
      </c>
      <c r="AS122" s="154"/>
      <c r="AT122" s="94">
        <f ca="1">TblExplore[[#This Row],[Platinum (2)]]+TblConstr[[#This Row],[Total Plat Cost]]+TblMili[[#This Row],[Plat Cost]]+TblRezone[[#This Row],[Platinum cost]]+TblImps[[#This Row],[P1]]-TblProd[[#This Row],[Bank Plat]]</f>
        <v>0</v>
      </c>
      <c r="AU122" s="94">
        <f ca="1">TblConstr[[#This Row],[Total Lum Cost]]+TblImps[[#This Row],[L1]]-TblProd[[#This Row],[Bank Lumber]] + Military!$CO$25*TblMili[[#This Row],[Sec. rec. Cost]]</f>
        <v>0</v>
      </c>
      <c r="AV122" s="94">
        <f ca="1">TblMagic[[#This Row],[Mana cost]] + Military!$CO$26*TblMili[[#This Row],[Sec. rec. Cost]]</f>
        <v>0</v>
      </c>
      <c r="AW122" s="94">
        <f ca="1">Military!$CO$24*TblMili[[#This Row],[Sec. rec. Cost]]+TblImps[[#This Row],[O1]]-TblProd[[#This Row],[Bank Ore]]</f>
        <v>0</v>
      </c>
      <c r="AX122" s="94">
        <f>TblImps[[#This Row],[G1]]-TblProd[[#This Row],[Bank Gems]]</f>
        <v>0</v>
      </c>
      <c r="AY122" s="142"/>
      <c r="AZ122" s="61" t="b">
        <f ca="1">IF(TblProd[[#This Row],[Set Guard]]&lt;&gt;"",TblProd[[#This Row],[Set Guard]],OFFSET(TblProd[[#This Row],[Guard]],-1,0))</f>
        <v>0</v>
      </c>
      <c r="BA122" s="153"/>
      <c r="BB122" s="45">
        <f>TblProd[[#This Row],[Hour]]</f>
        <v>83</v>
      </c>
      <c r="BC122" s="158">
        <f>-TblProd[[#This Row],[Bank Lumber]] / 2 + -TblProd[[#This Row],[Bank Gems]] * 2 + -TblProd[[#This Row],[Bank Ore]] / 2</f>
        <v>0</v>
      </c>
      <c r="BD122" s="158"/>
      <c r="BE122" s="158"/>
      <c r="BF122" s="158"/>
      <c r="BG122" s="159">
        <f ca="1">TblProd[[#This Row],[Time]]</f>
        <v>46051.91666666638</v>
      </c>
      <c r="BH122" s="45" t="str">
        <f>IF(AND(TblProd[[#This Row],[Bank Plat]]=0,TblProd[[#This Row],[Bank Lumber]]=0,TblProd[[#This Row],[Bank Ore]]=0,TblProd[[#This Row],[Bank Gems]]=0),"",IF(TblProd[[#This Row],[Bank Plat]]&gt;0,IF((TblProd[[#This Row],[Bank Lumber]]+TblProd[[#This Row],[Bank Ore]])/2+TblProd[[#This Row],[Bank Gems]]*2+ROUNDUP(TblProd[[#This Row],[Bank Plat]]/(1 + tech_2_2*Techs!Y122),0)=0,"Ok","Nope"),IF(TblProd[[#This Row],[Bank Lumber]]&gt;0,IF((TblProd[[#This Row],[Bank Plat]]+TblProd[[#This Row],[Bank Ore]])/2+TblProd[[#This Row],[Bank Gems]]*2+ROUNDUP(TblProd[[#This Row],[Bank Lumber]]/(1 + tech_2_2*Techs!Y122),0)=0,"Ok","Nope"),IF(TblProd[[#This Row],[Bank Ore]]&gt;0,IF((TblProd[[#This Row],[Bank Plat]]+TblProd[[#This Row],[Bank Lumber]])/2+TblProd[[#This Row],[Bank Gems]]*2+ROUNDUP(TblProd[[#This Row],[Bank Ore]]/(1 + tech_2_2*Techs!Y122),0)=0,"Ok","Nope")))))</f>
        <v/>
      </c>
      <c r="BI122" s="94">
        <f ca="1">TblProd[[#This Row],[Platinum]]</f>
        <v>217212</v>
      </c>
      <c r="BJ122" s="94">
        <f ca="1">TblProd[[#This Row],[Food]]</f>
        <v>165678</v>
      </c>
      <c r="BK122" s="94">
        <f ca="1">TblProd[[#This Row],[Lumber]]</f>
        <v>74034</v>
      </c>
      <c r="BL122" s="94">
        <f ca="1">TblProd[[#This Row],[Mana]]</f>
        <v>0</v>
      </c>
      <c r="BM122" s="94">
        <f ca="1">TblProd[[#This Row],[Ore]]</f>
        <v>0</v>
      </c>
    </row>
    <row r="123" spans="1:65" x14ac:dyDescent="0.2">
      <c r="A123" s="137">
        <f t="shared" si="1"/>
        <v>84</v>
      </c>
      <c r="B123" s="152">
        <f ca="1">TblImps[[#This Row],[Time]]</f>
        <v>46051.958333333045</v>
      </c>
      <c r="C123" s="153"/>
      <c r="D123" s="154"/>
      <c r="E123" s="94">
        <f ca="1">TblConstr[[#This Row],[Land]]</f>
        <v>110</v>
      </c>
      <c r="F123" s="94">
        <f ca="1">TblPop[[#This Row],[Peasants]]</f>
        <v>305</v>
      </c>
      <c r="G123" s="94">
        <f ca="1">TblMili[[#This Row],[Networth (2)]]</f>
        <v>2450</v>
      </c>
      <c r="H123" s="94">
        <f ca="1">OFFSET(TblProd[[#This Row],[Platinum]],-1,0)+OFFSET(TblProd[[#This Row],[Plat/hr]],-1,0) - TblProd[[#This Row],[Expenses Platinum]] + IF(TblProd[[#This Row],[Plat Bonus]],TblPop[[#This Row],[Peasants]]*4) + SUM(TblConstr[[#This Row],[Dest Hom]:[Dest Doc]])*TblConstr[[#This Row],[CPA Platinum -DB]]*tech_3_3_2*TblTech[[#This Row],[3-3]]</f>
        <v>218043</v>
      </c>
      <c r="I123" s="94">
        <f ca="1">OFFSET(TblProd[[#This Row],[Food]],-1,0)+OFFSET(TblProd[[#This Row],[Food/hr]],-1,0)+ROUNDUP((TblConstr[[#This Row],[Farms]]*80+TblConstr[[#This Row],[Docks]]*35)*(1+OFFSET(TblProd[[#This Row],[Bonus Food/hr]],-1,0)),0)</f>
        <v>166332</v>
      </c>
      <c r="J123" s="94">
        <f ca="1">OFFSET(TblProd[[#This Row],[Lumber]],-1,0)+OFFSET(TblProd[[#This Row],[Lumber/hr]],-1,0) - TblProd[[#This Row],[Expenses Lumber]] + SUM(TblConstr[[#This Row],[Dest Hom]:[Dest Doc]])*TblConstr[[#This Row],[CPA Lumber -DB]]*tech_3_3_2*TblTech[[#This Row],[3-3]]</f>
        <v>74294</v>
      </c>
      <c r="K123" s="94">
        <f ca="1">OFFSET(TblProd[[#This Row],[Mana]],-1,0)+OFFSET(TblProd[[#This Row],[Mana/hr]],-1,0)- TblProd[[#This Row],[Expenses Mana]]</f>
        <v>0</v>
      </c>
      <c r="L123" s="94">
        <f ca="1">OFFSET(TblProd[[#This Row],[Ore]],-1,0)+OFFSET(TblProd[[#This Row],[Ore/hr]],-1,0) -TblProd[[#This Row],[Expenses Ore]]</f>
        <v>0</v>
      </c>
      <c r="M123" s="94">
        <f ca="1">OFFSET(TblProd[[#This Row],[Gems]],-1,0)+OFFSET(TblProd[[#This Row],[Gems/hr]],-1,0) - TblProd[[#This Row],[Expenses Gems]]</f>
        <v>0</v>
      </c>
      <c r="N123" s="94">
        <f ca="1">OFFSET(TblProd[[#This Row],[Boats]],-1,0)+OFFSET(TblProd[[#This Row],[Boats/hr]],-1,0)</f>
        <v>0</v>
      </c>
      <c r="O123" s="94">
        <f ca="1">OFFSET(TblProd[[#This Row],[Prestige]],-1,0)</f>
        <v>250</v>
      </c>
      <c r="P12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3" s="94">
        <f ca="1">MAX(_xlfn.CEILING.MATH(TblProd[[#This Row],[Land]]*2.5+IFERROR(OFFSET(TblTech[[#This Row],[Sum of tech]],-1,0)*50,0)),3750)</f>
        <v>3750</v>
      </c>
      <c r="R123" s="142"/>
      <c r="S123" s="94">
        <f ca="1">ROUNDDOWN(TblProd[[#This Row],[Raw Plat/hr]]*(1+TblProd[[#This Row],[Bonus Plat/hr]]),0)</f>
        <v>823</v>
      </c>
      <c r="T123" s="94">
        <f ca="1">ROUND(TblProd[[#This Row],[Raw Food/hr]]*(1+TblProd[[#This Row],[Bonus Food/hr]])-TblProd[[#This Row],[Food decay]]-TblProd[[#This Row],[Food eaten]],0)</f>
        <v>648</v>
      </c>
      <c r="U123" s="94">
        <f ca="1">ROUND(TblProd[[#This Row],[Raw Lumber/hr]]*(1+TblProd[[#This Row],[Bonus Lumber/hr]])-TblProd[[#This Row],[Lumber rot]],0)</f>
        <v>257</v>
      </c>
      <c r="V123" s="94">
        <f ca="1">ROUND(TblProd[[#This Row],[Raw Mana/hr]]*(1+TblProd[[#This Row],[Bonus Mana/hr]])-TblProd[[#This Row],[Mana drain]],0)</f>
        <v>0</v>
      </c>
      <c r="W123" s="94">
        <f ca="1">ROUNDDOWN(TblProd[[#This Row],[Raw Ore/hr]]*(1+TblProd[[#This Row],[Bonux Ore/hr]]),0)</f>
        <v>0</v>
      </c>
      <c r="X123" s="94">
        <f ca="1">ROUNDDOWN(TblProd[[#This Row],[Raw Gems/hr]]*(1+TblProd[[#This Row],[Bonus Gems/hr]]),0)</f>
        <v>0</v>
      </c>
      <c r="Y123" s="155">
        <f ca="1">OFFSET(TblConstr[[#This Row],[Tot Doc]],1,0)*dock_boats_hr * (1 + tech_4_1*TblTech[[#This Row],[4-1]])</f>
        <v>0</v>
      </c>
      <c r="Z123" s="154"/>
      <c r="AA123" s="94">
        <f ca="1">TblPop[[#This Row],[Peasants]]*tax*TblPop[[#This Row],[Employment]] + (Construction!AZ124+Construction!BX124)*(alch_plat+(Magic!AN123&gt;0)*alchemist_flame_bonus)</f>
        <v>823.5</v>
      </c>
      <c r="AB123" s="94">
        <f ca="1">TblConstr[[#This Row],[Tot Farm]]*farm_food + TblConstr[[#This Row],[Tot Doc]]*dock_food</f>
        <v>2400</v>
      </c>
      <c r="AC123" s="94">
        <f ca="1">TblConstr[[#This Row],[Tot Ly]]*ly_lumber + TblConstr[[#This Row],[Tot Hav]]*fh_lumber + IF(race="Wood Elf",TblMili[[#This Row],[Unit 2]]*MIN(TblMili[[#This Row],[Homeland%]]/wisp_bonus,wisp_cap),0)</f>
        <v>1000</v>
      </c>
      <c r="AD123" s="94">
        <f ca="1">OFFSET(TblConstr[[#This Row],[Tot Tow]],1,0)*(tower_mana + tech_4_5*TblTech[[#This Row],[4-5]]) + OFFSET(TblConstr[[#This Row],[Tot WG]],1,0)*wg_mana_prod</f>
        <v>0</v>
      </c>
      <c r="AE123" s="94">
        <f ca="1">OFFSET(TblConstr[[#This Row],[Tot OM]],1,0)*om_ore+IF(race="Dwarf",TblMili[[#This Row],[Unit 2]]*0.5,0)</f>
        <v>0</v>
      </c>
      <c r="AF123" s="94">
        <f ca="1">OFFSET(TblConstr[[#This Row],[Tot DM]],1,0)*dm_gems</f>
        <v>0</v>
      </c>
      <c r="AG123" s="142"/>
      <c r="AH123" s="156">
        <f ca="1">MIN(race_platinum_bonus + IF(TblMagic[[#This Row],[Active Alch Frost]]&gt;0,alch_frost_bonus,IF(Magic!AE123&gt;0,midas_bonus)) + TblImps[[#This Row],[Science]] - TblProd[[#This Row],[Guard]]*(0.02 + tech_5_7*TblTech[[#This Row],[5-7]]) + tech_1_5*TblTech[[#This Row],[1-5]] + tech_4_4*TblTech[[#This Row],[4-4]] + IF(TblMagic[[#This Row],[Active Infernal Command]]&gt;0,demonic_pact_plat,0), 0.5)</f>
        <v>0</v>
      </c>
      <c r="AI12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3" s="156">
        <f ca="1">race_lumber_bonus+ IF(TblMagic[[#This Row],[Active Gaia''s Blessing]]&gt;0,gaias_blessing_lumber)+ tech_1_3*TblTech[[#This Row],[1-3]] + tech_1_6*TblTech[[#This Row],[1-6]] + tech_3_3*TblTech[[#This Row],[3-3]]</f>
        <v>0</v>
      </c>
      <c r="AK123" s="156">
        <f ca="1">race_mana_bonus+ 0 + TblImps[[#This Row],[Spires]] + tech_1_2*TblTech[[#This Row],[1-2]] + tech_3_4*TblTech[[#This Row],[3-4]]</f>
        <v>0</v>
      </c>
      <c r="AL123" s="156">
        <f ca="1">race_ore_bonus + IF(TblMagic[[#This Row],[Active Miner''s Sight]]&gt;0,miners_sight_bonus,IF(TblMagic[[#This Row],[Active Mining Strength]]&gt;0,mining_strength_bonus)) +  tech_1_6*TblTech[[#This Row],[1-6]]</f>
        <v>0</v>
      </c>
      <c r="AM123" s="156">
        <f>race_gem_bonus+ tech_3_2*TblTech[[#This Row],[3-2]] + tech_4_3*TblTech[[#This Row],[4-3]] + tech_6_2*TblTech[[#This Row],[6-2]]</f>
        <v>0</v>
      </c>
      <c r="AN123" s="142"/>
      <c r="AO123" s="94">
        <f ca="1">TblProd[[#This Row],[Food]]*food_decay * (1 + tech_2_1*TblTech[[#This Row],[2-1]] + tech_2_8*TblTech[[#This Row],[2-8]] + IF(AND(TblMagic[[#This Row],[Active DnD]]&lt;12,TblMagic[[#This Row],[Active DnD]]&gt;5),1,0))</f>
        <v>1663.32</v>
      </c>
      <c r="AP123" s="94">
        <f ca="1">(1+race_food_consumption)*TblPop[[#This Row],[Total]]*food_per_person*(1+tech_1_10*TblTech[[#This Row],[1-10]]+tech_7_5*TblTech[[#This Row],[7-5]] + IF(TblMagic[[#This Row],[Active Infernal Command]]&gt;0,demonic_pact_food_cons,0))</f>
        <v>269</v>
      </c>
      <c r="AQ123" s="94">
        <f ca="1">TblProd[[#This Row],[Lumber]]*lumber_rot * (1 + tech_2_1*TblTech[[#This Row],[2-1]] + tech_2_8*TblTech[[#This Row],[2-8]] + tech_5_2*TblTech[[#This Row],[5-2]] + IF(AND(TblMagic[[#This Row],[Active DnD]]&lt;12,TblMagic[[#This Row],[Active DnD]]&gt;5),1,0))</f>
        <v>742.94</v>
      </c>
      <c r="AR123" s="94">
        <f ca="1">TblProd[[#This Row],[Mana]]*mana_drain * (1 + tech_2_1*TblTech[[#This Row],[2-1]] + tech_2_8*TblTech[[#This Row],[2-8]])</f>
        <v>0</v>
      </c>
      <c r="AS123" s="154"/>
      <c r="AT123" s="94">
        <f ca="1">TblExplore[[#This Row],[Platinum (2)]]+TblConstr[[#This Row],[Total Plat Cost]]+TblMili[[#This Row],[Plat Cost]]+TblRezone[[#This Row],[Platinum cost]]+TblImps[[#This Row],[P1]]-TblProd[[#This Row],[Bank Plat]]</f>
        <v>0</v>
      </c>
      <c r="AU123" s="94">
        <f ca="1">TblConstr[[#This Row],[Total Lum Cost]]+TblImps[[#This Row],[L1]]-TblProd[[#This Row],[Bank Lumber]] + Military!$CO$25*TblMili[[#This Row],[Sec. rec. Cost]]</f>
        <v>0</v>
      </c>
      <c r="AV123" s="94">
        <f ca="1">TblMagic[[#This Row],[Mana cost]] + Military!$CO$26*TblMili[[#This Row],[Sec. rec. Cost]]</f>
        <v>0</v>
      </c>
      <c r="AW123" s="94">
        <f ca="1">Military!$CO$24*TblMili[[#This Row],[Sec. rec. Cost]]+TblImps[[#This Row],[O1]]-TblProd[[#This Row],[Bank Ore]]</f>
        <v>0</v>
      </c>
      <c r="AX123" s="94">
        <f>TblImps[[#This Row],[G1]]-TblProd[[#This Row],[Bank Gems]]</f>
        <v>0</v>
      </c>
      <c r="AY123" s="142"/>
      <c r="AZ123" s="61" t="b">
        <f ca="1">IF(TblProd[[#This Row],[Set Guard]]&lt;&gt;"",TblProd[[#This Row],[Set Guard]],OFFSET(TblProd[[#This Row],[Guard]],-1,0))</f>
        <v>0</v>
      </c>
      <c r="BA123" s="153"/>
      <c r="BB123" s="45">
        <f>TblProd[[#This Row],[Hour]]</f>
        <v>84</v>
      </c>
      <c r="BC123" s="158">
        <f>-TblProd[[#This Row],[Bank Lumber]] / 2 + -TblProd[[#This Row],[Bank Gems]] * 2 + -TblProd[[#This Row],[Bank Ore]] / 2</f>
        <v>0</v>
      </c>
      <c r="BD123" s="158"/>
      <c r="BE123" s="158"/>
      <c r="BF123" s="158"/>
      <c r="BG123" s="159">
        <f ca="1">TblProd[[#This Row],[Time]]</f>
        <v>46051.958333333045</v>
      </c>
      <c r="BH123" s="45" t="str">
        <f>IF(AND(TblProd[[#This Row],[Bank Plat]]=0,TblProd[[#This Row],[Bank Lumber]]=0,TblProd[[#This Row],[Bank Ore]]=0,TblProd[[#This Row],[Bank Gems]]=0),"",IF(TblProd[[#This Row],[Bank Plat]]&gt;0,IF((TblProd[[#This Row],[Bank Lumber]]+TblProd[[#This Row],[Bank Ore]])/2+TblProd[[#This Row],[Bank Gems]]*2+ROUNDUP(TblProd[[#This Row],[Bank Plat]]/(1 + tech_2_2*Techs!Y123),0)=0,"Ok","Nope"),IF(TblProd[[#This Row],[Bank Lumber]]&gt;0,IF((TblProd[[#This Row],[Bank Plat]]+TblProd[[#This Row],[Bank Ore]])/2+TblProd[[#This Row],[Bank Gems]]*2+ROUNDUP(TblProd[[#This Row],[Bank Lumber]]/(1 + tech_2_2*Techs!Y123),0)=0,"Ok","Nope"),IF(TblProd[[#This Row],[Bank Ore]]&gt;0,IF((TblProd[[#This Row],[Bank Plat]]+TblProd[[#This Row],[Bank Lumber]])/2+TblProd[[#This Row],[Bank Gems]]*2+ROUNDUP(TblProd[[#This Row],[Bank Ore]]/(1 + tech_2_2*Techs!Y123),0)=0,"Ok","Nope")))))</f>
        <v/>
      </c>
      <c r="BI123" s="94">
        <f ca="1">TblProd[[#This Row],[Platinum]]</f>
        <v>218043</v>
      </c>
      <c r="BJ123" s="94">
        <f ca="1">TblProd[[#This Row],[Food]]</f>
        <v>166332</v>
      </c>
      <c r="BK123" s="94">
        <f ca="1">TblProd[[#This Row],[Lumber]]</f>
        <v>74294</v>
      </c>
      <c r="BL123" s="94">
        <f ca="1">TblProd[[#This Row],[Mana]]</f>
        <v>0</v>
      </c>
      <c r="BM123" s="94">
        <f ca="1">TblProd[[#This Row],[Ore]]</f>
        <v>0</v>
      </c>
    </row>
    <row r="124" spans="1:65" x14ac:dyDescent="0.2">
      <c r="A124" s="137">
        <f t="shared" si="1"/>
        <v>85</v>
      </c>
      <c r="B124" s="152">
        <f ca="1">TblImps[[#This Row],[Time]]</f>
        <v>46051.999999999709</v>
      </c>
      <c r="C124" s="153"/>
      <c r="D124" s="154"/>
      <c r="E124" s="94">
        <f ca="1">TblConstr[[#This Row],[Land]]</f>
        <v>110</v>
      </c>
      <c r="F124" s="94">
        <f ca="1">TblPop[[#This Row],[Peasants]]</f>
        <v>302</v>
      </c>
      <c r="G124" s="94">
        <f ca="1">TblMili[[#This Row],[Networth (2)]]</f>
        <v>2450</v>
      </c>
      <c r="H124" s="94">
        <f ca="1">OFFSET(TblProd[[#This Row],[Platinum]],-1,0)+OFFSET(TblProd[[#This Row],[Plat/hr]],-1,0) - TblProd[[#This Row],[Expenses Platinum]] + IF(TblProd[[#This Row],[Plat Bonus]],TblPop[[#This Row],[Peasants]]*4) + SUM(TblConstr[[#This Row],[Dest Hom]:[Dest Doc]])*TblConstr[[#This Row],[CPA Platinum -DB]]*tech_3_3_2*TblTech[[#This Row],[3-3]]</f>
        <v>218866</v>
      </c>
      <c r="I124" s="94">
        <f ca="1">OFFSET(TblProd[[#This Row],[Food]],-1,0)+OFFSET(TblProd[[#This Row],[Food/hr]],-1,0)+ROUNDUP((TblConstr[[#This Row],[Farms]]*80+TblConstr[[#This Row],[Docks]]*35)*(1+OFFSET(TblProd[[#This Row],[Bonus Food/hr]],-1,0)),0)</f>
        <v>166980</v>
      </c>
      <c r="J124" s="94">
        <f ca="1">OFFSET(TblProd[[#This Row],[Lumber]],-1,0)+OFFSET(TblProd[[#This Row],[Lumber/hr]],-1,0) - TblProd[[#This Row],[Expenses Lumber]] + SUM(TblConstr[[#This Row],[Dest Hom]:[Dest Doc]])*TblConstr[[#This Row],[CPA Lumber -DB]]*tech_3_3_2*TblTech[[#This Row],[3-3]]</f>
        <v>74551</v>
      </c>
      <c r="K124" s="94">
        <f ca="1">OFFSET(TblProd[[#This Row],[Mana]],-1,0)+OFFSET(TblProd[[#This Row],[Mana/hr]],-1,0)- TblProd[[#This Row],[Expenses Mana]]</f>
        <v>0</v>
      </c>
      <c r="L124" s="94">
        <f ca="1">OFFSET(TblProd[[#This Row],[Ore]],-1,0)+OFFSET(TblProd[[#This Row],[Ore/hr]],-1,0) -TblProd[[#This Row],[Expenses Ore]]</f>
        <v>0</v>
      </c>
      <c r="M124" s="94">
        <f ca="1">OFFSET(TblProd[[#This Row],[Gems]],-1,0)+OFFSET(TblProd[[#This Row],[Gems/hr]],-1,0) - TblProd[[#This Row],[Expenses Gems]]</f>
        <v>0</v>
      </c>
      <c r="N124" s="94">
        <f ca="1">OFFSET(TblProd[[#This Row],[Boats]],-1,0)+OFFSET(TblProd[[#This Row],[Boats/hr]],-1,0)</f>
        <v>0</v>
      </c>
      <c r="O124" s="94">
        <f ca="1">OFFSET(TblProd[[#This Row],[Prestige]],-1,0)</f>
        <v>250</v>
      </c>
      <c r="P12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4" s="94">
        <f ca="1">MAX(_xlfn.CEILING.MATH(TblProd[[#This Row],[Land]]*2.5+IFERROR(OFFSET(TblTech[[#This Row],[Sum of tech]],-1,0)*50,0)),3750)</f>
        <v>3750</v>
      </c>
      <c r="R124" s="142"/>
      <c r="S124" s="94">
        <f ca="1">ROUNDDOWN(TblProd[[#This Row],[Raw Plat/hr]]*(1+TblProd[[#This Row],[Bonus Plat/hr]]),0)</f>
        <v>815</v>
      </c>
      <c r="T124" s="94">
        <f ca="1">ROUND(TblProd[[#This Row],[Raw Food/hr]]*(1+TblProd[[#This Row],[Bonus Food/hr]])-TblProd[[#This Row],[Food decay]]-TblProd[[#This Row],[Food eaten]],0)</f>
        <v>641</v>
      </c>
      <c r="U124" s="94">
        <f ca="1">ROUND(TblProd[[#This Row],[Raw Lumber/hr]]*(1+TblProd[[#This Row],[Bonus Lumber/hr]])-TblProd[[#This Row],[Lumber rot]],0)</f>
        <v>254</v>
      </c>
      <c r="V124" s="94">
        <f ca="1">ROUND(TblProd[[#This Row],[Raw Mana/hr]]*(1+TblProd[[#This Row],[Bonus Mana/hr]])-TblProd[[#This Row],[Mana drain]],0)</f>
        <v>0</v>
      </c>
      <c r="W124" s="94">
        <f ca="1">ROUNDDOWN(TblProd[[#This Row],[Raw Ore/hr]]*(1+TblProd[[#This Row],[Bonux Ore/hr]]),0)</f>
        <v>0</v>
      </c>
      <c r="X124" s="94">
        <f ca="1">ROUNDDOWN(TblProd[[#This Row],[Raw Gems/hr]]*(1+TblProd[[#This Row],[Bonus Gems/hr]]),0)</f>
        <v>0</v>
      </c>
      <c r="Y124" s="155">
        <f ca="1">OFFSET(TblConstr[[#This Row],[Tot Doc]],1,0)*dock_boats_hr * (1 + tech_4_1*TblTech[[#This Row],[4-1]])</f>
        <v>0</v>
      </c>
      <c r="Z124" s="154"/>
      <c r="AA124" s="94">
        <f ca="1">TblPop[[#This Row],[Peasants]]*tax*TblPop[[#This Row],[Employment]] + (Construction!AZ125+Construction!BX125)*(alch_plat+(Magic!AN124&gt;0)*alchemist_flame_bonus)</f>
        <v>815.40000000000009</v>
      </c>
      <c r="AB124" s="94">
        <f ca="1">TblConstr[[#This Row],[Tot Farm]]*farm_food + TblConstr[[#This Row],[Tot Doc]]*dock_food</f>
        <v>2400</v>
      </c>
      <c r="AC124" s="94">
        <f ca="1">TblConstr[[#This Row],[Tot Ly]]*ly_lumber + TblConstr[[#This Row],[Tot Hav]]*fh_lumber + IF(race="Wood Elf",TblMili[[#This Row],[Unit 2]]*MIN(TblMili[[#This Row],[Homeland%]]/wisp_bonus,wisp_cap),0)</f>
        <v>1000</v>
      </c>
      <c r="AD124" s="94">
        <f ca="1">OFFSET(TblConstr[[#This Row],[Tot Tow]],1,0)*(tower_mana + tech_4_5*TblTech[[#This Row],[4-5]]) + OFFSET(TblConstr[[#This Row],[Tot WG]],1,0)*wg_mana_prod</f>
        <v>0</v>
      </c>
      <c r="AE124" s="94">
        <f ca="1">OFFSET(TblConstr[[#This Row],[Tot OM]],1,0)*om_ore+IF(race="Dwarf",TblMili[[#This Row],[Unit 2]]*0.5,0)</f>
        <v>0</v>
      </c>
      <c r="AF124" s="94">
        <f ca="1">OFFSET(TblConstr[[#This Row],[Tot DM]],1,0)*dm_gems</f>
        <v>0</v>
      </c>
      <c r="AG124" s="142"/>
      <c r="AH124" s="156">
        <f ca="1">MIN(race_platinum_bonus + IF(TblMagic[[#This Row],[Active Alch Frost]]&gt;0,alch_frost_bonus,IF(Magic!AE124&gt;0,midas_bonus)) + TblImps[[#This Row],[Science]] - TblProd[[#This Row],[Guard]]*(0.02 + tech_5_7*TblTech[[#This Row],[5-7]]) + tech_1_5*TblTech[[#This Row],[1-5]] + tech_4_4*TblTech[[#This Row],[4-4]] + IF(TblMagic[[#This Row],[Active Infernal Command]]&gt;0,demonic_pact_plat,0), 0.5)</f>
        <v>0</v>
      </c>
      <c r="AI12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4" s="156">
        <f ca="1">race_lumber_bonus+ IF(TblMagic[[#This Row],[Active Gaia''s Blessing]]&gt;0,gaias_blessing_lumber)+ tech_1_3*TblTech[[#This Row],[1-3]] + tech_1_6*TblTech[[#This Row],[1-6]] + tech_3_3*TblTech[[#This Row],[3-3]]</f>
        <v>0</v>
      </c>
      <c r="AK124" s="156">
        <f ca="1">race_mana_bonus+ 0 + TblImps[[#This Row],[Spires]] + tech_1_2*TblTech[[#This Row],[1-2]] + tech_3_4*TblTech[[#This Row],[3-4]]</f>
        <v>0</v>
      </c>
      <c r="AL124" s="156">
        <f ca="1">race_ore_bonus + IF(TblMagic[[#This Row],[Active Miner''s Sight]]&gt;0,miners_sight_bonus,IF(TblMagic[[#This Row],[Active Mining Strength]]&gt;0,mining_strength_bonus)) +  tech_1_6*TblTech[[#This Row],[1-6]]</f>
        <v>0</v>
      </c>
      <c r="AM124" s="156">
        <f>race_gem_bonus+ tech_3_2*TblTech[[#This Row],[3-2]] + tech_4_3*TblTech[[#This Row],[4-3]] + tech_6_2*TblTech[[#This Row],[6-2]]</f>
        <v>0</v>
      </c>
      <c r="AN124" s="142"/>
      <c r="AO124" s="94">
        <f ca="1">TblProd[[#This Row],[Food]]*food_decay * (1 + tech_2_1*TblTech[[#This Row],[2-1]] + tech_2_8*TblTech[[#This Row],[2-8]] + IF(AND(TblMagic[[#This Row],[Active DnD]]&lt;12,TblMagic[[#This Row],[Active DnD]]&gt;5),1,0))</f>
        <v>1669.8</v>
      </c>
      <c r="AP124" s="94">
        <f ca="1">(1+race_food_consumption)*TblPop[[#This Row],[Total]]*food_per_person*(1+tech_1_10*TblTech[[#This Row],[1-10]]+tech_7_5*TblTech[[#This Row],[7-5]] + IF(TblMagic[[#This Row],[Active Infernal Command]]&gt;0,demonic_pact_food_cons,0))</f>
        <v>269</v>
      </c>
      <c r="AQ124" s="94">
        <f ca="1">TblProd[[#This Row],[Lumber]]*lumber_rot * (1 + tech_2_1*TblTech[[#This Row],[2-1]] + tech_2_8*TblTech[[#This Row],[2-8]] + tech_5_2*TblTech[[#This Row],[5-2]] + IF(AND(TblMagic[[#This Row],[Active DnD]]&lt;12,TblMagic[[#This Row],[Active DnD]]&gt;5),1,0))</f>
        <v>745.51</v>
      </c>
      <c r="AR124" s="94">
        <f ca="1">TblProd[[#This Row],[Mana]]*mana_drain * (1 + tech_2_1*TblTech[[#This Row],[2-1]] + tech_2_8*TblTech[[#This Row],[2-8]])</f>
        <v>0</v>
      </c>
      <c r="AS124" s="154"/>
      <c r="AT124" s="94">
        <f ca="1">TblExplore[[#This Row],[Platinum (2)]]+TblConstr[[#This Row],[Total Plat Cost]]+TblMili[[#This Row],[Plat Cost]]+TblRezone[[#This Row],[Platinum cost]]+TblImps[[#This Row],[P1]]-TblProd[[#This Row],[Bank Plat]]</f>
        <v>0</v>
      </c>
      <c r="AU124" s="94">
        <f ca="1">TblConstr[[#This Row],[Total Lum Cost]]+TblImps[[#This Row],[L1]]-TblProd[[#This Row],[Bank Lumber]] + Military!$CO$25*TblMili[[#This Row],[Sec. rec. Cost]]</f>
        <v>0</v>
      </c>
      <c r="AV124" s="94">
        <f ca="1">TblMagic[[#This Row],[Mana cost]] + Military!$CO$26*TblMili[[#This Row],[Sec. rec. Cost]]</f>
        <v>0</v>
      </c>
      <c r="AW124" s="94">
        <f ca="1">Military!$CO$24*TblMili[[#This Row],[Sec. rec. Cost]]+TblImps[[#This Row],[O1]]-TblProd[[#This Row],[Bank Ore]]</f>
        <v>0</v>
      </c>
      <c r="AX124" s="94">
        <f>TblImps[[#This Row],[G1]]-TblProd[[#This Row],[Bank Gems]]</f>
        <v>0</v>
      </c>
      <c r="AY124" s="142"/>
      <c r="AZ124" s="61" t="b">
        <f ca="1">IF(TblProd[[#This Row],[Set Guard]]&lt;&gt;"",TblProd[[#This Row],[Set Guard]],OFFSET(TblProd[[#This Row],[Guard]],-1,0))</f>
        <v>0</v>
      </c>
      <c r="BA124" s="153"/>
      <c r="BB124" s="45">
        <f>TblProd[[#This Row],[Hour]]</f>
        <v>85</v>
      </c>
      <c r="BC124" s="158">
        <f>-TblProd[[#This Row],[Bank Lumber]] / 2 + -TblProd[[#This Row],[Bank Gems]] * 2 + -TblProd[[#This Row],[Bank Ore]] / 2</f>
        <v>0</v>
      </c>
      <c r="BD124" s="158"/>
      <c r="BE124" s="158"/>
      <c r="BF124" s="158"/>
      <c r="BG124" s="159">
        <f ca="1">TblProd[[#This Row],[Time]]</f>
        <v>46051.999999999709</v>
      </c>
      <c r="BH124" s="45" t="str">
        <f>IF(AND(TblProd[[#This Row],[Bank Plat]]=0,TblProd[[#This Row],[Bank Lumber]]=0,TblProd[[#This Row],[Bank Ore]]=0,TblProd[[#This Row],[Bank Gems]]=0),"",IF(TblProd[[#This Row],[Bank Plat]]&gt;0,IF((TblProd[[#This Row],[Bank Lumber]]+TblProd[[#This Row],[Bank Ore]])/2+TblProd[[#This Row],[Bank Gems]]*2+ROUNDUP(TblProd[[#This Row],[Bank Plat]]/(1 + tech_2_2*Techs!Y124),0)=0,"Ok","Nope"),IF(TblProd[[#This Row],[Bank Lumber]]&gt;0,IF((TblProd[[#This Row],[Bank Plat]]+TblProd[[#This Row],[Bank Ore]])/2+TblProd[[#This Row],[Bank Gems]]*2+ROUNDUP(TblProd[[#This Row],[Bank Lumber]]/(1 + tech_2_2*Techs!Y124),0)=0,"Ok","Nope"),IF(TblProd[[#This Row],[Bank Ore]]&gt;0,IF((TblProd[[#This Row],[Bank Plat]]+TblProd[[#This Row],[Bank Lumber]])/2+TblProd[[#This Row],[Bank Gems]]*2+ROUNDUP(TblProd[[#This Row],[Bank Ore]]/(1 + tech_2_2*Techs!Y124),0)=0,"Ok","Nope")))))</f>
        <v/>
      </c>
      <c r="BI124" s="94">
        <f ca="1">TblProd[[#This Row],[Platinum]]</f>
        <v>218866</v>
      </c>
      <c r="BJ124" s="94">
        <f ca="1">TblProd[[#This Row],[Food]]</f>
        <v>166980</v>
      </c>
      <c r="BK124" s="94">
        <f ca="1">TblProd[[#This Row],[Lumber]]</f>
        <v>74551</v>
      </c>
      <c r="BL124" s="94">
        <f ca="1">TblProd[[#This Row],[Mana]]</f>
        <v>0</v>
      </c>
      <c r="BM124" s="94">
        <f ca="1">TblProd[[#This Row],[Ore]]</f>
        <v>0</v>
      </c>
    </row>
    <row r="125" spans="1:65" x14ac:dyDescent="0.2">
      <c r="A125" s="137">
        <f t="shared" si="1"/>
        <v>86</v>
      </c>
      <c r="B125" s="152">
        <f ca="1">TblImps[[#This Row],[Time]]</f>
        <v>46052.041666666373</v>
      </c>
      <c r="C125" s="153"/>
      <c r="D125" s="154"/>
      <c r="E125" s="94">
        <f ca="1">TblConstr[[#This Row],[Land]]</f>
        <v>110</v>
      </c>
      <c r="F125" s="94">
        <f ca="1">TblPop[[#This Row],[Peasants]]</f>
        <v>299</v>
      </c>
      <c r="G125" s="94">
        <f ca="1">TblMili[[#This Row],[Networth (2)]]</f>
        <v>2450</v>
      </c>
      <c r="H125" s="94">
        <f ca="1">OFFSET(TblProd[[#This Row],[Platinum]],-1,0)+OFFSET(TblProd[[#This Row],[Plat/hr]],-1,0) - TblProd[[#This Row],[Expenses Platinum]] + IF(TblProd[[#This Row],[Plat Bonus]],TblPop[[#This Row],[Peasants]]*4) + SUM(TblConstr[[#This Row],[Dest Hom]:[Dest Doc]])*TblConstr[[#This Row],[CPA Platinum -DB]]*tech_3_3_2*TblTech[[#This Row],[3-3]]</f>
        <v>219681</v>
      </c>
      <c r="I125" s="94">
        <f ca="1">OFFSET(TblProd[[#This Row],[Food]],-1,0)+OFFSET(TblProd[[#This Row],[Food/hr]],-1,0)+ROUNDUP((TblConstr[[#This Row],[Farms]]*80+TblConstr[[#This Row],[Docks]]*35)*(1+OFFSET(TblProd[[#This Row],[Bonus Food/hr]],-1,0)),0)</f>
        <v>167621</v>
      </c>
      <c r="J125" s="94">
        <f ca="1">OFFSET(TblProd[[#This Row],[Lumber]],-1,0)+OFFSET(TblProd[[#This Row],[Lumber/hr]],-1,0) - TblProd[[#This Row],[Expenses Lumber]] + SUM(TblConstr[[#This Row],[Dest Hom]:[Dest Doc]])*TblConstr[[#This Row],[CPA Lumber -DB]]*tech_3_3_2*TblTech[[#This Row],[3-3]]</f>
        <v>74805</v>
      </c>
      <c r="K125" s="94">
        <f ca="1">OFFSET(TblProd[[#This Row],[Mana]],-1,0)+OFFSET(TblProd[[#This Row],[Mana/hr]],-1,0)- TblProd[[#This Row],[Expenses Mana]]</f>
        <v>0</v>
      </c>
      <c r="L125" s="94">
        <f ca="1">OFFSET(TblProd[[#This Row],[Ore]],-1,0)+OFFSET(TblProd[[#This Row],[Ore/hr]],-1,0) -TblProd[[#This Row],[Expenses Ore]]</f>
        <v>0</v>
      </c>
      <c r="M125" s="94">
        <f ca="1">OFFSET(TblProd[[#This Row],[Gems]],-1,0)+OFFSET(TblProd[[#This Row],[Gems/hr]],-1,0) - TblProd[[#This Row],[Expenses Gems]]</f>
        <v>0</v>
      </c>
      <c r="N125" s="94">
        <f ca="1">OFFSET(TblProd[[#This Row],[Boats]],-1,0)+OFFSET(TblProd[[#This Row],[Boats/hr]],-1,0)</f>
        <v>0</v>
      </c>
      <c r="O125" s="94">
        <f ca="1">OFFSET(TblProd[[#This Row],[Prestige]],-1,0)</f>
        <v>250</v>
      </c>
      <c r="P12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5" s="94">
        <f ca="1">MAX(_xlfn.CEILING.MATH(TblProd[[#This Row],[Land]]*2.5+IFERROR(OFFSET(TblTech[[#This Row],[Sum of tech]],-1,0)*50,0)),3750)</f>
        <v>3750</v>
      </c>
      <c r="R125" s="142"/>
      <c r="S125" s="94">
        <f ca="1">ROUNDDOWN(TblProd[[#This Row],[Raw Plat/hr]]*(1+TblProd[[#This Row],[Bonus Plat/hr]]),0)</f>
        <v>807</v>
      </c>
      <c r="T125" s="94">
        <f ca="1">ROUND(TblProd[[#This Row],[Raw Food/hr]]*(1+TblProd[[#This Row],[Bonus Food/hr]])-TblProd[[#This Row],[Food decay]]-TblProd[[#This Row],[Food eaten]],0)</f>
        <v>635</v>
      </c>
      <c r="U125" s="94">
        <f ca="1">ROUND(TblProd[[#This Row],[Raw Lumber/hr]]*(1+TblProd[[#This Row],[Bonus Lumber/hr]])-TblProd[[#This Row],[Lumber rot]],0)</f>
        <v>252</v>
      </c>
      <c r="V125" s="94">
        <f ca="1">ROUND(TblProd[[#This Row],[Raw Mana/hr]]*(1+TblProd[[#This Row],[Bonus Mana/hr]])-TblProd[[#This Row],[Mana drain]],0)</f>
        <v>0</v>
      </c>
      <c r="W125" s="94">
        <f ca="1">ROUNDDOWN(TblProd[[#This Row],[Raw Ore/hr]]*(1+TblProd[[#This Row],[Bonux Ore/hr]]),0)</f>
        <v>0</v>
      </c>
      <c r="X125" s="94">
        <f ca="1">ROUNDDOWN(TblProd[[#This Row],[Raw Gems/hr]]*(1+TblProd[[#This Row],[Bonus Gems/hr]]),0)</f>
        <v>0</v>
      </c>
      <c r="Y125" s="155">
        <f ca="1">OFFSET(TblConstr[[#This Row],[Tot Doc]],1,0)*dock_boats_hr * (1 + tech_4_1*TblTech[[#This Row],[4-1]])</f>
        <v>0</v>
      </c>
      <c r="Z125" s="154"/>
      <c r="AA125" s="94">
        <f ca="1">TblPop[[#This Row],[Peasants]]*tax*TblPop[[#This Row],[Employment]] + (Construction!AZ126+Construction!BX126)*(alch_plat+(Magic!AN125&gt;0)*alchemist_flame_bonus)</f>
        <v>807.30000000000007</v>
      </c>
      <c r="AB125" s="94">
        <f ca="1">TblConstr[[#This Row],[Tot Farm]]*farm_food + TblConstr[[#This Row],[Tot Doc]]*dock_food</f>
        <v>2400</v>
      </c>
      <c r="AC125" s="94">
        <f ca="1">TblConstr[[#This Row],[Tot Ly]]*ly_lumber + TblConstr[[#This Row],[Tot Hav]]*fh_lumber + IF(race="Wood Elf",TblMili[[#This Row],[Unit 2]]*MIN(TblMili[[#This Row],[Homeland%]]/wisp_bonus,wisp_cap),0)</f>
        <v>1000</v>
      </c>
      <c r="AD125" s="94">
        <f ca="1">OFFSET(TblConstr[[#This Row],[Tot Tow]],1,0)*(tower_mana + tech_4_5*TblTech[[#This Row],[4-5]]) + OFFSET(TblConstr[[#This Row],[Tot WG]],1,0)*wg_mana_prod</f>
        <v>0</v>
      </c>
      <c r="AE125" s="94">
        <f ca="1">OFFSET(TblConstr[[#This Row],[Tot OM]],1,0)*om_ore+IF(race="Dwarf",TblMili[[#This Row],[Unit 2]]*0.5,0)</f>
        <v>0</v>
      </c>
      <c r="AF125" s="94">
        <f ca="1">OFFSET(TblConstr[[#This Row],[Tot DM]],1,0)*dm_gems</f>
        <v>0</v>
      </c>
      <c r="AG125" s="142"/>
      <c r="AH125" s="156">
        <f ca="1">MIN(race_platinum_bonus + IF(TblMagic[[#This Row],[Active Alch Frost]]&gt;0,alch_frost_bonus,IF(Magic!AE125&gt;0,midas_bonus)) + TblImps[[#This Row],[Science]] - TblProd[[#This Row],[Guard]]*(0.02 + tech_5_7*TblTech[[#This Row],[5-7]]) + tech_1_5*TblTech[[#This Row],[1-5]] + tech_4_4*TblTech[[#This Row],[4-4]] + IF(TblMagic[[#This Row],[Active Infernal Command]]&gt;0,demonic_pact_plat,0), 0.5)</f>
        <v>0</v>
      </c>
      <c r="AI12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5" s="156">
        <f ca="1">race_lumber_bonus+ IF(TblMagic[[#This Row],[Active Gaia''s Blessing]]&gt;0,gaias_blessing_lumber)+ tech_1_3*TblTech[[#This Row],[1-3]] + tech_1_6*TblTech[[#This Row],[1-6]] + tech_3_3*TblTech[[#This Row],[3-3]]</f>
        <v>0</v>
      </c>
      <c r="AK125" s="156">
        <f ca="1">race_mana_bonus+ 0 + TblImps[[#This Row],[Spires]] + tech_1_2*TblTech[[#This Row],[1-2]] + tech_3_4*TblTech[[#This Row],[3-4]]</f>
        <v>0</v>
      </c>
      <c r="AL125" s="156">
        <f ca="1">race_ore_bonus + IF(TblMagic[[#This Row],[Active Miner''s Sight]]&gt;0,miners_sight_bonus,IF(TblMagic[[#This Row],[Active Mining Strength]]&gt;0,mining_strength_bonus)) +  tech_1_6*TblTech[[#This Row],[1-6]]</f>
        <v>0</v>
      </c>
      <c r="AM125" s="156">
        <f>race_gem_bonus+ tech_3_2*TblTech[[#This Row],[3-2]] + tech_4_3*TblTech[[#This Row],[4-3]] + tech_6_2*TblTech[[#This Row],[6-2]]</f>
        <v>0</v>
      </c>
      <c r="AN125" s="142"/>
      <c r="AO125" s="94">
        <f ca="1">TblProd[[#This Row],[Food]]*food_decay * (1 + tech_2_1*TblTech[[#This Row],[2-1]] + tech_2_8*TblTech[[#This Row],[2-8]] + IF(AND(TblMagic[[#This Row],[Active DnD]]&lt;12,TblMagic[[#This Row],[Active DnD]]&gt;5),1,0))</f>
        <v>1676.21</v>
      </c>
      <c r="AP125" s="94">
        <f ca="1">(1+race_food_consumption)*TblPop[[#This Row],[Total]]*food_per_person*(1+tech_1_10*TblTech[[#This Row],[1-10]]+tech_7_5*TblTech[[#This Row],[7-5]] + IF(TblMagic[[#This Row],[Active Infernal Command]]&gt;0,demonic_pact_food_cons,0))</f>
        <v>269</v>
      </c>
      <c r="AQ125" s="94">
        <f ca="1">TblProd[[#This Row],[Lumber]]*lumber_rot * (1 + tech_2_1*TblTech[[#This Row],[2-1]] + tech_2_8*TblTech[[#This Row],[2-8]] + tech_5_2*TblTech[[#This Row],[5-2]] + IF(AND(TblMagic[[#This Row],[Active DnD]]&lt;12,TblMagic[[#This Row],[Active DnD]]&gt;5),1,0))</f>
        <v>748.05000000000007</v>
      </c>
      <c r="AR125" s="94">
        <f ca="1">TblProd[[#This Row],[Mana]]*mana_drain * (1 + tech_2_1*TblTech[[#This Row],[2-1]] + tech_2_8*TblTech[[#This Row],[2-8]])</f>
        <v>0</v>
      </c>
      <c r="AS125" s="154"/>
      <c r="AT125" s="94">
        <f ca="1">TblExplore[[#This Row],[Platinum (2)]]+TblConstr[[#This Row],[Total Plat Cost]]+TblMili[[#This Row],[Plat Cost]]+TblRezone[[#This Row],[Platinum cost]]+TblImps[[#This Row],[P1]]-TblProd[[#This Row],[Bank Plat]]</f>
        <v>0</v>
      </c>
      <c r="AU125" s="94">
        <f ca="1">TblConstr[[#This Row],[Total Lum Cost]]+TblImps[[#This Row],[L1]]-TblProd[[#This Row],[Bank Lumber]] + Military!$CO$25*TblMili[[#This Row],[Sec. rec. Cost]]</f>
        <v>0</v>
      </c>
      <c r="AV125" s="94">
        <f ca="1">TblMagic[[#This Row],[Mana cost]] + Military!$CO$26*TblMili[[#This Row],[Sec. rec. Cost]]</f>
        <v>0</v>
      </c>
      <c r="AW125" s="94">
        <f ca="1">Military!$CO$24*TblMili[[#This Row],[Sec. rec. Cost]]+TblImps[[#This Row],[O1]]-TblProd[[#This Row],[Bank Ore]]</f>
        <v>0</v>
      </c>
      <c r="AX125" s="94">
        <f>TblImps[[#This Row],[G1]]-TblProd[[#This Row],[Bank Gems]]</f>
        <v>0</v>
      </c>
      <c r="AY125" s="142"/>
      <c r="AZ125" s="61" t="b">
        <f ca="1">IF(TblProd[[#This Row],[Set Guard]]&lt;&gt;"",TblProd[[#This Row],[Set Guard]],OFFSET(TblProd[[#This Row],[Guard]],-1,0))</f>
        <v>0</v>
      </c>
      <c r="BA125" s="153"/>
      <c r="BB125" s="45">
        <f>TblProd[[#This Row],[Hour]]</f>
        <v>86</v>
      </c>
      <c r="BC125" s="158">
        <f>-TblProd[[#This Row],[Bank Lumber]] / 2 + -TblProd[[#This Row],[Bank Gems]] * 2 + -TblProd[[#This Row],[Bank Ore]] / 2</f>
        <v>0</v>
      </c>
      <c r="BD125" s="158"/>
      <c r="BE125" s="158"/>
      <c r="BF125" s="158"/>
      <c r="BG125" s="159">
        <f ca="1">TblProd[[#This Row],[Time]]</f>
        <v>46052.041666666373</v>
      </c>
      <c r="BH125" s="45" t="str">
        <f>IF(AND(TblProd[[#This Row],[Bank Plat]]=0,TblProd[[#This Row],[Bank Lumber]]=0,TblProd[[#This Row],[Bank Ore]]=0,TblProd[[#This Row],[Bank Gems]]=0),"",IF(TblProd[[#This Row],[Bank Plat]]&gt;0,IF((TblProd[[#This Row],[Bank Lumber]]+TblProd[[#This Row],[Bank Ore]])/2+TblProd[[#This Row],[Bank Gems]]*2+ROUNDUP(TblProd[[#This Row],[Bank Plat]]/(1 + tech_2_2*Techs!Y125),0)=0,"Ok","Nope"),IF(TblProd[[#This Row],[Bank Lumber]]&gt;0,IF((TblProd[[#This Row],[Bank Plat]]+TblProd[[#This Row],[Bank Ore]])/2+TblProd[[#This Row],[Bank Gems]]*2+ROUNDUP(TblProd[[#This Row],[Bank Lumber]]/(1 + tech_2_2*Techs!Y125),0)=0,"Ok","Nope"),IF(TblProd[[#This Row],[Bank Ore]]&gt;0,IF((TblProd[[#This Row],[Bank Plat]]+TblProd[[#This Row],[Bank Lumber]])/2+TblProd[[#This Row],[Bank Gems]]*2+ROUNDUP(TblProd[[#This Row],[Bank Ore]]/(1 + tech_2_2*Techs!Y125),0)=0,"Ok","Nope")))))</f>
        <v/>
      </c>
      <c r="BI125" s="94">
        <f ca="1">TblProd[[#This Row],[Platinum]]</f>
        <v>219681</v>
      </c>
      <c r="BJ125" s="94">
        <f ca="1">TblProd[[#This Row],[Food]]</f>
        <v>167621</v>
      </c>
      <c r="BK125" s="94">
        <f ca="1">TblProd[[#This Row],[Lumber]]</f>
        <v>74805</v>
      </c>
      <c r="BL125" s="94">
        <f ca="1">TblProd[[#This Row],[Mana]]</f>
        <v>0</v>
      </c>
      <c r="BM125" s="94">
        <f ca="1">TblProd[[#This Row],[Ore]]</f>
        <v>0</v>
      </c>
    </row>
    <row r="126" spans="1:65" x14ac:dyDescent="0.2">
      <c r="A126" s="137">
        <f t="shared" si="1"/>
        <v>87</v>
      </c>
      <c r="B126" s="152">
        <f ca="1">TblImps[[#This Row],[Time]]</f>
        <v>46052.083333333037</v>
      </c>
      <c r="C126" s="153"/>
      <c r="D126" s="154"/>
      <c r="E126" s="94">
        <f ca="1">TblConstr[[#This Row],[Land]]</f>
        <v>110</v>
      </c>
      <c r="F126" s="94">
        <f ca="1">TblPop[[#This Row],[Peasants]]</f>
        <v>296</v>
      </c>
      <c r="G126" s="94">
        <f ca="1">TblMili[[#This Row],[Networth (2)]]</f>
        <v>2450</v>
      </c>
      <c r="H126" s="94">
        <f ca="1">OFFSET(TblProd[[#This Row],[Platinum]],-1,0)+OFFSET(TblProd[[#This Row],[Plat/hr]],-1,0) - TblProd[[#This Row],[Expenses Platinum]] + IF(TblProd[[#This Row],[Plat Bonus]],TblPop[[#This Row],[Peasants]]*4) + SUM(TblConstr[[#This Row],[Dest Hom]:[Dest Doc]])*TblConstr[[#This Row],[CPA Platinum -DB]]*tech_3_3_2*TblTech[[#This Row],[3-3]]</f>
        <v>220488</v>
      </c>
      <c r="I126" s="94">
        <f ca="1">OFFSET(TblProd[[#This Row],[Food]],-1,0)+OFFSET(TblProd[[#This Row],[Food/hr]],-1,0)+ROUNDUP((TblConstr[[#This Row],[Farms]]*80+TblConstr[[#This Row],[Docks]]*35)*(1+OFFSET(TblProd[[#This Row],[Bonus Food/hr]],-1,0)),0)</f>
        <v>168256</v>
      </c>
      <c r="J126" s="94">
        <f ca="1">OFFSET(TblProd[[#This Row],[Lumber]],-1,0)+OFFSET(TblProd[[#This Row],[Lumber/hr]],-1,0) - TblProd[[#This Row],[Expenses Lumber]] + SUM(TblConstr[[#This Row],[Dest Hom]:[Dest Doc]])*TblConstr[[#This Row],[CPA Lumber -DB]]*tech_3_3_2*TblTech[[#This Row],[3-3]]</f>
        <v>75057</v>
      </c>
      <c r="K126" s="94">
        <f ca="1">OFFSET(TblProd[[#This Row],[Mana]],-1,0)+OFFSET(TblProd[[#This Row],[Mana/hr]],-1,0)- TblProd[[#This Row],[Expenses Mana]]</f>
        <v>0</v>
      </c>
      <c r="L126" s="94">
        <f ca="1">OFFSET(TblProd[[#This Row],[Ore]],-1,0)+OFFSET(TblProd[[#This Row],[Ore/hr]],-1,0) -TblProd[[#This Row],[Expenses Ore]]</f>
        <v>0</v>
      </c>
      <c r="M126" s="94">
        <f ca="1">OFFSET(TblProd[[#This Row],[Gems]],-1,0)+OFFSET(TblProd[[#This Row],[Gems/hr]],-1,0) - TblProd[[#This Row],[Expenses Gems]]</f>
        <v>0</v>
      </c>
      <c r="N126" s="94">
        <f ca="1">OFFSET(TblProd[[#This Row],[Boats]],-1,0)+OFFSET(TblProd[[#This Row],[Boats/hr]],-1,0)</f>
        <v>0</v>
      </c>
      <c r="O126" s="94">
        <f ca="1">OFFSET(TblProd[[#This Row],[Prestige]],-1,0)</f>
        <v>250</v>
      </c>
      <c r="P12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6" s="94">
        <f ca="1">MAX(_xlfn.CEILING.MATH(TblProd[[#This Row],[Land]]*2.5+IFERROR(OFFSET(TblTech[[#This Row],[Sum of tech]],-1,0)*50,0)),3750)</f>
        <v>3750</v>
      </c>
      <c r="R126" s="142"/>
      <c r="S126" s="94">
        <f ca="1">ROUNDDOWN(TblProd[[#This Row],[Raw Plat/hr]]*(1+TblProd[[#This Row],[Bonus Plat/hr]]),0)</f>
        <v>799</v>
      </c>
      <c r="T126" s="94">
        <f ca="1">ROUND(TblProd[[#This Row],[Raw Food/hr]]*(1+TblProd[[#This Row],[Bonus Food/hr]])-TblProd[[#This Row],[Food decay]]-TblProd[[#This Row],[Food eaten]],0)</f>
        <v>628</v>
      </c>
      <c r="U126" s="94">
        <f ca="1">ROUND(TblProd[[#This Row],[Raw Lumber/hr]]*(1+TblProd[[#This Row],[Bonus Lumber/hr]])-TblProd[[#This Row],[Lumber rot]],0)</f>
        <v>249</v>
      </c>
      <c r="V126" s="94">
        <f ca="1">ROUND(TblProd[[#This Row],[Raw Mana/hr]]*(1+TblProd[[#This Row],[Bonus Mana/hr]])-TblProd[[#This Row],[Mana drain]],0)</f>
        <v>0</v>
      </c>
      <c r="W126" s="94">
        <f ca="1">ROUNDDOWN(TblProd[[#This Row],[Raw Ore/hr]]*(1+TblProd[[#This Row],[Bonux Ore/hr]]),0)</f>
        <v>0</v>
      </c>
      <c r="X126" s="94">
        <f ca="1">ROUNDDOWN(TblProd[[#This Row],[Raw Gems/hr]]*(1+TblProd[[#This Row],[Bonus Gems/hr]]),0)</f>
        <v>0</v>
      </c>
      <c r="Y126" s="155">
        <f ca="1">OFFSET(TblConstr[[#This Row],[Tot Doc]],1,0)*dock_boats_hr * (1 + tech_4_1*TblTech[[#This Row],[4-1]])</f>
        <v>0</v>
      </c>
      <c r="Z126" s="154"/>
      <c r="AA126" s="94">
        <f ca="1">TblPop[[#This Row],[Peasants]]*tax*TblPop[[#This Row],[Employment]] + (Construction!AZ127+Construction!BX127)*(alch_plat+(Magic!AN126&gt;0)*alchemist_flame_bonus)</f>
        <v>799.2</v>
      </c>
      <c r="AB126" s="94">
        <f ca="1">TblConstr[[#This Row],[Tot Farm]]*farm_food + TblConstr[[#This Row],[Tot Doc]]*dock_food</f>
        <v>2400</v>
      </c>
      <c r="AC126" s="94">
        <f ca="1">TblConstr[[#This Row],[Tot Ly]]*ly_lumber + TblConstr[[#This Row],[Tot Hav]]*fh_lumber + IF(race="Wood Elf",TblMili[[#This Row],[Unit 2]]*MIN(TblMili[[#This Row],[Homeland%]]/wisp_bonus,wisp_cap),0)</f>
        <v>1000</v>
      </c>
      <c r="AD126" s="94">
        <f ca="1">OFFSET(TblConstr[[#This Row],[Tot Tow]],1,0)*(tower_mana + tech_4_5*TblTech[[#This Row],[4-5]]) + OFFSET(TblConstr[[#This Row],[Tot WG]],1,0)*wg_mana_prod</f>
        <v>0</v>
      </c>
      <c r="AE126" s="94">
        <f ca="1">OFFSET(TblConstr[[#This Row],[Tot OM]],1,0)*om_ore+IF(race="Dwarf",TblMili[[#This Row],[Unit 2]]*0.5,0)</f>
        <v>0</v>
      </c>
      <c r="AF126" s="94">
        <f ca="1">OFFSET(TblConstr[[#This Row],[Tot DM]],1,0)*dm_gems</f>
        <v>0</v>
      </c>
      <c r="AG126" s="142"/>
      <c r="AH126" s="156">
        <f ca="1">MIN(race_platinum_bonus + IF(TblMagic[[#This Row],[Active Alch Frost]]&gt;0,alch_frost_bonus,IF(Magic!AE126&gt;0,midas_bonus)) + TblImps[[#This Row],[Science]] - TblProd[[#This Row],[Guard]]*(0.02 + tech_5_7*TblTech[[#This Row],[5-7]]) + tech_1_5*TblTech[[#This Row],[1-5]] + tech_4_4*TblTech[[#This Row],[4-4]] + IF(TblMagic[[#This Row],[Active Infernal Command]]&gt;0,demonic_pact_plat,0), 0.5)</f>
        <v>0</v>
      </c>
      <c r="AI12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6" s="156">
        <f ca="1">race_lumber_bonus+ IF(TblMagic[[#This Row],[Active Gaia''s Blessing]]&gt;0,gaias_blessing_lumber)+ tech_1_3*TblTech[[#This Row],[1-3]] + tech_1_6*TblTech[[#This Row],[1-6]] + tech_3_3*TblTech[[#This Row],[3-3]]</f>
        <v>0</v>
      </c>
      <c r="AK126" s="156">
        <f ca="1">race_mana_bonus+ 0 + TblImps[[#This Row],[Spires]] + tech_1_2*TblTech[[#This Row],[1-2]] + tech_3_4*TblTech[[#This Row],[3-4]]</f>
        <v>0</v>
      </c>
      <c r="AL126" s="156">
        <f ca="1">race_ore_bonus + IF(TblMagic[[#This Row],[Active Miner''s Sight]]&gt;0,miners_sight_bonus,IF(TblMagic[[#This Row],[Active Mining Strength]]&gt;0,mining_strength_bonus)) +  tech_1_6*TblTech[[#This Row],[1-6]]</f>
        <v>0</v>
      </c>
      <c r="AM126" s="156">
        <f>race_gem_bonus+ tech_3_2*TblTech[[#This Row],[3-2]] + tech_4_3*TblTech[[#This Row],[4-3]] + tech_6_2*TblTech[[#This Row],[6-2]]</f>
        <v>0</v>
      </c>
      <c r="AN126" s="142"/>
      <c r="AO126" s="94">
        <f ca="1">TblProd[[#This Row],[Food]]*food_decay * (1 + tech_2_1*TblTech[[#This Row],[2-1]] + tech_2_8*TblTech[[#This Row],[2-8]] + IF(AND(TblMagic[[#This Row],[Active DnD]]&lt;12,TblMagic[[#This Row],[Active DnD]]&gt;5),1,0))</f>
        <v>1682.56</v>
      </c>
      <c r="AP126" s="94">
        <f ca="1">(1+race_food_consumption)*TblPop[[#This Row],[Total]]*food_per_person*(1+tech_1_10*TblTech[[#This Row],[1-10]]+tech_7_5*TblTech[[#This Row],[7-5]] + IF(TblMagic[[#This Row],[Active Infernal Command]]&gt;0,demonic_pact_food_cons,0))</f>
        <v>269</v>
      </c>
      <c r="AQ126" s="94">
        <f ca="1">TblProd[[#This Row],[Lumber]]*lumber_rot * (1 + tech_2_1*TblTech[[#This Row],[2-1]] + tech_2_8*TblTech[[#This Row],[2-8]] + tech_5_2*TblTech[[#This Row],[5-2]] + IF(AND(TblMagic[[#This Row],[Active DnD]]&lt;12,TblMagic[[#This Row],[Active DnD]]&gt;5),1,0))</f>
        <v>750.57</v>
      </c>
      <c r="AR126" s="94">
        <f ca="1">TblProd[[#This Row],[Mana]]*mana_drain * (1 + tech_2_1*TblTech[[#This Row],[2-1]] + tech_2_8*TblTech[[#This Row],[2-8]])</f>
        <v>0</v>
      </c>
      <c r="AS126" s="154"/>
      <c r="AT126" s="94">
        <f ca="1">TblExplore[[#This Row],[Platinum (2)]]+TblConstr[[#This Row],[Total Plat Cost]]+TblMili[[#This Row],[Plat Cost]]+TblRezone[[#This Row],[Platinum cost]]+TblImps[[#This Row],[P1]]-TblProd[[#This Row],[Bank Plat]]</f>
        <v>0</v>
      </c>
      <c r="AU126" s="94">
        <f ca="1">TblConstr[[#This Row],[Total Lum Cost]]+TblImps[[#This Row],[L1]]-TblProd[[#This Row],[Bank Lumber]] + Military!$CO$25*TblMili[[#This Row],[Sec. rec. Cost]]</f>
        <v>0</v>
      </c>
      <c r="AV126" s="94">
        <f ca="1">TblMagic[[#This Row],[Mana cost]] + Military!$CO$26*TblMili[[#This Row],[Sec. rec. Cost]]</f>
        <v>0</v>
      </c>
      <c r="AW126" s="94">
        <f ca="1">Military!$CO$24*TblMili[[#This Row],[Sec. rec. Cost]]+TblImps[[#This Row],[O1]]-TblProd[[#This Row],[Bank Ore]]</f>
        <v>0</v>
      </c>
      <c r="AX126" s="94">
        <f>TblImps[[#This Row],[G1]]-TblProd[[#This Row],[Bank Gems]]</f>
        <v>0</v>
      </c>
      <c r="AY126" s="142"/>
      <c r="AZ126" s="61" t="b">
        <f ca="1">IF(TblProd[[#This Row],[Set Guard]]&lt;&gt;"",TblProd[[#This Row],[Set Guard]],OFFSET(TblProd[[#This Row],[Guard]],-1,0))</f>
        <v>0</v>
      </c>
      <c r="BA126" s="153"/>
      <c r="BB126" s="45">
        <f>TblProd[[#This Row],[Hour]]</f>
        <v>87</v>
      </c>
      <c r="BC126" s="158">
        <f>-TblProd[[#This Row],[Bank Lumber]] / 2 + -TblProd[[#This Row],[Bank Gems]] * 2 + -TblProd[[#This Row],[Bank Ore]] / 2</f>
        <v>0</v>
      </c>
      <c r="BD126" s="158"/>
      <c r="BE126" s="158"/>
      <c r="BF126" s="158"/>
      <c r="BG126" s="159">
        <f ca="1">TblProd[[#This Row],[Time]]</f>
        <v>46052.083333333037</v>
      </c>
      <c r="BH126" s="45" t="str">
        <f>IF(AND(TblProd[[#This Row],[Bank Plat]]=0,TblProd[[#This Row],[Bank Lumber]]=0,TblProd[[#This Row],[Bank Ore]]=0,TblProd[[#This Row],[Bank Gems]]=0),"",IF(TblProd[[#This Row],[Bank Plat]]&gt;0,IF((TblProd[[#This Row],[Bank Lumber]]+TblProd[[#This Row],[Bank Ore]])/2+TblProd[[#This Row],[Bank Gems]]*2+ROUNDUP(TblProd[[#This Row],[Bank Plat]]/(1 + tech_2_2*Techs!Y126),0)=0,"Ok","Nope"),IF(TblProd[[#This Row],[Bank Lumber]]&gt;0,IF((TblProd[[#This Row],[Bank Plat]]+TblProd[[#This Row],[Bank Ore]])/2+TblProd[[#This Row],[Bank Gems]]*2+ROUNDUP(TblProd[[#This Row],[Bank Lumber]]/(1 + tech_2_2*Techs!Y126),0)=0,"Ok","Nope"),IF(TblProd[[#This Row],[Bank Ore]]&gt;0,IF((TblProd[[#This Row],[Bank Plat]]+TblProd[[#This Row],[Bank Lumber]])/2+TblProd[[#This Row],[Bank Gems]]*2+ROUNDUP(TblProd[[#This Row],[Bank Ore]]/(1 + tech_2_2*Techs!Y126),0)=0,"Ok","Nope")))))</f>
        <v/>
      </c>
      <c r="BI126" s="94">
        <f ca="1">TblProd[[#This Row],[Platinum]]</f>
        <v>220488</v>
      </c>
      <c r="BJ126" s="94">
        <f ca="1">TblProd[[#This Row],[Food]]</f>
        <v>168256</v>
      </c>
      <c r="BK126" s="94">
        <f ca="1">TblProd[[#This Row],[Lumber]]</f>
        <v>75057</v>
      </c>
      <c r="BL126" s="94">
        <f ca="1">TblProd[[#This Row],[Mana]]</f>
        <v>0</v>
      </c>
      <c r="BM126" s="94">
        <f ca="1">TblProd[[#This Row],[Ore]]</f>
        <v>0</v>
      </c>
    </row>
    <row r="127" spans="1:65" x14ac:dyDescent="0.2">
      <c r="A127" s="137">
        <f t="shared" si="1"/>
        <v>88</v>
      </c>
      <c r="B127" s="152">
        <f ca="1">TblImps[[#This Row],[Time]]</f>
        <v>46052.124999999702</v>
      </c>
      <c r="C127" s="153"/>
      <c r="D127" s="154"/>
      <c r="E127" s="94">
        <f ca="1">TblConstr[[#This Row],[Land]]</f>
        <v>110</v>
      </c>
      <c r="F127" s="94">
        <f ca="1">TblPop[[#This Row],[Peasants]]</f>
        <v>293</v>
      </c>
      <c r="G127" s="94">
        <f ca="1">TblMili[[#This Row],[Networth (2)]]</f>
        <v>2450</v>
      </c>
      <c r="H127" s="94">
        <f ca="1">OFFSET(TblProd[[#This Row],[Platinum]],-1,0)+OFFSET(TblProd[[#This Row],[Plat/hr]],-1,0) - TblProd[[#This Row],[Expenses Platinum]] + IF(TblProd[[#This Row],[Plat Bonus]],TblPop[[#This Row],[Peasants]]*4) + SUM(TblConstr[[#This Row],[Dest Hom]:[Dest Doc]])*TblConstr[[#This Row],[CPA Platinum -DB]]*tech_3_3_2*TblTech[[#This Row],[3-3]]</f>
        <v>221287</v>
      </c>
      <c r="I127" s="94">
        <f ca="1">OFFSET(TblProd[[#This Row],[Food]],-1,0)+OFFSET(TblProd[[#This Row],[Food/hr]],-1,0)+ROUNDUP((TblConstr[[#This Row],[Farms]]*80+TblConstr[[#This Row],[Docks]]*35)*(1+OFFSET(TblProd[[#This Row],[Bonus Food/hr]],-1,0)),0)</f>
        <v>168884</v>
      </c>
      <c r="J127" s="94">
        <f ca="1">OFFSET(TblProd[[#This Row],[Lumber]],-1,0)+OFFSET(TblProd[[#This Row],[Lumber/hr]],-1,0) - TblProd[[#This Row],[Expenses Lumber]] + SUM(TblConstr[[#This Row],[Dest Hom]:[Dest Doc]])*TblConstr[[#This Row],[CPA Lumber -DB]]*tech_3_3_2*TblTech[[#This Row],[3-3]]</f>
        <v>75306</v>
      </c>
      <c r="K127" s="94">
        <f ca="1">OFFSET(TblProd[[#This Row],[Mana]],-1,0)+OFFSET(TblProd[[#This Row],[Mana/hr]],-1,0)- TblProd[[#This Row],[Expenses Mana]]</f>
        <v>0</v>
      </c>
      <c r="L127" s="94">
        <f ca="1">OFFSET(TblProd[[#This Row],[Ore]],-1,0)+OFFSET(TblProd[[#This Row],[Ore/hr]],-1,0) -TblProd[[#This Row],[Expenses Ore]]</f>
        <v>0</v>
      </c>
      <c r="M127" s="94">
        <f ca="1">OFFSET(TblProd[[#This Row],[Gems]],-1,0)+OFFSET(TblProd[[#This Row],[Gems/hr]],-1,0) - TblProd[[#This Row],[Expenses Gems]]</f>
        <v>0</v>
      </c>
      <c r="N127" s="94">
        <f ca="1">OFFSET(TblProd[[#This Row],[Boats]],-1,0)+OFFSET(TblProd[[#This Row],[Boats/hr]],-1,0)</f>
        <v>0</v>
      </c>
      <c r="O127" s="94">
        <f ca="1">OFFSET(TblProd[[#This Row],[Prestige]],-1,0)</f>
        <v>250</v>
      </c>
      <c r="P127"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7" s="94">
        <f ca="1">MAX(_xlfn.CEILING.MATH(TblProd[[#This Row],[Land]]*2.5+IFERROR(OFFSET(TblTech[[#This Row],[Sum of tech]],-1,0)*50,0)),3750)</f>
        <v>3750</v>
      </c>
      <c r="R127" s="142"/>
      <c r="S127" s="94">
        <f ca="1">ROUNDDOWN(TblProd[[#This Row],[Raw Plat/hr]]*(1+TblProd[[#This Row],[Bonus Plat/hr]]),0)</f>
        <v>791</v>
      </c>
      <c r="T127" s="94">
        <f ca="1">ROUND(TblProd[[#This Row],[Raw Food/hr]]*(1+TblProd[[#This Row],[Bonus Food/hr]])-TblProd[[#This Row],[Food decay]]-TblProd[[#This Row],[Food eaten]],0)</f>
        <v>622</v>
      </c>
      <c r="U127" s="94">
        <f ca="1">ROUND(TblProd[[#This Row],[Raw Lumber/hr]]*(1+TblProd[[#This Row],[Bonus Lumber/hr]])-TblProd[[#This Row],[Lumber rot]],0)</f>
        <v>247</v>
      </c>
      <c r="V127" s="94">
        <f ca="1">ROUND(TblProd[[#This Row],[Raw Mana/hr]]*(1+TblProd[[#This Row],[Bonus Mana/hr]])-TblProd[[#This Row],[Mana drain]],0)</f>
        <v>0</v>
      </c>
      <c r="W127" s="94">
        <f ca="1">ROUNDDOWN(TblProd[[#This Row],[Raw Ore/hr]]*(1+TblProd[[#This Row],[Bonux Ore/hr]]),0)</f>
        <v>0</v>
      </c>
      <c r="X127" s="94">
        <f ca="1">ROUNDDOWN(TblProd[[#This Row],[Raw Gems/hr]]*(1+TblProd[[#This Row],[Bonus Gems/hr]]),0)</f>
        <v>0</v>
      </c>
      <c r="Y127" s="155">
        <f ca="1">OFFSET(TblConstr[[#This Row],[Tot Doc]],1,0)*dock_boats_hr * (1 + tech_4_1*TblTech[[#This Row],[4-1]])</f>
        <v>0</v>
      </c>
      <c r="Z127" s="154"/>
      <c r="AA127" s="94">
        <f ca="1">TblPop[[#This Row],[Peasants]]*tax*TblPop[[#This Row],[Employment]] + (Construction!AZ128+Construction!BX128)*(alch_plat+(Magic!AN127&gt;0)*alchemist_flame_bonus)</f>
        <v>791.1</v>
      </c>
      <c r="AB127" s="94">
        <f ca="1">TblConstr[[#This Row],[Tot Farm]]*farm_food + TblConstr[[#This Row],[Tot Doc]]*dock_food</f>
        <v>2400</v>
      </c>
      <c r="AC127" s="94">
        <f ca="1">TblConstr[[#This Row],[Tot Ly]]*ly_lumber + TblConstr[[#This Row],[Tot Hav]]*fh_lumber + IF(race="Wood Elf",TblMili[[#This Row],[Unit 2]]*MIN(TblMili[[#This Row],[Homeland%]]/wisp_bonus,wisp_cap),0)</f>
        <v>1000</v>
      </c>
      <c r="AD127" s="94">
        <f ca="1">OFFSET(TblConstr[[#This Row],[Tot Tow]],1,0)*(tower_mana + tech_4_5*TblTech[[#This Row],[4-5]]) + OFFSET(TblConstr[[#This Row],[Tot WG]],1,0)*wg_mana_prod</f>
        <v>0</v>
      </c>
      <c r="AE127" s="94">
        <f ca="1">OFFSET(TblConstr[[#This Row],[Tot OM]],1,0)*om_ore+IF(race="Dwarf",TblMili[[#This Row],[Unit 2]]*0.5,0)</f>
        <v>0</v>
      </c>
      <c r="AF127" s="94">
        <f ca="1">OFFSET(TblConstr[[#This Row],[Tot DM]],1,0)*dm_gems</f>
        <v>0</v>
      </c>
      <c r="AG127" s="142"/>
      <c r="AH127" s="156">
        <f ca="1">MIN(race_platinum_bonus + IF(TblMagic[[#This Row],[Active Alch Frost]]&gt;0,alch_frost_bonus,IF(Magic!AE127&gt;0,midas_bonus)) + TblImps[[#This Row],[Science]] - TblProd[[#This Row],[Guard]]*(0.02 + tech_5_7*TblTech[[#This Row],[5-7]]) + tech_1_5*TblTech[[#This Row],[1-5]] + tech_4_4*TblTech[[#This Row],[4-4]] + IF(TblMagic[[#This Row],[Active Infernal Command]]&gt;0,demonic_pact_plat,0), 0.5)</f>
        <v>0</v>
      </c>
      <c r="AI127"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7" s="156">
        <f ca="1">race_lumber_bonus+ IF(TblMagic[[#This Row],[Active Gaia''s Blessing]]&gt;0,gaias_blessing_lumber)+ tech_1_3*TblTech[[#This Row],[1-3]] + tech_1_6*TblTech[[#This Row],[1-6]] + tech_3_3*TblTech[[#This Row],[3-3]]</f>
        <v>0</v>
      </c>
      <c r="AK127" s="156">
        <f ca="1">race_mana_bonus+ 0 + TblImps[[#This Row],[Spires]] + tech_1_2*TblTech[[#This Row],[1-2]] + tech_3_4*TblTech[[#This Row],[3-4]]</f>
        <v>0</v>
      </c>
      <c r="AL127" s="156">
        <f ca="1">race_ore_bonus + IF(TblMagic[[#This Row],[Active Miner''s Sight]]&gt;0,miners_sight_bonus,IF(TblMagic[[#This Row],[Active Mining Strength]]&gt;0,mining_strength_bonus)) +  tech_1_6*TblTech[[#This Row],[1-6]]</f>
        <v>0</v>
      </c>
      <c r="AM127" s="156">
        <f>race_gem_bonus+ tech_3_2*TblTech[[#This Row],[3-2]] + tech_4_3*TblTech[[#This Row],[4-3]] + tech_6_2*TblTech[[#This Row],[6-2]]</f>
        <v>0</v>
      </c>
      <c r="AN127" s="142"/>
      <c r="AO127" s="94">
        <f ca="1">TblProd[[#This Row],[Food]]*food_decay * (1 + tech_2_1*TblTech[[#This Row],[2-1]] + tech_2_8*TblTech[[#This Row],[2-8]] + IF(AND(TblMagic[[#This Row],[Active DnD]]&lt;12,TblMagic[[#This Row],[Active DnD]]&gt;5),1,0))</f>
        <v>1688.8400000000001</v>
      </c>
      <c r="AP127" s="94">
        <f ca="1">(1+race_food_consumption)*TblPop[[#This Row],[Total]]*food_per_person*(1+tech_1_10*TblTech[[#This Row],[1-10]]+tech_7_5*TblTech[[#This Row],[7-5]] + IF(TblMagic[[#This Row],[Active Infernal Command]]&gt;0,demonic_pact_food_cons,0))</f>
        <v>269</v>
      </c>
      <c r="AQ127" s="94">
        <f ca="1">TblProd[[#This Row],[Lumber]]*lumber_rot * (1 + tech_2_1*TblTech[[#This Row],[2-1]] + tech_2_8*TblTech[[#This Row],[2-8]] + tech_5_2*TblTech[[#This Row],[5-2]] + IF(AND(TblMagic[[#This Row],[Active DnD]]&lt;12,TblMagic[[#This Row],[Active DnD]]&gt;5),1,0))</f>
        <v>753.06000000000006</v>
      </c>
      <c r="AR127" s="94">
        <f ca="1">TblProd[[#This Row],[Mana]]*mana_drain * (1 + tech_2_1*TblTech[[#This Row],[2-1]] + tech_2_8*TblTech[[#This Row],[2-8]])</f>
        <v>0</v>
      </c>
      <c r="AS127" s="154"/>
      <c r="AT127" s="94">
        <f ca="1">TblExplore[[#This Row],[Platinum (2)]]+TblConstr[[#This Row],[Total Plat Cost]]+TblMili[[#This Row],[Plat Cost]]+TblRezone[[#This Row],[Platinum cost]]+TblImps[[#This Row],[P1]]-TblProd[[#This Row],[Bank Plat]]</f>
        <v>0</v>
      </c>
      <c r="AU127" s="94">
        <f ca="1">TblConstr[[#This Row],[Total Lum Cost]]+TblImps[[#This Row],[L1]]-TblProd[[#This Row],[Bank Lumber]] + Military!$CO$25*TblMili[[#This Row],[Sec. rec. Cost]]</f>
        <v>0</v>
      </c>
      <c r="AV127" s="94">
        <f ca="1">TblMagic[[#This Row],[Mana cost]] + Military!$CO$26*TblMili[[#This Row],[Sec. rec. Cost]]</f>
        <v>0</v>
      </c>
      <c r="AW127" s="94">
        <f ca="1">Military!$CO$24*TblMili[[#This Row],[Sec. rec. Cost]]+TblImps[[#This Row],[O1]]-TblProd[[#This Row],[Bank Ore]]</f>
        <v>0</v>
      </c>
      <c r="AX127" s="94">
        <f>TblImps[[#This Row],[G1]]-TblProd[[#This Row],[Bank Gems]]</f>
        <v>0</v>
      </c>
      <c r="AY127" s="142"/>
      <c r="AZ127" s="61" t="b">
        <f ca="1">IF(TblProd[[#This Row],[Set Guard]]&lt;&gt;"",TblProd[[#This Row],[Set Guard]],OFFSET(TblProd[[#This Row],[Guard]],-1,0))</f>
        <v>0</v>
      </c>
      <c r="BA127" s="153"/>
      <c r="BB127" s="45">
        <f>TblProd[[#This Row],[Hour]]</f>
        <v>88</v>
      </c>
      <c r="BC127" s="158">
        <f>-TblProd[[#This Row],[Bank Lumber]] / 2 + -TblProd[[#This Row],[Bank Gems]] * 2 + -TblProd[[#This Row],[Bank Ore]] / 2</f>
        <v>0</v>
      </c>
      <c r="BD127" s="158"/>
      <c r="BE127" s="158"/>
      <c r="BF127" s="158"/>
      <c r="BG127" s="159">
        <f ca="1">TblProd[[#This Row],[Time]]</f>
        <v>46052.124999999702</v>
      </c>
      <c r="BH127" s="45" t="str">
        <f>IF(AND(TblProd[[#This Row],[Bank Plat]]=0,TblProd[[#This Row],[Bank Lumber]]=0,TblProd[[#This Row],[Bank Ore]]=0,TblProd[[#This Row],[Bank Gems]]=0),"",IF(TblProd[[#This Row],[Bank Plat]]&gt;0,IF((TblProd[[#This Row],[Bank Lumber]]+TblProd[[#This Row],[Bank Ore]])/2+TblProd[[#This Row],[Bank Gems]]*2+ROUNDUP(TblProd[[#This Row],[Bank Plat]]/(1 + tech_2_2*Techs!Y127),0)=0,"Ok","Nope"),IF(TblProd[[#This Row],[Bank Lumber]]&gt;0,IF((TblProd[[#This Row],[Bank Plat]]+TblProd[[#This Row],[Bank Ore]])/2+TblProd[[#This Row],[Bank Gems]]*2+ROUNDUP(TblProd[[#This Row],[Bank Lumber]]/(1 + tech_2_2*Techs!Y127),0)=0,"Ok","Nope"),IF(TblProd[[#This Row],[Bank Ore]]&gt;0,IF((TblProd[[#This Row],[Bank Plat]]+TblProd[[#This Row],[Bank Lumber]])/2+TblProd[[#This Row],[Bank Gems]]*2+ROUNDUP(TblProd[[#This Row],[Bank Ore]]/(1 + tech_2_2*Techs!Y127),0)=0,"Ok","Nope")))))</f>
        <v/>
      </c>
      <c r="BI127" s="94">
        <f ca="1">TblProd[[#This Row],[Platinum]]</f>
        <v>221287</v>
      </c>
      <c r="BJ127" s="94">
        <f ca="1">TblProd[[#This Row],[Food]]</f>
        <v>168884</v>
      </c>
      <c r="BK127" s="94">
        <f ca="1">TblProd[[#This Row],[Lumber]]</f>
        <v>75306</v>
      </c>
      <c r="BL127" s="94">
        <f ca="1">TblProd[[#This Row],[Mana]]</f>
        <v>0</v>
      </c>
      <c r="BM127" s="94">
        <f ca="1">TblProd[[#This Row],[Ore]]</f>
        <v>0</v>
      </c>
    </row>
    <row r="128" spans="1:65" x14ac:dyDescent="0.2">
      <c r="A128" s="137">
        <f t="shared" si="1"/>
        <v>89</v>
      </c>
      <c r="B128" s="152">
        <f ca="1">TblImps[[#This Row],[Time]]</f>
        <v>46052.166666666366</v>
      </c>
      <c r="C128" s="153"/>
      <c r="D128" s="154"/>
      <c r="E128" s="94">
        <f ca="1">TblConstr[[#This Row],[Land]]</f>
        <v>110</v>
      </c>
      <c r="F128" s="94">
        <f ca="1">TblPop[[#This Row],[Peasants]]</f>
        <v>290</v>
      </c>
      <c r="G128" s="94">
        <f ca="1">TblMili[[#This Row],[Networth (2)]]</f>
        <v>2450</v>
      </c>
      <c r="H128" s="94">
        <f ca="1">OFFSET(TblProd[[#This Row],[Platinum]],-1,0)+OFFSET(TblProd[[#This Row],[Plat/hr]],-1,0) - TblProd[[#This Row],[Expenses Platinum]] + IF(TblProd[[#This Row],[Plat Bonus]],TblPop[[#This Row],[Peasants]]*4) + SUM(TblConstr[[#This Row],[Dest Hom]:[Dest Doc]])*TblConstr[[#This Row],[CPA Platinum -DB]]*tech_3_3_2*TblTech[[#This Row],[3-3]]</f>
        <v>222078</v>
      </c>
      <c r="I128" s="94">
        <f ca="1">OFFSET(TblProd[[#This Row],[Food]],-1,0)+OFFSET(TblProd[[#This Row],[Food/hr]],-1,0)+ROUNDUP((TblConstr[[#This Row],[Farms]]*80+TblConstr[[#This Row],[Docks]]*35)*(1+OFFSET(TblProd[[#This Row],[Bonus Food/hr]],-1,0)),0)</f>
        <v>169506</v>
      </c>
      <c r="J128" s="94">
        <f ca="1">OFFSET(TblProd[[#This Row],[Lumber]],-1,0)+OFFSET(TblProd[[#This Row],[Lumber/hr]],-1,0) - TblProd[[#This Row],[Expenses Lumber]] + SUM(TblConstr[[#This Row],[Dest Hom]:[Dest Doc]])*TblConstr[[#This Row],[CPA Lumber -DB]]*tech_3_3_2*TblTech[[#This Row],[3-3]]</f>
        <v>75553</v>
      </c>
      <c r="K128" s="94">
        <f ca="1">OFFSET(TblProd[[#This Row],[Mana]],-1,0)+OFFSET(TblProd[[#This Row],[Mana/hr]],-1,0)- TblProd[[#This Row],[Expenses Mana]]</f>
        <v>0</v>
      </c>
      <c r="L128" s="94">
        <f ca="1">OFFSET(TblProd[[#This Row],[Ore]],-1,0)+OFFSET(TblProd[[#This Row],[Ore/hr]],-1,0) -TblProd[[#This Row],[Expenses Ore]]</f>
        <v>0</v>
      </c>
      <c r="M128" s="94">
        <f ca="1">OFFSET(TblProd[[#This Row],[Gems]],-1,0)+OFFSET(TblProd[[#This Row],[Gems/hr]],-1,0) - TblProd[[#This Row],[Expenses Gems]]</f>
        <v>0</v>
      </c>
      <c r="N128" s="94">
        <f ca="1">OFFSET(TblProd[[#This Row],[Boats]],-1,0)+OFFSET(TblProd[[#This Row],[Boats/hr]],-1,0)</f>
        <v>0</v>
      </c>
      <c r="O128" s="94">
        <f ca="1">OFFSET(TblProd[[#This Row],[Prestige]],-1,0)</f>
        <v>250</v>
      </c>
      <c r="P128"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8" s="94">
        <f ca="1">MAX(_xlfn.CEILING.MATH(TblProd[[#This Row],[Land]]*2.5+IFERROR(OFFSET(TblTech[[#This Row],[Sum of tech]],-1,0)*50,0)),3750)</f>
        <v>3750</v>
      </c>
      <c r="R128" s="142"/>
      <c r="S128" s="94">
        <f ca="1">ROUNDDOWN(TblProd[[#This Row],[Raw Plat/hr]]*(1+TblProd[[#This Row],[Bonus Plat/hr]]),0)</f>
        <v>783</v>
      </c>
      <c r="T128" s="94">
        <f ca="1">ROUND(TblProd[[#This Row],[Raw Food/hr]]*(1+TblProd[[#This Row],[Bonus Food/hr]])-TblProd[[#This Row],[Food decay]]-TblProd[[#This Row],[Food eaten]],0)</f>
        <v>616</v>
      </c>
      <c r="U128" s="94">
        <f ca="1">ROUND(TblProd[[#This Row],[Raw Lumber/hr]]*(1+TblProd[[#This Row],[Bonus Lumber/hr]])-TblProd[[#This Row],[Lumber rot]],0)</f>
        <v>244</v>
      </c>
      <c r="V128" s="94">
        <f ca="1">ROUND(TblProd[[#This Row],[Raw Mana/hr]]*(1+TblProd[[#This Row],[Bonus Mana/hr]])-TblProd[[#This Row],[Mana drain]],0)</f>
        <v>0</v>
      </c>
      <c r="W128" s="94">
        <f ca="1">ROUNDDOWN(TblProd[[#This Row],[Raw Ore/hr]]*(1+TblProd[[#This Row],[Bonux Ore/hr]]),0)</f>
        <v>0</v>
      </c>
      <c r="X128" s="94">
        <f ca="1">ROUNDDOWN(TblProd[[#This Row],[Raw Gems/hr]]*(1+TblProd[[#This Row],[Bonus Gems/hr]]),0)</f>
        <v>0</v>
      </c>
      <c r="Y128" s="155">
        <f ca="1">OFFSET(TblConstr[[#This Row],[Tot Doc]],1,0)*dock_boats_hr * (1 + tech_4_1*TblTech[[#This Row],[4-1]])</f>
        <v>0</v>
      </c>
      <c r="Z128" s="154"/>
      <c r="AA128" s="94">
        <f ca="1">TblPop[[#This Row],[Peasants]]*tax*TblPop[[#This Row],[Employment]] + (Construction!AZ129+Construction!BX129)*(alch_plat+(Magic!AN128&gt;0)*alchemist_flame_bonus)</f>
        <v>783</v>
      </c>
      <c r="AB128" s="94">
        <f ca="1">TblConstr[[#This Row],[Tot Farm]]*farm_food + TblConstr[[#This Row],[Tot Doc]]*dock_food</f>
        <v>2400</v>
      </c>
      <c r="AC128" s="94">
        <f ca="1">TblConstr[[#This Row],[Tot Ly]]*ly_lumber + TblConstr[[#This Row],[Tot Hav]]*fh_lumber + IF(race="Wood Elf",TblMili[[#This Row],[Unit 2]]*MIN(TblMili[[#This Row],[Homeland%]]/wisp_bonus,wisp_cap),0)</f>
        <v>1000</v>
      </c>
      <c r="AD128" s="94">
        <f ca="1">OFFSET(TblConstr[[#This Row],[Tot Tow]],1,0)*(tower_mana + tech_4_5*TblTech[[#This Row],[4-5]]) + OFFSET(TblConstr[[#This Row],[Tot WG]],1,0)*wg_mana_prod</f>
        <v>0</v>
      </c>
      <c r="AE128" s="94">
        <f ca="1">OFFSET(TblConstr[[#This Row],[Tot OM]],1,0)*om_ore+IF(race="Dwarf",TblMili[[#This Row],[Unit 2]]*0.5,0)</f>
        <v>0</v>
      </c>
      <c r="AF128" s="94">
        <f ca="1">OFFSET(TblConstr[[#This Row],[Tot DM]],1,0)*dm_gems</f>
        <v>0</v>
      </c>
      <c r="AG128" s="142"/>
      <c r="AH128" s="156">
        <f ca="1">MIN(race_platinum_bonus + IF(TblMagic[[#This Row],[Active Alch Frost]]&gt;0,alch_frost_bonus,IF(Magic!AE128&gt;0,midas_bonus)) + TblImps[[#This Row],[Science]] - TblProd[[#This Row],[Guard]]*(0.02 + tech_5_7*TblTech[[#This Row],[5-7]]) + tech_1_5*TblTech[[#This Row],[1-5]] + tech_4_4*TblTech[[#This Row],[4-4]] + IF(TblMagic[[#This Row],[Active Infernal Command]]&gt;0,demonic_pact_plat,0), 0.5)</f>
        <v>0</v>
      </c>
      <c r="AI128"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8" s="156">
        <f ca="1">race_lumber_bonus+ IF(TblMagic[[#This Row],[Active Gaia''s Blessing]]&gt;0,gaias_blessing_lumber)+ tech_1_3*TblTech[[#This Row],[1-3]] + tech_1_6*TblTech[[#This Row],[1-6]] + tech_3_3*TblTech[[#This Row],[3-3]]</f>
        <v>0</v>
      </c>
      <c r="AK128" s="156">
        <f ca="1">race_mana_bonus+ 0 + TblImps[[#This Row],[Spires]] + tech_1_2*TblTech[[#This Row],[1-2]] + tech_3_4*TblTech[[#This Row],[3-4]]</f>
        <v>0</v>
      </c>
      <c r="AL128" s="156">
        <f ca="1">race_ore_bonus + IF(TblMagic[[#This Row],[Active Miner''s Sight]]&gt;0,miners_sight_bonus,IF(TblMagic[[#This Row],[Active Mining Strength]]&gt;0,mining_strength_bonus)) +  tech_1_6*TblTech[[#This Row],[1-6]]</f>
        <v>0</v>
      </c>
      <c r="AM128" s="156">
        <f>race_gem_bonus+ tech_3_2*TblTech[[#This Row],[3-2]] + tech_4_3*TblTech[[#This Row],[4-3]] + tech_6_2*TblTech[[#This Row],[6-2]]</f>
        <v>0</v>
      </c>
      <c r="AN128" s="142"/>
      <c r="AO128" s="94">
        <f ca="1">TblProd[[#This Row],[Food]]*food_decay * (1 + tech_2_1*TblTech[[#This Row],[2-1]] + tech_2_8*TblTech[[#This Row],[2-8]] + IF(AND(TblMagic[[#This Row],[Active DnD]]&lt;12,TblMagic[[#This Row],[Active DnD]]&gt;5),1,0))</f>
        <v>1695.06</v>
      </c>
      <c r="AP128" s="94">
        <f ca="1">(1+race_food_consumption)*TblPop[[#This Row],[Total]]*food_per_person*(1+tech_1_10*TblTech[[#This Row],[1-10]]+tech_7_5*TblTech[[#This Row],[7-5]] + IF(TblMagic[[#This Row],[Active Infernal Command]]&gt;0,demonic_pact_food_cons,0))</f>
        <v>269</v>
      </c>
      <c r="AQ128" s="94">
        <f ca="1">TblProd[[#This Row],[Lumber]]*lumber_rot * (1 + tech_2_1*TblTech[[#This Row],[2-1]] + tech_2_8*TblTech[[#This Row],[2-8]] + tech_5_2*TblTech[[#This Row],[5-2]] + IF(AND(TblMagic[[#This Row],[Active DnD]]&lt;12,TblMagic[[#This Row],[Active DnD]]&gt;5),1,0))</f>
        <v>755.53</v>
      </c>
      <c r="AR128" s="94">
        <f ca="1">TblProd[[#This Row],[Mana]]*mana_drain * (1 + tech_2_1*TblTech[[#This Row],[2-1]] + tech_2_8*TblTech[[#This Row],[2-8]])</f>
        <v>0</v>
      </c>
      <c r="AS128" s="154"/>
      <c r="AT128" s="94">
        <f ca="1">TblExplore[[#This Row],[Platinum (2)]]+TblConstr[[#This Row],[Total Plat Cost]]+TblMili[[#This Row],[Plat Cost]]+TblRezone[[#This Row],[Platinum cost]]+TblImps[[#This Row],[P1]]-TblProd[[#This Row],[Bank Plat]]</f>
        <v>0</v>
      </c>
      <c r="AU128" s="94">
        <f ca="1">TblConstr[[#This Row],[Total Lum Cost]]+TblImps[[#This Row],[L1]]-TblProd[[#This Row],[Bank Lumber]] + Military!$CO$25*TblMili[[#This Row],[Sec. rec. Cost]]</f>
        <v>0</v>
      </c>
      <c r="AV128" s="94">
        <f ca="1">TblMagic[[#This Row],[Mana cost]] + Military!$CO$26*TblMili[[#This Row],[Sec. rec. Cost]]</f>
        <v>0</v>
      </c>
      <c r="AW128" s="94">
        <f ca="1">Military!$CO$24*TblMili[[#This Row],[Sec. rec. Cost]]+TblImps[[#This Row],[O1]]-TblProd[[#This Row],[Bank Ore]]</f>
        <v>0</v>
      </c>
      <c r="AX128" s="94">
        <f>TblImps[[#This Row],[G1]]-TblProd[[#This Row],[Bank Gems]]</f>
        <v>0</v>
      </c>
      <c r="AY128" s="142"/>
      <c r="AZ128" s="61" t="b">
        <f ca="1">IF(TblProd[[#This Row],[Set Guard]]&lt;&gt;"",TblProd[[#This Row],[Set Guard]],OFFSET(TblProd[[#This Row],[Guard]],-1,0))</f>
        <v>0</v>
      </c>
      <c r="BA128" s="153"/>
      <c r="BB128" s="45">
        <f>TblProd[[#This Row],[Hour]]</f>
        <v>89</v>
      </c>
      <c r="BC128" s="158">
        <f>-TblProd[[#This Row],[Bank Lumber]] / 2 + -TblProd[[#This Row],[Bank Gems]] * 2 + -TblProd[[#This Row],[Bank Ore]] / 2</f>
        <v>0</v>
      </c>
      <c r="BD128" s="158"/>
      <c r="BE128" s="158"/>
      <c r="BF128" s="158"/>
      <c r="BG128" s="159">
        <f ca="1">TblProd[[#This Row],[Time]]</f>
        <v>46052.166666666366</v>
      </c>
      <c r="BH128" s="45" t="str">
        <f>IF(AND(TblProd[[#This Row],[Bank Plat]]=0,TblProd[[#This Row],[Bank Lumber]]=0,TblProd[[#This Row],[Bank Ore]]=0,TblProd[[#This Row],[Bank Gems]]=0),"",IF(TblProd[[#This Row],[Bank Plat]]&gt;0,IF((TblProd[[#This Row],[Bank Lumber]]+TblProd[[#This Row],[Bank Ore]])/2+TblProd[[#This Row],[Bank Gems]]*2+ROUNDUP(TblProd[[#This Row],[Bank Plat]]/(1 + tech_2_2*Techs!Y128),0)=0,"Ok","Nope"),IF(TblProd[[#This Row],[Bank Lumber]]&gt;0,IF((TblProd[[#This Row],[Bank Plat]]+TblProd[[#This Row],[Bank Ore]])/2+TblProd[[#This Row],[Bank Gems]]*2+ROUNDUP(TblProd[[#This Row],[Bank Lumber]]/(1 + tech_2_2*Techs!Y128),0)=0,"Ok","Nope"),IF(TblProd[[#This Row],[Bank Ore]]&gt;0,IF((TblProd[[#This Row],[Bank Plat]]+TblProd[[#This Row],[Bank Lumber]])/2+TblProd[[#This Row],[Bank Gems]]*2+ROUNDUP(TblProd[[#This Row],[Bank Ore]]/(1 + tech_2_2*Techs!Y128),0)=0,"Ok","Nope")))))</f>
        <v/>
      </c>
      <c r="BI128" s="94">
        <f ca="1">TblProd[[#This Row],[Platinum]]</f>
        <v>222078</v>
      </c>
      <c r="BJ128" s="94">
        <f ca="1">TblProd[[#This Row],[Food]]</f>
        <v>169506</v>
      </c>
      <c r="BK128" s="94">
        <f ca="1">TblProd[[#This Row],[Lumber]]</f>
        <v>75553</v>
      </c>
      <c r="BL128" s="94">
        <f ca="1">TblProd[[#This Row],[Mana]]</f>
        <v>0</v>
      </c>
      <c r="BM128" s="94">
        <f ca="1">TblProd[[#This Row],[Ore]]</f>
        <v>0</v>
      </c>
    </row>
    <row r="129" spans="1:65" x14ac:dyDescent="0.2">
      <c r="A129" s="137">
        <f t="shared" si="1"/>
        <v>90</v>
      </c>
      <c r="B129" s="152">
        <f ca="1">TblImps[[#This Row],[Time]]</f>
        <v>46052.20833333303</v>
      </c>
      <c r="C129" s="153"/>
      <c r="D129" s="154"/>
      <c r="E129" s="94">
        <f ca="1">TblConstr[[#This Row],[Land]]</f>
        <v>110</v>
      </c>
      <c r="F129" s="94">
        <f ca="1">TblPop[[#This Row],[Peasants]]</f>
        <v>287</v>
      </c>
      <c r="G129" s="94">
        <f ca="1">TblMili[[#This Row],[Networth (2)]]</f>
        <v>2450</v>
      </c>
      <c r="H129" s="94">
        <f ca="1">OFFSET(TblProd[[#This Row],[Platinum]],-1,0)+OFFSET(TblProd[[#This Row],[Plat/hr]],-1,0) - TblProd[[#This Row],[Expenses Platinum]] + IF(TblProd[[#This Row],[Plat Bonus]],TblPop[[#This Row],[Peasants]]*4) + SUM(TblConstr[[#This Row],[Dest Hom]:[Dest Doc]])*TblConstr[[#This Row],[CPA Platinum -DB]]*tech_3_3_2*TblTech[[#This Row],[3-3]]</f>
        <v>222861</v>
      </c>
      <c r="I129" s="94">
        <f ca="1">OFFSET(TblProd[[#This Row],[Food]],-1,0)+OFFSET(TblProd[[#This Row],[Food/hr]],-1,0)+ROUNDUP((TblConstr[[#This Row],[Farms]]*80+TblConstr[[#This Row],[Docks]]*35)*(1+OFFSET(TblProd[[#This Row],[Bonus Food/hr]],-1,0)),0)</f>
        <v>170122</v>
      </c>
      <c r="J129" s="94">
        <f ca="1">OFFSET(TblProd[[#This Row],[Lumber]],-1,0)+OFFSET(TblProd[[#This Row],[Lumber/hr]],-1,0) - TblProd[[#This Row],[Expenses Lumber]] + SUM(TblConstr[[#This Row],[Dest Hom]:[Dest Doc]])*TblConstr[[#This Row],[CPA Lumber -DB]]*tech_3_3_2*TblTech[[#This Row],[3-3]]</f>
        <v>75797</v>
      </c>
      <c r="K129" s="94">
        <f ca="1">OFFSET(TblProd[[#This Row],[Mana]],-1,0)+OFFSET(TblProd[[#This Row],[Mana/hr]],-1,0)- TblProd[[#This Row],[Expenses Mana]]</f>
        <v>0</v>
      </c>
      <c r="L129" s="94">
        <f ca="1">OFFSET(TblProd[[#This Row],[Ore]],-1,0)+OFFSET(TblProd[[#This Row],[Ore/hr]],-1,0) -TblProd[[#This Row],[Expenses Ore]]</f>
        <v>0</v>
      </c>
      <c r="M129" s="94">
        <f ca="1">OFFSET(TblProd[[#This Row],[Gems]],-1,0)+OFFSET(TblProd[[#This Row],[Gems/hr]],-1,0) - TblProd[[#This Row],[Expenses Gems]]</f>
        <v>0</v>
      </c>
      <c r="N129" s="94">
        <f ca="1">OFFSET(TblProd[[#This Row],[Boats]],-1,0)+OFFSET(TblProd[[#This Row],[Boats/hr]],-1,0)</f>
        <v>0</v>
      </c>
      <c r="O129" s="94">
        <f ca="1">OFFSET(TblProd[[#This Row],[Prestige]],-1,0)</f>
        <v>250</v>
      </c>
      <c r="P129"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29" s="94">
        <f ca="1">MAX(_xlfn.CEILING.MATH(TblProd[[#This Row],[Land]]*2.5+IFERROR(OFFSET(TblTech[[#This Row],[Sum of tech]],-1,0)*50,0)),3750)</f>
        <v>3750</v>
      </c>
      <c r="R129" s="142"/>
      <c r="S129" s="94">
        <f ca="1">ROUNDDOWN(TblProd[[#This Row],[Raw Plat/hr]]*(1+TblProd[[#This Row],[Bonus Plat/hr]]),0)</f>
        <v>774</v>
      </c>
      <c r="T129" s="94">
        <f ca="1">ROUND(TblProd[[#This Row],[Raw Food/hr]]*(1+TblProd[[#This Row],[Bonus Food/hr]])-TblProd[[#This Row],[Food decay]]-TblProd[[#This Row],[Food eaten]],0)</f>
        <v>610</v>
      </c>
      <c r="U129" s="94">
        <f ca="1">ROUND(TblProd[[#This Row],[Raw Lumber/hr]]*(1+TblProd[[#This Row],[Bonus Lumber/hr]])-TblProd[[#This Row],[Lumber rot]],0)</f>
        <v>242</v>
      </c>
      <c r="V129" s="94">
        <f ca="1">ROUND(TblProd[[#This Row],[Raw Mana/hr]]*(1+TblProd[[#This Row],[Bonus Mana/hr]])-TblProd[[#This Row],[Mana drain]],0)</f>
        <v>0</v>
      </c>
      <c r="W129" s="94">
        <f ca="1">ROUNDDOWN(TblProd[[#This Row],[Raw Ore/hr]]*(1+TblProd[[#This Row],[Bonux Ore/hr]]),0)</f>
        <v>0</v>
      </c>
      <c r="X129" s="94">
        <f ca="1">ROUNDDOWN(TblProd[[#This Row],[Raw Gems/hr]]*(1+TblProd[[#This Row],[Bonus Gems/hr]]),0)</f>
        <v>0</v>
      </c>
      <c r="Y129" s="155">
        <f ca="1">OFFSET(TblConstr[[#This Row],[Tot Doc]],1,0)*dock_boats_hr * (1 + tech_4_1*TblTech[[#This Row],[4-1]])</f>
        <v>0</v>
      </c>
      <c r="Z129" s="154"/>
      <c r="AA129" s="94">
        <f ca="1">TblPop[[#This Row],[Peasants]]*tax*TblPop[[#This Row],[Employment]] + (Construction!AZ130+Construction!BX130)*(alch_plat+(Magic!AN129&gt;0)*alchemist_flame_bonus)</f>
        <v>774.90000000000009</v>
      </c>
      <c r="AB129" s="94">
        <f ca="1">TblConstr[[#This Row],[Tot Farm]]*farm_food + TblConstr[[#This Row],[Tot Doc]]*dock_food</f>
        <v>2400</v>
      </c>
      <c r="AC129" s="94">
        <f ca="1">TblConstr[[#This Row],[Tot Ly]]*ly_lumber + TblConstr[[#This Row],[Tot Hav]]*fh_lumber + IF(race="Wood Elf",TblMili[[#This Row],[Unit 2]]*MIN(TblMili[[#This Row],[Homeland%]]/wisp_bonus,wisp_cap),0)</f>
        <v>1000</v>
      </c>
      <c r="AD129" s="94">
        <f ca="1">OFFSET(TblConstr[[#This Row],[Tot Tow]],1,0)*(tower_mana + tech_4_5*TblTech[[#This Row],[4-5]]) + OFFSET(TblConstr[[#This Row],[Tot WG]],1,0)*wg_mana_prod</f>
        <v>0</v>
      </c>
      <c r="AE129" s="94">
        <f ca="1">OFFSET(TblConstr[[#This Row],[Tot OM]],1,0)*om_ore+IF(race="Dwarf",TblMili[[#This Row],[Unit 2]]*0.5,0)</f>
        <v>0</v>
      </c>
      <c r="AF129" s="94">
        <f ca="1">OFFSET(TblConstr[[#This Row],[Tot DM]],1,0)*dm_gems</f>
        <v>0</v>
      </c>
      <c r="AG129" s="142"/>
      <c r="AH129" s="156">
        <f ca="1">MIN(race_platinum_bonus + IF(TblMagic[[#This Row],[Active Alch Frost]]&gt;0,alch_frost_bonus,IF(Magic!AE129&gt;0,midas_bonus)) + TblImps[[#This Row],[Science]] - TblProd[[#This Row],[Guard]]*(0.02 + tech_5_7*TblTech[[#This Row],[5-7]]) + tech_1_5*TblTech[[#This Row],[1-5]] + tech_4_4*TblTech[[#This Row],[4-4]] + IF(TblMagic[[#This Row],[Active Infernal Command]]&gt;0,demonic_pact_plat,0), 0.5)</f>
        <v>0</v>
      </c>
      <c r="AI129"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29" s="156">
        <f ca="1">race_lumber_bonus+ IF(TblMagic[[#This Row],[Active Gaia''s Blessing]]&gt;0,gaias_blessing_lumber)+ tech_1_3*TblTech[[#This Row],[1-3]] + tech_1_6*TblTech[[#This Row],[1-6]] + tech_3_3*TblTech[[#This Row],[3-3]]</f>
        <v>0</v>
      </c>
      <c r="AK129" s="156">
        <f ca="1">race_mana_bonus+ 0 + TblImps[[#This Row],[Spires]] + tech_1_2*TblTech[[#This Row],[1-2]] + tech_3_4*TblTech[[#This Row],[3-4]]</f>
        <v>0</v>
      </c>
      <c r="AL129" s="156">
        <f ca="1">race_ore_bonus + IF(TblMagic[[#This Row],[Active Miner''s Sight]]&gt;0,miners_sight_bonus,IF(TblMagic[[#This Row],[Active Mining Strength]]&gt;0,mining_strength_bonus)) +  tech_1_6*TblTech[[#This Row],[1-6]]</f>
        <v>0</v>
      </c>
      <c r="AM129" s="156">
        <f>race_gem_bonus+ tech_3_2*TblTech[[#This Row],[3-2]] + tech_4_3*TblTech[[#This Row],[4-3]] + tech_6_2*TblTech[[#This Row],[6-2]]</f>
        <v>0</v>
      </c>
      <c r="AN129" s="142"/>
      <c r="AO129" s="94">
        <f ca="1">TblProd[[#This Row],[Food]]*food_decay * (1 + tech_2_1*TblTech[[#This Row],[2-1]] + tech_2_8*TblTech[[#This Row],[2-8]] + IF(AND(TblMagic[[#This Row],[Active DnD]]&lt;12,TblMagic[[#This Row],[Active DnD]]&gt;5),1,0))</f>
        <v>1701.22</v>
      </c>
      <c r="AP129" s="94">
        <f ca="1">(1+race_food_consumption)*TblPop[[#This Row],[Total]]*food_per_person*(1+tech_1_10*TblTech[[#This Row],[1-10]]+tech_7_5*TblTech[[#This Row],[7-5]] + IF(TblMagic[[#This Row],[Active Infernal Command]]&gt;0,demonic_pact_food_cons,0))</f>
        <v>269</v>
      </c>
      <c r="AQ129" s="94">
        <f ca="1">TblProd[[#This Row],[Lumber]]*lumber_rot * (1 + tech_2_1*TblTech[[#This Row],[2-1]] + tech_2_8*TblTech[[#This Row],[2-8]] + tech_5_2*TblTech[[#This Row],[5-2]] + IF(AND(TblMagic[[#This Row],[Active DnD]]&lt;12,TblMagic[[#This Row],[Active DnD]]&gt;5),1,0))</f>
        <v>757.97</v>
      </c>
      <c r="AR129" s="94">
        <f ca="1">TblProd[[#This Row],[Mana]]*mana_drain * (1 + tech_2_1*TblTech[[#This Row],[2-1]] + tech_2_8*TblTech[[#This Row],[2-8]])</f>
        <v>0</v>
      </c>
      <c r="AS129" s="154"/>
      <c r="AT129" s="94">
        <f ca="1">TblExplore[[#This Row],[Platinum (2)]]+TblConstr[[#This Row],[Total Plat Cost]]+TblMili[[#This Row],[Plat Cost]]+TblRezone[[#This Row],[Platinum cost]]+TblImps[[#This Row],[P1]]-TblProd[[#This Row],[Bank Plat]]</f>
        <v>0</v>
      </c>
      <c r="AU129" s="94">
        <f ca="1">TblConstr[[#This Row],[Total Lum Cost]]+TblImps[[#This Row],[L1]]-TblProd[[#This Row],[Bank Lumber]] + Military!$CO$25*TblMili[[#This Row],[Sec. rec. Cost]]</f>
        <v>0</v>
      </c>
      <c r="AV129" s="94">
        <f ca="1">TblMagic[[#This Row],[Mana cost]] + Military!$CO$26*TblMili[[#This Row],[Sec. rec. Cost]]</f>
        <v>0</v>
      </c>
      <c r="AW129" s="94">
        <f ca="1">Military!$CO$24*TblMili[[#This Row],[Sec. rec. Cost]]+TblImps[[#This Row],[O1]]-TblProd[[#This Row],[Bank Ore]]</f>
        <v>0</v>
      </c>
      <c r="AX129" s="94">
        <f>TblImps[[#This Row],[G1]]-TblProd[[#This Row],[Bank Gems]]</f>
        <v>0</v>
      </c>
      <c r="AY129" s="142"/>
      <c r="AZ129" s="61" t="b">
        <f ca="1">IF(TblProd[[#This Row],[Set Guard]]&lt;&gt;"",TblProd[[#This Row],[Set Guard]],OFFSET(TblProd[[#This Row],[Guard]],-1,0))</f>
        <v>0</v>
      </c>
      <c r="BA129" s="153"/>
      <c r="BB129" s="45">
        <f>TblProd[[#This Row],[Hour]]</f>
        <v>90</v>
      </c>
      <c r="BC129" s="158">
        <f>-TblProd[[#This Row],[Bank Lumber]] / 2 + -TblProd[[#This Row],[Bank Gems]] * 2 + -TblProd[[#This Row],[Bank Ore]] / 2</f>
        <v>0</v>
      </c>
      <c r="BD129" s="158"/>
      <c r="BE129" s="158"/>
      <c r="BF129" s="158"/>
      <c r="BG129" s="159">
        <f ca="1">TblProd[[#This Row],[Time]]</f>
        <v>46052.20833333303</v>
      </c>
      <c r="BH129" s="45" t="str">
        <f>IF(AND(TblProd[[#This Row],[Bank Plat]]=0,TblProd[[#This Row],[Bank Lumber]]=0,TblProd[[#This Row],[Bank Ore]]=0,TblProd[[#This Row],[Bank Gems]]=0),"",IF(TblProd[[#This Row],[Bank Plat]]&gt;0,IF((TblProd[[#This Row],[Bank Lumber]]+TblProd[[#This Row],[Bank Ore]])/2+TblProd[[#This Row],[Bank Gems]]*2+ROUNDUP(TblProd[[#This Row],[Bank Plat]]/(1 + tech_2_2*Techs!Y129),0)=0,"Ok","Nope"),IF(TblProd[[#This Row],[Bank Lumber]]&gt;0,IF((TblProd[[#This Row],[Bank Plat]]+TblProd[[#This Row],[Bank Ore]])/2+TblProd[[#This Row],[Bank Gems]]*2+ROUNDUP(TblProd[[#This Row],[Bank Lumber]]/(1 + tech_2_2*Techs!Y129),0)=0,"Ok","Nope"),IF(TblProd[[#This Row],[Bank Ore]]&gt;0,IF((TblProd[[#This Row],[Bank Plat]]+TblProd[[#This Row],[Bank Lumber]])/2+TblProd[[#This Row],[Bank Gems]]*2+ROUNDUP(TblProd[[#This Row],[Bank Ore]]/(1 + tech_2_2*Techs!Y129),0)=0,"Ok","Nope")))))</f>
        <v/>
      </c>
      <c r="BI129" s="94">
        <f ca="1">TblProd[[#This Row],[Platinum]]</f>
        <v>222861</v>
      </c>
      <c r="BJ129" s="94">
        <f ca="1">TblProd[[#This Row],[Food]]</f>
        <v>170122</v>
      </c>
      <c r="BK129" s="94">
        <f ca="1">TblProd[[#This Row],[Lumber]]</f>
        <v>75797</v>
      </c>
      <c r="BL129" s="94">
        <f ca="1">TblProd[[#This Row],[Mana]]</f>
        <v>0</v>
      </c>
      <c r="BM129" s="94">
        <f ca="1">TblProd[[#This Row],[Ore]]</f>
        <v>0</v>
      </c>
    </row>
    <row r="130" spans="1:65" x14ac:dyDescent="0.2">
      <c r="A130" s="137">
        <f t="shared" si="1"/>
        <v>91</v>
      </c>
      <c r="B130" s="152">
        <f ca="1">TblImps[[#This Row],[Time]]</f>
        <v>46052.249999999694</v>
      </c>
      <c r="C130" s="153"/>
      <c r="D130" s="154"/>
      <c r="E130" s="94">
        <f ca="1">TblConstr[[#This Row],[Land]]</f>
        <v>110</v>
      </c>
      <c r="F130" s="94">
        <f ca="1">TblPop[[#This Row],[Peasants]]</f>
        <v>284</v>
      </c>
      <c r="G130" s="94">
        <f ca="1">TblMili[[#This Row],[Networth (2)]]</f>
        <v>2450</v>
      </c>
      <c r="H130" s="94">
        <f ca="1">OFFSET(TblProd[[#This Row],[Platinum]],-1,0)+OFFSET(TblProd[[#This Row],[Plat/hr]],-1,0) - TblProd[[#This Row],[Expenses Platinum]] + IF(TblProd[[#This Row],[Plat Bonus]],TblPop[[#This Row],[Peasants]]*4) + SUM(TblConstr[[#This Row],[Dest Hom]:[Dest Doc]])*TblConstr[[#This Row],[CPA Platinum -DB]]*tech_3_3_2*TblTech[[#This Row],[3-3]]</f>
        <v>223635</v>
      </c>
      <c r="I130" s="94">
        <f ca="1">OFFSET(TblProd[[#This Row],[Food]],-1,0)+OFFSET(TblProd[[#This Row],[Food/hr]],-1,0)+ROUNDUP((TblConstr[[#This Row],[Farms]]*80+TblConstr[[#This Row],[Docks]]*35)*(1+OFFSET(TblProd[[#This Row],[Bonus Food/hr]],-1,0)),0)</f>
        <v>170732</v>
      </c>
      <c r="J130" s="94">
        <f ca="1">OFFSET(TblProd[[#This Row],[Lumber]],-1,0)+OFFSET(TblProd[[#This Row],[Lumber/hr]],-1,0) - TblProd[[#This Row],[Expenses Lumber]] + SUM(TblConstr[[#This Row],[Dest Hom]:[Dest Doc]])*TblConstr[[#This Row],[CPA Lumber -DB]]*tech_3_3_2*TblTech[[#This Row],[3-3]]</f>
        <v>76039</v>
      </c>
      <c r="K130" s="94">
        <f ca="1">OFFSET(TblProd[[#This Row],[Mana]],-1,0)+OFFSET(TblProd[[#This Row],[Mana/hr]],-1,0)- TblProd[[#This Row],[Expenses Mana]]</f>
        <v>0</v>
      </c>
      <c r="L130" s="94">
        <f ca="1">OFFSET(TblProd[[#This Row],[Ore]],-1,0)+OFFSET(TblProd[[#This Row],[Ore/hr]],-1,0) -TblProd[[#This Row],[Expenses Ore]]</f>
        <v>0</v>
      </c>
      <c r="M130" s="94">
        <f ca="1">OFFSET(TblProd[[#This Row],[Gems]],-1,0)+OFFSET(TblProd[[#This Row],[Gems/hr]],-1,0) - TblProd[[#This Row],[Expenses Gems]]</f>
        <v>0</v>
      </c>
      <c r="N130" s="94">
        <f ca="1">OFFSET(TblProd[[#This Row],[Boats]],-1,0)+OFFSET(TblProd[[#This Row],[Boats/hr]],-1,0)</f>
        <v>0</v>
      </c>
      <c r="O130" s="94">
        <f ca="1">OFFSET(TblProd[[#This Row],[Prestige]],-1,0)</f>
        <v>250</v>
      </c>
      <c r="P130"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0" s="94">
        <f ca="1">MAX(_xlfn.CEILING.MATH(TblProd[[#This Row],[Land]]*2.5+IFERROR(OFFSET(TblTech[[#This Row],[Sum of tech]],-1,0)*50,0)),3750)</f>
        <v>3750</v>
      </c>
      <c r="R130" s="142"/>
      <c r="S130" s="94">
        <f ca="1">ROUNDDOWN(TblProd[[#This Row],[Raw Plat/hr]]*(1+TblProd[[#This Row],[Bonus Plat/hr]]),0)</f>
        <v>766</v>
      </c>
      <c r="T130" s="94">
        <f ca="1">ROUND(TblProd[[#This Row],[Raw Food/hr]]*(1+TblProd[[#This Row],[Bonus Food/hr]])-TblProd[[#This Row],[Food decay]]-TblProd[[#This Row],[Food eaten]],0)</f>
        <v>604</v>
      </c>
      <c r="U130" s="94">
        <f ca="1">ROUND(TblProd[[#This Row],[Raw Lumber/hr]]*(1+TblProd[[#This Row],[Bonus Lumber/hr]])-TblProd[[#This Row],[Lumber rot]],0)</f>
        <v>240</v>
      </c>
      <c r="V130" s="94">
        <f ca="1">ROUND(TblProd[[#This Row],[Raw Mana/hr]]*(1+TblProd[[#This Row],[Bonus Mana/hr]])-TblProd[[#This Row],[Mana drain]],0)</f>
        <v>0</v>
      </c>
      <c r="W130" s="94">
        <f ca="1">ROUNDDOWN(TblProd[[#This Row],[Raw Ore/hr]]*(1+TblProd[[#This Row],[Bonux Ore/hr]]),0)</f>
        <v>0</v>
      </c>
      <c r="X130" s="94">
        <f ca="1">ROUNDDOWN(TblProd[[#This Row],[Raw Gems/hr]]*(1+TblProd[[#This Row],[Bonus Gems/hr]]),0)</f>
        <v>0</v>
      </c>
      <c r="Y130" s="155">
        <f ca="1">OFFSET(TblConstr[[#This Row],[Tot Doc]],1,0)*dock_boats_hr * (1 + tech_4_1*TblTech[[#This Row],[4-1]])</f>
        <v>0</v>
      </c>
      <c r="Z130" s="154"/>
      <c r="AA130" s="94">
        <f ca="1">TblPop[[#This Row],[Peasants]]*tax*TblPop[[#This Row],[Employment]] + (Construction!AZ131+Construction!BX131)*(alch_plat+(Magic!AN130&gt;0)*alchemist_flame_bonus)</f>
        <v>766.80000000000007</v>
      </c>
      <c r="AB130" s="94">
        <f ca="1">TblConstr[[#This Row],[Tot Farm]]*farm_food + TblConstr[[#This Row],[Tot Doc]]*dock_food</f>
        <v>2400</v>
      </c>
      <c r="AC130" s="94">
        <f ca="1">TblConstr[[#This Row],[Tot Ly]]*ly_lumber + TblConstr[[#This Row],[Tot Hav]]*fh_lumber + IF(race="Wood Elf",TblMili[[#This Row],[Unit 2]]*MIN(TblMili[[#This Row],[Homeland%]]/wisp_bonus,wisp_cap),0)</f>
        <v>1000</v>
      </c>
      <c r="AD130" s="94">
        <f ca="1">OFFSET(TblConstr[[#This Row],[Tot Tow]],1,0)*(tower_mana + tech_4_5*TblTech[[#This Row],[4-5]]) + OFFSET(TblConstr[[#This Row],[Tot WG]],1,0)*wg_mana_prod</f>
        <v>0</v>
      </c>
      <c r="AE130" s="94">
        <f ca="1">OFFSET(TblConstr[[#This Row],[Tot OM]],1,0)*om_ore+IF(race="Dwarf",TblMili[[#This Row],[Unit 2]]*0.5,0)</f>
        <v>0</v>
      </c>
      <c r="AF130" s="94">
        <f ca="1">OFFSET(TblConstr[[#This Row],[Tot DM]],1,0)*dm_gems</f>
        <v>0</v>
      </c>
      <c r="AG130" s="142"/>
      <c r="AH130" s="156">
        <f ca="1">MIN(race_platinum_bonus + IF(TblMagic[[#This Row],[Active Alch Frost]]&gt;0,alch_frost_bonus,IF(Magic!AE130&gt;0,midas_bonus)) + TblImps[[#This Row],[Science]] - TblProd[[#This Row],[Guard]]*(0.02 + tech_5_7*TblTech[[#This Row],[5-7]]) + tech_1_5*TblTech[[#This Row],[1-5]] + tech_4_4*TblTech[[#This Row],[4-4]] + IF(TblMagic[[#This Row],[Active Infernal Command]]&gt;0,demonic_pact_plat,0), 0.5)</f>
        <v>0</v>
      </c>
      <c r="AI130"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0" s="156">
        <f ca="1">race_lumber_bonus+ IF(TblMagic[[#This Row],[Active Gaia''s Blessing]]&gt;0,gaias_blessing_lumber)+ tech_1_3*TblTech[[#This Row],[1-3]] + tech_1_6*TblTech[[#This Row],[1-6]] + tech_3_3*TblTech[[#This Row],[3-3]]</f>
        <v>0</v>
      </c>
      <c r="AK130" s="156">
        <f ca="1">race_mana_bonus+ 0 + TblImps[[#This Row],[Spires]] + tech_1_2*TblTech[[#This Row],[1-2]] + tech_3_4*TblTech[[#This Row],[3-4]]</f>
        <v>0</v>
      </c>
      <c r="AL130" s="156">
        <f ca="1">race_ore_bonus + IF(TblMagic[[#This Row],[Active Miner''s Sight]]&gt;0,miners_sight_bonus,IF(TblMagic[[#This Row],[Active Mining Strength]]&gt;0,mining_strength_bonus)) +  tech_1_6*TblTech[[#This Row],[1-6]]</f>
        <v>0</v>
      </c>
      <c r="AM130" s="156">
        <f>race_gem_bonus+ tech_3_2*TblTech[[#This Row],[3-2]] + tech_4_3*TblTech[[#This Row],[4-3]] + tech_6_2*TblTech[[#This Row],[6-2]]</f>
        <v>0</v>
      </c>
      <c r="AN130" s="142"/>
      <c r="AO130" s="94">
        <f ca="1">TblProd[[#This Row],[Food]]*food_decay * (1 + tech_2_1*TblTech[[#This Row],[2-1]] + tech_2_8*TblTech[[#This Row],[2-8]] + IF(AND(TblMagic[[#This Row],[Active DnD]]&lt;12,TblMagic[[#This Row],[Active DnD]]&gt;5),1,0))</f>
        <v>1707.32</v>
      </c>
      <c r="AP130" s="94">
        <f ca="1">(1+race_food_consumption)*TblPop[[#This Row],[Total]]*food_per_person*(1+tech_1_10*TblTech[[#This Row],[1-10]]+tech_7_5*TblTech[[#This Row],[7-5]] + IF(TblMagic[[#This Row],[Active Infernal Command]]&gt;0,demonic_pact_food_cons,0))</f>
        <v>269</v>
      </c>
      <c r="AQ130" s="94">
        <f ca="1">TblProd[[#This Row],[Lumber]]*lumber_rot * (1 + tech_2_1*TblTech[[#This Row],[2-1]] + tech_2_8*TblTech[[#This Row],[2-8]] + tech_5_2*TblTech[[#This Row],[5-2]] + IF(AND(TblMagic[[#This Row],[Active DnD]]&lt;12,TblMagic[[#This Row],[Active DnD]]&gt;5),1,0))</f>
        <v>760.39</v>
      </c>
      <c r="AR130" s="94">
        <f ca="1">TblProd[[#This Row],[Mana]]*mana_drain * (1 + tech_2_1*TblTech[[#This Row],[2-1]] + tech_2_8*TblTech[[#This Row],[2-8]])</f>
        <v>0</v>
      </c>
      <c r="AS130" s="154"/>
      <c r="AT130" s="94">
        <f ca="1">TblExplore[[#This Row],[Platinum (2)]]+TblConstr[[#This Row],[Total Plat Cost]]+TblMili[[#This Row],[Plat Cost]]+TblRezone[[#This Row],[Platinum cost]]+TblImps[[#This Row],[P1]]-TblProd[[#This Row],[Bank Plat]]</f>
        <v>0</v>
      </c>
      <c r="AU130" s="94">
        <f ca="1">TblConstr[[#This Row],[Total Lum Cost]]+TblImps[[#This Row],[L1]]-TblProd[[#This Row],[Bank Lumber]] + Military!$CO$25*TblMili[[#This Row],[Sec. rec. Cost]]</f>
        <v>0</v>
      </c>
      <c r="AV130" s="94">
        <f ca="1">TblMagic[[#This Row],[Mana cost]] + Military!$CO$26*TblMili[[#This Row],[Sec. rec. Cost]]</f>
        <v>0</v>
      </c>
      <c r="AW130" s="94">
        <f ca="1">Military!$CO$24*TblMili[[#This Row],[Sec. rec. Cost]]+TblImps[[#This Row],[O1]]-TblProd[[#This Row],[Bank Ore]]</f>
        <v>0</v>
      </c>
      <c r="AX130" s="94">
        <f>TblImps[[#This Row],[G1]]-TblProd[[#This Row],[Bank Gems]]</f>
        <v>0</v>
      </c>
      <c r="AY130" s="142"/>
      <c r="AZ130" s="61" t="b">
        <f ca="1">IF(TblProd[[#This Row],[Set Guard]]&lt;&gt;"",TblProd[[#This Row],[Set Guard]],OFFSET(TblProd[[#This Row],[Guard]],-1,0))</f>
        <v>0</v>
      </c>
      <c r="BA130" s="153"/>
      <c r="BB130" s="45">
        <f>TblProd[[#This Row],[Hour]]</f>
        <v>91</v>
      </c>
      <c r="BC130" s="158">
        <f>-TblProd[[#This Row],[Bank Lumber]] / 2 + -TblProd[[#This Row],[Bank Gems]] * 2 + -TblProd[[#This Row],[Bank Ore]] / 2</f>
        <v>0</v>
      </c>
      <c r="BD130" s="158"/>
      <c r="BE130" s="158"/>
      <c r="BF130" s="158"/>
      <c r="BG130" s="159">
        <f ca="1">TblProd[[#This Row],[Time]]</f>
        <v>46052.249999999694</v>
      </c>
      <c r="BH130" s="45" t="str">
        <f>IF(AND(TblProd[[#This Row],[Bank Plat]]=0,TblProd[[#This Row],[Bank Lumber]]=0,TblProd[[#This Row],[Bank Ore]]=0,TblProd[[#This Row],[Bank Gems]]=0),"",IF(TblProd[[#This Row],[Bank Plat]]&gt;0,IF((TblProd[[#This Row],[Bank Lumber]]+TblProd[[#This Row],[Bank Ore]])/2+TblProd[[#This Row],[Bank Gems]]*2+ROUNDUP(TblProd[[#This Row],[Bank Plat]]/(1 + tech_2_2*Techs!Y130),0)=0,"Ok","Nope"),IF(TblProd[[#This Row],[Bank Lumber]]&gt;0,IF((TblProd[[#This Row],[Bank Plat]]+TblProd[[#This Row],[Bank Ore]])/2+TblProd[[#This Row],[Bank Gems]]*2+ROUNDUP(TblProd[[#This Row],[Bank Lumber]]/(1 + tech_2_2*Techs!Y130),0)=0,"Ok","Nope"),IF(TblProd[[#This Row],[Bank Ore]]&gt;0,IF((TblProd[[#This Row],[Bank Plat]]+TblProd[[#This Row],[Bank Lumber]])/2+TblProd[[#This Row],[Bank Gems]]*2+ROUNDUP(TblProd[[#This Row],[Bank Ore]]/(1 + tech_2_2*Techs!Y130),0)=0,"Ok","Nope")))))</f>
        <v/>
      </c>
      <c r="BI130" s="94">
        <f ca="1">TblProd[[#This Row],[Platinum]]</f>
        <v>223635</v>
      </c>
      <c r="BJ130" s="94">
        <f ca="1">TblProd[[#This Row],[Food]]</f>
        <v>170732</v>
      </c>
      <c r="BK130" s="94">
        <f ca="1">TblProd[[#This Row],[Lumber]]</f>
        <v>76039</v>
      </c>
      <c r="BL130" s="94">
        <f ca="1">TblProd[[#This Row],[Mana]]</f>
        <v>0</v>
      </c>
      <c r="BM130" s="94">
        <f ca="1">TblProd[[#This Row],[Ore]]</f>
        <v>0</v>
      </c>
    </row>
    <row r="131" spans="1:65" x14ac:dyDescent="0.2">
      <c r="A131" s="137">
        <f t="shared" si="1"/>
        <v>92</v>
      </c>
      <c r="B131" s="152">
        <f ca="1">TblImps[[#This Row],[Time]]</f>
        <v>46052.291666666359</v>
      </c>
      <c r="C131" s="153"/>
      <c r="D131" s="154"/>
      <c r="E131" s="94">
        <f ca="1">TblConstr[[#This Row],[Land]]</f>
        <v>110</v>
      </c>
      <c r="F131" s="94">
        <f ca="1">TblPop[[#This Row],[Peasants]]</f>
        <v>281</v>
      </c>
      <c r="G131" s="94">
        <f ca="1">TblMili[[#This Row],[Networth (2)]]</f>
        <v>2450</v>
      </c>
      <c r="H131" s="94">
        <f ca="1">OFFSET(TblProd[[#This Row],[Platinum]],-1,0)+OFFSET(TblProd[[#This Row],[Plat/hr]],-1,0) - TblProd[[#This Row],[Expenses Platinum]] + IF(TblProd[[#This Row],[Plat Bonus]],TblPop[[#This Row],[Peasants]]*4) + SUM(TblConstr[[#This Row],[Dest Hom]:[Dest Doc]])*TblConstr[[#This Row],[CPA Platinum -DB]]*tech_3_3_2*TblTech[[#This Row],[3-3]]</f>
        <v>224401</v>
      </c>
      <c r="I131" s="94">
        <f ca="1">OFFSET(TblProd[[#This Row],[Food]],-1,0)+OFFSET(TblProd[[#This Row],[Food/hr]],-1,0)+ROUNDUP((TblConstr[[#This Row],[Farms]]*80+TblConstr[[#This Row],[Docks]]*35)*(1+OFFSET(TblProd[[#This Row],[Bonus Food/hr]],-1,0)),0)</f>
        <v>171336</v>
      </c>
      <c r="J131" s="94">
        <f ca="1">OFFSET(TblProd[[#This Row],[Lumber]],-1,0)+OFFSET(TblProd[[#This Row],[Lumber/hr]],-1,0) - TblProd[[#This Row],[Expenses Lumber]] + SUM(TblConstr[[#This Row],[Dest Hom]:[Dest Doc]])*TblConstr[[#This Row],[CPA Lumber -DB]]*tech_3_3_2*TblTech[[#This Row],[3-3]]</f>
        <v>76279</v>
      </c>
      <c r="K131" s="94">
        <f ca="1">OFFSET(TblProd[[#This Row],[Mana]],-1,0)+OFFSET(TblProd[[#This Row],[Mana/hr]],-1,0)- TblProd[[#This Row],[Expenses Mana]]</f>
        <v>0</v>
      </c>
      <c r="L131" s="94">
        <f ca="1">OFFSET(TblProd[[#This Row],[Ore]],-1,0)+OFFSET(TblProd[[#This Row],[Ore/hr]],-1,0) -TblProd[[#This Row],[Expenses Ore]]</f>
        <v>0</v>
      </c>
      <c r="M131" s="94">
        <f ca="1">OFFSET(TblProd[[#This Row],[Gems]],-1,0)+OFFSET(TblProd[[#This Row],[Gems/hr]],-1,0) - TblProd[[#This Row],[Expenses Gems]]</f>
        <v>0</v>
      </c>
      <c r="N131" s="94">
        <f ca="1">OFFSET(TblProd[[#This Row],[Boats]],-1,0)+OFFSET(TblProd[[#This Row],[Boats/hr]],-1,0)</f>
        <v>0</v>
      </c>
      <c r="O131" s="94">
        <f ca="1">OFFSET(TblProd[[#This Row],[Prestige]],-1,0)</f>
        <v>250</v>
      </c>
      <c r="P131"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1" s="94">
        <f ca="1">MAX(_xlfn.CEILING.MATH(TblProd[[#This Row],[Land]]*2.5+IFERROR(OFFSET(TblTech[[#This Row],[Sum of tech]],-1,0)*50,0)),3750)</f>
        <v>3750</v>
      </c>
      <c r="R131" s="142"/>
      <c r="S131" s="94">
        <f ca="1">ROUNDDOWN(TblProd[[#This Row],[Raw Plat/hr]]*(1+TblProd[[#This Row],[Bonus Plat/hr]]),0)</f>
        <v>758</v>
      </c>
      <c r="T131" s="94">
        <f ca="1">ROUND(TblProd[[#This Row],[Raw Food/hr]]*(1+TblProd[[#This Row],[Bonus Food/hr]])-TblProd[[#This Row],[Food decay]]-TblProd[[#This Row],[Food eaten]],0)</f>
        <v>598</v>
      </c>
      <c r="U131" s="94">
        <f ca="1">ROUND(TblProd[[#This Row],[Raw Lumber/hr]]*(1+TblProd[[#This Row],[Bonus Lumber/hr]])-TblProd[[#This Row],[Lumber rot]],0)</f>
        <v>237</v>
      </c>
      <c r="V131" s="94">
        <f ca="1">ROUND(TblProd[[#This Row],[Raw Mana/hr]]*(1+TblProd[[#This Row],[Bonus Mana/hr]])-TblProd[[#This Row],[Mana drain]],0)</f>
        <v>0</v>
      </c>
      <c r="W131" s="94">
        <f ca="1">ROUNDDOWN(TblProd[[#This Row],[Raw Ore/hr]]*(1+TblProd[[#This Row],[Bonux Ore/hr]]),0)</f>
        <v>0</v>
      </c>
      <c r="X131" s="94">
        <f ca="1">ROUNDDOWN(TblProd[[#This Row],[Raw Gems/hr]]*(1+TblProd[[#This Row],[Bonus Gems/hr]]),0)</f>
        <v>0</v>
      </c>
      <c r="Y131" s="155">
        <f ca="1">OFFSET(TblConstr[[#This Row],[Tot Doc]],1,0)*dock_boats_hr * (1 + tech_4_1*TblTech[[#This Row],[4-1]])</f>
        <v>0</v>
      </c>
      <c r="Z131" s="154"/>
      <c r="AA131" s="94">
        <f ca="1">TblPop[[#This Row],[Peasants]]*tax*TblPop[[#This Row],[Employment]] + (Construction!AZ132+Construction!BX132)*(alch_plat+(Magic!AN131&gt;0)*alchemist_flame_bonus)</f>
        <v>758.7</v>
      </c>
      <c r="AB131" s="94">
        <f ca="1">TblConstr[[#This Row],[Tot Farm]]*farm_food + TblConstr[[#This Row],[Tot Doc]]*dock_food</f>
        <v>2400</v>
      </c>
      <c r="AC131" s="94">
        <f ca="1">TblConstr[[#This Row],[Tot Ly]]*ly_lumber + TblConstr[[#This Row],[Tot Hav]]*fh_lumber + IF(race="Wood Elf",TblMili[[#This Row],[Unit 2]]*MIN(TblMili[[#This Row],[Homeland%]]/wisp_bonus,wisp_cap),0)</f>
        <v>1000</v>
      </c>
      <c r="AD131" s="94">
        <f ca="1">OFFSET(TblConstr[[#This Row],[Tot Tow]],1,0)*(tower_mana + tech_4_5*TblTech[[#This Row],[4-5]]) + OFFSET(TblConstr[[#This Row],[Tot WG]],1,0)*wg_mana_prod</f>
        <v>0</v>
      </c>
      <c r="AE131" s="94">
        <f ca="1">OFFSET(TblConstr[[#This Row],[Tot OM]],1,0)*om_ore+IF(race="Dwarf",TblMili[[#This Row],[Unit 2]]*0.5,0)</f>
        <v>0</v>
      </c>
      <c r="AF131" s="94">
        <f ca="1">OFFSET(TblConstr[[#This Row],[Tot DM]],1,0)*dm_gems</f>
        <v>0</v>
      </c>
      <c r="AG131" s="142"/>
      <c r="AH131" s="156">
        <f ca="1">MIN(race_platinum_bonus + IF(TblMagic[[#This Row],[Active Alch Frost]]&gt;0,alch_frost_bonus,IF(Magic!AE131&gt;0,midas_bonus)) + TblImps[[#This Row],[Science]] - TblProd[[#This Row],[Guard]]*(0.02 + tech_5_7*TblTech[[#This Row],[5-7]]) + tech_1_5*TblTech[[#This Row],[1-5]] + tech_4_4*TblTech[[#This Row],[4-4]] + IF(TblMagic[[#This Row],[Active Infernal Command]]&gt;0,demonic_pact_plat,0), 0.5)</f>
        <v>0</v>
      </c>
      <c r="AI131"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1" s="156">
        <f ca="1">race_lumber_bonus+ IF(TblMagic[[#This Row],[Active Gaia''s Blessing]]&gt;0,gaias_blessing_lumber)+ tech_1_3*TblTech[[#This Row],[1-3]] + tech_1_6*TblTech[[#This Row],[1-6]] + tech_3_3*TblTech[[#This Row],[3-3]]</f>
        <v>0</v>
      </c>
      <c r="AK131" s="156">
        <f ca="1">race_mana_bonus+ 0 + TblImps[[#This Row],[Spires]] + tech_1_2*TblTech[[#This Row],[1-2]] + tech_3_4*TblTech[[#This Row],[3-4]]</f>
        <v>0</v>
      </c>
      <c r="AL131" s="156">
        <f ca="1">race_ore_bonus + IF(TblMagic[[#This Row],[Active Miner''s Sight]]&gt;0,miners_sight_bonus,IF(TblMagic[[#This Row],[Active Mining Strength]]&gt;0,mining_strength_bonus)) +  tech_1_6*TblTech[[#This Row],[1-6]]</f>
        <v>0</v>
      </c>
      <c r="AM131" s="156">
        <f>race_gem_bonus+ tech_3_2*TblTech[[#This Row],[3-2]] + tech_4_3*TblTech[[#This Row],[4-3]] + tech_6_2*TblTech[[#This Row],[6-2]]</f>
        <v>0</v>
      </c>
      <c r="AN131" s="142"/>
      <c r="AO131" s="94">
        <f ca="1">TblProd[[#This Row],[Food]]*food_decay * (1 + tech_2_1*TblTech[[#This Row],[2-1]] + tech_2_8*TblTech[[#This Row],[2-8]] + IF(AND(TblMagic[[#This Row],[Active DnD]]&lt;12,TblMagic[[#This Row],[Active DnD]]&gt;5),1,0))</f>
        <v>1713.3600000000001</v>
      </c>
      <c r="AP131" s="94">
        <f ca="1">(1+race_food_consumption)*TblPop[[#This Row],[Total]]*food_per_person*(1+tech_1_10*TblTech[[#This Row],[1-10]]+tech_7_5*TblTech[[#This Row],[7-5]] + IF(TblMagic[[#This Row],[Active Infernal Command]]&gt;0,demonic_pact_food_cons,0))</f>
        <v>269</v>
      </c>
      <c r="AQ131" s="94">
        <f ca="1">TblProd[[#This Row],[Lumber]]*lumber_rot * (1 + tech_2_1*TblTech[[#This Row],[2-1]] + tech_2_8*TblTech[[#This Row],[2-8]] + tech_5_2*TblTech[[#This Row],[5-2]] + IF(AND(TblMagic[[#This Row],[Active DnD]]&lt;12,TblMagic[[#This Row],[Active DnD]]&gt;5),1,0))</f>
        <v>762.79</v>
      </c>
      <c r="AR131" s="94">
        <f ca="1">TblProd[[#This Row],[Mana]]*mana_drain * (1 + tech_2_1*TblTech[[#This Row],[2-1]] + tech_2_8*TblTech[[#This Row],[2-8]])</f>
        <v>0</v>
      </c>
      <c r="AS131" s="154"/>
      <c r="AT131" s="94">
        <f ca="1">TblExplore[[#This Row],[Platinum (2)]]+TblConstr[[#This Row],[Total Plat Cost]]+TblMili[[#This Row],[Plat Cost]]+TblRezone[[#This Row],[Platinum cost]]+TblImps[[#This Row],[P1]]-TblProd[[#This Row],[Bank Plat]]</f>
        <v>0</v>
      </c>
      <c r="AU131" s="94">
        <f ca="1">TblConstr[[#This Row],[Total Lum Cost]]+TblImps[[#This Row],[L1]]-TblProd[[#This Row],[Bank Lumber]] + Military!$CO$25*TblMili[[#This Row],[Sec. rec. Cost]]</f>
        <v>0</v>
      </c>
      <c r="AV131" s="94">
        <f ca="1">TblMagic[[#This Row],[Mana cost]] + Military!$CO$26*TblMili[[#This Row],[Sec. rec. Cost]]</f>
        <v>0</v>
      </c>
      <c r="AW131" s="94">
        <f ca="1">Military!$CO$24*TblMili[[#This Row],[Sec. rec. Cost]]+TblImps[[#This Row],[O1]]-TblProd[[#This Row],[Bank Ore]]</f>
        <v>0</v>
      </c>
      <c r="AX131" s="94">
        <f>TblImps[[#This Row],[G1]]-TblProd[[#This Row],[Bank Gems]]</f>
        <v>0</v>
      </c>
      <c r="AY131" s="142"/>
      <c r="AZ131" s="61" t="b">
        <f ca="1">IF(TblProd[[#This Row],[Set Guard]]&lt;&gt;"",TblProd[[#This Row],[Set Guard]],OFFSET(TblProd[[#This Row],[Guard]],-1,0))</f>
        <v>0</v>
      </c>
      <c r="BA131" s="153"/>
      <c r="BB131" s="45">
        <f>TblProd[[#This Row],[Hour]]</f>
        <v>92</v>
      </c>
      <c r="BC131" s="158">
        <f>-TblProd[[#This Row],[Bank Lumber]] / 2 + -TblProd[[#This Row],[Bank Gems]] * 2 + -TblProd[[#This Row],[Bank Ore]] / 2</f>
        <v>0</v>
      </c>
      <c r="BD131" s="158"/>
      <c r="BE131" s="158"/>
      <c r="BF131" s="158"/>
      <c r="BG131" s="159">
        <f ca="1">TblProd[[#This Row],[Time]]</f>
        <v>46052.291666666359</v>
      </c>
      <c r="BH131" s="45" t="str">
        <f>IF(AND(TblProd[[#This Row],[Bank Plat]]=0,TblProd[[#This Row],[Bank Lumber]]=0,TblProd[[#This Row],[Bank Ore]]=0,TblProd[[#This Row],[Bank Gems]]=0),"",IF(TblProd[[#This Row],[Bank Plat]]&gt;0,IF((TblProd[[#This Row],[Bank Lumber]]+TblProd[[#This Row],[Bank Ore]])/2+TblProd[[#This Row],[Bank Gems]]*2+ROUNDUP(TblProd[[#This Row],[Bank Plat]]/(1 + tech_2_2*Techs!Y131),0)=0,"Ok","Nope"),IF(TblProd[[#This Row],[Bank Lumber]]&gt;0,IF((TblProd[[#This Row],[Bank Plat]]+TblProd[[#This Row],[Bank Ore]])/2+TblProd[[#This Row],[Bank Gems]]*2+ROUNDUP(TblProd[[#This Row],[Bank Lumber]]/(1 + tech_2_2*Techs!Y131),0)=0,"Ok","Nope"),IF(TblProd[[#This Row],[Bank Ore]]&gt;0,IF((TblProd[[#This Row],[Bank Plat]]+TblProd[[#This Row],[Bank Lumber]])/2+TblProd[[#This Row],[Bank Gems]]*2+ROUNDUP(TblProd[[#This Row],[Bank Ore]]/(1 + tech_2_2*Techs!Y131),0)=0,"Ok","Nope")))))</f>
        <v/>
      </c>
      <c r="BI131" s="94">
        <f ca="1">TblProd[[#This Row],[Platinum]]</f>
        <v>224401</v>
      </c>
      <c r="BJ131" s="94">
        <f ca="1">TblProd[[#This Row],[Food]]</f>
        <v>171336</v>
      </c>
      <c r="BK131" s="94">
        <f ca="1">TblProd[[#This Row],[Lumber]]</f>
        <v>76279</v>
      </c>
      <c r="BL131" s="94">
        <f ca="1">TblProd[[#This Row],[Mana]]</f>
        <v>0</v>
      </c>
      <c r="BM131" s="94">
        <f ca="1">TblProd[[#This Row],[Ore]]</f>
        <v>0</v>
      </c>
    </row>
    <row r="132" spans="1:65" x14ac:dyDescent="0.2">
      <c r="A132" s="137">
        <f t="shared" si="1"/>
        <v>93</v>
      </c>
      <c r="B132" s="152">
        <f ca="1">TblImps[[#This Row],[Time]]</f>
        <v>46052.333333333023</v>
      </c>
      <c r="C132" s="153"/>
      <c r="D132" s="154"/>
      <c r="E132" s="94">
        <f ca="1">TblConstr[[#This Row],[Land]]</f>
        <v>110</v>
      </c>
      <c r="F132" s="94">
        <f ca="1">TblPop[[#This Row],[Peasants]]</f>
        <v>278</v>
      </c>
      <c r="G132" s="94">
        <f ca="1">TblMili[[#This Row],[Networth (2)]]</f>
        <v>2450</v>
      </c>
      <c r="H132" s="94">
        <f ca="1">OFFSET(TblProd[[#This Row],[Platinum]],-1,0)+OFFSET(TblProd[[#This Row],[Plat/hr]],-1,0) - TblProd[[#This Row],[Expenses Platinum]] + IF(TblProd[[#This Row],[Plat Bonus]],TblPop[[#This Row],[Peasants]]*4) + SUM(TblConstr[[#This Row],[Dest Hom]:[Dest Doc]])*TblConstr[[#This Row],[CPA Platinum -DB]]*tech_3_3_2*TblTech[[#This Row],[3-3]]</f>
        <v>225159</v>
      </c>
      <c r="I132" s="94">
        <f ca="1">OFFSET(TblProd[[#This Row],[Food]],-1,0)+OFFSET(TblProd[[#This Row],[Food/hr]],-1,0)+ROUNDUP((TblConstr[[#This Row],[Farms]]*80+TblConstr[[#This Row],[Docks]]*35)*(1+OFFSET(TblProd[[#This Row],[Bonus Food/hr]],-1,0)),0)</f>
        <v>171934</v>
      </c>
      <c r="J132" s="94">
        <f ca="1">OFFSET(TblProd[[#This Row],[Lumber]],-1,0)+OFFSET(TblProd[[#This Row],[Lumber/hr]],-1,0) - TblProd[[#This Row],[Expenses Lumber]] + SUM(TblConstr[[#This Row],[Dest Hom]:[Dest Doc]])*TblConstr[[#This Row],[CPA Lumber -DB]]*tech_3_3_2*TblTech[[#This Row],[3-3]]</f>
        <v>76516</v>
      </c>
      <c r="K132" s="94">
        <f ca="1">OFFSET(TblProd[[#This Row],[Mana]],-1,0)+OFFSET(TblProd[[#This Row],[Mana/hr]],-1,0)- TblProd[[#This Row],[Expenses Mana]]</f>
        <v>0</v>
      </c>
      <c r="L132" s="94">
        <f ca="1">OFFSET(TblProd[[#This Row],[Ore]],-1,0)+OFFSET(TblProd[[#This Row],[Ore/hr]],-1,0) -TblProd[[#This Row],[Expenses Ore]]</f>
        <v>0</v>
      </c>
      <c r="M132" s="94">
        <f ca="1">OFFSET(TblProd[[#This Row],[Gems]],-1,0)+OFFSET(TblProd[[#This Row],[Gems/hr]],-1,0) - TblProd[[#This Row],[Expenses Gems]]</f>
        <v>0</v>
      </c>
      <c r="N132" s="94">
        <f ca="1">OFFSET(TblProd[[#This Row],[Boats]],-1,0)+OFFSET(TblProd[[#This Row],[Boats/hr]],-1,0)</f>
        <v>0</v>
      </c>
      <c r="O132" s="94">
        <f ca="1">OFFSET(TblProd[[#This Row],[Prestige]],-1,0)</f>
        <v>250</v>
      </c>
      <c r="P132"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2" s="94">
        <f ca="1">MAX(_xlfn.CEILING.MATH(TblProd[[#This Row],[Land]]*2.5+IFERROR(OFFSET(TblTech[[#This Row],[Sum of tech]],-1,0)*50,0)),3750)</f>
        <v>3750</v>
      </c>
      <c r="R132" s="142"/>
      <c r="S132" s="94">
        <f ca="1">ROUNDDOWN(TblProd[[#This Row],[Raw Plat/hr]]*(1+TblProd[[#This Row],[Bonus Plat/hr]]),0)</f>
        <v>750</v>
      </c>
      <c r="T132" s="94">
        <f ca="1">ROUND(TblProd[[#This Row],[Raw Food/hr]]*(1+TblProd[[#This Row],[Bonus Food/hr]])-TblProd[[#This Row],[Food decay]]-TblProd[[#This Row],[Food eaten]],0)</f>
        <v>592</v>
      </c>
      <c r="U132" s="94">
        <f ca="1">ROUND(TblProd[[#This Row],[Raw Lumber/hr]]*(1+TblProd[[#This Row],[Bonus Lumber/hr]])-TblProd[[#This Row],[Lumber rot]],0)</f>
        <v>235</v>
      </c>
      <c r="V132" s="94">
        <f ca="1">ROUND(TblProd[[#This Row],[Raw Mana/hr]]*(1+TblProd[[#This Row],[Bonus Mana/hr]])-TblProd[[#This Row],[Mana drain]],0)</f>
        <v>0</v>
      </c>
      <c r="W132" s="94">
        <f ca="1">ROUNDDOWN(TblProd[[#This Row],[Raw Ore/hr]]*(1+TblProd[[#This Row],[Bonux Ore/hr]]),0)</f>
        <v>0</v>
      </c>
      <c r="X132" s="94">
        <f ca="1">ROUNDDOWN(TblProd[[#This Row],[Raw Gems/hr]]*(1+TblProd[[#This Row],[Bonus Gems/hr]]),0)</f>
        <v>0</v>
      </c>
      <c r="Y132" s="155">
        <f ca="1">OFFSET(TblConstr[[#This Row],[Tot Doc]],1,0)*dock_boats_hr * (1 + tech_4_1*TblTech[[#This Row],[4-1]])</f>
        <v>0</v>
      </c>
      <c r="Z132" s="154"/>
      <c r="AA132" s="94">
        <f ca="1">TblPop[[#This Row],[Peasants]]*tax*TblPop[[#This Row],[Employment]] + (Construction!AZ133+Construction!BX133)*(alch_plat+(Magic!AN132&gt;0)*alchemist_flame_bonus)</f>
        <v>750.6</v>
      </c>
      <c r="AB132" s="94">
        <f ca="1">TblConstr[[#This Row],[Tot Farm]]*farm_food + TblConstr[[#This Row],[Tot Doc]]*dock_food</f>
        <v>2400</v>
      </c>
      <c r="AC132" s="94">
        <f ca="1">TblConstr[[#This Row],[Tot Ly]]*ly_lumber + TblConstr[[#This Row],[Tot Hav]]*fh_lumber + IF(race="Wood Elf",TblMili[[#This Row],[Unit 2]]*MIN(TblMili[[#This Row],[Homeland%]]/wisp_bonus,wisp_cap),0)</f>
        <v>1000</v>
      </c>
      <c r="AD132" s="94">
        <f ca="1">OFFSET(TblConstr[[#This Row],[Tot Tow]],1,0)*(tower_mana + tech_4_5*TblTech[[#This Row],[4-5]]) + OFFSET(TblConstr[[#This Row],[Tot WG]],1,0)*wg_mana_prod</f>
        <v>0</v>
      </c>
      <c r="AE132" s="94">
        <f ca="1">OFFSET(TblConstr[[#This Row],[Tot OM]],1,0)*om_ore+IF(race="Dwarf",TblMili[[#This Row],[Unit 2]]*0.5,0)</f>
        <v>0</v>
      </c>
      <c r="AF132" s="94">
        <f ca="1">OFFSET(TblConstr[[#This Row],[Tot DM]],1,0)*dm_gems</f>
        <v>0</v>
      </c>
      <c r="AG132" s="142"/>
      <c r="AH132" s="156">
        <f ca="1">MIN(race_platinum_bonus + IF(TblMagic[[#This Row],[Active Alch Frost]]&gt;0,alch_frost_bonus,IF(Magic!AE132&gt;0,midas_bonus)) + TblImps[[#This Row],[Science]] - TblProd[[#This Row],[Guard]]*(0.02 + tech_5_7*TblTech[[#This Row],[5-7]]) + tech_1_5*TblTech[[#This Row],[1-5]] + tech_4_4*TblTech[[#This Row],[4-4]] + IF(TblMagic[[#This Row],[Active Infernal Command]]&gt;0,demonic_pact_plat,0), 0.5)</f>
        <v>0</v>
      </c>
      <c r="AI132"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2" s="156">
        <f ca="1">race_lumber_bonus+ IF(TblMagic[[#This Row],[Active Gaia''s Blessing]]&gt;0,gaias_blessing_lumber)+ tech_1_3*TblTech[[#This Row],[1-3]] + tech_1_6*TblTech[[#This Row],[1-6]] + tech_3_3*TblTech[[#This Row],[3-3]]</f>
        <v>0</v>
      </c>
      <c r="AK132" s="156">
        <f ca="1">race_mana_bonus+ 0 + TblImps[[#This Row],[Spires]] + tech_1_2*TblTech[[#This Row],[1-2]] + tech_3_4*TblTech[[#This Row],[3-4]]</f>
        <v>0</v>
      </c>
      <c r="AL132" s="156">
        <f ca="1">race_ore_bonus + IF(TblMagic[[#This Row],[Active Miner''s Sight]]&gt;0,miners_sight_bonus,IF(TblMagic[[#This Row],[Active Mining Strength]]&gt;0,mining_strength_bonus)) +  tech_1_6*TblTech[[#This Row],[1-6]]</f>
        <v>0</v>
      </c>
      <c r="AM132" s="156">
        <f>race_gem_bonus+ tech_3_2*TblTech[[#This Row],[3-2]] + tech_4_3*TblTech[[#This Row],[4-3]] + tech_6_2*TblTech[[#This Row],[6-2]]</f>
        <v>0</v>
      </c>
      <c r="AN132" s="142"/>
      <c r="AO132" s="94">
        <f ca="1">TblProd[[#This Row],[Food]]*food_decay * (1 + tech_2_1*TblTech[[#This Row],[2-1]] + tech_2_8*TblTech[[#This Row],[2-8]] + IF(AND(TblMagic[[#This Row],[Active DnD]]&lt;12,TblMagic[[#This Row],[Active DnD]]&gt;5),1,0))</f>
        <v>1719.3400000000001</v>
      </c>
      <c r="AP132" s="94">
        <f ca="1">(1+race_food_consumption)*TblPop[[#This Row],[Total]]*food_per_person*(1+tech_1_10*TblTech[[#This Row],[1-10]]+tech_7_5*TblTech[[#This Row],[7-5]] + IF(TblMagic[[#This Row],[Active Infernal Command]]&gt;0,demonic_pact_food_cons,0))</f>
        <v>269</v>
      </c>
      <c r="AQ132" s="94">
        <f ca="1">TblProd[[#This Row],[Lumber]]*lumber_rot * (1 + tech_2_1*TblTech[[#This Row],[2-1]] + tech_2_8*TblTech[[#This Row],[2-8]] + tech_5_2*TblTech[[#This Row],[5-2]] + IF(AND(TblMagic[[#This Row],[Active DnD]]&lt;12,TblMagic[[#This Row],[Active DnD]]&gt;5),1,0))</f>
        <v>765.16</v>
      </c>
      <c r="AR132" s="94">
        <f ca="1">TblProd[[#This Row],[Mana]]*mana_drain * (1 + tech_2_1*TblTech[[#This Row],[2-1]] + tech_2_8*TblTech[[#This Row],[2-8]])</f>
        <v>0</v>
      </c>
      <c r="AS132" s="154"/>
      <c r="AT132" s="94">
        <f ca="1">TblExplore[[#This Row],[Platinum (2)]]+TblConstr[[#This Row],[Total Plat Cost]]+TblMili[[#This Row],[Plat Cost]]+TblRezone[[#This Row],[Platinum cost]]+TblImps[[#This Row],[P1]]-TblProd[[#This Row],[Bank Plat]]</f>
        <v>0</v>
      </c>
      <c r="AU132" s="94">
        <f ca="1">TblConstr[[#This Row],[Total Lum Cost]]+TblImps[[#This Row],[L1]]-TblProd[[#This Row],[Bank Lumber]] + Military!$CO$25*TblMili[[#This Row],[Sec. rec. Cost]]</f>
        <v>0</v>
      </c>
      <c r="AV132" s="94">
        <f ca="1">TblMagic[[#This Row],[Mana cost]] + Military!$CO$26*TblMili[[#This Row],[Sec. rec. Cost]]</f>
        <v>0</v>
      </c>
      <c r="AW132" s="94">
        <f ca="1">Military!$CO$24*TblMili[[#This Row],[Sec. rec. Cost]]+TblImps[[#This Row],[O1]]-TblProd[[#This Row],[Bank Ore]]</f>
        <v>0</v>
      </c>
      <c r="AX132" s="94">
        <f>TblImps[[#This Row],[G1]]-TblProd[[#This Row],[Bank Gems]]</f>
        <v>0</v>
      </c>
      <c r="AY132" s="142"/>
      <c r="AZ132" s="61" t="b">
        <f ca="1">IF(TblProd[[#This Row],[Set Guard]]&lt;&gt;"",TblProd[[#This Row],[Set Guard]],OFFSET(TblProd[[#This Row],[Guard]],-1,0))</f>
        <v>0</v>
      </c>
      <c r="BA132" s="153"/>
      <c r="BB132" s="45">
        <f>TblProd[[#This Row],[Hour]]</f>
        <v>93</v>
      </c>
      <c r="BC132" s="158">
        <f>-TblProd[[#This Row],[Bank Lumber]] / 2 + -TblProd[[#This Row],[Bank Gems]] * 2 + -TblProd[[#This Row],[Bank Ore]] / 2</f>
        <v>0</v>
      </c>
      <c r="BD132" s="158"/>
      <c r="BE132" s="158"/>
      <c r="BF132" s="158"/>
      <c r="BG132" s="159">
        <f ca="1">TblProd[[#This Row],[Time]]</f>
        <v>46052.333333333023</v>
      </c>
      <c r="BH132" s="45" t="str">
        <f>IF(AND(TblProd[[#This Row],[Bank Plat]]=0,TblProd[[#This Row],[Bank Lumber]]=0,TblProd[[#This Row],[Bank Ore]]=0,TblProd[[#This Row],[Bank Gems]]=0),"",IF(TblProd[[#This Row],[Bank Plat]]&gt;0,IF((TblProd[[#This Row],[Bank Lumber]]+TblProd[[#This Row],[Bank Ore]])/2+TblProd[[#This Row],[Bank Gems]]*2+ROUNDUP(TblProd[[#This Row],[Bank Plat]]/(1 + tech_2_2*Techs!Y132),0)=0,"Ok","Nope"),IF(TblProd[[#This Row],[Bank Lumber]]&gt;0,IF((TblProd[[#This Row],[Bank Plat]]+TblProd[[#This Row],[Bank Ore]])/2+TblProd[[#This Row],[Bank Gems]]*2+ROUNDUP(TblProd[[#This Row],[Bank Lumber]]/(1 + tech_2_2*Techs!Y132),0)=0,"Ok","Nope"),IF(TblProd[[#This Row],[Bank Ore]]&gt;0,IF((TblProd[[#This Row],[Bank Plat]]+TblProd[[#This Row],[Bank Lumber]])/2+TblProd[[#This Row],[Bank Gems]]*2+ROUNDUP(TblProd[[#This Row],[Bank Ore]]/(1 + tech_2_2*Techs!Y132),0)=0,"Ok","Nope")))))</f>
        <v/>
      </c>
      <c r="BI132" s="94">
        <f ca="1">TblProd[[#This Row],[Platinum]]</f>
        <v>225159</v>
      </c>
      <c r="BJ132" s="94">
        <f ca="1">TblProd[[#This Row],[Food]]</f>
        <v>171934</v>
      </c>
      <c r="BK132" s="94">
        <f ca="1">TblProd[[#This Row],[Lumber]]</f>
        <v>76516</v>
      </c>
      <c r="BL132" s="94">
        <f ca="1">TblProd[[#This Row],[Mana]]</f>
        <v>0</v>
      </c>
      <c r="BM132" s="94">
        <f ca="1">TblProd[[#This Row],[Ore]]</f>
        <v>0</v>
      </c>
    </row>
    <row r="133" spans="1:65" x14ac:dyDescent="0.2">
      <c r="A133" s="137">
        <f t="shared" si="1"/>
        <v>94</v>
      </c>
      <c r="B133" s="152">
        <f ca="1">TblImps[[#This Row],[Time]]</f>
        <v>46052.374999999687</v>
      </c>
      <c r="C133" s="153"/>
      <c r="D133" s="154"/>
      <c r="E133" s="94">
        <f ca="1">TblConstr[[#This Row],[Land]]</f>
        <v>110</v>
      </c>
      <c r="F133" s="94">
        <f ca="1">TblPop[[#This Row],[Peasants]]</f>
        <v>275</v>
      </c>
      <c r="G133" s="94">
        <f ca="1">TblMili[[#This Row],[Networth (2)]]</f>
        <v>2450</v>
      </c>
      <c r="H133" s="94">
        <f ca="1">OFFSET(TblProd[[#This Row],[Platinum]],-1,0)+OFFSET(TblProd[[#This Row],[Plat/hr]],-1,0) - TblProd[[#This Row],[Expenses Platinum]] + IF(TblProd[[#This Row],[Plat Bonus]],TblPop[[#This Row],[Peasants]]*4) + SUM(TblConstr[[#This Row],[Dest Hom]:[Dest Doc]])*TblConstr[[#This Row],[CPA Platinum -DB]]*tech_3_3_2*TblTech[[#This Row],[3-3]]</f>
        <v>225909</v>
      </c>
      <c r="I133" s="94">
        <f ca="1">OFFSET(TblProd[[#This Row],[Food]],-1,0)+OFFSET(TblProd[[#This Row],[Food/hr]],-1,0)+ROUNDUP((TblConstr[[#This Row],[Farms]]*80+TblConstr[[#This Row],[Docks]]*35)*(1+OFFSET(TblProd[[#This Row],[Bonus Food/hr]],-1,0)),0)</f>
        <v>172526</v>
      </c>
      <c r="J133" s="94">
        <f ca="1">OFFSET(TblProd[[#This Row],[Lumber]],-1,0)+OFFSET(TblProd[[#This Row],[Lumber/hr]],-1,0) - TblProd[[#This Row],[Expenses Lumber]] + SUM(TblConstr[[#This Row],[Dest Hom]:[Dest Doc]])*TblConstr[[#This Row],[CPA Lumber -DB]]*tech_3_3_2*TblTech[[#This Row],[3-3]]</f>
        <v>76751</v>
      </c>
      <c r="K133" s="94">
        <f ca="1">OFFSET(TblProd[[#This Row],[Mana]],-1,0)+OFFSET(TblProd[[#This Row],[Mana/hr]],-1,0)- TblProd[[#This Row],[Expenses Mana]]</f>
        <v>0</v>
      </c>
      <c r="L133" s="94">
        <f ca="1">OFFSET(TblProd[[#This Row],[Ore]],-1,0)+OFFSET(TblProd[[#This Row],[Ore/hr]],-1,0) -TblProd[[#This Row],[Expenses Ore]]</f>
        <v>0</v>
      </c>
      <c r="M133" s="94">
        <f ca="1">OFFSET(TblProd[[#This Row],[Gems]],-1,0)+OFFSET(TblProd[[#This Row],[Gems/hr]],-1,0) - TblProd[[#This Row],[Expenses Gems]]</f>
        <v>0</v>
      </c>
      <c r="N133" s="94">
        <f ca="1">OFFSET(TblProd[[#This Row],[Boats]],-1,0)+OFFSET(TblProd[[#This Row],[Boats/hr]],-1,0)</f>
        <v>0</v>
      </c>
      <c r="O133" s="94">
        <f ca="1">OFFSET(TblProd[[#This Row],[Prestige]],-1,0)</f>
        <v>250</v>
      </c>
      <c r="P133"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3" s="94">
        <f ca="1">MAX(_xlfn.CEILING.MATH(TblProd[[#This Row],[Land]]*2.5+IFERROR(OFFSET(TblTech[[#This Row],[Sum of tech]],-1,0)*50,0)),3750)</f>
        <v>3750</v>
      </c>
      <c r="R133" s="142"/>
      <c r="S133" s="94">
        <f ca="1">ROUNDDOWN(TblProd[[#This Row],[Raw Plat/hr]]*(1+TblProd[[#This Row],[Bonus Plat/hr]]),0)</f>
        <v>742</v>
      </c>
      <c r="T133" s="94">
        <f ca="1">ROUND(TblProd[[#This Row],[Raw Food/hr]]*(1+TblProd[[#This Row],[Bonus Food/hr]])-TblProd[[#This Row],[Food decay]]-TblProd[[#This Row],[Food eaten]],0)</f>
        <v>586</v>
      </c>
      <c r="U133" s="94">
        <f ca="1">ROUND(TblProd[[#This Row],[Raw Lumber/hr]]*(1+TblProd[[#This Row],[Bonus Lumber/hr]])-TblProd[[#This Row],[Lumber rot]],0)</f>
        <v>232</v>
      </c>
      <c r="V133" s="94">
        <f ca="1">ROUND(TblProd[[#This Row],[Raw Mana/hr]]*(1+TblProd[[#This Row],[Bonus Mana/hr]])-TblProd[[#This Row],[Mana drain]],0)</f>
        <v>0</v>
      </c>
      <c r="W133" s="94">
        <f ca="1">ROUNDDOWN(TblProd[[#This Row],[Raw Ore/hr]]*(1+TblProd[[#This Row],[Bonux Ore/hr]]),0)</f>
        <v>0</v>
      </c>
      <c r="X133" s="94">
        <f ca="1">ROUNDDOWN(TblProd[[#This Row],[Raw Gems/hr]]*(1+TblProd[[#This Row],[Bonus Gems/hr]]),0)</f>
        <v>0</v>
      </c>
      <c r="Y133" s="155">
        <f ca="1">OFFSET(TblConstr[[#This Row],[Tot Doc]],1,0)*dock_boats_hr * (1 + tech_4_1*TblTech[[#This Row],[4-1]])</f>
        <v>0</v>
      </c>
      <c r="Z133" s="154"/>
      <c r="AA133" s="94">
        <f ca="1">TblPop[[#This Row],[Peasants]]*tax*TblPop[[#This Row],[Employment]] + (Construction!AZ134+Construction!BX134)*(alch_plat+(Magic!AN133&gt;0)*alchemist_flame_bonus)</f>
        <v>742.5</v>
      </c>
      <c r="AB133" s="94">
        <f ca="1">TblConstr[[#This Row],[Tot Farm]]*farm_food + TblConstr[[#This Row],[Tot Doc]]*dock_food</f>
        <v>2400</v>
      </c>
      <c r="AC133" s="94">
        <f ca="1">TblConstr[[#This Row],[Tot Ly]]*ly_lumber + TblConstr[[#This Row],[Tot Hav]]*fh_lumber + IF(race="Wood Elf",TblMili[[#This Row],[Unit 2]]*MIN(TblMili[[#This Row],[Homeland%]]/wisp_bonus,wisp_cap),0)</f>
        <v>1000</v>
      </c>
      <c r="AD133" s="94">
        <f ca="1">OFFSET(TblConstr[[#This Row],[Tot Tow]],1,0)*(tower_mana + tech_4_5*TblTech[[#This Row],[4-5]]) + OFFSET(TblConstr[[#This Row],[Tot WG]],1,0)*wg_mana_prod</f>
        <v>0</v>
      </c>
      <c r="AE133" s="94">
        <f ca="1">OFFSET(TblConstr[[#This Row],[Tot OM]],1,0)*om_ore+IF(race="Dwarf",TblMili[[#This Row],[Unit 2]]*0.5,0)</f>
        <v>0</v>
      </c>
      <c r="AF133" s="94">
        <f ca="1">OFFSET(TblConstr[[#This Row],[Tot DM]],1,0)*dm_gems</f>
        <v>0</v>
      </c>
      <c r="AG133" s="142"/>
      <c r="AH133" s="156">
        <f ca="1">MIN(race_platinum_bonus + IF(TblMagic[[#This Row],[Active Alch Frost]]&gt;0,alch_frost_bonus,IF(Magic!AE133&gt;0,midas_bonus)) + TblImps[[#This Row],[Science]] - TblProd[[#This Row],[Guard]]*(0.02 + tech_5_7*TblTech[[#This Row],[5-7]]) + tech_1_5*TblTech[[#This Row],[1-5]] + tech_4_4*TblTech[[#This Row],[4-4]] + IF(TblMagic[[#This Row],[Active Infernal Command]]&gt;0,demonic_pact_plat,0), 0.5)</f>
        <v>0</v>
      </c>
      <c r="AI133"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3" s="156">
        <f ca="1">race_lumber_bonus+ IF(TblMagic[[#This Row],[Active Gaia''s Blessing]]&gt;0,gaias_blessing_lumber)+ tech_1_3*TblTech[[#This Row],[1-3]] + tech_1_6*TblTech[[#This Row],[1-6]] + tech_3_3*TblTech[[#This Row],[3-3]]</f>
        <v>0</v>
      </c>
      <c r="AK133" s="156">
        <f ca="1">race_mana_bonus+ 0 + TblImps[[#This Row],[Spires]] + tech_1_2*TblTech[[#This Row],[1-2]] + tech_3_4*TblTech[[#This Row],[3-4]]</f>
        <v>0</v>
      </c>
      <c r="AL133" s="156">
        <f ca="1">race_ore_bonus + IF(TblMagic[[#This Row],[Active Miner''s Sight]]&gt;0,miners_sight_bonus,IF(TblMagic[[#This Row],[Active Mining Strength]]&gt;0,mining_strength_bonus)) +  tech_1_6*TblTech[[#This Row],[1-6]]</f>
        <v>0</v>
      </c>
      <c r="AM133" s="156">
        <f>race_gem_bonus+ tech_3_2*TblTech[[#This Row],[3-2]] + tech_4_3*TblTech[[#This Row],[4-3]] + tech_6_2*TblTech[[#This Row],[6-2]]</f>
        <v>0</v>
      </c>
      <c r="AN133" s="142"/>
      <c r="AO133" s="94">
        <f ca="1">TblProd[[#This Row],[Food]]*food_decay * (1 + tech_2_1*TblTech[[#This Row],[2-1]] + tech_2_8*TblTech[[#This Row],[2-8]] + IF(AND(TblMagic[[#This Row],[Active DnD]]&lt;12,TblMagic[[#This Row],[Active DnD]]&gt;5),1,0))</f>
        <v>1725.26</v>
      </c>
      <c r="AP133" s="94">
        <f ca="1">(1+race_food_consumption)*TblPop[[#This Row],[Total]]*food_per_person*(1+tech_1_10*TblTech[[#This Row],[1-10]]+tech_7_5*TblTech[[#This Row],[7-5]] + IF(TblMagic[[#This Row],[Active Infernal Command]]&gt;0,demonic_pact_food_cons,0))</f>
        <v>269</v>
      </c>
      <c r="AQ133" s="94">
        <f ca="1">TblProd[[#This Row],[Lumber]]*lumber_rot * (1 + tech_2_1*TblTech[[#This Row],[2-1]] + tech_2_8*TblTech[[#This Row],[2-8]] + tech_5_2*TblTech[[#This Row],[5-2]] + IF(AND(TblMagic[[#This Row],[Active DnD]]&lt;12,TblMagic[[#This Row],[Active DnD]]&gt;5),1,0))</f>
        <v>767.51</v>
      </c>
      <c r="AR133" s="94">
        <f ca="1">TblProd[[#This Row],[Mana]]*mana_drain * (1 + tech_2_1*TblTech[[#This Row],[2-1]] + tech_2_8*TblTech[[#This Row],[2-8]])</f>
        <v>0</v>
      </c>
      <c r="AS133" s="154"/>
      <c r="AT133" s="94">
        <f ca="1">TblExplore[[#This Row],[Platinum (2)]]+TblConstr[[#This Row],[Total Plat Cost]]+TblMili[[#This Row],[Plat Cost]]+TblRezone[[#This Row],[Platinum cost]]+TblImps[[#This Row],[P1]]-TblProd[[#This Row],[Bank Plat]]</f>
        <v>0</v>
      </c>
      <c r="AU133" s="94">
        <f ca="1">TblConstr[[#This Row],[Total Lum Cost]]+TblImps[[#This Row],[L1]]-TblProd[[#This Row],[Bank Lumber]] + Military!$CO$25*TblMili[[#This Row],[Sec. rec. Cost]]</f>
        <v>0</v>
      </c>
      <c r="AV133" s="94">
        <f ca="1">TblMagic[[#This Row],[Mana cost]] + Military!$CO$26*TblMili[[#This Row],[Sec. rec. Cost]]</f>
        <v>0</v>
      </c>
      <c r="AW133" s="94">
        <f ca="1">Military!$CO$24*TblMili[[#This Row],[Sec. rec. Cost]]+TblImps[[#This Row],[O1]]-TblProd[[#This Row],[Bank Ore]]</f>
        <v>0</v>
      </c>
      <c r="AX133" s="94">
        <f>TblImps[[#This Row],[G1]]-TblProd[[#This Row],[Bank Gems]]</f>
        <v>0</v>
      </c>
      <c r="AY133" s="142"/>
      <c r="AZ133" s="61" t="b">
        <f ca="1">IF(TblProd[[#This Row],[Set Guard]]&lt;&gt;"",TblProd[[#This Row],[Set Guard]],OFFSET(TblProd[[#This Row],[Guard]],-1,0))</f>
        <v>0</v>
      </c>
      <c r="BA133" s="153"/>
      <c r="BB133" s="45">
        <f>TblProd[[#This Row],[Hour]]</f>
        <v>94</v>
      </c>
      <c r="BC133" s="158">
        <f>-TblProd[[#This Row],[Bank Lumber]] / 2 + -TblProd[[#This Row],[Bank Gems]] * 2 + -TblProd[[#This Row],[Bank Ore]] / 2</f>
        <v>0</v>
      </c>
      <c r="BD133" s="158"/>
      <c r="BE133" s="158"/>
      <c r="BF133" s="158"/>
      <c r="BG133" s="159">
        <f ca="1">TblProd[[#This Row],[Time]]</f>
        <v>46052.374999999687</v>
      </c>
      <c r="BH133" s="45" t="str">
        <f>IF(AND(TblProd[[#This Row],[Bank Plat]]=0,TblProd[[#This Row],[Bank Lumber]]=0,TblProd[[#This Row],[Bank Ore]]=0,TblProd[[#This Row],[Bank Gems]]=0),"",IF(TblProd[[#This Row],[Bank Plat]]&gt;0,IF((TblProd[[#This Row],[Bank Lumber]]+TblProd[[#This Row],[Bank Ore]])/2+TblProd[[#This Row],[Bank Gems]]*2+ROUNDUP(TblProd[[#This Row],[Bank Plat]]/(1 + tech_2_2*Techs!Y133),0)=0,"Ok","Nope"),IF(TblProd[[#This Row],[Bank Lumber]]&gt;0,IF((TblProd[[#This Row],[Bank Plat]]+TblProd[[#This Row],[Bank Ore]])/2+TblProd[[#This Row],[Bank Gems]]*2+ROUNDUP(TblProd[[#This Row],[Bank Lumber]]/(1 + tech_2_2*Techs!Y133),0)=0,"Ok","Nope"),IF(TblProd[[#This Row],[Bank Ore]]&gt;0,IF((TblProd[[#This Row],[Bank Plat]]+TblProd[[#This Row],[Bank Lumber]])/2+TblProd[[#This Row],[Bank Gems]]*2+ROUNDUP(TblProd[[#This Row],[Bank Ore]]/(1 + tech_2_2*Techs!Y133),0)=0,"Ok","Nope")))))</f>
        <v/>
      </c>
      <c r="BI133" s="94">
        <f ca="1">TblProd[[#This Row],[Platinum]]</f>
        <v>225909</v>
      </c>
      <c r="BJ133" s="94">
        <f ca="1">TblProd[[#This Row],[Food]]</f>
        <v>172526</v>
      </c>
      <c r="BK133" s="94">
        <f ca="1">TblProd[[#This Row],[Lumber]]</f>
        <v>76751</v>
      </c>
      <c r="BL133" s="94">
        <f ca="1">TblProd[[#This Row],[Mana]]</f>
        <v>0</v>
      </c>
      <c r="BM133" s="94">
        <f ca="1">TblProd[[#This Row],[Ore]]</f>
        <v>0</v>
      </c>
    </row>
    <row r="134" spans="1:65" x14ac:dyDescent="0.2">
      <c r="A134" s="137">
        <f t="shared" si="1"/>
        <v>95</v>
      </c>
      <c r="B134" s="152">
        <f ca="1">TblImps[[#This Row],[Time]]</f>
        <v>46052.416666666351</v>
      </c>
      <c r="C134" s="153"/>
      <c r="D134" s="154"/>
      <c r="E134" s="94">
        <f ca="1">TblConstr[[#This Row],[Land]]</f>
        <v>110</v>
      </c>
      <c r="F134" s="94">
        <f ca="1">TblPop[[#This Row],[Peasants]]</f>
        <v>272</v>
      </c>
      <c r="G134" s="94">
        <f ca="1">TblMili[[#This Row],[Networth (2)]]</f>
        <v>2450</v>
      </c>
      <c r="H134" s="94">
        <f ca="1">OFFSET(TblProd[[#This Row],[Platinum]],-1,0)+OFFSET(TblProd[[#This Row],[Plat/hr]],-1,0) - TblProd[[#This Row],[Expenses Platinum]] + IF(TblProd[[#This Row],[Plat Bonus]],TblPop[[#This Row],[Peasants]]*4) + SUM(TblConstr[[#This Row],[Dest Hom]:[Dest Doc]])*TblConstr[[#This Row],[CPA Platinum -DB]]*tech_3_3_2*TblTech[[#This Row],[3-3]]</f>
        <v>226651</v>
      </c>
      <c r="I134" s="94">
        <f ca="1">OFFSET(TblProd[[#This Row],[Food]],-1,0)+OFFSET(TblProd[[#This Row],[Food/hr]],-1,0)+ROUNDUP((TblConstr[[#This Row],[Farms]]*80+TblConstr[[#This Row],[Docks]]*35)*(1+OFFSET(TblProd[[#This Row],[Bonus Food/hr]],-1,0)),0)</f>
        <v>173112</v>
      </c>
      <c r="J134" s="94">
        <f ca="1">OFFSET(TblProd[[#This Row],[Lumber]],-1,0)+OFFSET(TblProd[[#This Row],[Lumber/hr]],-1,0) - TblProd[[#This Row],[Expenses Lumber]] + SUM(TblConstr[[#This Row],[Dest Hom]:[Dest Doc]])*TblConstr[[#This Row],[CPA Lumber -DB]]*tech_3_3_2*TblTech[[#This Row],[3-3]]</f>
        <v>76983</v>
      </c>
      <c r="K134" s="94">
        <f ca="1">OFFSET(TblProd[[#This Row],[Mana]],-1,0)+OFFSET(TblProd[[#This Row],[Mana/hr]],-1,0)- TblProd[[#This Row],[Expenses Mana]]</f>
        <v>0</v>
      </c>
      <c r="L134" s="94">
        <f ca="1">OFFSET(TblProd[[#This Row],[Ore]],-1,0)+OFFSET(TblProd[[#This Row],[Ore/hr]],-1,0) -TblProd[[#This Row],[Expenses Ore]]</f>
        <v>0</v>
      </c>
      <c r="M134" s="94">
        <f ca="1">OFFSET(TblProd[[#This Row],[Gems]],-1,0)+OFFSET(TblProd[[#This Row],[Gems/hr]],-1,0) - TblProd[[#This Row],[Expenses Gems]]</f>
        <v>0</v>
      </c>
      <c r="N134" s="94">
        <f ca="1">OFFSET(TblProd[[#This Row],[Boats]],-1,0)+OFFSET(TblProd[[#This Row],[Boats/hr]],-1,0)</f>
        <v>0</v>
      </c>
      <c r="O134" s="94">
        <f ca="1">OFFSET(TblProd[[#This Row],[Prestige]],-1,0)</f>
        <v>250</v>
      </c>
      <c r="P134"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4" s="94">
        <f ca="1">MAX(_xlfn.CEILING.MATH(TblProd[[#This Row],[Land]]*2.5+IFERROR(OFFSET(TblTech[[#This Row],[Sum of tech]],-1,0)*50,0)),3750)</f>
        <v>3750</v>
      </c>
      <c r="R134" s="142"/>
      <c r="S134" s="94">
        <f ca="1">ROUNDDOWN(TblProd[[#This Row],[Raw Plat/hr]]*(1+TblProd[[#This Row],[Bonus Plat/hr]]),0)</f>
        <v>734</v>
      </c>
      <c r="T134" s="94">
        <f ca="1">ROUND(TblProd[[#This Row],[Raw Food/hr]]*(1+TblProd[[#This Row],[Bonus Food/hr]])-TblProd[[#This Row],[Food decay]]-TblProd[[#This Row],[Food eaten]],0)</f>
        <v>580</v>
      </c>
      <c r="U134" s="94">
        <f ca="1">ROUND(TblProd[[#This Row],[Raw Lumber/hr]]*(1+TblProd[[#This Row],[Bonus Lumber/hr]])-TblProd[[#This Row],[Lumber rot]],0)</f>
        <v>230</v>
      </c>
      <c r="V134" s="94">
        <f ca="1">ROUND(TblProd[[#This Row],[Raw Mana/hr]]*(1+TblProd[[#This Row],[Bonus Mana/hr]])-TblProd[[#This Row],[Mana drain]],0)</f>
        <v>0</v>
      </c>
      <c r="W134" s="94">
        <f ca="1">ROUNDDOWN(TblProd[[#This Row],[Raw Ore/hr]]*(1+TblProd[[#This Row],[Bonux Ore/hr]]),0)</f>
        <v>0</v>
      </c>
      <c r="X134" s="94">
        <f ca="1">ROUNDDOWN(TblProd[[#This Row],[Raw Gems/hr]]*(1+TblProd[[#This Row],[Bonus Gems/hr]]),0)</f>
        <v>0</v>
      </c>
      <c r="Y134" s="155">
        <f ca="1">OFFSET(TblConstr[[#This Row],[Tot Doc]],1,0)*dock_boats_hr * (1 + tech_4_1*TblTech[[#This Row],[4-1]])</f>
        <v>0</v>
      </c>
      <c r="Z134" s="154"/>
      <c r="AA134" s="94">
        <f ca="1">TblPop[[#This Row],[Peasants]]*tax*TblPop[[#This Row],[Employment]] + (Construction!AZ135+Construction!BX135)*(alch_plat+(Magic!AN134&gt;0)*alchemist_flame_bonus)</f>
        <v>734.40000000000009</v>
      </c>
      <c r="AB134" s="94">
        <f ca="1">TblConstr[[#This Row],[Tot Farm]]*farm_food + TblConstr[[#This Row],[Tot Doc]]*dock_food</f>
        <v>2400</v>
      </c>
      <c r="AC134" s="94">
        <f ca="1">TblConstr[[#This Row],[Tot Ly]]*ly_lumber + TblConstr[[#This Row],[Tot Hav]]*fh_lumber + IF(race="Wood Elf",TblMili[[#This Row],[Unit 2]]*MIN(TblMili[[#This Row],[Homeland%]]/wisp_bonus,wisp_cap),0)</f>
        <v>1000</v>
      </c>
      <c r="AD134" s="94">
        <f ca="1">OFFSET(TblConstr[[#This Row],[Tot Tow]],1,0)*(tower_mana + tech_4_5*TblTech[[#This Row],[4-5]]) + OFFSET(TblConstr[[#This Row],[Tot WG]],1,0)*wg_mana_prod</f>
        <v>0</v>
      </c>
      <c r="AE134" s="94">
        <f ca="1">OFFSET(TblConstr[[#This Row],[Tot OM]],1,0)*om_ore+IF(race="Dwarf",TblMili[[#This Row],[Unit 2]]*0.5,0)</f>
        <v>0</v>
      </c>
      <c r="AF134" s="94">
        <f ca="1">OFFSET(TblConstr[[#This Row],[Tot DM]],1,0)*dm_gems</f>
        <v>0</v>
      </c>
      <c r="AG134" s="142"/>
      <c r="AH134" s="156">
        <f ca="1">MIN(race_platinum_bonus + IF(TblMagic[[#This Row],[Active Alch Frost]]&gt;0,alch_frost_bonus,IF(Magic!AE134&gt;0,midas_bonus)) + TblImps[[#This Row],[Science]] - TblProd[[#This Row],[Guard]]*(0.02 + tech_5_7*TblTech[[#This Row],[5-7]]) + tech_1_5*TblTech[[#This Row],[1-5]] + tech_4_4*TblTech[[#This Row],[4-4]] + IF(TblMagic[[#This Row],[Active Infernal Command]]&gt;0,demonic_pact_plat,0), 0.5)</f>
        <v>0</v>
      </c>
      <c r="AI134"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4" s="156">
        <f ca="1">race_lumber_bonus+ IF(TblMagic[[#This Row],[Active Gaia''s Blessing]]&gt;0,gaias_blessing_lumber)+ tech_1_3*TblTech[[#This Row],[1-3]] + tech_1_6*TblTech[[#This Row],[1-6]] + tech_3_3*TblTech[[#This Row],[3-3]]</f>
        <v>0</v>
      </c>
      <c r="AK134" s="156">
        <f ca="1">race_mana_bonus+ 0 + TblImps[[#This Row],[Spires]] + tech_1_2*TblTech[[#This Row],[1-2]] + tech_3_4*TblTech[[#This Row],[3-4]]</f>
        <v>0</v>
      </c>
      <c r="AL134" s="156">
        <f ca="1">race_ore_bonus + IF(TblMagic[[#This Row],[Active Miner''s Sight]]&gt;0,miners_sight_bonus,IF(TblMagic[[#This Row],[Active Mining Strength]]&gt;0,mining_strength_bonus)) +  tech_1_6*TblTech[[#This Row],[1-6]]</f>
        <v>0</v>
      </c>
      <c r="AM134" s="156">
        <f>race_gem_bonus+ tech_3_2*TblTech[[#This Row],[3-2]] + tech_4_3*TblTech[[#This Row],[4-3]] + tech_6_2*TblTech[[#This Row],[6-2]]</f>
        <v>0</v>
      </c>
      <c r="AN134" s="142"/>
      <c r="AO134" s="94">
        <f ca="1">TblProd[[#This Row],[Food]]*food_decay * (1 + tech_2_1*TblTech[[#This Row],[2-1]] + tech_2_8*TblTech[[#This Row],[2-8]] + IF(AND(TblMagic[[#This Row],[Active DnD]]&lt;12,TblMagic[[#This Row],[Active DnD]]&gt;5),1,0))</f>
        <v>1731.1200000000001</v>
      </c>
      <c r="AP134" s="94">
        <f ca="1">(1+race_food_consumption)*TblPop[[#This Row],[Total]]*food_per_person*(1+tech_1_10*TblTech[[#This Row],[1-10]]+tech_7_5*TblTech[[#This Row],[7-5]] + IF(TblMagic[[#This Row],[Active Infernal Command]]&gt;0,demonic_pact_food_cons,0))</f>
        <v>269</v>
      </c>
      <c r="AQ134" s="94">
        <f ca="1">TblProd[[#This Row],[Lumber]]*lumber_rot * (1 + tech_2_1*TblTech[[#This Row],[2-1]] + tech_2_8*TblTech[[#This Row],[2-8]] + tech_5_2*TblTech[[#This Row],[5-2]] + IF(AND(TblMagic[[#This Row],[Active DnD]]&lt;12,TblMagic[[#This Row],[Active DnD]]&gt;5),1,0))</f>
        <v>769.83</v>
      </c>
      <c r="AR134" s="94">
        <f ca="1">TblProd[[#This Row],[Mana]]*mana_drain * (1 + tech_2_1*TblTech[[#This Row],[2-1]] + tech_2_8*TblTech[[#This Row],[2-8]])</f>
        <v>0</v>
      </c>
      <c r="AS134" s="154"/>
      <c r="AT134" s="94">
        <f ca="1">TblExplore[[#This Row],[Platinum (2)]]+TblConstr[[#This Row],[Total Plat Cost]]+TblMili[[#This Row],[Plat Cost]]+TblRezone[[#This Row],[Platinum cost]]+TblImps[[#This Row],[P1]]-TblProd[[#This Row],[Bank Plat]]</f>
        <v>0</v>
      </c>
      <c r="AU134" s="94">
        <f ca="1">TblConstr[[#This Row],[Total Lum Cost]]+TblImps[[#This Row],[L1]]-TblProd[[#This Row],[Bank Lumber]] + Military!$CO$25*TblMili[[#This Row],[Sec. rec. Cost]]</f>
        <v>0</v>
      </c>
      <c r="AV134" s="94">
        <f ca="1">TblMagic[[#This Row],[Mana cost]] + Military!$CO$26*TblMili[[#This Row],[Sec. rec. Cost]]</f>
        <v>0</v>
      </c>
      <c r="AW134" s="94">
        <f ca="1">Military!$CO$24*TblMili[[#This Row],[Sec. rec. Cost]]+TblImps[[#This Row],[O1]]-TblProd[[#This Row],[Bank Ore]]</f>
        <v>0</v>
      </c>
      <c r="AX134" s="94">
        <f>TblImps[[#This Row],[G1]]-TblProd[[#This Row],[Bank Gems]]</f>
        <v>0</v>
      </c>
      <c r="AY134" s="142"/>
      <c r="AZ134" s="61" t="b">
        <f ca="1">IF(TblProd[[#This Row],[Set Guard]]&lt;&gt;"",TblProd[[#This Row],[Set Guard]],OFFSET(TblProd[[#This Row],[Guard]],-1,0))</f>
        <v>0</v>
      </c>
      <c r="BA134" s="153"/>
      <c r="BB134" s="45">
        <f>TblProd[[#This Row],[Hour]]</f>
        <v>95</v>
      </c>
      <c r="BC134" s="158">
        <f>-TblProd[[#This Row],[Bank Lumber]] / 2 + -TblProd[[#This Row],[Bank Gems]] * 2 + -TblProd[[#This Row],[Bank Ore]] / 2</f>
        <v>0</v>
      </c>
      <c r="BD134" s="158"/>
      <c r="BE134" s="158"/>
      <c r="BF134" s="158"/>
      <c r="BG134" s="159">
        <f ca="1">TblProd[[#This Row],[Time]]</f>
        <v>46052.416666666351</v>
      </c>
      <c r="BH134" s="45" t="str">
        <f>IF(AND(TblProd[[#This Row],[Bank Plat]]=0,TblProd[[#This Row],[Bank Lumber]]=0,TblProd[[#This Row],[Bank Ore]]=0,TblProd[[#This Row],[Bank Gems]]=0),"",IF(TblProd[[#This Row],[Bank Plat]]&gt;0,IF((TblProd[[#This Row],[Bank Lumber]]+TblProd[[#This Row],[Bank Ore]])/2+TblProd[[#This Row],[Bank Gems]]*2+ROUNDUP(TblProd[[#This Row],[Bank Plat]]/(1 + tech_2_2*Techs!Y134),0)=0,"Ok","Nope"),IF(TblProd[[#This Row],[Bank Lumber]]&gt;0,IF((TblProd[[#This Row],[Bank Plat]]+TblProd[[#This Row],[Bank Ore]])/2+TblProd[[#This Row],[Bank Gems]]*2+ROUNDUP(TblProd[[#This Row],[Bank Lumber]]/(1 + tech_2_2*Techs!Y134),0)=0,"Ok","Nope"),IF(TblProd[[#This Row],[Bank Ore]]&gt;0,IF((TblProd[[#This Row],[Bank Plat]]+TblProd[[#This Row],[Bank Lumber]])/2+TblProd[[#This Row],[Bank Gems]]*2+ROUNDUP(TblProd[[#This Row],[Bank Ore]]/(1 + tech_2_2*Techs!Y134),0)=0,"Ok","Nope")))))</f>
        <v/>
      </c>
      <c r="BI134" s="94">
        <f ca="1">TblProd[[#This Row],[Platinum]]</f>
        <v>226651</v>
      </c>
      <c r="BJ134" s="94">
        <f ca="1">TblProd[[#This Row],[Food]]</f>
        <v>173112</v>
      </c>
      <c r="BK134" s="94">
        <f ca="1">TblProd[[#This Row],[Lumber]]</f>
        <v>76983</v>
      </c>
      <c r="BL134" s="94">
        <f ca="1">TblProd[[#This Row],[Mana]]</f>
        <v>0</v>
      </c>
      <c r="BM134" s="94">
        <f ca="1">TblProd[[#This Row],[Ore]]</f>
        <v>0</v>
      </c>
    </row>
    <row r="135" spans="1:65" x14ac:dyDescent="0.2">
      <c r="A135" s="137">
        <f t="shared" si="1"/>
        <v>96</v>
      </c>
      <c r="B135" s="152">
        <f ca="1">TblImps[[#This Row],[Time]]</f>
        <v>46052.458333333016</v>
      </c>
      <c r="C135" s="153"/>
      <c r="D135" s="154"/>
      <c r="E135" s="94">
        <f ca="1">TblConstr[[#This Row],[Land]]</f>
        <v>110</v>
      </c>
      <c r="F135" s="94">
        <f ca="1">TblPop[[#This Row],[Peasants]]</f>
        <v>269</v>
      </c>
      <c r="G135" s="94">
        <f ca="1">TblMili[[#This Row],[Networth (2)]]</f>
        <v>2450</v>
      </c>
      <c r="H135" s="94">
        <f ca="1">OFFSET(TblProd[[#This Row],[Platinum]],-1,0)+OFFSET(TblProd[[#This Row],[Plat/hr]],-1,0) - TblProd[[#This Row],[Expenses Platinum]] + IF(TblProd[[#This Row],[Plat Bonus]],TblPop[[#This Row],[Peasants]]*4) + SUM(TblConstr[[#This Row],[Dest Hom]:[Dest Doc]])*TblConstr[[#This Row],[CPA Platinum -DB]]*tech_3_3_2*TblTech[[#This Row],[3-3]]</f>
        <v>227385</v>
      </c>
      <c r="I135" s="94">
        <f ca="1">OFFSET(TblProd[[#This Row],[Food]],-1,0)+OFFSET(TblProd[[#This Row],[Food/hr]],-1,0)+ROUNDUP((TblConstr[[#This Row],[Farms]]*80+TblConstr[[#This Row],[Docks]]*35)*(1+OFFSET(TblProd[[#This Row],[Bonus Food/hr]],-1,0)),0)</f>
        <v>173692</v>
      </c>
      <c r="J135" s="94">
        <f ca="1">OFFSET(TblProd[[#This Row],[Lumber]],-1,0)+OFFSET(TblProd[[#This Row],[Lumber/hr]],-1,0) - TblProd[[#This Row],[Expenses Lumber]] + SUM(TblConstr[[#This Row],[Dest Hom]:[Dest Doc]])*TblConstr[[#This Row],[CPA Lumber -DB]]*tech_3_3_2*TblTech[[#This Row],[3-3]]</f>
        <v>77213</v>
      </c>
      <c r="K135" s="94">
        <f ca="1">OFFSET(TblProd[[#This Row],[Mana]],-1,0)+OFFSET(TblProd[[#This Row],[Mana/hr]],-1,0)- TblProd[[#This Row],[Expenses Mana]]</f>
        <v>0</v>
      </c>
      <c r="L135" s="94">
        <f ca="1">OFFSET(TblProd[[#This Row],[Ore]],-1,0)+OFFSET(TblProd[[#This Row],[Ore/hr]],-1,0) -TblProd[[#This Row],[Expenses Ore]]</f>
        <v>0</v>
      </c>
      <c r="M135" s="94">
        <f ca="1">OFFSET(TblProd[[#This Row],[Gems]],-1,0)+OFFSET(TblProd[[#This Row],[Gems/hr]],-1,0) - TblProd[[#This Row],[Expenses Gems]]</f>
        <v>0</v>
      </c>
      <c r="N135" s="94">
        <f ca="1">OFFSET(TblProd[[#This Row],[Boats]],-1,0)+OFFSET(TblProd[[#This Row],[Boats/hr]],-1,0)</f>
        <v>0</v>
      </c>
      <c r="O135" s="94">
        <f ca="1">OFFSET(TblProd[[#This Row],[Prestige]],-1,0)</f>
        <v>250</v>
      </c>
      <c r="P135"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5" s="94">
        <f ca="1">MAX(_xlfn.CEILING.MATH(TblProd[[#This Row],[Land]]*2.5+IFERROR(OFFSET(TblTech[[#This Row],[Sum of tech]],-1,0)*50,0)),3750)</f>
        <v>3750</v>
      </c>
      <c r="R135" s="142"/>
      <c r="S135" s="94">
        <f ca="1">ROUNDDOWN(TblProd[[#This Row],[Raw Plat/hr]]*(1+TblProd[[#This Row],[Bonus Plat/hr]]),0)</f>
        <v>726</v>
      </c>
      <c r="T135" s="94">
        <f ca="1">ROUND(TblProd[[#This Row],[Raw Food/hr]]*(1+TblProd[[#This Row],[Bonus Food/hr]])-TblProd[[#This Row],[Food decay]]-TblProd[[#This Row],[Food eaten]],0)</f>
        <v>574</v>
      </c>
      <c r="U135" s="94">
        <f ca="1">ROUND(TblProd[[#This Row],[Raw Lumber/hr]]*(1+TblProd[[#This Row],[Bonus Lumber/hr]])-TblProd[[#This Row],[Lumber rot]],0)</f>
        <v>228</v>
      </c>
      <c r="V135" s="94">
        <f ca="1">ROUND(TblProd[[#This Row],[Raw Mana/hr]]*(1+TblProd[[#This Row],[Bonus Mana/hr]])-TblProd[[#This Row],[Mana drain]],0)</f>
        <v>0</v>
      </c>
      <c r="W135" s="94">
        <f ca="1">ROUNDDOWN(TblProd[[#This Row],[Raw Ore/hr]]*(1+TblProd[[#This Row],[Bonux Ore/hr]]),0)</f>
        <v>0</v>
      </c>
      <c r="X135" s="94">
        <f ca="1">ROUNDDOWN(TblProd[[#This Row],[Raw Gems/hr]]*(1+TblProd[[#This Row],[Bonus Gems/hr]]),0)</f>
        <v>0</v>
      </c>
      <c r="Y135" s="155">
        <f ca="1">OFFSET(TblConstr[[#This Row],[Tot Doc]],1,0)*dock_boats_hr * (1 + tech_4_1*TblTech[[#This Row],[4-1]])</f>
        <v>0</v>
      </c>
      <c r="Z135" s="154"/>
      <c r="AA135" s="94">
        <f ca="1">TblPop[[#This Row],[Peasants]]*tax*TblPop[[#This Row],[Employment]] + (Construction!AZ136+Construction!BX136)*(alch_plat+(Magic!AN135&gt;0)*alchemist_flame_bonus)</f>
        <v>726.30000000000007</v>
      </c>
      <c r="AB135" s="94">
        <f ca="1">TblConstr[[#This Row],[Tot Farm]]*farm_food + TblConstr[[#This Row],[Tot Doc]]*dock_food</f>
        <v>2400</v>
      </c>
      <c r="AC135" s="94">
        <f ca="1">TblConstr[[#This Row],[Tot Ly]]*ly_lumber + TblConstr[[#This Row],[Tot Hav]]*fh_lumber + IF(race="Wood Elf",TblMili[[#This Row],[Unit 2]]*MIN(TblMili[[#This Row],[Homeland%]]/wisp_bonus,wisp_cap),0)</f>
        <v>1000</v>
      </c>
      <c r="AD135" s="94">
        <f ca="1">OFFSET(TblConstr[[#This Row],[Tot Tow]],1,0)*(tower_mana + tech_4_5*TblTech[[#This Row],[4-5]]) + OFFSET(TblConstr[[#This Row],[Tot WG]],1,0)*wg_mana_prod</f>
        <v>0</v>
      </c>
      <c r="AE135" s="94">
        <f ca="1">OFFSET(TblConstr[[#This Row],[Tot OM]],1,0)*om_ore+IF(race="Dwarf",TblMili[[#This Row],[Unit 2]]*0.5,0)</f>
        <v>0</v>
      </c>
      <c r="AF135" s="94">
        <f ca="1">OFFSET(TblConstr[[#This Row],[Tot DM]],1,0)*dm_gems</f>
        <v>0</v>
      </c>
      <c r="AG135" s="142"/>
      <c r="AH135" s="156">
        <f ca="1">MIN(race_platinum_bonus + IF(TblMagic[[#This Row],[Active Alch Frost]]&gt;0,alch_frost_bonus,IF(Magic!AE135&gt;0,midas_bonus)) + TblImps[[#This Row],[Science]] - TblProd[[#This Row],[Guard]]*(0.02 + tech_5_7*TblTech[[#This Row],[5-7]]) + tech_1_5*TblTech[[#This Row],[1-5]] + tech_4_4*TblTech[[#This Row],[4-4]] + IF(TblMagic[[#This Row],[Active Infernal Command]]&gt;0,demonic_pact_plat,0), 0.5)</f>
        <v>0</v>
      </c>
      <c r="AI135"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5" s="156">
        <f ca="1">race_lumber_bonus+ IF(TblMagic[[#This Row],[Active Gaia''s Blessing]]&gt;0,gaias_blessing_lumber)+ tech_1_3*TblTech[[#This Row],[1-3]] + tech_1_6*TblTech[[#This Row],[1-6]] + tech_3_3*TblTech[[#This Row],[3-3]]</f>
        <v>0</v>
      </c>
      <c r="AK135" s="156">
        <f ca="1">race_mana_bonus+ 0 + TblImps[[#This Row],[Spires]] + tech_1_2*TblTech[[#This Row],[1-2]] + tech_3_4*TblTech[[#This Row],[3-4]]</f>
        <v>0</v>
      </c>
      <c r="AL135" s="156">
        <f ca="1">race_ore_bonus + IF(TblMagic[[#This Row],[Active Miner''s Sight]]&gt;0,miners_sight_bonus,IF(TblMagic[[#This Row],[Active Mining Strength]]&gt;0,mining_strength_bonus)) +  tech_1_6*TblTech[[#This Row],[1-6]]</f>
        <v>0</v>
      </c>
      <c r="AM135" s="156">
        <f>race_gem_bonus+ tech_3_2*TblTech[[#This Row],[3-2]] + tech_4_3*TblTech[[#This Row],[4-3]] + tech_6_2*TblTech[[#This Row],[6-2]]</f>
        <v>0</v>
      </c>
      <c r="AN135" s="142"/>
      <c r="AO135" s="94">
        <f ca="1">TblProd[[#This Row],[Food]]*food_decay * (1 + tech_2_1*TblTech[[#This Row],[2-1]] + tech_2_8*TblTech[[#This Row],[2-8]] + IF(AND(TblMagic[[#This Row],[Active DnD]]&lt;12,TblMagic[[#This Row],[Active DnD]]&gt;5),1,0))</f>
        <v>1736.92</v>
      </c>
      <c r="AP135" s="94">
        <f ca="1">(1+race_food_consumption)*TblPop[[#This Row],[Total]]*food_per_person*(1+tech_1_10*TblTech[[#This Row],[1-10]]+tech_7_5*TblTech[[#This Row],[7-5]] + IF(TblMagic[[#This Row],[Active Infernal Command]]&gt;0,demonic_pact_food_cons,0))</f>
        <v>269</v>
      </c>
      <c r="AQ135" s="94">
        <f ca="1">TblProd[[#This Row],[Lumber]]*lumber_rot * (1 + tech_2_1*TblTech[[#This Row],[2-1]] + tech_2_8*TblTech[[#This Row],[2-8]] + tech_5_2*TblTech[[#This Row],[5-2]] + IF(AND(TblMagic[[#This Row],[Active DnD]]&lt;12,TblMagic[[#This Row],[Active DnD]]&gt;5),1,0))</f>
        <v>772.13</v>
      </c>
      <c r="AR135" s="94">
        <f ca="1">TblProd[[#This Row],[Mana]]*mana_drain * (1 + tech_2_1*TblTech[[#This Row],[2-1]] + tech_2_8*TblTech[[#This Row],[2-8]])</f>
        <v>0</v>
      </c>
      <c r="AS135" s="154"/>
      <c r="AT135" s="94">
        <f ca="1">TblExplore[[#This Row],[Platinum (2)]]+TblConstr[[#This Row],[Total Plat Cost]]+TblMili[[#This Row],[Plat Cost]]+TblRezone[[#This Row],[Platinum cost]]+TblImps[[#This Row],[P1]]-TblProd[[#This Row],[Bank Plat]]</f>
        <v>0</v>
      </c>
      <c r="AU135" s="94">
        <f ca="1">TblConstr[[#This Row],[Total Lum Cost]]+TblImps[[#This Row],[L1]]-TblProd[[#This Row],[Bank Lumber]] + Military!$CO$25*TblMili[[#This Row],[Sec. rec. Cost]]</f>
        <v>0</v>
      </c>
      <c r="AV135" s="94">
        <f ca="1">TblMagic[[#This Row],[Mana cost]] + Military!$CO$26*TblMili[[#This Row],[Sec. rec. Cost]]</f>
        <v>0</v>
      </c>
      <c r="AW135" s="94">
        <f ca="1">Military!$CO$24*TblMili[[#This Row],[Sec. rec. Cost]]+TblImps[[#This Row],[O1]]-TblProd[[#This Row],[Bank Ore]]</f>
        <v>0</v>
      </c>
      <c r="AX135" s="94">
        <f>TblImps[[#This Row],[G1]]-TblProd[[#This Row],[Bank Gems]]</f>
        <v>0</v>
      </c>
      <c r="AY135" s="142"/>
      <c r="AZ135" s="61" t="b">
        <f ca="1">IF(TblProd[[#This Row],[Set Guard]]&lt;&gt;"",TblProd[[#This Row],[Set Guard]],OFFSET(TblProd[[#This Row],[Guard]],-1,0))</f>
        <v>0</v>
      </c>
      <c r="BA135" s="153"/>
      <c r="BB135" s="45">
        <f>TblProd[[#This Row],[Hour]]</f>
        <v>96</v>
      </c>
      <c r="BC135" s="158">
        <f>-TblProd[[#This Row],[Bank Lumber]] / 2 + -TblProd[[#This Row],[Bank Gems]] * 2 + -TblProd[[#This Row],[Bank Ore]] / 2</f>
        <v>0</v>
      </c>
      <c r="BD135" s="158"/>
      <c r="BE135" s="158"/>
      <c r="BF135" s="158"/>
      <c r="BG135" s="159">
        <f ca="1">TblProd[[#This Row],[Time]]</f>
        <v>46052.458333333016</v>
      </c>
      <c r="BH135" s="45" t="str">
        <f>IF(AND(TblProd[[#This Row],[Bank Plat]]=0,TblProd[[#This Row],[Bank Lumber]]=0,TblProd[[#This Row],[Bank Ore]]=0,TblProd[[#This Row],[Bank Gems]]=0),"",IF(TblProd[[#This Row],[Bank Plat]]&gt;0,IF((TblProd[[#This Row],[Bank Lumber]]+TblProd[[#This Row],[Bank Ore]])/2+TblProd[[#This Row],[Bank Gems]]*2+ROUNDUP(TblProd[[#This Row],[Bank Plat]]/(1 + tech_2_2*Techs!Y135),0)=0,"Ok","Nope"),IF(TblProd[[#This Row],[Bank Lumber]]&gt;0,IF((TblProd[[#This Row],[Bank Plat]]+TblProd[[#This Row],[Bank Ore]])/2+TblProd[[#This Row],[Bank Gems]]*2+ROUNDUP(TblProd[[#This Row],[Bank Lumber]]/(1 + tech_2_2*Techs!Y135),0)=0,"Ok","Nope"),IF(TblProd[[#This Row],[Bank Ore]]&gt;0,IF((TblProd[[#This Row],[Bank Plat]]+TblProd[[#This Row],[Bank Lumber]])/2+TblProd[[#This Row],[Bank Gems]]*2+ROUNDUP(TblProd[[#This Row],[Bank Ore]]/(1 + tech_2_2*Techs!Y135),0)=0,"Ok","Nope")))))</f>
        <v/>
      </c>
      <c r="BI135" s="94">
        <f ca="1">TblProd[[#This Row],[Platinum]]</f>
        <v>227385</v>
      </c>
      <c r="BJ135" s="94">
        <f ca="1">TblProd[[#This Row],[Food]]</f>
        <v>173692</v>
      </c>
      <c r="BK135" s="94">
        <f ca="1">TblProd[[#This Row],[Lumber]]</f>
        <v>77213</v>
      </c>
      <c r="BL135" s="94">
        <f ca="1">TblProd[[#This Row],[Mana]]</f>
        <v>0</v>
      </c>
      <c r="BM135" s="94">
        <f ca="1">TblProd[[#This Row],[Ore]]</f>
        <v>0</v>
      </c>
    </row>
    <row r="136" spans="1:65" x14ac:dyDescent="0.2">
      <c r="A136" s="137">
        <f t="shared" si="1"/>
        <v>97</v>
      </c>
      <c r="B136" s="152">
        <f ca="1">TblImps[[#This Row],[Time]]</f>
        <v>46052.49999999968</v>
      </c>
      <c r="C136" s="153"/>
      <c r="D136" s="154"/>
      <c r="E136" s="94">
        <f ca="1">TblConstr[[#This Row],[Land]]</f>
        <v>110</v>
      </c>
      <c r="F136" s="94">
        <f ca="1">TblPop[[#This Row],[Peasants]]</f>
        <v>266</v>
      </c>
      <c r="G136" s="94">
        <f ca="1">TblMili[[#This Row],[Networth (2)]]</f>
        <v>2450</v>
      </c>
      <c r="H136" s="94">
        <f ca="1">OFFSET(TblProd[[#This Row],[Platinum]],-1,0)+OFFSET(TblProd[[#This Row],[Plat/hr]],-1,0) - TblProd[[#This Row],[Expenses Platinum]] + IF(TblProd[[#This Row],[Plat Bonus]],TblPop[[#This Row],[Peasants]]*4) + SUM(TblConstr[[#This Row],[Dest Hom]:[Dest Doc]])*TblConstr[[#This Row],[CPA Platinum -DB]]*tech_3_3_2*TblTech[[#This Row],[3-3]]</f>
        <v>228111</v>
      </c>
      <c r="I136" s="94">
        <f ca="1">OFFSET(TblProd[[#This Row],[Food]],-1,0)+OFFSET(TblProd[[#This Row],[Food/hr]],-1,0)+ROUNDUP((TblConstr[[#This Row],[Farms]]*80+TblConstr[[#This Row],[Docks]]*35)*(1+OFFSET(TblProd[[#This Row],[Bonus Food/hr]],-1,0)),0)</f>
        <v>174266</v>
      </c>
      <c r="J136" s="94">
        <f ca="1">OFFSET(TblProd[[#This Row],[Lumber]],-1,0)+OFFSET(TblProd[[#This Row],[Lumber/hr]],-1,0) - TblProd[[#This Row],[Expenses Lumber]] + SUM(TblConstr[[#This Row],[Dest Hom]:[Dest Doc]])*TblConstr[[#This Row],[CPA Lumber -DB]]*tech_3_3_2*TblTech[[#This Row],[3-3]]</f>
        <v>77441</v>
      </c>
      <c r="K136" s="94">
        <f ca="1">OFFSET(TblProd[[#This Row],[Mana]],-1,0)+OFFSET(TblProd[[#This Row],[Mana/hr]],-1,0)- TblProd[[#This Row],[Expenses Mana]]</f>
        <v>0</v>
      </c>
      <c r="L136" s="94">
        <f ca="1">OFFSET(TblProd[[#This Row],[Ore]],-1,0)+OFFSET(TblProd[[#This Row],[Ore/hr]],-1,0) -TblProd[[#This Row],[Expenses Ore]]</f>
        <v>0</v>
      </c>
      <c r="M136" s="94">
        <f ca="1">OFFSET(TblProd[[#This Row],[Gems]],-1,0)+OFFSET(TblProd[[#This Row],[Gems/hr]],-1,0) - TblProd[[#This Row],[Expenses Gems]]</f>
        <v>0</v>
      </c>
      <c r="N136" s="94">
        <f ca="1">OFFSET(TblProd[[#This Row],[Boats]],-1,0)+OFFSET(TblProd[[#This Row],[Boats/hr]],-1,0)</f>
        <v>0</v>
      </c>
      <c r="O136" s="94">
        <f ca="1">OFFSET(TblProd[[#This Row],[Prestige]],-1,0)</f>
        <v>250</v>
      </c>
      <c r="P136" s="94">
        <f ca="1">ROUNDDOWN(OFFSET(TblProd[[#This Row],[Techpoints]],-1,0)+(1+research_bonus)*(MIN(TblConstr[[#This Row],[Tot Sch]],TblProd[[#This Row],[Land]]*school_max)*(1 - MIN((TblConstr[[#This Row],[Tot Sch]]/(TblProd[[#This Row],[Land]]-TblExplore[[#This Row],[Land Bonus]])),school_max)))-TblProd[[#This Row],[Required]]*TblTech[[#This Row],[…]],0) + IF(TblProd[[#This Row],[Plat Bonus]]&lt;&gt;"",350,0)</f>
        <v>0</v>
      </c>
      <c r="Q136" s="94">
        <f ca="1">MAX(_xlfn.CEILING.MATH(TblProd[[#This Row],[Land]]*2.5+IFERROR(OFFSET(TblTech[[#This Row],[Sum of tech]],-1,0)*50,0)),3750)</f>
        <v>3750</v>
      </c>
      <c r="R136" s="142"/>
      <c r="S136" s="94">
        <f ca="1">ROUNDDOWN(TblProd[[#This Row],[Raw Plat/hr]]*(1+TblProd[[#This Row],[Bonus Plat/hr]]),0)</f>
        <v>0</v>
      </c>
      <c r="T136" s="94">
        <f ca="1">ROUND(TblProd[[#This Row],[Raw Food/hr]]*(1+TblProd[[#This Row],[Bonus Food/hr]])-TblProd[[#This Row],[Food decay]]-TblProd[[#This Row],[Food eaten]],0)</f>
        <v>568</v>
      </c>
      <c r="U136" s="94">
        <f ca="1">ROUND(TblProd[[#This Row],[Raw Lumber/hr]]*(1+TblProd[[#This Row],[Bonus Lumber/hr]])-TblProd[[#This Row],[Lumber rot]],0)</f>
        <v>226</v>
      </c>
      <c r="V136" s="94">
        <f ca="1">ROUND(TblProd[[#This Row],[Raw Mana/hr]]*(1+TblProd[[#This Row],[Bonus Mana/hr]])-TblProd[[#This Row],[Mana drain]],0)</f>
        <v>0</v>
      </c>
      <c r="W136" s="94">
        <f ca="1">ROUNDDOWN(TblProd[[#This Row],[Raw Ore/hr]]*(1+TblProd[[#This Row],[Bonux Ore/hr]]),0)</f>
        <v>0</v>
      </c>
      <c r="X136" s="94">
        <f ca="1">ROUNDDOWN(TblProd[[#This Row],[Raw Gems/hr]]*(1+TblProd[[#This Row],[Bonus Gems/hr]]),0)</f>
        <v>0</v>
      </c>
      <c r="Y136" s="155">
        <f ca="1">OFFSET(TblConstr[[#This Row],[Tot Doc]],1,0)*dock_boats_hr * (1 + tech_4_1*TblTech[[#This Row],[4-1]])</f>
        <v>0</v>
      </c>
      <c r="Z136" s="154"/>
      <c r="AA136" s="94">
        <f ca="1">TblPop[[#This Row],[Peasants]]*tax*TblPop[[#This Row],[Employment]] + (Construction!AZ137+Construction!BX137)*(alch_plat+(Magic!AN136&gt;0)*alchemist_flame_bonus)</f>
        <v>0</v>
      </c>
      <c r="AB136" s="94">
        <f ca="1">TblConstr[[#This Row],[Tot Farm]]*farm_food + TblConstr[[#This Row],[Tot Doc]]*dock_food</f>
        <v>2400</v>
      </c>
      <c r="AC136" s="94">
        <f ca="1">TblConstr[[#This Row],[Tot Ly]]*ly_lumber + TblConstr[[#This Row],[Tot Hav]]*fh_lumber + IF(race="Wood Elf",TblMili[[#This Row],[Unit 2]]*MIN(TblMili[[#This Row],[Homeland%]]/wisp_bonus,wisp_cap),0)</f>
        <v>1000</v>
      </c>
      <c r="AD136" s="94">
        <f ca="1">OFFSET(TblConstr[[#This Row],[Tot Tow]],1,0)*(tower_mana + tech_4_5*TblTech[[#This Row],[4-5]]) + OFFSET(TblConstr[[#This Row],[Tot WG]],1,0)*wg_mana_prod</f>
        <v>0</v>
      </c>
      <c r="AE136" s="94">
        <f ca="1">OFFSET(TblConstr[[#This Row],[Tot OM]],1,0)*om_ore+IF(race="Dwarf",TblMili[[#This Row],[Unit 2]]*0.5,0)</f>
        <v>0</v>
      </c>
      <c r="AF136" s="94">
        <f ca="1">OFFSET(TblConstr[[#This Row],[Tot DM]],1,0)*dm_gems</f>
        <v>0</v>
      </c>
      <c r="AG136" s="142"/>
      <c r="AH136" s="156">
        <f ca="1">MIN(race_platinum_bonus + IF(TblMagic[[#This Row],[Active Alch Frost]]&gt;0,alch_frost_bonus,IF(Magic!AE136&gt;0,midas_bonus)) + TblImps[[#This Row],[Science]] - TblProd[[#This Row],[Guard]]*(0.02 + tech_5_7*TblTech[[#This Row],[5-7]]) + tech_1_5*TblTech[[#This Row],[1-5]] + tech_4_4*TblTech[[#This Row],[4-4]] + IF(TblMagic[[#This Row],[Active Infernal Command]]&gt;0,demonic_pact_plat,0), 0.5)</f>
        <v>0</v>
      </c>
      <c r="AI136" s="157">
        <f ca="1">(1 + race_food_bonus + IF(TblMagic[[#This Row],[Active Gaia''s Blessing]]&gt;0,gaias_blessing_food,IF(TblMagic[[#This Row],[Active Gaia''s Watch]]&gt;0,gaias_watch_bonus)) + TblImps[[#This Row],[Harbor]] + tech_1_1*TblTech[[#This Row],[1-1]] + tech_1_4*TblTech[[#This Row],[1-4]] + tech_5_1*TblTech[[#This Row],[5-1]] + TblProd[[#This Row],[Prestige]]/100*prestige_food_bonus*(1 + tech_8_1*TblTech[[#This Row],[8-1]])) - 1</f>
        <v>7.4999999999999956E-2</v>
      </c>
      <c r="AJ136" s="156">
        <f ca="1">race_lumber_bonus+ IF(TblMagic[[#This Row],[Active Gaia''s Blessing]]&gt;0,gaias_blessing_lumber)+ tech_1_3*TblTech[[#This Row],[1-3]] + tech_1_6*TblTech[[#This Row],[1-6]] + tech_3_3*TblTech[[#This Row],[3-3]]</f>
        <v>0</v>
      </c>
      <c r="AK136" s="156">
        <f ca="1">race_mana_bonus+ 0 + TblImps[[#This Row],[Spires]] + tech_1_2*TblTech[[#This Row],[1-2]] + tech_3_4*TblTech[[#This Row],[3-4]]</f>
        <v>0</v>
      </c>
      <c r="AL136" s="156">
        <f ca="1">race_ore_bonus + IF(TblMagic[[#This Row],[Active Miner''s Sight]]&gt;0,miners_sight_bonus,IF(TblMagic[[#This Row],[Active Mining Strength]]&gt;0,mining_strength_bonus)) +  tech_1_6*TblTech[[#This Row],[1-6]]</f>
        <v>0</v>
      </c>
      <c r="AM136" s="156">
        <f>race_gem_bonus+ tech_3_2*TblTech[[#This Row],[3-2]] + tech_4_3*TblTech[[#This Row],[4-3]] + tech_6_2*TblTech[[#This Row],[6-2]]</f>
        <v>0</v>
      </c>
      <c r="AN136" s="142"/>
      <c r="AO136" s="94">
        <f ca="1">TblProd[[#This Row],[Food]]*food_decay * (1 + tech_2_1*TblTech[[#This Row],[2-1]] + tech_2_8*TblTech[[#This Row],[2-8]] + IF(AND(TblMagic[[#This Row],[Active DnD]]&lt;12,TblMagic[[#This Row],[Active DnD]]&gt;5),1,0))</f>
        <v>1742.66</v>
      </c>
      <c r="AP136" s="94">
        <f ca="1">(1+race_food_consumption)*TblPop[[#This Row],[Total]]*food_per_person*(1+tech_1_10*TblTech[[#This Row],[1-10]]+tech_7_5*TblTech[[#This Row],[7-5]] + IF(TblMagic[[#This Row],[Active Infernal Command]]&gt;0,demonic_pact_food_cons,0))</f>
        <v>269</v>
      </c>
      <c r="AQ136" s="94">
        <f ca="1">TblProd[[#This Row],[Lumber]]*lumber_rot * (1 + tech_2_1*TblTech[[#This Row],[2-1]] + tech_2_8*TblTech[[#This Row],[2-8]] + tech_5_2*TblTech[[#This Row],[5-2]] + IF(AND(TblMagic[[#This Row],[Active DnD]]&lt;12,TblMagic[[#This Row],[Active DnD]]&gt;5),1,0))</f>
        <v>774.41</v>
      </c>
      <c r="AR136" s="94">
        <f ca="1">TblProd[[#This Row],[Mana]]*mana_drain * (1 + tech_2_1*TblTech[[#This Row],[2-1]] + tech_2_8*TblTech[[#This Row],[2-8]])</f>
        <v>0</v>
      </c>
      <c r="AS136" s="154"/>
      <c r="AT136" s="94">
        <f ca="1">TblExplore[[#This Row],[Platinum (2)]]+TblConstr[[#This Row],[Total Plat Cost]]+TblMili[[#This Row],[Plat Cost]]+TblRezone[[#This Row],[Platinum cost]]+TblImps[[#This Row],[P1]]-TblProd[[#This Row],[Bank Plat]]</f>
        <v>0</v>
      </c>
      <c r="AU136" s="94">
        <f ca="1">TblConstr[[#This Row],[Total Lum Cost]]+TblImps[[#This Row],[L1]]-TblProd[[#This Row],[Bank Lumber]] + Military!$CO$25*TblMili[[#This Row],[Sec. rec. Cost]]</f>
        <v>0</v>
      </c>
      <c r="AV136" s="94">
        <f ca="1">TblMagic[[#This Row],[Mana cost]] + Military!$CO$26*TblMili[[#This Row],[Sec. rec. Cost]]</f>
        <v>0</v>
      </c>
      <c r="AW136" s="94">
        <f ca="1">Military!$CO$24*TblMili[[#This Row],[Sec. rec. Cost]]+TblImps[[#This Row],[O1]]-TblProd[[#This Row],[Bank Ore]]</f>
        <v>0</v>
      </c>
      <c r="AX136" s="94">
        <f>TblImps[[#This Row],[G1]]-TblProd[[#This Row],[Bank Gems]]</f>
        <v>0</v>
      </c>
      <c r="AY136" s="142"/>
      <c r="AZ136" s="61" t="b">
        <f ca="1">IF(TblProd[[#This Row],[Set Guard]]&lt;&gt;"",TblProd[[#This Row],[Set Guard]],OFFSET(TblProd[[#This Row],[Guard]],-1,0))</f>
        <v>0</v>
      </c>
      <c r="BA136" s="153"/>
      <c r="BB136" s="45">
        <f>TblProd[[#This Row],[Hour]]</f>
        <v>97</v>
      </c>
      <c r="BC136" s="158">
        <f>-TblProd[[#This Row],[Bank Lumber]] / 2 + -TblProd[[#This Row],[Bank Gems]] * 2 + -TblProd[[#This Row],[Bank Ore]] / 2</f>
        <v>0</v>
      </c>
      <c r="BD136" s="158"/>
      <c r="BE136" s="158"/>
      <c r="BF136" s="158"/>
      <c r="BG136" s="159">
        <f ca="1">TblProd[[#This Row],[Time]]</f>
        <v>46052.49999999968</v>
      </c>
      <c r="BH136" s="45" t="str">
        <f>IF(AND(TblProd[[#This Row],[Bank Plat]]=0,TblProd[[#This Row],[Bank Lumber]]=0,TblProd[[#This Row],[Bank Ore]]=0,TblProd[[#This Row],[Bank Gems]]=0),"",IF(TblProd[[#This Row],[Bank Plat]]&gt;0,IF((TblProd[[#This Row],[Bank Lumber]]+TblProd[[#This Row],[Bank Ore]])/2+TblProd[[#This Row],[Bank Gems]]*2+ROUNDUP(TblProd[[#This Row],[Bank Plat]]/(1 + tech_2_2*Techs!Y136),0)=0,"Ok","Nope"),IF(TblProd[[#This Row],[Bank Lumber]]&gt;0,IF((TblProd[[#This Row],[Bank Plat]]+TblProd[[#This Row],[Bank Ore]])/2+TblProd[[#This Row],[Bank Gems]]*2+ROUNDUP(TblProd[[#This Row],[Bank Lumber]]/(1 + tech_2_2*Techs!Y136),0)=0,"Ok","Nope"),IF(TblProd[[#This Row],[Bank Ore]]&gt;0,IF((TblProd[[#This Row],[Bank Plat]]+TblProd[[#This Row],[Bank Lumber]])/2+TblProd[[#This Row],[Bank Gems]]*2+ROUNDUP(TblProd[[#This Row],[Bank Ore]]/(1 + tech_2_2*Techs!Y136),0)=0,"Ok","Nope")))))</f>
        <v/>
      </c>
      <c r="BI136" s="94">
        <f ca="1">TblProd[[#This Row],[Platinum]]</f>
        <v>228111</v>
      </c>
      <c r="BJ136" s="94">
        <f ca="1">TblProd[[#This Row],[Food]]</f>
        <v>174266</v>
      </c>
      <c r="BK136" s="94">
        <f ca="1">TblProd[[#This Row],[Lumber]]</f>
        <v>77441</v>
      </c>
      <c r="BL136" s="94">
        <f ca="1">TblProd[[#This Row],[Mana]]</f>
        <v>0</v>
      </c>
      <c r="BM136" s="94">
        <f ca="1">TblProd[[#This Row],[Ore]]</f>
        <v>0</v>
      </c>
    </row>
    <row r="1269" spans="3:12" x14ac:dyDescent="0.2">
      <c r="C1269" s="530" t="s">
        <v>314</v>
      </c>
      <c r="D1269" s="486"/>
      <c r="L1269" s="57"/>
    </row>
    <row r="1270" spans="3:12" x14ac:dyDescent="0.2">
      <c r="C1270" s="28">
        <f>Overview!E17</f>
        <v>0</v>
      </c>
      <c r="D1270" s="28"/>
      <c r="E1270" s="168"/>
      <c r="F1270" s="168"/>
      <c r="G1270" s="168"/>
      <c r="H1270" s="168"/>
      <c r="I1270" s="168"/>
      <c r="J1270" s="168"/>
      <c r="K1270" s="64"/>
      <c r="L1270" s="169"/>
    </row>
  </sheetData>
  <mergeCells count="5">
    <mergeCell ref="C1269:D1269"/>
    <mergeCell ref="AH1:AM1"/>
    <mergeCell ref="AT1:AU1"/>
    <mergeCell ref="S1:U1"/>
    <mergeCell ref="AA1:AB1"/>
  </mergeCells>
  <phoneticPr fontId="0" type="noConversion"/>
  <conditionalFormatting sqref="U18619:BL29787 BM18583:IV29751 B137:BL447 BM8135:IV8135 B12456:BK20568 B12456:C20613 B8183:BL8183 BM137:IV411">
    <cfRule type="expression" dxfId="814" priority="58" stopIfTrue="1">
      <formula>ROW()-2=#REF!</formula>
    </cfRule>
  </conditionalFormatting>
  <conditionalFormatting sqref="A1269:XFD1270">
    <cfRule type="expression" dxfId="813" priority="59" stopIfTrue="1">
      <formula>$C$1270&gt;144</formula>
    </cfRule>
  </conditionalFormatting>
  <conditionalFormatting sqref="E4:Q136">
    <cfRule type="expression" dxfId="812" priority="39" stopIfTrue="1">
      <formula>OR(ROW()-3=$C$1270,E4&lt;0)</formula>
    </cfRule>
  </conditionalFormatting>
  <conditionalFormatting sqref="BH4:BH136">
    <cfRule type="cellIs" dxfId="811" priority="61" stopIfTrue="1" operator="equal">
      <formula>"Nope"</formula>
    </cfRule>
  </conditionalFormatting>
  <conditionalFormatting sqref="A4:BM136">
    <cfRule type="expression" dxfId="810" priority="1" stopIfTrue="1">
      <formula>ROW()-3=$C$1270</formula>
    </cfRule>
    <cfRule type="expression" dxfId="809" priority="56">
      <formula>$A4="OOP"</formula>
    </cfRule>
    <cfRule type="expression" dxfId="808" priority="57">
      <formula>ROUND(($A4-1)/12,0)=INT($A4-1)/12</formula>
    </cfRule>
  </conditionalFormatting>
  <conditionalFormatting sqref="A1:XFD3">
    <cfRule type="expression" dxfId="807" priority="64">
      <formula>$C$1270&lt;0</formula>
    </cfRule>
  </conditionalFormatting>
  <dataValidations count="1">
    <dataValidation type="whole" operator="equal" allowBlank="1" showInputMessage="1" showErrorMessage="1" sqref="BA4:BA136 C4:D136" xr:uid="{00000000-0002-0000-0200-000000000000}">
      <formula1>1</formula1>
    </dataValidation>
  </dataValidations>
  <pageMargins left="0.75" right="0.75" top="1" bottom="1" header="0.5" footer="0.5"/>
  <pageSetup paperSize="9" orientation="portrait" horizontalDpi="300" verticalDpi="300" r:id="rId1"/>
  <headerFooter alignWithMargins="0"/>
  <ignoredErrors>
    <ignoredError sqref="P5:P136" calculatedColumn="1"/>
  </ignoredErrors>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60" id="{D95CD699-C018-4C5B-B5D8-60CA1B3E0B8F}">
            <x14:iconSet iconSet="3Symbols2" showValue="0" custom="1">
              <x14:cfvo type="percent">
                <xm:f>0</xm:f>
              </x14:cfvo>
              <x14:cfvo type="percent">
                <xm:f>0</xm:f>
              </x14:cfvo>
              <x14:cfvo type="num">
                <xm:f>1</xm:f>
              </x14:cfvo>
              <x14:cfIcon iconSet="NoIcons" iconId="0"/>
              <x14:cfIcon iconSet="NoIcons" iconId="0"/>
              <x14:cfIcon iconSet="3Symbols2" iconId="2"/>
            </x14:iconSet>
          </x14:cfRule>
          <xm:sqref>C4:C136</xm:sqref>
        </x14:conditionalFormatting>
      </x14:conditionalFormatting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tint="0.14999847407452621"/>
  </sheetPr>
  <dimension ref="A1:DJ1270"/>
  <sheetViews>
    <sheetView zoomScale="85" zoomScaleNormal="85" workbookViewId="0">
      <pane ySplit="3" topLeftCell="A4" activePane="bottomLeft" state="frozenSplit"/>
      <selection activeCell="A3" sqref="A3"/>
      <selection pane="bottomLeft" activeCell="O4" sqref="O4"/>
    </sheetView>
  </sheetViews>
  <sheetFormatPr defaultColWidth="9.140625" defaultRowHeight="12.75" x14ac:dyDescent="0.2"/>
  <cols>
    <col min="1" max="1" width="8.5703125" style="177" customWidth="1"/>
    <col min="2" max="3" width="11.42578125" style="177" customWidth="1"/>
    <col min="4" max="4" width="12.5703125" style="45" customWidth="1"/>
    <col min="5" max="5" width="2.85546875" style="45" customWidth="1"/>
    <col min="6" max="6" width="8.85546875" style="57" customWidth="1"/>
    <col min="7" max="7" width="7" style="57" bestFit="1" customWidth="1"/>
    <col min="8" max="8" width="6.85546875" style="57" customWidth="1"/>
    <col min="9" max="9" width="9.42578125" style="57" customWidth="1"/>
    <col min="10" max="10" width="4.28515625" style="57" bestFit="1" customWidth="1"/>
    <col min="11" max="11" width="7.85546875" style="57" customWidth="1"/>
    <col min="12" max="12" width="7.5703125" style="57" customWidth="1"/>
    <col min="13" max="13" width="6.140625" style="107" bestFit="1" customWidth="1"/>
    <col min="14" max="14" width="5.5703125" style="57" customWidth="1"/>
    <col min="15" max="15" width="5" style="45" customWidth="1"/>
    <col min="16" max="17" width="4.140625" style="45" bestFit="1" customWidth="1"/>
    <col min="18" max="18" width="4.28515625" style="45" customWidth="1"/>
    <col min="19" max="19" width="4.7109375" style="45" customWidth="1"/>
    <col min="20" max="27" width="4.140625" style="45" bestFit="1" customWidth="1"/>
    <col min="28" max="28" width="4.85546875" style="45" customWidth="1"/>
    <col min="29" max="29" width="5" style="45" customWidth="1"/>
    <col min="30" max="33" width="4.140625" style="45" bestFit="1" customWidth="1"/>
    <col min="34" max="34" width="6.42578125" style="45" bestFit="1" customWidth="1"/>
    <col min="35" max="35" width="7.5703125" style="45" bestFit="1" customWidth="1"/>
    <col min="36" max="36" width="7" style="45" bestFit="1" customWidth="1"/>
    <col min="37" max="37" width="8.85546875" style="45" customWidth="1"/>
    <col min="38" max="38" width="8.28515625" style="45" customWidth="1"/>
    <col min="39" max="39" width="11.5703125" style="45" customWidth="1"/>
    <col min="40" max="41" width="11.85546875" style="45" customWidth="1"/>
    <col min="42" max="42" width="10.85546875" style="45" customWidth="1"/>
    <col min="43" max="44" width="8.7109375" style="45" customWidth="1"/>
    <col min="45" max="45" width="8.140625" style="45" customWidth="1"/>
    <col min="46" max="46" width="8.5703125" style="45" customWidth="1"/>
    <col min="47" max="47" width="3.28515625" style="45" customWidth="1"/>
    <col min="48" max="49" width="9.85546875" style="45" customWidth="1"/>
    <col min="50" max="50" width="3.28515625" style="45" customWidth="1"/>
    <col min="51" max="51" width="7.85546875" style="57" bestFit="1" customWidth="1"/>
    <col min="52" max="52" width="6.7109375" style="57" bestFit="1" customWidth="1"/>
    <col min="53" max="53" width="8.140625" style="57" bestFit="1" customWidth="1"/>
    <col min="54" max="54" width="7" style="57" bestFit="1" customWidth="1"/>
    <col min="55" max="55" width="7.28515625" style="57" bestFit="1" customWidth="1"/>
    <col min="56" max="56" width="5.85546875" style="57" bestFit="1" customWidth="1"/>
    <col min="57" max="58" width="7" style="57" bestFit="1" customWidth="1"/>
    <col min="59" max="59" width="6.5703125" style="57" bestFit="1" customWidth="1"/>
    <col min="60" max="60" width="6.7109375" style="57" bestFit="1" customWidth="1"/>
    <col min="61" max="61" width="6.140625" style="57" bestFit="1" customWidth="1"/>
    <col min="62" max="63" width="6.7109375" style="57" bestFit="1" customWidth="1"/>
    <col min="64" max="64" width="7.42578125" style="57" bestFit="1" customWidth="1"/>
    <col min="65" max="65" width="7.5703125" style="57" bestFit="1" customWidth="1"/>
    <col min="66" max="66" width="8.42578125" style="57" bestFit="1" customWidth="1"/>
    <col min="67" max="67" width="7" style="57" bestFit="1" customWidth="1"/>
    <col min="68" max="68" width="6.85546875" style="57" bestFit="1" customWidth="1"/>
    <col min="69" max="69" width="7.140625" style="57" bestFit="1" customWidth="1"/>
    <col min="70" max="70" width="3" style="45" bestFit="1" customWidth="1"/>
    <col min="71" max="71" width="4.140625" style="45" customWidth="1"/>
    <col min="72" max="72" width="10.140625" style="45" customWidth="1"/>
    <col min="73" max="73" width="10.42578125" style="45" customWidth="1"/>
    <col min="74" max="74" width="4.140625" style="45" customWidth="1"/>
    <col min="75" max="75" width="5.85546875" style="45" bestFit="1" customWidth="1"/>
    <col min="76" max="76" width="5.28515625" style="45" customWidth="1"/>
    <col min="77" max="77" width="5.85546875" style="45" bestFit="1" customWidth="1"/>
    <col min="78" max="87" width="5.28515625" style="45" customWidth="1"/>
    <col min="88" max="88" width="5.7109375" style="45" bestFit="1" customWidth="1"/>
    <col min="89" max="89" width="5.85546875" style="45" bestFit="1" customWidth="1"/>
    <col min="90" max="93" width="5.28515625" style="45" customWidth="1"/>
    <col min="94" max="94" width="3.85546875" style="45" customWidth="1"/>
    <col min="95" max="95" width="8" style="57" customWidth="1"/>
    <col min="96" max="96" width="9" style="57" customWidth="1"/>
    <col min="97" max="97" width="11.85546875" style="57" customWidth="1"/>
    <col min="98" max="98" width="6.85546875" style="57" customWidth="1"/>
    <col min="99" max="99" width="9.7109375" style="57" customWidth="1"/>
    <col min="100" max="100" width="9.5703125" style="57" customWidth="1"/>
    <col min="101" max="101" width="9" style="57" customWidth="1"/>
    <col min="102" max="102" width="11.85546875" style="45" customWidth="1"/>
    <col min="103" max="103" width="2.7109375" style="45" customWidth="1"/>
    <col min="104" max="114" width="10.7109375" style="45" customWidth="1"/>
    <col min="115" max="16384" width="9.140625" style="45"/>
  </cols>
  <sheetData>
    <row r="1" spans="1:114" x14ac:dyDescent="0.2">
      <c r="A1" s="173"/>
      <c r="B1" s="173"/>
      <c r="C1" s="173"/>
      <c r="D1" s="5"/>
      <c r="E1" s="5"/>
      <c r="F1" s="28"/>
      <c r="G1" s="28" t="s">
        <v>54</v>
      </c>
      <c r="H1" s="28"/>
      <c r="I1" s="28"/>
      <c r="J1" s="28"/>
      <c r="K1" s="28"/>
      <c r="L1" s="28"/>
      <c r="M1" s="28"/>
      <c r="N1" s="28"/>
      <c r="O1" s="533" t="s">
        <v>56</v>
      </c>
      <c r="P1" s="533"/>
      <c r="Q1" s="486"/>
      <c r="R1" s="5"/>
      <c r="S1" s="5"/>
      <c r="T1" s="5"/>
      <c r="U1" s="5"/>
      <c r="V1" s="5"/>
      <c r="W1" s="5"/>
      <c r="X1" s="5"/>
      <c r="Y1" s="5"/>
      <c r="Z1" s="5"/>
      <c r="AA1" s="5"/>
      <c r="AB1" s="5"/>
      <c r="AC1" s="5"/>
      <c r="AD1" s="5"/>
      <c r="AE1" s="5"/>
      <c r="AF1" s="5"/>
      <c r="AG1" s="5"/>
      <c r="AH1" s="5"/>
      <c r="AI1" s="174" t="s">
        <v>513</v>
      </c>
      <c r="AJ1" s="174" t="s">
        <v>516</v>
      </c>
      <c r="AK1" s="533" t="s">
        <v>77</v>
      </c>
      <c r="AL1" s="533"/>
      <c r="AM1" s="531" t="s">
        <v>514</v>
      </c>
      <c r="AN1" s="531"/>
      <c r="AO1" s="531" t="s">
        <v>515</v>
      </c>
      <c r="AP1" s="531"/>
      <c r="AQ1" s="531" t="s">
        <v>512</v>
      </c>
      <c r="AR1" s="531"/>
      <c r="AS1" s="5"/>
      <c r="AT1" s="5"/>
      <c r="AU1" s="5"/>
      <c r="AV1" s="5" t="s">
        <v>511</v>
      </c>
      <c r="AW1" s="5"/>
      <c r="AX1" s="5"/>
      <c r="AY1" s="531" t="s">
        <v>53</v>
      </c>
      <c r="AZ1" s="531"/>
      <c r="BA1" s="531"/>
      <c r="BB1" s="28"/>
      <c r="BC1" s="28"/>
      <c r="BD1" s="28"/>
      <c r="BE1" s="28"/>
      <c r="BF1" s="28"/>
      <c r="BG1" s="28"/>
      <c r="BH1" s="28"/>
      <c r="BI1" s="28"/>
      <c r="BJ1" s="28"/>
      <c r="BK1" s="28"/>
      <c r="BL1" s="28"/>
      <c r="BM1" s="28"/>
      <c r="BN1" s="28"/>
      <c r="BO1" s="28"/>
      <c r="BP1" s="28"/>
      <c r="BQ1" s="28"/>
      <c r="BR1" s="5"/>
      <c r="BS1" s="5"/>
      <c r="BT1" s="5"/>
      <c r="BU1" s="5"/>
      <c r="BV1" s="5"/>
      <c r="BW1" s="533" t="s">
        <v>84</v>
      </c>
      <c r="BX1" s="533"/>
      <c r="BY1" s="5"/>
      <c r="BZ1" s="5"/>
      <c r="CA1" s="5"/>
      <c r="CB1" s="5"/>
      <c r="CC1" s="5"/>
      <c r="CD1" s="5"/>
      <c r="CE1" s="5"/>
      <c r="CF1" s="5"/>
      <c r="CG1" s="5"/>
      <c r="CH1" s="5"/>
      <c r="CI1" s="5"/>
      <c r="CJ1" s="5"/>
      <c r="CK1" s="5"/>
      <c r="CL1" s="5"/>
      <c r="CM1" s="5"/>
      <c r="CN1" s="5"/>
      <c r="CO1" s="5"/>
      <c r="CP1" s="5"/>
      <c r="CQ1" s="531" t="s">
        <v>18</v>
      </c>
      <c r="CR1" s="531"/>
      <c r="CS1" s="28"/>
      <c r="CT1" s="28"/>
      <c r="CU1" s="28"/>
      <c r="CV1" s="28"/>
      <c r="CW1" s="28"/>
      <c r="CX1" s="5"/>
      <c r="CY1" s="5"/>
      <c r="CZ1" s="533" t="s">
        <v>293</v>
      </c>
      <c r="DA1" s="533"/>
      <c r="DB1" s="533"/>
      <c r="DC1" s="533"/>
      <c r="DD1" s="533"/>
      <c r="DE1" s="5"/>
      <c r="DF1" s="5"/>
      <c r="DG1" s="533" t="s">
        <v>257</v>
      </c>
      <c r="DH1" s="533"/>
      <c r="DI1" s="5" t="s">
        <v>531</v>
      </c>
      <c r="DJ1" s="5"/>
    </row>
    <row r="2" spans="1:114" x14ac:dyDescent="0.2">
      <c r="A2" s="173"/>
      <c r="B2" s="173"/>
      <c r="C2" s="173"/>
      <c r="D2" s="5"/>
      <c r="E2" s="5"/>
      <c r="F2" s="28"/>
      <c r="G2" s="28"/>
      <c r="H2" s="28"/>
      <c r="I2" s="28"/>
      <c r="J2" s="28"/>
      <c r="K2" s="28"/>
      <c r="L2" s="28"/>
      <c r="M2" s="28"/>
      <c r="N2" s="28"/>
      <c r="O2" s="5"/>
      <c r="P2" s="5"/>
      <c r="R2" s="5"/>
      <c r="S2" s="5"/>
      <c r="T2" s="5"/>
      <c r="U2" s="5"/>
      <c r="V2" s="5"/>
      <c r="W2" s="5"/>
      <c r="X2" s="5"/>
      <c r="Y2" s="5"/>
      <c r="Z2" s="5"/>
      <c r="AA2" s="5"/>
      <c r="AB2" s="5"/>
      <c r="AC2" s="5"/>
      <c r="AD2" s="5"/>
      <c r="AE2" s="5"/>
      <c r="AF2" s="5"/>
      <c r="AG2" s="5"/>
      <c r="AH2" s="5"/>
      <c r="AI2" s="174"/>
      <c r="AJ2" s="174"/>
      <c r="AK2" s="5"/>
      <c r="AL2" s="5"/>
      <c r="AM2" s="28"/>
      <c r="AN2" s="28"/>
      <c r="AO2" s="28"/>
      <c r="AP2" s="28"/>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28"/>
      <c r="CR2" s="28"/>
      <c r="CS2" s="28"/>
      <c r="CT2" s="28"/>
      <c r="CU2" s="28"/>
      <c r="CV2" s="28"/>
      <c r="CW2" s="28"/>
      <c r="CX2" s="5"/>
      <c r="CY2" s="5"/>
      <c r="CZ2" s="5"/>
      <c r="DA2" s="5"/>
      <c r="DB2" s="5"/>
      <c r="DC2" s="5"/>
      <c r="DD2" s="5"/>
      <c r="DE2" s="5"/>
      <c r="DF2" s="5"/>
      <c r="DG2" s="5"/>
      <c r="DH2" s="5"/>
      <c r="DI2" s="5"/>
      <c r="DJ2" s="5"/>
    </row>
    <row r="3" spans="1:114" ht="29.1" customHeight="1" x14ac:dyDescent="0.2">
      <c r="A3" s="135" t="s">
        <v>0</v>
      </c>
      <c r="B3" s="135" t="s">
        <v>54</v>
      </c>
      <c r="C3" s="135" t="s">
        <v>53</v>
      </c>
      <c r="D3" s="135" t="s">
        <v>996</v>
      </c>
      <c r="E3" s="135" t="s">
        <v>769</v>
      </c>
      <c r="F3" s="135" t="s">
        <v>1</v>
      </c>
      <c r="G3" s="170" t="s">
        <v>243</v>
      </c>
      <c r="H3" s="135" t="s">
        <v>58</v>
      </c>
      <c r="I3" s="135" t="s">
        <v>245</v>
      </c>
      <c r="J3" s="135" t="s">
        <v>244</v>
      </c>
      <c r="K3" s="135" t="s">
        <v>60</v>
      </c>
      <c r="L3" s="135" t="s">
        <v>242</v>
      </c>
      <c r="M3" s="135" t="s">
        <v>62</v>
      </c>
      <c r="N3" s="135" t="s">
        <v>1039</v>
      </c>
      <c r="O3" s="171" t="s">
        <v>72</v>
      </c>
      <c r="P3" s="171" t="s">
        <v>71</v>
      </c>
      <c r="Q3" s="171" t="s">
        <v>70</v>
      </c>
      <c r="R3" s="171" t="s">
        <v>69</v>
      </c>
      <c r="S3" s="171" t="s">
        <v>68</v>
      </c>
      <c r="T3" s="171" t="s">
        <v>63</v>
      </c>
      <c r="U3" s="171" t="s">
        <v>346</v>
      </c>
      <c r="V3" s="171" t="s">
        <v>64</v>
      </c>
      <c r="W3" s="171" t="s">
        <v>65</v>
      </c>
      <c r="X3" s="171" t="s">
        <v>66</v>
      </c>
      <c r="Y3" s="171" t="s">
        <v>67</v>
      </c>
      <c r="Z3" s="171" t="s">
        <v>348</v>
      </c>
      <c r="AA3" s="171" t="s">
        <v>351</v>
      </c>
      <c r="AB3" s="171" t="s">
        <v>74</v>
      </c>
      <c r="AC3" s="171" t="s">
        <v>349</v>
      </c>
      <c r="AD3" s="171" t="s">
        <v>295</v>
      </c>
      <c r="AE3" s="171" t="s">
        <v>75</v>
      </c>
      <c r="AF3" s="171" t="s">
        <v>369</v>
      </c>
      <c r="AG3" s="171" t="s">
        <v>76</v>
      </c>
      <c r="AH3" s="135" t="s">
        <v>361</v>
      </c>
      <c r="AI3" s="135" t="s">
        <v>809</v>
      </c>
      <c r="AJ3" s="135" t="s">
        <v>810</v>
      </c>
      <c r="AK3" s="135" t="s">
        <v>2</v>
      </c>
      <c r="AL3" s="135" t="s">
        <v>7</v>
      </c>
      <c r="AM3" s="135" t="s">
        <v>805</v>
      </c>
      <c r="AN3" s="135" t="s">
        <v>806</v>
      </c>
      <c r="AO3" s="135" t="s">
        <v>807</v>
      </c>
      <c r="AP3" s="135" t="s">
        <v>808</v>
      </c>
      <c r="AQ3" s="135" t="s">
        <v>1028</v>
      </c>
      <c r="AR3" s="135" t="s">
        <v>1029</v>
      </c>
      <c r="AS3" s="135" t="s">
        <v>517</v>
      </c>
      <c r="AT3" s="135" t="s">
        <v>518</v>
      </c>
      <c r="AU3" s="135" t="s">
        <v>770</v>
      </c>
      <c r="AV3" s="135" t="s">
        <v>811</v>
      </c>
      <c r="AW3" s="135" t="s">
        <v>812</v>
      </c>
      <c r="AX3" s="135" t="s">
        <v>771</v>
      </c>
      <c r="AY3" s="170" t="s">
        <v>813</v>
      </c>
      <c r="AZ3" s="135" t="s">
        <v>814</v>
      </c>
      <c r="BA3" s="135" t="s">
        <v>815</v>
      </c>
      <c r="BB3" s="135" t="s">
        <v>816</v>
      </c>
      <c r="BC3" s="135" t="s">
        <v>817</v>
      </c>
      <c r="BD3" s="135" t="s">
        <v>818</v>
      </c>
      <c r="BE3" s="135" t="s">
        <v>819</v>
      </c>
      <c r="BF3" s="135" t="s">
        <v>820</v>
      </c>
      <c r="BG3" s="135" t="s">
        <v>821</v>
      </c>
      <c r="BH3" s="135" t="s">
        <v>822</v>
      </c>
      <c r="BI3" s="135" t="s">
        <v>823</v>
      </c>
      <c r="BJ3" s="135" t="s">
        <v>824</v>
      </c>
      <c r="BK3" s="135" t="s">
        <v>825</v>
      </c>
      <c r="BL3" s="135" t="s">
        <v>826</v>
      </c>
      <c r="BM3" s="135" t="s">
        <v>827</v>
      </c>
      <c r="BN3" s="135" t="s">
        <v>828</v>
      </c>
      <c r="BO3" s="135" t="s">
        <v>829</v>
      </c>
      <c r="BP3" s="135" t="s">
        <v>830</v>
      </c>
      <c r="BQ3" s="172" t="s">
        <v>831</v>
      </c>
      <c r="BR3" s="135" t="s">
        <v>784</v>
      </c>
      <c r="BS3" s="135" t="s">
        <v>785</v>
      </c>
      <c r="BT3" s="135" t="s">
        <v>876</v>
      </c>
      <c r="BU3" s="135" t="s">
        <v>854</v>
      </c>
      <c r="BV3" s="135" t="s">
        <v>786</v>
      </c>
      <c r="BW3" s="135" t="s">
        <v>1011</v>
      </c>
      <c r="BX3" s="135" t="s">
        <v>896</v>
      </c>
      <c r="BY3" s="135" t="s">
        <v>897</v>
      </c>
      <c r="BZ3" s="135" t="s">
        <v>898</v>
      </c>
      <c r="CA3" s="135" t="s">
        <v>899</v>
      </c>
      <c r="CB3" s="135" t="s">
        <v>900</v>
      </c>
      <c r="CC3" s="135" t="s">
        <v>901</v>
      </c>
      <c r="CD3" s="135" t="s">
        <v>902</v>
      </c>
      <c r="CE3" s="135" t="s">
        <v>903</v>
      </c>
      <c r="CF3" s="135" t="s">
        <v>904</v>
      </c>
      <c r="CG3" s="135" t="s">
        <v>905</v>
      </c>
      <c r="CH3" s="135" t="s">
        <v>906</v>
      </c>
      <c r="CI3" s="135" t="s">
        <v>907</v>
      </c>
      <c r="CJ3" s="135" t="s">
        <v>908</v>
      </c>
      <c r="CK3" s="135" t="s">
        <v>909</v>
      </c>
      <c r="CL3" s="135" t="s">
        <v>910</v>
      </c>
      <c r="CM3" s="135" t="s">
        <v>911</v>
      </c>
      <c r="CN3" s="135" t="s">
        <v>912</v>
      </c>
      <c r="CO3" s="135" t="s">
        <v>913</v>
      </c>
      <c r="CP3" s="135" t="s">
        <v>860</v>
      </c>
      <c r="CQ3" s="135" t="s">
        <v>797</v>
      </c>
      <c r="CR3" s="135" t="s">
        <v>798</v>
      </c>
      <c r="CS3" s="135" t="s">
        <v>799</v>
      </c>
      <c r="CT3" s="135" t="s">
        <v>800</v>
      </c>
      <c r="CU3" s="135" t="s">
        <v>801</v>
      </c>
      <c r="CV3" s="135" t="s">
        <v>802</v>
      </c>
      <c r="CW3" s="135" t="s">
        <v>803</v>
      </c>
      <c r="CX3" s="135" t="s">
        <v>257</v>
      </c>
      <c r="CY3" s="135" t="s">
        <v>861</v>
      </c>
      <c r="CZ3" s="135" t="s">
        <v>865</v>
      </c>
      <c r="DA3" s="135" t="s">
        <v>866</v>
      </c>
      <c r="DB3" s="135" t="s">
        <v>867</v>
      </c>
      <c r="DC3" s="135" t="s">
        <v>868</v>
      </c>
      <c r="DD3" s="135" t="s">
        <v>869</v>
      </c>
      <c r="DE3" s="135" t="s">
        <v>870</v>
      </c>
      <c r="DF3" s="135" t="s">
        <v>871</v>
      </c>
      <c r="DG3" s="135" t="s">
        <v>804</v>
      </c>
      <c r="DH3" s="135" t="s">
        <v>294</v>
      </c>
      <c r="DI3" s="135" t="s">
        <v>532</v>
      </c>
      <c r="DJ3" s="135" t="s">
        <v>533</v>
      </c>
    </row>
    <row r="4" spans="1:114" x14ac:dyDescent="0.2">
      <c r="A4" s="175">
        <f>TblRezone[[#This Row],[Hour]]</f>
        <v>1</v>
      </c>
      <c r="B4" s="176">
        <f ca="1">SUM(TblConstr[[#This Row],[Plain]:[Water]])</f>
        <v>0</v>
      </c>
      <c r="C4" s="177">
        <f>SUM(TblConstr[[#This Row],[Tot Hom]:[Tot Doc]])</f>
        <v>50</v>
      </c>
      <c r="D4" s="177">
        <f>SUM(O$4:AG4)</f>
        <v>0</v>
      </c>
      <c r="E4" s="178"/>
      <c r="F4" s="61">
        <f ca="1">TblConstr[[#This Row],[Barren]]+TblConstr[[#This Row],[Buildings]]+TblConstr[[#This Row],[Incoming]]</f>
        <v>50</v>
      </c>
      <c r="G4" s="380">
        <f ca="1">start_plains+TblConstr[[#This Row],[Ch_Plain]]</f>
        <v>0</v>
      </c>
      <c r="H4" s="381">
        <f ca="1">start_forest+TblConstr[[#This Row],[Ch_Forest]]</f>
        <v>0</v>
      </c>
      <c r="I4" s="382">
        <f ca="1">start_mountains+TblConstr[[#This Row],[Ch_Mountain]]</f>
        <v>0</v>
      </c>
      <c r="J4" s="383">
        <f ca="1">start_hills+TblConstr[[#This Row],[Ch_Hill]]</f>
        <v>0</v>
      </c>
      <c r="K4" s="384">
        <f ca="1">start_swamp+TblConstr[[#This Row],[Ch_Swamp]]</f>
        <v>0</v>
      </c>
      <c r="L4" s="385">
        <f ca="1">start_caverns+TblConstr[[#This Row],[Ch_Cavern]]</f>
        <v>0</v>
      </c>
      <c r="M4" s="386">
        <f ca="1">start_water+TblConstr[[#This Row],[Ch_Water]]</f>
        <v>0</v>
      </c>
      <c r="N4" s="357">
        <f>TblRezone[[#This Row],[Hour]]</f>
        <v>1</v>
      </c>
      <c r="O4" s="179"/>
      <c r="P4" s="158"/>
      <c r="Q4" s="179"/>
      <c r="R4" s="179"/>
      <c r="S4" s="179"/>
      <c r="T4" s="179"/>
      <c r="U4" s="179"/>
      <c r="V4" s="179"/>
      <c r="W4" s="179"/>
      <c r="X4" s="158"/>
      <c r="Y4" s="179"/>
      <c r="Z4" s="179"/>
      <c r="AA4" s="179"/>
      <c r="AB4" s="179"/>
      <c r="AC4" s="158"/>
      <c r="AD4" s="179"/>
      <c r="AE4" s="179"/>
      <c r="AF4" s="179"/>
      <c r="AG4" s="158"/>
      <c r="AH4" s="53">
        <f>TblImps[[#This Row],[Time]]</f>
        <v>46047</v>
      </c>
      <c r="AI4" s="180">
        <f ca="1">MIN(25%,(TblConstr[[#This Row],[Tot Fac]]+TblConstr[[#This Row],[Dest Fac]])/(TblConstr[[#This Row],[Land]]-TblExplore[[#This Row],[Land Bonus]]*20))</f>
        <v>0</v>
      </c>
      <c r="AJ4" s="180">
        <f ca="1">MIN(25%,(TblConstr[[#This Row],[Tot Fac]]+TblConstr[[#This Row],[Dest Fac]])/TblConstr[[#This Row],[Land]])</f>
        <v>0</v>
      </c>
      <c r="AK4" s="94">
        <f ca="1">TblProd[[#This Row],[Platinum]]</f>
        <v>50000</v>
      </c>
      <c r="AL4" s="94">
        <f ca="1">TblProd[[#This Row],[Lumber]]</f>
        <v>15000</v>
      </c>
      <c r="AM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4" s="94">
        <f ca="1">ROUNDDOWN( MAX(1 - MIN(facs_constr_factor*TblConstr[[#This Row],[Facs -DB]],facs_constr_max) + tech_1_11*TblTech[[#This Row],[11-1]] + tech_6_3_2*TblTech[[#This Row],[6-3]] + tech_5_2_3*TblTech[[#This Row],[5-2]], 1-global_constr_cap) * TblConstr[[#This Row],[RCPA Lumber]],0)</f>
        <v>31</v>
      </c>
      <c r="AO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4" s="94">
        <f ca="1">ROUNDDOWN( MAX(1 - MIN(facs_constr_factor*TblConstr[[#This Row],[Facs DB]],facs_constr_max) + tech_1_11*TblTech[[#This Row],[1-11]] + tech_6_3_2*TblTech[[#This Row],[6-3]] + tech_5_2_3*TblTech[[#This Row],[5-2]], 1-global_constr_cap) * ROUND((TblConstr[[#This Row],[Land]]-250)*0.285 + 87.5 + 0/4.25,0),0)</f>
        <v>31</v>
      </c>
      <c r="AQ4" s="45">
        <f ca="1">TblConstr[[#This Row],[build -db]]*TblConstr[[#This Row],[CPA Platinum -DB]] + TblConstr[[#This Row],[build db]]*TblConstr[[#This Row],[CPA Platinum DB]]</f>
        <v>0</v>
      </c>
      <c r="AR4" s="387">
        <f ca="1">TblConstr[[#This Row],[build -db]]*TblConstr[[#This Row],[CPA Lumber -DB]] + TblConstr[[#This Row],[build db]]*TblConstr[[#This Row],[CPA Lumber DB]]</f>
        <v>0</v>
      </c>
      <c r="AS4" s="378">
        <f>MIN(SUM(Constants!A30:G30)+SUM(TblConstr[[#This Row],[Dest Hom]:[Dest Doc]]),SUM(TblConstr[[#This Row],[Hom]:[Doc]]))</f>
        <v>0</v>
      </c>
      <c r="AT4" s="387">
        <f>IF(TblExplore[[#This Row],[Land Bonus]]&lt;&gt;0,MAX(0, MIN(20, 20 + SUM(TblConstr[[#This Row],[Hom]:[Doc]]) - SUM(TblConstr[[#This Row],[Dest Hom]:[Dest Doc]]) - SUM(Constants!A$30:G$30)-20*TblExplore[[#This Row],[Land Bonus]])),0)</f>
        <v>0</v>
      </c>
      <c r="AU4" s="142"/>
      <c r="AV4" s="94">
        <f ca="1">ROUND((TblConstr[[#This Row],[Land]]-250 - IF(TblExplore[[#This Row],[Land Bonus]]&lt;&gt;0,20,0))*1.25 + 850 + 0,0)</f>
        <v>600</v>
      </c>
      <c r="AW4" s="94">
        <f ca="1">ROUND((TblConstr[[#This Row],[Land]]-250 - IF(TblExplore[[#This Row],[Land Bonus]]&lt;&gt;0,20,0))*0.285 + 87.5 + 0/4.25,0)</f>
        <v>31</v>
      </c>
      <c r="AX4" s="154"/>
      <c r="AY4" s="388">
        <f>start_homes-TblConstr[[#This Row],[Dest Hom]]</f>
        <v>0</v>
      </c>
      <c r="AZ4" s="380">
        <f>start_alchs-TblConstr[[#This Row],[Dest Alc]]</f>
        <v>0</v>
      </c>
      <c r="BA4" s="389">
        <f>start_farms-TblConstr[[#This Row],[Dest Farm]]</f>
        <v>30</v>
      </c>
      <c r="BB4" s="389">
        <f>start_smithies-TblConstr[[#This Row],[Dest Smi]]</f>
        <v>0</v>
      </c>
      <c r="BC4" s="389">
        <f>start_masons-TblConstr[[#This Row],[Dest Mas]]</f>
        <v>0</v>
      </c>
      <c r="BD4" s="390">
        <f>start_ly-TblConstr[[#This Row],[Dest Ly]]</f>
        <v>20</v>
      </c>
      <c r="BE4" s="390">
        <f>start_havens-TblConstr[[#This Row],[Dest Hav]]</f>
        <v>0</v>
      </c>
      <c r="BF4" s="391">
        <f>start_om-TblConstr[[#This Row],[Dest OM]]</f>
        <v>0</v>
      </c>
      <c r="BG4" s="391">
        <f>start_gn-TblConstr[[#This Row],[Dest GN]]</f>
        <v>0</v>
      </c>
      <c r="BH4" s="383">
        <f>start_facs-TblConstr[[#This Row],[Dest Fac]]</f>
        <v>0</v>
      </c>
      <c r="BI4" s="392">
        <f>start_gt-TblConstr[[#This Row],[Dest GT]]</f>
        <v>0</v>
      </c>
      <c r="BJ4" s="392">
        <f>start_rax-TblConstr[[#This Row],[Dest Bar]]</f>
        <v>0</v>
      </c>
      <c r="BK4" s="392">
        <f>start_shrines-TblConstr[[#This Row],[Dest Shr]]</f>
        <v>0</v>
      </c>
      <c r="BL4" s="393">
        <f>start_towers-TblConstr[[#This Row],[Dest Tow]]</f>
        <v>0</v>
      </c>
      <c r="BM4" s="384">
        <f>start_temples-TblConstr[[#This Row],[Dest Tem]]</f>
        <v>0</v>
      </c>
      <c r="BN4" s="393">
        <f>start_wg-TblConstr[[#This Row],[Dest WG]]</f>
        <v>0</v>
      </c>
      <c r="BO4" s="394">
        <f>start_dm-TblConstr[[#This Row],[Dest DM]]</f>
        <v>0</v>
      </c>
      <c r="BP4" s="394">
        <f>start_schools-TblConstr[[#This Row],[Dest Sch]]</f>
        <v>0</v>
      </c>
      <c r="BQ4" s="386">
        <f>start_docks-TblConstr[[#This Row],[Dest Doc]]</f>
        <v>0</v>
      </c>
      <c r="BR4" s="142"/>
      <c r="BS4" s="154"/>
      <c r="BT4" s="94">
        <f ca="1">TblConstr[[#This Row],[Land]]</f>
        <v>50</v>
      </c>
      <c r="BU4" s="159">
        <f>TblImps[[#This Row],[Time]]</f>
        <v>46047</v>
      </c>
      <c r="BV4" s="142"/>
      <c r="BW4" s="179"/>
      <c r="BX4" s="179"/>
      <c r="BY4" s="179"/>
      <c r="BZ4" s="179"/>
      <c r="CA4" s="179"/>
      <c r="CB4" s="179"/>
      <c r="CC4" s="179"/>
      <c r="CD4" s="179"/>
      <c r="CE4" s="179"/>
      <c r="CF4" s="179"/>
      <c r="CG4" s="179"/>
      <c r="CH4" s="179"/>
      <c r="CI4" s="179"/>
      <c r="CJ4" s="179"/>
      <c r="CK4" s="179"/>
      <c r="CL4" s="179"/>
      <c r="CM4" s="179"/>
      <c r="CN4" s="179"/>
      <c r="CO4" s="179"/>
      <c r="CP4" s="142"/>
      <c r="CQ4" s="181">
        <f ca="1">-SUM(TblConstr[[#This Row],[Alc]:[Mas]])+SUM(TblConstr[[#This Row],[Dest Alc]:[Dest Mas]])+Rezone!L4+IF("Ch_"&amp; home_land=TblConstr[[#Headers],[Ch_Plain]],TblConstr[[#This Row],[Home Land]])+IF(TblConstr[[#This Row],[Hour]:[Hour]]&gt;12,OFFSET(TblExplore[[#This Row],[Plains Explore]],-12,0),0)</f>
        <v>0</v>
      </c>
      <c r="CR4" s="182">
        <f ca="1">-SUM(TblConstr[[#This Row],[Ly]:[Hav]])+SUM(TblConstr[[#This Row],[Dest Ly]:[Dest Hav]]) +Rezone!M4 + IF("Ch_"&amp; home_land=TblConstr[[#Headers],[Ch_Forest]],TblConstr[[#This Row],[Home Land]])+IF(TblConstr[[#This Row],[Hour]:[Hour]]&gt;12,OFFSET(TblExplore[[#This Row],[Forest Explore]],-12,0),0)</f>
        <v>0</v>
      </c>
      <c r="CS4" s="361">
        <f ca="1">-SUM(TblConstr[[#This Row],[OM]:[GN]])+SUM(TblConstr[[#This Row],[Dest OM]:[Dest GN]]) +Rezone!N4 + IF("Ch_"&amp; home_land=TblConstr[[#Headers],[Ch_Mountain]],TblConstr[[#This Row],[Home Land]])+IF(TblConstr[[#This Row],[Hour]:[Hour]]&gt;12,OFFSET(TblExplore[[#This Row],[Mountain Explore]],-12,0),0)</f>
        <v>0</v>
      </c>
      <c r="CT4" s="183">
        <f ca="1">-SUM(TblConstr[[#This Row],[Fac]:[Shr]])+SUM(TblConstr[[#This Row],[Dest Fac]:[Dest Shr]]) +Rezone!O4 + IF("Ch_" &amp; home_land=TblConstr[[#Headers],[Ch_Hill]],TblConstr[[#This Row],[Home Land]])+IF(TblConstr[[#This Row],[Hour]:[Hour]]&gt;12,OFFSET(TblExplore[[#This Row],[Hill Explore]],-12,0),0)</f>
        <v>0</v>
      </c>
      <c r="CU4" s="184">
        <f ca="1">-SUM(TblConstr[[#This Row],[Tow]:[WG]])+SUM(TblConstr[[#This Row],[Dest Tow]:[Dest WG]]) +Rezone!P4 + IF("Ch_" &amp; home_land=TblConstr[[#Headers],[Ch_Swamp]],TblConstr[[#This Row],[Home Land]])+IF(TblConstr[[#This Row],[Hour]:[Hour]]&gt;12,OFFSET(TblExplore[[#This Row],[Swamp Explore]],-12,0),0)</f>
        <v>0</v>
      </c>
      <c r="CV4" s="185">
        <f ca="1" xml:space="preserve"> - SUM(TblConstr[[#This Row],[DM]:[Sch]])+SUM(TblConstr[[#This Row],[Dest DM]:[Dest Sch]]) +Rezone!Q4 + IF("Ch_" &amp; home_land=TblConstr[[#Headers],[Ch_Cavern]],TblConstr[[#This Row],[Home Land]])+IF(TblConstr[[#This Row],[Hour]:[Hour]]&gt;12,OFFSET(TblExplore[[#This Row],[Cavern Explore]],-12,0),0)</f>
        <v>0</v>
      </c>
      <c r="CW4" s="186">
        <f ca="1">-TblConstr[[#This Row],[Doc]]+TblConstr[[#This Row],[Dest Doc]] +Rezone!R4 + IF("Ch_" &amp; home_land=TblConstr[[#Headers],[Ch_Water]],TblConstr[[#This Row],[Home Land]])+IF(TblConstr[[#This Row],[Hour]:[Hour]]&gt;12,OFFSET(TblExplore[[#This Row],[Water Explore]],-12,0),0)</f>
        <v>0</v>
      </c>
      <c r="CX4" s="45">
        <f>IF(Explore!S4=1,20) - TblConstr[[#This Row],[Hom]] + TblConstr[[#This Row],[Dest Hom]]</f>
        <v>0</v>
      </c>
      <c r="CY4" s="142"/>
      <c r="CZ4" s="94">
        <f ca="1">G4+SUM(P$4:S4)+SUM(AZ4:BC4)</f>
        <v>30</v>
      </c>
      <c r="DA4" s="94">
        <f ca="1">H4+SUM(T$4:U4)+SUM(BD4:BE4)</f>
        <v>20</v>
      </c>
      <c r="DB4" s="45">
        <f ca="1">I4+SUM(V$4:W4)+SUM(BF4:BG4)</f>
        <v>0</v>
      </c>
      <c r="DC4" s="94">
        <f ca="1">J4+SUM(X$4:Y4)+SUM(BH4:BI4)</f>
        <v>0</v>
      </c>
      <c r="DD4" s="94">
        <f ca="1">K4+SUM(AB$4:AD4)+SUM(BL4:BN4)</f>
        <v>0</v>
      </c>
      <c r="DE4" s="45">
        <f ca="1">L4+SUM(AE$4:AE4)+BO4</f>
        <v>0</v>
      </c>
      <c r="DF4" s="94">
        <f ca="1">M4+SUM(AG$4:AG4)+BQ4</f>
        <v>0</v>
      </c>
      <c r="DG4" s="45" cm="1">
        <f t="array" aca="1" ref="DG4" ca="1">INDEX(TblConstr[[Total Plain]:[Total Water]],ROW()-ROW(TblConstr[#Headers]),MATCH("Total "&amp;home_land,TblConstr[[#Headers],[Total Plain]:[Total Water]],0))+TblConstr[[#This Row],[Homes]]</f>
        <v>30</v>
      </c>
      <c r="DH4" s="45">
        <f>SUM(O$4:O4)+AY4</f>
        <v>0</v>
      </c>
      <c r="DI4" s="94">
        <v>0</v>
      </c>
      <c r="DJ4" s="45">
        <v>0</v>
      </c>
    </row>
    <row r="5" spans="1:114" hidden="1" x14ac:dyDescent="0.2">
      <c r="A5" s="175">
        <f>TblRezone[[#This Row],[Hour]]</f>
        <v>2</v>
      </c>
      <c r="B5" s="176">
        <f ca="1">SUM(TblConstr[[#This Row],[Plain]:[Water]])</f>
        <v>0</v>
      </c>
      <c r="C5" s="177">
        <f ca="1">SUM(TblConstr[[#This Row],[Tot Hom]:[Tot Doc]])</f>
        <v>50</v>
      </c>
      <c r="D5" s="177">
        <f>SUM(O$4:AG5)</f>
        <v>0</v>
      </c>
      <c r="E5" s="178"/>
      <c r="F5" s="61">
        <f ca="1">TblConstr[[#This Row],[Barren]]+TblConstr[[#This Row],[Buildings]]+TblConstr[[#This Row],[Incoming]]</f>
        <v>50</v>
      </c>
      <c r="G5" s="187">
        <f ca="1">OFFSET(TblConstr[[#This Row],[Plain]],-1,0)+TblConstr[[#This Row],[Ch_Plain]]</f>
        <v>0</v>
      </c>
      <c r="H5" s="182">
        <f ca="1">OFFSET(TblConstr[[#This Row],[Forest]],-1,0)+TblConstr[[#This Row],[Ch_Forest]]</f>
        <v>0</v>
      </c>
      <c r="I5" s="359">
        <f ca="1">OFFSET(TblConstr[[#This Row],[Mountain]],-1,0)+TblConstr[[#This Row],[Ch_Mountain]]</f>
        <v>0</v>
      </c>
      <c r="J5" s="363">
        <f ca="1">OFFSET(TblConstr[[#This Row],[Hill]],-1,0)+TblConstr[[#This Row],[Ch_Hill]]</f>
        <v>0</v>
      </c>
      <c r="K5" s="367">
        <f ca="1">OFFSET(TblConstr[[#This Row],[Swamp]],-1,0)+TblConstr[[#This Row],[Ch_Swamp]]</f>
        <v>0</v>
      </c>
      <c r="L5" s="185">
        <f ca="1">OFFSET(TblConstr[[#This Row],[Cavern]],-1,0)+TblConstr[[#This Row],[Ch_Cavern]]</f>
        <v>0</v>
      </c>
      <c r="M5" s="186">
        <f ca="1">OFFSET(TblConstr[[#This Row],[Water]],-1,0)+TblConstr[[#This Row],[Ch_Water]]</f>
        <v>0</v>
      </c>
      <c r="N5" s="357">
        <f>TblRezone[[#This Row],[Hour]]</f>
        <v>2</v>
      </c>
      <c r="AH5" s="53">
        <f ca="1">TblImps[[#This Row],[Time]]</f>
        <v>46047.041666666664</v>
      </c>
      <c r="AI5" s="180">
        <f ca="1">MIN(25%,(TblConstr[[#This Row],[Tot Fac]]+TblConstr[[#This Row],[Dest Fac]])/(TblConstr[[#This Row],[Land]]-TblExplore[[#This Row],[Land Bonus]]*20))</f>
        <v>0</v>
      </c>
      <c r="AJ5" s="180">
        <f ca="1">MIN(25%,(TblConstr[[#This Row],[Tot Fac]]+TblConstr[[#This Row],[Dest Fac]])/TblConstr[[#This Row],[Land]])</f>
        <v>0</v>
      </c>
      <c r="AK5" s="94">
        <f ca="1">TblProd[[#This Row],[Platinum]]</f>
        <v>51266</v>
      </c>
      <c r="AL5" s="94">
        <f ca="1">TblProd[[#This Row],[Lumber]]</f>
        <v>15850</v>
      </c>
      <c r="AM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5" s="94">
        <f ca="1">ROUNDDOWN( MAX(1 - MIN(facs_constr_factor*TblConstr[[#This Row],[Facs -DB]],facs_constr_max) + tech_1_11*TblTech[[#This Row],[11-1]] + tech_6_3_2*TblTech[[#This Row],[6-3]] + tech_5_2_3*TblTech[[#This Row],[5-2]], 1-global_constr_cap) * TblConstr[[#This Row],[RCPA Lumber]],0)</f>
        <v>31</v>
      </c>
      <c r="AO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5" s="94">
        <f ca="1">ROUNDDOWN( MAX(1 - MIN(facs_constr_factor*TblConstr[[#This Row],[Facs DB]],facs_constr_max) + tech_1_11*TblTech[[#This Row],[1-11]] + tech_6_3_2*TblTech[[#This Row],[6-3]] + tech_5_2_3*TblTech[[#This Row],[5-2]], 1-global_constr_cap) * ROUND((TblConstr[[#This Row],[Land]]-250)*0.285 + 87.5 + 0/4.25,0),0)</f>
        <v>31</v>
      </c>
      <c r="AQ5" s="45">
        <f ca="1">TblConstr[[#This Row],[build -db]]*TblConstr[[#This Row],[CPA Platinum -DB]] + TblConstr[[#This Row],[build db]]*TblConstr[[#This Row],[CPA Platinum DB]]</f>
        <v>0</v>
      </c>
      <c r="AR5" s="45">
        <f ca="1">TblConstr[[#This Row],[build -db]]*TblConstr[[#This Row],[CPA Lumber -DB]] + TblConstr[[#This Row],[build db]]*TblConstr[[#This Row],[CPA Lumber DB]]</f>
        <v>0</v>
      </c>
      <c r="AS5" s="94">
        <f ca="1">MIN(SUM(OFFSET(TblConstr[[#This Row],[Plain]:[Water]],-1,0))+SUM(TblConstr[[#This Row],[Dest Hom]:[Dest Doc]])+IF(TblConstr[[#This Row],[Hour]]&gt;12,SUM(OFFSET(TblExplore[[#This Row],[Plains Explore]:[Water Explore]],-12,0)),0),SUM(TblConstr[[#This Row],[Hom]:[Doc]]))</f>
        <v>0</v>
      </c>
      <c r="AT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 s="142"/>
      <c r="AV5" s="94">
        <f ca="1">ROUND((TblConstr[[#This Row],[Land]]-250 - IF(TblExplore[[#This Row],[Land Bonus]]&lt;&gt;0,20,0))*1.25 + 850 + 0,0)</f>
        <v>600</v>
      </c>
      <c r="AW5" s="94">
        <f ca="1">ROUND((TblConstr[[#This Row],[Land]]-250 - IF(TblExplore[[#This Row],[Land Bonus]]&lt;&gt;0,20,0))*0.285 + 87.5 + 0/4.25,0)</f>
        <v>31</v>
      </c>
      <c r="AX5" s="154"/>
      <c r="AY5" s="188" cm="1">
        <f t="array" aca="1" ref="AY5" ca="1">IF(TblConstr[[#This Row],[Hour]:[Hour]]&gt;12,OFFSET(TblConstr[[#This Row],[Hom]],-12,0),0)+OFFSET(TblConstr[[#This Row],[Tot Hom]],-1,0)-TblConstr[[#This Row],[Dest Hom]]</f>
        <v>0</v>
      </c>
      <c r="AZ5" s="189" cm="1">
        <f t="array" aca="1" ref="AZ5" ca="1">IF(TblConstr[[#This Row],[Hour]:[Hour]]&gt;12,OFFSET(TblConstr[[#This Row],[Alc]],-12,0),0)+OFFSET(TblConstr[[#This Row],[Tot Alc]],-1,0)-TblConstr[[#This Row],[Dest Alc]]</f>
        <v>0</v>
      </c>
      <c r="BA5" s="189" cm="1">
        <f t="array" aca="1" ref="BA5" ca="1">IF(TblConstr[[#This Row],[Hour]:[Hour]]&gt;12,OFFSET(TblConstr[[#This Row],[Far]],-12,0),0)+OFFSET(TblConstr[[#This Row],[Tot Farm]],-1,0)-TblConstr[[#This Row],[Dest Farm]]</f>
        <v>30</v>
      </c>
      <c r="BB5" s="189" cm="1">
        <f t="array" aca="1" ref="BB5" ca="1">IF(TblConstr[[#This Row],[Hour]:[Hour]]&gt;12,OFFSET(TblConstr[[#This Row],[Smi]],-12,0),0)+OFFSET(TblConstr[[#This Row],[Tot Smi]],-1,0)-TblConstr[[#This Row],[Dest Smi]]</f>
        <v>0</v>
      </c>
      <c r="BC5" s="189" cm="1">
        <f t="array" aca="1" ref="BC5" ca="1">IF(TblConstr[[#This Row],[Hour]:[Hour]]&gt;12,OFFSET(TblConstr[[#This Row],[Mas]],-12,0),0)+OFFSET(TblConstr[[#This Row],[Tot Mas]],-1,0)-TblConstr[[#This Row],[Dest Mas]]</f>
        <v>0</v>
      </c>
      <c r="BD5" s="190" cm="1">
        <f t="array" aca="1" ref="BD5" ca="1">IF(TblConstr[[#This Row],[Hour]:[Hour]]&gt;12,OFFSET(TblConstr[[#This Row],[Ly]],-12,0),0)+OFFSET(TblConstr[[#This Row],[Tot Ly]],-1,0)-TblConstr[[#This Row],[Dest Ly]]</f>
        <v>20</v>
      </c>
      <c r="BE5" s="190" cm="1">
        <f t="array" aca="1" ref="BE5" ca="1">IF(TblConstr[[#This Row],[Hour]:[Hour]]&gt;12,OFFSET(TblConstr[[#This Row],[Hav]],-12,0),0)+OFFSET(TblConstr[[#This Row],[Tot Hav]],-1,0)-TblConstr[[#This Row],[Dest Hav]]</f>
        <v>0</v>
      </c>
      <c r="BF5" s="361" cm="1">
        <f t="array" aca="1" ref="BF5" ca="1">IF(TblConstr[[#This Row],[Hour]:[Hour]]&gt;12,OFFSET(TblConstr[[#This Row],[OM]],-12,0),0)+OFFSET(TblConstr[[#This Row],[Tot OM]],-1,0)-TblConstr[[#This Row],[Dest OM]]</f>
        <v>0</v>
      </c>
      <c r="BG5" s="361" cm="1">
        <f t="array" aca="1" ref="BG5" ca="1">IF(TblConstr[[#This Row],[Hour]:[Hour]]&gt;12,OFFSET(TblConstr[[#This Row],[GN]],-12,0),0)+OFFSET(TblConstr[[#This Row],[Tot GN]],-1,0)-TblConstr[[#This Row],[Dest GN]]</f>
        <v>0</v>
      </c>
      <c r="BH5" s="365" cm="1">
        <f t="array" aca="1" ref="BH5" ca="1">IF(TblConstr[[#This Row],[Hour]:[Hour]]&gt;12,OFFSET(TblConstr[[#This Row],[Fac]],-12,0),0)+OFFSET(TblConstr[[#This Row],[Tot Fac]],-1,0)-TblConstr[[#This Row],[Dest Fac]]</f>
        <v>0</v>
      </c>
      <c r="BI5" s="365" cm="1">
        <f t="array" aca="1" ref="BI5" ca="1">IF(TblConstr[[#This Row],[Hour]:[Hour]]&gt;12,OFFSET(TblConstr[[#This Row],[GT]],-12,0),0)+OFFSET(TblConstr[[#This Row],[Tot GT]],-1,0)-TblConstr[[#This Row],[Dest GT]]</f>
        <v>0</v>
      </c>
      <c r="BJ5" s="365" cm="1">
        <f t="array" aca="1" ref="BJ5" ca="1">IF(TblConstr[[#This Row],[Hour]:[Hour]]&gt;12,OFFSET(TblConstr[[#This Row],[Bar]],-12,0),0)+OFFSET(TblConstr[[#This Row],[Tot Bar]],-1,0)-TblConstr[[#This Row],[Dest Bar]]</f>
        <v>0</v>
      </c>
      <c r="BK5" s="365" cm="1">
        <f t="array" aca="1" ref="BK5" ca="1">IF(TblConstr[[#This Row],[Hour]:[Hour]]&gt;12,OFFSET(TblConstr[[#This Row],[Shr]],-12,0),0)+OFFSET(TblConstr[[#This Row],[Tot Shr]],-1,0)-TblConstr[[#This Row],[Dest Shr]]</f>
        <v>0</v>
      </c>
      <c r="BL5" s="369" cm="1">
        <f t="array" aca="1" ref="BL5" ca="1">IF(TblConstr[[#This Row],[Hour]:[Hour]]&gt;12,OFFSET(TblConstr[[#This Row],[Tow]],-12,0),0)+OFFSET(TblConstr[[#This Row],[Tot Tow]],-1,0)-TblConstr[[#This Row],[Dest Tow]]</f>
        <v>0</v>
      </c>
      <c r="BM5" s="369" cm="1">
        <f t="array" aca="1" ref="BM5" ca="1">IF(TblConstr[[#This Row],[Hour]:[Hour]]&gt;12,OFFSET(TblConstr[[#This Row],[Tem]],-12,0),0)+OFFSET(TblConstr[[#This Row],[Tot Tem]],-1,0)-TblConstr[[#This Row],[Dest Tem]]</f>
        <v>0</v>
      </c>
      <c r="BN5" s="369" cm="1">
        <f t="array" aca="1" ref="BN5" ca="1">IF(TblConstr[[#This Row],[Hour]:[Hour]]&gt;12,OFFSET(TblConstr[[#This Row],[WG]],-12,0),0)+OFFSET(TblConstr[[#This Row],[Tot WG]],-1,0)-TblConstr[[#This Row],[Dest WG]]</f>
        <v>0</v>
      </c>
      <c r="BO5" s="191" cm="1">
        <f t="array" aca="1" ref="BO5" ca="1">IF(TblConstr[[#This Row],[Hour]:[Hour]]&gt;12,OFFSET(TblConstr[[#This Row],[DM]],-12,0),0)+OFFSET(TblConstr[[#This Row],[Tot DM]],-1,0)-TblConstr[[#This Row],[Dest DM]]</f>
        <v>0</v>
      </c>
      <c r="BP5" s="191" cm="1">
        <f t="array" aca="1" ref="BP5" ca="1">IF(TblConstr[[#This Row],[Hour]:[Hour]]&gt;12,OFFSET(TblConstr[[#This Row],[Sch]],-12,0),0)+OFFSET(TblConstr[[#This Row],[Tot Sch]],-1,0)-TblConstr[[#This Row],[Dest Sch]]</f>
        <v>0</v>
      </c>
      <c r="BQ5" s="192" cm="1">
        <f t="array" aca="1" ref="BQ5" ca="1">IF(TblConstr[[#This Row],[Hour]:[Hour]]&gt;12,OFFSET(TblConstr[[#This Row],[Doc]],-12,0),0)+OFFSET(TblConstr[[#This Row],[Tot Doc]],-1,0)-TblConstr[[#This Row],[Dest Doc]]</f>
        <v>0</v>
      </c>
      <c r="BR5" s="142"/>
      <c r="BS5" s="154"/>
      <c r="BT5" s="94">
        <f ca="1">TblConstr[[#This Row],[Land]]</f>
        <v>50</v>
      </c>
      <c r="BU5" s="159">
        <f ca="1">TblImps[[#This Row],[Time]]</f>
        <v>46047.041666666664</v>
      </c>
      <c r="BV5" s="142"/>
      <c r="CP5" s="142"/>
      <c r="CQ5" s="181">
        <f ca="1">-SUM(TblConstr[[#This Row],[Alc]:[Mas]])+SUM(TblConstr[[#This Row],[Dest Alc]:[Dest Mas]])+Rezone!L5+IF("Ch_"&amp; home_land=TblConstr[[#Headers],[Ch_Plain]],TblConstr[[#This Row],[Home Land]])+IF(TblConstr[[#This Row],[Hour]:[Hour]]&gt;12,OFFSET(TblExplore[[#This Row],[Plains Explore]],-12,0),0)</f>
        <v>0</v>
      </c>
      <c r="CR5" s="182">
        <f ca="1">-SUM(TblConstr[[#This Row],[Ly]:[Hav]])+SUM(TblConstr[[#This Row],[Dest Ly]:[Dest Hav]]) +Rezone!M5 + IF("Ch_"&amp; home_land=TblConstr[[#Headers],[Ch_Forest]],TblConstr[[#This Row],[Home Land]])+IF(TblConstr[[#This Row],[Hour]:[Hour]]&gt;12,OFFSET(TblExplore[[#This Row],[Forest Explore]],-12,0),0)</f>
        <v>0</v>
      </c>
      <c r="CS5" s="359">
        <f ca="1">-SUM(TblConstr[[#This Row],[OM]:[GN]])+SUM(TblConstr[[#This Row],[Dest OM]:[Dest GN]]) +Rezone!N5 + IF("Ch_"&amp; home_land=TblConstr[[#Headers],[Ch_Mountain]],TblConstr[[#This Row],[Home Land]])+IF(TblConstr[[#This Row],[Hour]:[Hour]]&gt;12,OFFSET(TblExplore[[#This Row],[Mountain Explore]],-12,0),0)</f>
        <v>0</v>
      </c>
      <c r="CT5" s="183">
        <f ca="1">-SUM(TblConstr[[#This Row],[Fac]:[Shr]])+SUM(TblConstr[[#This Row],[Dest Fac]:[Dest Shr]]) +Rezone!O5 + IF("Ch_" &amp; home_land=TblConstr[[#Headers],[Ch_Hill]],TblConstr[[#This Row],[Home Land]])+IF(TblConstr[[#This Row],[Hour]:[Hour]]&gt;12,OFFSET(TblExplore[[#This Row],[Hill Explore]],-12,0),0)</f>
        <v>0</v>
      </c>
      <c r="CU5" s="184">
        <f ca="1">-SUM(TblConstr[[#This Row],[Tow]:[WG]])+SUM(TblConstr[[#This Row],[Dest Tow]:[Dest WG]]) +Rezone!P5 + IF("Ch_" &amp; home_land=TblConstr[[#Headers],[Ch_Swamp]],TblConstr[[#This Row],[Home Land]])+IF(TblConstr[[#This Row],[Hour]:[Hour]]&gt;12,OFFSET(TblExplore[[#This Row],[Swamp Explore]],-12,0),0)</f>
        <v>0</v>
      </c>
      <c r="CV5" s="185">
        <f ca="1" xml:space="preserve"> - SUM(TblConstr[[#This Row],[DM]:[Sch]])+SUM(TblConstr[[#This Row],[Dest DM]:[Dest Sch]]) +Rezone!Q5 + IF("Ch_" &amp; home_land=TblConstr[[#Headers],[Ch_Cavern]],TblConstr[[#This Row],[Home Land]])+IF(TblConstr[[#This Row],[Hour]:[Hour]]&gt;12,OFFSET(TblExplore[[#This Row],[Cavern Explore]],-12,0),0)</f>
        <v>0</v>
      </c>
      <c r="CW5" s="186">
        <f ca="1">-TblConstr[[#This Row],[Doc]]+TblConstr[[#This Row],[Dest Doc]] +Rezone!R5 + IF("Ch_" &amp; home_land=TblConstr[[#Headers],[Ch_Water]],TblConstr[[#This Row],[Home Land]])+IF(TblConstr[[#This Row],[Hour]:[Hour]]&gt;12,OFFSET(TblExplore[[#This Row],[Water Explore]],-12,0),0)</f>
        <v>0</v>
      </c>
      <c r="CX5" s="45">
        <f>IF(Explore!S5=1,20) - TblConstr[[#This Row],[Hom]] + TblConstr[[#This Row],[Dest Hom]]</f>
        <v>0</v>
      </c>
      <c r="CY5" s="142"/>
      <c r="CZ5" s="94">
        <f ca="1">G5+SUM(P$4:S5)+SUM(AZ5:BC5)</f>
        <v>30</v>
      </c>
      <c r="DA5" s="94">
        <f ca="1">H5+SUM(T$4:U5)+SUM(BD5:BE5)</f>
        <v>20</v>
      </c>
      <c r="DB5" s="45">
        <f ca="1">I5+SUM(V$4:W5)+SUM(BF5:BG5)</f>
        <v>0</v>
      </c>
      <c r="DC5" s="94">
        <f ca="1">J5+SUM(X$4:Y5)+SUM(BH5:BI5)</f>
        <v>0</v>
      </c>
      <c r="DD5" s="94">
        <f ca="1">K5+SUM(AB$4:AD5)+SUM(BL5:BN5)</f>
        <v>0</v>
      </c>
      <c r="DE5" s="45">
        <f ca="1">L5+SUM(AE$4:AE5)+BO5</f>
        <v>0</v>
      </c>
      <c r="DF5" s="94">
        <f ca="1">M5+SUM(AG$4:AG5)+BQ5</f>
        <v>0</v>
      </c>
      <c r="DG5" s="94" cm="1">
        <f t="array" aca="1" ref="DG5" ca="1">INDEX(TblConstr[[Total Plain]:[Total Water]],ROW()-ROW(TblConstr[#Headers]),MATCH("Total "&amp;home_land,TblConstr[[#Headers],[Total Plain]:[Total Water]],0))+TblConstr[[#This Row],[Homes]]</f>
        <v>30</v>
      </c>
      <c r="DH5" s="45">
        <f ca="1">SUM(O$4:O5)+AY5</f>
        <v>0</v>
      </c>
      <c r="DI5" s="94">
        <f ca="1">MAX(BA5-BA4,0)</f>
        <v>0</v>
      </c>
      <c r="DJ5" s="45">
        <f ca="1">MAX(BQ5-BQ4,0)</f>
        <v>0</v>
      </c>
    </row>
    <row r="6" spans="1:114" hidden="1" x14ac:dyDescent="0.2">
      <c r="A6" s="175">
        <f>TblRezone[[#This Row],[Hour]]</f>
        <v>3</v>
      </c>
      <c r="B6" s="176">
        <f ca="1">SUM(TblConstr[[#This Row],[Plain]:[Water]])</f>
        <v>0</v>
      </c>
      <c r="C6" s="177">
        <f ca="1">SUM(TblConstr[[#This Row],[Tot Hom]:[Tot Doc]])</f>
        <v>50</v>
      </c>
      <c r="D6" s="177">
        <f>SUM(O$4:AG6)</f>
        <v>0</v>
      </c>
      <c r="E6" s="178"/>
      <c r="F6" s="61">
        <f ca="1">TblConstr[[#This Row],[Barren]]+TblConstr[[#This Row],[Buildings]]+TblConstr[[#This Row],[Incoming]]</f>
        <v>50</v>
      </c>
      <c r="G6" s="187">
        <f ca="1">OFFSET(TblConstr[[#This Row],[Plain]],-1,0)+TblConstr[[#This Row],[Ch_Plain]]</f>
        <v>0</v>
      </c>
      <c r="H6" s="182">
        <f ca="1">OFFSET(TblConstr[[#This Row],[Forest]],-1,0)+TblConstr[[#This Row],[Ch_Forest]]</f>
        <v>0</v>
      </c>
      <c r="I6" s="359">
        <f ca="1">OFFSET(TblConstr[[#This Row],[Mountain]],-1,0)+TblConstr[[#This Row],[Ch_Mountain]]</f>
        <v>0</v>
      </c>
      <c r="J6" s="363">
        <f ca="1">OFFSET(TblConstr[[#This Row],[Hill]],-1,0)+TblConstr[[#This Row],[Ch_Hill]]</f>
        <v>0</v>
      </c>
      <c r="K6" s="367">
        <f ca="1">OFFSET(TblConstr[[#This Row],[Swamp]],-1,0)+TblConstr[[#This Row],[Ch_Swamp]]</f>
        <v>0</v>
      </c>
      <c r="L6" s="185">
        <f ca="1">OFFSET(TblConstr[[#This Row],[Cavern]],-1,0)+TblConstr[[#This Row],[Ch_Cavern]]</f>
        <v>0</v>
      </c>
      <c r="M6" s="186">
        <f ca="1">OFFSET(TblConstr[[#This Row],[Water]],-1,0)+TblConstr[[#This Row],[Ch_Water]]</f>
        <v>0</v>
      </c>
      <c r="N6" s="357">
        <f>TblRezone[[#This Row],[Hour]]</f>
        <v>3</v>
      </c>
      <c r="AH6" s="53">
        <f ca="1">TblImps[[#This Row],[Time]]</f>
        <v>46047.083333333328</v>
      </c>
      <c r="AI6" s="180">
        <f ca="1">MIN(25%,(TblConstr[[#This Row],[Tot Fac]]+TblConstr[[#This Row],[Dest Fac]])/(TblConstr[[#This Row],[Land]]-TblExplore[[#This Row],[Land Bonus]]*20))</f>
        <v>0</v>
      </c>
      <c r="AJ6" s="180">
        <f ca="1">MIN(25%,(TblConstr[[#This Row],[Tot Fac]]+TblConstr[[#This Row],[Dest Fac]])/TblConstr[[#This Row],[Land]])</f>
        <v>0</v>
      </c>
      <c r="AK6" s="94">
        <f ca="1">TblProd[[#This Row],[Platinum]]</f>
        <v>52556</v>
      </c>
      <c r="AL6" s="94">
        <f ca="1">TblProd[[#This Row],[Lumber]]</f>
        <v>16692</v>
      </c>
      <c r="AM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6" s="94">
        <f ca="1">ROUNDDOWN( MAX(1 - MIN(facs_constr_factor*TblConstr[[#This Row],[Facs -DB]],facs_constr_max) + tech_1_11*TblTech[[#This Row],[11-1]] + tech_6_3_2*TblTech[[#This Row],[6-3]] + tech_5_2_3*TblTech[[#This Row],[5-2]], 1-global_constr_cap) * TblConstr[[#This Row],[RCPA Lumber]],0)</f>
        <v>31</v>
      </c>
      <c r="AO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6" s="94">
        <f ca="1">ROUNDDOWN( MAX(1 - MIN(facs_constr_factor*TblConstr[[#This Row],[Facs DB]],facs_constr_max) + tech_1_11*TblTech[[#This Row],[1-11]] + tech_6_3_2*TblTech[[#This Row],[6-3]] + tech_5_2_3*TblTech[[#This Row],[5-2]], 1-global_constr_cap) * ROUND((TblConstr[[#This Row],[Land]]-250)*0.285 + 87.5 + 0/4.25,0),0)</f>
        <v>31</v>
      </c>
      <c r="AQ6" s="45">
        <f ca="1">TblConstr[[#This Row],[build -db]]*TblConstr[[#This Row],[CPA Platinum -DB]] + TblConstr[[#This Row],[build db]]*TblConstr[[#This Row],[CPA Platinum DB]]</f>
        <v>0</v>
      </c>
      <c r="AR6" s="45">
        <f ca="1">TblConstr[[#This Row],[build -db]]*TblConstr[[#This Row],[CPA Lumber -DB]] + TblConstr[[#This Row],[build db]]*TblConstr[[#This Row],[CPA Lumber DB]]</f>
        <v>0</v>
      </c>
      <c r="AS6" s="94">
        <f ca="1">MIN(SUM(OFFSET(TblConstr[[#This Row],[Plain]:[Water]],-1,0))+SUM(TblConstr[[#This Row],[Dest Hom]:[Dest Doc]])+IF(TblConstr[[#This Row],[Hour]]&gt;12,SUM(OFFSET(TblExplore[[#This Row],[Plains Explore]:[Water Explore]],-12,0)),0),SUM(TblConstr[[#This Row],[Hom]:[Doc]]))</f>
        <v>0</v>
      </c>
      <c r="AT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 s="142"/>
      <c r="AV6" s="94">
        <f ca="1">ROUND((TblConstr[[#This Row],[Land]]-250 - IF(TblExplore[[#This Row],[Land Bonus]]&lt;&gt;0,20,0))*1.25 + 850 + 0,0)</f>
        <v>600</v>
      </c>
      <c r="AW6" s="94">
        <f ca="1">ROUND((TblConstr[[#This Row],[Land]]-250 - IF(TblExplore[[#This Row],[Land Bonus]]&lt;&gt;0,20,0))*0.285 + 87.5 + 0/4.25,0)</f>
        <v>31</v>
      </c>
      <c r="AX6" s="154"/>
      <c r="AY6" s="188" cm="1">
        <f t="array" aca="1" ref="AY6" ca="1">IF(TblConstr[[#This Row],[Hour]:[Hour]]&gt;12,OFFSET(TblConstr[[#This Row],[Hom]],-12,0),0)+OFFSET(TblConstr[[#This Row],[Tot Hom]],-1,0)-TblConstr[[#This Row],[Dest Hom]]</f>
        <v>0</v>
      </c>
      <c r="AZ6" s="189" cm="1">
        <f t="array" aca="1" ref="AZ6" ca="1">IF(TblConstr[[#This Row],[Hour]:[Hour]]&gt;12,OFFSET(TblConstr[[#This Row],[Alc]],-12,0),0)+OFFSET(TblConstr[[#This Row],[Tot Alc]],-1,0)-TblConstr[[#This Row],[Dest Alc]]</f>
        <v>0</v>
      </c>
      <c r="BA6" s="189" cm="1">
        <f t="array" aca="1" ref="BA6" ca="1">IF(TblConstr[[#This Row],[Hour]:[Hour]]&gt;12,OFFSET(TblConstr[[#This Row],[Far]],-12,0),0)+OFFSET(TblConstr[[#This Row],[Tot Farm]],-1,0)-TblConstr[[#This Row],[Dest Farm]]</f>
        <v>30</v>
      </c>
      <c r="BB6" s="189" cm="1">
        <f t="array" aca="1" ref="BB6" ca="1">IF(TblConstr[[#This Row],[Hour]:[Hour]]&gt;12,OFFSET(TblConstr[[#This Row],[Smi]],-12,0),0)+OFFSET(TblConstr[[#This Row],[Tot Smi]],-1,0)-TblConstr[[#This Row],[Dest Smi]]</f>
        <v>0</v>
      </c>
      <c r="BC6" s="189" cm="1">
        <f t="array" aca="1" ref="BC6" ca="1">IF(TblConstr[[#This Row],[Hour]:[Hour]]&gt;12,OFFSET(TblConstr[[#This Row],[Mas]],-12,0),0)+OFFSET(TblConstr[[#This Row],[Tot Mas]],-1,0)-TblConstr[[#This Row],[Dest Mas]]</f>
        <v>0</v>
      </c>
      <c r="BD6" s="190" cm="1">
        <f t="array" aca="1" ref="BD6" ca="1">IF(TblConstr[[#This Row],[Hour]:[Hour]]&gt;12,OFFSET(TblConstr[[#This Row],[Ly]],-12,0),0)+OFFSET(TblConstr[[#This Row],[Tot Ly]],-1,0)-TblConstr[[#This Row],[Dest Ly]]</f>
        <v>20</v>
      </c>
      <c r="BE6" s="190" cm="1">
        <f t="array" aca="1" ref="BE6" ca="1">IF(TblConstr[[#This Row],[Hour]:[Hour]]&gt;12,OFFSET(TblConstr[[#This Row],[Hav]],-12,0),0)+OFFSET(TblConstr[[#This Row],[Tot Hav]],-1,0)-TblConstr[[#This Row],[Dest Hav]]</f>
        <v>0</v>
      </c>
      <c r="BF6" s="361" cm="1">
        <f t="array" aca="1" ref="BF6" ca="1">IF(TblConstr[[#This Row],[Hour]:[Hour]]&gt;12,OFFSET(TblConstr[[#This Row],[OM]],-12,0),0)+OFFSET(TblConstr[[#This Row],[Tot OM]],-1,0)-TblConstr[[#This Row],[Dest OM]]</f>
        <v>0</v>
      </c>
      <c r="BG6" s="361" cm="1">
        <f t="array" aca="1" ref="BG6" ca="1">IF(TblConstr[[#This Row],[Hour]:[Hour]]&gt;12,OFFSET(TblConstr[[#This Row],[GN]],-12,0),0)+OFFSET(TblConstr[[#This Row],[Tot GN]],-1,0)-TblConstr[[#This Row],[Dest GN]]</f>
        <v>0</v>
      </c>
      <c r="BH6" s="365" cm="1">
        <f t="array" aca="1" ref="BH6" ca="1">IF(TblConstr[[#This Row],[Hour]:[Hour]]&gt;12,OFFSET(TblConstr[[#This Row],[Fac]],-12,0),0)+OFFSET(TblConstr[[#This Row],[Tot Fac]],-1,0)-TblConstr[[#This Row],[Dest Fac]]</f>
        <v>0</v>
      </c>
      <c r="BI6" s="365" cm="1">
        <f t="array" aca="1" ref="BI6" ca="1">IF(TblConstr[[#This Row],[Hour]:[Hour]]&gt;12,OFFSET(TblConstr[[#This Row],[GT]],-12,0),0)+OFFSET(TblConstr[[#This Row],[Tot GT]],-1,0)-TblConstr[[#This Row],[Dest GT]]</f>
        <v>0</v>
      </c>
      <c r="BJ6" s="365" cm="1">
        <f t="array" aca="1" ref="BJ6" ca="1">IF(TblConstr[[#This Row],[Hour]:[Hour]]&gt;12,OFFSET(TblConstr[[#This Row],[Bar]],-12,0),0)+OFFSET(TblConstr[[#This Row],[Tot Bar]],-1,0)-TblConstr[[#This Row],[Dest Bar]]</f>
        <v>0</v>
      </c>
      <c r="BK6" s="365" cm="1">
        <f t="array" aca="1" ref="BK6" ca="1">IF(TblConstr[[#This Row],[Hour]:[Hour]]&gt;12,OFFSET(TblConstr[[#This Row],[Shr]],-12,0),0)+OFFSET(TblConstr[[#This Row],[Tot Shr]],-1,0)-TblConstr[[#This Row],[Dest Shr]]</f>
        <v>0</v>
      </c>
      <c r="BL6" s="369" cm="1">
        <f t="array" aca="1" ref="BL6" ca="1">IF(TblConstr[[#This Row],[Hour]:[Hour]]&gt;12,OFFSET(TblConstr[[#This Row],[Tow]],-12,0),0)+OFFSET(TblConstr[[#This Row],[Tot Tow]],-1,0)-TblConstr[[#This Row],[Dest Tow]]</f>
        <v>0</v>
      </c>
      <c r="BM6" s="369" cm="1">
        <f t="array" aca="1" ref="BM6" ca="1">IF(TblConstr[[#This Row],[Hour]:[Hour]]&gt;12,OFFSET(TblConstr[[#This Row],[Tem]],-12,0),0)+OFFSET(TblConstr[[#This Row],[Tot Tem]],-1,0)-TblConstr[[#This Row],[Dest Tem]]</f>
        <v>0</v>
      </c>
      <c r="BN6" s="369" cm="1">
        <f t="array" aca="1" ref="BN6" ca="1">IF(TblConstr[[#This Row],[Hour]:[Hour]]&gt;12,OFFSET(TblConstr[[#This Row],[WG]],-12,0),0)+OFFSET(TblConstr[[#This Row],[Tot WG]],-1,0)-TblConstr[[#This Row],[Dest WG]]</f>
        <v>0</v>
      </c>
      <c r="BO6" s="191" cm="1">
        <f t="array" aca="1" ref="BO6" ca="1">IF(TblConstr[[#This Row],[Hour]:[Hour]]&gt;12,OFFSET(TblConstr[[#This Row],[DM]],-12,0),0)+OFFSET(TblConstr[[#This Row],[Tot DM]],-1,0)-TblConstr[[#This Row],[Dest DM]]</f>
        <v>0</v>
      </c>
      <c r="BP6" s="191" cm="1">
        <f t="array" aca="1" ref="BP6" ca="1">IF(TblConstr[[#This Row],[Hour]:[Hour]]&gt;12,OFFSET(TblConstr[[#This Row],[Sch]],-12,0),0)+OFFSET(TblConstr[[#This Row],[Tot Sch]],-1,0)-TblConstr[[#This Row],[Dest Sch]]</f>
        <v>0</v>
      </c>
      <c r="BQ6" s="192" cm="1">
        <f t="array" aca="1" ref="BQ6" ca="1">IF(TblConstr[[#This Row],[Hour]:[Hour]]&gt;12,OFFSET(TblConstr[[#This Row],[Doc]],-12,0),0)+OFFSET(TblConstr[[#This Row],[Tot Doc]],-1,0)-TblConstr[[#This Row],[Dest Doc]]</f>
        <v>0</v>
      </c>
      <c r="BR6" s="142"/>
      <c r="BS6" s="154"/>
      <c r="BT6" s="94">
        <f ca="1">TblConstr[[#This Row],[Land]]</f>
        <v>50</v>
      </c>
      <c r="BU6" s="159">
        <f ca="1">TblImps[[#This Row],[Time]]</f>
        <v>46047.083333333328</v>
      </c>
      <c r="BV6" s="142"/>
      <c r="CP6" s="142"/>
      <c r="CQ6" s="181">
        <f ca="1">-SUM(TblConstr[[#This Row],[Alc]:[Mas]])+SUM(TblConstr[[#This Row],[Dest Alc]:[Dest Mas]])+Rezone!L6+IF("Ch_"&amp; home_land=TblConstr[[#Headers],[Ch_Plain]],TblConstr[[#This Row],[Home Land]])+IF(TblConstr[[#This Row],[Hour]:[Hour]]&gt;12,OFFSET(TblExplore[[#This Row],[Plains Explore]],-12,0),0)</f>
        <v>0</v>
      </c>
      <c r="CR6" s="182">
        <f ca="1">-SUM(TblConstr[[#This Row],[Ly]:[Hav]])+SUM(TblConstr[[#This Row],[Dest Ly]:[Dest Hav]]) +Rezone!M6 + IF("Ch_"&amp; home_land=TblConstr[[#Headers],[Ch_Forest]],TblConstr[[#This Row],[Home Land]])+IF(TblConstr[[#This Row],[Hour]:[Hour]]&gt;12,OFFSET(TblExplore[[#This Row],[Forest Explore]],-12,0),0)</f>
        <v>0</v>
      </c>
      <c r="CS6" s="359">
        <f ca="1">-SUM(TblConstr[[#This Row],[OM]:[GN]])+SUM(TblConstr[[#This Row],[Dest OM]:[Dest GN]]) +Rezone!N6 + IF("Ch_"&amp; home_land=TblConstr[[#Headers],[Ch_Mountain]],TblConstr[[#This Row],[Home Land]])+IF(TblConstr[[#This Row],[Hour]:[Hour]]&gt;12,OFFSET(TblExplore[[#This Row],[Mountain Explore]],-12,0),0)</f>
        <v>0</v>
      </c>
      <c r="CT6" s="183">
        <f ca="1">-SUM(TblConstr[[#This Row],[Fac]:[Shr]])+SUM(TblConstr[[#This Row],[Dest Fac]:[Dest Shr]]) +Rezone!O6 + IF("Ch_" &amp; home_land=TblConstr[[#Headers],[Ch_Hill]],TblConstr[[#This Row],[Home Land]])+IF(TblConstr[[#This Row],[Hour]:[Hour]]&gt;12,OFFSET(TblExplore[[#This Row],[Hill Explore]],-12,0),0)</f>
        <v>0</v>
      </c>
      <c r="CU6" s="184">
        <f ca="1">-SUM(TblConstr[[#This Row],[Tow]:[WG]])+SUM(TblConstr[[#This Row],[Dest Tow]:[Dest WG]]) +Rezone!P6 + IF("Ch_" &amp; home_land=TblConstr[[#Headers],[Ch_Swamp]],TblConstr[[#This Row],[Home Land]])+IF(TblConstr[[#This Row],[Hour]:[Hour]]&gt;12,OFFSET(TblExplore[[#This Row],[Swamp Explore]],-12,0),0)</f>
        <v>0</v>
      </c>
      <c r="CV6" s="185">
        <f ca="1" xml:space="preserve"> - SUM(TblConstr[[#This Row],[DM]:[Sch]])+SUM(TblConstr[[#This Row],[Dest DM]:[Dest Sch]]) +Rezone!Q6 + IF("Ch_" &amp; home_land=TblConstr[[#Headers],[Ch_Cavern]],TblConstr[[#This Row],[Home Land]])+IF(TblConstr[[#This Row],[Hour]:[Hour]]&gt;12,OFFSET(TblExplore[[#This Row],[Cavern Explore]],-12,0),0)</f>
        <v>0</v>
      </c>
      <c r="CW6" s="186">
        <f ca="1">-TblConstr[[#This Row],[Doc]]+TblConstr[[#This Row],[Dest Doc]] +Rezone!R6 + IF("Ch_" &amp; home_land=TblConstr[[#Headers],[Ch_Water]],TblConstr[[#This Row],[Home Land]])+IF(TblConstr[[#This Row],[Hour]:[Hour]]&gt;12,OFFSET(TblExplore[[#This Row],[Water Explore]],-12,0),0)</f>
        <v>0</v>
      </c>
      <c r="CX6" s="45">
        <f>IF(Explore!S6=1,20) - TblConstr[[#This Row],[Hom]] + TblConstr[[#This Row],[Dest Hom]]</f>
        <v>0</v>
      </c>
      <c r="CY6" s="142"/>
      <c r="CZ6" s="94">
        <f ca="1">G6+SUM(P$4:S6)+SUM(AZ6:BC6)</f>
        <v>30</v>
      </c>
      <c r="DA6" s="94">
        <f ca="1">H6+SUM(T$4:U6)+SUM(BD6:BE6)</f>
        <v>20</v>
      </c>
      <c r="DB6" s="45">
        <f ca="1">I6+SUM(V$4:W6)+SUM(BF6:BG6)</f>
        <v>0</v>
      </c>
      <c r="DC6" s="94">
        <f ca="1">J6+SUM(X$4:Y6)+SUM(BH6:BI6)</f>
        <v>0</v>
      </c>
      <c r="DD6" s="94">
        <f ca="1">K6+SUM(AB$4:AD6)+SUM(BL6:BN6)</f>
        <v>0</v>
      </c>
      <c r="DE6" s="45">
        <f ca="1">L6+SUM(AE$4:AE6)+BO6</f>
        <v>0</v>
      </c>
      <c r="DF6" s="94">
        <f ca="1">M6+SUM(AG$4:AG6)+BQ6</f>
        <v>0</v>
      </c>
      <c r="DG6" s="94" cm="1">
        <f t="array" aca="1" ref="DG6" ca="1">INDEX(TblConstr[[Total Plain]:[Total Water]],ROW()-ROW(TblConstr[#Headers]),MATCH("Total "&amp;home_land,TblConstr[[#Headers],[Total Plain]:[Total Water]],0))+TblConstr[[#This Row],[Homes]]</f>
        <v>30</v>
      </c>
      <c r="DH6" s="45">
        <f ca="1">SUM(O$4:O6)+AY6</f>
        <v>0</v>
      </c>
      <c r="DI6" s="45">
        <f t="shared" ref="DI6:DI69" ca="1" si="0">MAX(BA6-BA5,0)</f>
        <v>0</v>
      </c>
      <c r="DJ6" s="45">
        <f t="shared" ref="DJ6:DJ69" ca="1" si="1">MAX(BQ6-BQ5,0)</f>
        <v>0</v>
      </c>
    </row>
    <row r="7" spans="1:114" hidden="1" x14ac:dyDescent="0.2">
      <c r="A7" s="175">
        <f>TblRezone[[#This Row],[Hour]]</f>
        <v>4</v>
      </c>
      <c r="B7" s="176">
        <f ca="1">SUM(TblConstr[[#This Row],[Plain]:[Water]])</f>
        <v>0</v>
      </c>
      <c r="C7" s="177">
        <f ca="1">SUM(TblConstr[[#This Row],[Tot Hom]:[Tot Doc]])</f>
        <v>50</v>
      </c>
      <c r="D7" s="177">
        <f>SUM(O$4:AG7)</f>
        <v>0</v>
      </c>
      <c r="E7" s="178"/>
      <c r="F7" s="61">
        <f ca="1">TblConstr[[#This Row],[Barren]]+TblConstr[[#This Row],[Buildings]]+TblConstr[[#This Row],[Incoming]]</f>
        <v>50</v>
      </c>
      <c r="G7" s="187">
        <f ca="1">OFFSET(TblConstr[[#This Row],[Plain]],-1,0)+TblConstr[[#This Row],[Ch_Plain]]</f>
        <v>0</v>
      </c>
      <c r="H7" s="182">
        <f ca="1">OFFSET(TblConstr[[#This Row],[Forest]],-1,0)+TblConstr[[#This Row],[Ch_Forest]]</f>
        <v>0</v>
      </c>
      <c r="I7" s="359">
        <f ca="1">OFFSET(TblConstr[[#This Row],[Mountain]],-1,0)+TblConstr[[#This Row],[Ch_Mountain]]</f>
        <v>0</v>
      </c>
      <c r="J7" s="363">
        <f ca="1">OFFSET(TblConstr[[#This Row],[Hill]],-1,0)+TblConstr[[#This Row],[Ch_Hill]]</f>
        <v>0</v>
      </c>
      <c r="K7" s="367">
        <f ca="1">OFFSET(TblConstr[[#This Row],[Swamp]],-1,0)+TblConstr[[#This Row],[Ch_Swamp]]</f>
        <v>0</v>
      </c>
      <c r="L7" s="185">
        <f ca="1">OFFSET(TblConstr[[#This Row],[Cavern]],-1,0)+TblConstr[[#This Row],[Ch_Cavern]]</f>
        <v>0</v>
      </c>
      <c r="M7" s="186">
        <f ca="1">OFFSET(TblConstr[[#This Row],[Water]],-1,0)+TblConstr[[#This Row],[Ch_Water]]</f>
        <v>0</v>
      </c>
      <c r="N7" s="357">
        <f>TblRezone[[#This Row],[Hour]]</f>
        <v>4</v>
      </c>
      <c r="AH7" s="53">
        <f ca="1">TblImps[[#This Row],[Time]]</f>
        <v>46047.124999999993</v>
      </c>
      <c r="AI7" s="180">
        <f ca="1">MIN(25%,(TblConstr[[#This Row],[Tot Fac]]+TblConstr[[#This Row],[Dest Fac]])/(TblConstr[[#This Row],[Land]]-TblExplore[[#This Row],[Land Bonus]]*20))</f>
        <v>0</v>
      </c>
      <c r="AJ7" s="180">
        <f ca="1">MIN(25%,(TblConstr[[#This Row],[Tot Fac]]+TblConstr[[#This Row],[Dest Fac]])/TblConstr[[#This Row],[Land]])</f>
        <v>0</v>
      </c>
      <c r="AK7" s="94">
        <f ca="1">TblProd[[#This Row],[Platinum]]</f>
        <v>53870</v>
      </c>
      <c r="AL7" s="94">
        <f ca="1">TblProd[[#This Row],[Lumber]]</f>
        <v>17525</v>
      </c>
      <c r="AM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7" s="94">
        <f ca="1">ROUNDDOWN( MAX(1 - MIN(facs_constr_factor*TblConstr[[#This Row],[Facs -DB]],facs_constr_max) + tech_1_11*TblTech[[#This Row],[11-1]] + tech_6_3_2*TblTech[[#This Row],[6-3]] + tech_5_2_3*TblTech[[#This Row],[5-2]], 1-global_constr_cap) * TblConstr[[#This Row],[RCPA Lumber]],0)</f>
        <v>31</v>
      </c>
      <c r="AO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7" s="94">
        <f ca="1">ROUNDDOWN( MAX(1 - MIN(facs_constr_factor*TblConstr[[#This Row],[Facs DB]],facs_constr_max) + tech_1_11*TblTech[[#This Row],[1-11]] + tech_6_3_2*TblTech[[#This Row],[6-3]] + tech_5_2_3*TblTech[[#This Row],[5-2]], 1-global_constr_cap) * ROUND((TblConstr[[#This Row],[Land]]-250)*0.285 + 87.5 + 0/4.25,0),0)</f>
        <v>31</v>
      </c>
      <c r="AQ7" s="45">
        <f ca="1">TblConstr[[#This Row],[build -db]]*TblConstr[[#This Row],[CPA Platinum -DB]] + TblConstr[[#This Row],[build db]]*TblConstr[[#This Row],[CPA Platinum DB]]</f>
        <v>0</v>
      </c>
      <c r="AR7" s="45">
        <f ca="1">TblConstr[[#This Row],[build -db]]*TblConstr[[#This Row],[CPA Lumber -DB]] + TblConstr[[#This Row],[build db]]*TblConstr[[#This Row],[CPA Lumber DB]]</f>
        <v>0</v>
      </c>
      <c r="AS7" s="94">
        <f ca="1">MIN(SUM(OFFSET(TblConstr[[#This Row],[Plain]:[Water]],-1,0))+SUM(TblConstr[[#This Row],[Dest Hom]:[Dest Doc]])+IF(TblConstr[[#This Row],[Hour]]&gt;12,SUM(OFFSET(TblExplore[[#This Row],[Plains Explore]:[Water Explore]],-12,0)),0),SUM(TblConstr[[#This Row],[Hom]:[Doc]]))</f>
        <v>0</v>
      </c>
      <c r="AT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 s="142"/>
      <c r="AV7" s="94">
        <f ca="1">ROUND((TblConstr[[#This Row],[Land]]-250 - IF(TblExplore[[#This Row],[Land Bonus]]&lt;&gt;0,20,0))*1.25 + 850 + 0,0)</f>
        <v>600</v>
      </c>
      <c r="AW7" s="94">
        <f ca="1">ROUND((TblConstr[[#This Row],[Land]]-250 - IF(TblExplore[[#This Row],[Land Bonus]]&lt;&gt;0,20,0))*0.285 + 87.5 + 0/4.25,0)</f>
        <v>31</v>
      </c>
      <c r="AX7" s="154"/>
      <c r="AY7" s="188" cm="1">
        <f t="array" aca="1" ref="AY7" ca="1">IF(TblConstr[[#This Row],[Hour]:[Hour]]&gt;12,OFFSET(TblConstr[[#This Row],[Hom]],-12,0),0)+OFFSET(TblConstr[[#This Row],[Tot Hom]],-1,0)-TblConstr[[#This Row],[Dest Hom]]</f>
        <v>0</v>
      </c>
      <c r="AZ7" s="189" cm="1">
        <f t="array" aca="1" ref="AZ7" ca="1">IF(TblConstr[[#This Row],[Hour]:[Hour]]&gt;12,OFFSET(TblConstr[[#This Row],[Alc]],-12,0),0)+OFFSET(TblConstr[[#This Row],[Tot Alc]],-1,0)-TblConstr[[#This Row],[Dest Alc]]</f>
        <v>0</v>
      </c>
      <c r="BA7" s="189" cm="1">
        <f t="array" aca="1" ref="BA7" ca="1">IF(TblConstr[[#This Row],[Hour]:[Hour]]&gt;12,OFFSET(TblConstr[[#This Row],[Far]],-12,0),0)+OFFSET(TblConstr[[#This Row],[Tot Farm]],-1,0)-TblConstr[[#This Row],[Dest Farm]]</f>
        <v>30</v>
      </c>
      <c r="BB7" s="189" cm="1">
        <f t="array" aca="1" ref="BB7" ca="1">IF(TblConstr[[#This Row],[Hour]:[Hour]]&gt;12,OFFSET(TblConstr[[#This Row],[Smi]],-12,0),0)+OFFSET(TblConstr[[#This Row],[Tot Smi]],-1,0)-TblConstr[[#This Row],[Dest Smi]]</f>
        <v>0</v>
      </c>
      <c r="BC7" s="189" cm="1">
        <f t="array" aca="1" ref="BC7" ca="1">IF(TblConstr[[#This Row],[Hour]:[Hour]]&gt;12,OFFSET(TblConstr[[#This Row],[Mas]],-12,0),0)+OFFSET(TblConstr[[#This Row],[Tot Mas]],-1,0)-TblConstr[[#This Row],[Dest Mas]]</f>
        <v>0</v>
      </c>
      <c r="BD7" s="190" cm="1">
        <f t="array" aca="1" ref="BD7" ca="1">IF(TblConstr[[#This Row],[Hour]:[Hour]]&gt;12,OFFSET(TblConstr[[#This Row],[Ly]],-12,0),0)+OFFSET(TblConstr[[#This Row],[Tot Ly]],-1,0)-TblConstr[[#This Row],[Dest Ly]]</f>
        <v>20</v>
      </c>
      <c r="BE7" s="190" cm="1">
        <f t="array" aca="1" ref="BE7" ca="1">IF(TblConstr[[#This Row],[Hour]:[Hour]]&gt;12,OFFSET(TblConstr[[#This Row],[Hav]],-12,0),0)+OFFSET(TblConstr[[#This Row],[Tot Hav]],-1,0)-TblConstr[[#This Row],[Dest Hav]]</f>
        <v>0</v>
      </c>
      <c r="BF7" s="361" cm="1">
        <f t="array" aca="1" ref="BF7" ca="1">IF(TblConstr[[#This Row],[Hour]:[Hour]]&gt;12,OFFSET(TblConstr[[#This Row],[OM]],-12,0),0)+OFFSET(TblConstr[[#This Row],[Tot OM]],-1,0)-TblConstr[[#This Row],[Dest OM]]</f>
        <v>0</v>
      </c>
      <c r="BG7" s="361" cm="1">
        <f t="array" aca="1" ref="BG7" ca="1">IF(TblConstr[[#This Row],[Hour]:[Hour]]&gt;12,OFFSET(TblConstr[[#This Row],[GN]],-12,0),0)+OFFSET(TblConstr[[#This Row],[Tot GN]],-1,0)-TblConstr[[#This Row],[Dest GN]]</f>
        <v>0</v>
      </c>
      <c r="BH7" s="365" cm="1">
        <f t="array" aca="1" ref="BH7" ca="1">IF(TblConstr[[#This Row],[Hour]:[Hour]]&gt;12,OFFSET(TblConstr[[#This Row],[Fac]],-12,0),0)+OFFSET(TblConstr[[#This Row],[Tot Fac]],-1,0)-TblConstr[[#This Row],[Dest Fac]]</f>
        <v>0</v>
      </c>
      <c r="BI7" s="365" cm="1">
        <f t="array" aca="1" ref="BI7" ca="1">IF(TblConstr[[#This Row],[Hour]:[Hour]]&gt;12,OFFSET(TblConstr[[#This Row],[GT]],-12,0),0)+OFFSET(TblConstr[[#This Row],[Tot GT]],-1,0)-TblConstr[[#This Row],[Dest GT]]</f>
        <v>0</v>
      </c>
      <c r="BJ7" s="365" cm="1">
        <f t="array" aca="1" ref="BJ7" ca="1">IF(TblConstr[[#This Row],[Hour]:[Hour]]&gt;12,OFFSET(TblConstr[[#This Row],[Bar]],-12,0),0)+OFFSET(TblConstr[[#This Row],[Tot Bar]],-1,0)-TblConstr[[#This Row],[Dest Bar]]</f>
        <v>0</v>
      </c>
      <c r="BK7" s="365" cm="1">
        <f t="array" aca="1" ref="BK7" ca="1">IF(TblConstr[[#This Row],[Hour]:[Hour]]&gt;12,OFFSET(TblConstr[[#This Row],[Shr]],-12,0),0)+OFFSET(TblConstr[[#This Row],[Tot Shr]],-1,0)-TblConstr[[#This Row],[Dest Shr]]</f>
        <v>0</v>
      </c>
      <c r="BL7" s="369" cm="1">
        <f t="array" aca="1" ref="BL7" ca="1">IF(TblConstr[[#This Row],[Hour]:[Hour]]&gt;12,OFFSET(TblConstr[[#This Row],[Tow]],-12,0),0)+OFFSET(TblConstr[[#This Row],[Tot Tow]],-1,0)-TblConstr[[#This Row],[Dest Tow]]</f>
        <v>0</v>
      </c>
      <c r="BM7" s="369" cm="1">
        <f t="array" aca="1" ref="BM7" ca="1">IF(TblConstr[[#This Row],[Hour]:[Hour]]&gt;12,OFFSET(TblConstr[[#This Row],[Tem]],-12,0),0)+OFFSET(TblConstr[[#This Row],[Tot Tem]],-1,0)-TblConstr[[#This Row],[Dest Tem]]</f>
        <v>0</v>
      </c>
      <c r="BN7" s="369" cm="1">
        <f t="array" aca="1" ref="BN7" ca="1">IF(TblConstr[[#This Row],[Hour]:[Hour]]&gt;12,OFFSET(TblConstr[[#This Row],[WG]],-12,0),0)+OFFSET(TblConstr[[#This Row],[Tot WG]],-1,0)-TblConstr[[#This Row],[Dest WG]]</f>
        <v>0</v>
      </c>
      <c r="BO7" s="191" cm="1">
        <f t="array" aca="1" ref="BO7" ca="1">IF(TblConstr[[#This Row],[Hour]:[Hour]]&gt;12,OFFSET(TblConstr[[#This Row],[DM]],-12,0),0)+OFFSET(TblConstr[[#This Row],[Tot DM]],-1,0)-TblConstr[[#This Row],[Dest DM]]</f>
        <v>0</v>
      </c>
      <c r="BP7" s="191" cm="1">
        <f t="array" aca="1" ref="BP7" ca="1">IF(TblConstr[[#This Row],[Hour]:[Hour]]&gt;12,OFFSET(TblConstr[[#This Row],[Sch]],-12,0),0)+OFFSET(TblConstr[[#This Row],[Tot Sch]],-1,0)-TblConstr[[#This Row],[Dest Sch]]</f>
        <v>0</v>
      </c>
      <c r="BQ7" s="192" cm="1">
        <f t="array" aca="1" ref="BQ7" ca="1">IF(TblConstr[[#This Row],[Hour]:[Hour]]&gt;12,OFFSET(TblConstr[[#This Row],[Doc]],-12,0),0)+OFFSET(TblConstr[[#This Row],[Tot Doc]],-1,0)-TblConstr[[#This Row],[Dest Doc]]</f>
        <v>0</v>
      </c>
      <c r="BR7" s="142"/>
      <c r="BS7" s="154"/>
      <c r="BT7" s="94">
        <f ca="1">TblConstr[[#This Row],[Land]]</f>
        <v>50</v>
      </c>
      <c r="BU7" s="159">
        <f ca="1">TblImps[[#This Row],[Time]]</f>
        <v>46047.124999999993</v>
      </c>
      <c r="BV7" s="142"/>
      <c r="CP7" s="142"/>
      <c r="CQ7" s="181">
        <f ca="1">-SUM(TblConstr[[#This Row],[Alc]:[Mas]])+SUM(TblConstr[[#This Row],[Dest Alc]:[Dest Mas]])+Rezone!L7+IF("Ch_"&amp; home_land=TblConstr[[#Headers],[Ch_Plain]],TblConstr[[#This Row],[Home Land]])+IF(TblConstr[[#This Row],[Hour]:[Hour]]&gt;12,OFFSET(TblExplore[[#This Row],[Plains Explore]],-12,0),0)</f>
        <v>0</v>
      </c>
      <c r="CR7" s="182">
        <f ca="1">-SUM(TblConstr[[#This Row],[Ly]:[Hav]])+SUM(TblConstr[[#This Row],[Dest Ly]:[Dest Hav]]) +Rezone!M7 + IF("Ch_"&amp; home_land=TblConstr[[#Headers],[Ch_Forest]],TblConstr[[#This Row],[Home Land]])+IF(TblConstr[[#This Row],[Hour]:[Hour]]&gt;12,OFFSET(TblExplore[[#This Row],[Forest Explore]],-12,0),0)</f>
        <v>0</v>
      </c>
      <c r="CS7" s="359">
        <f ca="1">-SUM(TblConstr[[#This Row],[OM]:[GN]])+SUM(TblConstr[[#This Row],[Dest OM]:[Dest GN]]) +Rezone!N7 + IF("Ch_"&amp; home_land=TblConstr[[#Headers],[Ch_Mountain]],TblConstr[[#This Row],[Home Land]])+IF(TblConstr[[#This Row],[Hour]:[Hour]]&gt;12,OFFSET(TblExplore[[#This Row],[Mountain Explore]],-12,0),0)</f>
        <v>0</v>
      </c>
      <c r="CT7" s="183">
        <f ca="1">-SUM(TblConstr[[#This Row],[Fac]:[Shr]])+SUM(TblConstr[[#This Row],[Dest Fac]:[Dest Shr]]) +Rezone!O7 + IF("Ch_" &amp; home_land=TblConstr[[#Headers],[Ch_Hill]],TblConstr[[#This Row],[Home Land]])+IF(TblConstr[[#This Row],[Hour]:[Hour]]&gt;12,OFFSET(TblExplore[[#This Row],[Hill Explore]],-12,0),0)</f>
        <v>0</v>
      </c>
      <c r="CU7" s="184">
        <f ca="1">-SUM(TblConstr[[#This Row],[Tow]:[WG]])+SUM(TblConstr[[#This Row],[Dest Tow]:[Dest WG]]) +Rezone!P7 + IF("Ch_" &amp; home_land=TblConstr[[#Headers],[Ch_Swamp]],TblConstr[[#This Row],[Home Land]])+IF(TblConstr[[#This Row],[Hour]:[Hour]]&gt;12,OFFSET(TblExplore[[#This Row],[Swamp Explore]],-12,0),0)</f>
        <v>0</v>
      </c>
      <c r="CV7" s="185">
        <f ca="1" xml:space="preserve"> - SUM(TblConstr[[#This Row],[DM]:[Sch]])+SUM(TblConstr[[#This Row],[Dest DM]:[Dest Sch]]) +Rezone!Q7 + IF("Ch_" &amp; home_land=TblConstr[[#Headers],[Ch_Cavern]],TblConstr[[#This Row],[Home Land]])+IF(TblConstr[[#This Row],[Hour]:[Hour]]&gt;12,OFFSET(TblExplore[[#This Row],[Cavern Explore]],-12,0),0)</f>
        <v>0</v>
      </c>
      <c r="CW7" s="186">
        <f ca="1">-TblConstr[[#This Row],[Doc]]+TblConstr[[#This Row],[Dest Doc]] +Rezone!R7 + IF("Ch_" &amp; home_land=TblConstr[[#Headers],[Ch_Water]],TblConstr[[#This Row],[Home Land]])+IF(TblConstr[[#This Row],[Hour]:[Hour]]&gt;12,OFFSET(TblExplore[[#This Row],[Water Explore]],-12,0),0)</f>
        <v>0</v>
      </c>
      <c r="CX7" s="45">
        <f>IF(Explore!S7=1,20) - TblConstr[[#This Row],[Hom]] + TblConstr[[#This Row],[Dest Hom]]</f>
        <v>0</v>
      </c>
      <c r="CY7" s="142"/>
      <c r="CZ7" s="94">
        <f ca="1">G7+SUM(P$4:S7)+SUM(AZ7:BC7)</f>
        <v>30</v>
      </c>
      <c r="DA7" s="94">
        <f ca="1">H7+SUM(T$4:U7)+SUM(BD7:BE7)</f>
        <v>20</v>
      </c>
      <c r="DB7" s="45">
        <f ca="1">I7+SUM(V$4:W7)+SUM(BF7:BG7)</f>
        <v>0</v>
      </c>
      <c r="DC7" s="94">
        <f ca="1">J7+SUM(X$4:Y7)+SUM(BH7:BI7)</f>
        <v>0</v>
      </c>
      <c r="DD7" s="94">
        <f ca="1">K7+SUM(AB$4:AD7)+SUM(BL7:BN7)</f>
        <v>0</v>
      </c>
      <c r="DE7" s="45">
        <f ca="1">L7+SUM(AE$4:AE7)+BO7</f>
        <v>0</v>
      </c>
      <c r="DF7" s="94">
        <f ca="1">M7+SUM(AG$4:AG7)+BQ7</f>
        <v>0</v>
      </c>
      <c r="DG7" s="94" cm="1">
        <f t="array" aca="1" ref="DG7" ca="1">INDEX(TblConstr[[Total Plain]:[Total Water]],ROW()-ROW(TblConstr[#Headers]),MATCH("Total "&amp;home_land,TblConstr[[#Headers],[Total Plain]:[Total Water]],0))+TblConstr[[#This Row],[Homes]]</f>
        <v>30</v>
      </c>
      <c r="DH7" s="45">
        <f ca="1">SUM(O$4:O7)+AY7</f>
        <v>0</v>
      </c>
      <c r="DI7" s="45">
        <f t="shared" ca="1" si="0"/>
        <v>0</v>
      </c>
      <c r="DJ7" s="45">
        <f t="shared" ca="1" si="1"/>
        <v>0</v>
      </c>
    </row>
    <row r="8" spans="1:114" hidden="1" x14ac:dyDescent="0.2">
      <c r="A8" s="356">
        <f>TblRezone[[#This Row],[Hour]]</f>
        <v>5</v>
      </c>
      <c r="B8" s="176">
        <f ca="1">SUM(TblConstr[[#This Row],[Plain]:[Water]])</f>
        <v>0</v>
      </c>
      <c r="C8" s="177">
        <f ca="1">SUM(TblConstr[[#This Row],[Tot Hom]:[Tot Doc]])</f>
        <v>50</v>
      </c>
      <c r="D8" s="177">
        <f>SUM(O$4:AG8)</f>
        <v>0</v>
      </c>
      <c r="E8" s="178"/>
      <c r="F8" s="61">
        <f ca="1">TblConstr[[#This Row],[Barren]]+TblConstr[[#This Row],[Buildings]]+TblConstr[[#This Row],[Incoming]]</f>
        <v>50</v>
      </c>
      <c r="G8" s="187">
        <f ca="1">OFFSET(TblConstr[[#This Row],[Plain]],-1,0)+TblConstr[[#This Row],[Ch_Plain]]</f>
        <v>0</v>
      </c>
      <c r="H8" s="182">
        <f ca="1">OFFSET(TblConstr[[#This Row],[Forest]],-1,0)+TblConstr[[#This Row],[Ch_Forest]]</f>
        <v>0</v>
      </c>
      <c r="I8" s="359">
        <f ca="1">OFFSET(TblConstr[[#This Row],[Mountain]],-1,0)+TblConstr[[#This Row],[Ch_Mountain]]</f>
        <v>0</v>
      </c>
      <c r="J8" s="363">
        <f ca="1">OFFSET(TblConstr[[#This Row],[Hill]],-1,0)+TblConstr[[#This Row],[Ch_Hill]]</f>
        <v>0</v>
      </c>
      <c r="K8" s="367">
        <f ca="1">OFFSET(TblConstr[[#This Row],[Swamp]],-1,0)+TblConstr[[#This Row],[Ch_Swamp]]</f>
        <v>0</v>
      </c>
      <c r="L8" s="185">
        <f ca="1">OFFSET(TblConstr[[#This Row],[Cavern]],-1,0)+TblConstr[[#This Row],[Ch_Cavern]]</f>
        <v>0</v>
      </c>
      <c r="M8" s="186">
        <f ca="1">OFFSET(TblConstr[[#This Row],[Water]],-1,0)+TblConstr[[#This Row],[Ch_Water]]</f>
        <v>0</v>
      </c>
      <c r="N8" s="357">
        <f>TblRezone[[#This Row],[Hour]]</f>
        <v>5</v>
      </c>
      <c r="AH8" s="53">
        <f ca="1">TblImps[[#This Row],[Time]]</f>
        <v>46047.166666666657</v>
      </c>
      <c r="AI8" s="180">
        <f ca="1">MIN(25%,(TblConstr[[#This Row],[Tot Fac]]+TblConstr[[#This Row],[Dest Fac]])/(TblConstr[[#This Row],[Land]]-TblExplore[[#This Row],[Land Bonus]]*20))</f>
        <v>0</v>
      </c>
      <c r="AJ8" s="180">
        <f ca="1">MIN(25%,(TblConstr[[#This Row],[Tot Fac]]+TblConstr[[#This Row],[Dest Fac]])/TblConstr[[#This Row],[Land]])</f>
        <v>0</v>
      </c>
      <c r="AK8" s="94">
        <f ca="1">TblProd[[#This Row],[Platinum]]</f>
        <v>55209</v>
      </c>
      <c r="AL8" s="94">
        <f ca="1">TblProd[[#This Row],[Lumber]]</f>
        <v>18350</v>
      </c>
      <c r="AM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8" s="94">
        <f ca="1">ROUNDDOWN( MAX(1 - MIN(facs_constr_factor*TblConstr[[#This Row],[Facs -DB]],facs_constr_max) + tech_1_11*TblTech[[#This Row],[11-1]] + tech_6_3_2*TblTech[[#This Row],[6-3]] + tech_5_2_3*TblTech[[#This Row],[5-2]], 1-global_constr_cap) * TblConstr[[#This Row],[RCPA Lumber]],0)</f>
        <v>31</v>
      </c>
      <c r="AO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8" s="94">
        <f ca="1">ROUNDDOWN( MAX(1 - MIN(facs_constr_factor*TblConstr[[#This Row],[Facs DB]],facs_constr_max) + tech_1_11*TblTech[[#This Row],[1-11]] + tech_6_3_2*TblTech[[#This Row],[6-3]] + tech_5_2_3*TblTech[[#This Row],[5-2]], 1-global_constr_cap) * ROUND((TblConstr[[#This Row],[Land]]-250)*0.285 + 87.5 + 0/4.25,0),0)</f>
        <v>31</v>
      </c>
      <c r="AQ8" s="45">
        <f ca="1">TblConstr[[#This Row],[build -db]]*TblConstr[[#This Row],[CPA Platinum -DB]] + TblConstr[[#This Row],[build db]]*TblConstr[[#This Row],[CPA Platinum DB]]</f>
        <v>0</v>
      </c>
      <c r="AR8" s="45">
        <f ca="1">TblConstr[[#This Row],[build -db]]*TblConstr[[#This Row],[CPA Lumber -DB]] + TblConstr[[#This Row],[build db]]*TblConstr[[#This Row],[CPA Lumber DB]]</f>
        <v>0</v>
      </c>
      <c r="AS8" s="94">
        <f ca="1">MIN(SUM(OFFSET(TblConstr[[#This Row],[Plain]:[Water]],-1,0))+SUM(TblConstr[[#This Row],[Dest Hom]:[Dest Doc]])+IF(TblConstr[[#This Row],[Hour]]&gt;12,SUM(OFFSET(TblExplore[[#This Row],[Plains Explore]:[Water Explore]],-12,0)),0),SUM(TblConstr[[#This Row],[Hom]:[Doc]]))</f>
        <v>0</v>
      </c>
      <c r="AT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 s="142"/>
      <c r="AV8" s="94">
        <f ca="1">ROUND((TblConstr[[#This Row],[Land]]-250 - IF(TblExplore[[#This Row],[Land Bonus]]&lt;&gt;0,20,0))*1.25 + 850 + 0,0)</f>
        <v>600</v>
      </c>
      <c r="AW8" s="94">
        <f ca="1">ROUND((TblConstr[[#This Row],[Land]]-250 - IF(TblExplore[[#This Row],[Land Bonus]]&lt;&gt;0,20,0))*0.285 + 87.5 + 0/4.25,0)</f>
        <v>31</v>
      </c>
      <c r="AX8" s="154"/>
      <c r="AY8" s="188" cm="1">
        <f t="array" aca="1" ref="AY8" ca="1">IF(TblConstr[[#This Row],[Hour]:[Hour]]&gt;12,OFFSET(TblConstr[[#This Row],[Hom]],-12,0),0)+OFFSET(TblConstr[[#This Row],[Tot Hom]],-1,0)-TblConstr[[#This Row],[Dest Hom]]</f>
        <v>0</v>
      </c>
      <c r="AZ8" s="189" cm="1">
        <f t="array" aca="1" ref="AZ8" ca="1">IF(TblConstr[[#This Row],[Hour]:[Hour]]&gt;12,OFFSET(TblConstr[[#This Row],[Alc]],-12,0),0)+OFFSET(TblConstr[[#This Row],[Tot Alc]],-1,0)-TblConstr[[#This Row],[Dest Alc]]</f>
        <v>0</v>
      </c>
      <c r="BA8" s="189" cm="1">
        <f t="array" aca="1" ref="BA8" ca="1">IF(TblConstr[[#This Row],[Hour]:[Hour]]&gt;12,OFFSET(TblConstr[[#This Row],[Far]],-12,0),0)+OFFSET(TblConstr[[#This Row],[Tot Farm]],-1,0)-TblConstr[[#This Row],[Dest Farm]]</f>
        <v>30</v>
      </c>
      <c r="BB8" s="189" cm="1">
        <f t="array" aca="1" ref="BB8" ca="1">IF(TblConstr[[#This Row],[Hour]:[Hour]]&gt;12,OFFSET(TblConstr[[#This Row],[Smi]],-12,0),0)+OFFSET(TblConstr[[#This Row],[Tot Smi]],-1,0)-TblConstr[[#This Row],[Dest Smi]]</f>
        <v>0</v>
      </c>
      <c r="BC8" s="189" cm="1">
        <f t="array" aca="1" ref="BC8" ca="1">IF(TblConstr[[#This Row],[Hour]:[Hour]]&gt;12,OFFSET(TblConstr[[#This Row],[Mas]],-12,0),0)+OFFSET(TblConstr[[#This Row],[Tot Mas]],-1,0)-TblConstr[[#This Row],[Dest Mas]]</f>
        <v>0</v>
      </c>
      <c r="BD8" s="190" cm="1">
        <f t="array" aca="1" ref="BD8" ca="1">IF(TblConstr[[#This Row],[Hour]:[Hour]]&gt;12,OFFSET(TblConstr[[#This Row],[Ly]],-12,0),0)+OFFSET(TblConstr[[#This Row],[Tot Ly]],-1,0)-TblConstr[[#This Row],[Dest Ly]]</f>
        <v>20</v>
      </c>
      <c r="BE8" s="190" cm="1">
        <f t="array" aca="1" ref="BE8" ca="1">IF(TblConstr[[#This Row],[Hour]:[Hour]]&gt;12,OFFSET(TblConstr[[#This Row],[Hav]],-12,0),0)+OFFSET(TblConstr[[#This Row],[Tot Hav]],-1,0)-TblConstr[[#This Row],[Dest Hav]]</f>
        <v>0</v>
      </c>
      <c r="BF8" s="361" cm="1">
        <f t="array" aca="1" ref="BF8" ca="1">IF(TblConstr[[#This Row],[Hour]:[Hour]]&gt;12,OFFSET(TblConstr[[#This Row],[OM]],-12,0),0)+OFFSET(TblConstr[[#This Row],[Tot OM]],-1,0)-TblConstr[[#This Row],[Dest OM]]</f>
        <v>0</v>
      </c>
      <c r="BG8" s="361" cm="1">
        <f t="array" aca="1" ref="BG8" ca="1">IF(TblConstr[[#This Row],[Hour]:[Hour]]&gt;12,OFFSET(TblConstr[[#This Row],[GN]],-12,0),0)+OFFSET(TblConstr[[#This Row],[Tot GN]],-1,0)-TblConstr[[#This Row],[Dest GN]]</f>
        <v>0</v>
      </c>
      <c r="BH8" s="365" cm="1">
        <f t="array" aca="1" ref="BH8" ca="1">IF(TblConstr[[#This Row],[Hour]:[Hour]]&gt;12,OFFSET(TblConstr[[#This Row],[Fac]],-12,0),0)+OFFSET(TblConstr[[#This Row],[Tot Fac]],-1,0)-TblConstr[[#This Row],[Dest Fac]]</f>
        <v>0</v>
      </c>
      <c r="BI8" s="365" cm="1">
        <f t="array" aca="1" ref="BI8" ca="1">IF(TblConstr[[#This Row],[Hour]:[Hour]]&gt;12,OFFSET(TblConstr[[#This Row],[GT]],-12,0),0)+OFFSET(TblConstr[[#This Row],[Tot GT]],-1,0)-TblConstr[[#This Row],[Dest GT]]</f>
        <v>0</v>
      </c>
      <c r="BJ8" s="365" cm="1">
        <f t="array" aca="1" ref="BJ8" ca="1">IF(TblConstr[[#This Row],[Hour]:[Hour]]&gt;12,OFFSET(TblConstr[[#This Row],[Bar]],-12,0),0)+OFFSET(TblConstr[[#This Row],[Tot Bar]],-1,0)-TblConstr[[#This Row],[Dest Bar]]</f>
        <v>0</v>
      </c>
      <c r="BK8" s="365" cm="1">
        <f t="array" aca="1" ref="BK8" ca="1">IF(TblConstr[[#This Row],[Hour]:[Hour]]&gt;12,OFFSET(TblConstr[[#This Row],[Shr]],-12,0),0)+OFFSET(TblConstr[[#This Row],[Tot Shr]],-1,0)-TblConstr[[#This Row],[Dest Shr]]</f>
        <v>0</v>
      </c>
      <c r="BL8" s="369" cm="1">
        <f t="array" aca="1" ref="BL8" ca="1">IF(TblConstr[[#This Row],[Hour]:[Hour]]&gt;12,OFFSET(TblConstr[[#This Row],[Tow]],-12,0),0)+OFFSET(TblConstr[[#This Row],[Tot Tow]],-1,0)-TblConstr[[#This Row],[Dest Tow]]</f>
        <v>0</v>
      </c>
      <c r="BM8" s="369" cm="1">
        <f t="array" aca="1" ref="BM8" ca="1">IF(TblConstr[[#This Row],[Hour]:[Hour]]&gt;12,OFFSET(TblConstr[[#This Row],[Tem]],-12,0),0)+OFFSET(TblConstr[[#This Row],[Tot Tem]],-1,0)-TblConstr[[#This Row],[Dest Tem]]</f>
        <v>0</v>
      </c>
      <c r="BN8" s="369" cm="1">
        <f t="array" aca="1" ref="BN8" ca="1">IF(TblConstr[[#This Row],[Hour]:[Hour]]&gt;12,OFFSET(TblConstr[[#This Row],[WG]],-12,0),0)+OFFSET(TblConstr[[#This Row],[Tot WG]],-1,0)-TblConstr[[#This Row],[Dest WG]]</f>
        <v>0</v>
      </c>
      <c r="BO8" s="191" cm="1">
        <f t="array" aca="1" ref="BO8" ca="1">IF(TblConstr[[#This Row],[Hour]:[Hour]]&gt;12,OFFSET(TblConstr[[#This Row],[DM]],-12,0),0)+OFFSET(TblConstr[[#This Row],[Tot DM]],-1,0)-TblConstr[[#This Row],[Dest DM]]</f>
        <v>0</v>
      </c>
      <c r="BP8" s="191" cm="1">
        <f t="array" aca="1" ref="BP8" ca="1">IF(TblConstr[[#This Row],[Hour]:[Hour]]&gt;12,OFFSET(TblConstr[[#This Row],[Sch]],-12,0),0)+OFFSET(TblConstr[[#This Row],[Tot Sch]],-1,0)-TblConstr[[#This Row],[Dest Sch]]</f>
        <v>0</v>
      </c>
      <c r="BQ8" s="192" cm="1">
        <f t="array" aca="1" ref="BQ8" ca="1">IF(TblConstr[[#This Row],[Hour]:[Hour]]&gt;12,OFFSET(TblConstr[[#This Row],[Doc]],-12,0),0)+OFFSET(TblConstr[[#This Row],[Tot Doc]],-1,0)-TblConstr[[#This Row],[Dest Doc]]</f>
        <v>0</v>
      </c>
      <c r="BR8" s="142"/>
      <c r="BS8" s="154"/>
      <c r="BT8" s="94">
        <f ca="1">TblConstr[[#This Row],[Land]]</f>
        <v>50</v>
      </c>
      <c r="BU8" s="159">
        <f ca="1">TblImps[[#This Row],[Time]]</f>
        <v>46047.166666666657</v>
      </c>
      <c r="BV8" s="142"/>
      <c r="CP8" s="142"/>
      <c r="CQ8" s="181">
        <f ca="1">-SUM(TblConstr[[#This Row],[Alc]:[Mas]])+SUM(TblConstr[[#This Row],[Dest Alc]:[Dest Mas]])+Rezone!L8+IF("Ch_"&amp; home_land=TblConstr[[#Headers],[Ch_Plain]],TblConstr[[#This Row],[Home Land]])+IF(TblConstr[[#This Row],[Hour]:[Hour]]&gt;12,OFFSET(TblExplore[[#This Row],[Plains Explore]],-12,0),0)</f>
        <v>0</v>
      </c>
      <c r="CR8" s="182">
        <f ca="1">-SUM(TblConstr[[#This Row],[Ly]:[Hav]])+SUM(TblConstr[[#This Row],[Dest Ly]:[Dest Hav]]) +Rezone!M8 + IF("Ch_"&amp; home_land=TblConstr[[#Headers],[Ch_Forest]],TblConstr[[#This Row],[Home Land]])+IF(TblConstr[[#This Row],[Hour]:[Hour]]&gt;12,OFFSET(TblExplore[[#This Row],[Forest Explore]],-12,0),0)</f>
        <v>0</v>
      </c>
      <c r="CS8" s="359">
        <f ca="1">-SUM(TblConstr[[#This Row],[OM]:[GN]])+SUM(TblConstr[[#This Row],[Dest OM]:[Dest GN]]) +Rezone!N8 + IF("Ch_"&amp; home_land=TblConstr[[#Headers],[Ch_Mountain]],TblConstr[[#This Row],[Home Land]])+IF(TblConstr[[#This Row],[Hour]:[Hour]]&gt;12,OFFSET(TblExplore[[#This Row],[Mountain Explore]],-12,0),0)</f>
        <v>0</v>
      </c>
      <c r="CT8" s="183">
        <f ca="1">-SUM(TblConstr[[#This Row],[Fac]:[Shr]])+SUM(TblConstr[[#This Row],[Dest Fac]:[Dest Shr]]) +Rezone!O8 + IF("Ch_" &amp; home_land=TblConstr[[#Headers],[Ch_Hill]],TblConstr[[#This Row],[Home Land]])+IF(TblConstr[[#This Row],[Hour]:[Hour]]&gt;12,OFFSET(TblExplore[[#This Row],[Hill Explore]],-12,0),0)</f>
        <v>0</v>
      </c>
      <c r="CU8" s="184">
        <f ca="1">-SUM(TblConstr[[#This Row],[Tow]:[WG]])+SUM(TblConstr[[#This Row],[Dest Tow]:[Dest WG]]) +Rezone!P8 + IF("Ch_" &amp; home_land=TblConstr[[#Headers],[Ch_Swamp]],TblConstr[[#This Row],[Home Land]])+IF(TblConstr[[#This Row],[Hour]:[Hour]]&gt;12,OFFSET(TblExplore[[#This Row],[Swamp Explore]],-12,0),0)</f>
        <v>0</v>
      </c>
      <c r="CV8" s="185">
        <f ca="1" xml:space="preserve"> - SUM(TblConstr[[#This Row],[DM]:[Sch]])+SUM(TblConstr[[#This Row],[Dest DM]:[Dest Sch]]) +Rezone!Q8 + IF("Ch_" &amp; home_land=TblConstr[[#Headers],[Ch_Cavern]],TblConstr[[#This Row],[Home Land]])+IF(TblConstr[[#This Row],[Hour]:[Hour]]&gt;12,OFFSET(TblExplore[[#This Row],[Cavern Explore]],-12,0),0)</f>
        <v>0</v>
      </c>
      <c r="CW8" s="186">
        <f ca="1">-TblConstr[[#This Row],[Doc]]+TblConstr[[#This Row],[Dest Doc]] +Rezone!R8 + IF("Ch_" &amp; home_land=TblConstr[[#Headers],[Ch_Water]],TblConstr[[#This Row],[Home Land]])+IF(TblConstr[[#This Row],[Hour]:[Hour]]&gt;12,OFFSET(TblExplore[[#This Row],[Water Explore]],-12,0),0)</f>
        <v>0</v>
      </c>
      <c r="CX8" s="45">
        <f>IF(Explore!S8=1,20) - TblConstr[[#This Row],[Hom]] + TblConstr[[#This Row],[Dest Hom]]</f>
        <v>0</v>
      </c>
      <c r="CY8" s="142"/>
      <c r="CZ8" s="94">
        <f ca="1">G8+SUM(P$4:S8)+SUM(AZ8:BC8)</f>
        <v>30</v>
      </c>
      <c r="DA8" s="94">
        <f ca="1">H8+SUM(T$4:U8)+SUM(BD8:BE8)</f>
        <v>20</v>
      </c>
      <c r="DB8" s="45">
        <f ca="1">I8+SUM(V$4:W8)+SUM(BF8:BG8)</f>
        <v>0</v>
      </c>
      <c r="DC8" s="94">
        <f ca="1">J8+SUM(X$4:Y8)+SUM(BH8:BI8)</f>
        <v>0</v>
      </c>
      <c r="DD8" s="94">
        <f ca="1">K8+SUM(AB$4:AD8)+SUM(BL8:BN8)</f>
        <v>0</v>
      </c>
      <c r="DE8" s="45">
        <f ca="1">L8+SUM(AE$4:AE8)+BO8</f>
        <v>0</v>
      </c>
      <c r="DF8" s="94">
        <f ca="1">M8+SUM(AG$4:AG8)+BQ8</f>
        <v>0</v>
      </c>
      <c r="DG8" s="94" cm="1">
        <f t="array" aca="1" ref="DG8" ca="1">INDEX(TblConstr[[Total Plain]:[Total Water]],ROW()-ROW(TblConstr[#Headers]),MATCH("Total "&amp;home_land,TblConstr[[#Headers],[Total Plain]:[Total Water]],0))+TblConstr[[#This Row],[Homes]]</f>
        <v>30</v>
      </c>
      <c r="DH8" s="45">
        <f ca="1">SUM(O$4:O8)+AY8</f>
        <v>0</v>
      </c>
      <c r="DI8" s="45">
        <f t="shared" ca="1" si="0"/>
        <v>0</v>
      </c>
      <c r="DJ8" s="45">
        <f t="shared" ca="1" si="1"/>
        <v>0</v>
      </c>
    </row>
    <row r="9" spans="1:114" hidden="1" x14ac:dyDescent="0.2">
      <c r="A9" s="175">
        <f>TblRezone[[#This Row],[Hour]]</f>
        <v>6</v>
      </c>
      <c r="B9" s="176">
        <f ca="1">SUM(TblConstr[[#This Row],[Plain]:[Water]])</f>
        <v>0</v>
      </c>
      <c r="C9" s="177">
        <f ca="1">SUM(TblConstr[[#This Row],[Tot Hom]:[Tot Doc]])</f>
        <v>50</v>
      </c>
      <c r="D9" s="177">
        <f>SUM(O$4:AG9)</f>
        <v>0</v>
      </c>
      <c r="E9" s="178"/>
      <c r="F9" s="61">
        <f ca="1">TblConstr[[#This Row],[Barren]]+TblConstr[[#This Row],[Buildings]]+TblConstr[[#This Row],[Incoming]]</f>
        <v>50</v>
      </c>
      <c r="G9" s="187">
        <f ca="1">OFFSET(TblConstr[[#This Row],[Plain]],-1,0)+TblConstr[[#This Row],[Ch_Plain]]</f>
        <v>0</v>
      </c>
      <c r="H9" s="182">
        <f ca="1">OFFSET(TblConstr[[#This Row],[Forest]],-1,0)+TblConstr[[#This Row],[Ch_Forest]]</f>
        <v>0</v>
      </c>
      <c r="I9" s="359">
        <f ca="1">OFFSET(TblConstr[[#This Row],[Mountain]],-1,0)+TblConstr[[#This Row],[Ch_Mountain]]</f>
        <v>0</v>
      </c>
      <c r="J9" s="363">
        <f ca="1">OFFSET(TblConstr[[#This Row],[Hill]],-1,0)+TblConstr[[#This Row],[Ch_Hill]]</f>
        <v>0</v>
      </c>
      <c r="K9" s="367">
        <f ca="1">OFFSET(TblConstr[[#This Row],[Swamp]],-1,0)+TblConstr[[#This Row],[Ch_Swamp]]</f>
        <v>0</v>
      </c>
      <c r="L9" s="185">
        <f ca="1">OFFSET(TblConstr[[#This Row],[Cavern]],-1,0)+TblConstr[[#This Row],[Ch_Cavern]]</f>
        <v>0</v>
      </c>
      <c r="M9" s="186">
        <f ca="1">OFFSET(TblConstr[[#This Row],[Water]],-1,0)+TblConstr[[#This Row],[Ch_Water]]</f>
        <v>0</v>
      </c>
      <c r="N9" s="357">
        <f>TblRezone[[#This Row],[Hour]]</f>
        <v>6</v>
      </c>
      <c r="AH9" s="53">
        <f ca="1">TblImps[[#This Row],[Time]]</f>
        <v>46047.208333333321</v>
      </c>
      <c r="AI9" s="180">
        <f ca="1">MIN(25%,(TblConstr[[#This Row],[Tot Fac]]+TblConstr[[#This Row],[Dest Fac]])/(TblConstr[[#This Row],[Land]]-TblExplore[[#This Row],[Land Bonus]]*20))</f>
        <v>0</v>
      </c>
      <c r="AJ9" s="180">
        <f ca="1">MIN(25%,(TblConstr[[#This Row],[Tot Fac]]+TblConstr[[#This Row],[Dest Fac]])/TblConstr[[#This Row],[Land]])</f>
        <v>0</v>
      </c>
      <c r="AK9" s="94">
        <f ca="1">TblProd[[#This Row],[Platinum]]</f>
        <v>56575</v>
      </c>
      <c r="AL9" s="94">
        <f ca="1">TblProd[[#This Row],[Lumber]]</f>
        <v>19167</v>
      </c>
      <c r="AM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9" s="94">
        <f ca="1">ROUNDDOWN( MAX(1 - MIN(facs_constr_factor*TblConstr[[#This Row],[Facs -DB]],facs_constr_max) + tech_1_11*TblTech[[#This Row],[11-1]] + tech_6_3_2*TblTech[[#This Row],[6-3]] + tech_5_2_3*TblTech[[#This Row],[5-2]], 1-global_constr_cap) * TblConstr[[#This Row],[RCPA Lumber]],0)</f>
        <v>31</v>
      </c>
      <c r="AO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9" s="94">
        <f ca="1">ROUNDDOWN( MAX(1 - MIN(facs_constr_factor*TblConstr[[#This Row],[Facs DB]],facs_constr_max) + tech_1_11*TblTech[[#This Row],[1-11]] + tech_6_3_2*TblTech[[#This Row],[6-3]] + tech_5_2_3*TblTech[[#This Row],[5-2]], 1-global_constr_cap) * ROUND((TblConstr[[#This Row],[Land]]-250)*0.285 + 87.5 + 0/4.25,0),0)</f>
        <v>31</v>
      </c>
      <c r="AQ9" s="45">
        <f ca="1">TblConstr[[#This Row],[build -db]]*TblConstr[[#This Row],[CPA Platinum -DB]] + TblConstr[[#This Row],[build db]]*TblConstr[[#This Row],[CPA Platinum DB]]</f>
        <v>0</v>
      </c>
      <c r="AR9" s="45">
        <f ca="1">TblConstr[[#This Row],[build -db]]*TblConstr[[#This Row],[CPA Lumber -DB]] + TblConstr[[#This Row],[build db]]*TblConstr[[#This Row],[CPA Lumber DB]]</f>
        <v>0</v>
      </c>
      <c r="AS9" s="94">
        <f ca="1">MIN(SUM(OFFSET(TblConstr[[#This Row],[Plain]:[Water]],-1,0))+SUM(TblConstr[[#This Row],[Dest Hom]:[Dest Doc]])+IF(TblConstr[[#This Row],[Hour]]&gt;12,SUM(OFFSET(TblExplore[[#This Row],[Plains Explore]:[Water Explore]],-12,0)),0),SUM(TblConstr[[#This Row],[Hom]:[Doc]]))</f>
        <v>0</v>
      </c>
      <c r="AT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 s="142"/>
      <c r="AV9" s="94">
        <f ca="1">ROUND((TblConstr[[#This Row],[Land]]-250 - IF(TblExplore[[#This Row],[Land Bonus]]&lt;&gt;0,20,0))*1.25 + 850 + 0,0)</f>
        <v>600</v>
      </c>
      <c r="AW9" s="94">
        <f ca="1">ROUND((TblConstr[[#This Row],[Land]]-250 - IF(TblExplore[[#This Row],[Land Bonus]]&lt;&gt;0,20,0))*0.285 + 87.5 + 0/4.25,0)</f>
        <v>31</v>
      </c>
      <c r="AX9" s="154"/>
      <c r="AY9" s="188" cm="1">
        <f t="array" aca="1" ref="AY9" ca="1">IF(TblConstr[[#This Row],[Hour]:[Hour]]&gt;12,OFFSET(TblConstr[[#This Row],[Hom]],-12,0),0)+OFFSET(TblConstr[[#This Row],[Tot Hom]],-1,0)-TblConstr[[#This Row],[Dest Hom]]</f>
        <v>0</v>
      </c>
      <c r="AZ9" s="189" cm="1">
        <f t="array" aca="1" ref="AZ9" ca="1">IF(TblConstr[[#This Row],[Hour]:[Hour]]&gt;12,OFFSET(TblConstr[[#This Row],[Alc]],-12,0),0)+OFFSET(TblConstr[[#This Row],[Tot Alc]],-1,0)-TblConstr[[#This Row],[Dest Alc]]</f>
        <v>0</v>
      </c>
      <c r="BA9" s="189" cm="1">
        <f t="array" aca="1" ref="BA9" ca="1">IF(TblConstr[[#This Row],[Hour]:[Hour]]&gt;12,OFFSET(TblConstr[[#This Row],[Far]],-12,0),0)+OFFSET(TblConstr[[#This Row],[Tot Farm]],-1,0)-TblConstr[[#This Row],[Dest Farm]]</f>
        <v>30</v>
      </c>
      <c r="BB9" s="189" cm="1">
        <f t="array" aca="1" ref="BB9" ca="1">IF(TblConstr[[#This Row],[Hour]:[Hour]]&gt;12,OFFSET(TblConstr[[#This Row],[Smi]],-12,0),0)+OFFSET(TblConstr[[#This Row],[Tot Smi]],-1,0)-TblConstr[[#This Row],[Dest Smi]]</f>
        <v>0</v>
      </c>
      <c r="BC9" s="189" cm="1">
        <f t="array" aca="1" ref="BC9" ca="1">IF(TblConstr[[#This Row],[Hour]:[Hour]]&gt;12,OFFSET(TblConstr[[#This Row],[Mas]],-12,0),0)+OFFSET(TblConstr[[#This Row],[Tot Mas]],-1,0)-TblConstr[[#This Row],[Dest Mas]]</f>
        <v>0</v>
      </c>
      <c r="BD9" s="190" cm="1">
        <f t="array" aca="1" ref="BD9" ca="1">IF(TblConstr[[#This Row],[Hour]:[Hour]]&gt;12,OFFSET(TblConstr[[#This Row],[Ly]],-12,0),0)+OFFSET(TblConstr[[#This Row],[Tot Ly]],-1,0)-TblConstr[[#This Row],[Dest Ly]]</f>
        <v>20</v>
      </c>
      <c r="BE9" s="190" cm="1">
        <f t="array" aca="1" ref="BE9" ca="1">IF(TblConstr[[#This Row],[Hour]:[Hour]]&gt;12,OFFSET(TblConstr[[#This Row],[Hav]],-12,0),0)+OFFSET(TblConstr[[#This Row],[Tot Hav]],-1,0)-TblConstr[[#This Row],[Dest Hav]]</f>
        <v>0</v>
      </c>
      <c r="BF9" s="361" cm="1">
        <f t="array" aca="1" ref="BF9" ca="1">IF(TblConstr[[#This Row],[Hour]:[Hour]]&gt;12,OFFSET(TblConstr[[#This Row],[OM]],-12,0),0)+OFFSET(TblConstr[[#This Row],[Tot OM]],-1,0)-TblConstr[[#This Row],[Dest OM]]</f>
        <v>0</v>
      </c>
      <c r="BG9" s="361" cm="1">
        <f t="array" aca="1" ref="BG9" ca="1">IF(TblConstr[[#This Row],[Hour]:[Hour]]&gt;12,OFFSET(TblConstr[[#This Row],[GN]],-12,0),0)+OFFSET(TblConstr[[#This Row],[Tot GN]],-1,0)-TblConstr[[#This Row],[Dest GN]]</f>
        <v>0</v>
      </c>
      <c r="BH9" s="365" cm="1">
        <f t="array" aca="1" ref="BH9" ca="1">IF(TblConstr[[#This Row],[Hour]:[Hour]]&gt;12,OFFSET(TblConstr[[#This Row],[Fac]],-12,0),0)+OFFSET(TblConstr[[#This Row],[Tot Fac]],-1,0)-TblConstr[[#This Row],[Dest Fac]]</f>
        <v>0</v>
      </c>
      <c r="BI9" s="365" cm="1">
        <f t="array" aca="1" ref="BI9" ca="1">IF(TblConstr[[#This Row],[Hour]:[Hour]]&gt;12,OFFSET(TblConstr[[#This Row],[GT]],-12,0),0)+OFFSET(TblConstr[[#This Row],[Tot GT]],-1,0)-TblConstr[[#This Row],[Dest GT]]</f>
        <v>0</v>
      </c>
      <c r="BJ9" s="365" cm="1">
        <f t="array" aca="1" ref="BJ9" ca="1">IF(TblConstr[[#This Row],[Hour]:[Hour]]&gt;12,OFFSET(TblConstr[[#This Row],[Bar]],-12,0),0)+OFFSET(TblConstr[[#This Row],[Tot Bar]],-1,0)-TblConstr[[#This Row],[Dest Bar]]</f>
        <v>0</v>
      </c>
      <c r="BK9" s="365" cm="1">
        <f t="array" aca="1" ref="BK9" ca="1">IF(TblConstr[[#This Row],[Hour]:[Hour]]&gt;12,OFFSET(TblConstr[[#This Row],[Shr]],-12,0),0)+OFFSET(TblConstr[[#This Row],[Tot Shr]],-1,0)-TblConstr[[#This Row],[Dest Shr]]</f>
        <v>0</v>
      </c>
      <c r="BL9" s="369" cm="1">
        <f t="array" aca="1" ref="BL9" ca="1">IF(TblConstr[[#This Row],[Hour]:[Hour]]&gt;12,OFFSET(TblConstr[[#This Row],[Tow]],-12,0),0)+OFFSET(TblConstr[[#This Row],[Tot Tow]],-1,0)-TblConstr[[#This Row],[Dest Tow]]</f>
        <v>0</v>
      </c>
      <c r="BM9" s="369" cm="1">
        <f t="array" aca="1" ref="BM9" ca="1">IF(TblConstr[[#This Row],[Hour]:[Hour]]&gt;12,OFFSET(TblConstr[[#This Row],[Tem]],-12,0),0)+OFFSET(TblConstr[[#This Row],[Tot Tem]],-1,0)-TblConstr[[#This Row],[Dest Tem]]</f>
        <v>0</v>
      </c>
      <c r="BN9" s="369" cm="1">
        <f t="array" aca="1" ref="BN9" ca="1">IF(TblConstr[[#This Row],[Hour]:[Hour]]&gt;12,OFFSET(TblConstr[[#This Row],[WG]],-12,0),0)+OFFSET(TblConstr[[#This Row],[Tot WG]],-1,0)-TblConstr[[#This Row],[Dest WG]]</f>
        <v>0</v>
      </c>
      <c r="BO9" s="191" cm="1">
        <f t="array" aca="1" ref="BO9" ca="1">IF(TblConstr[[#This Row],[Hour]:[Hour]]&gt;12,OFFSET(TblConstr[[#This Row],[DM]],-12,0),0)+OFFSET(TblConstr[[#This Row],[Tot DM]],-1,0)-TblConstr[[#This Row],[Dest DM]]</f>
        <v>0</v>
      </c>
      <c r="BP9" s="191" cm="1">
        <f t="array" aca="1" ref="BP9" ca="1">IF(TblConstr[[#This Row],[Hour]:[Hour]]&gt;12,OFFSET(TblConstr[[#This Row],[Sch]],-12,0),0)+OFFSET(TblConstr[[#This Row],[Tot Sch]],-1,0)-TblConstr[[#This Row],[Dest Sch]]</f>
        <v>0</v>
      </c>
      <c r="BQ9" s="192" cm="1">
        <f t="array" aca="1" ref="BQ9" ca="1">IF(TblConstr[[#This Row],[Hour]:[Hour]]&gt;12,OFFSET(TblConstr[[#This Row],[Doc]],-12,0),0)+OFFSET(TblConstr[[#This Row],[Tot Doc]],-1,0)-TblConstr[[#This Row],[Dest Doc]]</f>
        <v>0</v>
      </c>
      <c r="BR9" s="142"/>
      <c r="BS9" s="154"/>
      <c r="BT9" s="94">
        <f ca="1">TblConstr[[#This Row],[Land]]</f>
        <v>50</v>
      </c>
      <c r="BU9" s="159">
        <f ca="1">TblImps[[#This Row],[Time]]</f>
        <v>46047.208333333321</v>
      </c>
      <c r="BV9" s="142"/>
      <c r="CP9" s="142"/>
      <c r="CQ9" s="181">
        <f ca="1">-SUM(TblConstr[[#This Row],[Alc]:[Mas]])+SUM(TblConstr[[#This Row],[Dest Alc]:[Dest Mas]])+Rezone!L9+IF("Ch_"&amp; home_land=TblConstr[[#Headers],[Ch_Plain]],TblConstr[[#This Row],[Home Land]])+IF(TblConstr[[#This Row],[Hour]:[Hour]]&gt;12,OFFSET(TblExplore[[#This Row],[Plains Explore]],-12,0),0)</f>
        <v>0</v>
      </c>
      <c r="CR9" s="182">
        <f ca="1">-SUM(TblConstr[[#This Row],[Ly]:[Hav]])+SUM(TblConstr[[#This Row],[Dest Ly]:[Dest Hav]]) +Rezone!M9 + IF("Ch_"&amp; home_land=TblConstr[[#Headers],[Ch_Forest]],TblConstr[[#This Row],[Home Land]])+IF(TblConstr[[#This Row],[Hour]:[Hour]]&gt;12,OFFSET(TblExplore[[#This Row],[Forest Explore]],-12,0),0)</f>
        <v>0</v>
      </c>
      <c r="CS9" s="359">
        <f ca="1">-SUM(TblConstr[[#This Row],[OM]:[GN]])+SUM(TblConstr[[#This Row],[Dest OM]:[Dest GN]]) +Rezone!N9 + IF("Ch_"&amp; home_land=TblConstr[[#Headers],[Ch_Mountain]],TblConstr[[#This Row],[Home Land]])+IF(TblConstr[[#This Row],[Hour]:[Hour]]&gt;12,OFFSET(TblExplore[[#This Row],[Mountain Explore]],-12,0),0)</f>
        <v>0</v>
      </c>
      <c r="CT9" s="183">
        <f ca="1">-SUM(TblConstr[[#This Row],[Fac]:[Shr]])+SUM(TblConstr[[#This Row],[Dest Fac]:[Dest Shr]]) +Rezone!O9 + IF("Ch_" &amp; home_land=TblConstr[[#Headers],[Ch_Hill]],TblConstr[[#This Row],[Home Land]])+IF(TblConstr[[#This Row],[Hour]:[Hour]]&gt;12,OFFSET(TblExplore[[#This Row],[Hill Explore]],-12,0),0)</f>
        <v>0</v>
      </c>
      <c r="CU9" s="184">
        <f ca="1">-SUM(TblConstr[[#This Row],[Tow]:[WG]])+SUM(TblConstr[[#This Row],[Dest Tow]:[Dest WG]]) +Rezone!P9 + IF("Ch_" &amp; home_land=TblConstr[[#Headers],[Ch_Swamp]],TblConstr[[#This Row],[Home Land]])+IF(TblConstr[[#This Row],[Hour]:[Hour]]&gt;12,OFFSET(TblExplore[[#This Row],[Swamp Explore]],-12,0),0)</f>
        <v>0</v>
      </c>
      <c r="CV9" s="185">
        <f ca="1" xml:space="preserve"> - SUM(TblConstr[[#This Row],[DM]:[Sch]])+SUM(TblConstr[[#This Row],[Dest DM]:[Dest Sch]]) +Rezone!Q9 + IF("Ch_" &amp; home_land=TblConstr[[#Headers],[Ch_Cavern]],TblConstr[[#This Row],[Home Land]])+IF(TblConstr[[#This Row],[Hour]:[Hour]]&gt;12,OFFSET(TblExplore[[#This Row],[Cavern Explore]],-12,0),0)</f>
        <v>0</v>
      </c>
      <c r="CW9" s="186">
        <f ca="1">-TblConstr[[#This Row],[Doc]]+TblConstr[[#This Row],[Dest Doc]] +Rezone!R9 + IF("Ch_" &amp; home_land=TblConstr[[#Headers],[Ch_Water]],TblConstr[[#This Row],[Home Land]])+IF(TblConstr[[#This Row],[Hour]:[Hour]]&gt;12,OFFSET(TblExplore[[#This Row],[Water Explore]],-12,0),0)</f>
        <v>0</v>
      </c>
      <c r="CX9" s="45">
        <f>IF(Explore!S9=1,20) - TblConstr[[#This Row],[Hom]] + TblConstr[[#This Row],[Dest Hom]]</f>
        <v>0</v>
      </c>
      <c r="CY9" s="142"/>
      <c r="CZ9" s="94">
        <f ca="1">G9+SUM(P$4:S9)+SUM(AZ9:BC9)</f>
        <v>30</v>
      </c>
      <c r="DA9" s="94">
        <f ca="1">H9+SUM(T$4:U9)+SUM(BD9:BE9)</f>
        <v>20</v>
      </c>
      <c r="DB9" s="45">
        <f ca="1">I9+SUM(V$4:W9)+SUM(BF9:BG9)</f>
        <v>0</v>
      </c>
      <c r="DC9" s="94">
        <f ca="1">J9+SUM(X$4:Y9)+SUM(BH9:BI9)</f>
        <v>0</v>
      </c>
      <c r="DD9" s="94">
        <f ca="1">K9+SUM(AB$4:AD9)+SUM(BL9:BN9)</f>
        <v>0</v>
      </c>
      <c r="DE9" s="45">
        <f ca="1">L9+SUM(AE$4:AE9)+BO9</f>
        <v>0</v>
      </c>
      <c r="DF9" s="94">
        <f ca="1">M9+SUM(AG$4:AG9)+BQ9</f>
        <v>0</v>
      </c>
      <c r="DG9" s="94" cm="1">
        <f t="array" aca="1" ref="DG9" ca="1">INDEX(TblConstr[[Total Plain]:[Total Water]],ROW()-ROW(TblConstr[#Headers]),MATCH("Total "&amp;home_land,TblConstr[[#Headers],[Total Plain]:[Total Water]],0))+TblConstr[[#This Row],[Homes]]</f>
        <v>30</v>
      </c>
      <c r="DH9" s="45">
        <f ca="1">SUM(O$4:O9)+AY9</f>
        <v>0</v>
      </c>
      <c r="DI9" s="45">
        <f t="shared" ca="1" si="0"/>
        <v>0</v>
      </c>
      <c r="DJ9" s="45">
        <f t="shared" ca="1" si="1"/>
        <v>0</v>
      </c>
    </row>
    <row r="10" spans="1:114" hidden="1" x14ac:dyDescent="0.2">
      <c r="A10" s="175">
        <f>TblRezone[[#This Row],[Hour]]</f>
        <v>7</v>
      </c>
      <c r="B10" s="176">
        <f ca="1">SUM(TblConstr[[#This Row],[Plain]:[Water]])</f>
        <v>0</v>
      </c>
      <c r="C10" s="177">
        <f ca="1">SUM(TblConstr[[#This Row],[Tot Hom]:[Tot Doc]])</f>
        <v>50</v>
      </c>
      <c r="D10" s="177">
        <f>SUM(O$4:AG10)</f>
        <v>0</v>
      </c>
      <c r="E10" s="178"/>
      <c r="F10" s="61">
        <f ca="1">TblConstr[[#This Row],[Barren]]+TblConstr[[#This Row],[Buildings]]+TblConstr[[#This Row],[Incoming]]</f>
        <v>50</v>
      </c>
      <c r="G10" s="187">
        <f ca="1">OFFSET(TblConstr[[#This Row],[Plain]],-1,0)+TblConstr[[#This Row],[Ch_Plain]]</f>
        <v>0</v>
      </c>
      <c r="H10" s="182">
        <f ca="1">OFFSET(TblConstr[[#This Row],[Forest]],-1,0)+TblConstr[[#This Row],[Ch_Forest]]</f>
        <v>0</v>
      </c>
      <c r="I10" s="359">
        <f ca="1">OFFSET(TblConstr[[#This Row],[Mountain]],-1,0)+TblConstr[[#This Row],[Ch_Mountain]]</f>
        <v>0</v>
      </c>
      <c r="J10" s="363">
        <f ca="1">OFFSET(TblConstr[[#This Row],[Hill]],-1,0)+TblConstr[[#This Row],[Ch_Hill]]</f>
        <v>0</v>
      </c>
      <c r="K10" s="367">
        <f ca="1">OFFSET(TblConstr[[#This Row],[Swamp]],-1,0)+TblConstr[[#This Row],[Ch_Swamp]]</f>
        <v>0</v>
      </c>
      <c r="L10" s="185">
        <f ca="1">OFFSET(TblConstr[[#This Row],[Cavern]],-1,0)+TblConstr[[#This Row],[Ch_Cavern]]</f>
        <v>0</v>
      </c>
      <c r="M10" s="186">
        <f ca="1">OFFSET(TblConstr[[#This Row],[Water]],-1,0)+TblConstr[[#This Row],[Ch_Water]]</f>
        <v>0</v>
      </c>
      <c r="N10" s="357">
        <f>TblRezone[[#This Row],[Hour]]</f>
        <v>7</v>
      </c>
      <c r="AH10" s="53">
        <f ca="1">TblImps[[#This Row],[Time]]</f>
        <v>46047.249999999985</v>
      </c>
      <c r="AI10" s="180">
        <f ca="1">MIN(25%,(TblConstr[[#This Row],[Tot Fac]]+TblConstr[[#This Row],[Dest Fac]])/(TblConstr[[#This Row],[Land]]-TblExplore[[#This Row],[Land Bonus]]*20))</f>
        <v>0</v>
      </c>
      <c r="AJ10" s="180">
        <f ca="1">MIN(25%,(TblConstr[[#This Row],[Tot Fac]]+TblConstr[[#This Row],[Dest Fac]])/TblConstr[[#This Row],[Land]])</f>
        <v>0</v>
      </c>
      <c r="AK10" s="94">
        <f ca="1">TblProd[[#This Row],[Platinum]]</f>
        <v>57968</v>
      </c>
      <c r="AL10" s="94">
        <f ca="1">TblProd[[#This Row],[Lumber]]</f>
        <v>19975</v>
      </c>
      <c r="AM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0" s="94">
        <f ca="1">ROUNDDOWN( MAX(1 - MIN(facs_constr_factor*TblConstr[[#This Row],[Facs -DB]],facs_constr_max) + tech_1_11*TblTech[[#This Row],[11-1]] + tech_6_3_2*TblTech[[#This Row],[6-3]] + tech_5_2_3*TblTech[[#This Row],[5-2]], 1-global_constr_cap) * TblConstr[[#This Row],[RCPA Lumber]],0)</f>
        <v>31</v>
      </c>
      <c r="AO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0" s="94">
        <f ca="1">ROUNDDOWN( MAX(1 - MIN(facs_constr_factor*TblConstr[[#This Row],[Facs DB]],facs_constr_max) + tech_1_11*TblTech[[#This Row],[1-11]] + tech_6_3_2*TblTech[[#This Row],[6-3]] + tech_5_2_3*TblTech[[#This Row],[5-2]], 1-global_constr_cap) * ROUND((TblConstr[[#This Row],[Land]]-250)*0.285 + 87.5 + 0/4.25,0),0)</f>
        <v>31</v>
      </c>
      <c r="AQ10" s="45">
        <f ca="1">TblConstr[[#This Row],[build -db]]*TblConstr[[#This Row],[CPA Platinum -DB]] + TblConstr[[#This Row],[build db]]*TblConstr[[#This Row],[CPA Platinum DB]]</f>
        <v>0</v>
      </c>
      <c r="AR10" s="45">
        <f ca="1">TblConstr[[#This Row],[build -db]]*TblConstr[[#This Row],[CPA Lumber -DB]] + TblConstr[[#This Row],[build db]]*TblConstr[[#This Row],[CPA Lumber DB]]</f>
        <v>0</v>
      </c>
      <c r="AS10" s="94">
        <f ca="1">MIN(SUM(OFFSET(TblConstr[[#This Row],[Plain]:[Water]],-1,0))+SUM(TblConstr[[#This Row],[Dest Hom]:[Dest Doc]])+IF(TblConstr[[#This Row],[Hour]]&gt;12,SUM(OFFSET(TblExplore[[#This Row],[Plains Explore]:[Water Explore]],-12,0)),0),SUM(TblConstr[[#This Row],[Hom]:[Doc]]))</f>
        <v>0</v>
      </c>
      <c r="AT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 s="142"/>
      <c r="AV10" s="94">
        <f ca="1">ROUND((TblConstr[[#This Row],[Land]]-250 - IF(TblExplore[[#This Row],[Land Bonus]]&lt;&gt;0,20,0))*1.25 + 850 + 0,0)</f>
        <v>600</v>
      </c>
      <c r="AW10" s="94">
        <f ca="1">ROUND((TblConstr[[#This Row],[Land]]-250 - IF(TblExplore[[#This Row],[Land Bonus]]&lt;&gt;0,20,0))*0.285 + 87.5 + 0/4.25,0)</f>
        <v>31</v>
      </c>
      <c r="AX10" s="154"/>
      <c r="AY10" s="188" cm="1">
        <f t="array" aca="1" ref="AY10" ca="1">IF(TblConstr[[#This Row],[Hour]:[Hour]]&gt;12,OFFSET(TblConstr[[#This Row],[Hom]],-12,0),0)+OFFSET(TblConstr[[#This Row],[Tot Hom]],-1,0)-TblConstr[[#This Row],[Dest Hom]]</f>
        <v>0</v>
      </c>
      <c r="AZ10" s="189" cm="1">
        <f t="array" aca="1" ref="AZ10" ca="1">IF(TblConstr[[#This Row],[Hour]:[Hour]]&gt;12,OFFSET(TblConstr[[#This Row],[Alc]],-12,0),0)+OFFSET(TblConstr[[#This Row],[Tot Alc]],-1,0)-TblConstr[[#This Row],[Dest Alc]]</f>
        <v>0</v>
      </c>
      <c r="BA10" s="189" cm="1">
        <f t="array" aca="1" ref="BA10" ca="1">IF(TblConstr[[#This Row],[Hour]:[Hour]]&gt;12,OFFSET(TblConstr[[#This Row],[Far]],-12,0),0)+OFFSET(TblConstr[[#This Row],[Tot Farm]],-1,0)-TblConstr[[#This Row],[Dest Farm]]</f>
        <v>30</v>
      </c>
      <c r="BB10" s="189" cm="1">
        <f t="array" aca="1" ref="BB10" ca="1">IF(TblConstr[[#This Row],[Hour]:[Hour]]&gt;12,OFFSET(TblConstr[[#This Row],[Smi]],-12,0),0)+OFFSET(TblConstr[[#This Row],[Tot Smi]],-1,0)-TblConstr[[#This Row],[Dest Smi]]</f>
        <v>0</v>
      </c>
      <c r="BC10" s="189" cm="1">
        <f t="array" aca="1" ref="BC10" ca="1">IF(TblConstr[[#This Row],[Hour]:[Hour]]&gt;12,OFFSET(TblConstr[[#This Row],[Mas]],-12,0),0)+OFFSET(TblConstr[[#This Row],[Tot Mas]],-1,0)-TblConstr[[#This Row],[Dest Mas]]</f>
        <v>0</v>
      </c>
      <c r="BD10" s="190" cm="1">
        <f t="array" aca="1" ref="BD10" ca="1">IF(TblConstr[[#This Row],[Hour]:[Hour]]&gt;12,OFFSET(TblConstr[[#This Row],[Ly]],-12,0),0)+OFFSET(TblConstr[[#This Row],[Tot Ly]],-1,0)-TblConstr[[#This Row],[Dest Ly]]</f>
        <v>20</v>
      </c>
      <c r="BE10" s="190" cm="1">
        <f t="array" aca="1" ref="BE10" ca="1">IF(TblConstr[[#This Row],[Hour]:[Hour]]&gt;12,OFFSET(TblConstr[[#This Row],[Hav]],-12,0),0)+OFFSET(TblConstr[[#This Row],[Tot Hav]],-1,0)-TblConstr[[#This Row],[Dest Hav]]</f>
        <v>0</v>
      </c>
      <c r="BF10" s="361" cm="1">
        <f t="array" aca="1" ref="BF10" ca="1">IF(TblConstr[[#This Row],[Hour]:[Hour]]&gt;12,OFFSET(TblConstr[[#This Row],[OM]],-12,0),0)+OFFSET(TblConstr[[#This Row],[Tot OM]],-1,0)-TblConstr[[#This Row],[Dest OM]]</f>
        <v>0</v>
      </c>
      <c r="BG10" s="361" cm="1">
        <f t="array" aca="1" ref="BG10" ca="1">IF(TblConstr[[#This Row],[Hour]:[Hour]]&gt;12,OFFSET(TblConstr[[#This Row],[GN]],-12,0),0)+OFFSET(TblConstr[[#This Row],[Tot GN]],-1,0)-TblConstr[[#This Row],[Dest GN]]</f>
        <v>0</v>
      </c>
      <c r="BH10" s="365" cm="1">
        <f t="array" aca="1" ref="BH10" ca="1">IF(TblConstr[[#This Row],[Hour]:[Hour]]&gt;12,OFFSET(TblConstr[[#This Row],[Fac]],-12,0),0)+OFFSET(TblConstr[[#This Row],[Tot Fac]],-1,0)-TblConstr[[#This Row],[Dest Fac]]</f>
        <v>0</v>
      </c>
      <c r="BI10" s="365" cm="1">
        <f t="array" aca="1" ref="BI10" ca="1">IF(TblConstr[[#This Row],[Hour]:[Hour]]&gt;12,OFFSET(TblConstr[[#This Row],[GT]],-12,0),0)+OFFSET(TblConstr[[#This Row],[Tot GT]],-1,0)-TblConstr[[#This Row],[Dest GT]]</f>
        <v>0</v>
      </c>
      <c r="BJ10" s="365" cm="1">
        <f t="array" aca="1" ref="BJ10" ca="1">IF(TblConstr[[#This Row],[Hour]:[Hour]]&gt;12,OFFSET(TblConstr[[#This Row],[Bar]],-12,0),0)+OFFSET(TblConstr[[#This Row],[Tot Bar]],-1,0)-TblConstr[[#This Row],[Dest Bar]]</f>
        <v>0</v>
      </c>
      <c r="BK10" s="365" cm="1">
        <f t="array" aca="1" ref="BK10" ca="1">IF(TblConstr[[#This Row],[Hour]:[Hour]]&gt;12,OFFSET(TblConstr[[#This Row],[Shr]],-12,0),0)+OFFSET(TblConstr[[#This Row],[Tot Shr]],-1,0)-TblConstr[[#This Row],[Dest Shr]]</f>
        <v>0</v>
      </c>
      <c r="BL10" s="369" cm="1">
        <f t="array" aca="1" ref="BL10" ca="1">IF(TblConstr[[#This Row],[Hour]:[Hour]]&gt;12,OFFSET(TblConstr[[#This Row],[Tow]],-12,0),0)+OFFSET(TblConstr[[#This Row],[Tot Tow]],-1,0)-TblConstr[[#This Row],[Dest Tow]]</f>
        <v>0</v>
      </c>
      <c r="BM10" s="369" cm="1">
        <f t="array" aca="1" ref="BM10" ca="1">IF(TblConstr[[#This Row],[Hour]:[Hour]]&gt;12,OFFSET(TblConstr[[#This Row],[Tem]],-12,0),0)+OFFSET(TblConstr[[#This Row],[Tot Tem]],-1,0)-TblConstr[[#This Row],[Dest Tem]]</f>
        <v>0</v>
      </c>
      <c r="BN10" s="369" cm="1">
        <f t="array" aca="1" ref="BN10" ca="1">IF(TblConstr[[#This Row],[Hour]:[Hour]]&gt;12,OFFSET(TblConstr[[#This Row],[WG]],-12,0),0)+OFFSET(TblConstr[[#This Row],[Tot WG]],-1,0)-TblConstr[[#This Row],[Dest WG]]</f>
        <v>0</v>
      </c>
      <c r="BO10" s="191" cm="1">
        <f t="array" aca="1" ref="BO10" ca="1">IF(TblConstr[[#This Row],[Hour]:[Hour]]&gt;12,OFFSET(TblConstr[[#This Row],[DM]],-12,0),0)+OFFSET(TblConstr[[#This Row],[Tot DM]],-1,0)-TblConstr[[#This Row],[Dest DM]]</f>
        <v>0</v>
      </c>
      <c r="BP10" s="191" cm="1">
        <f t="array" aca="1" ref="BP10" ca="1">IF(TblConstr[[#This Row],[Hour]:[Hour]]&gt;12,OFFSET(TblConstr[[#This Row],[Sch]],-12,0),0)+OFFSET(TblConstr[[#This Row],[Tot Sch]],-1,0)-TblConstr[[#This Row],[Dest Sch]]</f>
        <v>0</v>
      </c>
      <c r="BQ10" s="192" cm="1">
        <f t="array" aca="1" ref="BQ10" ca="1">IF(TblConstr[[#This Row],[Hour]:[Hour]]&gt;12,OFFSET(TblConstr[[#This Row],[Doc]],-12,0),0)+OFFSET(TblConstr[[#This Row],[Tot Doc]],-1,0)-TblConstr[[#This Row],[Dest Doc]]</f>
        <v>0</v>
      </c>
      <c r="BR10" s="142"/>
      <c r="BS10" s="154"/>
      <c r="BT10" s="94">
        <f ca="1">TblConstr[[#This Row],[Land]]</f>
        <v>50</v>
      </c>
      <c r="BU10" s="159">
        <f ca="1">TblImps[[#This Row],[Time]]</f>
        <v>46047.249999999985</v>
      </c>
      <c r="BV10" s="142"/>
      <c r="CP10" s="142"/>
      <c r="CQ10" s="181">
        <f ca="1">-SUM(TblConstr[[#This Row],[Alc]:[Mas]])+SUM(TblConstr[[#This Row],[Dest Alc]:[Dest Mas]])+Rezone!L10+IF("Ch_"&amp; home_land=TblConstr[[#Headers],[Ch_Plain]],TblConstr[[#This Row],[Home Land]])+IF(TblConstr[[#This Row],[Hour]:[Hour]]&gt;12,OFFSET(TblExplore[[#This Row],[Plains Explore]],-12,0),0)</f>
        <v>0</v>
      </c>
      <c r="CR10" s="182">
        <f ca="1">-SUM(TblConstr[[#This Row],[Ly]:[Hav]])+SUM(TblConstr[[#This Row],[Dest Ly]:[Dest Hav]]) +Rezone!M10 + IF("Ch_"&amp; home_land=TblConstr[[#Headers],[Ch_Forest]],TblConstr[[#This Row],[Home Land]])+IF(TblConstr[[#This Row],[Hour]:[Hour]]&gt;12,OFFSET(TblExplore[[#This Row],[Forest Explore]],-12,0),0)</f>
        <v>0</v>
      </c>
      <c r="CS10" s="359">
        <f ca="1">-SUM(TblConstr[[#This Row],[OM]:[GN]])+SUM(TblConstr[[#This Row],[Dest OM]:[Dest GN]]) +Rezone!N10 + IF("Ch_"&amp; home_land=TblConstr[[#Headers],[Ch_Mountain]],TblConstr[[#This Row],[Home Land]])+IF(TblConstr[[#This Row],[Hour]:[Hour]]&gt;12,OFFSET(TblExplore[[#This Row],[Mountain Explore]],-12,0),0)</f>
        <v>0</v>
      </c>
      <c r="CT10" s="183">
        <f ca="1">-SUM(TblConstr[[#This Row],[Fac]:[Shr]])+SUM(TblConstr[[#This Row],[Dest Fac]:[Dest Shr]]) +Rezone!O10 + IF("Ch_" &amp; home_land=TblConstr[[#Headers],[Ch_Hill]],TblConstr[[#This Row],[Home Land]])+IF(TblConstr[[#This Row],[Hour]:[Hour]]&gt;12,OFFSET(TblExplore[[#This Row],[Hill Explore]],-12,0),0)</f>
        <v>0</v>
      </c>
      <c r="CU10" s="184">
        <f ca="1">-SUM(TblConstr[[#This Row],[Tow]:[WG]])+SUM(TblConstr[[#This Row],[Dest Tow]:[Dest WG]]) +Rezone!P10 + IF("Ch_" &amp; home_land=TblConstr[[#Headers],[Ch_Swamp]],TblConstr[[#This Row],[Home Land]])+IF(TblConstr[[#This Row],[Hour]:[Hour]]&gt;12,OFFSET(TblExplore[[#This Row],[Swamp Explore]],-12,0),0)</f>
        <v>0</v>
      </c>
      <c r="CV10" s="185">
        <f ca="1" xml:space="preserve"> - SUM(TblConstr[[#This Row],[DM]:[Sch]])+SUM(TblConstr[[#This Row],[Dest DM]:[Dest Sch]]) +Rezone!Q10 + IF("Ch_" &amp; home_land=TblConstr[[#Headers],[Ch_Cavern]],TblConstr[[#This Row],[Home Land]])+IF(TblConstr[[#This Row],[Hour]:[Hour]]&gt;12,OFFSET(TblExplore[[#This Row],[Cavern Explore]],-12,0),0)</f>
        <v>0</v>
      </c>
      <c r="CW10" s="186">
        <f ca="1">-TblConstr[[#This Row],[Doc]]+TblConstr[[#This Row],[Dest Doc]] +Rezone!R10 + IF("Ch_" &amp; home_land=TblConstr[[#Headers],[Ch_Water]],TblConstr[[#This Row],[Home Land]])+IF(TblConstr[[#This Row],[Hour]:[Hour]]&gt;12,OFFSET(TblExplore[[#This Row],[Water Explore]],-12,0),0)</f>
        <v>0</v>
      </c>
      <c r="CX10" s="45">
        <f>IF(Explore!S10=1,20) - TblConstr[[#This Row],[Hom]] + TblConstr[[#This Row],[Dest Hom]]</f>
        <v>0</v>
      </c>
      <c r="CY10" s="142"/>
      <c r="CZ10" s="94">
        <f ca="1">G10+SUM(P$4:S10)+SUM(AZ10:BC10)</f>
        <v>30</v>
      </c>
      <c r="DA10" s="94">
        <f ca="1">H10+SUM(T$4:U10)+SUM(BD10:BE10)</f>
        <v>20</v>
      </c>
      <c r="DB10" s="45">
        <f ca="1">I10+SUM(V$4:W10)+SUM(BF10:BG10)</f>
        <v>0</v>
      </c>
      <c r="DC10" s="94">
        <f ca="1">J10+SUM(X$4:Y10)+SUM(BH10:BI10)</f>
        <v>0</v>
      </c>
      <c r="DD10" s="94">
        <f ca="1">K10+SUM(AB$4:AD10)+SUM(BL10:BN10)</f>
        <v>0</v>
      </c>
      <c r="DE10" s="45">
        <f ca="1">L10+SUM(AE$4:AE10)+BO10</f>
        <v>0</v>
      </c>
      <c r="DF10" s="94">
        <f ca="1">M10+SUM(AG$4:AG10)+BQ10</f>
        <v>0</v>
      </c>
      <c r="DG10" s="94" cm="1">
        <f t="array" aca="1" ref="DG10" ca="1">INDEX(TblConstr[[Total Plain]:[Total Water]],ROW()-ROW(TblConstr[#Headers]),MATCH("Total "&amp;home_land,TblConstr[[#Headers],[Total Plain]:[Total Water]],0))+TblConstr[[#This Row],[Homes]]</f>
        <v>30</v>
      </c>
      <c r="DH10" s="45">
        <f ca="1">SUM(O$4:O10)+AY10</f>
        <v>0</v>
      </c>
      <c r="DI10" s="45">
        <f t="shared" ca="1" si="0"/>
        <v>0</v>
      </c>
      <c r="DJ10" s="45">
        <f t="shared" ca="1" si="1"/>
        <v>0</v>
      </c>
    </row>
    <row r="11" spans="1:114" hidden="1" x14ac:dyDescent="0.2">
      <c r="A11" s="175">
        <f>TblRezone[[#This Row],[Hour]]</f>
        <v>8</v>
      </c>
      <c r="B11" s="176">
        <f ca="1">SUM(TblConstr[[#This Row],[Plain]:[Water]])</f>
        <v>0</v>
      </c>
      <c r="C11" s="177">
        <f ca="1">SUM(TblConstr[[#This Row],[Tot Hom]:[Tot Doc]])</f>
        <v>50</v>
      </c>
      <c r="D11" s="177">
        <f>SUM(O$4:AG11)</f>
        <v>0</v>
      </c>
      <c r="E11" s="178"/>
      <c r="F11" s="61">
        <f ca="1">TblConstr[[#This Row],[Barren]]+TblConstr[[#This Row],[Buildings]]+TblConstr[[#This Row],[Incoming]]</f>
        <v>50</v>
      </c>
      <c r="G11" s="187">
        <f ca="1">OFFSET(TblConstr[[#This Row],[Plain]],-1,0)+TblConstr[[#This Row],[Ch_Plain]]</f>
        <v>0</v>
      </c>
      <c r="H11" s="182">
        <f ca="1">OFFSET(TblConstr[[#This Row],[Forest]],-1,0)+TblConstr[[#This Row],[Ch_Forest]]</f>
        <v>0</v>
      </c>
      <c r="I11" s="359">
        <f ca="1">OFFSET(TblConstr[[#This Row],[Mountain]],-1,0)+TblConstr[[#This Row],[Ch_Mountain]]</f>
        <v>0</v>
      </c>
      <c r="J11" s="363">
        <f ca="1">OFFSET(TblConstr[[#This Row],[Hill]],-1,0)+TblConstr[[#This Row],[Ch_Hill]]</f>
        <v>0</v>
      </c>
      <c r="K11" s="367">
        <f ca="1">OFFSET(TblConstr[[#This Row],[Swamp]],-1,0)+TblConstr[[#This Row],[Ch_Swamp]]</f>
        <v>0</v>
      </c>
      <c r="L11" s="185">
        <f ca="1">OFFSET(TblConstr[[#This Row],[Cavern]],-1,0)+TblConstr[[#This Row],[Ch_Cavern]]</f>
        <v>0</v>
      </c>
      <c r="M11" s="186">
        <f ca="1">OFFSET(TblConstr[[#This Row],[Water]],-1,0)+TblConstr[[#This Row],[Ch_Water]]</f>
        <v>0</v>
      </c>
      <c r="N11" s="357">
        <f>TblRezone[[#This Row],[Hour]]</f>
        <v>8</v>
      </c>
      <c r="AH11" s="53">
        <f ca="1">TblImps[[#This Row],[Time]]</f>
        <v>46047.29166666665</v>
      </c>
      <c r="AI11" s="180">
        <f ca="1">MIN(25%,(TblConstr[[#This Row],[Tot Fac]]+TblConstr[[#This Row],[Dest Fac]])/(TblConstr[[#This Row],[Land]]-TblExplore[[#This Row],[Land Bonus]]*20))</f>
        <v>0</v>
      </c>
      <c r="AJ11" s="180">
        <f ca="1">MIN(25%,(TblConstr[[#This Row],[Tot Fac]]+TblConstr[[#This Row],[Dest Fac]])/TblConstr[[#This Row],[Land]])</f>
        <v>0</v>
      </c>
      <c r="AK11" s="94">
        <f ca="1">TblProd[[#This Row],[Platinum]]</f>
        <v>59388</v>
      </c>
      <c r="AL11" s="94">
        <f ca="1">TblProd[[#This Row],[Lumber]]</f>
        <v>20775</v>
      </c>
      <c r="AM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1" s="94">
        <f ca="1">ROUNDDOWN( MAX(1 - MIN(facs_constr_factor*TblConstr[[#This Row],[Facs -DB]],facs_constr_max) + tech_1_11*TblTech[[#This Row],[11-1]] + tech_6_3_2*TblTech[[#This Row],[6-3]] + tech_5_2_3*TblTech[[#This Row],[5-2]], 1-global_constr_cap) * TblConstr[[#This Row],[RCPA Lumber]],0)</f>
        <v>31</v>
      </c>
      <c r="AO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1" s="94">
        <f ca="1">ROUNDDOWN( MAX(1 - MIN(facs_constr_factor*TblConstr[[#This Row],[Facs DB]],facs_constr_max) + tech_1_11*TblTech[[#This Row],[1-11]] + tech_6_3_2*TblTech[[#This Row],[6-3]] + tech_5_2_3*TblTech[[#This Row],[5-2]], 1-global_constr_cap) * ROUND((TblConstr[[#This Row],[Land]]-250)*0.285 + 87.5 + 0/4.25,0),0)</f>
        <v>31</v>
      </c>
      <c r="AQ11" s="45">
        <f ca="1">TblConstr[[#This Row],[build -db]]*TblConstr[[#This Row],[CPA Platinum -DB]] + TblConstr[[#This Row],[build db]]*TblConstr[[#This Row],[CPA Platinum DB]]</f>
        <v>0</v>
      </c>
      <c r="AR11" s="45">
        <f ca="1">TblConstr[[#This Row],[build -db]]*TblConstr[[#This Row],[CPA Lumber -DB]] + TblConstr[[#This Row],[build db]]*TblConstr[[#This Row],[CPA Lumber DB]]</f>
        <v>0</v>
      </c>
      <c r="AS11" s="94">
        <f ca="1">MIN(SUM(OFFSET(TblConstr[[#This Row],[Plain]:[Water]],-1,0))+SUM(TblConstr[[#This Row],[Dest Hom]:[Dest Doc]])+IF(TblConstr[[#This Row],[Hour]]&gt;12,SUM(OFFSET(TblExplore[[#This Row],[Plains Explore]:[Water Explore]],-12,0)),0),SUM(TblConstr[[#This Row],[Hom]:[Doc]]))</f>
        <v>0</v>
      </c>
      <c r="AT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 s="142"/>
      <c r="AV11" s="94">
        <f ca="1">ROUND((TblConstr[[#This Row],[Land]]-250 - IF(TblExplore[[#This Row],[Land Bonus]]&lt;&gt;0,20,0))*1.25 + 850 + 0,0)</f>
        <v>600</v>
      </c>
      <c r="AW11" s="94">
        <f ca="1">ROUND((TblConstr[[#This Row],[Land]]-250 - IF(TblExplore[[#This Row],[Land Bonus]]&lt;&gt;0,20,0))*0.285 + 87.5 + 0/4.25,0)</f>
        <v>31</v>
      </c>
      <c r="AX11" s="154"/>
      <c r="AY11" s="188" cm="1">
        <f t="array" aca="1" ref="AY11" ca="1">IF(TblConstr[[#This Row],[Hour]:[Hour]]&gt;12,OFFSET(TblConstr[[#This Row],[Hom]],-12,0),0)+OFFSET(TblConstr[[#This Row],[Tot Hom]],-1,0)-TblConstr[[#This Row],[Dest Hom]]</f>
        <v>0</v>
      </c>
      <c r="AZ11" s="189" cm="1">
        <f t="array" aca="1" ref="AZ11" ca="1">IF(TblConstr[[#This Row],[Hour]:[Hour]]&gt;12,OFFSET(TblConstr[[#This Row],[Alc]],-12,0),0)+OFFSET(TblConstr[[#This Row],[Tot Alc]],-1,0)-TblConstr[[#This Row],[Dest Alc]]</f>
        <v>0</v>
      </c>
      <c r="BA11" s="189" cm="1">
        <f t="array" aca="1" ref="BA11" ca="1">IF(TblConstr[[#This Row],[Hour]:[Hour]]&gt;12,OFFSET(TblConstr[[#This Row],[Far]],-12,0),0)+OFFSET(TblConstr[[#This Row],[Tot Farm]],-1,0)-TblConstr[[#This Row],[Dest Farm]]</f>
        <v>30</v>
      </c>
      <c r="BB11" s="189" cm="1">
        <f t="array" aca="1" ref="BB11" ca="1">IF(TblConstr[[#This Row],[Hour]:[Hour]]&gt;12,OFFSET(TblConstr[[#This Row],[Smi]],-12,0),0)+OFFSET(TblConstr[[#This Row],[Tot Smi]],-1,0)-TblConstr[[#This Row],[Dest Smi]]</f>
        <v>0</v>
      </c>
      <c r="BC11" s="189" cm="1">
        <f t="array" aca="1" ref="BC11" ca="1">IF(TblConstr[[#This Row],[Hour]:[Hour]]&gt;12,OFFSET(TblConstr[[#This Row],[Mas]],-12,0),0)+OFFSET(TblConstr[[#This Row],[Tot Mas]],-1,0)-TblConstr[[#This Row],[Dest Mas]]</f>
        <v>0</v>
      </c>
      <c r="BD11" s="190" cm="1">
        <f t="array" aca="1" ref="BD11" ca="1">IF(TblConstr[[#This Row],[Hour]:[Hour]]&gt;12,OFFSET(TblConstr[[#This Row],[Ly]],-12,0),0)+OFFSET(TblConstr[[#This Row],[Tot Ly]],-1,0)-TblConstr[[#This Row],[Dest Ly]]</f>
        <v>20</v>
      </c>
      <c r="BE11" s="190" cm="1">
        <f t="array" aca="1" ref="BE11" ca="1">IF(TblConstr[[#This Row],[Hour]:[Hour]]&gt;12,OFFSET(TblConstr[[#This Row],[Hav]],-12,0),0)+OFFSET(TblConstr[[#This Row],[Tot Hav]],-1,0)-TblConstr[[#This Row],[Dest Hav]]</f>
        <v>0</v>
      </c>
      <c r="BF11" s="361" cm="1">
        <f t="array" aca="1" ref="BF11" ca="1">IF(TblConstr[[#This Row],[Hour]:[Hour]]&gt;12,OFFSET(TblConstr[[#This Row],[OM]],-12,0),0)+OFFSET(TblConstr[[#This Row],[Tot OM]],-1,0)-TblConstr[[#This Row],[Dest OM]]</f>
        <v>0</v>
      </c>
      <c r="BG11" s="361" cm="1">
        <f t="array" aca="1" ref="BG11" ca="1">IF(TblConstr[[#This Row],[Hour]:[Hour]]&gt;12,OFFSET(TblConstr[[#This Row],[GN]],-12,0),0)+OFFSET(TblConstr[[#This Row],[Tot GN]],-1,0)-TblConstr[[#This Row],[Dest GN]]</f>
        <v>0</v>
      </c>
      <c r="BH11" s="365" cm="1">
        <f t="array" aca="1" ref="BH11" ca="1">IF(TblConstr[[#This Row],[Hour]:[Hour]]&gt;12,OFFSET(TblConstr[[#This Row],[Fac]],-12,0),0)+OFFSET(TblConstr[[#This Row],[Tot Fac]],-1,0)-TblConstr[[#This Row],[Dest Fac]]</f>
        <v>0</v>
      </c>
      <c r="BI11" s="365" cm="1">
        <f t="array" aca="1" ref="BI11" ca="1">IF(TblConstr[[#This Row],[Hour]:[Hour]]&gt;12,OFFSET(TblConstr[[#This Row],[GT]],-12,0),0)+OFFSET(TblConstr[[#This Row],[Tot GT]],-1,0)-TblConstr[[#This Row],[Dest GT]]</f>
        <v>0</v>
      </c>
      <c r="BJ11" s="365" cm="1">
        <f t="array" aca="1" ref="BJ11" ca="1">IF(TblConstr[[#This Row],[Hour]:[Hour]]&gt;12,OFFSET(TblConstr[[#This Row],[Bar]],-12,0),0)+OFFSET(TblConstr[[#This Row],[Tot Bar]],-1,0)-TblConstr[[#This Row],[Dest Bar]]</f>
        <v>0</v>
      </c>
      <c r="BK11" s="365" cm="1">
        <f t="array" aca="1" ref="BK11" ca="1">IF(TblConstr[[#This Row],[Hour]:[Hour]]&gt;12,OFFSET(TblConstr[[#This Row],[Shr]],-12,0),0)+OFFSET(TblConstr[[#This Row],[Tot Shr]],-1,0)-TblConstr[[#This Row],[Dest Shr]]</f>
        <v>0</v>
      </c>
      <c r="BL11" s="369" cm="1">
        <f t="array" aca="1" ref="BL11" ca="1">IF(TblConstr[[#This Row],[Hour]:[Hour]]&gt;12,OFFSET(TblConstr[[#This Row],[Tow]],-12,0),0)+OFFSET(TblConstr[[#This Row],[Tot Tow]],-1,0)-TblConstr[[#This Row],[Dest Tow]]</f>
        <v>0</v>
      </c>
      <c r="BM11" s="369" cm="1">
        <f t="array" aca="1" ref="BM11" ca="1">IF(TblConstr[[#This Row],[Hour]:[Hour]]&gt;12,OFFSET(TblConstr[[#This Row],[Tem]],-12,0),0)+OFFSET(TblConstr[[#This Row],[Tot Tem]],-1,0)-TblConstr[[#This Row],[Dest Tem]]</f>
        <v>0</v>
      </c>
      <c r="BN11" s="369" cm="1">
        <f t="array" aca="1" ref="BN11" ca="1">IF(TblConstr[[#This Row],[Hour]:[Hour]]&gt;12,OFFSET(TblConstr[[#This Row],[WG]],-12,0),0)+OFFSET(TblConstr[[#This Row],[Tot WG]],-1,0)-TblConstr[[#This Row],[Dest WG]]</f>
        <v>0</v>
      </c>
      <c r="BO11" s="191" cm="1">
        <f t="array" aca="1" ref="BO11" ca="1">IF(TblConstr[[#This Row],[Hour]:[Hour]]&gt;12,OFFSET(TblConstr[[#This Row],[DM]],-12,0),0)+OFFSET(TblConstr[[#This Row],[Tot DM]],-1,0)-TblConstr[[#This Row],[Dest DM]]</f>
        <v>0</v>
      </c>
      <c r="BP11" s="191" cm="1">
        <f t="array" aca="1" ref="BP11" ca="1">IF(TblConstr[[#This Row],[Hour]:[Hour]]&gt;12,OFFSET(TblConstr[[#This Row],[Sch]],-12,0),0)+OFFSET(TblConstr[[#This Row],[Tot Sch]],-1,0)-TblConstr[[#This Row],[Dest Sch]]</f>
        <v>0</v>
      </c>
      <c r="BQ11" s="192" cm="1">
        <f t="array" aca="1" ref="BQ11" ca="1">IF(TblConstr[[#This Row],[Hour]:[Hour]]&gt;12,OFFSET(TblConstr[[#This Row],[Doc]],-12,0),0)+OFFSET(TblConstr[[#This Row],[Tot Doc]],-1,0)-TblConstr[[#This Row],[Dest Doc]]</f>
        <v>0</v>
      </c>
      <c r="BR11" s="142"/>
      <c r="BS11" s="154"/>
      <c r="BT11" s="94">
        <f ca="1">TblConstr[[#This Row],[Land]]</f>
        <v>50</v>
      </c>
      <c r="BU11" s="159">
        <f ca="1">TblImps[[#This Row],[Time]]</f>
        <v>46047.29166666665</v>
      </c>
      <c r="BV11" s="142"/>
      <c r="CP11" s="142"/>
      <c r="CQ11" s="181">
        <f ca="1">-SUM(TblConstr[[#This Row],[Alc]:[Mas]])+SUM(TblConstr[[#This Row],[Dest Alc]:[Dest Mas]])+Rezone!L11+IF("Ch_"&amp; home_land=TblConstr[[#Headers],[Ch_Plain]],TblConstr[[#This Row],[Home Land]])+IF(TblConstr[[#This Row],[Hour]:[Hour]]&gt;12,OFFSET(TblExplore[[#This Row],[Plains Explore]],-12,0),0)</f>
        <v>0</v>
      </c>
      <c r="CR11" s="182">
        <f ca="1">-SUM(TblConstr[[#This Row],[Ly]:[Hav]])+SUM(TblConstr[[#This Row],[Dest Ly]:[Dest Hav]]) +Rezone!M11 + IF("Ch_"&amp; home_land=TblConstr[[#Headers],[Ch_Forest]],TblConstr[[#This Row],[Home Land]])+IF(TblConstr[[#This Row],[Hour]:[Hour]]&gt;12,OFFSET(TblExplore[[#This Row],[Forest Explore]],-12,0),0)</f>
        <v>0</v>
      </c>
      <c r="CS11" s="359">
        <f ca="1">-SUM(TblConstr[[#This Row],[OM]:[GN]])+SUM(TblConstr[[#This Row],[Dest OM]:[Dest GN]]) +Rezone!N11 + IF("Ch_"&amp; home_land=TblConstr[[#Headers],[Ch_Mountain]],TblConstr[[#This Row],[Home Land]])+IF(TblConstr[[#This Row],[Hour]:[Hour]]&gt;12,OFFSET(TblExplore[[#This Row],[Mountain Explore]],-12,0),0)</f>
        <v>0</v>
      </c>
      <c r="CT11" s="183">
        <f ca="1">-SUM(TblConstr[[#This Row],[Fac]:[Shr]])+SUM(TblConstr[[#This Row],[Dest Fac]:[Dest Shr]]) +Rezone!O11 + IF("Ch_" &amp; home_land=TblConstr[[#Headers],[Ch_Hill]],TblConstr[[#This Row],[Home Land]])+IF(TblConstr[[#This Row],[Hour]:[Hour]]&gt;12,OFFSET(TblExplore[[#This Row],[Hill Explore]],-12,0),0)</f>
        <v>0</v>
      </c>
      <c r="CU11" s="184">
        <f ca="1">-SUM(TblConstr[[#This Row],[Tow]:[WG]])+SUM(TblConstr[[#This Row],[Dest Tow]:[Dest WG]]) +Rezone!P11 + IF("Ch_" &amp; home_land=TblConstr[[#Headers],[Ch_Swamp]],TblConstr[[#This Row],[Home Land]])+IF(TblConstr[[#This Row],[Hour]:[Hour]]&gt;12,OFFSET(TblExplore[[#This Row],[Swamp Explore]],-12,0),0)</f>
        <v>0</v>
      </c>
      <c r="CV11" s="185">
        <f ca="1" xml:space="preserve"> - SUM(TblConstr[[#This Row],[DM]:[Sch]])+SUM(TblConstr[[#This Row],[Dest DM]:[Dest Sch]]) +Rezone!Q11 + IF("Ch_" &amp; home_land=TblConstr[[#Headers],[Ch_Cavern]],TblConstr[[#This Row],[Home Land]])+IF(TblConstr[[#This Row],[Hour]:[Hour]]&gt;12,OFFSET(TblExplore[[#This Row],[Cavern Explore]],-12,0),0)</f>
        <v>0</v>
      </c>
      <c r="CW11" s="186">
        <f ca="1">-TblConstr[[#This Row],[Doc]]+TblConstr[[#This Row],[Dest Doc]] +Rezone!R11 + IF("Ch_" &amp; home_land=TblConstr[[#Headers],[Ch_Water]],TblConstr[[#This Row],[Home Land]])+IF(TblConstr[[#This Row],[Hour]:[Hour]]&gt;12,OFFSET(TblExplore[[#This Row],[Water Explore]],-12,0),0)</f>
        <v>0</v>
      </c>
      <c r="CX11" s="45">
        <f>IF(Explore!S11=1,20) - TblConstr[[#This Row],[Hom]] + TblConstr[[#This Row],[Dest Hom]]</f>
        <v>0</v>
      </c>
      <c r="CY11" s="142"/>
      <c r="CZ11" s="94">
        <f ca="1">G11+SUM(P$4:S11)+SUM(AZ11:BC11)</f>
        <v>30</v>
      </c>
      <c r="DA11" s="94">
        <f ca="1">H11+SUM(T$4:U11)+SUM(BD11:BE11)</f>
        <v>20</v>
      </c>
      <c r="DB11" s="45">
        <f ca="1">I11+SUM(V$4:W11)+SUM(BF11:BG11)</f>
        <v>0</v>
      </c>
      <c r="DC11" s="94">
        <f ca="1">J11+SUM(X$4:Y11)+SUM(BH11:BI11)</f>
        <v>0</v>
      </c>
      <c r="DD11" s="94">
        <f ca="1">K11+SUM(AB$4:AD11)+SUM(BL11:BN11)</f>
        <v>0</v>
      </c>
      <c r="DE11" s="45">
        <f ca="1">L11+SUM(AE$4:AE11)+BO11</f>
        <v>0</v>
      </c>
      <c r="DF11" s="94">
        <f ca="1">M11+SUM(AG$4:AG11)+BQ11</f>
        <v>0</v>
      </c>
      <c r="DG11" s="94" cm="1">
        <f t="array" aca="1" ref="DG11" ca="1">INDEX(TblConstr[[Total Plain]:[Total Water]],ROW()-ROW(TblConstr[#Headers]),MATCH("Total "&amp;home_land,TblConstr[[#Headers],[Total Plain]:[Total Water]],0))+TblConstr[[#This Row],[Homes]]</f>
        <v>30</v>
      </c>
      <c r="DH11" s="45">
        <f ca="1">SUM(O$4:O11)+AY11</f>
        <v>0</v>
      </c>
      <c r="DI11" s="45">
        <f t="shared" ca="1" si="0"/>
        <v>0</v>
      </c>
      <c r="DJ11" s="45">
        <f t="shared" ca="1" si="1"/>
        <v>0</v>
      </c>
    </row>
    <row r="12" spans="1:114" hidden="1" x14ac:dyDescent="0.2">
      <c r="A12" s="175">
        <f>TblRezone[[#This Row],[Hour]]</f>
        <v>9</v>
      </c>
      <c r="B12" s="176">
        <f ca="1">SUM(TblConstr[[#This Row],[Plain]:[Water]])</f>
        <v>0</v>
      </c>
      <c r="C12" s="177">
        <f ca="1">SUM(TblConstr[[#This Row],[Tot Hom]:[Tot Doc]])</f>
        <v>50</v>
      </c>
      <c r="D12" s="177">
        <f>SUM(O$4:AG12)</f>
        <v>0</v>
      </c>
      <c r="E12" s="178"/>
      <c r="F12" s="61">
        <f ca="1">TblConstr[[#This Row],[Barren]]+TblConstr[[#This Row],[Buildings]]+TblConstr[[#This Row],[Incoming]]</f>
        <v>50</v>
      </c>
      <c r="G12" s="187">
        <f ca="1">OFFSET(TblConstr[[#This Row],[Plain]],-1,0)+TblConstr[[#This Row],[Ch_Plain]]</f>
        <v>0</v>
      </c>
      <c r="H12" s="182">
        <f ca="1">OFFSET(TblConstr[[#This Row],[Forest]],-1,0)+TblConstr[[#This Row],[Ch_Forest]]</f>
        <v>0</v>
      </c>
      <c r="I12" s="359">
        <f ca="1">OFFSET(TblConstr[[#This Row],[Mountain]],-1,0)+TblConstr[[#This Row],[Ch_Mountain]]</f>
        <v>0</v>
      </c>
      <c r="J12" s="363">
        <f ca="1">OFFSET(TblConstr[[#This Row],[Hill]],-1,0)+TblConstr[[#This Row],[Ch_Hill]]</f>
        <v>0</v>
      </c>
      <c r="K12" s="367">
        <f ca="1">OFFSET(TblConstr[[#This Row],[Swamp]],-1,0)+TblConstr[[#This Row],[Ch_Swamp]]</f>
        <v>0</v>
      </c>
      <c r="L12" s="185">
        <f ca="1">OFFSET(TblConstr[[#This Row],[Cavern]],-1,0)+TblConstr[[#This Row],[Ch_Cavern]]</f>
        <v>0</v>
      </c>
      <c r="M12" s="186">
        <f ca="1">OFFSET(TblConstr[[#This Row],[Water]],-1,0)+TblConstr[[#This Row],[Ch_Water]]</f>
        <v>0</v>
      </c>
      <c r="N12" s="357">
        <f>TblRezone[[#This Row],[Hour]]</f>
        <v>9</v>
      </c>
      <c r="R12" s="94"/>
      <c r="AH12" s="53">
        <f ca="1">TblImps[[#This Row],[Time]]</f>
        <v>46047.333333333314</v>
      </c>
      <c r="AI12" s="180">
        <f ca="1">MIN(25%,(TblConstr[[#This Row],[Tot Fac]]+TblConstr[[#This Row],[Dest Fac]])/(TblConstr[[#This Row],[Land]]-TblExplore[[#This Row],[Land Bonus]]*20))</f>
        <v>0</v>
      </c>
      <c r="AJ12" s="180">
        <f ca="1">MIN(25%,(TblConstr[[#This Row],[Tot Fac]]+TblConstr[[#This Row],[Dest Fac]])/TblConstr[[#This Row],[Land]])</f>
        <v>0</v>
      </c>
      <c r="AK12" s="94">
        <f ca="1">TblProd[[#This Row],[Platinum]]</f>
        <v>60837</v>
      </c>
      <c r="AL12" s="94">
        <f ca="1">TblProd[[#This Row],[Lumber]]</f>
        <v>21567</v>
      </c>
      <c r="AM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2" s="94">
        <f ca="1">ROUNDDOWN( MAX(1 - MIN(facs_constr_factor*TblConstr[[#This Row],[Facs -DB]],facs_constr_max) + tech_1_11*TblTech[[#This Row],[11-1]] + tech_6_3_2*TblTech[[#This Row],[6-3]] + tech_5_2_3*TblTech[[#This Row],[5-2]], 1-global_constr_cap) * TblConstr[[#This Row],[RCPA Lumber]],0)</f>
        <v>31</v>
      </c>
      <c r="AO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2" s="94">
        <f ca="1">ROUNDDOWN( MAX(1 - MIN(facs_constr_factor*TblConstr[[#This Row],[Facs DB]],facs_constr_max) + tech_1_11*TblTech[[#This Row],[1-11]] + tech_6_3_2*TblTech[[#This Row],[6-3]] + tech_5_2_3*TblTech[[#This Row],[5-2]], 1-global_constr_cap) * ROUND((TblConstr[[#This Row],[Land]]-250)*0.285 + 87.5 + 0/4.25,0),0)</f>
        <v>31</v>
      </c>
      <c r="AQ12" s="45">
        <f ca="1">TblConstr[[#This Row],[build -db]]*TblConstr[[#This Row],[CPA Platinum -DB]] + TblConstr[[#This Row],[build db]]*TblConstr[[#This Row],[CPA Platinum DB]]</f>
        <v>0</v>
      </c>
      <c r="AR12" s="45">
        <f ca="1">TblConstr[[#This Row],[build -db]]*TblConstr[[#This Row],[CPA Lumber -DB]] + TblConstr[[#This Row],[build db]]*TblConstr[[#This Row],[CPA Lumber DB]]</f>
        <v>0</v>
      </c>
      <c r="AS12" s="94">
        <f ca="1">MIN(SUM(OFFSET(TblConstr[[#This Row],[Plain]:[Water]],-1,0))+SUM(TblConstr[[#This Row],[Dest Hom]:[Dest Doc]])+IF(TblConstr[[#This Row],[Hour]]&gt;12,SUM(OFFSET(TblExplore[[#This Row],[Plains Explore]:[Water Explore]],-12,0)),0),SUM(TblConstr[[#This Row],[Hom]:[Doc]]))</f>
        <v>0</v>
      </c>
      <c r="AT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 s="142"/>
      <c r="AV12" s="94">
        <f ca="1">ROUND((TblConstr[[#This Row],[Land]]-250 - IF(TblExplore[[#This Row],[Land Bonus]]&lt;&gt;0,20,0))*1.25 + 850 + 0,0)</f>
        <v>600</v>
      </c>
      <c r="AW12" s="94">
        <f ca="1">ROUND((TblConstr[[#This Row],[Land]]-250 - IF(TblExplore[[#This Row],[Land Bonus]]&lt;&gt;0,20,0))*0.285 + 87.5 + 0/4.25,0)</f>
        <v>31</v>
      </c>
      <c r="AX12" s="154"/>
      <c r="AY12" s="188" cm="1">
        <f t="array" aca="1" ref="AY12" ca="1">IF(TblConstr[[#This Row],[Hour]:[Hour]]&gt;12,OFFSET(TblConstr[[#This Row],[Hom]],-12,0),0)+OFFSET(TblConstr[[#This Row],[Tot Hom]],-1,0)-TblConstr[[#This Row],[Dest Hom]]</f>
        <v>0</v>
      </c>
      <c r="AZ12" s="189" cm="1">
        <f t="array" aca="1" ref="AZ12" ca="1">IF(TblConstr[[#This Row],[Hour]:[Hour]]&gt;12,OFFSET(TblConstr[[#This Row],[Alc]],-12,0),0)+OFFSET(TblConstr[[#This Row],[Tot Alc]],-1,0)-TblConstr[[#This Row],[Dest Alc]]</f>
        <v>0</v>
      </c>
      <c r="BA12" s="189" cm="1">
        <f t="array" aca="1" ref="BA12" ca="1">IF(TblConstr[[#This Row],[Hour]:[Hour]]&gt;12,OFFSET(TblConstr[[#This Row],[Far]],-12,0),0)+OFFSET(TblConstr[[#This Row],[Tot Farm]],-1,0)-TblConstr[[#This Row],[Dest Farm]]</f>
        <v>30</v>
      </c>
      <c r="BB12" s="189" cm="1">
        <f t="array" aca="1" ref="BB12" ca="1">IF(TblConstr[[#This Row],[Hour]:[Hour]]&gt;12,OFFSET(TblConstr[[#This Row],[Smi]],-12,0),0)+OFFSET(TblConstr[[#This Row],[Tot Smi]],-1,0)-TblConstr[[#This Row],[Dest Smi]]</f>
        <v>0</v>
      </c>
      <c r="BC12" s="189" cm="1">
        <f t="array" aca="1" ref="BC12" ca="1">IF(TblConstr[[#This Row],[Hour]:[Hour]]&gt;12,OFFSET(TblConstr[[#This Row],[Mas]],-12,0),0)+OFFSET(TblConstr[[#This Row],[Tot Mas]],-1,0)-TblConstr[[#This Row],[Dest Mas]]</f>
        <v>0</v>
      </c>
      <c r="BD12" s="190" cm="1">
        <f t="array" aca="1" ref="BD12" ca="1">IF(TblConstr[[#This Row],[Hour]:[Hour]]&gt;12,OFFSET(TblConstr[[#This Row],[Ly]],-12,0),0)+OFFSET(TblConstr[[#This Row],[Tot Ly]],-1,0)-TblConstr[[#This Row],[Dest Ly]]</f>
        <v>20</v>
      </c>
      <c r="BE12" s="190" cm="1">
        <f t="array" aca="1" ref="BE12" ca="1">IF(TblConstr[[#This Row],[Hour]:[Hour]]&gt;12,OFFSET(TblConstr[[#This Row],[Hav]],-12,0),0)+OFFSET(TblConstr[[#This Row],[Tot Hav]],-1,0)-TblConstr[[#This Row],[Dest Hav]]</f>
        <v>0</v>
      </c>
      <c r="BF12" s="361" cm="1">
        <f t="array" aca="1" ref="BF12" ca="1">IF(TblConstr[[#This Row],[Hour]:[Hour]]&gt;12,OFFSET(TblConstr[[#This Row],[OM]],-12,0),0)+OFFSET(TblConstr[[#This Row],[Tot OM]],-1,0)-TblConstr[[#This Row],[Dest OM]]</f>
        <v>0</v>
      </c>
      <c r="BG12" s="361" cm="1">
        <f t="array" aca="1" ref="BG12" ca="1">IF(TblConstr[[#This Row],[Hour]:[Hour]]&gt;12,OFFSET(TblConstr[[#This Row],[GN]],-12,0),0)+OFFSET(TblConstr[[#This Row],[Tot GN]],-1,0)-TblConstr[[#This Row],[Dest GN]]</f>
        <v>0</v>
      </c>
      <c r="BH12" s="365" cm="1">
        <f t="array" aca="1" ref="BH12" ca="1">IF(TblConstr[[#This Row],[Hour]:[Hour]]&gt;12,OFFSET(TblConstr[[#This Row],[Fac]],-12,0),0)+OFFSET(TblConstr[[#This Row],[Tot Fac]],-1,0)-TblConstr[[#This Row],[Dest Fac]]</f>
        <v>0</v>
      </c>
      <c r="BI12" s="365" cm="1">
        <f t="array" aca="1" ref="BI12" ca="1">IF(TblConstr[[#This Row],[Hour]:[Hour]]&gt;12,OFFSET(TblConstr[[#This Row],[GT]],-12,0),0)+OFFSET(TblConstr[[#This Row],[Tot GT]],-1,0)-TblConstr[[#This Row],[Dest GT]]</f>
        <v>0</v>
      </c>
      <c r="BJ12" s="365" cm="1">
        <f t="array" aca="1" ref="BJ12" ca="1">IF(TblConstr[[#This Row],[Hour]:[Hour]]&gt;12,OFFSET(TblConstr[[#This Row],[Bar]],-12,0),0)+OFFSET(TblConstr[[#This Row],[Tot Bar]],-1,0)-TblConstr[[#This Row],[Dest Bar]]</f>
        <v>0</v>
      </c>
      <c r="BK12" s="365" cm="1">
        <f t="array" aca="1" ref="BK12" ca="1">IF(TblConstr[[#This Row],[Hour]:[Hour]]&gt;12,OFFSET(TblConstr[[#This Row],[Shr]],-12,0),0)+OFFSET(TblConstr[[#This Row],[Tot Shr]],-1,0)-TblConstr[[#This Row],[Dest Shr]]</f>
        <v>0</v>
      </c>
      <c r="BL12" s="369" cm="1">
        <f t="array" aca="1" ref="BL12" ca="1">IF(TblConstr[[#This Row],[Hour]:[Hour]]&gt;12,OFFSET(TblConstr[[#This Row],[Tow]],-12,0),0)+OFFSET(TblConstr[[#This Row],[Tot Tow]],-1,0)-TblConstr[[#This Row],[Dest Tow]]</f>
        <v>0</v>
      </c>
      <c r="BM12" s="369" cm="1">
        <f t="array" aca="1" ref="BM12" ca="1">IF(TblConstr[[#This Row],[Hour]:[Hour]]&gt;12,OFFSET(TblConstr[[#This Row],[Tem]],-12,0),0)+OFFSET(TblConstr[[#This Row],[Tot Tem]],-1,0)-TblConstr[[#This Row],[Dest Tem]]</f>
        <v>0</v>
      </c>
      <c r="BN12" s="369" cm="1">
        <f t="array" aca="1" ref="BN12" ca="1">IF(TblConstr[[#This Row],[Hour]:[Hour]]&gt;12,OFFSET(TblConstr[[#This Row],[WG]],-12,0),0)+OFFSET(TblConstr[[#This Row],[Tot WG]],-1,0)-TblConstr[[#This Row],[Dest WG]]</f>
        <v>0</v>
      </c>
      <c r="BO12" s="191" cm="1">
        <f t="array" aca="1" ref="BO12" ca="1">IF(TblConstr[[#This Row],[Hour]:[Hour]]&gt;12,OFFSET(TblConstr[[#This Row],[DM]],-12,0),0)+OFFSET(TblConstr[[#This Row],[Tot DM]],-1,0)-TblConstr[[#This Row],[Dest DM]]</f>
        <v>0</v>
      </c>
      <c r="BP12" s="191" cm="1">
        <f t="array" aca="1" ref="BP12" ca="1">IF(TblConstr[[#This Row],[Hour]:[Hour]]&gt;12,OFFSET(TblConstr[[#This Row],[Sch]],-12,0),0)+OFFSET(TblConstr[[#This Row],[Tot Sch]],-1,0)-TblConstr[[#This Row],[Dest Sch]]</f>
        <v>0</v>
      </c>
      <c r="BQ12" s="192" cm="1">
        <f t="array" aca="1" ref="BQ12" ca="1">IF(TblConstr[[#This Row],[Hour]:[Hour]]&gt;12,OFFSET(TblConstr[[#This Row],[Doc]],-12,0),0)+OFFSET(TblConstr[[#This Row],[Tot Doc]],-1,0)-TblConstr[[#This Row],[Dest Doc]]</f>
        <v>0</v>
      </c>
      <c r="BR12" s="142"/>
      <c r="BS12" s="154"/>
      <c r="BT12" s="94">
        <f ca="1">TblConstr[[#This Row],[Land]]</f>
        <v>50</v>
      </c>
      <c r="BU12" s="159">
        <f ca="1">TblImps[[#This Row],[Time]]</f>
        <v>46047.333333333314</v>
      </c>
      <c r="BV12" s="142"/>
      <c r="CP12" s="142"/>
      <c r="CQ12" s="181">
        <f ca="1">-SUM(TblConstr[[#This Row],[Alc]:[Mas]])+SUM(TblConstr[[#This Row],[Dest Alc]:[Dest Mas]])+Rezone!L12+IF("Ch_"&amp; home_land=TblConstr[[#Headers],[Ch_Plain]],TblConstr[[#This Row],[Home Land]])+IF(TblConstr[[#This Row],[Hour]:[Hour]]&gt;12,OFFSET(TblExplore[[#This Row],[Plains Explore]],-12,0),0)</f>
        <v>0</v>
      </c>
      <c r="CR12" s="182">
        <f ca="1">-SUM(TblConstr[[#This Row],[Ly]:[Hav]])+SUM(TblConstr[[#This Row],[Dest Ly]:[Dest Hav]]) +Rezone!M12 + IF("Ch_"&amp; home_land=TblConstr[[#Headers],[Ch_Forest]],TblConstr[[#This Row],[Home Land]])+IF(TblConstr[[#This Row],[Hour]:[Hour]]&gt;12,OFFSET(TblExplore[[#This Row],[Forest Explore]],-12,0),0)</f>
        <v>0</v>
      </c>
      <c r="CS12" s="359">
        <f ca="1">-SUM(TblConstr[[#This Row],[OM]:[GN]])+SUM(TblConstr[[#This Row],[Dest OM]:[Dest GN]]) +Rezone!N12 + IF("Ch_"&amp; home_land=TblConstr[[#Headers],[Ch_Mountain]],TblConstr[[#This Row],[Home Land]])+IF(TblConstr[[#This Row],[Hour]:[Hour]]&gt;12,OFFSET(TblExplore[[#This Row],[Mountain Explore]],-12,0),0)</f>
        <v>0</v>
      </c>
      <c r="CT12" s="183">
        <f ca="1">-SUM(TblConstr[[#This Row],[Fac]:[Shr]])+SUM(TblConstr[[#This Row],[Dest Fac]:[Dest Shr]]) +Rezone!O12 + IF("Ch_" &amp; home_land=TblConstr[[#Headers],[Ch_Hill]],TblConstr[[#This Row],[Home Land]])+IF(TblConstr[[#This Row],[Hour]:[Hour]]&gt;12,OFFSET(TblExplore[[#This Row],[Hill Explore]],-12,0),0)</f>
        <v>0</v>
      </c>
      <c r="CU12" s="184">
        <f ca="1">-SUM(TblConstr[[#This Row],[Tow]:[WG]])+SUM(TblConstr[[#This Row],[Dest Tow]:[Dest WG]]) +Rezone!P12 + IF("Ch_" &amp; home_land=TblConstr[[#Headers],[Ch_Swamp]],TblConstr[[#This Row],[Home Land]])+IF(TblConstr[[#This Row],[Hour]:[Hour]]&gt;12,OFFSET(TblExplore[[#This Row],[Swamp Explore]],-12,0),0)</f>
        <v>0</v>
      </c>
      <c r="CV12" s="185">
        <f ca="1" xml:space="preserve"> - SUM(TblConstr[[#This Row],[DM]:[Sch]])+SUM(TblConstr[[#This Row],[Dest DM]:[Dest Sch]]) +Rezone!Q12 + IF("Ch_" &amp; home_land=TblConstr[[#Headers],[Ch_Cavern]],TblConstr[[#This Row],[Home Land]])+IF(TblConstr[[#This Row],[Hour]:[Hour]]&gt;12,OFFSET(TblExplore[[#This Row],[Cavern Explore]],-12,0),0)</f>
        <v>0</v>
      </c>
      <c r="CW12" s="186">
        <f ca="1">-TblConstr[[#This Row],[Doc]]+TblConstr[[#This Row],[Dest Doc]] +Rezone!R12 + IF("Ch_" &amp; home_land=TblConstr[[#Headers],[Ch_Water]],TblConstr[[#This Row],[Home Land]])+IF(TblConstr[[#This Row],[Hour]:[Hour]]&gt;12,OFFSET(TblExplore[[#This Row],[Water Explore]],-12,0),0)</f>
        <v>0</v>
      </c>
      <c r="CX12" s="45">
        <f>IF(Explore!S12=1,20) - TblConstr[[#This Row],[Hom]] + TblConstr[[#This Row],[Dest Hom]]</f>
        <v>0</v>
      </c>
      <c r="CY12" s="142"/>
      <c r="CZ12" s="94">
        <f ca="1">G12+SUM(P$4:S12)+SUM(AZ12:BC12)</f>
        <v>30</v>
      </c>
      <c r="DA12" s="94">
        <f ca="1">H12+SUM(T$4:U12)+SUM(BD12:BE12)</f>
        <v>20</v>
      </c>
      <c r="DB12" s="45">
        <f ca="1">I12+SUM(V$4:W12)+SUM(BF12:BG12)</f>
        <v>0</v>
      </c>
      <c r="DC12" s="94">
        <f ca="1">J12+SUM(X$4:Y12)+SUM(BH12:BI12)</f>
        <v>0</v>
      </c>
      <c r="DD12" s="94">
        <f ca="1">K12+SUM(AB$4:AD12)+SUM(BL12:BN12)</f>
        <v>0</v>
      </c>
      <c r="DE12" s="45">
        <f ca="1">L12+SUM(AE$4:AE12)+BO12</f>
        <v>0</v>
      </c>
      <c r="DF12" s="94">
        <f ca="1">M12+SUM(AG$4:AG12)+BQ12</f>
        <v>0</v>
      </c>
      <c r="DG12" s="94" cm="1">
        <f t="array" aca="1" ref="DG12" ca="1">INDEX(TblConstr[[Total Plain]:[Total Water]],ROW()-ROW(TblConstr[#Headers]),MATCH("Total "&amp;home_land,TblConstr[[#Headers],[Total Plain]:[Total Water]],0))+TblConstr[[#This Row],[Homes]]</f>
        <v>30</v>
      </c>
      <c r="DH12" s="45">
        <f ca="1">SUM(O$4:O12)+AY12</f>
        <v>0</v>
      </c>
      <c r="DI12" s="45">
        <f t="shared" ca="1" si="0"/>
        <v>0</v>
      </c>
      <c r="DJ12" s="45">
        <f t="shared" ca="1" si="1"/>
        <v>0</v>
      </c>
    </row>
    <row r="13" spans="1:114" hidden="1" x14ac:dyDescent="0.2">
      <c r="A13" s="175">
        <f>TblRezone[[#This Row],[Hour]]</f>
        <v>10</v>
      </c>
      <c r="B13" s="176">
        <f ca="1">SUM(TblConstr[[#This Row],[Plain]:[Water]])</f>
        <v>0</v>
      </c>
      <c r="C13" s="177">
        <f ca="1">SUM(TblConstr[[#This Row],[Tot Hom]:[Tot Doc]])</f>
        <v>50</v>
      </c>
      <c r="D13" s="177">
        <f>SUM(O$4:AG13)</f>
        <v>0</v>
      </c>
      <c r="E13" s="178"/>
      <c r="F13" s="61">
        <f ca="1">TblConstr[[#This Row],[Barren]]+TblConstr[[#This Row],[Buildings]]+TblConstr[[#This Row],[Incoming]]</f>
        <v>50</v>
      </c>
      <c r="G13" s="187">
        <f ca="1">OFFSET(TblConstr[[#This Row],[Plain]],-1,0)+TblConstr[[#This Row],[Ch_Plain]]</f>
        <v>0</v>
      </c>
      <c r="H13" s="182">
        <f ca="1">OFFSET(TblConstr[[#This Row],[Forest]],-1,0)+TblConstr[[#This Row],[Ch_Forest]]</f>
        <v>0</v>
      </c>
      <c r="I13" s="359">
        <f ca="1">OFFSET(TblConstr[[#This Row],[Mountain]],-1,0)+TblConstr[[#This Row],[Ch_Mountain]]</f>
        <v>0</v>
      </c>
      <c r="J13" s="363">
        <f ca="1">OFFSET(TblConstr[[#This Row],[Hill]],-1,0)+TblConstr[[#This Row],[Ch_Hill]]</f>
        <v>0</v>
      </c>
      <c r="K13" s="367">
        <f ca="1">OFFSET(TblConstr[[#This Row],[Swamp]],-1,0)+TblConstr[[#This Row],[Ch_Swamp]]</f>
        <v>0</v>
      </c>
      <c r="L13" s="185">
        <f ca="1">OFFSET(TblConstr[[#This Row],[Cavern]],-1,0)+TblConstr[[#This Row],[Ch_Cavern]]</f>
        <v>0</v>
      </c>
      <c r="M13" s="186">
        <f ca="1">OFFSET(TblConstr[[#This Row],[Water]],-1,0)+TblConstr[[#This Row],[Ch_Water]]</f>
        <v>0</v>
      </c>
      <c r="N13" s="357">
        <f>TblRezone[[#This Row],[Hour]]</f>
        <v>10</v>
      </c>
      <c r="R13" s="94"/>
      <c r="AH13" s="53">
        <f ca="1">TblImps[[#This Row],[Time]]</f>
        <v>46047.374999999978</v>
      </c>
      <c r="AI13" s="180">
        <f ca="1">MIN(25%,(TblConstr[[#This Row],[Tot Fac]]+TblConstr[[#This Row],[Dest Fac]])/(TblConstr[[#This Row],[Land]]-TblExplore[[#This Row],[Land Bonus]]*20))</f>
        <v>0</v>
      </c>
      <c r="AJ13" s="180">
        <f ca="1">MIN(25%,(TblConstr[[#This Row],[Tot Fac]]+TblConstr[[#This Row],[Dest Fac]])/TblConstr[[#This Row],[Land]])</f>
        <v>0</v>
      </c>
      <c r="AK13" s="94">
        <f ca="1">TblProd[[#This Row],[Platinum]]</f>
        <v>62316</v>
      </c>
      <c r="AL13" s="94">
        <f ca="1">TblProd[[#This Row],[Lumber]]</f>
        <v>22351</v>
      </c>
      <c r="AM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3" s="94">
        <f ca="1">ROUNDDOWN( MAX(1 - MIN(facs_constr_factor*TblConstr[[#This Row],[Facs -DB]],facs_constr_max) + tech_1_11*TblTech[[#This Row],[11-1]] + tech_6_3_2*TblTech[[#This Row],[6-3]] + tech_5_2_3*TblTech[[#This Row],[5-2]], 1-global_constr_cap) * TblConstr[[#This Row],[RCPA Lumber]],0)</f>
        <v>31</v>
      </c>
      <c r="AO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3" s="94">
        <f ca="1">ROUNDDOWN( MAX(1 - MIN(facs_constr_factor*TblConstr[[#This Row],[Facs DB]],facs_constr_max) + tech_1_11*TblTech[[#This Row],[1-11]] + tech_6_3_2*TblTech[[#This Row],[6-3]] + tech_5_2_3*TblTech[[#This Row],[5-2]], 1-global_constr_cap) * ROUND((TblConstr[[#This Row],[Land]]-250)*0.285 + 87.5 + 0/4.25,0),0)</f>
        <v>31</v>
      </c>
      <c r="AQ13" s="45">
        <f ca="1">TblConstr[[#This Row],[build -db]]*TblConstr[[#This Row],[CPA Platinum -DB]] + TblConstr[[#This Row],[build db]]*TblConstr[[#This Row],[CPA Platinum DB]]</f>
        <v>0</v>
      </c>
      <c r="AR13" s="45">
        <f ca="1">TblConstr[[#This Row],[build -db]]*TblConstr[[#This Row],[CPA Lumber -DB]] + TblConstr[[#This Row],[build db]]*TblConstr[[#This Row],[CPA Lumber DB]]</f>
        <v>0</v>
      </c>
      <c r="AS13" s="94">
        <f ca="1">MIN(SUM(OFFSET(TblConstr[[#This Row],[Plain]:[Water]],-1,0))+SUM(TblConstr[[#This Row],[Dest Hom]:[Dest Doc]])+IF(TblConstr[[#This Row],[Hour]]&gt;12,SUM(OFFSET(TblExplore[[#This Row],[Plains Explore]:[Water Explore]],-12,0)),0),SUM(TblConstr[[#This Row],[Hom]:[Doc]]))</f>
        <v>0</v>
      </c>
      <c r="AT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 s="142"/>
      <c r="AV13" s="94">
        <f ca="1">ROUND((TblConstr[[#This Row],[Land]]-250 - IF(TblExplore[[#This Row],[Land Bonus]]&lt;&gt;0,20,0))*1.25 + 850 + 0,0)</f>
        <v>600</v>
      </c>
      <c r="AW13" s="94">
        <f ca="1">ROUND((TblConstr[[#This Row],[Land]]-250 - IF(TblExplore[[#This Row],[Land Bonus]]&lt;&gt;0,20,0))*0.285 + 87.5 + 0/4.25,0)</f>
        <v>31</v>
      </c>
      <c r="AX13" s="154"/>
      <c r="AY13" s="188" cm="1">
        <f t="array" aca="1" ref="AY13" ca="1">IF(TblConstr[[#This Row],[Hour]:[Hour]]&gt;12,OFFSET(TblConstr[[#This Row],[Hom]],-12,0),0)+OFFSET(TblConstr[[#This Row],[Tot Hom]],-1,0)-TblConstr[[#This Row],[Dest Hom]]</f>
        <v>0</v>
      </c>
      <c r="AZ13" s="189" cm="1">
        <f t="array" aca="1" ref="AZ13" ca="1">IF(TblConstr[[#This Row],[Hour]:[Hour]]&gt;12,OFFSET(TblConstr[[#This Row],[Alc]],-12,0),0)+OFFSET(TblConstr[[#This Row],[Tot Alc]],-1,0)-TblConstr[[#This Row],[Dest Alc]]</f>
        <v>0</v>
      </c>
      <c r="BA13" s="189" cm="1">
        <f t="array" aca="1" ref="BA13" ca="1">IF(TblConstr[[#This Row],[Hour]:[Hour]]&gt;12,OFFSET(TblConstr[[#This Row],[Far]],-12,0),0)+OFFSET(TblConstr[[#This Row],[Tot Farm]],-1,0)-TblConstr[[#This Row],[Dest Farm]]</f>
        <v>30</v>
      </c>
      <c r="BB13" s="189" cm="1">
        <f t="array" aca="1" ref="BB13" ca="1">IF(TblConstr[[#This Row],[Hour]:[Hour]]&gt;12,OFFSET(TblConstr[[#This Row],[Smi]],-12,0),0)+OFFSET(TblConstr[[#This Row],[Tot Smi]],-1,0)-TblConstr[[#This Row],[Dest Smi]]</f>
        <v>0</v>
      </c>
      <c r="BC13" s="189" cm="1">
        <f t="array" aca="1" ref="BC13" ca="1">IF(TblConstr[[#This Row],[Hour]:[Hour]]&gt;12,OFFSET(TblConstr[[#This Row],[Mas]],-12,0),0)+OFFSET(TblConstr[[#This Row],[Tot Mas]],-1,0)-TblConstr[[#This Row],[Dest Mas]]</f>
        <v>0</v>
      </c>
      <c r="BD13" s="190" cm="1">
        <f t="array" aca="1" ref="BD13" ca="1">IF(TblConstr[[#This Row],[Hour]:[Hour]]&gt;12,OFFSET(TblConstr[[#This Row],[Ly]],-12,0),0)+OFFSET(TblConstr[[#This Row],[Tot Ly]],-1,0)-TblConstr[[#This Row],[Dest Ly]]</f>
        <v>20</v>
      </c>
      <c r="BE13" s="190" cm="1">
        <f t="array" aca="1" ref="BE13" ca="1">IF(TblConstr[[#This Row],[Hour]:[Hour]]&gt;12,OFFSET(TblConstr[[#This Row],[Hav]],-12,0),0)+OFFSET(TblConstr[[#This Row],[Tot Hav]],-1,0)-TblConstr[[#This Row],[Dest Hav]]</f>
        <v>0</v>
      </c>
      <c r="BF13" s="361" cm="1">
        <f t="array" aca="1" ref="BF13" ca="1">IF(TblConstr[[#This Row],[Hour]:[Hour]]&gt;12,OFFSET(TblConstr[[#This Row],[OM]],-12,0),0)+OFFSET(TblConstr[[#This Row],[Tot OM]],-1,0)-TblConstr[[#This Row],[Dest OM]]</f>
        <v>0</v>
      </c>
      <c r="BG13" s="361" cm="1">
        <f t="array" aca="1" ref="BG13" ca="1">IF(TblConstr[[#This Row],[Hour]:[Hour]]&gt;12,OFFSET(TblConstr[[#This Row],[GN]],-12,0),0)+OFFSET(TblConstr[[#This Row],[Tot GN]],-1,0)-TblConstr[[#This Row],[Dest GN]]</f>
        <v>0</v>
      </c>
      <c r="BH13" s="365" cm="1">
        <f t="array" aca="1" ref="BH13" ca="1">IF(TblConstr[[#This Row],[Hour]:[Hour]]&gt;12,OFFSET(TblConstr[[#This Row],[Fac]],-12,0),0)+OFFSET(TblConstr[[#This Row],[Tot Fac]],-1,0)-TblConstr[[#This Row],[Dest Fac]]</f>
        <v>0</v>
      </c>
      <c r="BI13" s="365" cm="1">
        <f t="array" aca="1" ref="BI13" ca="1">IF(TblConstr[[#This Row],[Hour]:[Hour]]&gt;12,OFFSET(TblConstr[[#This Row],[GT]],-12,0),0)+OFFSET(TblConstr[[#This Row],[Tot GT]],-1,0)-TblConstr[[#This Row],[Dest GT]]</f>
        <v>0</v>
      </c>
      <c r="BJ13" s="365" cm="1">
        <f t="array" aca="1" ref="BJ13" ca="1">IF(TblConstr[[#This Row],[Hour]:[Hour]]&gt;12,OFFSET(TblConstr[[#This Row],[Bar]],-12,0),0)+OFFSET(TblConstr[[#This Row],[Tot Bar]],-1,0)-TblConstr[[#This Row],[Dest Bar]]</f>
        <v>0</v>
      </c>
      <c r="BK13" s="365" cm="1">
        <f t="array" aca="1" ref="BK13" ca="1">IF(TblConstr[[#This Row],[Hour]:[Hour]]&gt;12,OFFSET(TblConstr[[#This Row],[Shr]],-12,0),0)+OFFSET(TblConstr[[#This Row],[Tot Shr]],-1,0)-TblConstr[[#This Row],[Dest Shr]]</f>
        <v>0</v>
      </c>
      <c r="BL13" s="369" cm="1">
        <f t="array" aca="1" ref="BL13" ca="1">IF(TblConstr[[#This Row],[Hour]:[Hour]]&gt;12,OFFSET(TblConstr[[#This Row],[Tow]],-12,0),0)+OFFSET(TblConstr[[#This Row],[Tot Tow]],-1,0)-TblConstr[[#This Row],[Dest Tow]]</f>
        <v>0</v>
      </c>
      <c r="BM13" s="369" cm="1">
        <f t="array" aca="1" ref="BM13" ca="1">IF(TblConstr[[#This Row],[Hour]:[Hour]]&gt;12,OFFSET(TblConstr[[#This Row],[Tem]],-12,0),0)+OFFSET(TblConstr[[#This Row],[Tot Tem]],-1,0)-TblConstr[[#This Row],[Dest Tem]]</f>
        <v>0</v>
      </c>
      <c r="BN13" s="369" cm="1">
        <f t="array" aca="1" ref="BN13" ca="1">IF(TblConstr[[#This Row],[Hour]:[Hour]]&gt;12,OFFSET(TblConstr[[#This Row],[WG]],-12,0),0)+OFFSET(TblConstr[[#This Row],[Tot WG]],-1,0)-TblConstr[[#This Row],[Dest WG]]</f>
        <v>0</v>
      </c>
      <c r="BO13" s="191" cm="1">
        <f t="array" aca="1" ref="BO13" ca="1">IF(TblConstr[[#This Row],[Hour]:[Hour]]&gt;12,OFFSET(TblConstr[[#This Row],[DM]],-12,0),0)+OFFSET(TblConstr[[#This Row],[Tot DM]],-1,0)-TblConstr[[#This Row],[Dest DM]]</f>
        <v>0</v>
      </c>
      <c r="BP13" s="191" cm="1">
        <f t="array" aca="1" ref="BP13" ca="1">IF(TblConstr[[#This Row],[Hour]:[Hour]]&gt;12,OFFSET(TblConstr[[#This Row],[Sch]],-12,0),0)+OFFSET(TblConstr[[#This Row],[Tot Sch]],-1,0)-TblConstr[[#This Row],[Dest Sch]]</f>
        <v>0</v>
      </c>
      <c r="BQ13" s="192" cm="1">
        <f t="array" aca="1" ref="BQ13" ca="1">IF(TblConstr[[#This Row],[Hour]:[Hour]]&gt;12,OFFSET(TblConstr[[#This Row],[Doc]],-12,0),0)+OFFSET(TblConstr[[#This Row],[Tot Doc]],-1,0)-TblConstr[[#This Row],[Dest Doc]]</f>
        <v>0</v>
      </c>
      <c r="BR13" s="142"/>
      <c r="BS13" s="154"/>
      <c r="BT13" s="94">
        <f ca="1">TblConstr[[#This Row],[Land]]</f>
        <v>50</v>
      </c>
      <c r="BU13" s="159">
        <f ca="1">TblImps[[#This Row],[Time]]</f>
        <v>46047.374999999978</v>
      </c>
      <c r="BV13" s="142"/>
      <c r="CP13" s="142"/>
      <c r="CQ13" s="181">
        <f ca="1">-SUM(TblConstr[[#This Row],[Alc]:[Mas]])+SUM(TblConstr[[#This Row],[Dest Alc]:[Dest Mas]])+Rezone!L13+IF("Ch_"&amp; home_land=TblConstr[[#Headers],[Ch_Plain]],TblConstr[[#This Row],[Home Land]])+IF(TblConstr[[#This Row],[Hour]:[Hour]]&gt;12,OFFSET(TblExplore[[#This Row],[Plains Explore]],-12,0),0)</f>
        <v>0</v>
      </c>
      <c r="CR13" s="182">
        <f ca="1">-SUM(TblConstr[[#This Row],[Ly]:[Hav]])+SUM(TblConstr[[#This Row],[Dest Ly]:[Dest Hav]]) +Rezone!M13 + IF("Ch_"&amp; home_land=TblConstr[[#Headers],[Ch_Forest]],TblConstr[[#This Row],[Home Land]])+IF(TblConstr[[#This Row],[Hour]:[Hour]]&gt;12,OFFSET(TblExplore[[#This Row],[Forest Explore]],-12,0),0)</f>
        <v>0</v>
      </c>
      <c r="CS13" s="359">
        <f ca="1">-SUM(TblConstr[[#This Row],[OM]:[GN]])+SUM(TblConstr[[#This Row],[Dest OM]:[Dest GN]]) +Rezone!N13 + IF("Ch_"&amp; home_land=TblConstr[[#Headers],[Ch_Mountain]],TblConstr[[#This Row],[Home Land]])+IF(TblConstr[[#This Row],[Hour]:[Hour]]&gt;12,OFFSET(TblExplore[[#This Row],[Mountain Explore]],-12,0),0)</f>
        <v>0</v>
      </c>
      <c r="CT13" s="183">
        <f ca="1">-SUM(TblConstr[[#This Row],[Fac]:[Shr]])+SUM(TblConstr[[#This Row],[Dest Fac]:[Dest Shr]]) +Rezone!O13 + IF("Ch_" &amp; home_land=TblConstr[[#Headers],[Ch_Hill]],TblConstr[[#This Row],[Home Land]])+IF(TblConstr[[#This Row],[Hour]:[Hour]]&gt;12,OFFSET(TblExplore[[#This Row],[Hill Explore]],-12,0),0)</f>
        <v>0</v>
      </c>
      <c r="CU13" s="184">
        <f ca="1">-SUM(TblConstr[[#This Row],[Tow]:[WG]])+SUM(TblConstr[[#This Row],[Dest Tow]:[Dest WG]]) +Rezone!P13 + IF("Ch_" &amp; home_land=TblConstr[[#Headers],[Ch_Swamp]],TblConstr[[#This Row],[Home Land]])+IF(TblConstr[[#This Row],[Hour]:[Hour]]&gt;12,OFFSET(TblExplore[[#This Row],[Swamp Explore]],-12,0),0)</f>
        <v>0</v>
      </c>
      <c r="CV13" s="185">
        <f ca="1" xml:space="preserve"> - SUM(TblConstr[[#This Row],[DM]:[Sch]])+SUM(TblConstr[[#This Row],[Dest DM]:[Dest Sch]]) +Rezone!Q13 + IF("Ch_" &amp; home_land=TblConstr[[#Headers],[Ch_Cavern]],TblConstr[[#This Row],[Home Land]])+IF(TblConstr[[#This Row],[Hour]:[Hour]]&gt;12,OFFSET(TblExplore[[#This Row],[Cavern Explore]],-12,0),0)</f>
        <v>0</v>
      </c>
      <c r="CW13" s="186">
        <f ca="1">-TblConstr[[#This Row],[Doc]]+TblConstr[[#This Row],[Dest Doc]] +Rezone!R13 + IF("Ch_" &amp; home_land=TblConstr[[#Headers],[Ch_Water]],TblConstr[[#This Row],[Home Land]])+IF(TblConstr[[#This Row],[Hour]:[Hour]]&gt;12,OFFSET(TblExplore[[#This Row],[Water Explore]],-12,0),0)</f>
        <v>0</v>
      </c>
      <c r="CX13" s="45">
        <f>IF(Explore!S13=1,20) - TblConstr[[#This Row],[Hom]] + TblConstr[[#This Row],[Dest Hom]]</f>
        <v>0</v>
      </c>
      <c r="CY13" s="142"/>
      <c r="CZ13" s="94">
        <f ca="1">G13+SUM(P$4:S13)+SUM(AZ13:BC13)</f>
        <v>30</v>
      </c>
      <c r="DA13" s="94">
        <f ca="1">H13+SUM(T$4:U13)+SUM(BD13:BE13)</f>
        <v>20</v>
      </c>
      <c r="DB13" s="45">
        <f ca="1">I13+SUM(V$4:W13)+SUM(BF13:BG13)</f>
        <v>0</v>
      </c>
      <c r="DC13" s="94">
        <f ca="1">J13+SUM(X$4:Y13)+SUM(BH13:BI13)</f>
        <v>0</v>
      </c>
      <c r="DD13" s="94">
        <f ca="1">K13+SUM(AB$4:AD13)+SUM(BL13:BN13)</f>
        <v>0</v>
      </c>
      <c r="DE13" s="45">
        <f ca="1">L13+SUM(AE$4:AE13)+BO13</f>
        <v>0</v>
      </c>
      <c r="DF13" s="94">
        <f ca="1">M13+SUM(AG$4:AG13)+BQ13</f>
        <v>0</v>
      </c>
      <c r="DG13" s="94" cm="1">
        <f t="array" aca="1" ref="DG13" ca="1">INDEX(TblConstr[[Total Plain]:[Total Water]],ROW()-ROW(TblConstr[#Headers]),MATCH("Total "&amp;home_land,TblConstr[[#Headers],[Total Plain]:[Total Water]],0))+TblConstr[[#This Row],[Homes]]</f>
        <v>30</v>
      </c>
      <c r="DH13" s="45">
        <f ca="1">SUM(O$4:O13)+AY13</f>
        <v>0</v>
      </c>
      <c r="DI13" s="45">
        <f t="shared" ca="1" si="0"/>
        <v>0</v>
      </c>
      <c r="DJ13" s="45">
        <f t="shared" ca="1" si="1"/>
        <v>0</v>
      </c>
    </row>
    <row r="14" spans="1:114" hidden="1" x14ac:dyDescent="0.2">
      <c r="A14" s="175">
        <f>TblRezone[[#This Row],[Hour]]</f>
        <v>11</v>
      </c>
      <c r="B14" s="176">
        <f ca="1">SUM(TblConstr[[#This Row],[Plain]:[Water]])</f>
        <v>0</v>
      </c>
      <c r="C14" s="177">
        <f ca="1">SUM(TblConstr[[#This Row],[Tot Hom]:[Tot Doc]])</f>
        <v>50</v>
      </c>
      <c r="D14" s="177">
        <f>SUM(O$4:AG14)</f>
        <v>0</v>
      </c>
      <c r="E14" s="178"/>
      <c r="F14" s="61">
        <f ca="1">TblConstr[[#This Row],[Barren]]+TblConstr[[#This Row],[Buildings]]+TblConstr[[#This Row],[Incoming]]</f>
        <v>50</v>
      </c>
      <c r="G14" s="187">
        <f ca="1">OFFSET(TblConstr[[#This Row],[Plain]],-1,0)+TblConstr[[#This Row],[Ch_Plain]]</f>
        <v>0</v>
      </c>
      <c r="H14" s="182">
        <f ca="1">OFFSET(TblConstr[[#This Row],[Forest]],-1,0)+TblConstr[[#This Row],[Ch_Forest]]</f>
        <v>0</v>
      </c>
      <c r="I14" s="359">
        <f ca="1">OFFSET(TblConstr[[#This Row],[Mountain]],-1,0)+TblConstr[[#This Row],[Ch_Mountain]]</f>
        <v>0</v>
      </c>
      <c r="J14" s="363">
        <f ca="1">OFFSET(TblConstr[[#This Row],[Hill]],-1,0)+TblConstr[[#This Row],[Ch_Hill]]</f>
        <v>0</v>
      </c>
      <c r="K14" s="367">
        <f ca="1">OFFSET(TblConstr[[#This Row],[Swamp]],-1,0)+TblConstr[[#This Row],[Ch_Swamp]]</f>
        <v>0</v>
      </c>
      <c r="L14" s="185">
        <f ca="1">OFFSET(TblConstr[[#This Row],[Cavern]],-1,0)+TblConstr[[#This Row],[Ch_Cavern]]</f>
        <v>0</v>
      </c>
      <c r="M14" s="186">
        <f ca="1">OFFSET(TblConstr[[#This Row],[Water]],-1,0)+TblConstr[[#This Row],[Ch_Water]]</f>
        <v>0</v>
      </c>
      <c r="N14" s="357">
        <f>TblRezone[[#This Row],[Hour]]</f>
        <v>11</v>
      </c>
      <c r="R14" s="94"/>
      <c r="AH14" s="53">
        <f ca="1">TblImps[[#This Row],[Time]]</f>
        <v>46047.416666666642</v>
      </c>
      <c r="AI14" s="180">
        <f ca="1">MIN(25%,(TblConstr[[#This Row],[Tot Fac]]+TblConstr[[#This Row],[Dest Fac]])/(TblConstr[[#This Row],[Land]]-TblExplore[[#This Row],[Land Bonus]]*20))</f>
        <v>0</v>
      </c>
      <c r="AJ14" s="180">
        <f ca="1">MIN(25%,(TblConstr[[#This Row],[Tot Fac]]+TblConstr[[#This Row],[Dest Fac]])/TblConstr[[#This Row],[Land]])</f>
        <v>0</v>
      </c>
      <c r="AK14" s="94">
        <f ca="1">TblProd[[#This Row],[Platinum]]</f>
        <v>63825</v>
      </c>
      <c r="AL14" s="94">
        <f ca="1">TblProd[[#This Row],[Lumber]]</f>
        <v>23127</v>
      </c>
      <c r="AM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4" s="94">
        <f ca="1">ROUNDDOWN( MAX(1 - MIN(facs_constr_factor*TblConstr[[#This Row],[Facs -DB]],facs_constr_max) + tech_1_11*TblTech[[#This Row],[11-1]] + tech_6_3_2*TblTech[[#This Row],[6-3]] + tech_5_2_3*TblTech[[#This Row],[5-2]], 1-global_constr_cap) * TblConstr[[#This Row],[RCPA Lumber]],0)</f>
        <v>31</v>
      </c>
      <c r="AO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4" s="94">
        <f ca="1">ROUNDDOWN( MAX(1 - MIN(facs_constr_factor*TblConstr[[#This Row],[Facs DB]],facs_constr_max) + tech_1_11*TblTech[[#This Row],[1-11]] + tech_6_3_2*TblTech[[#This Row],[6-3]] + tech_5_2_3*TblTech[[#This Row],[5-2]], 1-global_constr_cap) * ROUND((TblConstr[[#This Row],[Land]]-250)*0.285 + 87.5 + 0/4.25,0),0)</f>
        <v>31</v>
      </c>
      <c r="AQ14" s="45">
        <f ca="1">TblConstr[[#This Row],[build -db]]*TblConstr[[#This Row],[CPA Platinum -DB]] + TblConstr[[#This Row],[build db]]*TblConstr[[#This Row],[CPA Platinum DB]]</f>
        <v>0</v>
      </c>
      <c r="AR14" s="45">
        <f ca="1">TblConstr[[#This Row],[build -db]]*TblConstr[[#This Row],[CPA Lumber -DB]] + TblConstr[[#This Row],[build db]]*TblConstr[[#This Row],[CPA Lumber DB]]</f>
        <v>0</v>
      </c>
      <c r="AS14" s="94">
        <f ca="1">MIN(SUM(OFFSET(TblConstr[[#This Row],[Plain]:[Water]],-1,0))+SUM(TblConstr[[#This Row],[Dest Hom]:[Dest Doc]])+IF(TblConstr[[#This Row],[Hour]]&gt;12,SUM(OFFSET(TblExplore[[#This Row],[Plains Explore]:[Water Explore]],-12,0)),0),SUM(TblConstr[[#This Row],[Hom]:[Doc]]))</f>
        <v>0</v>
      </c>
      <c r="AT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4" s="142"/>
      <c r="AV14" s="94">
        <f ca="1">ROUND((TblConstr[[#This Row],[Land]]-250 - IF(TblExplore[[#This Row],[Land Bonus]]&lt;&gt;0,20,0))*1.25 + 850 + 0,0)</f>
        <v>600</v>
      </c>
      <c r="AW14" s="94">
        <f ca="1">ROUND((TblConstr[[#This Row],[Land]]-250 - IF(TblExplore[[#This Row],[Land Bonus]]&lt;&gt;0,20,0))*0.285 + 87.5 + 0/4.25,0)</f>
        <v>31</v>
      </c>
      <c r="AX14" s="154"/>
      <c r="AY14" s="188" cm="1">
        <f t="array" aca="1" ref="AY14" ca="1">IF(TblConstr[[#This Row],[Hour]:[Hour]]&gt;12,OFFSET(TblConstr[[#This Row],[Hom]],-12,0),0)+OFFSET(TblConstr[[#This Row],[Tot Hom]],-1,0)-TblConstr[[#This Row],[Dest Hom]]</f>
        <v>0</v>
      </c>
      <c r="AZ14" s="189" cm="1">
        <f t="array" aca="1" ref="AZ14" ca="1">IF(TblConstr[[#This Row],[Hour]:[Hour]]&gt;12,OFFSET(TblConstr[[#This Row],[Alc]],-12,0),0)+OFFSET(TblConstr[[#This Row],[Tot Alc]],-1,0)-TblConstr[[#This Row],[Dest Alc]]</f>
        <v>0</v>
      </c>
      <c r="BA14" s="189" cm="1">
        <f t="array" aca="1" ref="BA14" ca="1">IF(TblConstr[[#This Row],[Hour]:[Hour]]&gt;12,OFFSET(TblConstr[[#This Row],[Far]],-12,0),0)+OFFSET(TblConstr[[#This Row],[Tot Farm]],-1,0)-TblConstr[[#This Row],[Dest Farm]]</f>
        <v>30</v>
      </c>
      <c r="BB14" s="189" cm="1">
        <f t="array" aca="1" ref="BB14" ca="1">IF(TblConstr[[#This Row],[Hour]:[Hour]]&gt;12,OFFSET(TblConstr[[#This Row],[Smi]],-12,0),0)+OFFSET(TblConstr[[#This Row],[Tot Smi]],-1,0)-TblConstr[[#This Row],[Dest Smi]]</f>
        <v>0</v>
      </c>
      <c r="BC14" s="189" cm="1">
        <f t="array" aca="1" ref="BC14" ca="1">IF(TblConstr[[#This Row],[Hour]:[Hour]]&gt;12,OFFSET(TblConstr[[#This Row],[Mas]],-12,0),0)+OFFSET(TblConstr[[#This Row],[Tot Mas]],-1,0)-TblConstr[[#This Row],[Dest Mas]]</f>
        <v>0</v>
      </c>
      <c r="BD14" s="190" cm="1">
        <f t="array" aca="1" ref="BD14" ca="1">IF(TblConstr[[#This Row],[Hour]:[Hour]]&gt;12,OFFSET(TblConstr[[#This Row],[Ly]],-12,0),0)+OFFSET(TblConstr[[#This Row],[Tot Ly]],-1,0)-TblConstr[[#This Row],[Dest Ly]]</f>
        <v>20</v>
      </c>
      <c r="BE14" s="190" cm="1">
        <f t="array" aca="1" ref="BE14" ca="1">IF(TblConstr[[#This Row],[Hour]:[Hour]]&gt;12,OFFSET(TblConstr[[#This Row],[Hav]],-12,0),0)+OFFSET(TblConstr[[#This Row],[Tot Hav]],-1,0)-TblConstr[[#This Row],[Dest Hav]]</f>
        <v>0</v>
      </c>
      <c r="BF14" s="361" cm="1">
        <f t="array" aca="1" ref="BF14" ca="1">IF(TblConstr[[#This Row],[Hour]:[Hour]]&gt;12,OFFSET(TblConstr[[#This Row],[OM]],-12,0),0)+OFFSET(TblConstr[[#This Row],[Tot OM]],-1,0)-TblConstr[[#This Row],[Dest OM]]</f>
        <v>0</v>
      </c>
      <c r="BG14" s="361" cm="1">
        <f t="array" aca="1" ref="BG14" ca="1">IF(TblConstr[[#This Row],[Hour]:[Hour]]&gt;12,OFFSET(TblConstr[[#This Row],[GN]],-12,0),0)+OFFSET(TblConstr[[#This Row],[Tot GN]],-1,0)-TblConstr[[#This Row],[Dest GN]]</f>
        <v>0</v>
      </c>
      <c r="BH14" s="365" cm="1">
        <f t="array" aca="1" ref="BH14" ca="1">IF(TblConstr[[#This Row],[Hour]:[Hour]]&gt;12,OFFSET(TblConstr[[#This Row],[Fac]],-12,0),0)+OFFSET(TblConstr[[#This Row],[Tot Fac]],-1,0)-TblConstr[[#This Row],[Dest Fac]]</f>
        <v>0</v>
      </c>
      <c r="BI14" s="365" cm="1">
        <f t="array" aca="1" ref="BI14" ca="1">IF(TblConstr[[#This Row],[Hour]:[Hour]]&gt;12,OFFSET(TblConstr[[#This Row],[GT]],-12,0),0)+OFFSET(TblConstr[[#This Row],[Tot GT]],-1,0)-TblConstr[[#This Row],[Dest GT]]</f>
        <v>0</v>
      </c>
      <c r="BJ14" s="365" cm="1">
        <f t="array" aca="1" ref="BJ14" ca="1">IF(TblConstr[[#This Row],[Hour]:[Hour]]&gt;12,OFFSET(TblConstr[[#This Row],[Bar]],-12,0),0)+OFFSET(TblConstr[[#This Row],[Tot Bar]],-1,0)-TblConstr[[#This Row],[Dest Bar]]</f>
        <v>0</v>
      </c>
      <c r="BK14" s="365" cm="1">
        <f t="array" aca="1" ref="BK14" ca="1">IF(TblConstr[[#This Row],[Hour]:[Hour]]&gt;12,OFFSET(TblConstr[[#This Row],[Shr]],-12,0),0)+OFFSET(TblConstr[[#This Row],[Tot Shr]],-1,0)-TblConstr[[#This Row],[Dest Shr]]</f>
        <v>0</v>
      </c>
      <c r="BL14" s="369" cm="1">
        <f t="array" aca="1" ref="BL14" ca="1">IF(TblConstr[[#This Row],[Hour]:[Hour]]&gt;12,OFFSET(TblConstr[[#This Row],[Tow]],-12,0),0)+OFFSET(TblConstr[[#This Row],[Tot Tow]],-1,0)-TblConstr[[#This Row],[Dest Tow]]</f>
        <v>0</v>
      </c>
      <c r="BM14" s="369" cm="1">
        <f t="array" aca="1" ref="BM14" ca="1">IF(TblConstr[[#This Row],[Hour]:[Hour]]&gt;12,OFFSET(TblConstr[[#This Row],[Tem]],-12,0),0)+OFFSET(TblConstr[[#This Row],[Tot Tem]],-1,0)-TblConstr[[#This Row],[Dest Tem]]</f>
        <v>0</v>
      </c>
      <c r="BN14" s="369" cm="1">
        <f t="array" aca="1" ref="BN14" ca="1">IF(TblConstr[[#This Row],[Hour]:[Hour]]&gt;12,OFFSET(TblConstr[[#This Row],[WG]],-12,0),0)+OFFSET(TblConstr[[#This Row],[Tot WG]],-1,0)-TblConstr[[#This Row],[Dest WG]]</f>
        <v>0</v>
      </c>
      <c r="BO14" s="191" cm="1">
        <f t="array" aca="1" ref="BO14" ca="1">IF(TblConstr[[#This Row],[Hour]:[Hour]]&gt;12,OFFSET(TblConstr[[#This Row],[DM]],-12,0),0)+OFFSET(TblConstr[[#This Row],[Tot DM]],-1,0)-TblConstr[[#This Row],[Dest DM]]</f>
        <v>0</v>
      </c>
      <c r="BP14" s="191" cm="1">
        <f t="array" aca="1" ref="BP14" ca="1">IF(TblConstr[[#This Row],[Hour]:[Hour]]&gt;12,OFFSET(TblConstr[[#This Row],[Sch]],-12,0),0)+OFFSET(TblConstr[[#This Row],[Tot Sch]],-1,0)-TblConstr[[#This Row],[Dest Sch]]</f>
        <v>0</v>
      </c>
      <c r="BQ14" s="192" cm="1">
        <f t="array" aca="1" ref="BQ14" ca="1">IF(TblConstr[[#This Row],[Hour]:[Hour]]&gt;12,OFFSET(TblConstr[[#This Row],[Doc]],-12,0),0)+OFFSET(TblConstr[[#This Row],[Tot Doc]],-1,0)-TblConstr[[#This Row],[Dest Doc]]</f>
        <v>0</v>
      </c>
      <c r="BR14" s="142"/>
      <c r="BS14" s="154"/>
      <c r="BT14" s="94">
        <f ca="1">TblConstr[[#This Row],[Land]]</f>
        <v>50</v>
      </c>
      <c r="BU14" s="159">
        <f ca="1">TblImps[[#This Row],[Time]]</f>
        <v>46047.416666666642</v>
      </c>
      <c r="BV14" s="142"/>
      <c r="CP14" s="142"/>
      <c r="CQ14" s="181">
        <f ca="1">-SUM(TblConstr[[#This Row],[Alc]:[Mas]])+SUM(TblConstr[[#This Row],[Dest Alc]:[Dest Mas]])+Rezone!L14+IF("Ch_"&amp; home_land=TblConstr[[#Headers],[Ch_Plain]],TblConstr[[#This Row],[Home Land]])+IF(TblConstr[[#This Row],[Hour]:[Hour]]&gt;12,OFFSET(TblExplore[[#This Row],[Plains Explore]],-12,0),0)</f>
        <v>0</v>
      </c>
      <c r="CR14" s="182">
        <f ca="1">-SUM(TblConstr[[#This Row],[Ly]:[Hav]])+SUM(TblConstr[[#This Row],[Dest Ly]:[Dest Hav]]) +Rezone!M14 + IF("Ch_"&amp; home_land=TblConstr[[#Headers],[Ch_Forest]],TblConstr[[#This Row],[Home Land]])+IF(TblConstr[[#This Row],[Hour]:[Hour]]&gt;12,OFFSET(TblExplore[[#This Row],[Forest Explore]],-12,0),0)</f>
        <v>0</v>
      </c>
      <c r="CS14" s="359">
        <f ca="1">-SUM(TblConstr[[#This Row],[OM]:[GN]])+SUM(TblConstr[[#This Row],[Dest OM]:[Dest GN]]) +Rezone!N14 + IF("Ch_"&amp; home_land=TblConstr[[#Headers],[Ch_Mountain]],TblConstr[[#This Row],[Home Land]])+IF(TblConstr[[#This Row],[Hour]:[Hour]]&gt;12,OFFSET(TblExplore[[#This Row],[Mountain Explore]],-12,0),0)</f>
        <v>0</v>
      </c>
      <c r="CT14" s="183">
        <f ca="1">-SUM(TblConstr[[#This Row],[Fac]:[Shr]])+SUM(TblConstr[[#This Row],[Dest Fac]:[Dest Shr]]) +Rezone!O14 + IF("Ch_" &amp; home_land=TblConstr[[#Headers],[Ch_Hill]],TblConstr[[#This Row],[Home Land]])+IF(TblConstr[[#This Row],[Hour]:[Hour]]&gt;12,OFFSET(TblExplore[[#This Row],[Hill Explore]],-12,0),0)</f>
        <v>0</v>
      </c>
      <c r="CU14" s="184">
        <f ca="1">-SUM(TblConstr[[#This Row],[Tow]:[WG]])+SUM(TblConstr[[#This Row],[Dest Tow]:[Dest WG]]) +Rezone!P14 + IF("Ch_" &amp; home_land=TblConstr[[#Headers],[Ch_Swamp]],TblConstr[[#This Row],[Home Land]])+IF(TblConstr[[#This Row],[Hour]:[Hour]]&gt;12,OFFSET(TblExplore[[#This Row],[Swamp Explore]],-12,0),0)</f>
        <v>0</v>
      </c>
      <c r="CV14" s="185">
        <f ca="1" xml:space="preserve"> - SUM(TblConstr[[#This Row],[DM]:[Sch]])+SUM(TblConstr[[#This Row],[Dest DM]:[Dest Sch]]) +Rezone!Q14 + IF("Ch_" &amp; home_land=TblConstr[[#Headers],[Ch_Cavern]],TblConstr[[#This Row],[Home Land]])+IF(TblConstr[[#This Row],[Hour]:[Hour]]&gt;12,OFFSET(TblExplore[[#This Row],[Cavern Explore]],-12,0),0)</f>
        <v>0</v>
      </c>
      <c r="CW14" s="186">
        <f ca="1">-TblConstr[[#This Row],[Doc]]+TblConstr[[#This Row],[Dest Doc]] +Rezone!R14 + IF("Ch_" &amp; home_land=TblConstr[[#Headers],[Ch_Water]],TblConstr[[#This Row],[Home Land]])+IF(TblConstr[[#This Row],[Hour]:[Hour]]&gt;12,OFFSET(TblExplore[[#This Row],[Water Explore]],-12,0),0)</f>
        <v>0</v>
      </c>
      <c r="CX14" s="45">
        <f>IF(Explore!S14=1,20) - TblConstr[[#This Row],[Hom]] + TblConstr[[#This Row],[Dest Hom]]</f>
        <v>0</v>
      </c>
      <c r="CY14" s="142"/>
      <c r="CZ14" s="94">
        <f ca="1">G14+SUM(P$4:S14)+SUM(AZ14:BC14)</f>
        <v>30</v>
      </c>
      <c r="DA14" s="94">
        <f ca="1">H14+SUM(T$4:U14)+SUM(BD14:BE14)</f>
        <v>20</v>
      </c>
      <c r="DB14" s="45">
        <f ca="1">I14+SUM(V$4:W14)+SUM(BF14:BG14)</f>
        <v>0</v>
      </c>
      <c r="DC14" s="94">
        <f ca="1">J14+SUM(X$4:Y14)+SUM(BH14:BI14)</f>
        <v>0</v>
      </c>
      <c r="DD14" s="94">
        <f ca="1">K14+SUM(AB$4:AD14)+SUM(BL14:BN14)</f>
        <v>0</v>
      </c>
      <c r="DE14" s="45">
        <f ca="1">L14+SUM(AE$4:AE14)+BO14</f>
        <v>0</v>
      </c>
      <c r="DF14" s="94">
        <f ca="1">M14+SUM(AG$4:AG14)+BQ14</f>
        <v>0</v>
      </c>
      <c r="DG14" s="94" cm="1">
        <f t="array" aca="1" ref="DG14" ca="1">INDEX(TblConstr[[Total Plain]:[Total Water]],ROW()-ROW(TblConstr[#Headers]),MATCH("Total "&amp;home_land,TblConstr[[#Headers],[Total Plain]:[Total Water]],0))+TblConstr[[#This Row],[Homes]]</f>
        <v>30</v>
      </c>
      <c r="DH14" s="45">
        <f ca="1">SUM(O$4:O14)+AY14</f>
        <v>0</v>
      </c>
      <c r="DI14" s="45">
        <f t="shared" ca="1" si="0"/>
        <v>0</v>
      </c>
      <c r="DJ14" s="45">
        <f t="shared" ca="1" si="1"/>
        <v>0</v>
      </c>
    </row>
    <row r="15" spans="1:114" hidden="1" x14ac:dyDescent="0.2">
      <c r="A15" s="175">
        <f>TblRezone[[#This Row],[Hour]]</f>
        <v>12</v>
      </c>
      <c r="B15" s="176">
        <f ca="1">SUM(TblConstr[[#This Row],[Plain]:[Water]])</f>
        <v>0</v>
      </c>
      <c r="C15" s="177">
        <f ca="1">SUM(TblConstr[[#This Row],[Tot Hom]:[Tot Doc]])</f>
        <v>50</v>
      </c>
      <c r="D15" s="177">
        <f>SUM(O$4:AG15)</f>
        <v>0</v>
      </c>
      <c r="E15" s="178"/>
      <c r="F15" s="61">
        <f ca="1">TblConstr[[#This Row],[Barren]]+TblConstr[[#This Row],[Buildings]]+TblConstr[[#This Row],[Incoming]]</f>
        <v>50</v>
      </c>
      <c r="G15" s="187">
        <f ca="1">OFFSET(TblConstr[[#This Row],[Plain]],-1,0)+TblConstr[[#This Row],[Ch_Plain]]</f>
        <v>0</v>
      </c>
      <c r="H15" s="182">
        <f ca="1">OFFSET(TblConstr[[#This Row],[Forest]],-1,0)+TblConstr[[#This Row],[Ch_Forest]]</f>
        <v>0</v>
      </c>
      <c r="I15" s="359">
        <f ca="1">OFFSET(TblConstr[[#This Row],[Mountain]],-1,0)+TblConstr[[#This Row],[Ch_Mountain]]</f>
        <v>0</v>
      </c>
      <c r="J15" s="363">
        <f ca="1">OFFSET(TblConstr[[#This Row],[Hill]],-1,0)+TblConstr[[#This Row],[Ch_Hill]]</f>
        <v>0</v>
      </c>
      <c r="K15" s="367">
        <f ca="1">OFFSET(TblConstr[[#This Row],[Swamp]],-1,0)+TblConstr[[#This Row],[Ch_Swamp]]</f>
        <v>0</v>
      </c>
      <c r="L15" s="185">
        <f ca="1">OFFSET(TblConstr[[#This Row],[Cavern]],-1,0)+TblConstr[[#This Row],[Ch_Cavern]]</f>
        <v>0</v>
      </c>
      <c r="M15" s="186">
        <f ca="1">OFFSET(TblConstr[[#This Row],[Water]],-1,0)+TblConstr[[#This Row],[Ch_Water]]</f>
        <v>0</v>
      </c>
      <c r="N15" s="357">
        <f>TblRezone[[#This Row],[Hour]]</f>
        <v>12</v>
      </c>
      <c r="AH15" s="53">
        <f ca="1">TblImps[[#This Row],[Time]]</f>
        <v>46047.458333333307</v>
      </c>
      <c r="AI15" s="180">
        <f ca="1">MIN(25%,(TblConstr[[#This Row],[Tot Fac]]+TblConstr[[#This Row],[Dest Fac]])/(TblConstr[[#This Row],[Land]]-TblExplore[[#This Row],[Land Bonus]]*20))</f>
        <v>0</v>
      </c>
      <c r="AJ15" s="180">
        <f ca="1">MIN(25%,(TblConstr[[#This Row],[Tot Fac]]+TblConstr[[#This Row],[Dest Fac]])/TblConstr[[#This Row],[Land]])</f>
        <v>0</v>
      </c>
      <c r="AK15" s="94">
        <f ca="1">TblProd[[#This Row],[Platinum]]</f>
        <v>65358</v>
      </c>
      <c r="AL15" s="94">
        <f ca="1">TblProd[[#This Row],[Lumber]]</f>
        <v>23896</v>
      </c>
      <c r="AM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600</v>
      </c>
      <c r="AN15" s="94">
        <f ca="1">ROUNDDOWN( MAX(1 - MIN(facs_constr_factor*TblConstr[[#This Row],[Facs -DB]],facs_constr_max) + tech_1_11*TblTech[[#This Row],[11-1]] + tech_6_3_2*TblTech[[#This Row],[6-3]] + tech_5_2_3*TblTech[[#This Row],[5-2]], 1-global_constr_cap) * TblConstr[[#This Row],[RCPA Lumber]],0)</f>
        <v>31</v>
      </c>
      <c r="AO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600</v>
      </c>
      <c r="AP15" s="94">
        <f ca="1">ROUNDDOWN( MAX(1 - MIN(facs_constr_factor*TblConstr[[#This Row],[Facs DB]],facs_constr_max) + tech_1_11*TblTech[[#This Row],[1-11]] + tech_6_3_2*TblTech[[#This Row],[6-3]] + tech_5_2_3*TblTech[[#This Row],[5-2]], 1-global_constr_cap) * ROUND((TblConstr[[#This Row],[Land]]-250)*0.285 + 87.5 + 0/4.25,0),0)</f>
        <v>31</v>
      </c>
      <c r="AQ15" s="45">
        <f ca="1">TblConstr[[#This Row],[build -db]]*TblConstr[[#This Row],[CPA Platinum -DB]] + TblConstr[[#This Row],[build db]]*TblConstr[[#This Row],[CPA Platinum DB]]</f>
        <v>0</v>
      </c>
      <c r="AR15" s="45">
        <f ca="1">TblConstr[[#This Row],[build -db]]*TblConstr[[#This Row],[CPA Lumber -DB]] + TblConstr[[#This Row],[build db]]*TblConstr[[#This Row],[CPA Lumber DB]]</f>
        <v>0</v>
      </c>
      <c r="AS15" s="94">
        <f ca="1">MIN(SUM(OFFSET(TblConstr[[#This Row],[Plain]:[Water]],-1,0))+SUM(TblConstr[[#This Row],[Dest Hom]:[Dest Doc]])+IF(TblConstr[[#This Row],[Hour]]&gt;12,SUM(OFFSET(TblExplore[[#This Row],[Plains Explore]:[Water Explore]],-12,0)),0),SUM(TblConstr[[#This Row],[Hom]:[Doc]]))</f>
        <v>0</v>
      </c>
      <c r="AT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5" s="142"/>
      <c r="AV15" s="94">
        <f ca="1">ROUND((TblConstr[[#This Row],[Land]]-250 - IF(TblExplore[[#This Row],[Land Bonus]]&lt;&gt;0,20,0))*1.25 + 850 + 0,0)</f>
        <v>600</v>
      </c>
      <c r="AW15" s="94">
        <f ca="1">ROUND((TblConstr[[#This Row],[Land]]-250 - IF(TblExplore[[#This Row],[Land Bonus]]&lt;&gt;0,20,0))*0.285 + 87.5 + 0/4.25,0)</f>
        <v>31</v>
      </c>
      <c r="AX15" s="154"/>
      <c r="AY15" s="188" cm="1">
        <f t="array" aca="1" ref="AY15" ca="1">IF(TblConstr[[#This Row],[Hour]:[Hour]]&gt;12,OFFSET(TblConstr[[#This Row],[Hom]],-12,0),0)+OFFSET(TblConstr[[#This Row],[Tot Hom]],-1,0)-TblConstr[[#This Row],[Dest Hom]]</f>
        <v>0</v>
      </c>
      <c r="AZ15" s="189" cm="1">
        <f t="array" aca="1" ref="AZ15" ca="1">IF(TblConstr[[#This Row],[Hour]:[Hour]]&gt;12,OFFSET(TblConstr[[#This Row],[Alc]],-12,0),0)+OFFSET(TblConstr[[#This Row],[Tot Alc]],-1,0)-TblConstr[[#This Row],[Dest Alc]]</f>
        <v>0</v>
      </c>
      <c r="BA15" s="189" cm="1">
        <f t="array" aca="1" ref="BA15" ca="1">IF(TblConstr[[#This Row],[Hour]:[Hour]]&gt;12,OFFSET(TblConstr[[#This Row],[Far]],-12,0),0)+OFFSET(TblConstr[[#This Row],[Tot Farm]],-1,0)-TblConstr[[#This Row],[Dest Farm]]</f>
        <v>30</v>
      </c>
      <c r="BB15" s="189" cm="1">
        <f t="array" aca="1" ref="BB15" ca="1">IF(TblConstr[[#This Row],[Hour]:[Hour]]&gt;12,OFFSET(TblConstr[[#This Row],[Smi]],-12,0),0)+OFFSET(TblConstr[[#This Row],[Tot Smi]],-1,0)-TblConstr[[#This Row],[Dest Smi]]</f>
        <v>0</v>
      </c>
      <c r="BC15" s="189" cm="1">
        <f t="array" aca="1" ref="BC15" ca="1">IF(TblConstr[[#This Row],[Hour]:[Hour]]&gt;12,OFFSET(TblConstr[[#This Row],[Mas]],-12,0),0)+OFFSET(TblConstr[[#This Row],[Tot Mas]],-1,0)-TblConstr[[#This Row],[Dest Mas]]</f>
        <v>0</v>
      </c>
      <c r="BD15" s="190" cm="1">
        <f t="array" aca="1" ref="BD15" ca="1">IF(TblConstr[[#This Row],[Hour]:[Hour]]&gt;12,OFFSET(TblConstr[[#This Row],[Ly]],-12,0),0)+OFFSET(TblConstr[[#This Row],[Tot Ly]],-1,0)-TblConstr[[#This Row],[Dest Ly]]</f>
        <v>20</v>
      </c>
      <c r="BE15" s="190" cm="1">
        <f t="array" aca="1" ref="BE15" ca="1">IF(TblConstr[[#This Row],[Hour]:[Hour]]&gt;12,OFFSET(TblConstr[[#This Row],[Hav]],-12,0),0)+OFFSET(TblConstr[[#This Row],[Tot Hav]],-1,0)-TblConstr[[#This Row],[Dest Hav]]</f>
        <v>0</v>
      </c>
      <c r="BF15" s="361" cm="1">
        <f t="array" aca="1" ref="BF15" ca="1">IF(TblConstr[[#This Row],[Hour]:[Hour]]&gt;12,OFFSET(TblConstr[[#This Row],[OM]],-12,0),0)+OFFSET(TblConstr[[#This Row],[Tot OM]],-1,0)-TblConstr[[#This Row],[Dest OM]]</f>
        <v>0</v>
      </c>
      <c r="BG15" s="361" cm="1">
        <f t="array" aca="1" ref="BG15" ca="1">IF(TblConstr[[#This Row],[Hour]:[Hour]]&gt;12,OFFSET(TblConstr[[#This Row],[GN]],-12,0),0)+OFFSET(TblConstr[[#This Row],[Tot GN]],-1,0)-TblConstr[[#This Row],[Dest GN]]</f>
        <v>0</v>
      </c>
      <c r="BH15" s="365" cm="1">
        <f t="array" aca="1" ref="BH15" ca="1">IF(TblConstr[[#This Row],[Hour]:[Hour]]&gt;12,OFFSET(TblConstr[[#This Row],[Fac]],-12,0),0)+OFFSET(TblConstr[[#This Row],[Tot Fac]],-1,0)-TblConstr[[#This Row],[Dest Fac]]</f>
        <v>0</v>
      </c>
      <c r="BI15" s="365" cm="1">
        <f t="array" aca="1" ref="BI15" ca="1">IF(TblConstr[[#This Row],[Hour]:[Hour]]&gt;12,OFFSET(TblConstr[[#This Row],[GT]],-12,0),0)+OFFSET(TblConstr[[#This Row],[Tot GT]],-1,0)-TblConstr[[#This Row],[Dest GT]]</f>
        <v>0</v>
      </c>
      <c r="BJ15" s="365" cm="1">
        <f t="array" aca="1" ref="BJ15" ca="1">IF(TblConstr[[#This Row],[Hour]:[Hour]]&gt;12,OFFSET(TblConstr[[#This Row],[Bar]],-12,0),0)+OFFSET(TblConstr[[#This Row],[Tot Bar]],-1,0)-TblConstr[[#This Row],[Dest Bar]]</f>
        <v>0</v>
      </c>
      <c r="BK15" s="365" cm="1">
        <f t="array" aca="1" ref="BK15" ca="1">IF(TblConstr[[#This Row],[Hour]:[Hour]]&gt;12,OFFSET(TblConstr[[#This Row],[Shr]],-12,0),0)+OFFSET(TblConstr[[#This Row],[Tot Shr]],-1,0)-TblConstr[[#This Row],[Dest Shr]]</f>
        <v>0</v>
      </c>
      <c r="BL15" s="369" cm="1">
        <f t="array" aca="1" ref="BL15" ca="1">IF(TblConstr[[#This Row],[Hour]:[Hour]]&gt;12,OFFSET(TblConstr[[#This Row],[Tow]],-12,0),0)+OFFSET(TblConstr[[#This Row],[Tot Tow]],-1,0)-TblConstr[[#This Row],[Dest Tow]]</f>
        <v>0</v>
      </c>
      <c r="BM15" s="369" cm="1">
        <f t="array" aca="1" ref="BM15" ca="1">IF(TblConstr[[#This Row],[Hour]:[Hour]]&gt;12,OFFSET(TblConstr[[#This Row],[Tem]],-12,0),0)+OFFSET(TblConstr[[#This Row],[Tot Tem]],-1,0)-TblConstr[[#This Row],[Dest Tem]]</f>
        <v>0</v>
      </c>
      <c r="BN15" s="369" cm="1">
        <f t="array" aca="1" ref="BN15" ca="1">IF(TblConstr[[#This Row],[Hour]:[Hour]]&gt;12,OFFSET(TblConstr[[#This Row],[WG]],-12,0),0)+OFFSET(TblConstr[[#This Row],[Tot WG]],-1,0)-TblConstr[[#This Row],[Dest WG]]</f>
        <v>0</v>
      </c>
      <c r="BO15" s="191" cm="1">
        <f t="array" aca="1" ref="BO15" ca="1">IF(TblConstr[[#This Row],[Hour]:[Hour]]&gt;12,OFFSET(TblConstr[[#This Row],[DM]],-12,0),0)+OFFSET(TblConstr[[#This Row],[Tot DM]],-1,0)-TblConstr[[#This Row],[Dest DM]]</f>
        <v>0</v>
      </c>
      <c r="BP15" s="191" cm="1">
        <f t="array" aca="1" ref="BP15" ca="1">IF(TblConstr[[#This Row],[Hour]:[Hour]]&gt;12,OFFSET(TblConstr[[#This Row],[Sch]],-12,0),0)+OFFSET(TblConstr[[#This Row],[Tot Sch]],-1,0)-TblConstr[[#This Row],[Dest Sch]]</f>
        <v>0</v>
      </c>
      <c r="BQ15" s="192" cm="1">
        <f t="array" aca="1" ref="BQ15" ca="1">IF(TblConstr[[#This Row],[Hour]:[Hour]]&gt;12,OFFSET(TblConstr[[#This Row],[Doc]],-12,0),0)+OFFSET(TblConstr[[#This Row],[Tot Doc]],-1,0)-TblConstr[[#This Row],[Dest Doc]]</f>
        <v>0</v>
      </c>
      <c r="BR15" s="142"/>
      <c r="BS15" s="154"/>
      <c r="BT15" s="94">
        <f ca="1">TblConstr[[#This Row],[Land]]</f>
        <v>50</v>
      </c>
      <c r="BU15" s="159">
        <f ca="1">TblImps[[#This Row],[Time]]</f>
        <v>46047.458333333307</v>
      </c>
      <c r="BV15" s="142"/>
      <c r="CP15" s="142"/>
      <c r="CQ15" s="181">
        <f ca="1">-SUM(TblConstr[[#This Row],[Alc]:[Mas]])+SUM(TblConstr[[#This Row],[Dest Alc]:[Dest Mas]])+Rezone!L15+IF("Ch_"&amp; home_land=TblConstr[[#Headers],[Ch_Plain]],TblConstr[[#This Row],[Home Land]])+IF(TblConstr[[#This Row],[Hour]:[Hour]]&gt;12,OFFSET(TblExplore[[#This Row],[Plains Explore]],-12,0),0)</f>
        <v>0</v>
      </c>
      <c r="CR15" s="182">
        <f ca="1">-SUM(TblConstr[[#This Row],[Ly]:[Hav]])+SUM(TblConstr[[#This Row],[Dest Ly]:[Dest Hav]]) +Rezone!M15 + IF("Ch_"&amp; home_land=TblConstr[[#Headers],[Ch_Forest]],TblConstr[[#This Row],[Home Land]])+IF(TblConstr[[#This Row],[Hour]:[Hour]]&gt;12,OFFSET(TblExplore[[#This Row],[Forest Explore]],-12,0),0)</f>
        <v>0</v>
      </c>
      <c r="CS15" s="359">
        <f ca="1">-SUM(TblConstr[[#This Row],[OM]:[GN]])+SUM(TblConstr[[#This Row],[Dest OM]:[Dest GN]]) +Rezone!N15 + IF("Ch_"&amp; home_land=TblConstr[[#Headers],[Ch_Mountain]],TblConstr[[#This Row],[Home Land]])+IF(TblConstr[[#This Row],[Hour]:[Hour]]&gt;12,OFFSET(TblExplore[[#This Row],[Mountain Explore]],-12,0),0)</f>
        <v>0</v>
      </c>
      <c r="CT15" s="183">
        <f ca="1">-SUM(TblConstr[[#This Row],[Fac]:[Shr]])+SUM(TblConstr[[#This Row],[Dest Fac]:[Dest Shr]]) +Rezone!O15 + IF("Ch_" &amp; home_land=TblConstr[[#Headers],[Ch_Hill]],TblConstr[[#This Row],[Home Land]])+IF(TblConstr[[#This Row],[Hour]:[Hour]]&gt;12,OFFSET(TblExplore[[#This Row],[Hill Explore]],-12,0),0)</f>
        <v>0</v>
      </c>
      <c r="CU15" s="184">
        <f ca="1">-SUM(TblConstr[[#This Row],[Tow]:[WG]])+SUM(TblConstr[[#This Row],[Dest Tow]:[Dest WG]]) +Rezone!P15 + IF("Ch_" &amp; home_land=TblConstr[[#Headers],[Ch_Swamp]],TblConstr[[#This Row],[Home Land]])+IF(TblConstr[[#This Row],[Hour]:[Hour]]&gt;12,OFFSET(TblExplore[[#This Row],[Swamp Explore]],-12,0),0)</f>
        <v>0</v>
      </c>
      <c r="CV15" s="185">
        <f ca="1" xml:space="preserve"> - SUM(TblConstr[[#This Row],[DM]:[Sch]])+SUM(TblConstr[[#This Row],[Dest DM]:[Dest Sch]]) +Rezone!Q15 + IF("Ch_" &amp; home_land=TblConstr[[#Headers],[Ch_Cavern]],TblConstr[[#This Row],[Home Land]])+IF(TblConstr[[#This Row],[Hour]:[Hour]]&gt;12,OFFSET(TblExplore[[#This Row],[Cavern Explore]],-12,0),0)</f>
        <v>0</v>
      </c>
      <c r="CW15" s="186">
        <f ca="1">-TblConstr[[#This Row],[Doc]]+TblConstr[[#This Row],[Dest Doc]] +Rezone!R15 + IF("Ch_" &amp; home_land=TblConstr[[#Headers],[Ch_Water]],TblConstr[[#This Row],[Home Land]])+IF(TblConstr[[#This Row],[Hour]:[Hour]]&gt;12,OFFSET(TblExplore[[#This Row],[Water Explore]],-12,0),0)</f>
        <v>0</v>
      </c>
      <c r="CX15" s="45">
        <f>IF(Explore!S15=1,20) - TblConstr[[#This Row],[Hom]] + TblConstr[[#This Row],[Dest Hom]]</f>
        <v>0</v>
      </c>
      <c r="CY15" s="142"/>
      <c r="CZ15" s="94">
        <f ca="1">G15+SUM(P$4:S15)+SUM(AZ15:BC15)</f>
        <v>30</v>
      </c>
      <c r="DA15" s="94">
        <f ca="1">H15+SUM(T$4:U15)+SUM(BD15:BE15)</f>
        <v>20</v>
      </c>
      <c r="DB15" s="45">
        <f ca="1">I15+SUM(V$4:W15)+SUM(BF15:BG15)</f>
        <v>0</v>
      </c>
      <c r="DC15" s="94">
        <f ca="1">J15+SUM(X$4:Y15)+SUM(BH15:BI15)</f>
        <v>0</v>
      </c>
      <c r="DD15" s="94">
        <f ca="1">K15+SUM(AB$4:AD15)+SUM(BL15:BN15)</f>
        <v>0</v>
      </c>
      <c r="DE15" s="45">
        <f ca="1">L15+SUM(AE$4:AE15)+BO15</f>
        <v>0</v>
      </c>
      <c r="DF15" s="94">
        <f ca="1">M15+SUM(AG$4:AG15)+BQ15</f>
        <v>0</v>
      </c>
      <c r="DG15" s="94" cm="1">
        <f t="array" aca="1" ref="DG15" ca="1">INDEX(TblConstr[[Total Plain]:[Total Water]],ROW()-ROW(TblConstr[#Headers]),MATCH("Total "&amp;home_land,TblConstr[[#Headers],[Total Plain]:[Total Water]],0))+TblConstr[[#This Row],[Homes]]</f>
        <v>30</v>
      </c>
      <c r="DH15" s="45">
        <f ca="1">SUM(O$4:O15)+AY15</f>
        <v>0</v>
      </c>
      <c r="DI15" s="45">
        <f t="shared" ca="1" si="0"/>
        <v>0</v>
      </c>
      <c r="DJ15" s="45">
        <f t="shared" ca="1" si="1"/>
        <v>0</v>
      </c>
    </row>
    <row r="16" spans="1:114" x14ac:dyDescent="0.2">
      <c r="A16" s="175">
        <f>TblRezone[[#This Row],[Hour]]</f>
        <v>13</v>
      </c>
      <c r="B16" s="176">
        <f ca="1">SUM(TblConstr[[#This Row],[Plain]:[Water]])</f>
        <v>60</v>
      </c>
      <c r="C16" s="177">
        <f ca="1">SUM(TblConstr[[#This Row],[Tot Hom]:[Tot Doc]])</f>
        <v>50</v>
      </c>
      <c r="D16" s="177">
        <f t="shared" ref="D16:D46" si="2">SUM(O5:AG16)</f>
        <v>0</v>
      </c>
      <c r="E16" s="178"/>
      <c r="F16" s="61">
        <f ca="1">TblConstr[[#This Row],[Barren]]+TblConstr[[#This Row],[Buildings]]+TblConstr[[#This Row],[Incoming]]</f>
        <v>110</v>
      </c>
      <c r="G16" s="187">
        <f ca="1">OFFSET(TblConstr[[#This Row],[Plain]],-1,0)+TblConstr[[#This Row],[Ch_Plain]]</f>
        <v>60</v>
      </c>
      <c r="H16" s="182">
        <f ca="1">OFFSET(TblConstr[[#This Row],[Forest]],-1,0)+TblConstr[[#This Row],[Ch_Forest]]</f>
        <v>0</v>
      </c>
      <c r="I16" s="359">
        <f ca="1">OFFSET(TblConstr[[#This Row],[Mountain]],-1,0)+TblConstr[[#This Row],[Ch_Mountain]]</f>
        <v>0</v>
      </c>
      <c r="J16" s="363">
        <f ca="1">OFFSET(TblConstr[[#This Row],[Hill]],-1,0)+TblConstr[[#This Row],[Ch_Hill]]</f>
        <v>0</v>
      </c>
      <c r="K16" s="367">
        <f ca="1">OFFSET(TblConstr[[#This Row],[Swamp]],-1,0)+TblConstr[[#This Row],[Ch_Swamp]]</f>
        <v>0</v>
      </c>
      <c r="L16" s="185">
        <f ca="1">OFFSET(TblConstr[[#This Row],[Cavern]],-1,0)+TblConstr[[#This Row],[Ch_Cavern]]</f>
        <v>0</v>
      </c>
      <c r="M16" s="186">
        <f ca="1">OFFSET(TblConstr[[#This Row],[Water]],-1,0)+TblConstr[[#This Row],[Ch_Water]]</f>
        <v>0</v>
      </c>
      <c r="N16" s="357">
        <f>TblRezone[[#This Row],[Hour]]</f>
        <v>13</v>
      </c>
      <c r="O16" s="179"/>
      <c r="P16" s="158"/>
      <c r="Q16" s="179"/>
      <c r="R16" s="179"/>
      <c r="S16" s="179"/>
      <c r="T16" s="179"/>
      <c r="U16" s="179"/>
      <c r="V16" s="158"/>
      <c r="W16" s="179"/>
      <c r="X16" s="158"/>
      <c r="Y16" s="179"/>
      <c r="Z16" s="179"/>
      <c r="AA16" s="179"/>
      <c r="AB16" s="179"/>
      <c r="AC16" s="179"/>
      <c r="AD16" s="179"/>
      <c r="AE16" s="179"/>
      <c r="AF16" s="179"/>
      <c r="AG16" s="158"/>
      <c r="AH16" s="53">
        <f ca="1">TblImps[[#This Row],[Time]]</f>
        <v>46047.499999999971</v>
      </c>
      <c r="AI16" s="180">
        <f ca="1">MIN(25%,(TblConstr[[#This Row],[Tot Fac]]+TblConstr[[#This Row],[Dest Fac]])/(TblConstr[[#This Row],[Land]]-TblExplore[[#This Row],[Land Bonus]]*20))</f>
        <v>0</v>
      </c>
      <c r="AJ16" s="180">
        <f ca="1">MIN(25%,(TblConstr[[#This Row],[Tot Fac]]+TblConstr[[#This Row],[Dest Fac]])/TblConstr[[#This Row],[Land]])</f>
        <v>0</v>
      </c>
      <c r="AK16" s="94">
        <f ca="1">TblProd[[#This Row],[Platinum]]</f>
        <v>66875</v>
      </c>
      <c r="AL16" s="94">
        <f ca="1">TblProd[[#This Row],[Lumber]]</f>
        <v>24657</v>
      </c>
      <c r="AM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6" s="94">
        <f ca="1">ROUNDDOWN( MAX(1 - MIN(facs_constr_factor*TblConstr[[#This Row],[Facs -DB]],facs_constr_max) + tech_1_11*TblTech[[#This Row],[11-1]] + tech_6_3_2*TblTech[[#This Row],[6-3]] + tech_5_2_3*TblTech[[#This Row],[5-2]], 1-global_constr_cap) * TblConstr[[#This Row],[RCPA Lumber]],0)</f>
        <v>48</v>
      </c>
      <c r="AO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6" s="94">
        <f ca="1">ROUNDDOWN( MAX(1 - MIN(facs_constr_factor*TblConstr[[#This Row],[Facs DB]],facs_constr_max) + tech_1_11*TblTech[[#This Row],[1-11]] + tech_6_3_2*TblTech[[#This Row],[6-3]] + tech_5_2_3*TblTech[[#This Row],[5-2]], 1-global_constr_cap) * ROUND((TblConstr[[#This Row],[Land]]-250)*0.285 + 87.5 + 0/4.25,0),0)</f>
        <v>48</v>
      </c>
      <c r="AQ16" s="45">
        <f ca="1">TblConstr[[#This Row],[build -db]]*TblConstr[[#This Row],[CPA Platinum -DB]] + TblConstr[[#This Row],[build db]]*TblConstr[[#This Row],[CPA Platinum DB]]</f>
        <v>0</v>
      </c>
      <c r="AR16" s="45">
        <f ca="1">TblConstr[[#This Row],[build -db]]*TblConstr[[#This Row],[CPA Lumber -DB]] + TblConstr[[#This Row],[build db]]*TblConstr[[#This Row],[CPA Lumber DB]]</f>
        <v>0</v>
      </c>
      <c r="AS16" s="94">
        <f ca="1">MIN(SUM(OFFSET(TblConstr[[#This Row],[Plain]:[Water]],-1,0))+SUM(TblConstr[[#This Row],[Dest Hom]:[Dest Doc]])+IF(TblConstr[[#This Row],[Hour]]&gt;12,SUM(OFFSET(TblExplore[[#This Row],[Plains Explore]:[Water Explore]],-12,0),60),0),SUM(TblConstr[[#This Row],[Hom]:[Doc]]))</f>
        <v>0</v>
      </c>
      <c r="AT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6" s="142"/>
      <c r="AV16" s="94">
        <f ca="1">ROUND((TblConstr[[#This Row],[Land]]-250 - IF(TblExplore[[#This Row],[Land Bonus]]&lt;&gt;0,20,0))*1.25 + 850 + 0,0)</f>
        <v>675</v>
      </c>
      <c r="AW16" s="94">
        <f ca="1">ROUND((TblConstr[[#This Row],[Land]]-250 - IF(TblExplore[[#This Row],[Land Bonus]]&lt;&gt;0,20,0))*0.285 + 87.5 + 0/4.25,0)</f>
        <v>48</v>
      </c>
      <c r="AX16" s="154"/>
      <c r="AY16" s="188" cm="1">
        <f t="array" aca="1" ref="AY16" ca="1">IF(TblConstr[[#This Row],[Hour]:[Hour]]&gt;12,OFFSET(TblConstr[[#This Row],[Hom]],-12,0),0)+OFFSET(TblConstr[[#This Row],[Tot Hom]],-1,0)-TblConstr[[#This Row],[Dest Hom]]</f>
        <v>0</v>
      </c>
      <c r="AZ16" s="189" cm="1">
        <f t="array" aca="1" ref="AZ16" ca="1">IF(TblConstr[[#This Row],[Hour]:[Hour]]&gt;12,OFFSET(TblConstr[[#This Row],[Alc]],-12,0),0)+OFFSET(TblConstr[[#This Row],[Tot Alc]],-1,0)-TblConstr[[#This Row],[Dest Alc]]</f>
        <v>0</v>
      </c>
      <c r="BA16" s="189" cm="1">
        <f t="array" aca="1" ref="BA16" ca="1">IF(TblConstr[[#This Row],[Hour]:[Hour]]&gt;12,OFFSET(TblConstr[[#This Row],[Far]],-12,0),0)+OFFSET(TblConstr[[#This Row],[Tot Farm]],-1,0)-TblConstr[[#This Row],[Dest Farm]]</f>
        <v>30</v>
      </c>
      <c r="BB16" s="189" cm="1">
        <f t="array" aca="1" ref="BB16" ca="1">IF(TblConstr[[#This Row],[Hour]:[Hour]]&gt;12,OFFSET(TblConstr[[#This Row],[Smi]],-12,0),0)+OFFSET(TblConstr[[#This Row],[Tot Smi]],-1,0)-TblConstr[[#This Row],[Dest Smi]]</f>
        <v>0</v>
      </c>
      <c r="BC16" s="189" cm="1">
        <f t="array" aca="1" ref="BC16" ca="1">IF(TblConstr[[#This Row],[Hour]:[Hour]]&gt;12,OFFSET(TblConstr[[#This Row],[Mas]],-12,0),0)+OFFSET(TblConstr[[#This Row],[Tot Mas]],-1,0)-TblConstr[[#This Row],[Dest Mas]]</f>
        <v>0</v>
      </c>
      <c r="BD16" s="190" cm="1">
        <f t="array" aca="1" ref="BD16" ca="1">IF(TblConstr[[#This Row],[Hour]:[Hour]]&gt;12,OFFSET(TblConstr[[#This Row],[Ly]],-12,0),0)+OFFSET(TblConstr[[#This Row],[Tot Ly]],-1,0)-TblConstr[[#This Row],[Dest Ly]]</f>
        <v>20</v>
      </c>
      <c r="BE16" s="190" cm="1">
        <f t="array" aca="1" ref="BE16" ca="1">IF(TblConstr[[#This Row],[Hour]:[Hour]]&gt;12,OFFSET(TblConstr[[#This Row],[Hav]],-12,0),0)+OFFSET(TblConstr[[#This Row],[Tot Hav]],-1,0)-TblConstr[[#This Row],[Dest Hav]]</f>
        <v>0</v>
      </c>
      <c r="BF16" s="361" cm="1">
        <f t="array" aca="1" ref="BF16" ca="1">IF(TblConstr[[#This Row],[Hour]:[Hour]]&gt;12,OFFSET(TblConstr[[#This Row],[OM]],-12,0),0)+OFFSET(TblConstr[[#This Row],[Tot OM]],-1,0)-TblConstr[[#This Row],[Dest OM]]</f>
        <v>0</v>
      </c>
      <c r="BG16" s="361" cm="1">
        <f t="array" aca="1" ref="BG16" ca="1">IF(TblConstr[[#This Row],[Hour]:[Hour]]&gt;12,OFFSET(TblConstr[[#This Row],[GN]],-12,0),0)+OFFSET(TblConstr[[#This Row],[Tot GN]],-1,0)-TblConstr[[#This Row],[Dest GN]]</f>
        <v>0</v>
      </c>
      <c r="BH16" s="365" cm="1">
        <f t="array" aca="1" ref="BH16" ca="1">IF(TblConstr[[#This Row],[Hour]:[Hour]]&gt;12,OFFSET(TblConstr[[#This Row],[Fac]],-12,0),0)+OFFSET(TblConstr[[#This Row],[Tot Fac]],-1,0)-TblConstr[[#This Row],[Dest Fac]]</f>
        <v>0</v>
      </c>
      <c r="BI16" s="365" cm="1">
        <f t="array" aca="1" ref="BI16" ca="1">IF(TblConstr[[#This Row],[Hour]:[Hour]]&gt;12,OFFSET(TblConstr[[#This Row],[GT]],-12,0),0)+OFFSET(TblConstr[[#This Row],[Tot GT]],-1,0)-TblConstr[[#This Row],[Dest GT]]</f>
        <v>0</v>
      </c>
      <c r="BJ16" s="365" cm="1">
        <f t="array" aca="1" ref="BJ16" ca="1">IF(TblConstr[[#This Row],[Hour]:[Hour]]&gt;12,OFFSET(TblConstr[[#This Row],[Bar]],-12,0),0)+OFFSET(TblConstr[[#This Row],[Tot Bar]],-1,0)-TblConstr[[#This Row],[Dest Bar]]</f>
        <v>0</v>
      </c>
      <c r="BK16" s="365" cm="1">
        <f t="array" aca="1" ref="BK16" ca="1">IF(TblConstr[[#This Row],[Hour]:[Hour]]&gt;12,OFFSET(TblConstr[[#This Row],[Shr]],-12,0),0)+OFFSET(TblConstr[[#This Row],[Tot Shr]],-1,0)-TblConstr[[#This Row],[Dest Shr]]</f>
        <v>0</v>
      </c>
      <c r="BL16" s="369" cm="1">
        <f t="array" aca="1" ref="BL16" ca="1">IF(TblConstr[[#This Row],[Hour]:[Hour]]&gt;12,OFFSET(TblConstr[[#This Row],[Tow]],-12,0),0)+OFFSET(TblConstr[[#This Row],[Tot Tow]],-1,0)-TblConstr[[#This Row],[Dest Tow]]</f>
        <v>0</v>
      </c>
      <c r="BM16" s="369" cm="1">
        <f t="array" aca="1" ref="BM16" ca="1">IF(TblConstr[[#This Row],[Hour]:[Hour]]&gt;12,OFFSET(TblConstr[[#This Row],[Tem]],-12,0),0)+OFFSET(TblConstr[[#This Row],[Tot Tem]],-1,0)-TblConstr[[#This Row],[Dest Tem]]</f>
        <v>0</v>
      </c>
      <c r="BN16" s="369" cm="1">
        <f t="array" aca="1" ref="BN16" ca="1">IF(TblConstr[[#This Row],[Hour]:[Hour]]&gt;12,OFFSET(TblConstr[[#This Row],[WG]],-12,0),0)+OFFSET(TblConstr[[#This Row],[Tot WG]],-1,0)-TblConstr[[#This Row],[Dest WG]]</f>
        <v>0</v>
      </c>
      <c r="BO16" s="191" cm="1">
        <f t="array" aca="1" ref="BO16" ca="1">IF(TblConstr[[#This Row],[Hour]:[Hour]]&gt;12,OFFSET(TblConstr[[#This Row],[DM]],-12,0),0)+OFFSET(TblConstr[[#This Row],[Tot DM]],-1,0)-TblConstr[[#This Row],[Dest DM]]</f>
        <v>0</v>
      </c>
      <c r="BP16" s="191" cm="1">
        <f t="array" aca="1" ref="BP16" ca="1">IF(TblConstr[[#This Row],[Hour]:[Hour]]&gt;12,OFFSET(TblConstr[[#This Row],[Sch]],-12,0),0)+OFFSET(TblConstr[[#This Row],[Tot Sch]],-1,0)-TblConstr[[#This Row],[Dest Sch]]</f>
        <v>0</v>
      </c>
      <c r="BQ16" s="192" cm="1">
        <f t="array" aca="1" ref="BQ16" ca="1">IF(TblConstr[[#This Row],[Hour]:[Hour]]&gt;12,OFFSET(TblConstr[[#This Row],[Doc]],-12,0),0)+OFFSET(TblConstr[[#This Row],[Tot Doc]],-1,0)-TblConstr[[#This Row],[Dest Doc]]</f>
        <v>0</v>
      </c>
      <c r="BR16" s="142"/>
      <c r="BS16" s="154"/>
      <c r="BT16" s="94">
        <f ca="1">TblConstr[[#This Row],[Land]]</f>
        <v>110</v>
      </c>
      <c r="BU16" s="159">
        <f ca="1">TblImps[[#This Row],[Time]]</f>
        <v>46047.499999999971</v>
      </c>
      <c r="BV16" s="142"/>
      <c r="BW16" s="179"/>
      <c r="BX16" s="179"/>
      <c r="BY16" s="158"/>
      <c r="BZ16" s="179"/>
      <c r="CA16" s="179"/>
      <c r="CB16" s="179"/>
      <c r="CC16" s="179"/>
      <c r="CD16" s="179"/>
      <c r="CE16" s="179"/>
      <c r="CF16" s="179"/>
      <c r="CG16" s="179"/>
      <c r="CH16" s="179"/>
      <c r="CI16" s="179"/>
      <c r="CJ16" s="179"/>
      <c r="CK16" s="179"/>
      <c r="CL16" s="179"/>
      <c r="CM16" s="179"/>
      <c r="CN16" s="179"/>
      <c r="CO16" s="179"/>
      <c r="CP16" s="142"/>
      <c r="CQ16" s="181">
        <f ca="1">-SUM(TblConstr[[#This Row],[Alc]:[Mas]])+SUM(TblConstr[[#This Row],[Dest Alc]:[Dest Mas]])+Rezone!L16+IF("Ch_"&amp; home_land=TblConstr[[#Headers],[Ch_Plain]],TblConstr[[#This Row],[Home Land]])+IF(TblConstr[[#This Row],[Hour]:[Hour]]&gt;12,OFFSET(TblExplore[[#This Row],[Plains Explore]],-12,0)+60,0)</f>
        <v>60</v>
      </c>
      <c r="CR16" s="182">
        <f ca="1">-SUM(TblConstr[[#This Row],[Ly]:[Hav]])+SUM(TblConstr[[#This Row],[Dest Ly]:[Dest Hav]]) +Rezone!M16 + IF("Ch_"&amp; home_land=TblConstr[[#Headers],[Ch_Forest]],TblConstr[[#This Row],[Home Land]])+IF(TblConstr[[#This Row],[Hour]:[Hour]]&gt;12,OFFSET(TblExplore[[#This Row],[Forest Explore]],-12,0),0)</f>
        <v>0</v>
      </c>
      <c r="CS16" s="359">
        <f ca="1">-SUM(TblConstr[[#This Row],[OM]:[GN]])+SUM(TblConstr[[#This Row],[Dest OM]:[Dest GN]]) +Rezone!N16 + IF("Ch_"&amp; home_land=TblConstr[[#Headers],[Ch_Mountain]],TblConstr[[#This Row],[Home Land]])+IF(TblConstr[[#This Row],[Hour]:[Hour]]&gt;12,OFFSET(TblExplore[[#This Row],[Mountain Explore]],-12,0),0)</f>
        <v>0</v>
      </c>
      <c r="CT16" s="183">
        <f ca="1">-SUM(TblConstr[[#This Row],[Fac]:[Shr]])+SUM(TblConstr[[#This Row],[Dest Fac]:[Dest Shr]]) +Rezone!O16 + IF("Ch_" &amp; home_land=TblConstr[[#Headers],[Ch_Hill]],TblConstr[[#This Row],[Home Land]])+IF(TblConstr[[#This Row],[Hour]:[Hour]]&gt;12,OFFSET(TblExplore[[#This Row],[Hill Explore]],-12,0),0)</f>
        <v>0</v>
      </c>
      <c r="CU16" s="184">
        <f ca="1">-SUM(TblConstr[[#This Row],[Tow]:[WG]])+SUM(TblConstr[[#This Row],[Dest Tow]:[Dest WG]]) +Rezone!P16 + IF("Ch_" &amp; home_land=TblConstr[[#Headers],[Ch_Swamp]],TblConstr[[#This Row],[Home Land]])+IF(TblConstr[[#This Row],[Hour]:[Hour]]&gt;12,OFFSET(TblExplore[[#This Row],[Swamp Explore]],-12,0),0)</f>
        <v>0</v>
      </c>
      <c r="CV16" s="185">
        <f ca="1" xml:space="preserve"> - SUM(TblConstr[[#This Row],[DM]:[Sch]])+SUM(TblConstr[[#This Row],[Dest DM]:[Dest Sch]]) +Rezone!Q16 + IF("Ch_" &amp; home_land=TblConstr[[#Headers],[Ch_Cavern]],TblConstr[[#This Row],[Home Land]])+IF(TblConstr[[#This Row],[Hour]:[Hour]]&gt;12,OFFSET(TblExplore[[#This Row],[Cavern Explore]],-12,0),0)</f>
        <v>0</v>
      </c>
      <c r="CW16" s="186">
        <f ca="1">-TblConstr[[#This Row],[Doc]]+TblConstr[[#This Row],[Dest Doc]] +Rezone!R16 + IF("Ch_" &amp; home_land=TblConstr[[#Headers],[Ch_Water]],TblConstr[[#This Row],[Home Land]])+IF(TblConstr[[#This Row],[Hour]:[Hour]]&gt;12,OFFSET(TblExplore[[#This Row],[Water Explore]],-12,0),0)</f>
        <v>0</v>
      </c>
      <c r="CX16" s="45">
        <f>IF(Explore!S16=1,20) - TblConstr[[#This Row],[Hom]] + TblConstr[[#This Row],[Dest Hom]]</f>
        <v>0</v>
      </c>
      <c r="CY16" s="142"/>
      <c r="CZ16" s="94">
        <f t="shared" ref="CZ16:CZ47" ca="1" si="3">G16+SUM(P5:S16)+SUM(AZ16:BC16)</f>
        <v>90</v>
      </c>
      <c r="DA16" s="94">
        <f t="shared" ref="DA16:DA47" ca="1" si="4">H16+SUM(T5:U16)+SUM(BD16:BE16)</f>
        <v>20</v>
      </c>
      <c r="DB16" s="45">
        <f t="shared" ref="DB16:DB47" ca="1" si="5">I16+SUM(V5:W16)+SUM(BF16:BG16)</f>
        <v>0</v>
      </c>
      <c r="DC16" s="94">
        <f t="shared" ref="DC16:DC47" ca="1" si="6">J16+SUM(X5:Y16)+SUM(BH16:BI16)</f>
        <v>0</v>
      </c>
      <c r="DD16" s="94">
        <f t="shared" ref="DD16:DD47" ca="1" si="7">K16+SUM(AB5:AD16)+SUM(BL16:BN16)</f>
        <v>0</v>
      </c>
      <c r="DE16" s="45">
        <f t="shared" ref="DE16:DE47" ca="1" si="8">L16+SUM(AE5:AE16)+BO16</f>
        <v>0</v>
      </c>
      <c r="DF16" s="94">
        <f t="shared" ref="DF16:DF47" ca="1" si="9">M16+SUM(AG5:AG16)+BQ16</f>
        <v>0</v>
      </c>
      <c r="DG16" s="94" cm="1">
        <f t="array" aca="1" ref="DG16" ca="1">INDEX(TblConstr[[Total Plain]:[Total Water]],ROW()-ROW(TblConstr[#Headers]),MATCH("Total "&amp;home_land,TblConstr[[#Headers],[Total Plain]:[Total Water]],0))+TblConstr[[#This Row],[Homes]]</f>
        <v>90</v>
      </c>
      <c r="DH16" s="45">
        <f ca="1">SUM(O5:O16)+AY16</f>
        <v>0</v>
      </c>
      <c r="DI16" s="45">
        <f t="shared" ca="1" si="0"/>
        <v>0</v>
      </c>
      <c r="DJ16" s="45">
        <f t="shared" ca="1" si="1"/>
        <v>0</v>
      </c>
    </row>
    <row r="17" spans="1:114" hidden="1" x14ac:dyDescent="0.2">
      <c r="A17" s="175">
        <f>TblRezone[[#This Row],[Hour]]</f>
        <v>14</v>
      </c>
      <c r="B17" s="176">
        <f ca="1">SUM(TblConstr[[#This Row],[Plain]:[Water]])</f>
        <v>60</v>
      </c>
      <c r="C17" s="177">
        <f ca="1">SUM(TblConstr[[#This Row],[Tot Hom]:[Tot Doc]])</f>
        <v>50</v>
      </c>
      <c r="D17" s="177">
        <f t="shared" si="2"/>
        <v>0</v>
      </c>
      <c r="E17" s="178"/>
      <c r="F17" s="61">
        <f ca="1">TblConstr[[#This Row],[Barren]]+TblConstr[[#This Row],[Buildings]]+TblConstr[[#This Row],[Incoming]]</f>
        <v>110</v>
      </c>
      <c r="G17" s="187">
        <f ca="1">OFFSET(TblConstr[[#This Row],[Plain]],-1,0)+TblConstr[[#This Row],[Ch_Plain]]</f>
        <v>60</v>
      </c>
      <c r="H17" s="182">
        <f ca="1">OFFSET(TblConstr[[#This Row],[Forest]],-1,0)+TblConstr[[#This Row],[Ch_Forest]]</f>
        <v>0</v>
      </c>
      <c r="I17" s="359">
        <f ca="1">OFFSET(TblConstr[[#This Row],[Mountain]],-1,0)+TblConstr[[#This Row],[Ch_Mountain]]</f>
        <v>0</v>
      </c>
      <c r="J17" s="363">
        <f ca="1">OFFSET(TblConstr[[#This Row],[Hill]],-1,0)+TblConstr[[#This Row],[Ch_Hill]]</f>
        <v>0</v>
      </c>
      <c r="K17" s="367">
        <f ca="1">OFFSET(TblConstr[[#This Row],[Swamp]],-1,0)+TblConstr[[#This Row],[Ch_Swamp]]</f>
        <v>0</v>
      </c>
      <c r="L17" s="185">
        <f ca="1">OFFSET(TblConstr[[#This Row],[Cavern]],-1,0)+TblConstr[[#This Row],[Ch_Cavern]]</f>
        <v>0</v>
      </c>
      <c r="M17" s="186">
        <f ca="1">OFFSET(TblConstr[[#This Row],[Water]],-1,0)+TblConstr[[#This Row],[Ch_Water]]</f>
        <v>0</v>
      </c>
      <c r="N17" s="357">
        <f>TblRezone[[#This Row],[Hour]]</f>
        <v>14</v>
      </c>
      <c r="X17" s="94"/>
      <c r="AH17" s="53">
        <f ca="1">TblImps[[#This Row],[Time]]</f>
        <v>46047.541666666635</v>
      </c>
      <c r="AI17" s="180">
        <f ca="1">MIN(25%,(TblConstr[[#This Row],[Tot Fac]]+TblConstr[[#This Row],[Dest Fac]])/(TblConstr[[#This Row],[Land]]-TblExplore[[#This Row],[Land Bonus]]*20))</f>
        <v>0</v>
      </c>
      <c r="AJ17" s="180">
        <f ca="1">MIN(25%,(TblConstr[[#This Row],[Tot Fac]]+TblConstr[[#This Row],[Dest Fac]])/TblConstr[[#This Row],[Land]])</f>
        <v>0</v>
      </c>
      <c r="AK17" s="94">
        <f ca="1">TblProd[[#This Row],[Platinum]]</f>
        <v>68422</v>
      </c>
      <c r="AL17" s="94">
        <f ca="1">TblProd[[#This Row],[Lumber]]</f>
        <v>25410</v>
      </c>
      <c r="AM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7" s="94">
        <f ca="1">ROUNDDOWN( MAX(1 - MIN(facs_constr_factor*TblConstr[[#This Row],[Facs -DB]],facs_constr_max) + tech_1_11*TblTech[[#This Row],[11-1]] + tech_6_3_2*TblTech[[#This Row],[6-3]] + tech_5_2_3*TblTech[[#This Row],[5-2]], 1-global_constr_cap) * TblConstr[[#This Row],[RCPA Lumber]],0)</f>
        <v>48</v>
      </c>
      <c r="AO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7" s="94">
        <f ca="1">ROUNDDOWN( MAX(1 - MIN(facs_constr_factor*TblConstr[[#This Row],[Facs DB]],facs_constr_max) + tech_1_11*TblTech[[#This Row],[1-11]] + tech_6_3_2*TblTech[[#This Row],[6-3]] + tech_5_2_3*TblTech[[#This Row],[5-2]], 1-global_constr_cap) * ROUND((TblConstr[[#This Row],[Land]]-250)*0.285 + 87.5 + 0/4.25,0),0)</f>
        <v>48</v>
      </c>
      <c r="AQ17" s="45">
        <f ca="1">TblConstr[[#This Row],[build -db]]*TblConstr[[#This Row],[CPA Platinum -DB]] + TblConstr[[#This Row],[build db]]*TblConstr[[#This Row],[CPA Platinum DB]]</f>
        <v>0</v>
      </c>
      <c r="AR17" s="45">
        <f ca="1">TblConstr[[#This Row],[build -db]]*TblConstr[[#This Row],[CPA Lumber -DB]] + TblConstr[[#This Row],[build db]]*TblConstr[[#This Row],[CPA Lumber DB]]</f>
        <v>0</v>
      </c>
      <c r="AS17" s="94">
        <f ca="1">MIN(SUM(OFFSET(TblConstr[[#This Row],[Plain]:[Water]],-1,0))+SUM(TblConstr[[#This Row],[Dest Hom]:[Dest Doc]])+IF(TblConstr[[#This Row],[Hour]]&gt;12,SUM(OFFSET(TblExplore[[#This Row],[Plains Explore]:[Water Explore]],-12,0)),0),SUM(TblConstr[[#This Row],[Hom]:[Doc]]))</f>
        <v>0</v>
      </c>
      <c r="AT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7" s="154"/>
      <c r="AV17" s="94">
        <f ca="1">ROUND((TblConstr[[#This Row],[Land]]-250 - IF(TblExplore[[#This Row],[Land Bonus]]&lt;&gt;0,20,0))*1.25 + 850 + 0,0)</f>
        <v>675</v>
      </c>
      <c r="AW17" s="94">
        <f ca="1">ROUND((TblConstr[[#This Row],[Land]]-250 - IF(TblExplore[[#This Row],[Land Bonus]]&lt;&gt;0,20,0))*0.285 + 87.5 + 0/4.25,0)</f>
        <v>48</v>
      </c>
      <c r="AX17" s="154"/>
      <c r="AY17" s="188" cm="1">
        <f t="array" aca="1" ref="AY17" ca="1">IF(TblConstr[[#This Row],[Hour]:[Hour]]&gt;12,OFFSET(TblConstr[[#This Row],[Hom]],-12,0),0)+OFFSET(TblConstr[[#This Row],[Tot Hom]],-1,0)-TblConstr[[#This Row],[Dest Hom]]</f>
        <v>0</v>
      </c>
      <c r="AZ17" s="189" cm="1">
        <f t="array" aca="1" ref="AZ17" ca="1">IF(TblConstr[[#This Row],[Hour]:[Hour]]&gt;12,OFFSET(TblConstr[[#This Row],[Alc]],-12,0),0)+OFFSET(TblConstr[[#This Row],[Tot Alc]],-1,0)-TblConstr[[#This Row],[Dest Alc]]</f>
        <v>0</v>
      </c>
      <c r="BA17" s="189" cm="1">
        <f t="array" aca="1" ref="BA17" ca="1">IF(TblConstr[[#This Row],[Hour]:[Hour]]&gt;12,OFFSET(TblConstr[[#This Row],[Far]],-12,0),0)+OFFSET(TblConstr[[#This Row],[Tot Farm]],-1,0)-TblConstr[[#This Row],[Dest Farm]]</f>
        <v>30</v>
      </c>
      <c r="BB17" s="189" cm="1">
        <f t="array" aca="1" ref="BB17" ca="1">IF(TblConstr[[#This Row],[Hour]:[Hour]]&gt;12,OFFSET(TblConstr[[#This Row],[Smi]],-12,0),0)+OFFSET(TblConstr[[#This Row],[Tot Smi]],-1,0)-TblConstr[[#This Row],[Dest Smi]]</f>
        <v>0</v>
      </c>
      <c r="BC17" s="189" cm="1">
        <f t="array" aca="1" ref="BC17" ca="1">IF(TblConstr[[#This Row],[Hour]:[Hour]]&gt;12,OFFSET(TblConstr[[#This Row],[Mas]],-12,0),0)+OFFSET(TblConstr[[#This Row],[Tot Mas]],-1,0)-TblConstr[[#This Row],[Dest Mas]]</f>
        <v>0</v>
      </c>
      <c r="BD17" s="190" cm="1">
        <f t="array" aca="1" ref="BD17" ca="1">IF(TblConstr[[#This Row],[Hour]:[Hour]]&gt;12,OFFSET(TblConstr[[#This Row],[Ly]],-12,0),0)+OFFSET(TblConstr[[#This Row],[Tot Ly]],-1,0)-TblConstr[[#This Row],[Dest Ly]]</f>
        <v>20</v>
      </c>
      <c r="BE17" s="190" cm="1">
        <f t="array" aca="1" ref="BE17" ca="1">IF(TblConstr[[#This Row],[Hour]:[Hour]]&gt;12,OFFSET(TblConstr[[#This Row],[Hav]],-12,0),0)+OFFSET(TblConstr[[#This Row],[Tot Hav]],-1,0)-TblConstr[[#This Row],[Dest Hav]]</f>
        <v>0</v>
      </c>
      <c r="BF17" s="361" cm="1">
        <f t="array" aca="1" ref="BF17" ca="1">IF(TblConstr[[#This Row],[Hour]:[Hour]]&gt;12,OFFSET(TblConstr[[#This Row],[OM]],-12,0),0)+OFFSET(TblConstr[[#This Row],[Tot OM]],-1,0)-TblConstr[[#This Row],[Dest OM]]</f>
        <v>0</v>
      </c>
      <c r="BG17" s="361" cm="1">
        <f t="array" aca="1" ref="BG17" ca="1">IF(TblConstr[[#This Row],[Hour]:[Hour]]&gt;12,OFFSET(TblConstr[[#This Row],[GN]],-12,0),0)+OFFSET(TblConstr[[#This Row],[Tot GN]],-1,0)-TblConstr[[#This Row],[Dest GN]]</f>
        <v>0</v>
      </c>
      <c r="BH17" s="365" cm="1">
        <f t="array" aca="1" ref="BH17" ca="1">IF(TblConstr[[#This Row],[Hour]:[Hour]]&gt;12,OFFSET(TblConstr[[#This Row],[Fac]],-12,0),0)+OFFSET(TblConstr[[#This Row],[Tot Fac]],-1,0)-TblConstr[[#This Row],[Dest Fac]]</f>
        <v>0</v>
      </c>
      <c r="BI17" s="365" cm="1">
        <f t="array" aca="1" ref="BI17" ca="1">IF(TblConstr[[#This Row],[Hour]:[Hour]]&gt;12,OFFSET(TblConstr[[#This Row],[GT]],-12,0),0)+OFFSET(TblConstr[[#This Row],[Tot GT]],-1,0)-TblConstr[[#This Row],[Dest GT]]</f>
        <v>0</v>
      </c>
      <c r="BJ17" s="365" cm="1">
        <f t="array" aca="1" ref="BJ17" ca="1">IF(TblConstr[[#This Row],[Hour]:[Hour]]&gt;12,OFFSET(TblConstr[[#This Row],[Bar]],-12,0),0)+OFFSET(TblConstr[[#This Row],[Tot Bar]],-1,0)-TblConstr[[#This Row],[Dest Bar]]</f>
        <v>0</v>
      </c>
      <c r="BK17" s="365" cm="1">
        <f t="array" aca="1" ref="BK17" ca="1">IF(TblConstr[[#This Row],[Hour]:[Hour]]&gt;12,OFFSET(TblConstr[[#This Row],[Shr]],-12,0),0)+OFFSET(TblConstr[[#This Row],[Tot Shr]],-1,0)-TblConstr[[#This Row],[Dest Shr]]</f>
        <v>0</v>
      </c>
      <c r="BL17" s="369" cm="1">
        <f t="array" aca="1" ref="BL17" ca="1">IF(TblConstr[[#This Row],[Hour]:[Hour]]&gt;12,OFFSET(TblConstr[[#This Row],[Tow]],-12,0),0)+OFFSET(TblConstr[[#This Row],[Tot Tow]],-1,0)-TblConstr[[#This Row],[Dest Tow]]</f>
        <v>0</v>
      </c>
      <c r="BM17" s="369" cm="1">
        <f t="array" aca="1" ref="BM17" ca="1">IF(TblConstr[[#This Row],[Hour]:[Hour]]&gt;12,OFFSET(TblConstr[[#This Row],[Tem]],-12,0),0)+OFFSET(TblConstr[[#This Row],[Tot Tem]],-1,0)-TblConstr[[#This Row],[Dest Tem]]</f>
        <v>0</v>
      </c>
      <c r="BN17" s="369" cm="1">
        <f t="array" aca="1" ref="BN17" ca="1">IF(TblConstr[[#This Row],[Hour]:[Hour]]&gt;12,OFFSET(TblConstr[[#This Row],[WG]],-12,0),0)+OFFSET(TblConstr[[#This Row],[Tot WG]],-1,0)-TblConstr[[#This Row],[Dest WG]]</f>
        <v>0</v>
      </c>
      <c r="BO17" s="191" cm="1">
        <f t="array" aca="1" ref="BO17" ca="1">IF(TblConstr[[#This Row],[Hour]:[Hour]]&gt;12,OFFSET(TblConstr[[#This Row],[DM]],-12,0),0)+OFFSET(TblConstr[[#This Row],[Tot DM]],-1,0)-TblConstr[[#This Row],[Dest DM]]</f>
        <v>0</v>
      </c>
      <c r="BP17" s="191" cm="1">
        <f t="array" aca="1" ref="BP17" ca="1">IF(TblConstr[[#This Row],[Hour]:[Hour]]&gt;12,OFFSET(TblConstr[[#This Row],[Sch]],-12,0),0)+OFFSET(TblConstr[[#This Row],[Tot Sch]],-1,0)-TblConstr[[#This Row],[Dest Sch]]</f>
        <v>0</v>
      </c>
      <c r="BQ17" s="192" cm="1">
        <f t="array" aca="1" ref="BQ17" ca="1">IF(TblConstr[[#This Row],[Hour]:[Hour]]&gt;12,OFFSET(TblConstr[[#This Row],[Doc]],-12,0),0)+OFFSET(TblConstr[[#This Row],[Tot Doc]],-1,0)-TblConstr[[#This Row],[Dest Doc]]</f>
        <v>0</v>
      </c>
      <c r="BR17" s="142"/>
      <c r="BS17" s="154"/>
      <c r="BT17" s="94">
        <f ca="1">TblConstr[[#This Row],[Land]]</f>
        <v>110</v>
      </c>
      <c r="BU17" s="159">
        <f ca="1">TblImps[[#This Row],[Time]]</f>
        <v>46047.541666666635</v>
      </c>
      <c r="BV17" s="142"/>
      <c r="CP17" s="142"/>
      <c r="CQ17" s="181">
        <f ca="1">-SUM(TblConstr[[#This Row],[Alc]:[Mas]])+SUM(TblConstr[[#This Row],[Dest Alc]:[Dest Mas]])+Rezone!L17+IF("Ch_"&amp; home_land=TblConstr[[#Headers],[Ch_Plain]],TblConstr[[#This Row],[Home Land]])+IF(TblConstr[[#This Row],[Hour]:[Hour]]&gt;12,OFFSET(TblExplore[[#This Row],[Plains Explore]],-12,0),0)</f>
        <v>0</v>
      </c>
      <c r="CR17" s="182">
        <f ca="1">-SUM(TblConstr[[#This Row],[Ly]:[Hav]])+SUM(TblConstr[[#This Row],[Dest Ly]:[Dest Hav]]) +Rezone!M17 + IF("Ch_"&amp; home_land=TblConstr[[#Headers],[Ch_Forest]],TblConstr[[#This Row],[Home Land]])+IF(TblConstr[[#This Row],[Hour]:[Hour]]&gt;12,OFFSET(TblExplore[[#This Row],[Forest Explore]],-12,0),0)</f>
        <v>0</v>
      </c>
      <c r="CS17" s="359">
        <f ca="1">-SUM(TblConstr[[#This Row],[OM]:[GN]])+SUM(TblConstr[[#This Row],[Dest OM]:[Dest GN]]) +Rezone!N17 + IF("Ch_"&amp; home_land=TblConstr[[#Headers],[Ch_Mountain]],TblConstr[[#This Row],[Home Land]])+IF(TblConstr[[#This Row],[Hour]:[Hour]]&gt;12,OFFSET(TblExplore[[#This Row],[Mountain Explore]],-12,0),0)</f>
        <v>0</v>
      </c>
      <c r="CT17" s="183">
        <f ca="1">-SUM(TblConstr[[#This Row],[Fac]:[Shr]])+SUM(TblConstr[[#This Row],[Dest Fac]:[Dest Shr]]) +Rezone!O17 + IF("Ch_" &amp; home_land=TblConstr[[#Headers],[Ch_Hill]],TblConstr[[#This Row],[Home Land]])+IF(TblConstr[[#This Row],[Hour]:[Hour]]&gt;12,OFFSET(TblExplore[[#This Row],[Hill Explore]],-12,0),0)</f>
        <v>0</v>
      </c>
      <c r="CU17" s="184">
        <f ca="1">-SUM(TblConstr[[#This Row],[Tow]:[WG]])+SUM(TblConstr[[#This Row],[Dest Tow]:[Dest WG]]) +Rezone!P17 + IF("Ch_" &amp; home_land=TblConstr[[#Headers],[Ch_Swamp]],TblConstr[[#This Row],[Home Land]])+IF(TblConstr[[#This Row],[Hour]:[Hour]]&gt;12,OFFSET(TblExplore[[#This Row],[Swamp Explore]],-12,0),0)</f>
        <v>0</v>
      </c>
      <c r="CV17" s="185">
        <f ca="1" xml:space="preserve"> - SUM(TblConstr[[#This Row],[DM]:[Sch]])+SUM(TblConstr[[#This Row],[Dest DM]:[Dest Sch]]) +Rezone!Q17 + IF("Ch_" &amp; home_land=TblConstr[[#Headers],[Ch_Cavern]],TblConstr[[#This Row],[Home Land]])+IF(TblConstr[[#This Row],[Hour]:[Hour]]&gt;12,OFFSET(TblExplore[[#This Row],[Cavern Explore]],-12,0),0)</f>
        <v>0</v>
      </c>
      <c r="CW17" s="186">
        <f ca="1">-TblConstr[[#This Row],[Doc]]+TblConstr[[#This Row],[Dest Doc]] +Rezone!R17 + IF("Ch_" &amp; home_land=TblConstr[[#Headers],[Ch_Water]],TblConstr[[#This Row],[Home Land]])+IF(TblConstr[[#This Row],[Hour]:[Hour]]&gt;12,OFFSET(TblExplore[[#This Row],[Water Explore]],-12,0),0)</f>
        <v>0</v>
      </c>
      <c r="CX17" s="45">
        <f>IF(Explore!S17=1,20) - TblConstr[[#This Row],[Hom]] + TblConstr[[#This Row],[Dest Hom]]</f>
        <v>0</v>
      </c>
      <c r="CY17" s="142"/>
      <c r="CZ17" s="94">
        <f t="shared" ca="1" si="3"/>
        <v>90</v>
      </c>
      <c r="DA17" s="94">
        <f t="shared" ca="1" si="4"/>
        <v>20</v>
      </c>
      <c r="DB17" s="45">
        <f t="shared" ca="1" si="5"/>
        <v>0</v>
      </c>
      <c r="DC17" s="94">
        <f t="shared" ca="1" si="6"/>
        <v>0</v>
      </c>
      <c r="DD17" s="94">
        <f t="shared" ca="1" si="7"/>
        <v>0</v>
      </c>
      <c r="DE17" s="45">
        <f t="shared" ca="1" si="8"/>
        <v>0</v>
      </c>
      <c r="DF17" s="94">
        <f t="shared" ca="1" si="9"/>
        <v>0</v>
      </c>
      <c r="DG17" s="94" cm="1">
        <f t="array" aca="1" ref="DG17" ca="1">INDEX(TblConstr[[Total Plain]:[Total Water]],ROW()-ROW(TblConstr[#Headers]),MATCH("Total "&amp;home_land,TblConstr[[#Headers],[Total Plain]:[Total Water]],0))+TblConstr[[#This Row],[Homes]]</f>
        <v>90</v>
      </c>
      <c r="DH17" s="45">
        <f t="shared" ref="DH17:DH75" ca="1" si="10">SUM(O6:O17)+AY17</f>
        <v>0</v>
      </c>
      <c r="DI17" s="45">
        <f t="shared" ca="1" si="0"/>
        <v>0</v>
      </c>
      <c r="DJ17" s="45">
        <f t="shared" ca="1" si="1"/>
        <v>0</v>
      </c>
    </row>
    <row r="18" spans="1:114" hidden="1" x14ac:dyDescent="0.2">
      <c r="A18" s="175">
        <f>TblRezone[[#This Row],[Hour]]</f>
        <v>15</v>
      </c>
      <c r="B18" s="176">
        <f ca="1">SUM(TblConstr[[#This Row],[Plain]:[Water]])</f>
        <v>60</v>
      </c>
      <c r="C18" s="177">
        <f ca="1">SUM(TblConstr[[#This Row],[Tot Hom]:[Tot Doc]])</f>
        <v>50</v>
      </c>
      <c r="D18" s="177">
        <f t="shared" si="2"/>
        <v>0</v>
      </c>
      <c r="E18" s="178"/>
      <c r="F18" s="61">
        <f ca="1">TblConstr[[#This Row],[Barren]]+TblConstr[[#This Row],[Buildings]]+TblConstr[[#This Row],[Incoming]]</f>
        <v>110</v>
      </c>
      <c r="G18" s="187">
        <f ca="1">OFFSET(TblConstr[[#This Row],[Plain]],-1,0)+TblConstr[[#This Row],[Ch_Plain]]</f>
        <v>60</v>
      </c>
      <c r="H18" s="182">
        <f ca="1">OFFSET(TblConstr[[#This Row],[Forest]],-1,0)+TblConstr[[#This Row],[Ch_Forest]]</f>
        <v>0</v>
      </c>
      <c r="I18" s="359">
        <f ca="1">OFFSET(TblConstr[[#This Row],[Mountain]],-1,0)+TblConstr[[#This Row],[Ch_Mountain]]</f>
        <v>0</v>
      </c>
      <c r="J18" s="363">
        <f ca="1">OFFSET(TblConstr[[#This Row],[Hill]],-1,0)+TblConstr[[#This Row],[Ch_Hill]]</f>
        <v>0</v>
      </c>
      <c r="K18" s="367">
        <f ca="1">OFFSET(TblConstr[[#This Row],[Swamp]],-1,0)+TblConstr[[#This Row],[Ch_Swamp]]</f>
        <v>0</v>
      </c>
      <c r="L18" s="185">
        <f ca="1">OFFSET(TblConstr[[#This Row],[Cavern]],-1,0)+TblConstr[[#This Row],[Ch_Cavern]]</f>
        <v>0</v>
      </c>
      <c r="M18" s="186">
        <f ca="1">OFFSET(TblConstr[[#This Row],[Water]],-1,0)+TblConstr[[#This Row],[Ch_Water]]</f>
        <v>0</v>
      </c>
      <c r="N18" s="357">
        <f>TblRezone[[#This Row],[Hour]]</f>
        <v>15</v>
      </c>
      <c r="AH18" s="53">
        <f ca="1">TblImps[[#This Row],[Time]]</f>
        <v>46047.583333333299</v>
      </c>
      <c r="AI18" s="180">
        <f ca="1">MIN(25%,(TblConstr[[#This Row],[Tot Fac]]+TblConstr[[#This Row],[Dest Fac]])/(TblConstr[[#This Row],[Land]]-TblExplore[[#This Row],[Land Bonus]]*20))</f>
        <v>0</v>
      </c>
      <c r="AJ18" s="180">
        <f ca="1">MIN(25%,(TblConstr[[#This Row],[Tot Fac]]+TblConstr[[#This Row],[Dest Fac]])/TblConstr[[#This Row],[Land]])</f>
        <v>0</v>
      </c>
      <c r="AK18" s="94">
        <f ca="1">TblProd[[#This Row],[Platinum]]</f>
        <v>69998</v>
      </c>
      <c r="AL18" s="94">
        <f ca="1">TblProd[[#This Row],[Lumber]]</f>
        <v>26156</v>
      </c>
      <c r="AM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8" s="94">
        <f ca="1">ROUNDDOWN( MAX(1 - MIN(facs_constr_factor*TblConstr[[#This Row],[Facs -DB]],facs_constr_max) + tech_1_11*TblTech[[#This Row],[11-1]] + tech_6_3_2*TblTech[[#This Row],[6-3]] + tech_5_2_3*TblTech[[#This Row],[5-2]], 1-global_constr_cap) * TblConstr[[#This Row],[RCPA Lumber]],0)</f>
        <v>48</v>
      </c>
      <c r="AO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8" s="94">
        <f ca="1">ROUNDDOWN( MAX(1 - MIN(facs_constr_factor*TblConstr[[#This Row],[Facs DB]],facs_constr_max) + tech_1_11*TblTech[[#This Row],[1-11]] + tech_6_3_2*TblTech[[#This Row],[6-3]] + tech_5_2_3*TblTech[[#This Row],[5-2]], 1-global_constr_cap) * ROUND((TblConstr[[#This Row],[Land]]-250)*0.285 + 87.5 + 0/4.25,0),0)</f>
        <v>48</v>
      </c>
      <c r="AQ18" s="45">
        <f ca="1">TblConstr[[#This Row],[build -db]]*TblConstr[[#This Row],[CPA Platinum -DB]] + TblConstr[[#This Row],[build db]]*TblConstr[[#This Row],[CPA Platinum DB]]</f>
        <v>0</v>
      </c>
      <c r="AR18" s="45">
        <f ca="1">TblConstr[[#This Row],[build -db]]*TblConstr[[#This Row],[CPA Lumber -DB]] + TblConstr[[#This Row],[build db]]*TblConstr[[#This Row],[CPA Lumber DB]]</f>
        <v>0</v>
      </c>
      <c r="AS18" s="94">
        <f ca="1">MIN(SUM(OFFSET(TblConstr[[#This Row],[Plain]:[Water]],-1,0))+SUM(TblConstr[[#This Row],[Dest Hom]:[Dest Doc]])+IF(TblConstr[[#This Row],[Hour]]&gt;12,SUM(OFFSET(TblExplore[[#This Row],[Plains Explore]:[Water Explore]],-12,0)),0),SUM(TblConstr[[#This Row],[Hom]:[Doc]]))</f>
        <v>0</v>
      </c>
      <c r="AT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8" s="142"/>
      <c r="AV18" s="94">
        <f ca="1">ROUND((TblConstr[[#This Row],[Land]]-250 - IF(TblExplore[[#This Row],[Land Bonus]]&lt;&gt;0,20,0))*1.25 + 850 + 0,0)</f>
        <v>675</v>
      </c>
      <c r="AW18" s="94">
        <f ca="1">ROUND((TblConstr[[#This Row],[Land]]-250 - IF(TblExplore[[#This Row],[Land Bonus]]&lt;&gt;0,20,0))*0.285 + 87.5 + 0/4.25,0)</f>
        <v>48</v>
      </c>
      <c r="AX18" s="154"/>
      <c r="AY18" s="188" cm="1">
        <f t="array" aca="1" ref="AY18" ca="1">IF(TblConstr[[#This Row],[Hour]:[Hour]]&gt;12,OFFSET(TblConstr[[#This Row],[Hom]],-12,0),0)+OFFSET(TblConstr[[#This Row],[Tot Hom]],-1,0)-TblConstr[[#This Row],[Dest Hom]]</f>
        <v>0</v>
      </c>
      <c r="AZ18" s="189" cm="1">
        <f t="array" aca="1" ref="AZ18" ca="1">IF(TblConstr[[#This Row],[Hour]:[Hour]]&gt;12,OFFSET(TblConstr[[#This Row],[Alc]],-12,0),0)+OFFSET(TblConstr[[#This Row],[Tot Alc]],-1,0)-TblConstr[[#This Row],[Dest Alc]]</f>
        <v>0</v>
      </c>
      <c r="BA18" s="189" cm="1">
        <f t="array" aca="1" ref="BA18" ca="1">IF(TblConstr[[#This Row],[Hour]:[Hour]]&gt;12,OFFSET(TblConstr[[#This Row],[Far]],-12,0),0)+OFFSET(TblConstr[[#This Row],[Tot Farm]],-1,0)-TblConstr[[#This Row],[Dest Farm]]</f>
        <v>30</v>
      </c>
      <c r="BB18" s="189" cm="1">
        <f t="array" aca="1" ref="BB18" ca="1">IF(TblConstr[[#This Row],[Hour]:[Hour]]&gt;12,OFFSET(TblConstr[[#This Row],[Smi]],-12,0),0)+OFFSET(TblConstr[[#This Row],[Tot Smi]],-1,0)-TblConstr[[#This Row],[Dest Smi]]</f>
        <v>0</v>
      </c>
      <c r="BC18" s="189" cm="1">
        <f t="array" aca="1" ref="BC18" ca="1">IF(TblConstr[[#This Row],[Hour]:[Hour]]&gt;12,OFFSET(TblConstr[[#This Row],[Mas]],-12,0),0)+OFFSET(TblConstr[[#This Row],[Tot Mas]],-1,0)-TblConstr[[#This Row],[Dest Mas]]</f>
        <v>0</v>
      </c>
      <c r="BD18" s="190" cm="1">
        <f t="array" aca="1" ref="BD18" ca="1">IF(TblConstr[[#This Row],[Hour]:[Hour]]&gt;12,OFFSET(TblConstr[[#This Row],[Ly]],-12,0),0)+OFFSET(TblConstr[[#This Row],[Tot Ly]],-1,0)-TblConstr[[#This Row],[Dest Ly]]</f>
        <v>20</v>
      </c>
      <c r="BE18" s="190" cm="1">
        <f t="array" aca="1" ref="BE18" ca="1">IF(TblConstr[[#This Row],[Hour]:[Hour]]&gt;12,OFFSET(TblConstr[[#This Row],[Hav]],-12,0),0)+OFFSET(TblConstr[[#This Row],[Tot Hav]],-1,0)-TblConstr[[#This Row],[Dest Hav]]</f>
        <v>0</v>
      </c>
      <c r="BF18" s="361" cm="1">
        <f t="array" aca="1" ref="BF18" ca="1">IF(TblConstr[[#This Row],[Hour]:[Hour]]&gt;12,OFFSET(TblConstr[[#This Row],[OM]],-12,0),0)+OFFSET(TblConstr[[#This Row],[Tot OM]],-1,0)-TblConstr[[#This Row],[Dest OM]]</f>
        <v>0</v>
      </c>
      <c r="BG18" s="361" cm="1">
        <f t="array" aca="1" ref="BG18" ca="1">IF(TblConstr[[#This Row],[Hour]:[Hour]]&gt;12,OFFSET(TblConstr[[#This Row],[GN]],-12,0),0)+OFFSET(TblConstr[[#This Row],[Tot GN]],-1,0)-TblConstr[[#This Row],[Dest GN]]</f>
        <v>0</v>
      </c>
      <c r="BH18" s="365" cm="1">
        <f t="array" aca="1" ref="BH18" ca="1">IF(TblConstr[[#This Row],[Hour]:[Hour]]&gt;12,OFFSET(TblConstr[[#This Row],[Fac]],-12,0),0)+OFFSET(TblConstr[[#This Row],[Tot Fac]],-1,0)-TblConstr[[#This Row],[Dest Fac]]</f>
        <v>0</v>
      </c>
      <c r="BI18" s="365" cm="1">
        <f t="array" aca="1" ref="BI18" ca="1">IF(TblConstr[[#This Row],[Hour]:[Hour]]&gt;12,OFFSET(TblConstr[[#This Row],[GT]],-12,0),0)+OFFSET(TblConstr[[#This Row],[Tot GT]],-1,0)-TblConstr[[#This Row],[Dest GT]]</f>
        <v>0</v>
      </c>
      <c r="BJ18" s="365" cm="1">
        <f t="array" aca="1" ref="BJ18" ca="1">IF(TblConstr[[#This Row],[Hour]:[Hour]]&gt;12,OFFSET(TblConstr[[#This Row],[Bar]],-12,0),0)+OFFSET(TblConstr[[#This Row],[Tot Bar]],-1,0)-TblConstr[[#This Row],[Dest Bar]]</f>
        <v>0</v>
      </c>
      <c r="BK18" s="365" cm="1">
        <f t="array" aca="1" ref="BK18" ca="1">IF(TblConstr[[#This Row],[Hour]:[Hour]]&gt;12,OFFSET(TblConstr[[#This Row],[Shr]],-12,0),0)+OFFSET(TblConstr[[#This Row],[Tot Shr]],-1,0)-TblConstr[[#This Row],[Dest Shr]]</f>
        <v>0</v>
      </c>
      <c r="BL18" s="369" cm="1">
        <f t="array" aca="1" ref="BL18" ca="1">IF(TblConstr[[#This Row],[Hour]:[Hour]]&gt;12,OFFSET(TblConstr[[#This Row],[Tow]],-12,0),0)+OFFSET(TblConstr[[#This Row],[Tot Tow]],-1,0)-TblConstr[[#This Row],[Dest Tow]]</f>
        <v>0</v>
      </c>
      <c r="BM18" s="369" cm="1">
        <f t="array" aca="1" ref="BM18" ca="1">IF(TblConstr[[#This Row],[Hour]:[Hour]]&gt;12,OFFSET(TblConstr[[#This Row],[Tem]],-12,0),0)+OFFSET(TblConstr[[#This Row],[Tot Tem]],-1,0)-TblConstr[[#This Row],[Dest Tem]]</f>
        <v>0</v>
      </c>
      <c r="BN18" s="369" cm="1">
        <f t="array" aca="1" ref="BN18" ca="1">IF(TblConstr[[#This Row],[Hour]:[Hour]]&gt;12,OFFSET(TblConstr[[#This Row],[WG]],-12,0),0)+OFFSET(TblConstr[[#This Row],[Tot WG]],-1,0)-TblConstr[[#This Row],[Dest WG]]</f>
        <v>0</v>
      </c>
      <c r="BO18" s="191" cm="1">
        <f t="array" aca="1" ref="BO18" ca="1">IF(TblConstr[[#This Row],[Hour]:[Hour]]&gt;12,OFFSET(TblConstr[[#This Row],[DM]],-12,0),0)+OFFSET(TblConstr[[#This Row],[Tot DM]],-1,0)-TblConstr[[#This Row],[Dest DM]]</f>
        <v>0</v>
      </c>
      <c r="BP18" s="191" cm="1">
        <f t="array" aca="1" ref="BP18" ca="1">IF(TblConstr[[#This Row],[Hour]:[Hour]]&gt;12,OFFSET(TblConstr[[#This Row],[Sch]],-12,0),0)+OFFSET(TblConstr[[#This Row],[Tot Sch]],-1,0)-TblConstr[[#This Row],[Dest Sch]]</f>
        <v>0</v>
      </c>
      <c r="BQ18" s="192" cm="1">
        <f t="array" aca="1" ref="BQ18" ca="1">IF(TblConstr[[#This Row],[Hour]:[Hour]]&gt;12,OFFSET(TblConstr[[#This Row],[Doc]],-12,0),0)+OFFSET(TblConstr[[#This Row],[Tot Doc]],-1,0)-TblConstr[[#This Row],[Dest Doc]]</f>
        <v>0</v>
      </c>
      <c r="BR18" s="142"/>
      <c r="BS18" s="154"/>
      <c r="BT18" s="94">
        <f ca="1">TblConstr[[#This Row],[Land]]</f>
        <v>110</v>
      </c>
      <c r="BU18" s="159">
        <f ca="1">TblImps[[#This Row],[Time]]</f>
        <v>46047.583333333299</v>
      </c>
      <c r="BV18" s="142"/>
      <c r="CP18" s="142"/>
      <c r="CQ18" s="181">
        <f ca="1">-SUM(TblConstr[[#This Row],[Alc]:[Mas]])+SUM(TblConstr[[#This Row],[Dest Alc]:[Dest Mas]])+Rezone!L18+IF("Ch_"&amp; home_land=TblConstr[[#Headers],[Ch_Plain]],TblConstr[[#This Row],[Home Land]])+IF(TblConstr[[#This Row],[Hour]:[Hour]]&gt;12,OFFSET(TblExplore[[#This Row],[Plains Explore]],-12,0),0)</f>
        <v>0</v>
      </c>
      <c r="CR18" s="182">
        <f ca="1">-SUM(TblConstr[[#This Row],[Ly]:[Hav]])+SUM(TblConstr[[#This Row],[Dest Ly]:[Dest Hav]]) +Rezone!M18 + IF("Ch_"&amp; home_land=TblConstr[[#Headers],[Ch_Forest]],TblConstr[[#This Row],[Home Land]])+IF(TblConstr[[#This Row],[Hour]:[Hour]]&gt;12,OFFSET(TblExplore[[#This Row],[Forest Explore]],-12,0),0)</f>
        <v>0</v>
      </c>
      <c r="CS18" s="359">
        <f ca="1">-SUM(TblConstr[[#This Row],[OM]:[GN]])+SUM(TblConstr[[#This Row],[Dest OM]:[Dest GN]]) +Rezone!N18 + IF("Ch_"&amp; home_land=TblConstr[[#Headers],[Ch_Mountain]],TblConstr[[#This Row],[Home Land]])+IF(TblConstr[[#This Row],[Hour]:[Hour]]&gt;12,OFFSET(TblExplore[[#This Row],[Mountain Explore]],-12,0),0)</f>
        <v>0</v>
      </c>
      <c r="CT18" s="183">
        <f ca="1">-SUM(TblConstr[[#This Row],[Fac]:[Shr]])+SUM(TblConstr[[#This Row],[Dest Fac]:[Dest Shr]]) +Rezone!O18 + IF("Ch_" &amp; home_land=TblConstr[[#Headers],[Ch_Hill]],TblConstr[[#This Row],[Home Land]])+IF(TblConstr[[#This Row],[Hour]:[Hour]]&gt;12,OFFSET(TblExplore[[#This Row],[Hill Explore]],-12,0),0)</f>
        <v>0</v>
      </c>
      <c r="CU18" s="184">
        <f ca="1">-SUM(TblConstr[[#This Row],[Tow]:[WG]])+SUM(TblConstr[[#This Row],[Dest Tow]:[Dest WG]]) +Rezone!P18 + IF("Ch_" &amp; home_land=TblConstr[[#Headers],[Ch_Swamp]],TblConstr[[#This Row],[Home Land]])+IF(TblConstr[[#This Row],[Hour]:[Hour]]&gt;12,OFFSET(TblExplore[[#This Row],[Swamp Explore]],-12,0),0)</f>
        <v>0</v>
      </c>
      <c r="CV18" s="185">
        <f ca="1" xml:space="preserve"> - SUM(TblConstr[[#This Row],[DM]:[Sch]])+SUM(TblConstr[[#This Row],[Dest DM]:[Dest Sch]]) +Rezone!Q18 + IF("Ch_" &amp; home_land=TblConstr[[#Headers],[Ch_Cavern]],TblConstr[[#This Row],[Home Land]])+IF(TblConstr[[#This Row],[Hour]:[Hour]]&gt;12,OFFSET(TblExplore[[#This Row],[Cavern Explore]],-12,0),0)</f>
        <v>0</v>
      </c>
      <c r="CW18" s="186">
        <f ca="1">-TblConstr[[#This Row],[Doc]]+TblConstr[[#This Row],[Dest Doc]] +Rezone!R18 + IF("Ch_" &amp; home_land=TblConstr[[#Headers],[Ch_Water]],TblConstr[[#This Row],[Home Land]])+IF(TblConstr[[#This Row],[Hour]:[Hour]]&gt;12,OFFSET(TblExplore[[#This Row],[Water Explore]],-12,0),0)</f>
        <v>0</v>
      </c>
      <c r="CX18" s="45">
        <f>IF(Explore!S18=1,20) - TblConstr[[#This Row],[Hom]] + TblConstr[[#This Row],[Dest Hom]]</f>
        <v>0</v>
      </c>
      <c r="CY18" s="142"/>
      <c r="CZ18" s="94">
        <f t="shared" ca="1" si="3"/>
        <v>90</v>
      </c>
      <c r="DA18" s="94">
        <f t="shared" ca="1" si="4"/>
        <v>20</v>
      </c>
      <c r="DB18" s="45">
        <f t="shared" ca="1" si="5"/>
        <v>0</v>
      </c>
      <c r="DC18" s="94">
        <f t="shared" ca="1" si="6"/>
        <v>0</v>
      </c>
      <c r="DD18" s="94">
        <f t="shared" ca="1" si="7"/>
        <v>0</v>
      </c>
      <c r="DE18" s="45">
        <f t="shared" ca="1" si="8"/>
        <v>0</v>
      </c>
      <c r="DF18" s="94">
        <f t="shared" ca="1" si="9"/>
        <v>0</v>
      </c>
      <c r="DG18" s="94" cm="1">
        <f t="array" aca="1" ref="DG18" ca="1">INDEX(TblConstr[[Total Plain]:[Total Water]],ROW()-ROW(TblConstr[#Headers]),MATCH("Total "&amp;home_land,TblConstr[[#Headers],[Total Plain]:[Total Water]],0))+TblConstr[[#This Row],[Homes]]</f>
        <v>90</v>
      </c>
      <c r="DH18" s="45">
        <f t="shared" ca="1" si="10"/>
        <v>0</v>
      </c>
      <c r="DI18" s="45">
        <f t="shared" ca="1" si="0"/>
        <v>0</v>
      </c>
      <c r="DJ18" s="45">
        <f t="shared" ca="1" si="1"/>
        <v>0</v>
      </c>
    </row>
    <row r="19" spans="1:114" hidden="1" x14ac:dyDescent="0.2">
      <c r="A19" s="175">
        <f>TblRezone[[#This Row],[Hour]]</f>
        <v>16</v>
      </c>
      <c r="B19" s="176">
        <f ca="1">SUM(TblConstr[[#This Row],[Plain]:[Water]])</f>
        <v>60</v>
      </c>
      <c r="C19" s="177">
        <f ca="1">SUM(TblConstr[[#This Row],[Tot Hom]:[Tot Doc]])</f>
        <v>50</v>
      </c>
      <c r="D19" s="177">
        <f t="shared" si="2"/>
        <v>0</v>
      </c>
      <c r="E19" s="178"/>
      <c r="F19" s="61">
        <f ca="1">TblConstr[[#This Row],[Barren]]+TblConstr[[#This Row],[Buildings]]+TblConstr[[#This Row],[Incoming]]</f>
        <v>110</v>
      </c>
      <c r="G19" s="187">
        <f ca="1">OFFSET(TblConstr[[#This Row],[Plain]],-1,0)+TblConstr[[#This Row],[Ch_Plain]]</f>
        <v>60</v>
      </c>
      <c r="H19" s="182">
        <f ca="1">OFFSET(TblConstr[[#This Row],[Forest]],-1,0)+TblConstr[[#This Row],[Ch_Forest]]</f>
        <v>0</v>
      </c>
      <c r="I19" s="359">
        <f ca="1">OFFSET(TblConstr[[#This Row],[Mountain]],-1,0)+TblConstr[[#This Row],[Ch_Mountain]]</f>
        <v>0</v>
      </c>
      <c r="J19" s="363">
        <f ca="1">OFFSET(TblConstr[[#This Row],[Hill]],-1,0)+TblConstr[[#This Row],[Ch_Hill]]</f>
        <v>0</v>
      </c>
      <c r="K19" s="367">
        <f ca="1">OFFSET(TblConstr[[#This Row],[Swamp]],-1,0)+TblConstr[[#This Row],[Ch_Swamp]]</f>
        <v>0</v>
      </c>
      <c r="L19" s="185">
        <f ca="1">OFFSET(TblConstr[[#This Row],[Cavern]],-1,0)+TblConstr[[#This Row],[Ch_Cavern]]</f>
        <v>0</v>
      </c>
      <c r="M19" s="186">
        <f ca="1">OFFSET(TblConstr[[#This Row],[Water]],-1,0)+TblConstr[[#This Row],[Ch_Water]]</f>
        <v>0</v>
      </c>
      <c r="N19" s="357">
        <f>TblRezone[[#This Row],[Hour]]</f>
        <v>16</v>
      </c>
      <c r="AH19" s="53">
        <f ca="1">TblImps[[#This Row],[Time]]</f>
        <v>46047.624999999964</v>
      </c>
      <c r="AI19" s="180">
        <f ca="1">MIN(25%,(TblConstr[[#This Row],[Tot Fac]]+TblConstr[[#This Row],[Dest Fac]])/(TblConstr[[#This Row],[Land]]-TblExplore[[#This Row],[Land Bonus]]*20))</f>
        <v>0</v>
      </c>
      <c r="AJ19" s="180">
        <f ca="1">MIN(25%,(TblConstr[[#This Row],[Tot Fac]]+TblConstr[[#This Row],[Dest Fac]])/TblConstr[[#This Row],[Land]])</f>
        <v>0</v>
      </c>
      <c r="AK19" s="94">
        <f ca="1">TblProd[[#This Row],[Platinum]]</f>
        <v>71604</v>
      </c>
      <c r="AL19" s="94">
        <f ca="1">TblProd[[#This Row],[Lumber]]</f>
        <v>26894</v>
      </c>
      <c r="AM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9" s="94">
        <f ca="1">ROUNDDOWN( MAX(1 - MIN(facs_constr_factor*TblConstr[[#This Row],[Facs -DB]],facs_constr_max) + tech_1_11*TblTech[[#This Row],[11-1]] + tech_6_3_2*TblTech[[#This Row],[6-3]] + tech_5_2_3*TblTech[[#This Row],[5-2]], 1-global_constr_cap) * TblConstr[[#This Row],[RCPA Lumber]],0)</f>
        <v>48</v>
      </c>
      <c r="AO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9" s="94">
        <f ca="1">ROUNDDOWN( MAX(1 - MIN(facs_constr_factor*TblConstr[[#This Row],[Facs DB]],facs_constr_max) + tech_1_11*TblTech[[#This Row],[1-11]] + tech_6_3_2*TblTech[[#This Row],[6-3]] + tech_5_2_3*TblTech[[#This Row],[5-2]], 1-global_constr_cap) * ROUND((TblConstr[[#This Row],[Land]]-250)*0.285 + 87.5 + 0/4.25,0),0)</f>
        <v>48</v>
      </c>
      <c r="AQ19" s="45">
        <f ca="1">TblConstr[[#This Row],[build -db]]*TblConstr[[#This Row],[CPA Platinum -DB]] + TblConstr[[#This Row],[build db]]*TblConstr[[#This Row],[CPA Platinum DB]]</f>
        <v>0</v>
      </c>
      <c r="AR19" s="45">
        <f ca="1">TblConstr[[#This Row],[build -db]]*TblConstr[[#This Row],[CPA Lumber -DB]] + TblConstr[[#This Row],[build db]]*TblConstr[[#This Row],[CPA Lumber DB]]</f>
        <v>0</v>
      </c>
      <c r="AS19" s="94">
        <f ca="1">MIN(SUM(OFFSET(TblConstr[[#This Row],[Plain]:[Water]],-1,0))+SUM(TblConstr[[#This Row],[Dest Hom]:[Dest Doc]])+IF(TblConstr[[#This Row],[Hour]]&gt;12,SUM(OFFSET(TblExplore[[#This Row],[Plains Explore]:[Water Explore]],-12,0)),0),SUM(TblConstr[[#This Row],[Hom]:[Doc]]))</f>
        <v>0</v>
      </c>
      <c r="AT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9" s="142"/>
      <c r="AV19" s="94">
        <f ca="1">ROUND((TblConstr[[#This Row],[Land]]-250 - IF(TblExplore[[#This Row],[Land Bonus]]&lt;&gt;0,20,0))*1.25 + 850 + 0,0)</f>
        <v>675</v>
      </c>
      <c r="AW19" s="94">
        <f ca="1">ROUND((TblConstr[[#This Row],[Land]]-250 - IF(TblExplore[[#This Row],[Land Bonus]]&lt;&gt;0,20,0))*0.285 + 87.5 + 0/4.25,0)</f>
        <v>48</v>
      </c>
      <c r="AX19" s="154"/>
      <c r="AY19" s="188" cm="1">
        <f t="array" aca="1" ref="AY19" ca="1">IF(TblConstr[[#This Row],[Hour]:[Hour]]&gt;12,OFFSET(TblConstr[[#This Row],[Hom]],-12,0),0)+OFFSET(TblConstr[[#This Row],[Tot Hom]],-1,0)-TblConstr[[#This Row],[Dest Hom]]</f>
        <v>0</v>
      </c>
      <c r="AZ19" s="189" cm="1">
        <f t="array" aca="1" ref="AZ19" ca="1">IF(TblConstr[[#This Row],[Hour]:[Hour]]&gt;12,OFFSET(TblConstr[[#This Row],[Alc]],-12,0),0)+OFFSET(TblConstr[[#This Row],[Tot Alc]],-1,0)-TblConstr[[#This Row],[Dest Alc]]</f>
        <v>0</v>
      </c>
      <c r="BA19" s="189" cm="1">
        <f t="array" aca="1" ref="BA19" ca="1">IF(TblConstr[[#This Row],[Hour]:[Hour]]&gt;12,OFFSET(TblConstr[[#This Row],[Far]],-12,0),0)+OFFSET(TblConstr[[#This Row],[Tot Farm]],-1,0)-TblConstr[[#This Row],[Dest Farm]]</f>
        <v>30</v>
      </c>
      <c r="BB19" s="189" cm="1">
        <f t="array" aca="1" ref="BB19" ca="1">IF(TblConstr[[#This Row],[Hour]:[Hour]]&gt;12,OFFSET(TblConstr[[#This Row],[Smi]],-12,0),0)+OFFSET(TblConstr[[#This Row],[Tot Smi]],-1,0)-TblConstr[[#This Row],[Dest Smi]]</f>
        <v>0</v>
      </c>
      <c r="BC19" s="189" cm="1">
        <f t="array" aca="1" ref="BC19" ca="1">IF(TblConstr[[#This Row],[Hour]:[Hour]]&gt;12,OFFSET(TblConstr[[#This Row],[Mas]],-12,0),0)+OFFSET(TblConstr[[#This Row],[Tot Mas]],-1,0)-TblConstr[[#This Row],[Dest Mas]]</f>
        <v>0</v>
      </c>
      <c r="BD19" s="190" cm="1">
        <f t="array" aca="1" ref="BD19" ca="1">IF(TblConstr[[#This Row],[Hour]:[Hour]]&gt;12,OFFSET(TblConstr[[#This Row],[Ly]],-12,0),0)+OFFSET(TblConstr[[#This Row],[Tot Ly]],-1,0)-TblConstr[[#This Row],[Dest Ly]]</f>
        <v>20</v>
      </c>
      <c r="BE19" s="190" cm="1">
        <f t="array" aca="1" ref="BE19" ca="1">IF(TblConstr[[#This Row],[Hour]:[Hour]]&gt;12,OFFSET(TblConstr[[#This Row],[Hav]],-12,0),0)+OFFSET(TblConstr[[#This Row],[Tot Hav]],-1,0)-TblConstr[[#This Row],[Dest Hav]]</f>
        <v>0</v>
      </c>
      <c r="BF19" s="361" cm="1">
        <f t="array" aca="1" ref="BF19" ca="1">IF(TblConstr[[#This Row],[Hour]:[Hour]]&gt;12,OFFSET(TblConstr[[#This Row],[OM]],-12,0),0)+OFFSET(TblConstr[[#This Row],[Tot OM]],-1,0)-TblConstr[[#This Row],[Dest OM]]</f>
        <v>0</v>
      </c>
      <c r="BG19" s="361" cm="1">
        <f t="array" aca="1" ref="BG19" ca="1">IF(TblConstr[[#This Row],[Hour]:[Hour]]&gt;12,OFFSET(TblConstr[[#This Row],[GN]],-12,0),0)+OFFSET(TblConstr[[#This Row],[Tot GN]],-1,0)-TblConstr[[#This Row],[Dest GN]]</f>
        <v>0</v>
      </c>
      <c r="BH19" s="365" cm="1">
        <f t="array" aca="1" ref="BH19" ca="1">IF(TblConstr[[#This Row],[Hour]:[Hour]]&gt;12,OFFSET(TblConstr[[#This Row],[Fac]],-12,0),0)+OFFSET(TblConstr[[#This Row],[Tot Fac]],-1,0)-TblConstr[[#This Row],[Dest Fac]]</f>
        <v>0</v>
      </c>
      <c r="BI19" s="365" cm="1">
        <f t="array" aca="1" ref="BI19" ca="1">IF(TblConstr[[#This Row],[Hour]:[Hour]]&gt;12,OFFSET(TblConstr[[#This Row],[GT]],-12,0),0)+OFFSET(TblConstr[[#This Row],[Tot GT]],-1,0)-TblConstr[[#This Row],[Dest GT]]</f>
        <v>0</v>
      </c>
      <c r="BJ19" s="365" cm="1">
        <f t="array" aca="1" ref="BJ19" ca="1">IF(TblConstr[[#This Row],[Hour]:[Hour]]&gt;12,OFFSET(TblConstr[[#This Row],[Bar]],-12,0),0)+OFFSET(TblConstr[[#This Row],[Tot Bar]],-1,0)-TblConstr[[#This Row],[Dest Bar]]</f>
        <v>0</v>
      </c>
      <c r="BK19" s="365" cm="1">
        <f t="array" aca="1" ref="BK19" ca="1">IF(TblConstr[[#This Row],[Hour]:[Hour]]&gt;12,OFFSET(TblConstr[[#This Row],[Shr]],-12,0),0)+OFFSET(TblConstr[[#This Row],[Tot Shr]],-1,0)-TblConstr[[#This Row],[Dest Shr]]</f>
        <v>0</v>
      </c>
      <c r="BL19" s="369" cm="1">
        <f t="array" aca="1" ref="BL19" ca="1">IF(TblConstr[[#This Row],[Hour]:[Hour]]&gt;12,OFFSET(TblConstr[[#This Row],[Tow]],-12,0),0)+OFFSET(TblConstr[[#This Row],[Tot Tow]],-1,0)-TblConstr[[#This Row],[Dest Tow]]</f>
        <v>0</v>
      </c>
      <c r="BM19" s="369" cm="1">
        <f t="array" aca="1" ref="BM19" ca="1">IF(TblConstr[[#This Row],[Hour]:[Hour]]&gt;12,OFFSET(TblConstr[[#This Row],[Tem]],-12,0),0)+OFFSET(TblConstr[[#This Row],[Tot Tem]],-1,0)-TblConstr[[#This Row],[Dest Tem]]</f>
        <v>0</v>
      </c>
      <c r="BN19" s="369" cm="1">
        <f t="array" aca="1" ref="BN19" ca="1">IF(TblConstr[[#This Row],[Hour]:[Hour]]&gt;12,OFFSET(TblConstr[[#This Row],[WG]],-12,0),0)+OFFSET(TblConstr[[#This Row],[Tot WG]],-1,0)-TblConstr[[#This Row],[Dest WG]]</f>
        <v>0</v>
      </c>
      <c r="BO19" s="191" cm="1">
        <f t="array" aca="1" ref="BO19" ca="1">IF(TblConstr[[#This Row],[Hour]:[Hour]]&gt;12,OFFSET(TblConstr[[#This Row],[DM]],-12,0),0)+OFFSET(TblConstr[[#This Row],[Tot DM]],-1,0)-TblConstr[[#This Row],[Dest DM]]</f>
        <v>0</v>
      </c>
      <c r="BP19" s="191" cm="1">
        <f t="array" aca="1" ref="BP19" ca="1">IF(TblConstr[[#This Row],[Hour]:[Hour]]&gt;12,OFFSET(TblConstr[[#This Row],[Sch]],-12,0),0)+OFFSET(TblConstr[[#This Row],[Tot Sch]],-1,0)-TblConstr[[#This Row],[Dest Sch]]</f>
        <v>0</v>
      </c>
      <c r="BQ19" s="192" cm="1">
        <f t="array" aca="1" ref="BQ19" ca="1">IF(TblConstr[[#This Row],[Hour]:[Hour]]&gt;12,OFFSET(TblConstr[[#This Row],[Doc]],-12,0),0)+OFFSET(TblConstr[[#This Row],[Tot Doc]],-1,0)-TblConstr[[#This Row],[Dest Doc]]</f>
        <v>0</v>
      </c>
      <c r="BR19" s="142"/>
      <c r="BS19" s="154"/>
      <c r="BT19" s="94">
        <f ca="1">TblConstr[[#This Row],[Land]]</f>
        <v>110</v>
      </c>
      <c r="BU19" s="159">
        <f ca="1">TblImps[[#This Row],[Time]]</f>
        <v>46047.624999999964</v>
      </c>
      <c r="BV19" s="142"/>
      <c r="CP19" s="142"/>
      <c r="CQ19" s="181">
        <f ca="1">-SUM(TblConstr[[#This Row],[Alc]:[Mas]])+SUM(TblConstr[[#This Row],[Dest Alc]:[Dest Mas]])+Rezone!L19+IF("Ch_"&amp; home_land=TblConstr[[#Headers],[Ch_Plain]],TblConstr[[#This Row],[Home Land]])+IF(TblConstr[[#This Row],[Hour]:[Hour]]&gt;12,OFFSET(TblExplore[[#This Row],[Plains Explore]],-12,0),0)</f>
        <v>0</v>
      </c>
      <c r="CR19" s="182">
        <f ca="1">-SUM(TblConstr[[#This Row],[Ly]:[Hav]])+SUM(TblConstr[[#This Row],[Dest Ly]:[Dest Hav]]) +Rezone!M19 + IF("Ch_"&amp; home_land=TblConstr[[#Headers],[Ch_Forest]],TblConstr[[#This Row],[Home Land]])+IF(TblConstr[[#This Row],[Hour]:[Hour]]&gt;12,OFFSET(TblExplore[[#This Row],[Forest Explore]],-12,0),0)</f>
        <v>0</v>
      </c>
      <c r="CS19" s="359">
        <f ca="1">-SUM(TblConstr[[#This Row],[OM]:[GN]])+SUM(TblConstr[[#This Row],[Dest OM]:[Dest GN]]) +Rezone!N19 + IF("Ch_"&amp; home_land=TblConstr[[#Headers],[Ch_Mountain]],TblConstr[[#This Row],[Home Land]])+IF(TblConstr[[#This Row],[Hour]:[Hour]]&gt;12,OFFSET(TblExplore[[#This Row],[Mountain Explore]],-12,0),0)</f>
        <v>0</v>
      </c>
      <c r="CT19" s="183">
        <f ca="1">-SUM(TblConstr[[#This Row],[Fac]:[Shr]])+SUM(TblConstr[[#This Row],[Dest Fac]:[Dest Shr]]) +Rezone!O19 + IF("Ch_" &amp; home_land=TblConstr[[#Headers],[Ch_Hill]],TblConstr[[#This Row],[Home Land]])+IF(TblConstr[[#This Row],[Hour]:[Hour]]&gt;12,OFFSET(TblExplore[[#This Row],[Hill Explore]],-12,0),0)</f>
        <v>0</v>
      </c>
      <c r="CU19" s="184">
        <f ca="1">-SUM(TblConstr[[#This Row],[Tow]:[WG]])+SUM(TblConstr[[#This Row],[Dest Tow]:[Dest WG]]) +Rezone!P19 + IF("Ch_" &amp; home_land=TblConstr[[#Headers],[Ch_Swamp]],TblConstr[[#This Row],[Home Land]])+IF(TblConstr[[#This Row],[Hour]:[Hour]]&gt;12,OFFSET(TblExplore[[#This Row],[Swamp Explore]],-12,0),0)</f>
        <v>0</v>
      </c>
      <c r="CV19" s="185">
        <f ca="1" xml:space="preserve"> - SUM(TblConstr[[#This Row],[DM]:[Sch]])+SUM(TblConstr[[#This Row],[Dest DM]:[Dest Sch]]) +Rezone!Q19 + IF("Ch_" &amp; home_land=TblConstr[[#Headers],[Ch_Cavern]],TblConstr[[#This Row],[Home Land]])+IF(TblConstr[[#This Row],[Hour]:[Hour]]&gt;12,OFFSET(TblExplore[[#This Row],[Cavern Explore]],-12,0),0)</f>
        <v>0</v>
      </c>
      <c r="CW19" s="186">
        <f ca="1">-TblConstr[[#This Row],[Doc]]+TblConstr[[#This Row],[Dest Doc]] +Rezone!R19 + IF("Ch_" &amp; home_land=TblConstr[[#Headers],[Ch_Water]],TblConstr[[#This Row],[Home Land]])+IF(TblConstr[[#This Row],[Hour]:[Hour]]&gt;12,OFFSET(TblExplore[[#This Row],[Water Explore]],-12,0),0)</f>
        <v>0</v>
      </c>
      <c r="CX19" s="45">
        <f>IF(Explore!S19=1,20) - TblConstr[[#This Row],[Hom]] + TblConstr[[#This Row],[Dest Hom]]</f>
        <v>0</v>
      </c>
      <c r="CY19" s="142"/>
      <c r="CZ19" s="94">
        <f t="shared" ca="1" si="3"/>
        <v>90</v>
      </c>
      <c r="DA19" s="94">
        <f t="shared" ca="1" si="4"/>
        <v>20</v>
      </c>
      <c r="DB19" s="45">
        <f t="shared" ca="1" si="5"/>
        <v>0</v>
      </c>
      <c r="DC19" s="94">
        <f t="shared" ca="1" si="6"/>
        <v>0</v>
      </c>
      <c r="DD19" s="94">
        <f t="shared" ca="1" si="7"/>
        <v>0</v>
      </c>
      <c r="DE19" s="45">
        <f t="shared" ca="1" si="8"/>
        <v>0</v>
      </c>
      <c r="DF19" s="94">
        <f t="shared" ca="1" si="9"/>
        <v>0</v>
      </c>
      <c r="DG19" s="94" cm="1">
        <f t="array" aca="1" ref="DG19" ca="1">INDEX(TblConstr[[Total Plain]:[Total Water]],ROW()-ROW(TblConstr[#Headers]),MATCH("Total "&amp;home_land,TblConstr[[#Headers],[Total Plain]:[Total Water]],0))+TblConstr[[#This Row],[Homes]]</f>
        <v>90</v>
      </c>
      <c r="DH19" s="45">
        <f t="shared" ca="1" si="10"/>
        <v>0</v>
      </c>
      <c r="DI19" s="45">
        <f t="shared" ca="1" si="0"/>
        <v>0</v>
      </c>
      <c r="DJ19" s="45">
        <f t="shared" ca="1" si="1"/>
        <v>0</v>
      </c>
    </row>
    <row r="20" spans="1:114" hidden="1" x14ac:dyDescent="0.2">
      <c r="A20" s="175">
        <f>TblRezone[[#This Row],[Hour]]</f>
        <v>17</v>
      </c>
      <c r="B20" s="176">
        <f ca="1">SUM(TblConstr[[#This Row],[Plain]:[Water]])</f>
        <v>60</v>
      </c>
      <c r="C20" s="177">
        <f ca="1">SUM(TblConstr[[#This Row],[Tot Hom]:[Tot Doc]])</f>
        <v>50</v>
      </c>
      <c r="D20" s="177">
        <f t="shared" si="2"/>
        <v>0</v>
      </c>
      <c r="E20" s="178"/>
      <c r="F20" s="61">
        <f ca="1">TblConstr[[#This Row],[Barren]]+TblConstr[[#This Row],[Buildings]]+TblConstr[[#This Row],[Incoming]]</f>
        <v>110</v>
      </c>
      <c r="G20" s="187">
        <f ca="1">OFFSET(TblConstr[[#This Row],[Plain]],-1,0)+TblConstr[[#This Row],[Ch_Plain]]</f>
        <v>60</v>
      </c>
      <c r="H20" s="182">
        <f ca="1">OFFSET(TblConstr[[#This Row],[Forest]],-1,0)+TblConstr[[#This Row],[Ch_Forest]]</f>
        <v>0</v>
      </c>
      <c r="I20" s="359">
        <f ca="1">OFFSET(TblConstr[[#This Row],[Mountain]],-1,0)+TblConstr[[#This Row],[Ch_Mountain]]</f>
        <v>0</v>
      </c>
      <c r="J20" s="363">
        <f ca="1">OFFSET(TblConstr[[#This Row],[Hill]],-1,0)+TblConstr[[#This Row],[Ch_Hill]]</f>
        <v>0</v>
      </c>
      <c r="K20" s="367">
        <f ca="1">OFFSET(TblConstr[[#This Row],[Swamp]],-1,0)+TblConstr[[#This Row],[Ch_Swamp]]</f>
        <v>0</v>
      </c>
      <c r="L20" s="185">
        <f ca="1">OFFSET(TblConstr[[#This Row],[Cavern]],-1,0)+TblConstr[[#This Row],[Ch_Cavern]]</f>
        <v>0</v>
      </c>
      <c r="M20" s="186">
        <f ca="1">OFFSET(TblConstr[[#This Row],[Water]],-1,0)+TblConstr[[#This Row],[Ch_Water]]</f>
        <v>0</v>
      </c>
      <c r="N20" s="357">
        <f>TblRezone[[#This Row],[Hour]]</f>
        <v>17</v>
      </c>
      <c r="AH20" s="53">
        <f ca="1">TblImps[[#This Row],[Time]]</f>
        <v>46047.666666666628</v>
      </c>
      <c r="AI20" s="180">
        <f ca="1">MIN(25%,(TblConstr[[#This Row],[Tot Fac]]+TblConstr[[#This Row],[Dest Fac]])/(TblConstr[[#This Row],[Land]]-TblExplore[[#This Row],[Land Bonus]]*20))</f>
        <v>0</v>
      </c>
      <c r="AJ20" s="180">
        <f ca="1">MIN(25%,(TblConstr[[#This Row],[Tot Fac]]+TblConstr[[#This Row],[Dest Fac]])/TblConstr[[#This Row],[Land]])</f>
        <v>0</v>
      </c>
      <c r="AK20" s="94">
        <f ca="1">TblProd[[#This Row],[Platinum]]</f>
        <v>73242</v>
      </c>
      <c r="AL20" s="94">
        <f ca="1">TblProd[[#This Row],[Lumber]]</f>
        <v>27625</v>
      </c>
      <c r="AM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0" s="94">
        <f ca="1">ROUNDDOWN( MAX(1 - MIN(facs_constr_factor*TblConstr[[#This Row],[Facs -DB]],facs_constr_max) + tech_1_11*TblTech[[#This Row],[11-1]] + tech_6_3_2*TblTech[[#This Row],[6-3]] + tech_5_2_3*TblTech[[#This Row],[5-2]], 1-global_constr_cap) * TblConstr[[#This Row],[RCPA Lumber]],0)</f>
        <v>48</v>
      </c>
      <c r="AO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0" s="94">
        <f ca="1">ROUNDDOWN( MAX(1 - MIN(facs_constr_factor*TblConstr[[#This Row],[Facs DB]],facs_constr_max) + tech_1_11*TblTech[[#This Row],[1-11]] + tech_6_3_2*TblTech[[#This Row],[6-3]] + tech_5_2_3*TblTech[[#This Row],[5-2]], 1-global_constr_cap) * ROUND((TblConstr[[#This Row],[Land]]-250)*0.285 + 87.5 + 0/4.25,0),0)</f>
        <v>48</v>
      </c>
      <c r="AQ20" s="45">
        <f ca="1">TblConstr[[#This Row],[build -db]]*TblConstr[[#This Row],[CPA Platinum -DB]] + TblConstr[[#This Row],[build db]]*TblConstr[[#This Row],[CPA Platinum DB]]</f>
        <v>0</v>
      </c>
      <c r="AR20" s="45">
        <f ca="1">TblConstr[[#This Row],[build -db]]*TblConstr[[#This Row],[CPA Lumber -DB]] + TblConstr[[#This Row],[build db]]*TblConstr[[#This Row],[CPA Lumber DB]]</f>
        <v>0</v>
      </c>
      <c r="AS20" s="94">
        <f ca="1">MIN(SUM(OFFSET(TblConstr[[#This Row],[Plain]:[Water]],-1,0))+SUM(TblConstr[[#This Row],[Dest Hom]:[Dest Doc]])+IF(TblConstr[[#This Row],[Hour]]&gt;12,SUM(OFFSET(TblExplore[[#This Row],[Plains Explore]:[Water Explore]],-12,0)),0),SUM(TblConstr[[#This Row],[Hom]:[Doc]]))</f>
        <v>0</v>
      </c>
      <c r="AT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0" s="142"/>
      <c r="AV20" s="94">
        <f ca="1">ROUND((TblConstr[[#This Row],[Land]]-250 - IF(TblExplore[[#This Row],[Land Bonus]]&lt;&gt;0,20,0))*1.25 + 850 + 0,0)</f>
        <v>675</v>
      </c>
      <c r="AW20" s="94">
        <f ca="1">ROUND((TblConstr[[#This Row],[Land]]-250 - IF(TblExplore[[#This Row],[Land Bonus]]&lt;&gt;0,20,0))*0.285 + 87.5 + 0/4.25,0)</f>
        <v>48</v>
      </c>
      <c r="AX20" s="154"/>
      <c r="AY20" s="188" cm="1">
        <f t="array" aca="1" ref="AY20" ca="1">IF(TblConstr[[#This Row],[Hour]:[Hour]]&gt;12,OFFSET(TblConstr[[#This Row],[Hom]],-12,0),0)+OFFSET(TblConstr[[#This Row],[Tot Hom]],-1,0)-TblConstr[[#This Row],[Dest Hom]]</f>
        <v>0</v>
      </c>
      <c r="AZ20" s="189" cm="1">
        <f t="array" aca="1" ref="AZ20" ca="1">IF(TblConstr[[#This Row],[Hour]:[Hour]]&gt;12,OFFSET(TblConstr[[#This Row],[Alc]],-12,0),0)+OFFSET(TblConstr[[#This Row],[Tot Alc]],-1,0)-TblConstr[[#This Row],[Dest Alc]]</f>
        <v>0</v>
      </c>
      <c r="BA20" s="189" cm="1">
        <f t="array" aca="1" ref="BA20" ca="1">IF(TblConstr[[#This Row],[Hour]:[Hour]]&gt;12,OFFSET(TblConstr[[#This Row],[Far]],-12,0),0)+OFFSET(TblConstr[[#This Row],[Tot Farm]],-1,0)-TblConstr[[#This Row],[Dest Farm]]</f>
        <v>30</v>
      </c>
      <c r="BB20" s="189" cm="1">
        <f t="array" aca="1" ref="BB20" ca="1">IF(TblConstr[[#This Row],[Hour]:[Hour]]&gt;12,OFFSET(TblConstr[[#This Row],[Smi]],-12,0),0)+OFFSET(TblConstr[[#This Row],[Tot Smi]],-1,0)-TblConstr[[#This Row],[Dest Smi]]</f>
        <v>0</v>
      </c>
      <c r="BC20" s="189" cm="1">
        <f t="array" aca="1" ref="BC20" ca="1">IF(TblConstr[[#This Row],[Hour]:[Hour]]&gt;12,OFFSET(TblConstr[[#This Row],[Mas]],-12,0),0)+OFFSET(TblConstr[[#This Row],[Tot Mas]],-1,0)-TblConstr[[#This Row],[Dest Mas]]</f>
        <v>0</v>
      </c>
      <c r="BD20" s="190" cm="1">
        <f t="array" aca="1" ref="BD20" ca="1">IF(TblConstr[[#This Row],[Hour]:[Hour]]&gt;12,OFFSET(TblConstr[[#This Row],[Ly]],-12,0),0)+OFFSET(TblConstr[[#This Row],[Tot Ly]],-1,0)-TblConstr[[#This Row],[Dest Ly]]</f>
        <v>20</v>
      </c>
      <c r="BE20" s="190" cm="1">
        <f t="array" aca="1" ref="BE20" ca="1">IF(TblConstr[[#This Row],[Hour]:[Hour]]&gt;12,OFFSET(TblConstr[[#This Row],[Hav]],-12,0),0)+OFFSET(TblConstr[[#This Row],[Tot Hav]],-1,0)-TblConstr[[#This Row],[Dest Hav]]</f>
        <v>0</v>
      </c>
      <c r="BF20" s="361" cm="1">
        <f t="array" aca="1" ref="BF20" ca="1">IF(TblConstr[[#This Row],[Hour]:[Hour]]&gt;12,OFFSET(TblConstr[[#This Row],[OM]],-12,0),0)+OFFSET(TblConstr[[#This Row],[Tot OM]],-1,0)-TblConstr[[#This Row],[Dest OM]]</f>
        <v>0</v>
      </c>
      <c r="BG20" s="361" cm="1">
        <f t="array" aca="1" ref="BG20" ca="1">IF(TblConstr[[#This Row],[Hour]:[Hour]]&gt;12,OFFSET(TblConstr[[#This Row],[GN]],-12,0),0)+OFFSET(TblConstr[[#This Row],[Tot GN]],-1,0)-TblConstr[[#This Row],[Dest GN]]</f>
        <v>0</v>
      </c>
      <c r="BH20" s="365" cm="1">
        <f t="array" aca="1" ref="BH20" ca="1">IF(TblConstr[[#This Row],[Hour]:[Hour]]&gt;12,OFFSET(TblConstr[[#This Row],[Fac]],-12,0),0)+OFFSET(TblConstr[[#This Row],[Tot Fac]],-1,0)-TblConstr[[#This Row],[Dest Fac]]</f>
        <v>0</v>
      </c>
      <c r="BI20" s="365" cm="1">
        <f t="array" aca="1" ref="BI20" ca="1">IF(TblConstr[[#This Row],[Hour]:[Hour]]&gt;12,OFFSET(TblConstr[[#This Row],[GT]],-12,0),0)+OFFSET(TblConstr[[#This Row],[Tot GT]],-1,0)-TblConstr[[#This Row],[Dest GT]]</f>
        <v>0</v>
      </c>
      <c r="BJ20" s="365" cm="1">
        <f t="array" aca="1" ref="BJ20" ca="1">IF(TblConstr[[#This Row],[Hour]:[Hour]]&gt;12,OFFSET(TblConstr[[#This Row],[Bar]],-12,0),0)+OFFSET(TblConstr[[#This Row],[Tot Bar]],-1,0)-TblConstr[[#This Row],[Dest Bar]]</f>
        <v>0</v>
      </c>
      <c r="BK20" s="365" cm="1">
        <f t="array" aca="1" ref="BK20" ca="1">IF(TblConstr[[#This Row],[Hour]:[Hour]]&gt;12,OFFSET(TblConstr[[#This Row],[Shr]],-12,0),0)+OFFSET(TblConstr[[#This Row],[Tot Shr]],-1,0)-TblConstr[[#This Row],[Dest Shr]]</f>
        <v>0</v>
      </c>
      <c r="BL20" s="369" cm="1">
        <f t="array" aca="1" ref="BL20" ca="1">IF(TblConstr[[#This Row],[Hour]:[Hour]]&gt;12,OFFSET(TblConstr[[#This Row],[Tow]],-12,0),0)+OFFSET(TblConstr[[#This Row],[Tot Tow]],-1,0)-TblConstr[[#This Row],[Dest Tow]]</f>
        <v>0</v>
      </c>
      <c r="BM20" s="369" cm="1">
        <f t="array" aca="1" ref="BM20" ca="1">IF(TblConstr[[#This Row],[Hour]:[Hour]]&gt;12,OFFSET(TblConstr[[#This Row],[Tem]],-12,0),0)+OFFSET(TblConstr[[#This Row],[Tot Tem]],-1,0)-TblConstr[[#This Row],[Dest Tem]]</f>
        <v>0</v>
      </c>
      <c r="BN20" s="369" cm="1">
        <f t="array" aca="1" ref="BN20" ca="1">IF(TblConstr[[#This Row],[Hour]:[Hour]]&gt;12,OFFSET(TblConstr[[#This Row],[WG]],-12,0),0)+OFFSET(TblConstr[[#This Row],[Tot WG]],-1,0)-TblConstr[[#This Row],[Dest WG]]</f>
        <v>0</v>
      </c>
      <c r="BO20" s="191" cm="1">
        <f t="array" aca="1" ref="BO20" ca="1">IF(TblConstr[[#This Row],[Hour]:[Hour]]&gt;12,OFFSET(TblConstr[[#This Row],[DM]],-12,0),0)+OFFSET(TblConstr[[#This Row],[Tot DM]],-1,0)-TblConstr[[#This Row],[Dest DM]]</f>
        <v>0</v>
      </c>
      <c r="BP20" s="191" cm="1">
        <f t="array" aca="1" ref="BP20" ca="1">IF(TblConstr[[#This Row],[Hour]:[Hour]]&gt;12,OFFSET(TblConstr[[#This Row],[Sch]],-12,0),0)+OFFSET(TblConstr[[#This Row],[Tot Sch]],-1,0)-TblConstr[[#This Row],[Dest Sch]]</f>
        <v>0</v>
      </c>
      <c r="BQ20" s="192" cm="1">
        <f t="array" aca="1" ref="BQ20" ca="1">IF(TblConstr[[#This Row],[Hour]:[Hour]]&gt;12,OFFSET(TblConstr[[#This Row],[Doc]],-12,0),0)+OFFSET(TblConstr[[#This Row],[Tot Doc]],-1,0)-TblConstr[[#This Row],[Dest Doc]]</f>
        <v>0</v>
      </c>
      <c r="BR20" s="142"/>
      <c r="BS20" s="154"/>
      <c r="BT20" s="94">
        <f ca="1">TblConstr[[#This Row],[Land]]</f>
        <v>110</v>
      </c>
      <c r="BU20" s="159">
        <f ca="1">TblImps[[#This Row],[Time]]</f>
        <v>46047.666666666628</v>
      </c>
      <c r="BV20" s="142"/>
      <c r="CP20" s="142"/>
      <c r="CQ20" s="181">
        <f ca="1">-SUM(TblConstr[[#This Row],[Alc]:[Mas]])+SUM(TblConstr[[#This Row],[Dest Alc]:[Dest Mas]])+Rezone!L20+IF("Ch_"&amp; home_land=TblConstr[[#Headers],[Ch_Plain]],TblConstr[[#This Row],[Home Land]])+IF(TblConstr[[#This Row],[Hour]:[Hour]]&gt;12,OFFSET(TblExplore[[#This Row],[Plains Explore]],-12,0),0)</f>
        <v>0</v>
      </c>
      <c r="CR20" s="182">
        <f ca="1">-SUM(TblConstr[[#This Row],[Ly]:[Hav]])+SUM(TblConstr[[#This Row],[Dest Ly]:[Dest Hav]]) +Rezone!M20 + IF("Ch_"&amp; home_land=TblConstr[[#Headers],[Ch_Forest]],TblConstr[[#This Row],[Home Land]])+IF(TblConstr[[#This Row],[Hour]:[Hour]]&gt;12,OFFSET(TblExplore[[#This Row],[Forest Explore]],-12,0),0)</f>
        <v>0</v>
      </c>
      <c r="CS20" s="359">
        <f ca="1">-SUM(TblConstr[[#This Row],[OM]:[GN]])+SUM(TblConstr[[#This Row],[Dest OM]:[Dest GN]]) +Rezone!N20 + IF("Ch_"&amp; home_land=TblConstr[[#Headers],[Ch_Mountain]],TblConstr[[#This Row],[Home Land]])+IF(TblConstr[[#This Row],[Hour]:[Hour]]&gt;12,OFFSET(TblExplore[[#This Row],[Mountain Explore]],-12,0),0)</f>
        <v>0</v>
      </c>
      <c r="CT20" s="183">
        <f ca="1">-SUM(TblConstr[[#This Row],[Fac]:[Shr]])+SUM(TblConstr[[#This Row],[Dest Fac]:[Dest Shr]]) +Rezone!O20 + IF("Ch_" &amp; home_land=TblConstr[[#Headers],[Ch_Hill]],TblConstr[[#This Row],[Home Land]])+IF(TblConstr[[#This Row],[Hour]:[Hour]]&gt;12,OFFSET(TblExplore[[#This Row],[Hill Explore]],-12,0),0)</f>
        <v>0</v>
      </c>
      <c r="CU20" s="184">
        <f ca="1">-SUM(TblConstr[[#This Row],[Tow]:[WG]])+SUM(TblConstr[[#This Row],[Dest Tow]:[Dest WG]]) +Rezone!P20 + IF("Ch_" &amp; home_land=TblConstr[[#Headers],[Ch_Swamp]],TblConstr[[#This Row],[Home Land]])+IF(TblConstr[[#This Row],[Hour]:[Hour]]&gt;12,OFFSET(TblExplore[[#This Row],[Swamp Explore]],-12,0),0)</f>
        <v>0</v>
      </c>
      <c r="CV20" s="185">
        <f ca="1" xml:space="preserve"> - SUM(TblConstr[[#This Row],[DM]:[Sch]])+SUM(TblConstr[[#This Row],[Dest DM]:[Dest Sch]]) +Rezone!Q20 + IF("Ch_" &amp; home_land=TblConstr[[#Headers],[Ch_Cavern]],TblConstr[[#This Row],[Home Land]])+IF(TblConstr[[#This Row],[Hour]:[Hour]]&gt;12,OFFSET(TblExplore[[#This Row],[Cavern Explore]],-12,0),0)</f>
        <v>0</v>
      </c>
      <c r="CW20" s="186">
        <f ca="1">-TblConstr[[#This Row],[Doc]]+TblConstr[[#This Row],[Dest Doc]] +Rezone!R20 + IF("Ch_" &amp; home_land=TblConstr[[#Headers],[Ch_Water]],TblConstr[[#This Row],[Home Land]])+IF(TblConstr[[#This Row],[Hour]:[Hour]]&gt;12,OFFSET(TblExplore[[#This Row],[Water Explore]],-12,0),0)</f>
        <v>0</v>
      </c>
      <c r="CX20" s="45">
        <f>IF(Explore!S20=1,20) - TblConstr[[#This Row],[Hom]] + TblConstr[[#This Row],[Dest Hom]]</f>
        <v>0</v>
      </c>
      <c r="CY20" s="142"/>
      <c r="CZ20" s="94">
        <f t="shared" ca="1" si="3"/>
        <v>90</v>
      </c>
      <c r="DA20" s="94">
        <f t="shared" ca="1" si="4"/>
        <v>20</v>
      </c>
      <c r="DB20" s="45">
        <f t="shared" ca="1" si="5"/>
        <v>0</v>
      </c>
      <c r="DC20" s="94">
        <f t="shared" ca="1" si="6"/>
        <v>0</v>
      </c>
      <c r="DD20" s="94">
        <f t="shared" ca="1" si="7"/>
        <v>0</v>
      </c>
      <c r="DE20" s="45">
        <f t="shared" ca="1" si="8"/>
        <v>0</v>
      </c>
      <c r="DF20" s="94">
        <f t="shared" ca="1" si="9"/>
        <v>0</v>
      </c>
      <c r="DG20" s="94" cm="1">
        <f t="array" aca="1" ref="DG20" ca="1">INDEX(TblConstr[[Total Plain]:[Total Water]],ROW()-ROW(TblConstr[#Headers]),MATCH("Total "&amp;home_land,TblConstr[[#Headers],[Total Plain]:[Total Water]],0))+TblConstr[[#This Row],[Homes]]</f>
        <v>90</v>
      </c>
      <c r="DH20" s="45">
        <f t="shared" ca="1" si="10"/>
        <v>0</v>
      </c>
      <c r="DI20" s="45">
        <f t="shared" ca="1" si="0"/>
        <v>0</v>
      </c>
      <c r="DJ20" s="45">
        <f t="shared" ca="1" si="1"/>
        <v>0</v>
      </c>
    </row>
    <row r="21" spans="1:114" hidden="1" x14ac:dyDescent="0.2">
      <c r="A21" s="175">
        <f>TblRezone[[#This Row],[Hour]]</f>
        <v>18</v>
      </c>
      <c r="B21" s="176">
        <f ca="1">SUM(TblConstr[[#This Row],[Plain]:[Water]])</f>
        <v>60</v>
      </c>
      <c r="C21" s="177">
        <f ca="1">SUM(TblConstr[[#This Row],[Tot Hom]:[Tot Doc]])</f>
        <v>50</v>
      </c>
      <c r="D21" s="177">
        <f t="shared" si="2"/>
        <v>0</v>
      </c>
      <c r="E21" s="178"/>
      <c r="F21" s="61">
        <f ca="1">TblConstr[[#This Row],[Barren]]+TblConstr[[#This Row],[Buildings]]+TblConstr[[#This Row],[Incoming]]</f>
        <v>110</v>
      </c>
      <c r="G21" s="187">
        <f ca="1">OFFSET(TblConstr[[#This Row],[Plain]],-1,0)+TblConstr[[#This Row],[Ch_Plain]]</f>
        <v>60</v>
      </c>
      <c r="H21" s="182">
        <f ca="1">OFFSET(TblConstr[[#This Row],[Forest]],-1,0)+TblConstr[[#This Row],[Ch_Forest]]</f>
        <v>0</v>
      </c>
      <c r="I21" s="359">
        <f ca="1">OFFSET(TblConstr[[#This Row],[Mountain]],-1,0)+TblConstr[[#This Row],[Ch_Mountain]]</f>
        <v>0</v>
      </c>
      <c r="J21" s="363">
        <f ca="1">OFFSET(TblConstr[[#This Row],[Hill]],-1,0)+TblConstr[[#This Row],[Ch_Hill]]</f>
        <v>0</v>
      </c>
      <c r="K21" s="367">
        <f ca="1">OFFSET(TblConstr[[#This Row],[Swamp]],-1,0)+TblConstr[[#This Row],[Ch_Swamp]]</f>
        <v>0</v>
      </c>
      <c r="L21" s="185">
        <f ca="1">OFFSET(TblConstr[[#This Row],[Cavern]],-1,0)+TblConstr[[#This Row],[Ch_Cavern]]</f>
        <v>0</v>
      </c>
      <c r="M21" s="186">
        <f ca="1">OFFSET(TblConstr[[#This Row],[Water]],-1,0)+TblConstr[[#This Row],[Ch_Water]]</f>
        <v>0</v>
      </c>
      <c r="N21" s="357">
        <f>TblRezone[[#This Row],[Hour]]</f>
        <v>18</v>
      </c>
      <c r="AH21" s="53">
        <f ca="1">TblImps[[#This Row],[Time]]</f>
        <v>46047.708333333292</v>
      </c>
      <c r="AI21" s="180">
        <f ca="1">MIN(25%,(TblConstr[[#This Row],[Tot Fac]]+TblConstr[[#This Row],[Dest Fac]])/(TblConstr[[#This Row],[Land]]-TblExplore[[#This Row],[Land Bonus]]*20))</f>
        <v>0</v>
      </c>
      <c r="AJ21" s="180">
        <f ca="1">MIN(25%,(TblConstr[[#This Row],[Tot Fac]]+TblConstr[[#This Row],[Dest Fac]])/TblConstr[[#This Row],[Land]])</f>
        <v>0</v>
      </c>
      <c r="AK21" s="94">
        <f ca="1">TblProd[[#This Row],[Platinum]]</f>
        <v>74913</v>
      </c>
      <c r="AL21" s="94">
        <f ca="1">TblProd[[#This Row],[Lumber]]</f>
        <v>28349</v>
      </c>
      <c r="AM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1" s="94">
        <f ca="1">ROUNDDOWN( MAX(1 - MIN(facs_constr_factor*TblConstr[[#This Row],[Facs -DB]],facs_constr_max) + tech_1_11*TblTech[[#This Row],[11-1]] + tech_6_3_2*TblTech[[#This Row],[6-3]] + tech_5_2_3*TblTech[[#This Row],[5-2]], 1-global_constr_cap) * TblConstr[[#This Row],[RCPA Lumber]],0)</f>
        <v>48</v>
      </c>
      <c r="AO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1" s="94">
        <f ca="1">ROUNDDOWN( MAX(1 - MIN(facs_constr_factor*TblConstr[[#This Row],[Facs DB]],facs_constr_max) + tech_1_11*TblTech[[#This Row],[1-11]] + tech_6_3_2*TblTech[[#This Row],[6-3]] + tech_5_2_3*TblTech[[#This Row],[5-2]], 1-global_constr_cap) * ROUND((TblConstr[[#This Row],[Land]]-250)*0.285 + 87.5 + 0/4.25,0),0)</f>
        <v>48</v>
      </c>
      <c r="AQ21" s="45">
        <f ca="1">TblConstr[[#This Row],[build -db]]*TblConstr[[#This Row],[CPA Platinum -DB]] + TblConstr[[#This Row],[build db]]*TblConstr[[#This Row],[CPA Platinum DB]]</f>
        <v>0</v>
      </c>
      <c r="AR21" s="45">
        <f ca="1">TblConstr[[#This Row],[build -db]]*TblConstr[[#This Row],[CPA Lumber -DB]] + TblConstr[[#This Row],[build db]]*TblConstr[[#This Row],[CPA Lumber DB]]</f>
        <v>0</v>
      </c>
      <c r="AS21" s="94">
        <f ca="1">MIN(SUM(OFFSET(TblConstr[[#This Row],[Plain]:[Water]],-1,0))+SUM(TblConstr[[#This Row],[Dest Hom]:[Dest Doc]])+IF(TblConstr[[#This Row],[Hour]]&gt;12,SUM(OFFSET(TblExplore[[#This Row],[Plains Explore]:[Water Explore]],-12,0)),0),SUM(TblConstr[[#This Row],[Hom]:[Doc]]))</f>
        <v>0</v>
      </c>
      <c r="AT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1" s="142"/>
      <c r="AV21" s="94">
        <f ca="1">ROUND((TblConstr[[#This Row],[Land]]-250 - IF(TblExplore[[#This Row],[Land Bonus]]&lt;&gt;0,20,0))*1.25 + 850 + 0,0)</f>
        <v>675</v>
      </c>
      <c r="AW21" s="94">
        <f ca="1">ROUND((TblConstr[[#This Row],[Land]]-250 - IF(TblExplore[[#This Row],[Land Bonus]]&lt;&gt;0,20,0))*0.285 + 87.5 + 0/4.25,0)</f>
        <v>48</v>
      </c>
      <c r="AX21" s="154"/>
      <c r="AY21" s="188" cm="1">
        <f t="array" aca="1" ref="AY21" ca="1">IF(TblConstr[[#This Row],[Hour]:[Hour]]&gt;12,OFFSET(TblConstr[[#This Row],[Hom]],-12,0),0)+OFFSET(TblConstr[[#This Row],[Tot Hom]],-1,0)-TblConstr[[#This Row],[Dest Hom]]</f>
        <v>0</v>
      </c>
      <c r="AZ21" s="189" cm="1">
        <f t="array" aca="1" ref="AZ21" ca="1">IF(TblConstr[[#This Row],[Hour]:[Hour]]&gt;12,OFFSET(TblConstr[[#This Row],[Alc]],-12,0),0)+OFFSET(TblConstr[[#This Row],[Tot Alc]],-1,0)-TblConstr[[#This Row],[Dest Alc]]</f>
        <v>0</v>
      </c>
      <c r="BA21" s="189" cm="1">
        <f t="array" aca="1" ref="BA21" ca="1">IF(TblConstr[[#This Row],[Hour]:[Hour]]&gt;12,OFFSET(TblConstr[[#This Row],[Far]],-12,0),0)+OFFSET(TblConstr[[#This Row],[Tot Farm]],-1,0)-TblConstr[[#This Row],[Dest Farm]]</f>
        <v>30</v>
      </c>
      <c r="BB21" s="189" cm="1">
        <f t="array" aca="1" ref="BB21" ca="1">IF(TblConstr[[#This Row],[Hour]:[Hour]]&gt;12,OFFSET(TblConstr[[#This Row],[Smi]],-12,0),0)+OFFSET(TblConstr[[#This Row],[Tot Smi]],-1,0)-TblConstr[[#This Row],[Dest Smi]]</f>
        <v>0</v>
      </c>
      <c r="BC21" s="189" cm="1">
        <f t="array" aca="1" ref="BC21" ca="1">IF(TblConstr[[#This Row],[Hour]:[Hour]]&gt;12,OFFSET(TblConstr[[#This Row],[Mas]],-12,0),0)+OFFSET(TblConstr[[#This Row],[Tot Mas]],-1,0)-TblConstr[[#This Row],[Dest Mas]]</f>
        <v>0</v>
      </c>
      <c r="BD21" s="190" cm="1">
        <f t="array" aca="1" ref="BD21" ca="1">IF(TblConstr[[#This Row],[Hour]:[Hour]]&gt;12,OFFSET(TblConstr[[#This Row],[Ly]],-12,0),0)+OFFSET(TblConstr[[#This Row],[Tot Ly]],-1,0)-TblConstr[[#This Row],[Dest Ly]]</f>
        <v>20</v>
      </c>
      <c r="BE21" s="190" cm="1">
        <f t="array" aca="1" ref="BE21" ca="1">IF(TblConstr[[#This Row],[Hour]:[Hour]]&gt;12,OFFSET(TblConstr[[#This Row],[Hav]],-12,0),0)+OFFSET(TblConstr[[#This Row],[Tot Hav]],-1,0)-TblConstr[[#This Row],[Dest Hav]]</f>
        <v>0</v>
      </c>
      <c r="BF21" s="361" cm="1">
        <f t="array" aca="1" ref="BF21" ca="1">IF(TblConstr[[#This Row],[Hour]:[Hour]]&gt;12,OFFSET(TblConstr[[#This Row],[OM]],-12,0),0)+OFFSET(TblConstr[[#This Row],[Tot OM]],-1,0)-TblConstr[[#This Row],[Dest OM]]</f>
        <v>0</v>
      </c>
      <c r="BG21" s="361" cm="1">
        <f t="array" aca="1" ref="BG21" ca="1">IF(TblConstr[[#This Row],[Hour]:[Hour]]&gt;12,OFFSET(TblConstr[[#This Row],[GN]],-12,0),0)+OFFSET(TblConstr[[#This Row],[Tot GN]],-1,0)-TblConstr[[#This Row],[Dest GN]]</f>
        <v>0</v>
      </c>
      <c r="BH21" s="365" cm="1">
        <f t="array" aca="1" ref="BH21" ca="1">IF(TblConstr[[#This Row],[Hour]:[Hour]]&gt;12,OFFSET(TblConstr[[#This Row],[Fac]],-12,0),0)+OFFSET(TblConstr[[#This Row],[Tot Fac]],-1,0)-TblConstr[[#This Row],[Dest Fac]]</f>
        <v>0</v>
      </c>
      <c r="BI21" s="365" cm="1">
        <f t="array" aca="1" ref="BI21" ca="1">IF(TblConstr[[#This Row],[Hour]:[Hour]]&gt;12,OFFSET(TblConstr[[#This Row],[GT]],-12,0),0)+OFFSET(TblConstr[[#This Row],[Tot GT]],-1,0)-TblConstr[[#This Row],[Dest GT]]</f>
        <v>0</v>
      </c>
      <c r="BJ21" s="365" cm="1">
        <f t="array" aca="1" ref="BJ21" ca="1">IF(TblConstr[[#This Row],[Hour]:[Hour]]&gt;12,OFFSET(TblConstr[[#This Row],[Bar]],-12,0),0)+OFFSET(TblConstr[[#This Row],[Tot Bar]],-1,0)-TblConstr[[#This Row],[Dest Bar]]</f>
        <v>0</v>
      </c>
      <c r="BK21" s="365" cm="1">
        <f t="array" aca="1" ref="BK21" ca="1">IF(TblConstr[[#This Row],[Hour]:[Hour]]&gt;12,OFFSET(TblConstr[[#This Row],[Shr]],-12,0),0)+OFFSET(TblConstr[[#This Row],[Tot Shr]],-1,0)-TblConstr[[#This Row],[Dest Shr]]</f>
        <v>0</v>
      </c>
      <c r="BL21" s="369" cm="1">
        <f t="array" aca="1" ref="BL21" ca="1">IF(TblConstr[[#This Row],[Hour]:[Hour]]&gt;12,OFFSET(TblConstr[[#This Row],[Tow]],-12,0),0)+OFFSET(TblConstr[[#This Row],[Tot Tow]],-1,0)-TblConstr[[#This Row],[Dest Tow]]</f>
        <v>0</v>
      </c>
      <c r="BM21" s="369" cm="1">
        <f t="array" aca="1" ref="BM21" ca="1">IF(TblConstr[[#This Row],[Hour]:[Hour]]&gt;12,OFFSET(TblConstr[[#This Row],[Tem]],-12,0),0)+OFFSET(TblConstr[[#This Row],[Tot Tem]],-1,0)-TblConstr[[#This Row],[Dest Tem]]</f>
        <v>0</v>
      </c>
      <c r="BN21" s="369" cm="1">
        <f t="array" aca="1" ref="BN21" ca="1">IF(TblConstr[[#This Row],[Hour]:[Hour]]&gt;12,OFFSET(TblConstr[[#This Row],[WG]],-12,0),0)+OFFSET(TblConstr[[#This Row],[Tot WG]],-1,0)-TblConstr[[#This Row],[Dest WG]]</f>
        <v>0</v>
      </c>
      <c r="BO21" s="191" cm="1">
        <f t="array" aca="1" ref="BO21" ca="1">IF(TblConstr[[#This Row],[Hour]:[Hour]]&gt;12,OFFSET(TblConstr[[#This Row],[DM]],-12,0),0)+OFFSET(TblConstr[[#This Row],[Tot DM]],-1,0)-TblConstr[[#This Row],[Dest DM]]</f>
        <v>0</v>
      </c>
      <c r="BP21" s="191" cm="1">
        <f t="array" aca="1" ref="BP21" ca="1">IF(TblConstr[[#This Row],[Hour]:[Hour]]&gt;12,OFFSET(TblConstr[[#This Row],[Sch]],-12,0),0)+OFFSET(TblConstr[[#This Row],[Tot Sch]],-1,0)-TblConstr[[#This Row],[Dest Sch]]</f>
        <v>0</v>
      </c>
      <c r="BQ21" s="192" cm="1">
        <f t="array" aca="1" ref="BQ21" ca="1">IF(TblConstr[[#This Row],[Hour]:[Hour]]&gt;12,OFFSET(TblConstr[[#This Row],[Doc]],-12,0),0)+OFFSET(TblConstr[[#This Row],[Tot Doc]],-1,0)-TblConstr[[#This Row],[Dest Doc]]</f>
        <v>0</v>
      </c>
      <c r="BR21" s="142"/>
      <c r="BS21" s="154"/>
      <c r="BT21" s="94">
        <f ca="1">TblConstr[[#This Row],[Land]]</f>
        <v>110</v>
      </c>
      <c r="BU21" s="159">
        <f ca="1">TblImps[[#This Row],[Time]]</f>
        <v>46047.708333333292</v>
      </c>
      <c r="BV21" s="142"/>
      <c r="CP21" s="142"/>
      <c r="CQ21" s="181">
        <f ca="1">-SUM(TblConstr[[#This Row],[Alc]:[Mas]])+SUM(TblConstr[[#This Row],[Dest Alc]:[Dest Mas]])+Rezone!L21+IF("Ch_"&amp; home_land=TblConstr[[#Headers],[Ch_Plain]],TblConstr[[#This Row],[Home Land]])+IF(TblConstr[[#This Row],[Hour]:[Hour]]&gt;12,OFFSET(TblExplore[[#This Row],[Plains Explore]],-12,0),0)</f>
        <v>0</v>
      </c>
      <c r="CR21" s="182">
        <f ca="1">-SUM(TblConstr[[#This Row],[Ly]:[Hav]])+SUM(TblConstr[[#This Row],[Dest Ly]:[Dest Hav]]) +Rezone!M21 + IF("Ch_"&amp; home_land=TblConstr[[#Headers],[Ch_Forest]],TblConstr[[#This Row],[Home Land]])+IF(TblConstr[[#This Row],[Hour]:[Hour]]&gt;12,OFFSET(TblExplore[[#This Row],[Forest Explore]],-12,0),0)</f>
        <v>0</v>
      </c>
      <c r="CS21" s="359">
        <f ca="1">-SUM(TblConstr[[#This Row],[OM]:[GN]])+SUM(TblConstr[[#This Row],[Dest OM]:[Dest GN]]) +Rezone!N21 + IF("Ch_"&amp; home_land=TblConstr[[#Headers],[Ch_Mountain]],TblConstr[[#This Row],[Home Land]])+IF(TblConstr[[#This Row],[Hour]:[Hour]]&gt;12,OFFSET(TblExplore[[#This Row],[Mountain Explore]],-12,0),0)</f>
        <v>0</v>
      </c>
      <c r="CT21" s="183">
        <f ca="1">-SUM(TblConstr[[#This Row],[Fac]:[Shr]])+SUM(TblConstr[[#This Row],[Dest Fac]:[Dest Shr]]) +Rezone!O21 + IF("Ch_" &amp; home_land=TblConstr[[#Headers],[Ch_Hill]],TblConstr[[#This Row],[Home Land]])+IF(TblConstr[[#This Row],[Hour]:[Hour]]&gt;12,OFFSET(TblExplore[[#This Row],[Hill Explore]],-12,0),0)</f>
        <v>0</v>
      </c>
      <c r="CU21" s="184">
        <f ca="1">-SUM(TblConstr[[#This Row],[Tow]:[WG]])+SUM(TblConstr[[#This Row],[Dest Tow]:[Dest WG]]) +Rezone!P21 + IF("Ch_" &amp; home_land=TblConstr[[#Headers],[Ch_Swamp]],TblConstr[[#This Row],[Home Land]])+IF(TblConstr[[#This Row],[Hour]:[Hour]]&gt;12,OFFSET(TblExplore[[#This Row],[Swamp Explore]],-12,0),0)</f>
        <v>0</v>
      </c>
      <c r="CV21" s="185">
        <f ca="1" xml:space="preserve"> - SUM(TblConstr[[#This Row],[DM]:[Sch]])+SUM(TblConstr[[#This Row],[Dest DM]:[Dest Sch]]) +Rezone!Q21 + IF("Ch_" &amp; home_land=TblConstr[[#Headers],[Ch_Cavern]],TblConstr[[#This Row],[Home Land]])+IF(TblConstr[[#This Row],[Hour]:[Hour]]&gt;12,OFFSET(TblExplore[[#This Row],[Cavern Explore]],-12,0),0)</f>
        <v>0</v>
      </c>
      <c r="CW21" s="186">
        <f ca="1">-TblConstr[[#This Row],[Doc]]+TblConstr[[#This Row],[Dest Doc]] +Rezone!R21 + IF("Ch_" &amp; home_land=TblConstr[[#Headers],[Ch_Water]],TblConstr[[#This Row],[Home Land]])+IF(TblConstr[[#This Row],[Hour]:[Hour]]&gt;12,OFFSET(TblExplore[[#This Row],[Water Explore]],-12,0),0)</f>
        <v>0</v>
      </c>
      <c r="CX21" s="45">
        <f>IF(Explore!S21=1,20) - TblConstr[[#This Row],[Hom]] + TblConstr[[#This Row],[Dest Hom]]</f>
        <v>0</v>
      </c>
      <c r="CY21" s="142"/>
      <c r="CZ21" s="94">
        <f t="shared" ca="1" si="3"/>
        <v>90</v>
      </c>
      <c r="DA21" s="94">
        <f t="shared" ca="1" si="4"/>
        <v>20</v>
      </c>
      <c r="DB21" s="45">
        <f t="shared" ca="1" si="5"/>
        <v>0</v>
      </c>
      <c r="DC21" s="94">
        <f t="shared" ca="1" si="6"/>
        <v>0</v>
      </c>
      <c r="DD21" s="94">
        <f t="shared" ca="1" si="7"/>
        <v>0</v>
      </c>
      <c r="DE21" s="45">
        <f t="shared" ca="1" si="8"/>
        <v>0</v>
      </c>
      <c r="DF21" s="94">
        <f t="shared" ca="1" si="9"/>
        <v>0</v>
      </c>
      <c r="DG21" s="94" cm="1">
        <f t="array" aca="1" ref="DG21" ca="1">INDEX(TblConstr[[Total Plain]:[Total Water]],ROW()-ROW(TblConstr[#Headers]),MATCH("Total "&amp;home_land,TblConstr[[#Headers],[Total Plain]:[Total Water]],0))+TblConstr[[#This Row],[Homes]]</f>
        <v>90</v>
      </c>
      <c r="DH21" s="45">
        <f t="shared" ca="1" si="10"/>
        <v>0</v>
      </c>
      <c r="DI21" s="45">
        <f t="shared" ca="1" si="0"/>
        <v>0</v>
      </c>
      <c r="DJ21" s="45">
        <f t="shared" ca="1" si="1"/>
        <v>0</v>
      </c>
    </row>
    <row r="22" spans="1:114" hidden="1" x14ac:dyDescent="0.2">
      <c r="A22" s="175">
        <f>TblRezone[[#This Row],[Hour]]</f>
        <v>19</v>
      </c>
      <c r="B22" s="176">
        <f ca="1">SUM(TblConstr[[#This Row],[Plain]:[Water]])</f>
        <v>60</v>
      </c>
      <c r="C22" s="177">
        <f ca="1">SUM(TblConstr[[#This Row],[Tot Hom]:[Tot Doc]])</f>
        <v>50</v>
      </c>
      <c r="D22" s="177">
        <f t="shared" si="2"/>
        <v>0</v>
      </c>
      <c r="E22" s="178"/>
      <c r="F22" s="61">
        <f ca="1">TblConstr[[#This Row],[Barren]]+TblConstr[[#This Row],[Buildings]]+TblConstr[[#This Row],[Incoming]]</f>
        <v>110</v>
      </c>
      <c r="G22" s="187">
        <f ca="1">OFFSET(TblConstr[[#This Row],[Plain]],-1,0)+TblConstr[[#This Row],[Ch_Plain]]</f>
        <v>60</v>
      </c>
      <c r="H22" s="182">
        <f ca="1">OFFSET(TblConstr[[#This Row],[Forest]],-1,0)+TblConstr[[#This Row],[Ch_Forest]]</f>
        <v>0</v>
      </c>
      <c r="I22" s="359">
        <f ca="1">OFFSET(TblConstr[[#This Row],[Mountain]],-1,0)+TblConstr[[#This Row],[Ch_Mountain]]</f>
        <v>0</v>
      </c>
      <c r="J22" s="363">
        <f ca="1">OFFSET(TblConstr[[#This Row],[Hill]],-1,0)+TblConstr[[#This Row],[Ch_Hill]]</f>
        <v>0</v>
      </c>
      <c r="K22" s="367">
        <f ca="1">OFFSET(TblConstr[[#This Row],[Swamp]],-1,0)+TblConstr[[#This Row],[Ch_Swamp]]</f>
        <v>0</v>
      </c>
      <c r="L22" s="185">
        <f ca="1">OFFSET(TblConstr[[#This Row],[Cavern]],-1,0)+TblConstr[[#This Row],[Ch_Cavern]]</f>
        <v>0</v>
      </c>
      <c r="M22" s="186">
        <f ca="1">OFFSET(TblConstr[[#This Row],[Water]],-1,0)+TblConstr[[#This Row],[Ch_Water]]</f>
        <v>0</v>
      </c>
      <c r="N22" s="357">
        <f>TblRezone[[#This Row],[Hour]]</f>
        <v>19</v>
      </c>
      <c r="AH22" s="53">
        <f ca="1">TblImps[[#This Row],[Time]]</f>
        <v>46047.749999999956</v>
      </c>
      <c r="AI22" s="180">
        <f ca="1">MIN(25%,(TblConstr[[#This Row],[Tot Fac]]+TblConstr[[#This Row],[Dest Fac]])/(TblConstr[[#This Row],[Land]]-TblExplore[[#This Row],[Land Bonus]]*20))</f>
        <v>0</v>
      </c>
      <c r="AJ22" s="180">
        <f ca="1">MIN(25%,(TblConstr[[#This Row],[Tot Fac]]+TblConstr[[#This Row],[Dest Fac]])/TblConstr[[#This Row],[Land]])</f>
        <v>0</v>
      </c>
      <c r="AK22" s="94">
        <f ca="1">TblProd[[#This Row],[Platinum]]</f>
        <v>76616</v>
      </c>
      <c r="AL22" s="94">
        <f ca="1">TblProd[[#This Row],[Lumber]]</f>
        <v>29066</v>
      </c>
      <c r="AM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2" s="94">
        <f ca="1">ROUNDDOWN( MAX(1 - MIN(facs_constr_factor*TblConstr[[#This Row],[Facs -DB]],facs_constr_max) + tech_1_11*TblTech[[#This Row],[11-1]] + tech_6_3_2*TblTech[[#This Row],[6-3]] + tech_5_2_3*TblTech[[#This Row],[5-2]], 1-global_constr_cap) * TblConstr[[#This Row],[RCPA Lumber]],0)</f>
        <v>48</v>
      </c>
      <c r="AO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2" s="94">
        <f ca="1">ROUNDDOWN( MAX(1 - MIN(facs_constr_factor*TblConstr[[#This Row],[Facs DB]],facs_constr_max) + tech_1_11*TblTech[[#This Row],[1-11]] + tech_6_3_2*TblTech[[#This Row],[6-3]] + tech_5_2_3*TblTech[[#This Row],[5-2]], 1-global_constr_cap) * ROUND((TblConstr[[#This Row],[Land]]-250)*0.285 + 87.5 + 0/4.25,0),0)</f>
        <v>48</v>
      </c>
      <c r="AQ22" s="45">
        <f ca="1">TblConstr[[#This Row],[build -db]]*TblConstr[[#This Row],[CPA Platinum -DB]] + TblConstr[[#This Row],[build db]]*TblConstr[[#This Row],[CPA Platinum DB]]</f>
        <v>0</v>
      </c>
      <c r="AR22" s="45">
        <f ca="1">TblConstr[[#This Row],[build -db]]*TblConstr[[#This Row],[CPA Lumber -DB]] + TblConstr[[#This Row],[build db]]*TblConstr[[#This Row],[CPA Lumber DB]]</f>
        <v>0</v>
      </c>
      <c r="AS22" s="94">
        <f ca="1">MIN(SUM(OFFSET(TblConstr[[#This Row],[Plain]:[Water]],-1,0))+SUM(TblConstr[[#This Row],[Dest Hom]:[Dest Doc]])+IF(TblConstr[[#This Row],[Hour]]&gt;12,SUM(OFFSET(TblExplore[[#This Row],[Plains Explore]:[Water Explore]],-12,0)),0),SUM(TblConstr[[#This Row],[Hom]:[Doc]]))</f>
        <v>0</v>
      </c>
      <c r="AT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2" s="142"/>
      <c r="AV22" s="94">
        <f ca="1">ROUND((TblConstr[[#This Row],[Land]]-250 - IF(TblExplore[[#This Row],[Land Bonus]]&lt;&gt;0,20,0))*1.25 + 850 + 0,0)</f>
        <v>675</v>
      </c>
      <c r="AW22" s="94">
        <f ca="1">ROUND((TblConstr[[#This Row],[Land]]-250 - IF(TblExplore[[#This Row],[Land Bonus]]&lt;&gt;0,20,0))*0.285 + 87.5 + 0/4.25,0)</f>
        <v>48</v>
      </c>
      <c r="AX22" s="154"/>
      <c r="AY22" s="188" cm="1">
        <f t="array" aca="1" ref="AY22" ca="1">IF(TblConstr[[#This Row],[Hour]:[Hour]]&gt;12,OFFSET(TblConstr[[#This Row],[Hom]],-12,0),0)+OFFSET(TblConstr[[#This Row],[Tot Hom]],-1,0)-TblConstr[[#This Row],[Dest Hom]]</f>
        <v>0</v>
      </c>
      <c r="AZ22" s="189" cm="1">
        <f t="array" aca="1" ref="AZ22" ca="1">IF(TblConstr[[#This Row],[Hour]:[Hour]]&gt;12,OFFSET(TblConstr[[#This Row],[Alc]],-12,0),0)+OFFSET(TblConstr[[#This Row],[Tot Alc]],-1,0)-TblConstr[[#This Row],[Dest Alc]]</f>
        <v>0</v>
      </c>
      <c r="BA22" s="189" cm="1">
        <f t="array" aca="1" ref="BA22" ca="1">IF(TblConstr[[#This Row],[Hour]:[Hour]]&gt;12,OFFSET(TblConstr[[#This Row],[Far]],-12,0),0)+OFFSET(TblConstr[[#This Row],[Tot Farm]],-1,0)-TblConstr[[#This Row],[Dest Farm]]</f>
        <v>30</v>
      </c>
      <c r="BB22" s="189" cm="1">
        <f t="array" aca="1" ref="BB22" ca="1">IF(TblConstr[[#This Row],[Hour]:[Hour]]&gt;12,OFFSET(TblConstr[[#This Row],[Smi]],-12,0),0)+OFFSET(TblConstr[[#This Row],[Tot Smi]],-1,0)-TblConstr[[#This Row],[Dest Smi]]</f>
        <v>0</v>
      </c>
      <c r="BC22" s="189" cm="1">
        <f t="array" aca="1" ref="BC22" ca="1">IF(TblConstr[[#This Row],[Hour]:[Hour]]&gt;12,OFFSET(TblConstr[[#This Row],[Mas]],-12,0),0)+OFFSET(TblConstr[[#This Row],[Tot Mas]],-1,0)-TblConstr[[#This Row],[Dest Mas]]</f>
        <v>0</v>
      </c>
      <c r="BD22" s="190" cm="1">
        <f t="array" aca="1" ref="BD22" ca="1">IF(TblConstr[[#This Row],[Hour]:[Hour]]&gt;12,OFFSET(TblConstr[[#This Row],[Ly]],-12,0),0)+OFFSET(TblConstr[[#This Row],[Tot Ly]],-1,0)-TblConstr[[#This Row],[Dest Ly]]</f>
        <v>20</v>
      </c>
      <c r="BE22" s="190" cm="1">
        <f t="array" aca="1" ref="BE22" ca="1">IF(TblConstr[[#This Row],[Hour]:[Hour]]&gt;12,OFFSET(TblConstr[[#This Row],[Hav]],-12,0),0)+OFFSET(TblConstr[[#This Row],[Tot Hav]],-1,0)-TblConstr[[#This Row],[Dest Hav]]</f>
        <v>0</v>
      </c>
      <c r="BF22" s="361" cm="1">
        <f t="array" aca="1" ref="BF22" ca="1">IF(TblConstr[[#This Row],[Hour]:[Hour]]&gt;12,OFFSET(TblConstr[[#This Row],[OM]],-12,0),0)+OFFSET(TblConstr[[#This Row],[Tot OM]],-1,0)-TblConstr[[#This Row],[Dest OM]]</f>
        <v>0</v>
      </c>
      <c r="BG22" s="361" cm="1">
        <f t="array" aca="1" ref="BG22" ca="1">IF(TblConstr[[#This Row],[Hour]:[Hour]]&gt;12,OFFSET(TblConstr[[#This Row],[GN]],-12,0),0)+OFFSET(TblConstr[[#This Row],[Tot GN]],-1,0)-TblConstr[[#This Row],[Dest GN]]</f>
        <v>0</v>
      </c>
      <c r="BH22" s="365" cm="1">
        <f t="array" aca="1" ref="BH22" ca="1">IF(TblConstr[[#This Row],[Hour]:[Hour]]&gt;12,OFFSET(TblConstr[[#This Row],[Fac]],-12,0),0)+OFFSET(TblConstr[[#This Row],[Tot Fac]],-1,0)-TblConstr[[#This Row],[Dest Fac]]</f>
        <v>0</v>
      </c>
      <c r="BI22" s="365" cm="1">
        <f t="array" aca="1" ref="BI22" ca="1">IF(TblConstr[[#This Row],[Hour]:[Hour]]&gt;12,OFFSET(TblConstr[[#This Row],[GT]],-12,0),0)+OFFSET(TblConstr[[#This Row],[Tot GT]],-1,0)-TblConstr[[#This Row],[Dest GT]]</f>
        <v>0</v>
      </c>
      <c r="BJ22" s="365" cm="1">
        <f t="array" aca="1" ref="BJ22" ca="1">IF(TblConstr[[#This Row],[Hour]:[Hour]]&gt;12,OFFSET(TblConstr[[#This Row],[Bar]],-12,0),0)+OFFSET(TblConstr[[#This Row],[Tot Bar]],-1,0)-TblConstr[[#This Row],[Dest Bar]]</f>
        <v>0</v>
      </c>
      <c r="BK22" s="365" cm="1">
        <f t="array" aca="1" ref="BK22" ca="1">IF(TblConstr[[#This Row],[Hour]:[Hour]]&gt;12,OFFSET(TblConstr[[#This Row],[Shr]],-12,0),0)+OFFSET(TblConstr[[#This Row],[Tot Shr]],-1,0)-TblConstr[[#This Row],[Dest Shr]]</f>
        <v>0</v>
      </c>
      <c r="BL22" s="369" cm="1">
        <f t="array" aca="1" ref="BL22" ca="1">IF(TblConstr[[#This Row],[Hour]:[Hour]]&gt;12,OFFSET(TblConstr[[#This Row],[Tow]],-12,0),0)+OFFSET(TblConstr[[#This Row],[Tot Tow]],-1,0)-TblConstr[[#This Row],[Dest Tow]]</f>
        <v>0</v>
      </c>
      <c r="BM22" s="369" cm="1">
        <f t="array" aca="1" ref="BM22" ca="1">IF(TblConstr[[#This Row],[Hour]:[Hour]]&gt;12,OFFSET(TblConstr[[#This Row],[Tem]],-12,0),0)+OFFSET(TblConstr[[#This Row],[Tot Tem]],-1,0)-TblConstr[[#This Row],[Dest Tem]]</f>
        <v>0</v>
      </c>
      <c r="BN22" s="369" cm="1">
        <f t="array" aca="1" ref="BN22" ca="1">IF(TblConstr[[#This Row],[Hour]:[Hour]]&gt;12,OFFSET(TblConstr[[#This Row],[WG]],-12,0),0)+OFFSET(TblConstr[[#This Row],[Tot WG]],-1,0)-TblConstr[[#This Row],[Dest WG]]</f>
        <v>0</v>
      </c>
      <c r="BO22" s="191" cm="1">
        <f t="array" aca="1" ref="BO22" ca="1">IF(TblConstr[[#This Row],[Hour]:[Hour]]&gt;12,OFFSET(TblConstr[[#This Row],[DM]],-12,0),0)+OFFSET(TblConstr[[#This Row],[Tot DM]],-1,0)-TblConstr[[#This Row],[Dest DM]]</f>
        <v>0</v>
      </c>
      <c r="BP22" s="191" cm="1">
        <f t="array" aca="1" ref="BP22" ca="1">IF(TblConstr[[#This Row],[Hour]:[Hour]]&gt;12,OFFSET(TblConstr[[#This Row],[Sch]],-12,0),0)+OFFSET(TblConstr[[#This Row],[Tot Sch]],-1,0)-TblConstr[[#This Row],[Dest Sch]]</f>
        <v>0</v>
      </c>
      <c r="BQ22" s="192" cm="1">
        <f t="array" aca="1" ref="BQ22" ca="1">IF(TblConstr[[#This Row],[Hour]:[Hour]]&gt;12,OFFSET(TblConstr[[#This Row],[Doc]],-12,0),0)+OFFSET(TblConstr[[#This Row],[Tot Doc]],-1,0)-TblConstr[[#This Row],[Dest Doc]]</f>
        <v>0</v>
      </c>
      <c r="BR22" s="142"/>
      <c r="BS22" s="154"/>
      <c r="BT22" s="94">
        <f ca="1">TblConstr[[#This Row],[Land]]</f>
        <v>110</v>
      </c>
      <c r="BU22" s="159">
        <f ca="1">TblImps[[#This Row],[Time]]</f>
        <v>46047.749999999956</v>
      </c>
      <c r="BV22" s="142"/>
      <c r="CP22" s="142"/>
      <c r="CQ22" s="181">
        <f ca="1">-SUM(TblConstr[[#This Row],[Alc]:[Mas]])+SUM(TblConstr[[#This Row],[Dest Alc]:[Dest Mas]])+Rezone!L22+IF("Ch_"&amp; home_land=TblConstr[[#Headers],[Ch_Plain]],TblConstr[[#This Row],[Home Land]])+IF(TblConstr[[#This Row],[Hour]:[Hour]]&gt;12,OFFSET(TblExplore[[#This Row],[Plains Explore]],-12,0),0)</f>
        <v>0</v>
      </c>
      <c r="CR22" s="182">
        <f ca="1">-SUM(TblConstr[[#This Row],[Ly]:[Hav]])+SUM(TblConstr[[#This Row],[Dest Ly]:[Dest Hav]]) +Rezone!M22 + IF("Ch_"&amp; home_land=TblConstr[[#Headers],[Ch_Forest]],TblConstr[[#This Row],[Home Land]])+IF(TblConstr[[#This Row],[Hour]:[Hour]]&gt;12,OFFSET(TblExplore[[#This Row],[Forest Explore]],-12,0),0)</f>
        <v>0</v>
      </c>
      <c r="CS22" s="359">
        <f ca="1">-SUM(TblConstr[[#This Row],[OM]:[GN]])+SUM(TblConstr[[#This Row],[Dest OM]:[Dest GN]]) +Rezone!N22 + IF("Ch_"&amp; home_land=TblConstr[[#Headers],[Ch_Mountain]],TblConstr[[#This Row],[Home Land]])+IF(TblConstr[[#This Row],[Hour]:[Hour]]&gt;12,OFFSET(TblExplore[[#This Row],[Mountain Explore]],-12,0),0)</f>
        <v>0</v>
      </c>
      <c r="CT22" s="183">
        <f ca="1">-SUM(TblConstr[[#This Row],[Fac]:[Shr]])+SUM(TblConstr[[#This Row],[Dest Fac]:[Dest Shr]]) +Rezone!O22 + IF("Ch_" &amp; home_land=TblConstr[[#Headers],[Ch_Hill]],TblConstr[[#This Row],[Home Land]])+IF(TblConstr[[#This Row],[Hour]:[Hour]]&gt;12,OFFSET(TblExplore[[#This Row],[Hill Explore]],-12,0),0)</f>
        <v>0</v>
      </c>
      <c r="CU22" s="184">
        <f ca="1">-SUM(TblConstr[[#This Row],[Tow]:[WG]])+SUM(TblConstr[[#This Row],[Dest Tow]:[Dest WG]]) +Rezone!P22 + IF("Ch_" &amp; home_land=TblConstr[[#Headers],[Ch_Swamp]],TblConstr[[#This Row],[Home Land]])+IF(TblConstr[[#This Row],[Hour]:[Hour]]&gt;12,OFFSET(TblExplore[[#This Row],[Swamp Explore]],-12,0),0)</f>
        <v>0</v>
      </c>
      <c r="CV22" s="185">
        <f ca="1" xml:space="preserve"> - SUM(TblConstr[[#This Row],[DM]:[Sch]])+SUM(TblConstr[[#This Row],[Dest DM]:[Dest Sch]]) +Rezone!Q22 + IF("Ch_" &amp; home_land=TblConstr[[#Headers],[Ch_Cavern]],TblConstr[[#This Row],[Home Land]])+IF(TblConstr[[#This Row],[Hour]:[Hour]]&gt;12,OFFSET(TblExplore[[#This Row],[Cavern Explore]],-12,0),0)</f>
        <v>0</v>
      </c>
      <c r="CW22" s="186">
        <f ca="1">-TblConstr[[#This Row],[Doc]]+TblConstr[[#This Row],[Dest Doc]] +Rezone!R22 + IF("Ch_" &amp; home_land=TblConstr[[#Headers],[Ch_Water]],TblConstr[[#This Row],[Home Land]])+IF(TblConstr[[#This Row],[Hour]:[Hour]]&gt;12,OFFSET(TblExplore[[#This Row],[Water Explore]],-12,0),0)</f>
        <v>0</v>
      </c>
      <c r="CX22" s="45">
        <f>IF(Explore!S22=1,20) - TblConstr[[#This Row],[Hom]] + TblConstr[[#This Row],[Dest Hom]]</f>
        <v>0</v>
      </c>
      <c r="CY22" s="142"/>
      <c r="CZ22" s="94">
        <f t="shared" ca="1" si="3"/>
        <v>90</v>
      </c>
      <c r="DA22" s="94">
        <f t="shared" ca="1" si="4"/>
        <v>20</v>
      </c>
      <c r="DB22" s="45">
        <f t="shared" ca="1" si="5"/>
        <v>0</v>
      </c>
      <c r="DC22" s="94">
        <f t="shared" ca="1" si="6"/>
        <v>0</v>
      </c>
      <c r="DD22" s="94">
        <f t="shared" ca="1" si="7"/>
        <v>0</v>
      </c>
      <c r="DE22" s="45">
        <f t="shared" ca="1" si="8"/>
        <v>0</v>
      </c>
      <c r="DF22" s="94">
        <f t="shared" ca="1" si="9"/>
        <v>0</v>
      </c>
      <c r="DG22" s="94" cm="1">
        <f t="array" aca="1" ref="DG22" ca="1">INDEX(TblConstr[[Total Plain]:[Total Water]],ROW()-ROW(TblConstr[#Headers]),MATCH("Total "&amp;home_land,TblConstr[[#Headers],[Total Plain]:[Total Water]],0))+TblConstr[[#This Row],[Homes]]</f>
        <v>90</v>
      </c>
      <c r="DH22" s="45">
        <f t="shared" ca="1" si="10"/>
        <v>0</v>
      </c>
      <c r="DI22" s="45">
        <f t="shared" ca="1" si="0"/>
        <v>0</v>
      </c>
      <c r="DJ22" s="45">
        <f t="shared" ca="1" si="1"/>
        <v>0</v>
      </c>
    </row>
    <row r="23" spans="1:114" hidden="1" x14ac:dyDescent="0.2">
      <c r="A23" s="175">
        <f>TblRezone[[#This Row],[Hour]]</f>
        <v>20</v>
      </c>
      <c r="B23" s="176">
        <f ca="1">SUM(TblConstr[[#This Row],[Plain]:[Water]])</f>
        <v>60</v>
      </c>
      <c r="C23" s="177">
        <f ca="1">SUM(TblConstr[[#This Row],[Tot Hom]:[Tot Doc]])</f>
        <v>50</v>
      </c>
      <c r="D23" s="177">
        <f t="shared" si="2"/>
        <v>0</v>
      </c>
      <c r="E23" s="178"/>
      <c r="F23" s="61">
        <f ca="1">TblConstr[[#This Row],[Barren]]+TblConstr[[#This Row],[Buildings]]+TblConstr[[#This Row],[Incoming]]</f>
        <v>110</v>
      </c>
      <c r="G23" s="187">
        <f ca="1">OFFSET(TblConstr[[#This Row],[Plain]],-1,0)+TblConstr[[#This Row],[Ch_Plain]]</f>
        <v>60</v>
      </c>
      <c r="H23" s="182">
        <f ca="1">OFFSET(TblConstr[[#This Row],[Forest]],-1,0)+TblConstr[[#This Row],[Ch_Forest]]</f>
        <v>0</v>
      </c>
      <c r="I23" s="359">
        <f ca="1">OFFSET(TblConstr[[#This Row],[Mountain]],-1,0)+TblConstr[[#This Row],[Ch_Mountain]]</f>
        <v>0</v>
      </c>
      <c r="J23" s="363">
        <f ca="1">OFFSET(TblConstr[[#This Row],[Hill]],-1,0)+TblConstr[[#This Row],[Ch_Hill]]</f>
        <v>0</v>
      </c>
      <c r="K23" s="367">
        <f ca="1">OFFSET(TblConstr[[#This Row],[Swamp]],-1,0)+TblConstr[[#This Row],[Ch_Swamp]]</f>
        <v>0</v>
      </c>
      <c r="L23" s="185">
        <f ca="1">OFFSET(TblConstr[[#This Row],[Cavern]],-1,0)+TblConstr[[#This Row],[Ch_Cavern]]</f>
        <v>0</v>
      </c>
      <c r="M23" s="186">
        <f ca="1">OFFSET(TblConstr[[#This Row],[Water]],-1,0)+TblConstr[[#This Row],[Ch_Water]]</f>
        <v>0</v>
      </c>
      <c r="N23" s="357">
        <f>TblRezone[[#This Row],[Hour]]</f>
        <v>20</v>
      </c>
      <c r="AH23" s="53">
        <f ca="1">TblImps[[#This Row],[Time]]</f>
        <v>46047.791666666621</v>
      </c>
      <c r="AI23" s="180">
        <f ca="1">MIN(25%,(TblConstr[[#This Row],[Tot Fac]]+TblConstr[[#This Row],[Dest Fac]])/(TblConstr[[#This Row],[Land]]-TblExplore[[#This Row],[Land Bonus]]*20))</f>
        <v>0</v>
      </c>
      <c r="AJ23" s="180">
        <f ca="1">MIN(25%,(TblConstr[[#This Row],[Tot Fac]]+TblConstr[[#This Row],[Dest Fac]])/TblConstr[[#This Row],[Land]])</f>
        <v>0</v>
      </c>
      <c r="AK23" s="94">
        <f ca="1">TblProd[[#This Row],[Platinum]]</f>
        <v>78354</v>
      </c>
      <c r="AL23" s="94">
        <f ca="1">TblProd[[#This Row],[Lumber]]</f>
        <v>29775</v>
      </c>
      <c r="AM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3" s="94">
        <f ca="1">ROUNDDOWN( MAX(1 - MIN(facs_constr_factor*TblConstr[[#This Row],[Facs -DB]],facs_constr_max) + tech_1_11*TblTech[[#This Row],[11-1]] + tech_6_3_2*TblTech[[#This Row],[6-3]] + tech_5_2_3*TblTech[[#This Row],[5-2]], 1-global_constr_cap) * TblConstr[[#This Row],[RCPA Lumber]],0)</f>
        <v>48</v>
      </c>
      <c r="AO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3" s="94">
        <f ca="1">ROUNDDOWN( MAX(1 - MIN(facs_constr_factor*TblConstr[[#This Row],[Facs DB]],facs_constr_max) + tech_1_11*TblTech[[#This Row],[1-11]] + tech_6_3_2*TblTech[[#This Row],[6-3]] + tech_5_2_3*TblTech[[#This Row],[5-2]], 1-global_constr_cap) * ROUND((TblConstr[[#This Row],[Land]]-250)*0.285 + 87.5 + 0/4.25,0),0)</f>
        <v>48</v>
      </c>
      <c r="AQ23" s="45">
        <f ca="1">TblConstr[[#This Row],[build -db]]*TblConstr[[#This Row],[CPA Platinum -DB]] + TblConstr[[#This Row],[build db]]*TblConstr[[#This Row],[CPA Platinum DB]]</f>
        <v>0</v>
      </c>
      <c r="AR23" s="45">
        <f ca="1">TblConstr[[#This Row],[build -db]]*TblConstr[[#This Row],[CPA Lumber -DB]] + TblConstr[[#This Row],[build db]]*TblConstr[[#This Row],[CPA Lumber DB]]</f>
        <v>0</v>
      </c>
      <c r="AS23" s="94">
        <f ca="1">MIN(SUM(OFFSET(TblConstr[[#This Row],[Plain]:[Water]],-1,0))+SUM(TblConstr[[#This Row],[Dest Hom]:[Dest Doc]])+IF(TblConstr[[#This Row],[Hour]]&gt;12,SUM(OFFSET(TblExplore[[#This Row],[Plains Explore]:[Water Explore]],-12,0)),0),SUM(TblConstr[[#This Row],[Hom]:[Doc]]))</f>
        <v>0</v>
      </c>
      <c r="AT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3" s="142"/>
      <c r="AV23" s="94">
        <f ca="1">ROUND((TblConstr[[#This Row],[Land]]-250 - IF(TblExplore[[#This Row],[Land Bonus]]&lt;&gt;0,20,0))*1.25 + 850 + 0,0)</f>
        <v>675</v>
      </c>
      <c r="AW23" s="94">
        <f ca="1">ROUND((TblConstr[[#This Row],[Land]]-250 - IF(TblExplore[[#This Row],[Land Bonus]]&lt;&gt;0,20,0))*0.285 + 87.5 + 0/4.25,0)</f>
        <v>48</v>
      </c>
      <c r="AX23" s="154"/>
      <c r="AY23" s="188" cm="1">
        <f t="array" aca="1" ref="AY23" ca="1">IF(TblConstr[[#This Row],[Hour]:[Hour]]&gt;12,OFFSET(TblConstr[[#This Row],[Hom]],-12,0),0)+OFFSET(TblConstr[[#This Row],[Tot Hom]],-1,0)-TblConstr[[#This Row],[Dest Hom]]</f>
        <v>0</v>
      </c>
      <c r="AZ23" s="189" cm="1">
        <f t="array" aca="1" ref="AZ23" ca="1">IF(TblConstr[[#This Row],[Hour]:[Hour]]&gt;12,OFFSET(TblConstr[[#This Row],[Alc]],-12,0),0)+OFFSET(TblConstr[[#This Row],[Tot Alc]],-1,0)-TblConstr[[#This Row],[Dest Alc]]</f>
        <v>0</v>
      </c>
      <c r="BA23" s="189" cm="1">
        <f t="array" aca="1" ref="BA23" ca="1">IF(TblConstr[[#This Row],[Hour]:[Hour]]&gt;12,OFFSET(TblConstr[[#This Row],[Far]],-12,0),0)+OFFSET(TblConstr[[#This Row],[Tot Farm]],-1,0)-TblConstr[[#This Row],[Dest Farm]]</f>
        <v>30</v>
      </c>
      <c r="BB23" s="189" cm="1">
        <f t="array" aca="1" ref="BB23" ca="1">IF(TblConstr[[#This Row],[Hour]:[Hour]]&gt;12,OFFSET(TblConstr[[#This Row],[Smi]],-12,0),0)+OFFSET(TblConstr[[#This Row],[Tot Smi]],-1,0)-TblConstr[[#This Row],[Dest Smi]]</f>
        <v>0</v>
      </c>
      <c r="BC23" s="189" cm="1">
        <f t="array" aca="1" ref="BC23" ca="1">IF(TblConstr[[#This Row],[Hour]:[Hour]]&gt;12,OFFSET(TblConstr[[#This Row],[Mas]],-12,0),0)+OFFSET(TblConstr[[#This Row],[Tot Mas]],-1,0)-TblConstr[[#This Row],[Dest Mas]]</f>
        <v>0</v>
      </c>
      <c r="BD23" s="190" cm="1">
        <f t="array" aca="1" ref="BD23" ca="1">IF(TblConstr[[#This Row],[Hour]:[Hour]]&gt;12,OFFSET(TblConstr[[#This Row],[Ly]],-12,0),0)+OFFSET(TblConstr[[#This Row],[Tot Ly]],-1,0)-TblConstr[[#This Row],[Dest Ly]]</f>
        <v>20</v>
      </c>
      <c r="BE23" s="190" cm="1">
        <f t="array" aca="1" ref="BE23" ca="1">IF(TblConstr[[#This Row],[Hour]:[Hour]]&gt;12,OFFSET(TblConstr[[#This Row],[Hav]],-12,0),0)+OFFSET(TblConstr[[#This Row],[Tot Hav]],-1,0)-TblConstr[[#This Row],[Dest Hav]]</f>
        <v>0</v>
      </c>
      <c r="BF23" s="361" cm="1">
        <f t="array" aca="1" ref="BF23" ca="1">IF(TblConstr[[#This Row],[Hour]:[Hour]]&gt;12,OFFSET(TblConstr[[#This Row],[OM]],-12,0),0)+OFFSET(TblConstr[[#This Row],[Tot OM]],-1,0)-TblConstr[[#This Row],[Dest OM]]</f>
        <v>0</v>
      </c>
      <c r="BG23" s="361" cm="1">
        <f t="array" aca="1" ref="BG23" ca="1">IF(TblConstr[[#This Row],[Hour]:[Hour]]&gt;12,OFFSET(TblConstr[[#This Row],[GN]],-12,0),0)+OFFSET(TblConstr[[#This Row],[Tot GN]],-1,0)-TblConstr[[#This Row],[Dest GN]]</f>
        <v>0</v>
      </c>
      <c r="BH23" s="365" cm="1">
        <f t="array" aca="1" ref="BH23" ca="1">IF(TblConstr[[#This Row],[Hour]:[Hour]]&gt;12,OFFSET(TblConstr[[#This Row],[Fac]],-12,0),0)+OFFSET(TblConstr[[#This Row],[Tot Fac]],-1,0)-TblConstr[[#This Row],[Dest Fac]]</f>
        <v>0</v>
      </c>
      <c r="BI23" s="365" cm="1">
        <f t="array" aca="1" ref="BI23" ca="1">IF(TblConstr[[#This Row],[Hour]:[Hour]]&gt;12,OFFSET(TblConstr[[#This Row],[GT]],-12,0),0)+OFFSET(TblConstr[[#This Row],[Tot GT]],-1,0)-TblConstr[[#This Row],[Dest GT]]</f>
        <v>0</v>
      </c>
      <c r="BJ23" s="365" cm="1">
        <f t="array" aca="1" ref="BJ23" ca="1">IF(TblConstr[[#This Row],[Hour]:[Hour]]&gt;12,OFFSET(TblConstr[[#This Row],[Bar]],-12,0),0)+OFFSET(TblConstr[[#This Row],[Tot Bar]],-1,0)-TblConstr[[#This Row],[Dest Bar]]</f>
        <v>0</v>
      </c>
      <c r="BK23" s="365" cm="1">
        <f t="array" aca="1" ref="BK23" ca="1">IF(TblConstr[[#This Row],[Hour]:[Hour]]&gt;12,OFFSET(TblConstr[[#This Row],[Shr]],-12,0),0)+OFFSET(TblConstr[[#This Row],[Tot Shr]],-1,0)-TblConstr[[#This Row],[Dest Shr]]</f>
        <v>0</v>
      </c>
      <c r="BL23" s="369" cm="1">
        <f t="array" aca="1" ref="BL23" ca="1">IF(TblConstr[[#This Row],[Hour]:[Hour]]&gt;12,OFFSET(TblConstr[[#This Row],[Tow]],-12,0),0)+OFFSET(TblConstr[[#This Row],[Tot Tow]],-1,0)-TblConstr[[#This Row],[Dest Tow]]</f>
        <v>0</v>
      </c>
      <c r="BM23" s="369" cm="1">
        <f t="array" aca="1" ref="BM23" ca="1">IF(TblConstr[[#This Row],[Hour]:[Hour]]&gt;12,OFFSET(TblConstr[[#This Row],[Tem]],-12,0),0)+OFFSET(TblConstr[[#This Row],[Tot Tem]],-1,0)-TblConstr[[#This Row],[Dest Tem]]</f>
        <v>0</v>
      </c>
      <c r="BN23" s="369" cm="1">
        <f t="array" aca="1" ref="BN23" ca="1">IF(TblConstr[[#This Row],[Hour]:[Hour]]&gt;12,OFFSET(TblConstr[[#This Row],[WG]],-12,0),0)+OFFSET(TblConstr[[#This Row],[Tot WG]],-1,0)-TblConstr[[#This Row],[Dest WG]]</f>
        <v>0</v>
      </c>
      <c r="BO23" s="191" cm="1">
        <f t="array" aca="1" ref="BO23" ca="1">IF(TblConstr[[#This Row],[Hour]:[Hour]]&gt;12,OFFSET(TblConstr[[#This Row],[DM]],-12,0),0)+OFFSET(TblConstr[[#This Row],[Tot DM]],-1,0)-TblConstr[[#This Row],[Dest DM]]</f>
        <v>0</v>
      </c>
      <c r="BP23" s="191" cm="1">
        <f t="array" aca="1" ref="BP23" ca="1">IF(TblConstr[[#This Row],[Hour]:[Hour]]&gt;12,OFFSET(TblConstr[[#This Row],[Sch]],-12,0),0)+OFFSET(TblConstr[[#This Row],[Tot Sch]],-1,0)-TblConstr[[#This Row],[Dest Sch]]</f>
        <v>0</v>
      </c>
      <c r="BQ23" s="192" cm="1">
        <f t="array" aca="1" ref="BQ23" ca="1">IF(TblConstr[[#This Row],[Hour]:[Hour]]&gt;12,OFFSET(TblConstr[[#This Row],[Doc]],-12,0),0)+OFFSET(TblConstr[[#This Row],[Tot Doc]],-1,0)-TblConstr[[#This Row],[Dest Doc]]</f>
        <v>0</v>
      </c>
      <c r="BR23" s="142"/>
      <c r="BS23" s="154"/>
      <c r="BT23" s="94">
        <f ca="1">TblConstr[[#This Row],[Land]]</f>
        <v>110</v>
      </c>
      <c r="BU23" s="159">
        <f ca="1">TblImps[[#This Row],[Time]]</f>
        <v>46047.791666666621</v>
      </c>
      <c r="BV23" s="142"/>
      <c r="CP23" s="142"/>
      <c r="CQ23" s="181">
        <f ca="1">-SUM(TblConstr[[#This Row],[Alc]:[Mas]])+SUM(TblConstr[[#This Row],[Dest Alc]:[Dest Mas]])+Rezone!L23+IF("Ch_"&amp; home_land=TblConstr[[#Headers],[Ch_Plain]],TblConstr[[#This Row],[Home Land]])+IF(TblConstr[[#This Row],[Hour]:[Hour]]&gt;12,OFFSET(TblExplore[[#This Row],[Plains Explore]],-12,0),0)</f>
        <v>0</v>
      </c>
      <c r="CR23" s="182">
        <f ca="1">-SUM(TblConstr[[#This Row],[Ly]:[Hav]])+SUM(TblConstr[[#This Row],[Dest Ly]:[Dest Hav]]) +Rezone!M23 + IF("Ch_"&amp; home_land=TblConstr[[#Headers],[Ch_Forest]],TblConstr[[#This Row],[Home Land]])+IF(TblConstr[[#This Row],[Hour]:[Hour]]&gt;12,OFFSET(TblExplore[[#This Row],[Forest Explore]],-12,0),0)</f>
        <v>0</v>
      </c>
      <c r="CS23" s="359">
        <f ca="1">-SUM(TblConstr[[#This Row],[OM]:[GN]])+SUM(TblConstr[[#This Row],[Dest OM]:[Dest GN]]) +Rezone!N23 + IF("Ch_"&amp; home_land=TblConstr[[#Headers],[Ch_Mountain]],TblConstr[[#This Row],[Home Land]])+IF(TblConstr[[#This Row],[Hour]:[Hour]]&gt;12,OFFSET(TblExplore[[#This Row],[Mountain Explore]],-12,0),0)</f>
        <v>0</v>
      </c>
      <c r="CT23" s="183">
        <f ca="1">-SUM(TblConstr[[#This Row],[Fac]:[Shr]])+SUM(TblConstr[[#This Row],[Dest Fac]:[Dest Shr]]) +Rezone!O23 + IF("Ch_" &amp; home_land=TblConstr[[#Headers],[Ch_Hill]],TblConstr[[#This Row],[Home Land]])+IF(TblConstr[[#This Row],[Hour]:[Hour]]&gt;12,OFFSET(TblExplore[[#This Row],[Hill Explore]],-12,0),0)</f>
        <v>0</v>
      </c>
      <c r="CU23" s="184">
        <f ca="1">-SUM(TblConstr[[#This Row],[Tow]:[WG]])+SUM(TblConstr[[#This Row],[Dest Tow]:[Dest WG]]) +Rezone!P23 + IF("Ch_" &amp; home_land=TblConstr[[#Headers],[Ch_Swamp]],TblConstr[[#This Row],[Home Land]])+IF(TblConstr[[#This Row],[Hour]:[Hour]]&gt;12,OFFSET(TblExplore[[#This Row],[Swamp Explore]],-12,0),0)</f>
        <v>0</v>
      </c>
      <c r="CV23" s="185">
        <f ca="1" xml:space="preserve"> - SUM(TblConstr[[#This Row],[DM]:[Sch]])+SUM(TblConstr[[#This Row],[Dest DM]:[Dest Sch]]) +Rezone!Q23 + IF("Ch_" &amp; home_land=TblConstr[[#Headers],[Ch_Cavern]],TblConstr[[#This Row],[Home Land]])+IF(TblConstr[[#This Row],[Hour]:[Hour]]&gt;12,OFFSET(TblExplore[[#This Row],[Cavern Explore]],-12,0),0)</f>
        <v>0</v>
      </c>
      <c r="CW23" s="186">
        <f ca="1">-TblConstr[[#This Row],[Doc]]+TblConstr[[#This Row],[Dest Doc]] +Rezone!R23 + IF("Ch_" &amp; home_land=TblConstr[[#Headers],[Ch_Water]],TblConstr[[#This Row],[Home Land]])+IF(TblConstr[[#This Row],[Hour]:[Hour]]&gt;12,OFFSET(TblExplore[[#This Row],[Water Explore]],-12,0),0)</f>
        <v>0</v>
      </c>
      <c r="CX23" s="45">
        <f>IF(Explore!S23=1,20) - TblConstr[[#This Row],[Hom]] + TblConstr[[#This Row],[Dest Hom]]</f>
        <v>0</v>
      </c>
      <c r="CY23" s="142"/>
      <c r="CZ23" s="94">
        <f t="shared" ca="1" si="3"/>
        <v>90</v>
      </c>
      <c r="DA23" s="94">
        <f t="shared" ca="1" si="4"/>
        <v>20</v>
      </c>
      <c r="DB23" s="45">
        <f t="shared" ca="1" si="5"/>
        <v>0</v>
      </c>
      <c r="DC23" s="94">
        <f t="shared" ca="1" si="6"/>
        <v>0</v>
      </c>
      <c r="DD23" s="94">
        <f t="shared" ca="1" si="7"/>
        <v>0</v>
      </c>
      <c r="DE23" s="45">
        <f t="shared" ca="1" si="8"/>
        <v>0</v>
      </c>
      <c r="DF23" s="94">
        <f t="shared" ca="1" si="9"/>
        <v>0</v>
      </c>
      <c r="DG23" s="94" cm="1">
        <f t="array" aca="1" ref="DG23" ca="1">INDEX(TblConstr[[Total Plain]:[Total Water]],ROW()-ROW(TblConstr[#Headers]),MATCH("Total "&amp;home_land,TblConstr[[#Headers],[Total Plain]:[Total Water]],0))+TblConstr[[#This Row],[Homes]]</f>
        <v>90</v>
      </c>
      <c r="DH23" s="45">
        <f t="shared" ca="1" si="10"/>
        <v>0</v>
      </c>
      <c r="DI23" s="45">
        <f t="shared" ca="1" si="0"/>
        <v>0</v>
      </c>
      <c r="DJ23" s="45">
        <f t="shared" ca="1" si="1"/>
        <v>0</v>
      </c>
    </row>
    <row r="24" spans="1:114" hidden="1" x14ac:dyDescent="0.2">
      <c r="A24" s="175">
        <f>TblRezone[[#This Row],[Hour]]</f>
        <v>21</v>
      </c>
      <c r="B24" s="176">
        <f ca="1">SUM(TblConstr[[#This Row],[Plain]:[Water]])</f>
        <v>60</v>
      </c>
      <c r="C24" s="177">
        <f ca="1">SUM(TblConstr[[#This Row],[Tot Hom]:[Tot Doc]])</f>
        <v>50</v>
      </c>
      <c r="D24" s="177">
        <f t="shared" si="2"/>
        <v>0</v>
      </c>
      <c r="E24" s="178"/>
      <c r="F24" s="61">
        <f ca="1">TblConstr[[#This Row],[Barren]]+TblConstr[[#This Row],[Buildings]]+TblConstr[[#This Row],[Incoming]]</f>
        <v>110</v>
      </c>
      <c r="G24" s="187">
        <f ca="1">OFFSET(TblConstr[[#This Row],[Plain]],-1,0)+TblConstr[[#This Row],[Ch_Plain]]</f>
        <v>60</v>
      </c>
      <c r="H24" s="182">
        <f ca="1">OFFSET(TblConstr[[#This Row],[Forest]],-1,0)+TblConstr[[#This Row],[Ch_Forest]]</f>
        <v>0</v>
      </c>
      <c r="I24" s="359">
        <f ca="1">OFFSET(TblConstr[[#This Row],[Mountain]],-1,0)+TblConstr[[#This Row],[Ch_Mountain]]</f>
        <v>0</v>
      </c>
      <c r="J24" s="363">
        <f ca="1">OFFSET(TblConstr[[#This Row],[Hill]],-1,0)+TblConstr[[#This Row],[Ch_Hill]]</f>
        <v>0</v>
      </c>
      <c r="K24" s="367">
        <f ca="1">OFFSET(TblConstr[[#This Row],[Swamp]],-1,0)+TblConstr[[#This Row],[Ch_Swamp]]</f>
        <v>0</v>
      </c>
      <c r="L24" s="185">
        <f ca="1">OFFSET(TblConstr[[#This Row],[Cavern]],-1,0)+TblConstr[[#This Row],[Ch_Cavern]]</f>
        <v>0</v>
      </c>
      <c r="M24" s="186">
        <f ca="1">OFFSET(TblConstr[[#This Row],[Water]],-1,0)+TblConstr[[#This Row],[Ch_Water]]</f>
        <v>0</v>
      </c>
      <c r="N24" s="357">
        <f>TblRezone[[#This Row],[Hour]]</f>
        <v>21</v>
      </c>
      <c r="R24" s="94"/>
      <c r="AH24" s="53">
        <f ca="1">TblImps[[#This Row],[Time]]</f>
        <v>46047.833333333285</v>
      </c>
      <c r="AI24" s="180">
        <f ca="1">MIN(25%,(TblConstr[[#This Row],[Tot Fac]]+TblConstr[[#This Row],[Dest Fac]])/(TblConstr[[#This Row],[Land]]-TblExplore[[#This Row],[Land Bonus]]*20))</f>
        <v>0</v>
      </c>
      <c r="AJ24" s="180">
        <f ca="1">MIN(25%,(TblConstr[[#This Row],[Tot Fac]]+TblConstr[[#This Row],[Dest Fac]])/TblConstr[[#This Row],[Land]])</f>
        <v>0</v>
      </c>
      <c r="AK24" s="94">
        <f ca="1">TblProd[[#This Row],[Platinum]]</f>
        <v>80127</v>
      </c>
      <c r="AL24" s="94">
        <f ca="1">TblProd[[#This Row],[Lumber]]</f>
        <v>30477</v>
      </c>
      <c r="AM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4" s="94">
        <f ca="1">ROUNDDOWN( MAX(1 - MIN(facs_constr_factor*TblConstr[[#This Row],[Facs -DB]],facs_constr_max) + tech_1_11*TblTech[[#This Row],[11-1]] + tech_6_3_2*TblTech[[#This Row],[6-3]] + tech_5_2_3*TblTech[[#This Row],[5-2]], 1-global_constr_cap) * TblConstr[[#This Row],[RCPA Lumber]],0)</f>
        <v>48</v>
      </c>
      <c r="AO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4" s="94">
        <f ca="1">ROUNDDOWN( MAX(1 - MIN(facs_constr_factor*TblConstr[[#This Row],[Facs DB]],facs_constr_max) + tech_1_11*TblTech[[#This Row],[1-11]] + tech_6_3_2*TblTech[[#This Row],[6-3]] + tech_5_2_3*TblTech[[#This Row],[5-2]], 1-global_constr_cap) * ROUND((TblConstr[[#This Row],[Land]]-250)*0.285 + 87.5 + 0/4.25,0),0)</f>
        <v>48</v>
      </c>
      <c r="AQ24" s="45">
        <f ca="1">TblConstr[[#This Row],[build -db]]*TblConstr[[#This Row],[CPA Platinum -DB]] + TblConstr[[#This Row],[build db]]*TblConstr[[#This Row],[CPA Platinum DB]]</f>
        <v>0</v>
      </c>
      <c r="AR24" s="45">
        <f ca="1">TblConstr[[#This Row],[build -db]]*TblConstr[[#This Row],[CPA Lumber -DB]] + TblConstr[[#This Row],[build db]]*TblConstr[[#This Row],[CPA Lumber DB]]</f>
        <v>0</v>
      </c>
      <c r="AS24" s="94">
        <f ca="1">MIN(SUM(OFFSET(TblConstr[[#This Row],[Plain]:[Water]],-1,0))+SUM(TblConstr[[#This Row],[Dest Hom]:[Dest Doc]])+IF(TblConstr[[#This Row],[Hour]]&gt;12,SUM(OFFSET(TblExplore[[#This Row],[Plains Explore]:[Water Explore]],-12,0)),0),SUM(TblConstr[[#This Row],[Hom]:[Doc]]))</f>
        <v>0</v>
      </c>
      <c r="AT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4" s="142"/>
      <c r="AV24" s="94">
        <f ca="1">ROUND((TblConstr[[#This Row],[Land]]-250 - IF(TblExplore[[#This Row],[Land Bonus]]&lt;&gt;0,20,0))*1.25 + 850 + 0,0)</f>
        <v>675</v>
      </c>
      <c r="AW24" s="94">
        <f ca="1">ROUND((TblConstr[[#This Row],[Land]]-250 - IF(TblExplore[[#This Row],[Land Bonus]]&lt;&gt;0,20,0))*0.285 + 87.5 + 0/4.25,0)</f>
        <v>48</v>
      </c>
      <c r="AX24" s="154"/>
      <c r="AY24" s="188" cm="1">
        <f t="array" aca="1" ref="AY24" ca="1">IF(TblConstr[[#This Row],[Hour]:[Hour]]&gt;12,OFFSET(TblConstr[[#This Row],[Hom]],-12,0),0)+OFFSET(TblConstr[[#This Row],[Tot Hom]],-1,0)-TblConstr[[#This Row],[Dest Hom]]</f>
        <v>0</v>
      </c>
      <c r="AZ24" s="189" cm="1">
        <f t="array" aca="1" ref="AZ24" ca="1">IF(TblConstr[[#This Row],[Hour]:[Hour]]&gt;12,OFFSET(TblConstr[[#This Row],[Alc]],-12,0),0)+OFFSET(TblConstr[[#This Row],[Tot Alc]],-1,0)-TblConstr[[#This Row],[Dest Alc]]</f>
        <v>0</v>
      </c>
      <c r="BA24" s="189" cm="1">
        <f t="array" aca="1" ref="BA24" ca="1">IF(TblConstr[[#This Row],[Hour]:[Hour]]&gt;12,OFFSET(TblConstr[[#This Row],[Far]],-12,0),0)+OFFSET(TblConstr[[#This Row],[Tot Farm]],-1,0)-TblConstr[[#This Row],[Dest Farm]]</f>
        <v>30</v>
      </c>
      <c r="BB24" s="189" cm="1">
        <f t="array" aca="1" ref="BB24" ca="1">IF(TblConstr[[#This Row],[Hour]:[Hour]]&gt;12,OFFSET(TblConstr[[#This Row],[Smi]],-12,0),0)+OFFSET(TblConstr[[#This Row],[Tot Smi]],-1,0)-TblConstr[[#This Row],[Dest Smi]]</f>
        <v>0</v>
      </c>
      <c r="BC24" s="189" cm="1">
        <f t="array" aca="1" ref="BC24" ca="1">IF(TblConstr[[#This Row],[Hour]:[Hour]]&gt;12,OFFSET(TblConstr[[#This Row],[Mas]],-12,0),0)+OFFSET(TblConstr[[#This Row],[Tot Mas]],-1,0)-TblConstr[[#This Row],[Dest Mas]]</f>
        <v>0</v>
      </c>
      <c r="BD24" s="190" cm="1">
        <f t="array" aca="1" ref="BD24" ca="1">IF(TblConstr[[#This Row],[Hour]:[Hour]]&gt;12,OFFSET(TblConstr[[#This Row],[Ly]],-12,0),0)+OFFSET(TblConstr[[#This Row],[Tot Ly]],-1,0)-TblConstr[[#This Row],[Dest Ly]]</f>
        <v>20</v>
      </c>
      <c r="BE24" s="190" cm="1">
        <f t="array" aca="1" ref="BE24" ca="1">IF(TblConstr[[#This Row],[Hour]:[Hour]]&gt;12,OFFSET(TblConstr[[#This Row],[Hav]],-12,0),0)+OFFSET(TblConstr[[#This Row],[Tot Hav]],-1,0)-TblConstr[[#This Row],[Dest Hav]]</f>
        <v>0</v>
      </c>
      <c r="BF24" s="361" cm="1">
        <f t="array" aca="1" ref="BF24" ca="1">IF(TblConstr[[#This Row],[Hour]:[Hour]]&gt;12,OFFSET(TblConstr[[#This Row],[OM]],-12,0),0)+OFFSET(TblConstr[[#This Row],[Tot OM]],-1,0)-TblConstr[[#This Row],[Dest OM]]</f>
        <v>0</v>
      </c>
      <c r="BG24" s="361" cm="1">
        <f t="array" aca="1" ref="BG24" ca="1">IF(TblConstr[[#This Row],[Hour]:[Hour]]&gt;12,OFFSET(TblConstr[[#This Row],[GN]],-12,0),0)+OFFSET(TblConstr[[#This Row],[Tot GN]],-1,0)-TblConstr[[#This Row],[Dest GN]]</f>
        <v>0</v>
      </c>
      <c r="BH24" s="365" cm="1">
        <f t="array" aca="1" ref="BH24" ca="1">IF(TblConstr[[#This Row],[Hour]:[Hour]]&gt;12,OFFSET(TblConstr[[#This Row],[Fac]],-12,0),0)+OFFSET(TblConstr[[#This Row],[Tot Fac]],-1,0)-TblConstr[[#This Row],[Dest Fac]]</f>
        <v>0</v>
      </c>
      <c r="BI24" s="365" cm="1">
        <f t="array" aca="1" ref="BI24" ca="1">IF(TblConstr[[#This Row],[Hour]:[Hour]]&gt;12,OFFSET(TblConstr[[#This Row],[GT]],-12,0),0)+OFFSET(TblConstr[[#This Row],[Tot GT]],-1,0)-TblConstr[[#This Row],[Dest GT]]</f>
        <v>0</v>
      </c>
      <c r="BJ24" s="365" cm="1">
        <f t="array" aca="1" ref="BJ24" ca="1">IF(TblConstr[[#This Row],[Hour]:[Hour]]&gt;12,OFFSET(TblConstr[[#This Row],[Bar]],-12,0),0)+OFFSET(TblConstr[[#This Row],[Tot Bar]],-1,0)-TblConstr[[#This Row],[Dest Bar]]</f>
        <v>0</v>
      </c>
      <c r="BK24" s="365" cm="1">
        <f t="array" aca="1" ref="BK24" ca="1">IF(TblConstr[[#This Row],[Hour]:[Hour]]&gt;12,OFFSET(TblConstr[[#This Row],[Shr]],-12,0),0)+OFFSET(TblConstr[[#This Row],[Tot Shr]],-1,0)-TblConstr[[#This Row],[Dest Shr]]</f>
        <v>0</v>
      </c>
      <c r="BL24" s="369" cm="1">
        <f t="array" aca="1" ref="BL24" ca="1">IF(TblConstr[[#This Row],[Hour]:[Hour]]&gt;12,OFFSET(TblConstr[[#This Row],[Tow]],-12,0),0)+OFFSET(TblConstr[[#This Row],[Tot Tow]],-1,0)-TblConstr[[#This Row],[Dest Tow]]</f>
        <v>0</v>
      </c>
      <c r="BM24" s="369" cm="1">
        <f t="array" aca="1" ref="BM24" ca="1">IF(TblConstr[[#This Row],[Hour]:[Hour]]&gt;12,OFFSET(TblConstr[[#This Row],[Tem]],-12,0),0)+OFFSET(TblConstr[[#This Row],[Tot Tem]],-1,0)-TblConstr[[#This Row],[Dest Tem]]</f>
        <v>0</v>
      </c>
      <c r="BN24" s="369" cm="1">
        <f t="array" aca="1" ref="BN24" ca="1">IF(TblConstr[[#This Row],[Hour]:[Hour]]&gt;12,OFFSET(TblConstr[[#This Row],[WG]],-12,0),0)+OFFSET(TblConstr[[#This Row],[Tot WG]],-1,0)-TblConstr[[#This Row],[Dest WG]]</f>
        <v>0</v>
      </c>
      <c r="BO24" s="191" cm="1">
        <f t="array" aca="1" ref="BO24" ca="1">IF(TblConstr[[#This Row],[Hour]:[Hour]]&gt;12,OFFSET(TblConstr[[#This Row],[DM]],-12,0),0)+OFFSET(TblConstr[[#This Row],[Tot DM]],-1,0)-TblConstr[[#This Row],[Dest DM]]</f>
        <v>0</v>
      </c>
      <c r="BP24" s="191" cm="1">
        <f t="array" aca="1" ref="BP24" ca="1">IF(TblConstr[[#This Row],[Hour]:[Hour]]&gt;12,OFFSET(TblConstr[[#This Row],[Sch]],-12,0),0)+OFFSET(TblConstr[[#This Row],[Tot Sch]],-1,0)-TblConstr[[#This Row],[Dest Sch]]</f>
        <v>0</v>
      </c>
      <c r="BQ24" s="192" cm="1">
        <f t="array" aca="1" ref="BQ24" ca="1">IF(TblConstr[[#This Row],[Hour]:[Hour]]&gt;12,OFFSET(TblConstr[[#This Row],[Doc]],-12,0),0)+OFFSET(TblConstr[[#This Row],[Tot Doc]],-1,0)-TblConstr[[#This Row],[Dest Doc]]</f>
        <v>0</v>
      </c>
      <c r="BR24" s="142"/>
      <c r="BS24" s="154"/>
      <c r="BT24" s="94">
        <f ca="1">TblConstr[[#This Row],[Land]]</f>
        <v>110</v>
      </c>
      <c r="BU24" s="159">
        <f ca="1">TblImps[[#This Row],[Time]]</f>
        <v>46047.833333333285</v>
      </c>
      <c r="BV24" s="142"/>
      <c r="CP24" s="142"/>
      <c r="CQ24" s="181">
        <f ca="1">-SUM(TblConstr[[#This Row],[Alc]:[Mas]])+SUM(TblConstr[[#This Row],[Dest Alc]:[Dest Mas]])+Rezone!L24+IF("Ch_"&amp; home_land=TblConstr[[#Headers],[Ch_Plain]],TblConstr[[#This Row],[Home Land]])+IF(TblConstr[[#This Row],[Hour]:[Hour]]&gt;12,OFFSET(TblExplore[[#This Row],[Plains Explore]],-12,0),0)</f>
        <v>0</v>
      </c>
      <c r="CR24" s="182">
        <f ca="1">-SUM(TblConstr[[#This Row],[Ly]:[Hav]])+SUM(TblConstr[[#This Row],[Dest Ly]:[Dest Hav]]) +Rezone!M24 + IF("Ch_"&amp; home_land=TblConstr[[#Headers],[Ch_Forest]],TblConstr[[#This Row],[Home Land]])+IF(TblConstr[[#This Row],[Hour]:[Hour]]&gt;12,OFFSET(TblExplore[[#This Row],[Forest Explore]],-12,0),0)</f>
        <v>0</v>
      </c>
      <c r="CS24" s="359">
        <f ca="1">-SUM(TblConstr[[#This Row],[OM]:[GN]])+SUM(TblConstr[[#This Row],[Dest OM]:[Dest GN]]) +Rezone!N24 + IF("Ch_"&amp; home_land=TblConstr[[#Headers],[Ch_Mountain]],TblConstr[[#This Row],[Home Land]])+IF(TblConstr[[#This Row],[Hour]:[Hour]]&gt;12,OFFSET(TblExplore[[#This Row],[Mountain Explore]],-12,0),0)</f>
        <v>0</v>
      </c>
      <c r="CT24" s="183">
        <f ca="1">-SUM(TblConstr[[#This Row],[Fac]:[Shr]])+SUM(TblConstr[[#This Row],[Dest Fac]:[Dest Shr]]) +Rezone!O24 + IF("Ch_" &amp; home_land=TblConstr[[#Headers],[Ch_Hill]],TblConstr[[#This Row],[Home Land]])+IF(TblConstr[[#This Row],[Hour]:[Hour]]&gt;12,OFFSET(TblExplore[[#This Row],[Hill Explore]],-12,0),0)</f>
        <v>0</v>
      </c>
      <c r="CU24" s="184">
        <f ca="1">-SUM(TblConstr[[#This Row],[Tow]:[WG]])+SUM(TblConstr[[#This Row],[Dest Tow]:[Dest WG]]) +Rezone!P24 + IF("Ch_" &amp; home_land=TblConstr[[#Headers],[Ch_Swamp]],TblConstr[[#This Row],[Home Land]])+IF(TblConstr[[#This Row],[Hour]:[Hour]]&gt;12,OFFSET(TblExplore[[#This Row],[Swamp Explore]],-12,0),0)</f>
        <v>0</v>
      </c>
      <c r="CV24" s="185">
        <f ca="1" xml:space="preserve"> - SUM(TblConstr[[#This Row],[DM]:[Sch]])+SUM(TblConstr[[#This Row],[Dest DM]:[Dest Sch]]) +Rezone!Q24 + IF("Ch_" &amp; home_land=TblConstr[[#Headers],[Ch_Cavern]],TblConstr[[#This Row],[Home Land]])+IF(TblConstr[[#This Row],[Hour]:[Hour]]&gt;12,OFFSET(TblExplore[[#This Row],[Cavern Explore]],-12,0),0)</f>
        <v>0</v>
      </c>
      <c r="CW24" s="186">
        <f ca="1">-TblConstr[[#This Row],[Doc]]+TblConstr[[#This Row],[Dest Doc]] +Rezone!R24 + IF("Ch_" &amp; home_land=TblConstr[[#Headers],[Ch_Water]],TblConstr[[#This Row],[Home Land]])+IF(TblConstr[[#This Row],[Hour]:[Hour]]&gt;12,OFFSET(TblExplore[[#This Row],[Water Explore]],-12,0),0)</f>
        <v>0</v>
      </c>
      <c r="CX24" s="45">
        <f>IF(Explore!S24=1,20) - TblConstr[[#This Row],[Hom]] + TblConstr[[#This Row],[Dest Hom]]</f>
        <v>0</v>
      </c>
      <c r="CY24" s="142"/>
      <c r="CZ24" s="94">
        <f t="shared" ca="1" si="3"/>
        <v>90</v>
      </c>
      <c r="DA24" s="94">
        <f t="shared" ca="1" si="4"/>
        <v>20</v>
      </c>
      <c r="DB24" s="45">
        <f t="shared" ca="1" si="5"/>
        <v>0</v>
      </c>
      <c r="DC24" s="94">
        <f t="shared" ca="1" si="6"/>
        <v>0</v>
      </c>
      <c r="DD24" s="94">
        <f t="shared" ca="1" si="7"/>
        <v>0</v>
      </c>
      <c r="DE24" s="45">
        <f t="shared" ca="1" si="8"/>
        <v>0</v>
      </c>
      <c r="DF24" s="94">
        <f t="shared" ca="1" si="9"/>
        <v>0</v>
      </c>
      <c r="DG24" s="94" cm="1">
        <f t="array" aca="1" ref="DG24" ca="1">INDEX(TblConstr[[Total Plain]:[Total Water]],ROW()-ROW(TblConstr[#Headers]),MATCH("Total "&amp;home_land,TblConstr[[#Headers],[Total Plain]:[Total Water]],0))+TblConstr[[#This Row],[Homes]]</f>
        <v>90</v>
      </c>
      <c r="DH24" s="45">
        <f t="shared" ca="1" si="10"/>
        <v>0</v>
      </c>
      <c r="DI24" s="45">
        <f t="shared" ca="1" si="0"/>
        <v>0</v>
      </c>
      <c r="DJ24" s="45">
        <f t="shared" ca="1" si="1"/>
        <v>0</v>
      </c>
    </row>
    <row r="25" spans="1:114" hidden="1" x14ac:dyDescent="0.2">
      <c r="A25" s="175">
        <f>TblRezone[[#This Row],[Hour]]</f>
        <v>22</v>
      </c>
      <c r="B25" s="176">
        <f ca="1">SUM(TblConstr[[#This Row],[Plain]:[Water]])</f>
        <v>60</v>
      </c>
      <c r="C25" s="177">
        <f ca="1">SUM(TblConstr[[#This Row],[Tot Hom]:[Tot Doc]])</f>
        <v>50</v>
      </c>
      <c r="D25" s="177">
        <f t="shared" si="2"/>
        <v>0</v>
      </c>
      <c r="E25" s="178"/>
      <c r="F25" s="61">
        <f ca="1">TblConstr[[#This Row],[Barren]]+TblConstr[[#This Row],[Buildings]]+TblConstr[[#This Row],[Incoming]]</f>
        <v>110</v>
      </c>
      <c r="G25" s="187">
        <f ca="1">OFFSET(TblConstr[[#This Row],[Plain]],-1,0)+TblConstr[[#This Row],[Ch_Plain]]</f>
        <v>60</v>
      </c>
      <c r="H25" s="182">
        <f ca="1">OFFSET(TblConstr[[#This Row],[Forest]],-1,0)+TblConstr[[#This Row],[Ch_Forest]]</f>
        <v>0</v>
      </c>
      <c r="I25" s="359">
        <f ca="1">OFFSET(TblConstr[[#This Row],[Mountain]],-1,0)+TblConstr[[#This Row],[Ch_Mountain]]</f>
        <v>0</v>
      </c>
      <c r="J25" s="363">
        <f ca="1">OFFSET(TblConstr[[#This Row],[Hill]],-1,0)+TblConstr[[#This Row],[Ch_Hill]]</f>
        <v>0</v>
      </c>
      <c r="K25" s="367">
        <f ca="1">OFFSET(TblConstr[[#This Row],[Swamp]],-1,0)+TblConstr[[#This Row],[Ch_Swamp]]</f>
        <v>0</v>
      </c>
      <c r="L25" s="185">
        <f ca="1">OFFSET(TblConstr[[#This Row],[Cavern]],-1,0)+TblConstr[[#This Row],[Ch_Cavern]]</f>
        <v>0</v>
      </c>
      <c r="M25" s="186">
        <f ca="1">OFFSET(TblConstr[[#This Row],[Water]],-1,0)+TblConstr[[#This Row],[Ch_Water]]</f>
        <v>0</v>
      </c>
      <c r="N25" s="357">
        <f>TblRezone[[#This Row],[Hour]]</f>
        <v>22</v>
      </c>
      <c r="R25" s="94"/>
      <c r="AH25" s="53">
        <f ca="1">TblImps[[#This Row],[Time]]</f>
        <v>46047.874999999949</v>
      </c>
      <c r="AI25" s="180">
        <f ca="1">MIN(25%,(TblConstr[[#This Row],[Tot Fac]]+TblConstr[[#This Row],[Dest Fac]])/(TblConstr[[#This Row],[Land]]-TblExplore[[#This Row],[Land Bonus]]*20))</f>
        <v>0</v>
      </c>
      <c r="AJ25" s="180">
        <f ca="1">MIN(25%,(TblConstr[[#This Row],[Tot Fac]]+TblConstr[[#This Row],[Dest Fac]])/TblConstr[[#This Row],[Land]])</f>
        <v>0</v>
      </c>
      <c r="AK25" s="94">
        <f ca="1">TblProd[[#This Row],[Platinum]]</f>
        <v>81936</v>
      </c>
      <c r="AL25" s="94">
        <f ca="1">TblProd[[#This Row],[Lumber]]</f>
        <v>31172</v>
      </c>
      <c r="AM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5" s="94">
        <f ca="1">ROUNDDOWN( MAX(1 - MIN(facs_constr_factor*TblConstr[[#This Row],[Facs -DB]],facs_constr_max) + tech_1_11*TblTech[[#This Row],[11-1]] + tech_6_3_2*TblTech[[#This Row],[6-3]] + tech_5_2_3*TblTech[[#This Row],[5-2]], 1-global_constr_cap) * TblConstr[[#This Row],[RCPA Lumber]],0)</f>
        <v>48</v>
      </c>
      <c r="AO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5" s="94">
        <f ca="1">ROUNDDOWN( MAX(1 - MIN(facs_constr_factor*TblConstr[[#This Row],[Facs DB]],facs_constr_max) + tech_1_11*TblTech[[#This Row],[1-11]] + tech_6_3_2*TblTech[[#This Row],[6-3]] + tech_5_2_3*TblTech[[#This Row],[5-2]], 1-global_constr_cap) * ROUND((TblConstr[[#This Row],[Land]]-250)*0.285 + 87.5 + 0/4.25,0),0)</f>
        <v>48</v>
      </c>
      <c r="AQ25" s="45">
        <f ca="1">TblConstr[[#This Row],[build -db]]*TblConstr[[#This Row],[CPA Platinum -DB]] + TblConstr[[#This Row],[build db]]*TblConstr[[#This Row],[CPA Platinum DB]]</f>
        <v>0</v>
      </c>
      <c r="AR25" s="45">
        <f ca="1">TblConstr[[#This Row],[build -db]]*TblConstr[[#This Row],[CPA Lumber -DB]] + TblConstr[[#This Row],[build db]]*TblConstr[[#This Row],[CPA Lumber DB]]</f>
        <v>0</v>
      </c>
      <c r="AS25" s="94">
        <f ca="1">MIN(SUM(OFFSET(TblConstr[[#This Row],[Plain]:[Water]],-1,0))+SUM(TblConstr[[#This Row],[Dest Hom]:[Dest Doc]])+IF(TblConstr[[#This Row],[Hour]]&gt;12,SUM(OFFSET(TblExplore[[#This Row],[Plains Explore]:[Water Explore]],-12,0)),0),SUM(TblConstr[[#This Row],[Hom]:[Doc]]))</f>
        <v>0</v>
      </c>
      <c r="AT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5" s="142"/>
      <c r="AV25" s="94">
        <f ca="1">ROUND((TblConstr[[#This Row],[Land]]-250 - IF(TblExplore[[#This Row],[Land Bonus]]&lt;&gt;0,20,0))*1.25 + 850 + 0,0)</f>
        <v>675</v>
      </c>
      <c r="AW25" s="94">
        <f ca="1">ROUND((TblConstr[[#This Row],[Land]]-250 - IF(TblExplore[[#This Row],[Land Bonus]]&lt;&gt;0,20,0))*0.285 + 87.5 + 0/4.25,0)</f>
        <v>48</v>
      </c>
      <c r="AX25" s="154"/>
      <c r="AY25" s="188" cm="1">
        <f t="array" aca="1" ref="AY25" ca="1">IF(TblConstr[[#This Row],[Hour]:[Hour]]&gt;12,OFFSET(TblConstr[[#This Row],[Hom]],-12,0),0)+OFFSET(TblConstr[[#This Row],[Tot Hom]],-1,0)-TblConstr[[#This Row],[Dest Hom]]</f>
        <v>0</v>
      </c>
      <c r="AZ25" s="189" cm="1">
        <f t="array" aca="1" ref="AZ25" ca="1">IF(TblConstr[[#This Row],[Hour]:[Hour]]&gt;12,OFFSET(TblConstr[[#This Row],[Alc]],-12,0),0)+OFFSET(TblConstr[[#This Row],[Tot Alc]],-1,0)-TblConstr[[#This Row],[Dest Alc]]</f>
        <v>0</v>
      </c>
      <c r="BA25" s="189" cm="1">
        <f t="array" aca="1" ref="BA25" ca="1">IF(TblConstr[[#This Row],[Hour]:[Hour]]&gt;12,OFFSET(TblConstr[[#This Row],[Far]],-12,0),0)+OFFSET(TblConstr[[#This Row],[Tot Farm]],-1,0)-TblConstr[[#This Row],[Dest Farm]]</f>
        <v>30</v>
      </c>
      <c r="BB25" s="189" cm="1">
        <f t="array" aca="1" ref="BB25" ca="1">IF(TblConstr[[#This Row],[Hour]:[Hour]]&gt;12,OFFSET(TblConstr[[#This Row],[Smi]],-12,0),0)+OFFSET(TblConstr[[#This Row],[Tot Smi]],-1,0)-TblConstr[[#This Row],[Dest Smi]]</f>
        <v>0</v>
      </c>
      <c r="BC25" s="189" cm="1">
        <f t="array" aca="1" ref="BC25" ca="1">IF(TblConstr[[#This Row],[Hour]:[Hour]]&gt;12,OFFSET(TblConstr[[#This Row],[Mas]],-12,0),0)+OFFSET(TblConstr[[#This Row],[Tot Mas]],-1,0)-TblConstr[[#This Row],[Dest Mas]]</f>
        <v>0</v>
      </c>
      <c r="BD25" s="190" cm="1">
        <f t="array" aca="1" ref="BD25" ca="1">IF(TblConstr[[#This Row],[Hour]:[Hour]]&gt;12,OFFSET(TblConstr[[#This Row],[Ly]],-12,0),0)+OFFSET(TblConstr[[#This Row],[Tot Ly]],-1,0)-TblConstr[[#This Row],[Dest Ly]]</f>
        <v>20</v>
      </c>
      <c r="BE25" s="190" cm="1">
        <f t="array" aca="1" ref="BE25" ca="1">IF(TblConstr[[#This Row],[Hour]:[Hour]]&gt;12,OFFSET(TblConstr[[#This Row],[Hav]],-12,0),0)+OFFSET(TblConstr[[#This Row],[Tot Hav]],-1,0)-TblConstr[[#This Row],[Dest Hav]]</f>
        <v>0</v>
      </c>
      <c r="BF25" s="361" cm="1">
        <f t="array" aca="1" ref="BF25" ca="1">IF(TblConstr[[#This Row],[Hour]:[Hour]]&gt;12,OFFSET(TblConstr[[#This Row],[OM]],-12,0),0)+OFFSET(TblConstr[[#This Row],[Tot OM]],-1,0)-TblConstr[[#This Row],[Dest OM]]</f>
        <v>0</v>
      </c>
      <c r="BG25" s="361" cm="1">
        <f t="array" aca="1" ref="BG25" ca="1">IF(TblConstr[[#This Row],[Hour]:[Hour]]&gt;12,OFFSET(TblConstr[[#This Row],[GN]],-12,0),0)+OFFSET(TblConstr[[#This Row],[Tot GN]],-1,0)-TblConstr[[#This Row],[Dest GN]]</f>
        <v>0</v>
      </c>
      <c r="BH25" s="365" cm="1">
        <f t="array" aca="1" ref="BH25" ca="1">IF(TblConstr[[#This Row],[Hour]:[Hour]]&gt;12,OFFSET(TblConstr[[#This Row],[Fac]],-12,0),0)+OFFSET(TblConstr[[#This Row],[Tot Fac]],-1,0)-TblConstr[[#This Row],[Dest Fac]]</f>
        <v>0</v>
      </c>
      <c r="BI25" s="365" cm="1">
        <f t="array" aca="1" ref="BI25" ca="1">IF(TblConstr[[#This Row],[Hour]:[Hour]]&gt;12,OFFSET(TblConstr[[#This Row],[GT]],-12,0),0)+OFFSET(TblConstr[[#This Row],[Tot GT]],-1,0)-TblConstr[[#This Row],[Dest GT]]</f>
        <v>0</v>
      </c>
      <c r="BJ25" s="365" cm="1">
        <f t="array" aca="1" ref="BJ25" ca="1">IF(TblConstr[[#This Row],[Hour]:[Hour]]&gt;12,OFFSET(TblConstr[[#This Row],[Bar]],-12,0),0)+OFFSET(TblConstr[[#This Row],[Tot Bar]],-1,0)-TblConstr[[#This Row],[Dest Bar]]</f>
        <v>0</v>
      </c>
      <c r="BK25" s="365" cm="1">
        <f t="array" aca="1" ref="BK25" ca="1">IF(TblConstr[[#This Row],[Hour]:[Hour]]&gt;12,OFFSET(TblConstr[[#This Row],[Shr]],-12,0),0)+OFFSET(TblConstr[[#This Row],[Tot Shr]],-1,0)-TblConstr[[#This Row],[Dest Shr]]</f>
        <v>0</v>
      </c>
      <c r="BL25" s="369" cm="1">
        <f t="array" aca="1" ref="BL25" ca="1">IF(TblConstr[[#This Row],[Hour]:[Hour]]&gt;12,OFFSET(TblConstr[[#This Row],[Tow]],-12,0),0)+OFFSET(TblConstr[[#This Row],[Tot Tow]],-1,0)-TblConstr[[#This Row],[Dest Tow]]</f>
        <v>0</v>
      </c>
      <c r="BM25" s="369" cm="1">
        <f t="array" aca="1" ref="BM25" ca="1">IF(TblConstr[[#This Row],[Hour]:[Hour]]&gt;12,OFFSET(TblConstr[[#This Row],[Tem]],-12,0),0)+OFFSET(TblConstr[[#This Row],[Tot Tem]],-1,0)-TblConstr[[#This Row],[Dest Tem]]</f>
        <v>0</v>
      </c>
      <c r="BN25" s="369" cm="1">
        <f t="array" aca="1" ref="BN25" ca="1">IF(TblConstr[[#This Row],[Hour]:[Hour]]&gt;12,OFFSET(TblConstr[[#This Row],[WG]],-12,0),0)+OFFSET(TblConstr[[#This Row],[Tot WG]],-1,0)-TblConstr[[#This Row],[Dest WG]]</f>
        <v>0</v>
      </c>
      <c r="BO25" s="191" cm="1">
        <f t="array" aca="1" ref="BO25" ca="1">IF(TblConstr[[#This Row],[Hour]:[Hour]]&gt;12,OFFSET(TblConstr[[#This Row],[DM]],-12,0),0)+OFFSET(TblConstr[[#This Row],[Tot DM]],-1,0)-TblConstr[[#This Row],[Dest DM]]</f>
        <v>0</v>
      </c>
      <c r="BP25" s="191" cm="1">
        <f t="array" aca="1" ref="BP25" ca="1">IF(TblConstr[[#This Row],[Hour]:[Hour]]&gt;12,OFFSET(TblConstr[[#This Row],[Sch]],-12,0),0)+OFFSET(TblConstr[[#This Row],[Tot Sch]],-1,0)-TblConstr[[#This Row],[Dest Sch]]</f>
        <v>0</v>
      </c>
      <c r="BQ25" s="192" cm="1">
        <f t="array" aca="1" ref="BQ25" ca="1">IF(TblConstr[[#This Row],[Hour]:[Hour]]&gt;12,OFFSET(TblConstr[[#This Row],[Doc]],-12,0),0)+OFFSET(TblConstr[[#This Row],[Tot Doc]],-1,0)-TblConstr[[#This Row],[Dest Doc]]</f>
        <v>0</v>
      </c>
      <c r="BR25" s="142"/>
      <c r="BS25" s="154"/>
      <c r="BT25" s="94">
        <f ca="1">TblConstr[[#This Row],[Land]]</f>
        <v>110</v>
      </c>
      <c r="BU25" s="159">
        <f ca="1">TblImps[[#This Row],[Time]]</f>
        <v>46047.874999999949</v>
      </c>
      <c r="BV25" s="142"/>
      <c r="CP25" s="142"/>
      <c r="CQ25" s="181">
        <f ca="1">-SUM(TblConstr[[#This Row],[Alc]:[Mas]])+SUM(TblConstr[[#This Row],[Dest Alc]:[Dest Mas]])+Rezone!L25+IF("Ch_"&amp; home_land=TblConstr[[#Headers],[Ch_Plain]],TblConstr[[#This Row],[Home Land]])+IF(TblConstr[[#This Row],[Hour]:[Hour]]&gt;12,OFFSET(TblExplore[[#This Row],[Plains Explore]],-12,0),0)</f>
        <v>0</v>
      </c>
      <c r="CR25" s="182">
        <f ca="1">-SUM(TblConstr[[#This Row],[Ly]:[Hav]])+SUM(TblConstr[[#This Row],[Dest Ly]:[Dest Hav]]) +Rezone!M25 + IF("Ch_"&amp; home_land=TblConstr[[#Headers],[Ch_Forest]],TblConstr[[#This Row],[Home Land]])+IF(TblConstr[[#This Row],[Hour]:[Hour]]&gt;12,OFFSET(TblExplore[[#This Row],[Forest Explore]],-12,0),0)</f>
        <v>0</v>
      </c>
      <c r="CS25" s="359">
        <f ca="1">-SUM(TblConstr[[#This Row],[OM]:[GN]])+SUM(TblConstr[[#This Row],[Dest OM]:[Dest GN]]) +Rezone!N25 + IF("Ch_"&amp; home_land=TblConstr[[#Headers],[Ch_Mountain]],TblConstr[[#This Row],[Home Land]])+IF(TblConstr[[#This Row],[Hour]:[Hour]]&gt;12,OFFSET(TblExplore[[#This Row],[Mountain Explore]],-12,0),0)</f>
        <v>0</v>
      </c>
      <c r="CT25" s="183">
        <f ca="1">-SUM(TblConstr[[#This Row],[Fac]:[Shr]])+SUM(TblConstr[[#This Row],[Dest Fac]:[Dest Shr]]) +Rezone!O25 + IF("Ch_" &amp; home_land=TblConstr[[#Headers],[Ch_Hill]],TblConstr[[#This Row],[Home Land]])+IF(TblConstr[[#This Row],[Hour]:[Hour]]&gt;12,OFFSET(TblExplore[[#This Row],[Hill Explore]],-12,0),0)</f>
        <v>0</v>
      </c>
      <c r="CU25" s="184">
        <f ca="1">-SUM(TblConstr[[#This Row],[Tow]:[WG]])+SUM(TblConstr[[#This Row],[Dest Tow]:[Dest WG]]) +Rezone!P25 + IF("Ch_" &amp; home_land=TblConstr[[#Headers],[Ch_Swamp]],TblConstr[[#This Row],[Home Land]])+IF(TblConstr[[#This Row],[Hour]:[Hour]]&gt;12,OFFSET(TblExplore[[#This Row],[Swamp Explore]],-12,0),0)</f>
        <v>0</v>
      </c>
      <c r="CV25" s="185">
        <f ca="1" xml:space="preserve"> - SUM(TblConstr[[#This Row],[DM]:[Sch]])+SUM(TblConstr[[#This Row],[Dest DM]:[Dest Sch]]) +Rezone!Q25 + IF("Ch_" &amp; home_land=TblConstr[[#Headers],[Ch_Cavern]],TblConstr[[#This Row],[Home Land]])+IF(TblConstr[[#This Row],[Hour]:[Hour]]&gt;12,OFFSET(TblExplore[[#This Row],[Cavern Explore]],-12,0),0)</f>
        <v>0</v>
      </c>
      <c r="CW25" s="186">
        <f ca="1">-TblConstr[[#This Row],[Doc]]+TblConstr[[#This Row],[Dest Doc]] +Rezone!R25 + IF("Ch_" &amp; home_land=TblConstr[[#Headers],[Ch_Water]],TblConstr[[#This Row],[Home Land]])+IF(TblConstr[[#This Row],[Hour]:[Hour]]&gt;12,OFFSET(TblExplore[[#This Row],[Water Explore]],-12,0),0)</f>
        <v>0</v>
      </c>
      <c r="CX25" s="45">
        <f>IF(Explore!S25=1,20) - TblConstr[[#This Row],[Hom]] + TblConstr[[#This Row],[Dest Hom]]</f>
        <v>0</v>
      </c>
      <c r="CY25" s="142"/>
      <c r="CZ25" s="94">
        <f t="shared" ca="1" si="3"/>
        <v>90</v>
      </c>
      <c r="DA25" s="94">
        <f t="shared" ca="1" si="4"/>
        <v>20</v>
      </c>
      <c r="DB25" s="45">
        <f t="shared" ca="1" si="5"/>
        <v>0</v>
      </c>
      <c r="DC25" s="94">
        <f t="shared" ca="1" si="6"/>
        <v>0</v>
      </c>
      <c r="DD25" s="94">
        <f t="shared" ca="1" si="7"/>
        <v>0</v>
      </c>
      <c r="DE25" s="45">
        <f t="shared" ca="1" si="8"/>
        <v>0</v>
      </c>
      <c r="DF25" s="94">
        <f t="shared" ca="1" si="9"/>
        <v>0</v>
      </c>
      <c r="DG25" s="94" cm="1">
        <f t="array" aca="1" ref="DG25" ca="1">INDEX(TblConstr[[Total Plain]:[Total Water]],ROW()-ROW(TblConstr[#Headers]),MATCH("Total "&amp;home_land,TblConstr[[#Headers],[Total Plain]:[Total Water]],0))+TblConstr[[#This Row],[Homes]]</f>
        <v>90</v>
      </c>
      <c r="DH25" s="45">
        <f t="shared" ca="1" si="10"/>
        <v>0</v>
      </c>
      <c r="DI25" s="45">
        <f t="shared" ca="1" si="0"/>
        <v>0</v>
      </c>
      <c r="DJ25" s="45">
        <f t="shared" ca="1" si="1"/>
        <v>0</v>
      </c>
    </row>
    <row r="26" spans="1:114" hidden="1" x14ac:dyDescent="0.2">
      <c r="A26" s="175">
        <f>TblRezone[[#This Row],[Hour]]</f>
        <v>23</v>
      </c>
      <c r="B26" s="176">
        <f ca="1">SUM(TblConstr[[#This Row],[Plain]:[Water]])</f>
        <v>60</v>
      </c>
      <c r="C26" s="177">
        <f ca="1">SUM(TblConstr[[#This Row],[Tot Hom]:[Tot Doc]])</f>
        <v>50</v>
      </c>
      <c r="D26" s="177">
        <f>SUM(O15:AG26)</f>
        <v>0</v>
      </c>
      <c r="E26" s="178"/>
      <c r="F26" s="61">
        <f ca="1">TblConstr[[#This Row],[Barren]]+TblConstr[[#This Row],[Buildings]]+TblConstr[[#This Row],[Incoming]]</f>
        <v>110</v>
      </c>
      <c r="G26" s="187">
        <f ca="1">OFFSET(TblConstr[[#This Row],[Plain]],-1,0)+TblConstr[[#This Row],[Ch_Plain]]</f>
        <v>60</v>
      </c>
      <c r="H26" s="182">
        <f ca="1">OFFSET(TblConstr[[#This Row],[Forest]],-1,0)+TblConstr[[#This Row],[Ch_Forest]]</f>
        <v>0</v>
      </c>
      <c r="I26" s="359">
        <f ca="1">OFFSET(TblConstr[[#This Row],[Mountain]],-1,0)+TblConstr[[#This Row],[Ch_Mountain]]</f>
        <v>0</v>
      </c>
      <c r="J26" s="363">
        <f ca="1">OFFSET(TblConstr[[#This Row],[Hill]],-1,0)+TblConstr[[#This Row],[Ch_Hill]]</f>
        <v>0</v>
      </c>
      <c r="K26" s="367">
        <f ca="1">OFFSET(TblConstr[[#This Row],[Swamp]],-1,0)+TblConstr[[#This Row],[Ch_Swamp]]</f>
        <v>0</v>
      </c>
      <c r="L26" s="185">
        <f ca="1">OFFSET(TblConstr[[#This Row],[Cavern]],-1,0)+TblConstr[[#This Row],[Ch_Cavern]]</f>
        <v>0</v>
      </c>
      <c r="M26" s="186">
        <f ca="1">OFFSET(TblConstr[[#This Row],[Water]],-1,0)+TblConstr[[#This Row],[Ch_Water]]</f>
        <v>0</v>
      </c>
      <c r="N26" s="357">
        <f>TblRezone[[#This Row],[Hour]]</f>
        <v>23</v>
      </c>
      <c r="R26" s="94"/>
      <c r="AH26" s="53">
        <f ca="1">TblImps[[#This Row],[Time]]</f>
        <v>46047.916666666613</v>
      </c>
      <c r="AI26" s="180">
        <f ca="1">MIN(25%,(TblConstr[[#This Row],[Tot Fac]]+TblConstr[[#This Row],[Dest Fac]])/(TblConstr[[#This Row],[Land]]-TblExplore[[#This Row],[Land Bonus]]*20))</f>
        <v>0</v>
      </c>
      <c r="AJ26" s="180">
        <f ca="1">MIN(25%,(TblConstr[[#This Row],[Tot Fac]]+TblConstr[[#This Row],[Dest Fac]])/TblConstr[[#This Row],[Land]])</f>
        <v>0</v>
      </c>
      <c r="AK26" s="94">
        <f ca="1">TblProd[[#This Row],[Platinum]]</f>
        <v>83780</v>
      </c>
      <c r="AL26" s="94">
        <f ca="1">TblProd[[#This Row],[Lumber]]</f>
        <v>31860</v>
      </c>
      <c r="AM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6" s="94">
        <f ca="1">ROUNDDOWN( MAX(1 - MIN(facs_constr_factor*TblConstr[[#This Row],[Facs -DB]],facs_constr_max) + tech_1_11*TblTech[[#This Row],[11-1]] + tech_6_3_2*TblTech[[#This Row],[6-3]] + tech_5_2_3*TblTech[[#This Row],[5-2]], 1-global_constr_cap) * TblConstr[[#This Row],[RCPA Lumber]],0)</f>
        <v>48</v>
      </c>
      <c r="AO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6" s="94">
        <f ca="1">ROUNDDOWN( MAX(1 - MIN(facs_constr_factor*TblConstr[[#This Row],[Facs DB]],facs_constr_max) + tech_1_11*TblTech[[#This Row],[1-11]] + tech_6_3_2*TblTech[[#This Row],[6-3]] + tech_5_2_3*TblTech[[#This Row],[5-2]], 1-global_constr_cap) * ROUND((TblConstr[[#This Row],[Land]]-250)*0.285 + 87.5 + 0/4.25,0),0)</f>
        <v>48</v>
      </c>
      <c r="AQ26" s="45">
        <f ca="1">TblConstr[[#This Row],[build -db]]*TblConstr[[#This Row],[CPA Platinum -DB]] + TblConstr[[#This Row],[build db]]*TblConstr[[#This Row],[CPA Platinum DB]]</f>
        <v>0</v>
      </c>
      <c r="AR26" s="45">
        <f ca="1">TblConstr[[#This Row],[build -db]]*TblConstr[[#This Row],[CPA Lumber -DB]] + TblConstr[[#This Row],[build db]]*TblConstr[[#This Row],[CPA Lumber DB]]</f>
        <v>0</v>
      </c>
      <c r="AS26" s="94">
        <f ca="1">MIN(SUM(OFFSET(TblConstr[[#This Row],[Plain]:[Water]],-1,0))+SUM(TblConstr[[#This Row],[Dest Hom]:[Dest Doc]])+IF(TblConstr[[#This Row],[Hour]]&gt;12,SUM(OFFSET(TblExplore[[#This Row],[Plains Explore]:[Water Explore]],-12,0)),0),SUM(TblConstr[[#This Row],[Hom]:[Doc]]))</f>
        <v>0</v>
      </c>
      <c r="AT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6" s="142"/>
      <c r="AV26" s="94">
        <f ca="1">ROUND((TblConstr[[#This Row],[Land]]-250 - IF(TblExplore[[#This Row],[Land Bonus]]&lt;&gt;0,20,0))*1.25 + 850 + 0,0)</f>
        <v>675</v>
      </c>
      <c r="AW26" s="94">
        <f ca="1">ROUND((TblConstr[[#This Row],[Land]]-250 - IF(TblExplore[[#This Row],[Land Bonus]]&lt;&gt;0,20,0))*0.285 + 87.5 + 0/4.25,0)</f>
        <v>48</v>
      </c>
      <c r="AX26" s="154"/>
      <c r="AY26" s="188" cm="1">
        <f t="array" aca="1" ref="AY26" ca="1">IF(TblConstr[[#This Row],[Hour]:[Hour]]&gt;12,OFFSET(TblConstr[[#This Row],[Hom]],-12,0),0)+OFFSET(TblConstr[[#This Row],[Tot Hom]],-1,0)-TblConstr[[#This Row],[Dest Hom]]</f>
        <v>0</v>
      </c>
      <c r="AZ26" s="189" cm="1">
        <f t="array" aca="1" ref="AZ26" ca="1">IF(TblConstr[[#This Row],[Hour]:[Hour]]&gt;12,OFFSET(TblConstr[[#This Row],[Alc]],-12,0),0)+OFFSET(TblConstr[[#This Row],[Tot Alc]],-1,0)-TblConstr[[#This Row],[Dest Alc]]</f>
        <v>0</v>
      </c>
      <c r="BA26" s="189" cm="1">
        <f t="array" aca="1" ref="BA26" ca="1">IF(TblConstr[[#This Row],[Hour]:[Hour]]&gt;12,OFFSET(TblConstr[[#This Row],[Far]],-12,0),0)+OFFSET(TblConstr[[#This Row],[Tot Farm]],-1,0)-TblConstr[[#This Row],[Dest Farm]]</f>
        <v>30</v>
      </c>
      <c r="BB26" s="189" cm="1">
        <f t="array" aca="1" ref="BB26" ca="1">IF(TblConstr[[#This Row],[Hour]:[Hour]]&gt;12,OFFSET(TblConstr[[#This Row],[Smi]],-12,0),0)+OFFSET(TblConstr[[#This Row],[Tot Smi]],-1,0)-TblConstr[[#This Row],[Dest Smi]]</f>
        <v>0</v>
      </c>
      <c r="BC26" s="189" cm="1">
        <f t="array" aca="1" ref="BC26" ca="1">IF(TblConstr[[#This Row],[Hour]:[Hour]]&gt;12,OFFSET(TblConstr[[#This Row],[Mas]],-12,0),0)+OFFSET(TblConstr[[#This Row],[Tot Mas]],-1,0)-TblConstr[[#This Row],[Dest Mas]]</f>
        <v>0</v>
      </c>
      <c r="BD26" s="190" cm="1">
        <f t="array" aca="1" ref="BD26" ca="1">IF(TblConstr[[#This Row],[Hour]:[Hour]]&gt;12,OFFSET(TblConstr[[#This Row],[Ly]],-12,0),0)+OFFSET(TblConstr[[#This Row],[Tot Ly]],-1,0)-TblConstr[[#This Row],[Dest Ly]]</f>
        <v>20</v>
      </c>
      <c r="BE26" s="190" cm="1">
        <f t="array" aca="1" ref="BE26" ca="1">IF(TblConstr[[#This Row],[Hour]:[Hour]]&gt;12,OFFSET(TblConstr[[#This Row],[Hav]],-12,0),0)+OFFSET(TblConstr[[#This Row],[Tot Hav]],-1,0)-TblConstr[[#This Row],[Dest Hav]]</f>
        <v>0</v>
      </c>
      <c r="BF26" s="361" cm="1">
        <f t="array" aca="1" ref="BF26" ca="1">IF(TblConstr[[#This Row],[Hour]:[Hour]]&gt;12,OFFSET(TblConstr[[#This Row],[OM]],-12,0),0)+OFFSET(TblConstr[[#This Row],[Tot OM]],-1,0)-TblConstr[[#This Row],[Dest OM]]</f>
        <v>0</v>
      </c>
      <c r="BG26" s="361" cm="1">
        <f t="array" aca="1" ref="BG26" ca="1">IF(TblConstr[[#This Row],[Hour]:[Hour]]&gt;12,OFFSET(TblConstr[[#This Row],[GN]],-12,0),0)+OFFSET(TblConstr[[#This Row],[Tot GN]],-1,0)-TblConstr[[#This Row],[Dest GN]]</f>
        <v>0</v>
      </c>
      <c r="BH26" s="365" cm="1">
        <f t="array" aca="1" ref="BH26" ca="1">IF(TblConstr[[#This Row],[Hour]:[Hour]]&gt;12,OFFSET(TblConstr[[#This Row],[Fac]],-12,0),0)+OFFSET(TblConstr[[#This Row],[Tot Fac]],-1,0)-TblConstr[[#This Row],[Dest Fac]]</f>
        <v>0</v>
      </c>
      <c r="BI26" s="365" cm="1">
        <f t="array" aca="1" ref="BI26" ca="1">IF(TblConstr[[#This Row],[Hour]:[Hour]]&gt;12,OFFSET(TblConstr[[#This Row],[GT]],-12,0),0)+OFFSET(TblConstr[[#This Row],[Tot GT]],-1,0)-TblConstr[[#This Row],[Dest GT]]</f>
        <v>0</v>
      </c>
      <c r="BJ26" s="365" cm="1">
        <f t="array" aca="1" ref="BJ26" ca="1">IF(TblConstr[[#This Row],[Hour]:[Hour]]&gt;12,OFFSET(TblConstr[[#This Row],[Bar]],-12,0),0)+OFFSET(TblConstr[[#This Row],[Tot Bar]],-1,0)-TblConstr[[#This Row],[Dest Bar]]</f>
        <v>0</v>
      </c>
      <c r="BK26" s="365" cm="1">
        <f t="array" aca="1" ref="BK26" ca="1">IF(TblConstr[[#This Row],[Hour]:[Hour]]&gt;12,OFFSET(TblConstr[[#This Row],[Shr]],-12,0),0)+OFFSET(TblConstr[[#This Row],[Tot Shr]],-1,0)-TblConstr[[#This Row],[Dest Shr]]</f>
        <v>0</v>
      </c>
      <c r="BL26" s="369" cm="1">
        <f t="array" aca="1" ref="BL26" ca="1">IF(TblConstr[[#This Row],[Hour]:[Hour]]&gt;12,OFFSET(TblConstr[[#This Row],[Tow]],-12,0),0)+OFFSET(TblConstr[[#This Row],[Tot Tow]],-1,0)-TblConstr[[#This Row],[Dest Tow]]</f>
        <v>0</v>
      </c>
      <c r="BM26" s="369" cm="1">
        <f t="array" aca="1" ref="BM26" ca="1">IF(TblConstr[[#This Row],[Hour]:[Hour]]&gt;12,OFFSET(TblConstr[[#This Row],[Tem]],-12,0),0)+OFFSET(TblConstr[[#This Row],[Tot Tem]],-1,0)-TblConstr[[#This Row],[Dest Tem]]</f>
        <v>0</v>
      </c>
      <c r="BN26" s="369" cm="1">
        <f t="array" aca="1" ref="BN26" ca="1">IF(TblConstr[[#This Row],[Hour]:[Hour]]&gt;12,OFFSET(TblConstr[[#This Row],[WG]],-12,0),0)+OFFSET(TblConstr[[#This Row],[Tot WG]],-1,0)-TblConstr[[#This Row],[Dest WG]]</f>
        <v>0</v>
      </c>
      <c r="BO26" s="191" cm="1">
        <f t="array" aca="1" ref="BO26" ca="1">IF(TblConstr[[#This Row],[Hour]:[Hour]]&gt;12,OFFSET(TblConstr[[#This Row],[DM]],-12,0),0)+OFFSET(TblConstr[[#This Row],[Tot DM]],-1,0)-TblConstr[[#This Row],[Dest DM]]</f>
        <v>0</v>
      </c>
      <c r="BP26" s="191" cm="1">
        <f t="array" aca="1" ref="BP26" ca="1">IF(TblConstr[[#This Row],[Hour]:[Hour]]&gt;12,OFFSET(TblConstr[[#This Row],[Sch]],-12,0),0)+OFFSET(TblConstr[[#This Row],[Tot Sch]],-1,0)-TblConstr[[#This Row],[Dest Sch]]</f>
        <v>0</v>
      </c>
      <c r="BQ26" s="192" cm="1">
        <f t="array" aca="1" ref="BQ26" ca="1">IF(TblConstr[[#This Row],[Hour]:[Hour]]&gt;12,OFFSET(TblConstr[[#This Row],[Doc]],-12,0),0)+OFFSET(TblConstr[[#This Row],[Tot Doc]],-1,0)-TblConstr[[#This Row],[Dest Doc]]</f>
        <v>0</v>
      </c>
      <c r="BR26" s="142"/>
      <c r="BS26" s="154"/>
      <c r="BT26" s="94">
        <f ca="1">TblConstr[[#This Row],[Land]]</f>
        <v>110</v>
      </c>
      <c r="BU26" s="159">
        <f ca="1">TblImps[[#This Row],[Time]]</f>
        <v>46047.916666666613</v>
      </c>
      <c r="BV26" s="142"/>
      <c r="CP26" s="142"/>
      <c r="CQ26" s="181">
        <f ca="1">-SUM(TblConstr[[#This Row],[Alc]:[Mas]])+SUM(TblConstr[[#This Row],[Dest Alc]:[Dest Mas]])+Rezone!L26+IF("Ch_"&amp; home_land=TblConstr[[#Headers],[Ch_Plain]],TblConstr[[#This Row],[Home Land]])+IF(TblConstr[[#This Row],[Hour]:[Hour]]&gt;12,OFFSET(TblExplore[[#This Row],[Plains Explore]],-12,0),0)</f>
        <v>0</v>
      </c>
      <c r="CR26" s="182">
        <f ca="1">-SUM(TblConstr[[#This Row],[Ly]:[Hav]])+SUM(TblConstr[[#This Row],[Dest Ly]:[Dest Hav]]) +Rezone!M26 + IF("Ch_"&amp; home_land=TblConstr[[#Headers],[Ch_Forest]],TblConstr[[#This Row],[Home Land]])+IF(TblConstr[[#This Row],[Hour]:[Hour]]&gt;12,OFFSET(TblExplore[[#This Row],[Forest Explore]],-12,0),0)</f>
        <v>0</v>
      </c>
      <c r="CS26" s="359">
        <f ca="1">-SUM(TblConstr[[#This Row],[OM]:[GN]])+SUM(TblConstr[[#This Row],[Dest OM]:[Dest GN]]) +Rezone!N26 + IF("Ch_"&amp; home_land=TblConstr[[#Headers],[Ch_Mountain]],TblConstr[[#This Row],[Home Land]])+IF(TblConstr[[#This Row],[Hour]:[Hour]]&gt;12,OFFSET(TblExplore[[#This Row],[Mountain Explore]],-12,0),0)</f>
        <v>0</v>
      </c>
      <c r="CT26" s="183">
        <f ca="1">-SUM(TblConstr[[#This Row],[Fac]:[Shr]])+SUM(TblConstr[[#This Row],[Dest Fac]:[Dest Shr]]) +Rezone!O26 + IF("Ch_" &amp; home_land=TblConstr[[#Headers],[Ch_Hill]],TblConstr[[#This Row],[Home Land]])+IF(TblConstr[[#This Row],[Hour]:[Hour]]&gt;12,OFFSET(TblExplore[[#This Row],[Hill Explore]],-12,0),0)</f>
        <v>0</v>
      </c>
      <c r="CU26" s="184">
        <f ca="1">-SUM(TblConstr[[#This Row],[Tow]:[WG]])+SUM(TblConstr[[#This Row],[Dest Tow]:[Dest WG]]) +Rezone!P26 + IF("Ch_" &amp; home_land=TblConstr[[#Headers],[Ch_Swamp]],TblConstr[[#This Row],[Home Land]])+IF(TblConstr[[#This Row],[Hour]:[Hour]]&gt;12,OFFSET(TblExplore[[#This Row],[Swamp Explore]],-12,0),0)</f>
        <v>0</v>
      </c>
      <c r="CV26" s="185">
        <f ca="1" xml:space="preserve"> - SUM(TblConstr[[#This Row],[DM]:[Sch]])+SUM(TblConstr[[#This Row],[Dest DM]:[Dest Sch]]) +Rezone!Q26 + IF("Ch_" &amp; home_land=TblConstr[[#Headers],[Ch_Cavern]],TblConstr[[#This Row],[Home Land]])+IF(TblConstr[[#This Row],[Hour]:[Hour]]&gt;12,OFFSET(TblExplore[[#This Row],[Cavern Explore]],-12,0),0)</f>
        <v>0</v>
      </c>
      <c r="CW26" s="186">
        <f ca="1">-TblConstr[[#This Row],[Doc]]+TblConstr[[#This Row],[Dest Doc]] +Rezone!R26 + IF("Ch_" &amp; home_land=TblConstr[[#Headers],[Ch_Water]],TblConstr[[#This Row],[Home Land]])+IF(TblConstr[[#This Row],[Hour]:[Hour]]&gt;12,OFFSET(TblExplore[[#This Row],[Water Explore]],-12,0),0)</f>
        <v>0</v>
      </c>
      <c r="CX26" s="45">
        <f>IF(Explore!S26=1,20) - TblConstr[[#This Row],[Hom]] + TblConstr[[#This Row],[Dest Hom]]</f>
        <v>0</v>
      </c>
      <c r="CY26" s="142"/>
      <c r="CZ26" s="94">
        <f t="shared" ca="1" si="3"/>
        <v>90</v>
      </c>
      <c r="DA26" s="94">
        <f t="shared" ca="1" si="4"/>
        <v>20</v>
      </c>
      <c r="DB26" s="45">
        <f t="shared" ca="1" si="5"/>
        <v>0</v>
      </c>
      <c r="DC26" s="94">
        <f t="shared" ca="1" si="6"/>
        <v>0</v>
      </c>
      <c r="DD26" s="94">
        <f t="shared" ca="1" si="7"/>
        <v>0</v>
      </c>
      <c r="DE26" s="45">
        <f t="shared" ca="1" si="8"/>
        <v>0</v>
      </c>
      <c r="DF26" s="94">
        <f t="shared" ca="1" si="9"/>
        <v>0</v>
      </c>
      <c r="DG26" s="94" cm="1">
        <f t="array" aca="1" ref="DG26" ca="1">INDEX(TblConstr[[Total Plain]:[Total Water]],ROW()-ROW(TblConstr[#Headers]),MATCH("Total "&amp;home_land,TblConstr[[#Headers],[Total Plain]:[Total Water]],0))+TblConstr[[#This Row],[Homes]]</f>
        <v>90</v>
      </c>
      <c r="DH26" s="45">
        <f t="shared" ca="1" si="10"/>
        <v>0</v>
      </c>
      <c r="DI26" s="45">
        <f t="shared" ca="1" si="0"/>
        <v>0</v>
      </c>
      <c r="DJ26" s="45">
        <f t="shared" ca="1" si="1"/>
        <v>0</v>
      </c>
    </row>
    <row r="27" spans="1:114" hidden="1" x14ac:dyDescent="0.2">
      <c r="A27" s="175">
        <f>TblRezone[[#This Row],[Hour]]</f>
        <v>24</v>
      </c>
      <c r="B27" s="176">
        <f ca="1">SUM(TblConstr[[#This Row],[Plain]:[Water]])</f>
        <v>60</v>
      </c>
      <c r="C27" s="177">
        <f ca="1">SUM(TblConstr[[#This Row],[Tot Hom]:[Tot Doc]])</f>
        <v>50</v>
      </c>
      <c r="D27" s="177">
        <f t="shared" si="2"/>
        <v>0</v>
      </c>
      <c r="E27" s="178"/>
      <c r="F27" s="61">
        <f ca="1">TblConstr[[#This Row],[Barren]]+TblConstr[[#This Row],[Buildings]]+TblConstr[[#This Row],[Incoming]]</f>
        <v>110</v>
      </c>
      <c r="G27" s="187">
        <f ca="1">OFFSET(TblConstr[[#This Row],[Plain]],-1,0)+TblConstr[[#This Row],[Ch_Plain]]</f>
        <v>60</v>
      </c>
      <c r="H27" s="182">
        <f ca="1">OFFSET(TblConstr[[#This Row],[Forest]],-1,0)+TblConstr[[#This Row],[Ch_Forest]]</f>
        <v>0</v>
      </c>
      <c r="I27" s="359">
        <f ca="1">OFFSET(TblConstr[[#This Row],[Mountain]],-1,0)+TblConstr[[#This Row],[Ch_Mountain]]</f>
        <v>0</v>
      </c>
      <c r="J27" s="363">
        <f ca="1">OFFSET(TblConstr[[#This Row],[Hill]],-1,0)+TblConstr[[#This Row],[Ch_Hill]]</f>
        <v>0</v>
      </c>
      <c r="K27" s="367">
        <f ca="1">OFFSET(TblConstr[[#This Row],[Swamp]],-1,0)+TblConstr[[#This Row],[Ch_Swamp]]</f>
        <v>0</v>
      </c>
      <c r="L27" s="185">
        <f ca="1">OFFSET(TblConstr[[#This Row],[Cavern]],-1,0)+TblConstr[[#This Row],[Ch_Cavern]]</f>
        <v>0</v>
      </c>
      <c r="M27" s="186">
        <f ca="1">OFFSET(TblConstr[[#This Row],[Water]],-1,0)+TblConstr[[#This Row],[Ch_Water]]</f>
        <v>0</v>
      </c>
      <c r="N27" s="357">
        <f>TblRezone[[#This Row],[Hour]]</f>
        <v>24</v>
      </c>
      <c r="P27" s="94"/>
      <c r="AH27" s="53">
        <f ca="1">TblImps[[#This Row],[Time]]</f>
        <v>46047.958333333278</v>
      </c>
      <c r="AI27" s="180">
        <f ca="1">MIN(25%,(TblConstr[[#This Row],[Tot Fac]]+TblConstr[[#This Row],[Dest Fac]])/(TblConstr[[#This Row],[Land]]-TblExplore[[#This Row],[Land Bonus]]*20))</f>
        <v>0</v>
      </c>
      <c r="AJ27" s="180">
        <f ca="1">MIN(25%,(TblConstr[[#This Row],[Tot Fac]]+TblConstr[[#This Row],[Dest Fac]])/TblConstr[[#This Row],[Land]])</f>
        <v>0</v>
      </c>
      <c r="AK27" s="94">
        <f ca="1">TblProd[[#This Row],[Platinum]]</f>
        <v>85659</v>
      </c>
      <c r="AL27" s="94">
        <f ca="1">TblProd[[#This Row],[Lumber]]</f>
        <v>32541</v>
      </c>
      <c r="AM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7" s="94">
        <f ca="1">ROUNDDOWN( MAX(1 - MIN(facs_constr_factor*TblConstr[[#This Row],[Facs -DB]],facs_constr_max) + tech_1_11*TblTech[[#This Row],[11-1]] + tech_6_3_2*TblTech[[#This Row],[6-3]] + tech_5_2_3*TblTech[[#This Row],[5-2]], 1-global_constr_cap) * TblConstr[[#This Row],[RCPA Lumber]],0)</f>
        <v>48</v>
      </c>
      <c r="AO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7" s="94">
        <f ca="1">ROUNDDOWN( MAX(1 - MIN(facs_constr_factor*TblConstr[[#This Row],[Facs DB]],facs_constr_max) + tech_1_11*TblTech[[#This Row],[1-11]] + tech_6_3_2*TblTech[[#This Row],[6-3]] + tech_5_2_3*TblTech[[#This Row],[5-2]], 1-global_constr_cap) * ROUND((TblConstr[[#This Row],[Land]]-250)*0.285 + 87.5 + 0/4.25,0),0)</f>
        <v>48</v>
      </c>
      <c r="AQ27" s="45">
        <f ca="1">TblConstr[[#This Row],[build -db]]*TblConstr[[#This Row],[CPA Platinum -DB]] + TblConstr[[#This Row],[build db]]*TblConstr[[#This Row],[CPA Platinum DB]]</f>
        <v>0</v>
      </c>
      <c r="AR27" s="45">
        <f ca="1">TblConstr[[#This Row],[build -db]]*TblConstr[[#This Row],[CPA Lumber -DB]] + TblConstr[[#This Row],[build db]]*TblConstr[[#This Row],[CPA Lumber DB]]</f>
        <v>0</v>
      </c>
      <c r="AS27" s="94">
        <f ca="1">MIN(SUM(OFFSET(TblConstr[[#This Row],[Plain]:[Water]],-1,0))+SUM(TblConstr[[#This Row],[Dest Hom]:[Dest Doc]])+IF(TblConstr[[#This Row],[Hour]]&gt;12,SUM(OFFSET(TblExplore[[#This Row],[Plains Explore]:[Water Explore]],-12,0)),0),SUM(TblConstr[[#This Row],[Hom]:[Doc]]))</f>
        <v>0</v>
      </c>
      <c r="AT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7" s="142"/>
      <c r="AV27" s="94">
        <f ca="1">ROUND((TblConstr[[#This Row],[Land]]-250 - IF(TblExplore[[#This Row],[Land Bonus]]&lt;&gt;0,20,0))*1.25 + 850 + 0,0)</f>
        <v>675</v>
      </c>
      <c r="AW27" s="94">
        <f ca="1">ROUND((TblConstr[[#This Row],[Land]]-250 - IF(TblExplore[[#This Row],[Land Bonus]]&lt;&gt;0,20,0))*0.285 + 87.5 + 0/4.25,0)</f>
        <v>48</v>
      </c>
      <c r="AX27" s="154"/>
      <c r="AY27" s="188" cm="1">
        <f t="array" aca="1" ref="AY27" ca="1">IF(TblConstr[[#This Row],[Hour]:[Hour]]&gt;12,OFFSET(TblConstr[[#This Row],[Hom]],-12,0),0)+OFFSET(TblConstr[[#This Row],[Tot Hom]],-1,0)-TblConstr[[#This Row],[Dest Hom]]</f>
        <v>0</v>
      </c>
      <c r="AZ27" s="189" cm="1">
        <f t="array" aca="1" ref="AZ27" ca="1">IF(TblConstr[[#This Row],[Hour]:[Hour]]&gt;12,OFFSET(TblConstr[[#This Row],[Alc]],-12,0),0)+OFFSET(TblConstr[[#This Row],[Tot Alc]],-1,0)-TblConstr[[#This Row],[Dest Alc]]</f>
        <v>0</v>
      </c>
      <c r="BA27" s="189" cm="1">
        <f t="array" aca="1" ref="BA27" ca="1">IF(TblConstr[[#This Row],[Hour]:[Hour]]&gt;12,OFFSET(TblConstr[[#This Row],[Far]],-12,0),0)+OFFSET(TblConstr[[#This Row],[Tot Farm]],-1,0)-TblConstr[[#This Row],[Dest Farm]]</f>
        <v>30</v>
      </c>
      <c r="BB27" s="189" cm="1">
        <f t="array" aca="1" ref="BB27" ca="1">IF(TblConstr[[#This Row],[Hour]:[Hour]]&gt;12,OFFSET(TblConstr[[#This Row],[Smi]],-12,0),0)+OFFSET(TblConstr[[#This Row],[Tot Smi]],-1,0)-TblConstr[[#This Row],[Dest Smi]]</f>
        <v>0</v>
      </c>
      <c r="BC27" s="189" cm="1">
        <f t="array" aca="1" ref="BC27" ca="1">IF(TblConstr[[#This Row],[Hour]:[Hour]]&gt;12,OFFSET(TblConstr[[#This Row],[Mas]],-12,0),0)+OFFSET(TblConstr[[#This Row],[Tot Mas]],-1,0)-TblConstr[[#This Row],[Dest Mas]]</f>
        <v>0</v>
      </c>
      <c r="BD27" s="190" cm="1">
        <f t="array" aca="1" ref="BD27" ca="1">IF(TblConstr[[#This Row],[Hour]:[Hour]]&gt;12,OFFSET(TblConstr[[#This Row],[Ly]],-12,0),0)+OFFSET(TblConstr[[#This Row],[Tot Ly]],-1,0)-TblConstr[[#This Row],[Dest Ly]]</f>
        <v>20</v>
      </c>
      <c r="BE27" s="190" cm="1">
        <f t="array" aca="1" ref="BE27" ca="1">IF(TblConstr[[#This Row],[Hour]:[Hour]]&gt;12,OFFSET(TblConstr[[#This Row],[Hav]],-12,0),0)+OFFSET(TblConstr[[#This Row],[Tot Hav]],-1,0)-TblConstr[[#This Row],[Dest Hav]]</f>
        <v>0</v>
      </c>
      <c r="BF27" s="361" cm="1">
        <f t="array" aca="1" ref="BF27" ca="1">IF(TblConstr[[#This Row],[Hour]:[Hour]]&gt;12,OFFSET(TblConstr[[#This Row],[OM]],-12,0),0)+OFFSET(TblConstr[[#This Row],[Tot OM]],-1,0)-TblConstr[[#This Row],[Dest OM]]</f>
        <v>0</v>
      </c>
      <c r="BG27" s="361" cm="1">
        <f t="array" aca="1" ref="BG27" ca="1">IF(TblConstr[[#This Row],[Hour]:[Hour]]&gt;12,OFFSET(TblConstr[[#This Row],[GN]],-12,0),0)+OFFSET(TblConstr[[#This Row],[Tot GN]],-1,0)-TblConstr[[#This Row],[Dest GN]]</f>
        <v>0</v>
      </c>
      <c r="BH27" s="365" cm="1">
        <f t="array" aca="1" ref="BH27" ca="1">IF(TblConstr[[#This Row],[Hour]:[Hour]]&gt;12,OFFSET(TblConstr[[#This Row],[Fac]],-12,0),0)+OFFSET(TblConstr[[#This Row],[Tot Fac]],-1,0)-TblConstr[[#This Row],[Dest Fac]]</f>
        <v>0</v>
      </c>
      <c r="BI27" s="365" cm="1">
        <f t="array" aca="1" ref="BI27" ca="1">IF(TblConstr[[#This Row],[Hour]:[Hour]]&gt;12,OFFSET(TblConstr[[#This Row],[GT]],-12,0),0)+OFFSET(TblConstr[[#This Row],[Tot GT]],-1,0)-TblConstr[[#This Row],[Dest GT]]</f>
        <v>0</v>
      </c>
      <c r="BJ27" s="365" cm="1">
        <f t="array" aca="1" ref="BJ27" ca="1">IF(TblConstr[[#This Row],[Hour]:[Hour]]&gt;12,OFFSET(TblConstr[[#This Row],[Bar]],-12,0),0)+OFFSET(TblConstr[[#This Row],[Tot Bar]],-1,0)-TblConstr[[#This Row],[Dest Bar]]</f>
        <v>0</v>
      </c>
      <c r="BK27" s="365" cm="1">
        <f t="array" aca="1" ref="BK27" ca="1">IF(TblConstr[[#This Row],[Hour]:[Hour]]&gt;12,OFFSET(TblConstr[[#This Row],[Shr]],-12,0),0)+OFFSET(TblConstr[[#This Row],[Tot Shr]],-1,0)-TblConstr[[#This Row],[Dest Shr]]</f>
        <v>0</v>
      </c>
      <c r="BL27" s="369" cm="1">
        <f t="array" aca="1" ref="BL27" ca="1">IF(TblConstr[[#This Row],[Hour]:[Hour]]&gt;12,OFFSET(TblConstr[[#This Row],[Tow]],-12,0),0)+OFFSET(TblConstr[[#This Row],[Tot Tow]],-1,0)-TblConstr[[#This Row],[Dest Tow]]</f>
        <v>0</v>
      </c>
      <c r="BM27" s="369" cm="1">
        <f t="array" aca="1" ref="BM27" ca="1">IF(TblConstr[[#This Row],[Hour]:[Hour]]&gt;12,OFFSET(TblConstr[[#This Row],[Tem]],-12,0),0)+OFFSET(TblConstr[[#This Row],[Tot Tem]],-1,0)-TblConstr[[#This Row],[Dest Tem]]</f>
        <v>0</v>
      </c>
      <c r="BN27" s="369" cm="1">
        <f t="array" aca="1" ref="BN27" ca="1">IF(TblConstr[[#This Row],[Hour]:[Hour]]&gt;12,OFFSET(TblConstr[[#This Row],[WG]],-12,0),0)+OFFSET(TblConstr[[#This Row],[Tot WG]],-1,0)-TblConstr[[#This Row],[Dest WG]]</f>
        <v>0</v>
      </c>
      <c r="BO27" s="191" cm="1">
        <f t="array" aca="1" ref="BO27" ca="1">IF(TblConstr[[#This Row],[Hour]:[Hour]]&gt;12,OFFSET(TblConstr[[#This Row],[DM]],-12,0),0)+OFFSET(TblConstr[[#This Row],[Tot DM]],-1,0)-TblConstr[[#This Row],[Dest DM]]</f>
        <v>0</v>
      </c>
      <c r="BP27" s="191" cm="1">
        <f t="array" aca="1" ref="BP27" ca="1">IF(TblConstr[[#This Row],[Hour]:[Hour]]&gt;12,OFFSET(TblConstr[[#This Row],[Sch]],-12,0),0)+OFFSET(TblConstr[[#This Row],[Tot Sch]],-1,0)-TblConstr[[#This Row],[Dest Sch]]</f>
        <v>0</v>
      </c>
      <c r="BQ27" s="192" cm="1">
        <f t="array" aca="1" ref="BQ27" ca="1">IF(TblConstr[[#This Row],[Hour]:[Hour]]&gt;12,OFFSET(TblConstr[[#This Row],[Doc]],-12,0),0)+OFFSET(TblConstr[[#This Row],[Tot Doc]],-1,0)-TblConstr[[#This Row],[Dest Doc]]</f>
        <v>0</v>
      </c>
      <c r="BR27" s="142"/>
      <c r="BS27" s="154"/>
      <c r="BT27" s="94">
        <f ca="1">TblConstr[[#This Row],[Land]]</f>
        <v>110</v>
      </c>
      <c r="BU27" s="159">
        <f ca="1">TblImps[[#This Row],[Time]]</f>
        <v>46047.958333333278</v>
      </c>
      <c r="BV27" s="142"/>
      <c r="CP27" s="142"/>
      <c r="CQ27" s="181">
        <f ca="1">-SUM(TblConstr[[#This Row],[Alc]:[Mas]])+SUM(TblConstr[[#This Row],[Dest Alc]:[Dest Mas]])+Rezone!L27+IF("Ch_"&amp; home_land=TblConstr[[#Headers],[Ch_Plain]],TblConstr[[#This Row],[Home Land]])+IF(TblConstr[[#This Row],[Hour]:[Hour]]&gt;12,OFFSET(TblExplore[[#This Row],[Plains Explore]],-12,0),0)</f>
        <v>0</v>
      </c>
      <c r="CR27" s="182">
        <f ca="1">-SUM(TblConstr[[#This Row],[Ly]:[Hav]])+SUM(TblConstr[[#This Row],[Dest Ly]:[Dest Hav]]) +Rezone!M27 + IF("Ch_"&amp; home_land=TblConstr[[#Headers],[Ch_Forest]],TblConstr[[#This Row],[Home Land]])+IF(TblConstr[[#This Row],[Hour]:[Hour]]&gt;12,OFFSET(TblExplore[[#This Row],[Forest Explore]],-12,0),0)</f>
        <v>0</v>
      </c>
      <c r="CS27" s="359">
        <f ca="1">-SUM(TblConstr[[#This Row],[OM]:[GN]])+SUM(TblConstr[[#This Row],[Dest OM]:[Dest GN]]) +Rezone!N27 + IF("Ch_"&amp; home_land=TblConstr[[#Headers],[Ch_Mountain]],TblConstr[[#This Row],[Home Land]])+IF(TblConstr[[#This Row],[Hour]:[Hour]]&gt;12,OFFSET(TblExplore[[#This Row],[Mountain Explore]],-12,0),0)</f>
        <v>0</v>
      </c>
      <c r="CT27" s="183">
        <f ca="1">-SUM(TblConstr[[#This Row],[Fac]:[Shr]])+SUM(TblConstr[[#This Row],[Dest Fac]:[Dest Shr]]) +Rezone!O27 + IF("Ch_" &amp; home_land=TblConstr[[#Headers],[Ch_Hill]],TblConstr[[#This Row],[Home Land]])+IF(TblConstr[[#This Row],[Hour]:[Hour]]&gt;12,OFFSET(TblExplore[[#This Row],[Hill Explore]],-12,0),0)</f>
        <v>0</v>
      </c>
      <c r="CU27" s="184">
        <f ca="1">-SUM(TblConstr[[#This Row],[Tow]:[WG]])+SUM(TblConstr[[#This Row],[Dest Tow]:[Dest WG]]) +Rezone!P27 + IF("Ch_" &amp; home_land=TblConstr[[#Headers],[Ch_Swamp]],TblConstr[[#This Row],[Home Land]])+IF(TblConstr[[#This Row],[Hour]:[Hour]]&gt;12,OFFSET(TblExplore[[#This Row],[Swamp Explore]],-12,0),0)</f>
        <v>0</v>
      </c>
      <c r="CV27" s="185">
        <f ca="1" xml:space="preserve"> - SUM(TblConstr[[#This Row],[DM]:[Sch]])+SUM(TblConstr[[#This Row],[Dest DM]:[Dest Sch]]) +Rezone!Q27 + IF("Ch_" &amp; home_land=TblConstr[[#Headers],[Ch_Cavern]],TblConstr[[#This Row],[Home Land]])+IF(TblConstr[[#This Row],[Hour]:[Hour]]&gt;12,OFFSET(TblExplore[[#This Row],[Cavern Explore]],-12,0),0)</f>
        <v>0</v>
      </c>
      <c r="CW27" s="186">
        <f ca="1">-TblConstr[[#This Row],[Doc]]+TblConstr[[#This Row],[Dest Doc]] +Rezone!R27 + IF("Ch_" &amp; home_land=TblConstr[[#Headers],[Ch_Water]],TblConstr[[#This Row],[Home Land]])+IF(TblConstr[[#This Row],[Hour]:[Hour]]&gt;12,OFFSET(TblExplore[[#This Row],[Water Explore]],-12,0),0)</f>
        <v>0</v>
      </c>
      <c r="CX27" s="45">
        <f>IF(Explore!S27=1,20) - TblConstr[[#This Row],[Hom]] + TblConstr[[#This Row],[Dest Hom]]</f>
        <v>0</v>
      </c>
      <c r="CY27" s="142"/>
      <c r="CZ27" s="94">
        <f t="shared" ca="1" si="3"/>
        <v>90</v>
      </c>
      <c r="DA27" s="94">
        <f t="shared" ca="1" si="4"/>
        <v>20</v>
      </c>
      <c r="DB27" s="45">
        <f t="shared" ca="1" si="5"/>
        <v>0</v>
      </c>
      <c r="DC27" s="94">
        <f t="shared" ca="1" si="6"/>
        <v>0</v>
      </c>
      <c r="DD27" s="94">
        <f t="shared" ca="1" si="7"/>
        <v>0</v>
      </c>
      <c r="DE27" s="45">
        <f t="shared" ca="1" si="8"/>
        <v>0</v>
      </c>
      <c r="DF27" s="94">
        <f t="shared" ca="1" si="9"/>
        <v>0</v>
      </c>
      <c r="DG27" s="94" cm="1">
        <f t="array" aca="1" ref="DG27" ca="1">INDEX(TblConstr[[Total Plain]:[Total Water]],ROW()-ROW(TblConstr[#Headers]),MATCH("Total "&amp;home_land,TblConstr[[#Headers],[Total Plain]:[Total Water]],0))+TblConstr[[#This Row],[Homes]]</f>
        <v>90</v>
      </c>
      <c r="DH27" s="45">
        <f t="shared" ca="1" si="10"/>
        <v>0</v>
      </c>
      <c r="DI27" s="45">
        <f t="shared" ca="1" si="0"/>
        <v>0</v>
      </c>
      <c r="DJ27" s="45">
        <f t="shared" ca="1" si="1"/>
        <v>0</v>
      </c>
    </row>
    <row r="28" spans="1:114" x14ac:dyDescent="0.2">
      <c r="A28" s="175">
        <f>TblRezone[[#This Row],[Hour]]</f>
        <v>25</v>
      </c>
      <c r="B28" s="176">
        <f ca="1">SUM(TblConstr[[#This Row],[Plain]:[Water]])</f>
        <v>60</v>
      </c>
      <c r="C28" s="177">
        <f ca="1">SUM(TblConstr[[#This Row],[Tot Hom]:[Tot Doc]])</f>
        <v>50</v>
      </c>
      <c r="D28" s="177">
        <f t="shared" si="2"/>
        <v>0</v>
      </c>
      <c r="E28" s="178"/>
      <c r="F28" s="61">
        <f ca="1">TblConstr[[#This Row],[Barren]]+TblConstr[[#This Row],[Buildings]]+TblConstr[[#This Row],[Incoming]]</f>
        <v>110</v>
      </c>
      <c r="G28" s="187">
        <f ca="1">OFFSET(TblConstr[[#This Row],[Plain]],-1,0)+TblConstr[[#This Row],[Ch_Plain]]</f>
        <v>60</v>
      </c>
      <c r="H28" s="182">
        <f ca="1">OFFSET(TblConstr[[#This Row],[Forest]],-1,0)+TblConstr[[#This Row],[Ch_Forest]]</f>
        <v>0</v>
      </c>
      <c r="I28" s="359">
        <f ca="1">OFFSET(TblConstr[[#This Row],[Mountain]],-1,0)+TblConstr[[#This Row],[Ch_Mountain]]</f>
        <v>0</v>
      </c>
      <c r="J28" s="363">
        <f ca="1">OFFSET(TblConstr[[#This Row],[Hill]],-1,0)+TblConstr[[#This Row],[Ch_Hill]]</f>
        <v>0</v>
      </c>
      <c r="K28" s="367">
        <f ca="1">OFFSET(TblConstr[[#This Row],[Swamp]],-1,0)+TblConstr[[#This Row],[Ch_Swamp]]</f>
        <v>0</v>
      </c>
      <c r="L28" s="185">
        <f ca="1">OFFSET(TblConstr[[#This Row],[Cavern]],-1,0)+TblConstr[[#This Row],[Ch_Cavern]]</f>
        <v>0</v>
      </c>
      <c r="M28" s="186">
        <f ca="1">OFFSET(TblConstr[[#This Row],[Water]],-1,0)+TblConstr[[#This Row],[Ch_Water]]</f>
        <v>0</v>
      </c>
      <c r="N28" s="357">
        <f>TblRezone[[#This Row],[Hour]]</f>
        <v>25</v>
      </c>
      <c r="O28" s="179"/>
      <c r="P28" s="179"/>
      <c r="Q28" s="179"/>
      <c r="R28" s="179"/>
      <c r="S28" s="179"/>
      <c r="T28" s="179"/>
      <c r="U28" s="179"/>
      <c r="V28" s="179"/>
      <c r="W28" s="179"/>
      <c r="X28" s="179"/>
      <c r="Y28" s="179"/>
      <c r="Z28" s="179"/>
      <c r="AA28" s="179"/>
      <c r="AB28" s="179"/>
      <c r="AC28" s="179"/>
      <c r="AD28" s="179"/>
      <c r="AE28" s="179"/>
      <c r="AF28" s="179"/>
      <c r="AG28" s="179"/>
      <c r="AH28" s="53">
        <f ca="1">TblImps[[#This Row],[Time]]</f>
        <v>46047.999999999942</v>
      </c>
      <c r="AI28" s="180">
        <f ca="1">MIN(25%,(TblConstr[[#This Row],[Tot Fac]]+TblConstr[[#This Row],[Dest Fac]])/(TblConstr[[#This Row],[Land]]-TblExplore[[#This Row],[Land Bonus]]*20))</f>
        <v>0</v>
      </c>
      <c r="AJ28" s="180">
        <f ca="1">MIN(25%,(TblConstr[[#This Row],[Tot Fac]]+TblConstr[[#This Row],[Dest Fac]])/TblConstr[[#This Row],[Land]])</f>
        <v>0</v>
      </c>
      <c r="AK28" s="94">
        <f ca="1">TblProd[[#This Row],[Platinum]]</f>
        <v>87576</v>
      </c>
      <c r="AL28" s="94">
        <f ca="1">TblProd[[#This Row],[Lumber]]</f>
        <v>33216</v>
      </c>
      <c r="AM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8" s="94">
        <f ca="1">ROUNDDOWN( MAX(1 - MIN(facs_constr_factor*TblConstr[[#This Row],[Facs -DB]],facs_constr_max) + tech_1_11*TblTech[[#This Row],[11-1]] + tech_6_3_2*TblTech[[#This Row],[6-3]] + tech_5_2_3*TblTech[[#This Row],[5-2]], 1-global_constr_cap) * TblConstr[[#This Row],[RCPA Lumber]],0)</f>
        <v>48</v>
      </c>
      <c r="AO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8" s="94">
        <f ca="1">ROUNDDOWN( MAX(1 - MIN(facs_constr_factor*TblConstr[[#This Row],[Facs DB]],facs_constr_max) + tech_1_11*TblTech[[#This Row],[1-11]] + tech_6_3_2*TblTech[[#This Row],[6-3]] + tech_5_2_3*TblTech[[#This Row],[5-2]], 1-global_constr_cap) * ROUND((TblConstr[[#This Row],[Land]]-250)*0.285 + 87.5 + 0/4.25,0),0)</f>
        <v>48</v>
      </c>
      <c r="AQ28" s="45">
        <f ca="1">TblConstr[[#This Row],[build -db]]*TblConstr[[#This Row],[CPA Platinum -DB]] + TblConstr[[#This Row],[build db]]*TblConstr[[#This Row],[CPA Platinum DB]]</f>
        <v>0</v>
      </c>
      <c r="AR28" s="45">
        <f ca="1">TblConstr[[#This Row],[build -db]]*TblConstr[[#This Row],[CPA Lumber -DB]] + TblConstr[[#This Row],[build db]]*TblConstr[[#This Row],[CPA Lumber DB]]</f>
        <v>0</v>
      </c>
      <c r="AS28" s="94">
        <f ca="1">MIN(SUM(OFFSET(TblConstr[[#This Row],[Plain]:[Water]],-1,0))+SUM(TblConstr[[#This Row],[Dest Hom]:[Dest Doc]])+IF(TblConstr[[#This Row],[Hour]]&gt;12,SUM(OFFSET(TblExplore[[#This Row],[Plains Explore]:[Water Explore]],-12,0)),0),SUM(TblConstr[[#This Row],[Hom]:[Doc]]))</f>
        <v>0</v>
      </c>
      <c r="AT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8" s="142"/>
      <c r="AV28" s="94">
        <f ca="1">ROUND((TblConstr[[#This Row],[Land]]-250 - IF(TblExplore[[#This Row],[Land Bonus]]&lt;&gt;0,20,0))*1.25 + 850 + 0,0)</f>
        <v>675</v>
      </c>
      <c r="AW28" s="94">
        <f ca="1">ROUND((TblConstr[[#This Row],[Land]]-250 - IF(TblExplore[[#This Row],[Land Bonus]]&lt;&gt;0,20,0))*0.285 + 87.5 + 0/4.25,0)</f>
        <v>48</v>
      </c>
      <c r="AX28" s="154"/>
      <c r="AY28" s="188" cm="1">
        <f t="array" aca="1" ref="AY28" ca="1">IF(TblConstr[[#This Row],[Hour]:[Hour]]&gt;12,OFFSET(TblConstr[[#This Row],[Hom]],-12,0),0)+OFFSET(TblConstr[[#This Row],[Tot Hom]],-1,0)-TblConstr[[#This Row],[Dest Hom]]</f>
        <v>0</v>
      </c>
      <c r="AZ28" s="189" cm="1">
        <f t="array" aca="1" ref="AZ28" ca="1">IF(TblConstr[[#This Row],[Hour]:[Hour]]&gt;12,OFFSET(TblConstr[[#This Row],[Alc]],-12,0),0)+OFFSET(TblConstr[[#This Row],[Tot Alc]],-1,0)-TblConstr[[#This Row],[Dest Alc]]</f>
        <v>0</v>
      </c>
      <c r="BA28" s="189" cm="1">
        <f t="array" aca="1" ref="BA28" ca="1">IF(TblConstr[[#This Row],[Hour]:[Hour]]&gt;12,OFFSET(TblConstr[[#This Row],[Far]],-12,0),0)+OFFSET(TblConstr[[#This Row],[Tot Farm]],-1,0)-TblConstr[[#This Row],[Dest Farm]]</f>
        <v>30</v>
      </c>
      <c r="BB28" s="189" cm="1">
        <f t="array" aca="1" ref="BB28" ca="1">IF(TblConstr[[#This Row],[Hour]:[Hour]]&gt;12,OFFSET(TblConstr[[#This Row],[Smi]],-12,0),0)+OFFSET(TblConstr[[#This Row],[Tot Smi]],-1,0)-TblConstr[[#This Row],[Dest Smi]]</f>
        <v>0</v>
      </c>
      <c r="BC28" s="189" cm="1">
        <f t="array" aca="1" ref="BC28" ca="1">IF(TblConstr[[#This Row],[Hour]:[Hour]]&gt;12,OFFSET(TblConstr[[#This Row],[Mas]],-12,0),0)+OFFSET(TblConstr[[#This Row],[Tot Mas]],-1,0)-TblConstr[[#This Row],[Dest Mas]]</f>
        <v>0</v>
      </c>
      <c r="BD28" s="190" cm="1">
        <f t="array" aca="1" ref="BD28" ca="1">IF(TblConstr[[#This Row],[Hour]:[Hour]]&gt;12,OFFSET(TblConstr[[#This Row],[Ly]],-12,0),0)+OFFSET(TblConstr[[#This Row],[Tot Ly]],-1,0)-TblConstr[[#This Row],[Dest Ly]]</f>
        <v>20</v>
      </c>
      <c r="BE28" s="190" cm="1">
        <f t="array" aca="1" ref="BE28" ca="1">IF(TblConstr[[#This Row],[Hour]:[Hour]]&gt;12,OFFSET(TblConstr[[#This Row],[Hav]],-12,0),0)+OFFSET(TblConstr[[#This Row],[Tot Hav]],-1,0)-TblConstr[[#This Row],[Dest Hav]]</f>
        <v>0</v>
      </c>
      <c r="BF28" s="361" cm="1">
        <f t="array" aca="1" ref="BF28" ca="1">IF(TblConstr[[#This Row],[Hour]:[Hour]]&gt;12,OFFSET(TblConstr[[#This Row],[OM]],-12,0),0)+OFFSET(TblConstr[[#This Row],[Tot OM]],-1,0)-TblConstr[[#This Row],[Dest OM]]</f>
        <v>0</v>
      </c>
      <c r="BG28" s="361" cm="1">
        <f t="array" aca="1" ref="BG28" ca="1">IF(TblConstr[[#This Row],[Hour]:[Hour]]&gt;12,OFFSET(TblConstr[[#This Row],[GN]],-12,0),0)+OFFSET(TblConstr[[#This Row],[Tot GN]],-1,0)-TblConstr[[#This Row],[Dest GN]]</f>
        <v>0</v>
      </c>
      <c r="BH28" s="365" cm="1">
        <f t="array" aca="1" ref="BH28" ca="1">IF(TblConstr[[#This Row],[Hour]:[Hour]]&gt;12,OFFSET(TblConstr[[#This Row],[Fac]],-12,0),0)+OFFSET(TblConstr[[#This Row],[Tot Fac]],-1,0)-TblConstr[[#This Row],[Dest Fac]]</f>
        <v>0</v>
      </c>
      <c r="BI28" s="365" cm="1">
        <f t="array" aca="1" ref="BI28" ca="1">IF(TblConstr[[#This Row],[Hour]:[Hour]]&gt;12,OFFSET(TblConstr[[#This Row],[GT]],-12,0),0)+OFFSET(TblConstr[[#This Row],[Tot GT]],-1,0)-TblConstr[[#This Row],[Dest GT]]</f>
        <v>0</v>
      </c>
      <c r="BJ28" s="365" cm="1">
        <f t="array" aca="1" ref="BJ28" ca="1">IF(TblConstr[[#This Row],[Hour]:[Hour]]&gt;12,OFFSET(TblConstr[[#This Row],[Bar]],-12,0),0)+OFFSET(TblConstr[[#This Row],[Tot Bar]],-1,0)-TblConstr[[#This Row],[Dest Bar]]</f>
        <v>0</v>
      </c>
      <c r="BK28" s="365" cm="1">
        <f t="array" aca="1" ref="BK28" ca="1">IF(TblConstr[[#This Row],[Hour]:[Hour]]&gt;12,OFFSET(TblConstr[[#This Row],[Shr]],-12,0),0)+OFFSET(TblConstr[[#This Row],[Tot Shr]],-1,0)-TblConstr[[#This Row],[Dest Shr]]</f>
        <v>0</v>
      </c>
      <c r="BL28" s="369" cm="1">
        <f t="array" aca="1" ref="BL28" ca="1">IF(TblConstr[[#This Row],[Hour]:[Hour]]&gt;12,OFFSET(TblConstr[[#This Row],[Tow]],-12,0),0)+OFFSET(TblConstr[[#This Row],[Tot Tow]],-1,0)-TblConstr[[#This Row],[Dest Tow]]</f>
        <v>0</v>
      </c>
      <c r="BM28" s="369" cm="1">
        <f t="array" aca="1" ref="BM28" ca="1">IF(TblConstr[[#This Row],[Hour]:[Hour]]&gt;12,OFFSET(TblConstr[[#This Row],[Tem]],-12,0),0)+OFFSET(TblConstr[[#This Row],[Tot Tem]],-1,0)-TblConstr[[#This Row],[Dest Tem]]</f>
        <v>0</v>
      </c>
      <c r="BN28" s="369" cm="1">
        <f t="array" aca="1" ref="BN28" ca="1">IF(TblConstr[[#This Row],[Hour]:[Hour]]&gt;12,OFFSET(TblConstr[[#This Row],[WG]],-12,0),0)+OFFSET(TblConstr[[#This Row],[Tot WG]],-1,0)-TblConstr[[#This Row],[Dest WG]]</f>
        <v>0</v>
      </c>
      <c r="BO28" s="191" cm="1">
        <f t="array" aca="1" ref="BO28" ca="1">IF(TblConstr[[#This Row],[Hour]:[Hour]]&gt;12,OFFSET(TblConstr[[#This Row],[DM]],-12,0),0)+OFFSET(TblConstr[[#This Row],[Tot DM]],-1,0)-TblConstr[[#This Row],[Dest DM]]</f>
        <v>0</v>
      </c>
      <c r="BP28" s="191" cm="1">
        <f t="array" aca="1" ref="BP28" ca="1">IF(TblConstr[[#This Row],[Hour]:[Hour]]&gt;12,OFFSET(TblConstr[[#This Row],[Sch]],-12,0),0)+OFFSET(TblConstr[[#This Row],[Tot Sch]],-1,0)-TblConstr[[#This Row],[Dest Sch]]</f>
        <v>0</v>
      </c>
      <c r="BQ28" s="192" cm="1">
        <f t="array" aca="1" ref="BQ28" ca="1">IF(TblConstr[[#This Row],[Hour]:[Hour]]&gt;12,OFFSET(TblConstr[[#This Row],[Doc]],-12,0),0)+OFFSET(TblConstr[[#This Row],[Tot Doc]],-1,0)-TblConstr[[#This Row],[Dest Doc]]</f>
        <v>0</v>
      </c>
      <c r="BR28" s="142"/>
      <c r="BS28" s="154"/>
      <c r="BT28" s="94">
        <f ca="1">TblConstr[[#This Row],[Land]]</f>
        <v>110</v>
      </c>
      <c r="BU28" s="159">
        <f ca="1">TblImps[[#This Row],[Time]]</f>
        <v>46047.999999999942</v>
      </c>
      <c r="BV28" s="142"/>
      <c r="BW28" s="179"/>
      <c r="BX28" s="179"/>
      <c r="BY28" s="179"/>
      <c r="BZ28" s="179"/>
      <c r="CA28" s="179"/>
      <c r="CB28" s="179"/>
      <c r="CC28" s="179"/>
      <c r="CD28" s="179"/>
      <c r="CE28" s="179"/>
      <c r="CF28" s="179"/>
      <c r="CG28" s="179"/>
      <c r="CH28" s="179"/>
      <c r="CI28" s="179"/>
      <c r="CJ28" s="179"/>
      <c r="CK28" s="179"/>
      <c r="CL28" s="179"/>
      <c r="CM28" s="179"/>
      <c r="CN28" s="179"/>
      <c r="CO28" s="179"/>
      <c r="CP28" s="142"/>
      <c r="CQ28" s="181">
        <f ca="1">-SUM(TblConstr[[#This Row],[Alc]:[Mas]])+SUM(TblConstr[[#This Row],[Dest Alc]:[Dest Mas]])+Rezone!L28+IF("Ch_"&amp; home_land=TblConstr[[#Headers],[Ch_Plain]],TblConstr[[#This Row],[Home Land]])+IF(TblConstr[[#This Row],[Hour]:[Hour]]&gt;12,OFFSET(TblExplore[[#This Row],[Plains Explore]],-12,0),0)</f>
        <v>0</v>
      </c>
      <c r="CR28" s="182">
        <f ca="1">-SUM(TblConstr[[#This Row],[Ly]:[Hav]])+SUM(TblConstr[[#This Row],[Dest Ly]:[Dest Hav]]) +Rezone!M28 + IF("Ch_"&amp; home_land=TblConstr[[#Headers],[Ch_Forest]],TblConstr[[#This Row],[Home Land]])+IF(TblConstr[[#This Row],[Hour]:[Hour]]&gt;12,OFFSET(TblExplore[[#This Row],[Forest Explore]],-12,0),0)</f>
        <v>0</v>
      </c>
      <c r="CS28" s="359">
        <f ca="1">-SUM(TblConstr[[#This Row],[OM]:[GN]])+SUM(TblConstr[[#This Row],[Dest OM]:[Dest GN]]) +Rezone!N28 + IF("Ch_"&amp; home_land=TblConstr[[#Headers],[Ch_Mountain]],TblConstr[[#This Row],[Home Land]])+IF(TblConstr[[#This Row],[Hour]:[Hour]]&gt;12,OFFSET(TblExplore[[#This Row],[Mountain Explore]],-12,0),0)</f>
        <v>0</v>
      </c>
      <c r="CT28" s="183">
        <f ca="1">-SUM(TblConstr[[#This Row],[Fac]:[Shr]])+SUM(TblConstr[[#This Row],[Dest Fac]:[Dest Shr]]) +Rezone!O28 + IF("Ch_" &amp; home_land=TblConstr[[#Headers],[Ch_Hill]],TblConstr[[#This Row],[Home Land]])+IF(TblConstr[[#This Row],[Hour]:[Hour]]&gt;12,OFFSET(TblExplore[[#This Row],[Hill Explore]],-12,0),0)</f>
        <v>0</v>
      </c>
      <c r="CU28" s="184">
        <f ca="1">-SUM(TblConstr[[#This Row],[Tow]:[WG]])+SUM(TblConstr[[#This Row],[Dest Tow]:[Dest WG]]) +Rezone!P28 + IF("Ch_" &amp; home_land=TblConstr[[#Headers],[Ch_Swamp]],TblConstr[[#This Row],[Home Land]])+IF(TblConstr[[#This Row],[Hour]:[Hour]]&gt;12,OFFSET(TblExplore[[#This Row],[Swamp Explore]],-12,0),0)</f>
        <v>0</v>
      </c>
      <c r="CV28" s="185">
        <f ca="1" xml:space="preserve"> - SUM(TblConstr[[#This Row],[DM]:[Sch]])+SUM(TblConstr[[#This Row],[Dest DM]:[Dest Sch]]) +Rezone!Q28 + IF("Ch_" &amp; home_land=TblConstr[[#Headers],[Ch_Cavern]],TblConstr[[#This Row],[Home Land]])+IF(TblConstr[[#This Row],[Hour]:[Hour]]&gt;12,OFFSET(TblExplore[[#This Row],[Cavern Explore]],-12,0),0)</f>
        <v>0</v>
      </c>
      <c r="CW28" s="186">
        <f ca="1">-TblConstr[[#This Row],[Doc]]+TblConstr[[#This Row],[Dest Doc]] +Rezone!R28 + IF("Ch_" &amp; home_land=TblConstr[[#Headers],[Ch_Water]],TblConstr[[#This Row],[Home Land]])+IF(TblConstr[[#This Row],[Hour]:[Hour]]&gt;12,OFFSET(TblExplore[[#This Row],[Water Explore]],-12,0),0)</f>
        <v>0</v>
      </c>
      <c r="CX28" s="45">
        <f>IF(Explore!S28=1,20) - TblConstr[[#This Row],[Hom]] + TblConstr[[#This Row],[Dest Hom]]</f>
        <v>0</v>
      </c>
      <c r="CY28" s="142"/>
      <c r="CZ28" s="94">
        <f t="shared" ca="1" si="3"/>
        <v>90</v>
      </c>
      <c r="DA28" s="94">
        <f t="shared" ca="1" si="4"/>
        <v>20</v>
      </c>
      <c r="DB28" s="45">
        <f t="shared" ca="1" si="5"/>
        <v>0</v>
      </c>
      <c r="DC28" s="94">
        <f t="shared" ca="1" si="6"/>
        <v>0</v>
      </c>
      <c r="DD28" s="94">
        <f t="shared" ca="1" si="7"/>
        <v>0</v>
      </c>
      <c r="DE28" s="45">
        <f t="shared" ca="1" si="8"/>
        <v>0</v>
      </c>
      <c r="DF28" s="94">
        <f t="shared" ca="1" si="9"/>
        <v>0</v>
      </c>
      <c r="DG28" s="94" cm="1">
        <f t="array" aca="1" ref="DG28" ca="1">INDEX(TblConstr[[Total Plain]:[Total Water]],ROW()-ROW(TblConstr[#Headers]),MATCH("Total "&amp;home_land,TblConstr[[#Headers],[Total Plain]:[Total Water]],0))+TblConstr[[#This Row],[Homes]]</f>
        <v>90</v>
      </c>
      <c r="DH28" s="45">
        <f t="shared" ca="1" si="10"/>
        <v>0</v>
      </c>
      <c r="DI28" s="45">
        <f t="shared" ca="1" si="0"/>
        <v>0</v>
      </c>
      <c r="DJ28" s="45">
        <f t="shared" ca="1" si="1"/>
        <v>0</v>
      </c>
    </row>
    <row r="29" spans="1:114" x14ac:dyDescent="0.2">
      <c r="A29" s="175">
        <f>TblRezone[[#This Row],[Hour]]</f>
        <v>26</v>
      </c>
      <c r="B29" s="176">
        <f ca="1">SUM(TblConstr[[#This Row],[Plain]:[Water]])</f>
        <v>60</v>
      </c>
      <c r="C29" s="177">
        <f ca="1">SUM(TblConstr[[#This Row],[Tot Hom]:[Tot Doc]])</f>
        <v>50</v>
      </c>
      <c r="D29" s="177">
        <f t="shared" si="2"/>
        <v>0</v>
      </c>
      <c r="E29" s="178"/>
      <c r="F29" s="61">
        <f ca="1">TblConstr[[#This Row],[Barren]]+TblConstr[[#This Row],[Buildings]]+TblConstr[[#This Row],[Incoming]]</f>
        <v>110</v>
      </c>
      <c r="G29" s="187">
        <f ca="1">OFFSET(TblConstr[[#This Row],[Plain]],-1,0)+TblConstr[[#This Row],[Ch_Plain]]</f>
        <v>60</v>
      </c>
      <c r="H29" s="182">
        <f ca="1">OFFSET(TblConstr[[#This Row],[Forest]],-1,0)+TblConstr[[#This Row],[Ch_Forest]]</f>
        <v>0</v>
      </c>
      <c r="I29" s="359">
        <f ca="1">OFFSET(TblConstr[[#This Row],[Mountain]],-1,0)+TblConstr[[#This Row],[Ch_Mountain]]</f>
        <v>0</v>
      </c>
      <c r="J29" s="363">
        <f ca="1">OFFSET(TblConstr[[#This Row],[Hill]],-1,0)+TblConstr[[#This Row],[Ch_Hill]]</f>
        <v>0</v>
      </c>
      <c r="K29" s="367">
        <f ca="1">OFFSET(TblConstr[[#This Row],[Swamp]],-1,0)+TblConstr[[#This Row],[Ch_Swamp]]</f>
        <v>0</v>
      </c>
      <c r="L29" s="185">
        <f ca="1">OFFSET(TblConstr[[#This Row],[Cavern]],-1,0)+TblConstr[[#This Row],[Ch_Cavern]]</f>
        <v>0</v>
      </c>
      <c r="M29" s="186">
        <f ca="1">OFFSET(TblConstr[[#This Row],[Water]],-1,0)+TblConstr[[#This Row],[Ch_Water]]</f>
        <v>0</v>
      </c>
      <c r="N29" s="357">
        <f>TblRezone[[#This Row],[Hour]]</f>
        <v>26</v>
      </c>
      <c r="O29" s="179"/>
      <c r="P29" s="179"/>
      <c r="Q29" s="179"/>
      <c r="R29" s="179"/>
      <c r="S29" s="179"/>
      <c r="T29" s="179"/>
      <c r="U29" s="179"/>
      <c r="V29" s="179"/>
      <c r="W29" s="179"/>
      <c r="X29" s="179"/>
      <c r="Y29" s="179"/>
      <c r="Z29" s="179"/>
      <c r="AA29" s="179"/>
      <c r="AB29" s="179"/>
      <c r="AC29" s="179"/>
      <c r="AD29" s="179"/>
      <c r="AE29" s="179"/>
      <c r="AF29" s="179"/>
      <c r="AG29" s="179"/>
      <c r="AH29" s="53">
        <f ca="1">TblImps[[#This Row],[Time]]</f>
        <v>46048.041666666606</v>
      </c>
      <c r="AI29" s="180">
        <f ca="1">MIN(25%,(TblConstr[[#This Row],[Tot Fac]]+TblConstr[[#This Row],[Dest Fac]])/(TblConstr[[#This Row],[Land]]-TblExplore[[#This Row],[Land Bonus]]*20))</f>
        <v>0</v>
      </c>
      <c r="AJ29" s="180">
        <f ca="1">MIN(25%,(TblConstr[[#This Row],[Tot Fac]]+TblConstr[[#This Row],[Dest Fac]])/TblConstr[[#This Row],[Land]])</f>
        <v>0</v>
      </c>
      <c r="AK29" s="94">
        <f ca="1">TblProd[[#This Row],[Platinum]]</f>
        <v>89530</v>
      </c>
      <c r="AL29" s="94">
        <f ca="1">TblProd[[#This Row],[Lumber]]</f>
        <v>33884</v>
      </c>
      <c r="AM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29" s="94">
        <f ca="1">ROUNDDOWN( MAX(1 - MIN(facs_constr_factor*TblConstr[[#This Row],[Facs -DB]],facs_constr_max) + tech_1_11*TblTech[[#This Row],[11-1]] + tech_6_3_2*TblTech[[#This Row],[6-3]] + tech_5_2_3*TblTech[[#This Row],[5-2]], 1-global_constr_cap) * TblConstr[[#This Row],[RCPA Lumber]],0)</f>
        <v>48</v>
      </c>
      <c r="AO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29" s="94">
        <f ca="1">ROUNDDOWN( MAX(1 - MIN(facs_constr_factor*TblConstr[[#This Row],[Facs DB]],facs_constr_max) + tech_1_11*TblTech[[#This Row],[1-11]] + tech_6_3_2*TblTech[[#This Row],[6-3]] + tech_5_2_3*TblTech[[#This Row],[5-2]], 1-global_constr_cap) * ROUND((TblConstr[[#This Row],[Land]]-250)*0.285 + 87.5 + 0/4.25,0),0)</f>
        <v>48</v>
      </c>
      <c r="AQ29" s="45">
        <f ca="1">TblConstr[[#This Row],[build -db]]*TblConstr[[#This Row],[CPA Platinum -DB]] + TblConstr[[#This Row],[build db]]*TblConstr[[#This Row],[CPA Platinum DB]]</f>
        <v>0</v>
      </c>
      <c r="AR29" s="45">
        <f ca="1">TblConstr[[#This Row],[build -db]]*TblConstr[[#This Row],[CPA Lumber -DB]] + TblConstr[[#This Row],[build db]]*TblConstr[[#This Row],[CPA Lumber DB]]</f>
        <v>0</v>
      </c>
      <c r="AS29" s="94">
        <f ca="1">MIN(SUM(OFFSET(TblConstr[[#This Row],[Plain]:[Water]],-1,0))+SUM(TblConstr[[#This Row],[Dest Hom]:[Dest Doc]])+IF(TblConstr[[#This Row],[Hour]]&gt;12,SUM(OFFSET(TblExplore[[#This Row],[Plains Explore]:[Water Explore]],-12,0)),0),SUM(TblConstr[[#This Row],[Hom]:[Doc]]))</f>
        <v>0</v>
      </c>
      <c r="AT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29" s="142"/>
      <c r="AV29" s="94">
        <f ca="1">ROUND((TblConstr[[#This Row],[Land]]-250 - IF(TblExplore[[#This Row],[Land Bonus]]&lt;&gt;0,20,0))*1.25 + 850 + 0,0)</f>
        <v>675</v>
      </c>
      <c r="AW29" s="94">
        <f ca="1">ROUND((TblConstr[[#This Row],[Land]]-250 - IF(TblExplore[[#This Row],[Land Bonus]]&lt;&gt;0,20,0))*0.285 + 87.5 + 0/4.25,0)</f>
        <v>48</v>
      </c>
      <c r="AX29" s="154"/>
      <c r="AY29" s="188" cm="1">
        <f t="array" aca="1" ref="AY29" ca="1">IF(TblConstr[[#This Row],[Hour]:[Hour]]&gt;12,OFFSET(TblConstr[[#This Row],[Hom]],-12,0),0)+OFFSET(TblConstr[[#This Row],[Tot Hom]],-1,0)-TblConstr[[#This Row],[Dest Hom]]</f>
        <v>0</v>
      </c>
      <c r="AZ29" s="189" cm="1">
        <f t="array" aca="1" ref="AZ29" ca="1">IF(TblConstr[[#This Row],[Hour]:[Hour]]&gt;12,OFFSET(TblConstr[[#This Row],[Alc]],-12,0),0)+OFFSET(TblConstr[[#This Row],[Tot Alc]],-1,0)-TblConstr[[#This Row],[Dest Alc]]</f>
        <v>0</v>
      </c>
      <c r="BA29" s="189" cm="1">
        <f t="array" aca="1" ref="BA29" ca="1">IF(TblConstr[[#This Row],[Hour]:[Hour]]&gt;12,OFFSET(TblConstr[[#This Row],[Far]],-12,0),0)+OFFSET(TblConstr[[#This Row],[Tot Farm]],-1,0)-TblConstr[[#This Row],[Dest Farm]]</f>
        <v>30</v>
      </c>
      <c r="BB29" s="189" cm="1">
        <f t="array" aca="1" ref="BB29" ca="1">IF(TblConstr[[#This Row],[Hour]:[Hour]]&gt;12,OFFSET(TblConstr[[#This Row],[Smi]],-12,0),0)+OFFSET(TblConstr[[#This Row],[Tot Smi]],-1,0)-TblConstr[[#This Row],[Dest Smi]]</f>
        <v>0</v>
      </c>
      <c r="BC29" s="189" cm="1">
        <f t="array" aca="1" ref="BC29" ca="1">IF(TblConstr[[#This Row],[Hour]:[Hour]]&gt;12,OFFSET(TblConstr[[#This Row],[Mas]],-12,0),0)+OFFSET(TblConstr[[#This Row],[Tot Mas]],-1,0)-TblConstr[[#This Row],[Dest Mas]]</f>
        <v>0</v>
      </c>
      <c r="BD29" s="190" cm="1">
        <f t="array" aca="1" ref="BD29" ca="1">IF(TblConstr[[#This Row],[Hour]:[Hour]]&gt;12,OFFSET(TblConstr[[#This Row],[Ly]],-12,0),0)+OFFSET(TblConstr[[#This Row],[Tot Ly]],-1,0)-TblConstr[[#This Row],[Dest Ly]]</f>
        <v>20</v>
      </c>
      <c r="BE29" s="190" cm="1">
        <f t="array" aca="1" ref="BE29" ca="1">IF(TblConstr[[#This Row],[Hour]:[Hour]]&gt;12,OFFSET(TblConstr[[#This Row],[Hav]],-12,0),0)+OFFSET(TblConstr[[#This Row],[Tot Hav]],-1,0)-TblConstr[[#This Row],[Dest Hav]]</f>
        <v>0</v>
      </c>
      <c r="BF29" s="361" cm="1">
        <f t="array" aca="1" ref="BF29" ca="1">IF(TblConstr[[#This Row],[Hour]:[Hour]]&gt;12,OFFSET(TblConstr[[#This Row],[OM]],-12,0),0)+OFFSET(TblConstr[[#This Row],[Tot OM]],-1,0)-TblConstr[[#This Row],[Dest OM]]</f>
        <v>0</v>
      </c>
      <c r="BG29" s="361" cm="1">
        <f t="array" aca="1" ref="BG29" ca="1">IF(TblConstr[[#This Row],[Hour]:[Hour]]&gt;12,OFFSET(TblConstr[[#This Row],[GN]],-12,0),0)+OFFSET(TblConstr[[#This Row],[Tot GN]],-1,0)-TblConstr[[#This Row],[Dest GN]]</f>
        <v>0</v>
      </c>
      <c r="BH29" s="365" cm="1">
        <f t="array" aca="1" ref="BH29" ca="1">IF(TblConstr[[#This Row],[Hour]:[Hour]]&gt;12,OFFSET(TblConstr[[#This Row],[Fac]],-12,0),0)+OFFSET(TblConstr[[#This Row],[Tot Fac]],-1,0)-TblConstr[[#This Row],[Dest Fac]]</f>
        <v>0</v>
      </c>
      <c r="BI29" s="365" cm="1">
        <f t="array" aca="1" ref="BI29" ca="1">IF(TblConstr[[#This Row],[Hour]:[Hour]]&gt;12,OFFSET(TblConstr[[#This Row],[GT]],-12,0),0)+OFFSET(TblConstr[[#This Row],[Tot GT]],-1,0)-TblConstr[[#This Row],[Dest GT]]</f>
        <v>0</v>
      </c>
      <c r="BJ29" s="365" cm="1">
        <f t="array" aca="1" ref="BJ29" ca="1">IF(TblConstr[[#This Row],[Hour]:[Hour]]&gt;12,OFFSET(TblConstr[[#This Row],[Bar]],-12,0),0)+OFFSET(TblConstr[[#This Row],[Tot Bar]],-1,0)-TblConstr[[#This Row],[Dest Bar]]</f>
        <v>0</v>
      </c>
      <c r="BK29" s="365" cm="1">
        <f t="array" aca="1" ref="BK29" ca="1">IF(TblConstr[[#This Row],[Hour]:[Hour]]&gt;12,OFFSET(TblConstr[[#This Row],[Shr]],-12,0),0)+OFFSET(TblConstr[[#This Row],[Tot Shr]],-1,0)-TblConstr[[#This Row],[Dest Shr]]</f>
        <v>0</v>
      </c>
      <c r="BL29" s="369" cm="1">
        <f t="array" aca="1" ref="BL29" ca="1">IF(TblConstr[[#This Row],[Hour]:[Hour]]&gt;12,OFFSET(TblConstr[[#This Row],[Tow]],-12,0),0)+OFFSET(TblConstr[[#This Row],[Tot Tow]],-1,0)-TblConstr[[#This Row],[Dest Tow]]</f>
        <v>0</v>
      </c>
      <c r="BM29" s="369" cm="1">
        <f t="array" aca="1" ref="BM29" ca="1">IF(TblConstr[[#This Row],[Hour]:[Hour]]&gt;12,OFFSET(TblConstr[[#This Row],[Tem]],-12,0),0)+OFFSET(TblConstr[[#This Row],[Tot Tem]],-1,0)-TblConstr[[#This Row],[Dest Tem]]</f>
        <v>0</v>
      </c>
      <c r="BN29" s="369" cm="1">
        <f t="array" aca="1" ref="BN29" ca="1">IF(TblConstr[[#This Row],[Hour]:[Hour]]&gt;12,OFFSET(TblConstr[[#This Row],[WG]],-12,0),0)+OFFSET(TblConstr[[#This Row],[Tot WG]],-1,0)-TblConstr[[#This Row],[Dest WG]]</f>
        <v>0</v>
      </c>
      <c r="BO29" s="191" cm="1">
        <f t="array" aca="1" ref="BO29" ca="1">IF(TblConstr[[#This Row],[Hour]:[Hour]]&gt;12,OFFSET(TblConstr[[#This Row],[DM]],-12,0),0)+OFFSET(TblConstr[[#This Row],[Tot DM]],-1,0)-TblConstr[[#This Row],[Dest DM]]</f>
        <v>0</v>
      </c>
      <c r="BP29" s="191" cm="1">
        <f t="array" aca="1" ref="BP29" ca="1">IF(TblConstr[[#This Row],[Hour]:[Hour]]&gt;12,OFFSET(TblConstr[[#This Row],[Sch]],-12,0),0)+OFFSET(TblConstr[[#This Row],[Tot Sch]],-1,0)-TblConstr[[#This Row],[Dest Sch]]</f>
        <v>0</v>
      </c>
      <c r="BQ29" s="192" cm="1">
        <f t="array" aca="1" ref="BQ29" ca="1">IF(TblConstr[[#This Row],[Hour]:[Hour]]&gt;12,OFFSET(TblConstr[[#This Row],[Doc]],-12,0),0)+OFFSET(TblConstr[[#This Row],[Tot Doc]],-1,0)-TblConstr[[#This Row],[Dest Doc]]</f>
        <v>0</v>
      </c>
      <c r="BR29" s="142"/>
      <c r="BS29" s="154"/>
      <c r="BT29" s="94">
        <f ca="1">TblConstr[[#This Row],[Land]]</f>
        <v>110</v>
      </c>
      <c r="BU29" s="159">
        <f ca="1">TblImps[[#This Row],[Time]]</f>
        <v>46048.041666666606</v>
      </c>
      <c r="BV29" s="142"/>
      <c r="BW29" s="179"/>
      <c r="BX29" s="179"/>
      <c r="BY29" s="179"/>
      <c r="BZ29" s="179"/>
      <c r="CA29" s="179"/>
      <c r="CB29" s="179"/>
      <c r="CC29" s="179"/>
      <c r="CD29" s="179"/>
      <c r="CE29" s="179"/>
      <c r="CF29" s="179"/>
      <c r="CG29" s="179"/>
      <c r="CH29" s="179"/>
      <c r="CI29" s="179"/>
      <c r="CJ29" s="179"/>
      <c r="CK29" s="179"/>
      <c r="CL29" s="179"/>
      <c r="CM29" s="179"/>
      <c r="CN29" s="179"/>
      <c r="CO29" s="179"/>
      <c r="CP29" s="142"/>
      <c r="CQ29" s="181">
        <f ca="1">-SUM(TblConstr[[#This Row],[Alc]:[Mas]])+SUM(TblConstr[[#This Row],[Dest Alc]:[Dest Mas]])+Rezone!L29+IF("Ch_"&amp; home_land=TblConstr[[#Headers],[Ch_Plain]],TblConstr[[#This Row],[Home Land]])+IF(TblConstr[[#This Row],[Hour]:[Hour]]&gt;12,OFFSET(TblExplore[[#This Row],[Plains Explore]],-12,0),0)</f>
        <v>0</v>
      </c>
      <c r="CR29" s="182">
        <f ca="1">-SUM(TblConstr[[#This Row],[Ly]:[Hav]])+SUM(TblConstr[[#This Row],[Dest Ly]:[Dest Hav]]) +Rezone!M29 + IF("Ch_"&amp; home_land=TblConstr[[#Headers],[Ch_Forest]],TblConstr[[#This Row],[Home Land]])+IF(TblConstr[[#This Row],[Hour]:[Hour]]&gt;12,OFFSET(TblExplore[[#This Row],[Forest Explore]],-12,0),0)</f>
        <v>0</v>
      </c>
      <c r="CS29" s="359">
        <f ca="1">-SUM(TblConstr[[#This Row],[OM]:[GN]])+SUM(TblConstr[[#This Row],[Dest OM]:[Dest GN]]) +Rezone!N29 + IF("Ch_"&amp; home_land=TblConstr[[#Headers],[Ch_Mountain]],TblConstr[[#This Row],[Home Land]])+IF(TblConstr[[#This Row],[Hour]:[Hour]]&gt;12,OFFSET(TblExplore[[#This Row],[Mountain Explore]],-12,0),0)</f>
        <v>0</v>
      </c>
      <c r="CT29" s="183">
        <f ca="1">-SUM(TblConstr[[#This Row],[Fac]:[Shr]])+SUM(TblConstr[[#This Row],[Dest Fac]:[Dest Shr]]) +Rezone!O29 + IF("Ch_" &amp; home_land=TblConstr[[#Headers],[Ch_Hill]],TblConstr[[#This Row],[Home Land]])+IF(TblConstr[[#This Row],[Hour]:[Hour]]&gt;12,OFFSET(TblExplore[[#This Row],[Hill Explore]],-12,0),0)</f>
        <v>0</v>
      </c>
      <c r="CU29" s="184">
        <f ca="1">-SUM(TblConstr[[#This Row],[Tow]:[WG]])+SUM(TblConstr[[#This Row],[Dest Tow]:[Dest WG]]) +Rezone!P29 + IF("Ch_" &amp; home_land=TblConstr[[#Headers],[Ch_Swamp]],TblConstr[[#This Row],[Home Land]])+IF(TblConstr[[#This Row],[Hour]:[Hour]]&gt;12,OFFSET(TblExplore[[#This Row],[Swamp Explore]],-12,0),0)</f>
        <v>0</v>
      </c>
      <c r="CV29" s="185">
        <f ca="1" xml:space="preserve"> - SUM(TblConstr[[#This Row],[DM]:[Sch]])+SUM(TblConstr[[#This Row],[Dest DM]:[Dest Sch]]) +Rezone!Q29 + IF("Ch_" &amp; home_land=TblConstr[[#Headers],[Ch_Cavern]],TblConstr[[#This Row],[Home Land]])+IF(TblConstr[[#This Row],[Hour]:[Hour]]&gt;12,OFFSET(TblExplore[[#This Row],[Cavern Explore]],-12,0),0)</f>
        <v>0</v>
      </c>
      <c r="CW29" s="186">
        <f ca="1">-TblConstr[[#This Row],[Doc]]+TblConstr[[#This Row],[Dest Doc]] +Rezone!R29 + IF("Ch_" &amp; home_land=TblConstr[[#Headers],[Ch_Water]],TblConstr[[#This Row],[Home Land]])+IF(TblConstr[[#This Row],[Hour]:[Hour]]&gt;12,OFFSET(TblExplore[[#This Row],[Water Explore]],-12,0),0)</f>
        <v>0</v>
      </c>
      <c r="CX29" s="45">
        <f>IF(Explore!S29=1,20) - TblConstr[[#This Row],[Hom]] + TblConstr[[#This Row],[Dest Hom]]</f>
        <v>0</v>
      </c>
      <c r="CY29" s="142"/>
      <c r="CZ29" s="94">
        <f t="shared" ca="1" si="3"/>
        <v>90</v>
      </c>
      <c r="DA29" s="94">
        <f t="shared" ca="1" si="4"/>
        <v>20</v>
      </c>
      <c r="DB29" s="45">
        <f t="shared" ca="1" si="5"/>
        <v>0</v>
      </c>
      <c r="DC29" s="94">
        <f t="shared" ca="1" si="6"/>
        <v>0</v>
      </c>
      <c r="DD29" s="94">
        <f t="shared" ca="1" si="7"/>
        <v>0</v>
      </c>
      <c r="DE29" s="45">
        <f t="shared" ca="1" si="8"/>
        <v>0</v>
      </c>
      <c r="DF29" s="94">
        <f t="shared" ca="1" si="9"/>
        <v>0</v>
      </c>
      <c r="DG29" s="94" cm="1">
        <f t="array" aca="1" ref="DG29" ca="1">INDEX(TblConstr[[Total Plain]:[Total Water]],ROW()-ROW(TblConstr[#Headers]),MATCH("Total "&amp;home_land,TblConstr[[#Headers],[Total Plain]:[Total Water]],0))+TblConstr[[#This Row],[Homes]]</f>
        <v>90</v>
      </c>
      <c r="DH29" s="45">
        <f t="shared" ca="1" si="10"/>
        <v>0</v>
      </c>
      <c r="DI29" s="45">
        <f t="shared" ca="1" si="0"/>
        <v>0</v>
      </c>
      <c r="DJ29" s="45">
        <f t="shared" ca="1" si="1"/>
        <v>0</v>
      </c>
    </row>
    <row r="30" spans="1:114" x14ac:dyDescent="0.2">
      <c r="A30" s="175">
        <f>TblRezone[[#This Row],[Hour]]</f>
        <v>27</v>
      </c>
      <c r="B30" s="176">
        <f ca="1">SUM(TblConstr[[#This Row],[Plain]:[Water]])</f>
        <v>60</v>
      </c>
      <c r="C30" s="177">
        <f ca="1">SUM(TblConstr[[#This Row],[Tot Hom]:[Tot Doc]])</f>
        <v>50</v>
      </c>
      <c r="D30" s="177">
        <f t="shared" si="2"/>
        <v>0</v>
      </c>
      <c r="E30" s="178"/>
      <c r="F30" s="61">
        <f ca="1">TblConstr[[#This Row],[Barren]]+TblConstr[[#This Row],[Buildings]]+TblConstr[[#This Row],[Incoming]]</f>
        <v>110</v>
      </c>
      <c r="G30" s="187">
        <f ca="1">OFFSET(TblConstr[[#This Row],[Plain]],-1,0)+TblConstr[[#This Row],[Ch_Plain]]</f>
        <v>60</v>
      </c>
      <c r="H30" s="182">
        <f ca="1">OFFSET(TblConstr[[#This Row],[Forest]],-1,0)+TblConstr[[#This Row],[Ch_Forest]]</f>
        <v>0</v>
      </c>
      <c r="I30" s="359">
        <f ca="1">OFFSET(TblConstr[[#This Row],[Mountain]],-1,0)+TblConstr[[#This Row],[Ch_Mountain]]</f>
        <v>0</v>
      </c>
      <c r="J30" s="363">
        <f ca="1">OFFSET(TblConstr[[#This Row],[Hill]],-1,0)+TblConstr[[#This Row],[Ch_Hill]]</f>
        <v>0</v>
      </c>
      <c r="K30" s="367">
        <f ca="1">OFFSET(TblConstr[[#This Row],[Swamp]],-1,0)+TblConstr[[#This Row],[Ch_Swamp]]</f>
        <v>0</v>
      </c>
      <c r="L30" s="185">
        <f ca="1">OFFSET(TblConstr[[#This Row],[Cavern]],-1,0)+TblConstr[[#This Row],[Ch_Cavern]]</f>
        <v>0</v>
      </c>
      <c r="M30" s="186">
        <f ca="1">OFFSET(TblConstr[[#This Row],[Water]],-1,0)+TblConstr[[#This Row],[Ch_Water]]</f>
        <v>0</v>
      </c>
      <c r="N30" s="357">
        <f>TblRezone[[#This Row],[Hour]]</f>
        <v>27</v>
      </c>
      <c r="O30" s="179"/>
      <c r="P30" s="179"/>
      <c r="Q30" s="179"/>
      <c r="R30" s="179"/>
      <c r="S30" s="179"/>
      <c r="T30" s="179"/>
      <c r="U30" s="179"/>
      <c r="V30" s="179"/>
      <c r="W30" s="179"/>
      <c r="X30" s="179"/>
      <c r="Y30" s="179"/>
      <c r="Z30" s="179"/>
      <c r="AA30" s="179"/>
      <c r="AB30" s="179"/>
      <c r="AC30" s="179"/>
      <c r="AD30" s="179"/>
      <c r="AE30" s="179"/>
      <c r="AF30" s="179"/>
      <c r="AG30" s="179"/>
      <c r="AH30" s="53">
        <f ca="1">TblImps[[#This Row],[Time]]</f>
        <v>46048.08333333327</v>
      </c>
      <c r="AI30" s="180">
        <f ca="1">MIN(25%,(TblConstr[[#This Row],[Tot Fac]]+TblConstr[[#This Row],[Dest Fac]])/(TblConstr[[#This Row],[Land]]-TblExplore[[#This Row],[Land Bonus]]*20))</f>
        <v>0</v>
      </c>
      <c r="AJ30" s="180">
        <f ca="1">MIN(25%,(TblConstr[[#This Row],[Tot Fac]]+TblConstr[[#This Row],[Dest Fac]])/TblConstr[[#This Row],[Land]])</f>
        <v>0</v>
      </c>
      <c r="AK30" s="94">
        <f ca="1">TblProd[[#This Row],[Platinum]]</f>
        <v>91525</v>
      </c>
      <c r="AL30" s="94">
        <f ca="1">TblProd[[#This Row],[Lumber]]</f>
        <v>34545</v>
      </c>
      <c r="AM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0" s="94">
        <f ca="1">ROUNDDOWN( MAX(1 - MIN(facs_constr_factor*TblConstr[[#This Row],[Facs -DB]],facs_constr_max) + tech_1_11*TblTech[[#This Row],[11-1]] + tech_6_3_2*TblTech[[#This Row],[6-3]] + tech_5_2_3*TblTech[[#This Row],[5-2]], 1-global_constr_cap) * TblConstr[[#This Row],[RCPA Lumber]],0)</f>
        <v>48</v>
      </c>
      <c r="AO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0" s="94">
        <f ca="1">ROUNDDOWN( MAX(1 - MIN(facs_constr_factor*TblConstr[[#This Row],[Facs DB]],facs_constr_max) + tech_1_11*TblTech[[#This Row],[1-11]] + tech_6_3_2*TblTech[[#This Row],[6-3]] + tech_5_2_3*TblTech[[#This Row],[5-2]], 1-global_constr_cap) * ROUND((TblConstr[[#This Row],[Land]]-250)*0.285 + 87.5 + 0/4.25,0),0)</f>
        <v>48</v>
      </c>
      <c r="AQ30" s="45">
        <f ca="1">TblConstr[[#This Row],[build -db]]*TblConstr[[#This Row],[CPA Platinum -DB]] + TblConstr[[#This Row],[build db]]*TblConstr[[#This Row],[CPA Platinum DB]]</f>
        <v>0</v>
      </c>
      <c r="AR30" s="45">
        <f ca="1">TblConstr[[#This Row],[build -db]]*TblConstr[[#This Row],[CPA Lumber -DB]] + TblConstr[[#This Row],[build db]]*TblConstr[[#This Row],[CPA Lumber DB]]</f>
        <v>0</v>
      </c>
      <c r="AS30" s="94">
        <f ca="1">MIN(SUM(OFFSET(TblConstr[[#This Row],[Plain]:[Water]],-1,0))+SUM(TblConstr[[#This Row],[Dest Hom]:[Dest Doc]])+IF(TblConstr[[#This Row],[Hour]]&gt;12,SUM(OFFSET(TblExplore[[#This Row],[Plains Explore]:[Water Explore]],-12,0)),0),SUM(TblConstr[[#This Row],[Hom]:[Doc]]))</f>
        <v>0</v>
      </c>
      <c r="AT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0" s="142"/>
      <c r="AV30" s="94">
        <f ca="1">ROUND((TblConstr[[#This Row],[Land]]-250 - IF(TblExplore[[#This Row],[Land Bonus]]&lt;&gt;0,20,0))*1.25 + 850 + 0,0)</f>
        <v>675</v>
      </c>
      <c r="AW30" s="94">
        <f ca="1">ROUND((TblConstr[[#This Row],[Land]]-250 - IF(TblExplore[[#This Row],[Land Bonus]]&lt;&gt;0,20,0))*0.285 + 87.5 + 0/4.25,0)</f>
        <v>48</v>
      </c>
      <c r="AX30" s="154"/>
      <c r="AY30" s="188" cm="1">
        <f t="array" aca="1" ref="AY30" ca="1">IF(TblConstr[[#This Row],[Hour]:[Hour]]&gt;12,OFFSET(TblConstr[[#This Row],[Hom]],-12,0),0)+OFFSET(TblConstr[[#This Row],[Tot Hom]],-1,0)-TblConstr[[#This Row],[Dest Hom]]</f>
        <v>0</v>
      </c>
      <c r="AZ30" s="189" cm="1">
        <f t="array" aca="1" ref="AZ30" ca="1">IF(TblConstr[[#This Row],[Hour]:[Hour]]&gt;12,OFFSET(TblConstr[[#This Row],[Alc]],-12,0),0)+OFFSET(TblConstr[[#This Row],[Tot Alc]],-1,0)-TblConstr[[#This Row],[Dest Alc]]</f>
        <v>0</v>
      </c>
      <c r="BA30" s="189" cm="1">
        <f t="array" aca="1" ref="BA30" ca="1">IF(TblConstr[[#This Row],[Hour]:[Hour]]&gt;12,OFFSET(TblConstr[[#This Row],[Far]],-12,0),0)+OFFSET(TblConstr[[#This Row],[Tot Farm]],-1,0)-TblConstr[[#This Row],[Dest Farm]]</f>
        <v>30</v>
      </c>
      <c r="BB30" s="189" cm="1">
        <f t="array" aca="1" ref="BB30" ca="1">IF(TblConstr[[#This Row],[Hour]:[Hour]]&gt;12,OFFSET(TblConstr[[#This Row],[Smi]],-12,0),0)+OFFSET(TblConstr[[#This Row],[Tot Smi]],-1,0)-TblConstr[[#This Row],[Dest Smi]]</f>
        <v>0</v>
      </c>
      <c r="BC30" s="189" cm="1">
        <f t="array" aca="1" ref="BC30" ca="1">IF(TblConstr[[#This Row],[Hour]:[Hour]]&gt;12,OFFSET(TblConstr[[#This Row],[Mas]],-12,0),0)+OFFSET(TblConstr[[#This Row],[Tot Mas]],-1,0)-TblConstr[[#This Row],[Dest Mas]]</f>
        <v>0</v>
      </c>
      <c r="BD30" s="190" cm="1">
        <f t="array" aca="1" ref="BD30" ca="1">IF(TblConstr[[#This Row],[Hour]:[Hour]]&gt;12,OFFSET(TblConstr[[#This Row],[Ly]],-12,0),0)+OFFSET(TblConstr[[#This Row],[Tot Ly]],-1,0)-TblConstr[[#This Row],[Dest Ly]]</f>
        <v>20</v>
      </c>
      <c r="BE30" s="190" cm="1">
        <f t="array" aca="1" ref="BE30" ca="1">IF(TblConstr[[#This Row],[Hour]:[Hour]]&gt;12,OFFSET(TblConstr[[#This Row],[Hav]],-12,0),0)+OFFSET(TblConstr[[#This Row],[Tot Hav]],-1,0)-TblConstr[[#This Row],[Dest Hav]]</f>
        <v>0</v>
      </c>
      <c r="BF30" s="361" cm="1">
        <f t="array" aca="1" ref="BF30" ca="1">IF(TblConstr[[#This Row],[Hour]:[Hour]]&gt;12,OFFSET(TblConstr[[#This Row],[OM]],-12,0),0)+OFFSET(TblConstr[[#This Row],[Tot OM]],-1,0)-TblConstr[[#This Row],[Dest OM]]</f>
        <v>0</v>
      </c>
      <c r="BG30" s="361" cm="1">
        <f t="array" aca="1" ref="BG30" ca="1">IF(TblConstr[[#This Row],[Hour]:[Hour]]&gt;12,OFFSET(TblConstr[[#This Row],[GN]],-12,0),0)+OFFSET(TblConstr[[#This Row],[Tot GN]],-1,0)-TblConstr[[#This Row],[Dest GN]]</f>
        <v>0</v>
      </c>
      <c r="BH30" s="365" cm="1">
        <f t="array" aca="1" ref="BH30" ca="1">IF(TblConstr[[#This Row],[Hour]:[Hour]]&gt;12,OFFSET(TblConstr[[#This Row],[Fac]],-12,0),0)+OFFSET(TblConstr[[#This Row],[Tot Fac]],-1,0)-TblConstr[[#This Row],[Dest Fac]]</f>
        <v>0</v>
      </c>
      <c r="BI30" s="365" cm="1">
        <f t="array" aca="1" ref="BI30" ca="1">IF(TblConstr[[#This Row],[Hour]:[Hour]]&gt;12,OFFSET(TblConstr[[#This Row],[GT]],-12,0),0)+OFFSET(TblConstr[[#This Row],[Tot GT]],-1,0)-TblConstr[[#This Row],[Dest GT]]</f>
        <v>0</v>
      </c>
      <c r="BJ30" s="365" cm="1">
        <f t="array" aca="1" ref="BJ30" ca="1">IF(TblConstr[[#This Row],[Hour]:[Hour]]&gt;12,OFFSET(TblConstr[[#This Row],[Bar]],-12,0),0)+OFFSET(TblConstr[[#This Row],[Tot Bar]],-1,0)-TblConstr[[#This Row],[Dest Bar]]</f>
        <v>0</v>
      </c>
      <c r="BK30" s="365" cm="1">
        <f t="array" aca="1" ref="BK30" ca="1">IF(TblConstr[[#This Row],[Hour]:[Hour]]&gt;12,OFFSET(TblConstr[[#This Row],[Shr]],-12,0),0)+OFFSET(TblConstr[[#This Row],[Tot Shr]],-1,0)-TblConstr[[#This Row],[Dest Shr]]</f>
        <v>0</v>
      </c>
      <c r="BL30" s="369" cm="1">
        <f t="array" aca="1" ref="BL30" ca="1">IF(TblConstr[[#This Row],[Hour]:[Hour]]&gt;12,OFFSET(TblConstr[[#This Row],[Tow]],-12,0),0)+OFFSET(TblConstr[[#This Row],[Tot Tow]],-1,0)-TblConstr[[#This Row],[Dest Tow]]</f>
        <v>0</v>
      </c>
      <c r="BM30" s="369" cm="1">
        <f t="array" aca="1" ref="BM30" ca="1">IF(TblConstr[[#This Row],[Hour]:[Hour]]&gt;12,OFFSET(TblConstr[[#This Row],[Tem]],-12,0),0)+OFFSET(TblConstr[[#This Row],[Tot Tem]],-1,0)-TblConstr[[#This Row],[Dest Tem]]</f>
        <v>0</v>
      </c>
      <c r="BN30" s="369" cm="1">
        <f t="array" aca="1" ref="BN30" ca="1">IF(TblConstr[[#This Row],[Hour]:[Hour]]&gt;12,OFFSET(TblConstr[[#This Row],[WG]],-12,0),0)+OFFSET(TblConstr[[#This Row],[Tot WG]],-1,0)-TblConstr[[#This Row],[Dest WG]]</f>
        <v>0</v>
      </c>
      <c r="BO30" s="191" cm="1">
        <f t="array" aca="1" ref="BO30" ca="1">IF(TblConstr[[#This Row],[Hour]:[Hour]]&gt;12,OFFSET(TblConstr[[#This Row],[DM]],-12,0),0)+OFFSET(TblConstr[[#This Row],[Tot DM]],-1,0)-TblConstr[[#This Row],[Dest DM]]</f>
        <v>0</v>
      </c>
      <c r="BP30" s="191" cm="1">
        <f t="array" aca="1" ref="BP30" ca="1">IF(TblConstr[[#This Row],[Hour]:[Hour]]&gt;12,OFFSET(TblConstr[[#This Row],[Sch]],-12,0),0)+OFFSET(TblConstr[[#This Row],[Tot Sch]],-1,0)-TblConstr[[#This Row],[Dest Sch]]</f>
        <v>0</v>
      </c>
      <c r="BQ30" s="192" cm="1">
        <f t="array" aca="1" ref="BQ30" ca="1">IF(TblConstr[[#This Row],[Hour]:[Hour]]&gt;12,OFFSET(TblConstr[[#This Row],[Doc]],-12,0),0)+OFFSET(TblConstr[[#This Row],[Tot Doc]],-1,0)-TblConstr[[#This Row],[Dest Doc]]</f>
        <v>0</v>
      </c>
      <c r="BR30" s="142"/>
      <c r="BS30" s="154"/>
      <c r="BT30" s="94">
        <f ca="1">TblConstr[[#This Row],[Land]]</f>
        <v>110</v>
      </c>
      <c r="BU30" s="159">
        <f ca="1">TblImps[[#This Row],[Time]]</f>
        <v>46048.08333333327</v>
      </c>
      <c r="BV30" s="142"/>
      <c r="BW30" s="179"/>
      <c r="BX30" s="179"/>
      <c r="BY30" s="179"/>
      <c r="BZ30" s="179"/>
      <c r="CA30" s="179"/>
      <c r="CB30" s="179"/>
      <c r="CC30" s="179"/>
      <c r="CD30" s="179"/>
      <c r="CE30" s="179"/>
      <c r="CF30" s="179"/>
      <c r="CG30" s="179"/>
      <c r="CH30" s="179"/>
      <c r="CI30" s="179"/>
      <c r="CJ30" s="179"/>
      <c r="CK30" s="179"/>
      <c r="CL30" s="179"/>
      <c r="CM30" s="179"/>
      <c r="CN30" s="179"/>
      <c r="CO30" s="179"/>
      <c r="CP30" s="142"/>
      <c r="CQ30" s="181">
        <f ca="1">-SUM(TblConstr[[#This Row],[Alc]:[Mas]])+SUM(TblConstr[[#This Row],[Dest Alc]:[Dest Mas]])+Rezone!L30+IF("Ch_"&amp; home_land=TblConstr[[#Headers],[Ch_Plain]],TblConstr[[#This Row],[Home Land]])+IF(TblConstr[[#This Row],[Hour]:[Hour]]&gt;12,OFFSET(TblExplore[[#This Row],[Plains Explore]],-12,0),0)</f>
        <v>0</v>
      </c>
      <c r="CR30" s="182">
        <f ca="1">-SUM(TblConstr[[#This Row],[Ly]:[Hav]])+SUM(TblConstr[[#This Row],[Dest Ly]:[Dest Hav]]) +Rezone!M30 + IF("Ch_"&amp; home_land=TblConstr[[#Headers],[Ch_Forest]],TblConstr[[#This Row],[Home Land]])+IF(TblConstr[[#This Row],[Hour]:[Hour]]&gt;12,OFFSET(TblExplore[[#This Row],[Forest Explore]],-12,0),0)</f>
        <v>0</v>
      </c>
      <c r="CS30" s="359">
        <f ca="1">-SUM(TblConstr[[#This Row],[OM]:[GN]])+SUM(TblConstr[[#This Row],[Dest OM]:[Dest GN]]) +Rezone!N30 + IF("Ch_"&amp; home_land=TblConstr[[#Headers],[Ch_Mountain]],TblConstr[[#This Row],[Home Land]])+IF(TblConstr[[#This Row],[Hour]:[Hour]]&gt;12,OFFSET(TblExplore[[#This Row],[Mountain Explore]],-12,0),0)</f>
        <v>0</v>
      </c>
      <c r="CT30" s="183">
        <f ca="1">-SUM(TblConstr[[#This Row],[Fac]:[Shr]])+SUM(TblConstr[[#This Row],[Dest Fac]:[Dest Shr]]) +Rezone!O30 + IF("Ch_" &amp; home_land=TblConstr[[#Headers],[Ch_Hill]],TblConstr[[#This Row],[Home Land]])+IF(TblConstr[[#This Row],[Hour]:[Hour]]&gt;12,OFFSET(TblExplore[[#This Row],[Hill Explore]],-12,0),0)</f>
        <v>0</v>
      </c>
      <c r="CU30" s="184">
        <f ca="1">-SUM(TblConstr[[#This Row],[Tow]:[WG]])+SUM(TblConstr[[#This Row],[Dest Tow]:[Dest WG]]) +Rezone!P30 + IF("Ch_" &amp; home_land=TblConstr[[#Headers],[Ch_Swamp]],TblConstr[[#This Row],[Home Land]])+IF(TblConstr[[#This Row],[Hour]:[Hour]]&gt;12,OFFSET(TblExplore[[#This Row],[Swamp Explore]],-12,0),0)</f>
        <v>0</v>
      </c>
      <c r="CV30" s="185">
        <f ca="1" xml:space="preserve"> - SUM(TblConstr[[#This Row],[DM]:[Sch]])+SUM(TblConstr[[#This Row],[Dest DM]:[Dest Sch]]) +Rezone!Q30 + IF("Ch_" &amp; home_land=TblConstr[[#Headers],[Ch_Cavern]],TblConstr[[#This Row],[Home Land]])+IF(TblConstr[[#This Row],[Hour]:[Hour]]&gt;12,OFFSET(TblExplore[[#This Row],[Cavern Explore]],-12,0),0)</f>
        <v>0</v>
      </c>
      <c r="CW30" s="186">
        <f ca="1">-TblConstr[[#This Row],[Doc]]+TblConstr[[#This Row],[Dest Doc]] +Rezone!R30 + IF("Ch_" &amp; home_land=TblConstr[[#Headers],[Ch_Water]],TblConstr[[#This Row],[Home Land]])+IF(TblConstr[[#This Row],[Hour]:[Hour]]&gt;12,OFFSET(TblExplore[[#This Row],[Water Explore]],-12,0),0)</f>
        <v>0</v>
      </c>
      <c r="CX30" s="45">
        <f>IF(Explore!S30=1,20) - TblConstr[[#This Row],[Hom]] + TblConstr[[#This Row],[Dest Hom]]</f>
        <v>0</v>
      </c>
      <c r="CY30" s="142"/>
      <c r="CZ30" s="94">
        <f t="shared" ca="1" si="3"/>
        <v>90</v>
      </c>
      <c r="DA30" s="94">
        <f t="shared" ca="1" si="4"/>
        <v>20</v>
      </c>
      <c r="DB30" s="45">
        <f t="shared" ca="1" si="5"/>
        <v>0</v>
      </c>
      <c r="DC30" s="94">
        <f t="shared" ca="1" si="6"/>
        <v>0</v>
      </c>
      <c r="DD30" s="94">
        <f t="shared" ca="1" si="7"/>
        <v>0</v>
      </c>
      <c r="DE30" s="45">
        <f t="shared" ca="1" si="8"/>
        <v>0</v>
      </c>
      <c r="DF30" s="94">
        <f t="shared" ca="1" si="9"/>
        <v>0</v>
      </c>
      <c r="DG30" s="94" cm="1">
        <f t="array" aca="1" ref="DG30" ca="1">INDEX(TblConstr[[Total Plain]:[Total Water]],ROW()-ROW(TblConstr[#Headers]),MATCH("Total "&amp;home_land,TblConstr[[#Headers],[Total Plain]:[Total Water]],0))+TblConstr[[#This Row],[Homes]]</f>
        <v>90</v>
      </c>
      <c r="DH30" s="45">
        <f t="shared" ca="1" si="10"/>
        <v>0</v>
      </c>
      <c r="DI30" s="45">
        <f t="shared" ca="1" si="0"/>
        <v>0</v>
      </c>
      <c r="DJ30" s="45">
        <f t="shared" ca="1" si="1"/>
        <v>0</v>
      </c>
    </row>
    <row r="31" spans="1:114" x14ac:dyDescent="0.2">
      <c r="A31" s="175">
        <f>TblRezone[[#This Row],[Hour]]</f>
        <v>28</v>
      </c>
      <c r="B31" s="176">
        <f ca="1">SUM(TblConstr[[#This Row],[Plain]:[Water]])</f>
        <v>60</v>
      </c>
      <c r="C31" s="177">
        <f ca="1">SUM(TblConstr[[#This Row],[Tot Hom]:[Tot Doc]])</f>
        <v>50</v>
      </c>
      <c r="D31" s="177">
        <f t="shared" si="2"/>
        <v>0</v>
      </c>
      <c r="E31" s="178"/>
      <c r="F31" s="61">
        <f ca="1">TblConstr[[#This Row],[Barren]]+TblConstr[[#This Row],[Buildings]]+TblConstr[[#This Row],[Incoming]]</f>
        <v>110</v>
      </c>
      <c r="G31" s="187">
        <f ca="1">OFFSET(TblConstr[[#This Row],[Plain]],-1,0)+TblConstr[[#This Row],[Ch_Plain]]</f>
        <v>60</v>
      </c>
      <c r="H31" s="182">
        <f ca="1">OFFSET(TblConstr[[#This Row],[Forest]],-1,0)+TblConstr[[#This Row],[Ch_Forest]]</f>
        <v>0</v>
      </c>
      <c r="I31" s="359">
        <f ca="1">OFFSET(TblConstr[[#This Row],[Mountain]],-1,0)+TblConstr[[#This Row],[Ch_Mountain]]</f>
        <v>0</v>
      </c>
      <c r="J31" s="363">
        <f ca="1">OFFSET(TblConstr[[#This Row],[Hill]],-1,0)+TblConstr[[#This Row],[Ch_Hill]]</f>
        <v>0</v>
      </c>
      <c r="K31" s="367">
        <f ca="1">OFFSET(TblConstr[[#This Row],[Swamp]],-1,0)+TblConstr[[#This Row],[Ch_Swamp]]</f>
        <v>0</v>
      </c>
      <c r="L31" s="185">
        <f ca="1">OFFSET(TblConstr[[#This Row],[Cavern]],-1,0)+TblConstr[[#This Row],[Ch_Cavern]]</f>
        <v>0</v>
      </c>
      <c r="M31" s="186">
        <f ca="1">OFFSET(TblConstr[[#This Row],[Water]],-1,0)+TblConstr[[#This Row],[Ch_Water]]</f>
        <v>0</v>
      </c>
      <c r="N31" s="357">
        <f>TblRezone[[#This Row],[Hour]]</f>
        <v>28</v>
      </c>
      <c r="O31" s="179"/>
      <c r="P31" s="158"/>
      <c r="Q31" s="179"/>
      <c r="R31" s="179"/>
      <c r="S31" s="179"/>
      <c r="T31" s="179"/>
      <c r="U31" s="179"/>
      <c r="V31" s="179"/>
      <c r="W31" s="179"/>
      <c r="X31" s="179"/>
      <c r="Y31" s="179"/>
      <c r="Z31" s="179"/>
      <c r="AA31" s="179"/>
      <c r="AB31" s="179"/>
      <c r="AC31" s="179"/>
      <c r="AD31" s="179"/>
      <c r="AE31" s="179"/>
      <c r="AF31" s="179"/>
      <c r="AG31" s="179"/>
      <c r="AH31" s="53">
        <f ca="1">TblImps[[#This Row],[Time]]</f>
        <v>46048.124999999935</v>
      </c>
      <c r="AI31" s="180">
        <f ca="1">MIN(25%,(TblConstr[[#This Row],[Tot Fac]]+TblConstr[[#This Row],[Dest Fac]])/(TblConstr[[#This Row],[Land]]-TblExplore[[#This Row],[Land Bonus]]*20))</f>
        <v>0</v>
      </c>
      <c r="AJ31" s="180">
        <f ca="1">MIN(25%,(TblConstr[[#This Row],[Tot Fac]]+TblConstr[[#This Row],[Dest Fac]])/TblConstr[[#This Row],[Land]])</f>
        <v>0</v>
      </c>
      <c r="AK31" s="94">
        <f ca="1">TblProd[[#This Row],[Platinum]]</f>
        <v>93560</v>
      </c>
      <c r="AL31" s="94">
        <f ca="1">TblProd[[#This Row],[Lumber]]</f>
        <v>35200</v>
      </c>
      <c r="AM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1" s="94">
        <f ca="1">ROUNDDOWN( MAX(1 - MIN(facs_constr_factor*TblConstr[[#This Row],[Facs -DB]],facs_constr_max) + tech_1_11*TblTech[[#This Row],[11-1]] + tech_6_3_2*TblTech[[#This Row],[6-3]] + tech_5_2_3*TblTech[[#This Row],[5-2]], 1-global_constr_cap) * TblConstr[[#This Row],[RCPA Lumber]],0)</f>
        <v>48</v>
      </c>
      <c r="AO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1" s="94">
        <f ca="1">ROUNDDOWN( MAX(1 - MIN(facs_constr_factor*TblConstr[[#This Row],[Facs DB]],facs_constr_max) + tech_1_11*TblTech[[#This Row],[1-11]] + tech_6_3_2*TblTech[[#This Row],[6-3]] + tech_5_2_3*TblTech[[#This Row],[5-2]], 1-global_constr_cap) * ROUND((TblConstr[[#This Row],[Land]]-250)*0.285 + 87.5 + 0/4.25,0),0)</f>
        <v>48</v>
      </c>
      <c r="AQ31" s="45">
        <f ca="1">TblConstr[[#This Row],[build -db]]*TblConstr[[#This Row],[CPA Platinum -DB]] + TblConstr[[#This Row],[build db]]*TblConstr[[#This Row],[CPA Platinum DB]]</f>
        <v>0</v>
      </c>
      <c r="AR31" s="45">
        <f ca="1">TblConstr[[#This Row],[build -db]]*TblConstr[[#This Row],[CPA Lumber -DB]] + TblConstr[[#This Row],[build db]]*TblConstr[[#This Row],[CPA Lumber DB]]</f>
        <v>0</v>
      </c>
      <c r="AS31" s="94">
        <f ca="1">MIN(SUM(OFFSET(TblConstr[[#This Row],[Plain]:[Water]],-1,0))+SUM(TblConstr[[#This Row],[Dest Hom]:[Dest Doc]])+IF(TblConstr[[#This Row],[Hour]]&gt;12,SUM(OFFSET(TblExplore[[#This Row],[Plains Explore]:[Water Explore]],-12,0)),0),SUM(TblConstr[[#This Row],[Hom]:[Doc]]))</f>
        <v>0</v>
      </c>
      <c r="AT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1" s="142"/>
      <c r="AV31" s="94">
        <f ca="1">ROUND((TblConstr[[#This Row],[Land]]-250 - IF(TblExplore[[#This Row],[Land Bonus]]&lt;&gt;0,20,0))*1.25 + 850 + 0,0)</f>
        <v>675</v>
      </c>
      <c r="AW31" s="94">
        <f ca="1">ROUND((TblConstr[[#This Row],[Land]]-250 - IF(TblExplore[[#This Row],[Land Bonus]]&lt;&gt;0,20,0))*0.285 + 87.5 + 0/4.25,0)</f>
        <v>48</v>
      </c>
      <c r="AX31" s="154"/>
      <c r="AY31" s="188" cm="1">
        <f t="array" aca="1" ref="AY31" ca="1">IF(TblConstr[[#This Row],[Hour]:[Hour]]&gt;12,OFFSET(TblConstr[[#This Row],[Hom]],-12,0),0)+OFFSET(TblConstr[[#This Row],[Tot Hom]],-1,0)-TblConstr[[#This Row],[Dest Hom]]</f>
        <v>0</v>
      </c>
      <c r="AZ31" s="189" cm="1">
        <f t="array" aca="1" ref="AZ31" ca="1">IF(TblConstr[[#This Row],[Hour]:[Hour]]&gt;12,OFFSET(TblConstr[[#This Row],[Alc]],-12,0),0)+OFFSET(TblConstr[[#This Row],[Tot Alc]],-1,0)-TblConstr[[#This Row],[Dest Alc]]</f>
        <v>0</v>
      </c>
      <c r="BA31" s="189" cm="1">
        <f t="array" aca="1" ref="BA31" ca="1">IF(TblConstr[[#This Row],[Hour]:[Hour]]&gt;12,OFFSET(TblConstr[[#This Row],[Far]],-12,0),0)+OFFSET(TblConstr[[#This Row],[Tot Farm]],-1,0)-TblConstr[[#This Row],[Dest Farm]]</f>
        <v>30</v>
      </c>
      <c r="BB31" s="189" cm="1">
        <f t="array" aca="1" ref="BB31" ca="1">IF(TblConstr[[#This Row],[Hour]:[Hour]]&gt;12,OFFSET(TblConstr[[#This Row],[Smi]],-12,0),0)+OFFSET(TblConstr[[#This Row],[Tot Smi]],-1,0)-TblConstr[[#This Row],[Dest Smi]]</f>
        <v>0</v>
      </c>
      <c r="BC31" s="189" cm="1">
        <f t="array" aca="1" ref="BC31" ca="1">IF(TblConstr[[#This Row],[Hour]:[Hour]]&gt;12,OFFSET(TblConstr[[#This Row],[Mas]],-12,0),0)+OFFSET(TblConstr[[#This Row],[Tot Mas]],-1,0)-TblConstr[[#This Row],[Dest Mas]]</f>
        <v>0</v>
      </c>
      <c r="BD31" s="190" cm="1">
        <f t="array" aca="1" ref="BD31" ca="1">IF(TblConstr[[#This Row],[Hour]:[Hour]]&gt;12,OFFSET(TblConstr[[#This Row],[Ly]],-12,0),0)+OFFSET(TblConstr[[#This Row],[Tot Ly]],-1,0)-TblConstr[[#This Row],[Dest Ly]]</f>
        <v>20</v>
      </c>
      <c r="BE31" s="190" cm="1">
        <f t="array" aca="1" ref="BE31" ca="1">IF(TblConstr[[#This Row],[Hour]:[Hour]]&gt;12,OFFSET(TblConstr[[#This Row],[Hav]],-12,0),0)+OFFSET(TblConstr[[#This Row],[Tot Hav]],-1,0)-TblConstr[[#This Row],[Dest Hav]]</f>
        <v>0</v>
      </c>
      <c r="BF31" s="361" cm="1">
        <f t="array" aca="1" ref="BF31" ca="1">IF(TblConstr[[#This Row],[Hour]:[Hour]]&gt;12,OFFSET(TblConstr[[#This Row],[OM]],-12,0),0)+OFFSET(TblConstr[[#This Row],[Tot OM]],-1,0)-TblConstr[[#This Row],[Dest OM]]</f>
        <v>0</v>
      </c>
      <c r="BG31" s="361" cm="1">
        <f t="array" aca="1" ref="BG31" ca="1">IF(TblConstr[[#This Row],[Hour]:[Hour]]&gt;12,OFFSET(TblConstr[[#This Row],[GN]],-12,0),0)+OFFSET(TblConstr[[#This Row],[Tot GN]],-1,0)-TblConstr[[#This Row],[Dest GN]]</f>
        <v>0</v>
      </c>
      <c r="BH31" s="365" cm="1">
        <f t="array" aca="1" ref="BH31" ca="1">IF(TblConstr[[#This Row],[Hour]:[Hour]]&gt;12,OFFSET(TblConstr[[#This Row],[Fac]],-12,0),0)+OFFSET(TblConstr[[#This Row],[Tot Fac]],-1,0)-TblConstr[[#This Row],[Dest Fac]]</f>
        <v>0</v>
      </c>
      <c r="BI31" s="365" cm="1">
        <f t="array" aca="1" ref="BI31" ca="1">IF(TblConstr[[#This Row],[Hour]:[Hour]]&gt;12,OFFSET(TblConstr[[#This Row],[GT]],-12,0),0)+OFFSET(TblConstr[[#This Row],[Tot GT]],-1,0)-TblConstr[[#This Row],[Dest GT]]</f>
        <v>0</v>
      </c>
      <c r="BJ31" s="365" cm="1">
        <f t="array" aca="1" ref="BJ31" ca="1">IF(TblConstr[[#This Row],[Hour]:[Hour]]&gt;12,OFFSET(TblConstr[[#This Row],[Bar]],-12,0),0)+OFFSET(TblConstr[[#This Row],[Tot Bar]],-1,0)-TblConstr[[#This Row],[Dest Bar]]</f>
        <v>0</v>
      </c>
      <c r="BK31" s="365" cm="1">
        <f t="array" aca="1" ref="BK31" ca="1">IF(TblConstr[[#This Row],[Hour]:[Hour]]&gt;12,OFFSET(TblConstr[[#This Row],[Shr]],-12,0),0)+OFFSET(TblConstr[[#This Row],[Tot Shr]],-1,0)-TblConstr[[#This Row],[Dest Shr]]</f>
        <v>0</v>
      </c>
      <c r="BL31" s="369" cm="1">
        <f t="array" aca="1" ref="BL31" ca="1">IF(TblConstr[[#This Row],[Hour]:[Hour]]&gt;12,OFFSET(TblConstr[[#This Row],[Tow]],-12,0),0)+OFFSET(TblConstr[[#This Row],[Tot Tow]],-1,0)-TblConstr[[#This Row],[Dest Tow]]</f>
        <v>0</v>
      </c>
      <c r="BM31" s="369" cm="1">
        <f t="array" aca="1" ref="BM31" ca="1">IF(TblConstr[[#This Row],[Hour]:[Hour]]&gt;12,OFFSET(TblConstr[[#This Row],[Tem]],-12,0),0)+OFFSET(TblConstr[[#This Row],[Tot Tem]],-1,0)-TblConstr[[#This Row],[Dest Tem]]</f>
        <v>0</v>
      </c>
      <c r="BN31" s="369" cm="1">
        <f t="array" aca="1" ref="BN31" ca="1">IF(TblConstr[[#This Row],[Hour]:[Hour]]&gt;12,OFFSET(TblConstr[[#This Row],[WG]],-12,0),0)+OFFSET(TblConstr[[#This Row],[Tot WG]],-1,0)-TblConstr[[#This Row],[Dest WG]]</f>
        <v>0</v>
      </c>
      <c r="BO31" s="191" cm="1">
        <f t="array" aca="1" ref="BO31" ca="1">IF(TblConstr[[#This Row],[Hour]:[Hour]]&gt;12,OFFSET(TblConstr[[#This Row],[DM]],-12,0),0)+OFFSET(TblConstr[[#This Row],[Tot DM]],-1,0)-TblConstr[[#This Row],[Dest DM]]</f>
        <v>0</v>
      </c>
      <c r="BP31" s="191" cm="1">
        <f t="array" aca="1" ref="BP31" ca="1">IF(TblConstr[[#This Row],[Hour]:[Hour]]&gt;12,OFFSET(TblConstr[[#This Row],[Sch]],-12,0),0)+OFFSET(TblConstr[[#This Row],[Tot Sch]],-1,0)-TblConstr[[#This Row],[Dest Sch]]</f>
        <v>0</v>
      </c>
      <c r="BQ31" s="192" cm="1">
        <f t="array" aca="1" ref="BQ31" ca="1">IF(TblConstr[[#This Row],[Hour]:[Hour]]&gt;12,OFFSET(TblConstr[[#This Row],[Doc]],-12,0),0)+OFFSET(TblConstr[[#This Row],[Tot Doc]],-1,0)-TblConstr[[#This Row],[Dest Doc]]</f>
        <v>0</v>
      </c>
      <c r="BR31" s="142"/>
      <c r="BS31" s="154"/>
      <c r="BT31" s="94">
        <f ca="1">TblConstr[[#This Row],[Land]]</f>
        <v>110</v>
      </c>
      <c r="BU31" s="159">
        <f ca="1">TblImps[[#This Row],[Time]]</f>
        <v>46048.124999999935</v>
      </c>
      <c r="BV31" s="142"/>
      <c r="BW31" s="179"/>
      <c r="BX31" s="179"/>
      <c r="BY31" s="179"/>
      <c r="BZ31" s="179"/>
      <c r="CA31" s="179"/>
      <c r="CB31" s="179"/>
      <c r="CC31" s="179"/>
      <c r="CD31" s="179"/>
      <c r="CE31" s="179"/>
      <c r="CF31" s="179"/>
      <c r="CG31" s="179"/>
      <c r="CH31" s="179"/>
      <c r="CI31" s="179"/>
      <c r="CJ31" s="179"/>
      <c r="CK31" s="179"/>
      <c r="CL31" s="179"/>
      <c r="CM31" s="179"/>
      <c r="CN31" s="179"/>
      <c r="CO31" s="179"/>
      <c r="CP31" s="142"/>
      <c r="CQ31" s="181">
        <f ca="1">-SUM(TblConstr[[#This Row],[Alc]:[Mas]])+SUM(TblConstr[[#This Row],[Dest Alc]:[Dest Mas]])+Rezone!L31+IF("Ch_"&amp; home_land=TblConstr[[#Headers],[Ch_Plain]],TblConstr[[#This Row],[Home Land]])+IF(TblConstr[[#This Row],[Hour]:[Hour]]&gt;12,OFFSET(TblExplore[[#This Row],[Plains Explore]],-12,0),0)</f>
        <v>0</v>
      </c>
      <c r="CR31" s="182">
        <f ca="1">-SUM(TblConstr[[#This Row],[Ly]:[Hav]])+SUM(TblConstr[[#This Row],[Dest Ly]:[Dest Hav]]) +Rezone!M31 + IF("Ch_"&amp; home_land=TblConstr[[#Headers],[Ch_Forest]],TblConstr[[#This Row],[Home Land]])+IF(TblConstr[[#This Row],[Hour]:[Hour]]&gt;12,OFFSET(TblExplore[[#This Row],[Forest Explore]],-12,0),0)</f>
        <v>0</v>
      </c>
      <c r="CS31" s="359">
        <f ca="1">-SUM(TblConstr[[#This Row],[OM]:[GN]])+SUM(TblConstr[[#This Row],[Dest OM]:[Dest GN]]) +Rezone!N31 + IF("Ch_"&amp; home_land=TblConstr[[#Headers],[Ch_Mountain]],TblConstr[[#This Row],[Home Land]])+IF(TblConstr[[#This Row],[Hour]:[Hour]]&gt;12,OFFSET(TblExplore[[#This Row],[Mountain Explore]],-12,0),0)</f>
        <v>0</v>
      </c>
      <c r="CT31" s="183">
        <f ca="1">-SUM(TblConstr[[#This Row],[Fac]:[Shr]])+SUM(TblConstr[[#This Row],[Dest Fac]:[Dest Shr]]) +Rezone!O31 + IF("Ch_" &amp; home_land=TblConstr[[#Headers],[Ch_Hill]],TblConstr[[#This Row],[Home Land]])+IF(TblConstr[[#This Row],[Hour]:[Hour]]&gt;12,OFFSET(TblExplore[[#This Row],[Hill Explore]],-12,0),0)</f>
        <v>0</v>
      </c>
      <c r="CU31" s="184">
        <f ca="1">-SUM(TblConstr[[#This Row],[Tow]:[WG]])+SUM(TblConstr[[#This Row],[Dest Tow]:[Dest WG]]) +Rezone!P31 + IF("Ch_" &amp; home_land=TblConstr[[#Headers],[Ch_Swamp]],TblConstr[[#This Row],[Home Land]])+IF(TblConstr[[#This Row],[Hour]:[Hour]]&gt;12,OFFSET(TblExplore[[#This Row],[Swamp Explore]],-12,0),0)</f>
        <v>0</v>
      </c>
      <c r="CV31" s="185">
        <f ca="1" xml:space="preserve"> - SUM(TblConstr[[#This Row],[DM]:[Sch]])+SUM(TblConstr[[#This Row],[Dest DM]:[Dest Sch]]) +Rezone!Q31 + IF("Ch_" &amp; home_land=TblConstr[[#Headers],[Ch_Cavern]],TblConstr[[#This Row],[Home Land]])+IF(TblConstr[[#This Row],[Hour]:[Hour]]&gt;12,OFFSET(TblExplore[[#This Row],[Cavern Explore]],-12,0),0)</f>
        <v>0</v>
      </c>
      <c r="CW31" s="186">
        <f ca="1">-TblConstr[[#This Row],[Doc]]+TblConstr[[#This Row],[Dest Doc]] +Rezone!R31 + IF("Ch_" &amp; home_land=TblConstr[[#Headers],[Ch_Water]],TblConstr[[#This Row],[Home Land]])+IF(TblConstr[[#This Row],[Hour]:[Hour]]&gt;12,OFFSET(TblExplore[[#This Row],[Water Explore]],-12,0),0)</f>
        <v>0</v>
      </c>
      <c r="CX31" s="45">
        <f>IF(Explore!S31=1,20) - TblConstr[[#This Row],[Hom]] + TblConstr[[#This Row],[Dest Hom]]</f>
        <v>0</v>
      </c>
      <c r="CY31" s="142"/>
      <c r="CZ31" s="94">
        <f t="shared" ca="1" si="3"/>
        <v>90</v>
      </c>
      <c r="DA31" s="94">
        <f t="shared" ca="1" si="4"/>
        <v>20</v>
      </c>
      <c r="DB31" s="45">
        <f t="shared" ca="1" si="5"/>
        <v>0</v>
      </c>
      <c r="DC31" s="94">
        <f t="shared" ca="1" si="6"/>
        <v>0</v>
      </c>
      <c r="DD31" s="94">
        <f t="shared" ca="1" si="7"/>
        <v>0</v>
      </c>
      <c r="DE31" s="45">
        <f t="shared" ca="1" si="8"/>
        <v>0</v>
      </c>
      <c r="DF31" s="94">
        <f t="shared" ca="1" si="9"/>
        <v>0</v>
      </c>
      <c r="DG31" s="94" cm="1">
        <f t="array" aca="1" ref="DG31" ca="1">INDEX(TblConstr[[Total Plain]:[Total Water]],ROW()-ROW(TblConstr[#Headers]),MATCH("Total "&amp;home_land,TblConstr[[#Headers],[Total Plain]:[Total Water]],0))+TblConstr[[#This Row],[Homes]]</f>
        <v>90</v>
      </c>
      <c r="DH31" s="45">
        <f t="shared" ca="1" si="10"/>
        <v>0</v>
      </c>
      <c r="DI31" s="45">
        <f t="shared" ca="1" si="0"/>
        <v>0</v>
      </c>
      <c r="DJ31" s="45">
        <f t="shared" ca="1" si="1"/>
        <v>0</v>
      </c>
    </row>
    <row r="32" spans="1:114" x14ac:dyDescent="0.2">
      <c r="A32" s="175">
        <f>TblRezone[[#This Row],[Hour]]</f>
        <v>29</v>
      </c>
      <c r="B32" s="176">
        <f ca="1">SUM(TblConstr[[#This Row],[Plain]:[Water]])</f>
        <v>60</v>
      </c>
      <c r="C32" s="177">
        <f ca="1">SUM(TblConstr[[#This Row],[Tot Hom]:[Tot Doc]])</f>
        <v>50</v>
      </c>
      <c r="D32" s="177">
        <f t="shared" si="2"/>
        <v>0</v>
      </c>
      <c r="E32" s="178"/>
      <c r="F32" s="61">
        <f ca="1">TblConstr[[#This Row],[Barren]]+TblConstr[[#This Row],[Buildings]]+TblConstr[[#This Row],[Incoming]]</f>
        <v>110</v>
      </c>
      <c r="G32" s="187">
        <f ca="1">OFFSET(TblConstr[[#This Row],[Plain]],-1,0)+TblConstr[[#This Row],[Ch_Plain]]</f>
        <v>60</v>
      </c>
      <c r="H32" s="182">
        <f ca="1">OFFSET(TblConstr[[#This Row],[Forest]],-1,0)+TblConstr[[#This Row],[Ch_Forest]]</f>
        <v>0</v>
      </c>
      <c r="I32" s="359">
        <f ca="1">OFFSET(TblConstr[[#This Row],[Mountain]],-1,0)+TblConstr[[#This Row],[Ch_Mountain]]</f>
        <v>0</v>
      </c>
      <c r="J32" s="363">
        <f ca="1">OFFSET(TblConstr[[#This Row],[Hill]],-1,0)+TblConstr[[#This Row],[Ch_Hill]]</f>
        <v>0</v>
      </c>
      <c r="K32" s="367">
        <f ca="1">OFFSET(TblConstr[[#This Row],[Swamp]],-1,0)+TblConstr[[#This Row],[Ch_Swamp]]</f>
        <v>0</v>
      </c>
      <c r="L32" s="185">
        <f ca="1">OFFSET(TblConstr[[#This Row],[Cavern]],-1,0)+TblConstr[[#This Row],[Ch_Cavern]]</f>
        <v>0</v>
      </c>
      <c r="M32" s="186">
        <f ca="1">OFFSET(TblConstr[[#This Row],[Water]],-1,0)+TblConstr[[#This Row],[Ch_Water]]</f>
        <v>0</v>
      </c>
      <c r="N32" s="357">
        <f>TblRezone[[#This Row],[Hour]]</f>
        <v>29</v>
      </c>
      <c r="O32" s="179"/>
      <c r="P32" s="158"/>
      <c r="Q32" s="179"/>
      <c r="R32" s="179"/>
      <c r="S32" s="179"/>
      <c r="T32" s="179"/>
      <c r="U32" s="179"/>
      <c r="V32" s="179"/>
      <c r="W32" s="179"/>
      <c r="X32" s="179"/>
      <c r="Y32" s="179"/>
      <c r="Z32" s="179"/>
      <c r="AA32" s="179"/>
      <c r="AB32" s="179"/>
      <c r="AC32" s="179"/>
      <c r="AD32" s="179"/>
      <c r="AE32" s="179"/>
      <c r="AF32" s="179"/>
      <c r="AG32" s="179"/>
      <c r="AH32" s="53">
        <f ca="1">TblImps[[#This Row],[Time]]</f>
        <v>46048.166666666599</v>
      </c>
      <c r="AI32" s="180">
        <f ca="1">MIN(25%,(TblConstr[[#This Row],[Tot Fac]]+TblConstr[[#This Row],[Dest Fac]])/(TblConstr[[#This Row],[Land]]-TblExplore[[#This Row],[Land Bonus]]*20))</f>
        <v>0</v>
      </c>
      <c r="AJ32" s="180">
        <f ca="1">MIN(25%,(TblConstr[[#This Row],[Tot Fac]]+TblConstr[[#This Row],[Dest Fac]])/TblConstr[[#This Row],[Land]])</f>
        <v>0</v>
      </c>
      <c r="AK32" s="94">
        <f ca="1">TblProd[[#This Row],[Platinum]]</f>
        <v>95622</v>
      </c>
      <c r="AL32" s="94">
        <f ca="1">TblProd[[#This Row],[Lumber]]</f>
        <v>35848</v>
      </c>
      <c r="AM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2" s="94">
        <f ca="1">ROUNDDOWN( MAX(1 - MIN(facs_constr_factor*TblConstr[[#This Row],[Facs -DB]],facs_constr_max) + tech_1_11*TblTech[[#This Row],[11-1]] + tech_6_3_2*TblTech[[#This Row],[6-3]] + tech_5_2_3*TblTech[[#This Row],[5-2]], 1-global_constr_cap) * TblConstr[[#This Row],[RCPA Lumber]],0)</f>
        <v>48</v>
      </c>
      <c r="AO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2" s="94">
        <f ca="1">ROUNDDOWN( MAX(1 - MIN(facs_constr_factor*TblConstr[[#This Row],[Facs DB]],facs_constr_max) + tech_1_11*TblTech[[#This Row],[1-11]] + tech_6_3_2*TblTech[[#This Row],[6-3]] + tech_5_2_3*TblTech[[#This Row],[5-2]], 1-global_constr_cap) * ROUND((TblConstr[[#This Row],[Land]]-250)*0.285 + 87.5 + 0/4.25,0),0)</f>
        <v>48</v>
      </c>
      <c r="AQ32" s="45">
        <f ca="1">TblConstr[[#This Row],[build -db]]*TblConstr[[#This Row],[CPA Platinum -DB]] + TblConstr[[#This Row],[build db]]*TblConstr[[#This Row],[CPA Platinum DB]]</f>
        <v>0</v>
      </c>
      <c r="AR32" s="45">
        <f ca="1">TblConstr[[#This Row],[build -db]]*TblConstr[[#This Row],[CPA Lumber -DB]] + TblConstr[[#This Row],[build db]]*TblConstr[[#This Row],[CPA Lumber DB]]</f>
        <v>0</v>
      </c>
      <c r="AS32" s="94">
        <f ca="1">MIN(SUM(OFFSET(TblConstr[[#This Row],[Plain]:[Water]],-1,0))+SUM(TblConstr[[#This Row],[Dest Hom]:[Dest Doc]])+IF(TblConstr[[#This Row],[Hour]]&gt;12,SUM(OFFSET(TblExplore[[#This Row],[Plains Explore]:[Water Explore]],-12,0)),0),SUM(TblConstr[[#This Row],[Hom]:[Doc]]))</f>
        <v>0</v>
      </c>
      <c r="AT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2" s="142"/>
      <c r="AV32" s="94">
        <f ca="1">ROUND((TblConstr[[#This Row],[Land]]-250 - IF(TblExplore[[#This Row],[Land Bonus]]&lt;&gt;0,20,0))*1.25 + 850 + 0,0)</f>
        <v>675</v>
      </c>
      <c r="AW32" s="94">
        <f ca="1">ROUND((TblConstr[[#This Row],[Land]]-250 - IF(TblExplore[[#This Row],[Land Bonus]]&lt;&gt;0,20,0))*0.285 + 87.5 + 0/4.25,0)</f>
        <v>48</v>
      </c>
      <c r="AX32" s="154"/>
      <c r="AY32" s="188" cm="1">
        <f t="array" aca="1" ref="AY32" ca="1">IF(TblConstr[[#This Row],[Hour]:[Hour]]&gt;12,OFFSET(TblConstr[[#This Row],[Hom]],-12,0),0)+OFFSET(TblConstr[[#This Row],[Tot Hom]],-1,0)-TblConstr[[#This Row],[Dest Hom]]</f>
        <v>0</v>
      </c>
      <c r="AZ32" s="189" cm="1">
        <f t="array" aca="1" ref="AZ32" ca="1">IF(TblConstr[[#This Row],[Hour]:[Hour]]&gt;12,OFFSET(TblConstr[[#This Row],[Alc]],-12,0),0)+OFFSET(TblConstr[[#This Row],[Tot Alc]],-1,0)-TblConstr[[#This Row],[Dest Alc]]</f>
        <v>0</v>
      </c>
      <c r="BA32" s="189" cm="1">
        <f t="array" aca="1" ref="BA32" ca="1">IF(TblConstr[[#This Row],[Hour]:[Hour]]&gt;12,OFFSET(TblConstr[[#This Row],[Far]],-12,0),0)+OFFSET(TblConstr[[#This Row],[Tot Farm]],-1,0)-TblConstr[[#This Row],[Dest Farm]]</f>
        <v>30</v>
      </c>
      <c r="BB32" s="189" cm="1">
        <f t="array" aca="1" ref="BB32" ca="1">IF(TblConstr[[#This Row],[Hour]:[Hour]]&gt;12,OFFSET(TblConstr[[#This Row],[Smi]],-12,0),0)+OFFSET(TblConstr[[#This Row],[Tot Smi]],-1,0)-TblConstr[[#This Row],[Dest Smi]]</f>
        <v>0</v>
      </c>
      <c r="BC32" s="189" cm="1">
        <f t="array" aca="1" ref="BC32" ca="1">IF(TblConstr[[#This Row],[Hour]:[Hour]]&gt;12,OFFSET(TblConstr[[#This Row],[Mas]],-12,0),0)+OFFSET(TblConstr[[#This Row],[Tot Mas]],-1,0)-TblConstr[[#This Row],[Dest Mas]]</f>
        <v>0</v>
      </c>
      <c r="BD32" s="190" cm="1">
        <f t="array" aca="1" ref="BD32" ca="1">IF(TblConstr[[#This Row],[Hour]:[Hour]]&gt;12,OFFSET(TblConstr[[#This Row],[Ly]],-12,0),0)+OFFSET(TblConstr[[#This Row],[Tot Ly]],-1,0)-TblConstr[[#This Row],[Dest Ly]]</f>
        <v>20</v>
      </c>
      <c r="BE32" s="190" cm="1">
        <f t="array" aca="1" ref="BE32" ca="1">IF(TblConstr[[#This Row],[Hour]:[Hour]]&gt;12,OFFSET(TblConstr[[#This Row],[Hav]],-12,0),0)+OFFSET(TblConstr[[#This Row],[Tot Hav]],-1,0)-TblConstr[[#This Row],[Dest Hav]]</f>
        <v>0</v>
      </c>
      <c r="BF32" s="361" cm="1">
        <f t="array" aca="1" ref="BF32" ca="1">IF(TblConstr[[#This Row],[Hour]:[Hour]]&gt;12,OFFSET(TblConstr[[#This Row],[OM]],-12,0),0)+OFFSET(TblConstr[[#This Row],[Tot OM]],-1,0)-TblConstr[[#This Row],[Dest OM]]</f>
        <v>0</v>
      </c>
      <c r="BG32" s="361" cm="1">
        <f t="array" aca="1" ref="BG32" ca="1">IF(TblConstr[[#This Row],[Hour]:[Hour]]&gt;12,OFFSET(TblConstr[[#This Row],[GN]],-12,0),0)+OFFSET(TblConstr[[#This Row],[Tot GN]],-1,0)-TblConstr[[#This Row],[Dest GN]]</f>
        <v>0</v>
      </c>
      <c r="BH32" s="365" cm="1">
        <f t="array" aca="1" ref="BH32" ca="1">IF(TblConstr[[#This Row],[Hour]:[Hour]]&gt;12,OFFSET(TblConstr[[#This Row],[Fac]],-12,0),0)+OFFSET(TblConstr[[#This Row],[Tot Fac]],-1,0)-TblConstr[[#This Row],[Dest Fac]]</f>
        <v>0</v>
      </c>
      <c r="BI32" s="365" cm="1">
        <f t="array" aca="1" ref="BI32" ca="1">IF(TblConstr[[#This Row],[Hour]:[Hour]]&gt;12,OFFSET(TblConstr[[#This Row],[GT]],-12,0),0)+OFFSET(TblConstr[[#This Row],[Tot GT]],-1,0)-TblConstr[[#This Row],[Dest GT]]</f>
        <v>0</v>
      </c>
      <c r="BJ32" s="365" cm="1">
        <f t="array" aca="1" ref="BJ32" ca="1">IF(TblConstr[[#This Row],[Hour]:[Hour]]&gt;12,OFFSET(TblConstr[[#This Row],[Bar]],-12,0),0)+OFFSET(TblConstr[[#This Row],[Tot Bar]],-1,0)-TblConstr[[#This Row],[Dest Bar]]</f>
        <v>0</v>
      </c>
      <c r="BK32" s="365" cm="1">
        <f t="array" aca="1" ref="BK32" ca="1">IF(TblConstr[[#This Row],[Hour]:[Hour]]&gt;12,OFFSET(TblConstr[[#This Row],[Shr]],-12,0),0)+OFFSET(TblConstr[[#This Row],[Tot Shr]],-1,0)-TblConstr[[#This Row],[Dest Shr]]</f>
        <v>0</v>
      </c>
      <c r="BL32" s="369" cm="1">
        <f t="array" aca="1" ref="BL32" ca="1">IF(TblConstr[[#This Row],[Hour]:[Hour]]&gt;12,OFFSET(TblConstr[[#This Row],[Tow]],-12,0),0)+OFFSET(TblConstr[[#This Row],[Tot Tow]],-1,0)-TblConstr[[#This Row],[Dest Tow]]</f>
        <v>0</v>
      </c>
      <c r="BM32" s="369" cm="1">
        <f t="array" aca="1" ref="BM32" ca="1">IF(TblConstr[[#This Row],[Hour]:[Hour]]&gt;12,OFFSET(TblConstr[[#This Row],[Tem]],-12,0),0)+OFFSET(TblConstr[[#This Row],[Tot Tem]],-1,0)-TblConstr[[#This Row],[Dest Tem]]</f>
        <v>0</v>
      </c>
      <c r="BN32" s="369" cm="1">
        <f t="array" aca="1" ref="BN32" ca="1">IF(TblConstr[[#This Row],[Hour]:[Hour]]&gt;12,OFFSET(TblConstr[[#This Row],[WG]],-12,0),0)+OFFSET(TblConstr[[#This Row],[Tot WG]],-1,0)-TblConstr[[#This Row],[Dest WG]]</f>
        <v>0</v>
      </c>
      <c r="BO32" s="191" cm="1">
        <f t="array" aca="1" ref="BO32" ca="1">IF(TblConstr[[#This Row],[Hour]:[Hour]]&gt;12,OFFSET(TblConstr[[#This Row],[DM]],-12,0),0)+OFFSET(TblConstr[[#This Row],[Tot DM]],-1,0)-TblConstr[[#This Row],[Dest DM]]</f>
        <v>0</v>
      </c>
      <c r="BP32" s="191" cm="1">
        <f t="array" aca="1" ref="BP32" ca="1">IF(TblConstr[[#This Row],[Hour]:[Hour]]&gt;12,OFFSET(TblConstr[[#This Row],[Sch]],-12,0),0)+OFFSET(TblConstr[[#This Row],[Tot Sch]],-1,0)-TblConstr[[#This Row],[Dest Sch]]</f>
        <v>0</v>
      </c>
      <c r="BQ32" s="192" cm="1">
        <f t="array" aca="1" ref="BQ32" ca="1">IF(TblConstr[[#This Row],[Hour]:[Hour]]&gt;12,OFFSET(TblConstr[[#This Row],[Doc]],-12,0),0)+OFFSET(TblConstr[[#This Row],[Tot Doc]],-1,0)-TblConstr[[#This Row],[Dest Doc]]</f>
        <v>0</v>
      </c>
      <c r="BR32" s="142"/>
      <c r="BS32" s="154"/>
      <c r="BT32" s="94">
        <f ca="1">TblConstr[[#This Row],[Land]]</f>
        <v>110</v>
      </c>
      <c r="BU32" s="159">
        <f ca="1">TblImps[[#This Row],[Time]]</f>
        <v>46048.166666666599</v>
      </c>
      <c r="BV32" s="142"/>
      <c r="BW32" s="179"/>
      <c r="BX32" s="179"/>
      <c r="BY32" s="179"/>
      <c r="BZ32" s="179"/>
      <c r="CA32" s="179"/>
      <c r="CB32" s="179"/>
      <c r="CC32" s="179"/>
      <c r="CD32" s="179"/>
      <c r="CE32" s="179"/>
      <c r="CF32" s="179"/>
      <c r="CG32" s="179"/>
      <c r="CH32" s="179"/>
      <c r="CI32" s="179"/>
      <c r="CJ32" s="179"/>
      <c r="CK32" s="179"/>
      <c r="CL32" s="179"/>
      <c r="CM32" s="179"/>
      <c r="CN32" s="179"/>
      <c r="CO32" s="179"/>
      <c r="CP32" s="142"/>
      <c r="CQ32" s="181">
        <f ca="1">-SUM(TblConstr[[#This Row],[Alc]:[Mas]])+SUM(TblConstr[[#This Row],[Dest Alc]:[Dest Mas]])+Rezone!L32+IF("Ch_"&amp; home_land=TblConstr[[#Headers],[Ch_Plain]],TblConstr[[#This Row],[Home Land]])+IF(TblConstr[[#This Row],[Hour]:[Hour]]&gt;12,OFFSET(TblExplore[[#This Row],[Plains Explore]],-12,0),0)</f>
        <v>0</v>
      </c>
      <c r="CR32" s="182">
        <f ca="1">-SUM(TblConstr[[#This Row],[Ly]:[Hav]])+SUM(TblConstr[[#This Row],[Dest Ly]:[Dest Hav]]) +Rezone!M32 + IF("Ch_"&amp; home_land=TblConstr[[#Headers],[Ch_Forest]],TblConstr[[#This Row],[Home Land]])+IF(TblConstr[[#This Row],[Hour]:[Hour]]&gt;12,OFFSET(TblExplore[[#This Row],[Forest Explore]],-12,0),0)</f>
        <v>0</v>
      </c>
      <c r="CS32" s="359">
        <f ca="1">-SUM(TblConstr[[#This Row],[OM]:[GN]])+SUM(TblConstr[[#This Row],[Dest OM]:[Dest GN]]) +Rezone!N32 + IF("Ch_"&amp; home_land=TblConstr[[#Headers],[Ch_Mountain]],TblConstr[[#This Row],[Home Land]])+IF(TblConstr[[#This Row],[Hour]:[Hour]]&gt;12,OFFSET(TblExplore[[#This Row],[Mountain Explore]],-12,0),0)</f>
        <v>0</v>
      </c>
      <c r="CT32" s="183">
        <f ca="1">-SUM(TblConstr[[#This Row],[Fac]:[Shr]])+SUM(TblConstr[[#This Row],[Dest Fac]:[Dest Shr]]) +Rezone!O32 + IF("Ch_" &amp; home_land=TblConstr[[#Headers],[Ch_Hill]],TblConstr[[#This Row],[Home Land]])+IF(TblConstr[[#This Row],[Hour]:[Hour]]&gt;12,OFFSET(TblExplore[[#This Row],[Hill Explore]],-12,0),0)</f>
        <v>0</v>
      </c>
      <c r="CU32" s="184">
        <f ca="1">-SUM(TblConstr[[#This Row],[Tow]:[WG]])+SUM(TblConstr[[#This Row],[Dest Tow]:[Dest WG]]) +Rezone!P32 + IF("Ch_" &amp; home_land=TblConstr[[#Headers],[Ch_Swamp]],TblConstr[[#This Row],[Home Land]])+IF(TblConstr[[#This Row],[Hour]:[Hour]]&gt;12,OFFSET(TblExplore[[#This Row],[Swamp Explore]],-12,0),0)</f>
        <v>0</v>
      </c>
      <c r="CV32" s="185">
        <f ca="1" xml:space="preserve"> - SUM(TblConstr[[#This Row],[DM]:[Sch]])+SUM(TblConstr[[#This Row],[Dest DM]:[Dest Sch]]) +Rezone!Q32 + IF("Ch_" &amp; home_land=TblConstr[[#Headers],[Ch_Cavern]],TblConstr[[#This Row],[Home Land]])+IF(TblConstr[[#This Row],[Hour]:[Hour]]&gt;12,OFFSET(TblExplore[[#This Row],[Cavern Explore]],-12,0),0)</f>
        <v>0</v>
      </c>
      <c r="CW32" s="186">
        <f ca="1">-TblConstr[[#This Row],[Doc]]+TblConstr[[#This Row],[Dest Doc]] +Rezone!R32 + IF("Ch_" &amp; home_land=TblConstr[[#Headers],[Ch_Water]],TblConstr[[#This Row],[Home Land]])+IF(TblConstr[[#This Row],[Hour]:[Hour]]&gt;12,OFFSET(TblExplore[[#This Row],[Water Explore]],-12,0),0)</f>
        <v>0</v>
      </c>
      <c r="CX32" s="45">
        <f>IF(Explore!S32=1,20) - TblConstr[[#This Row],[Hom]] + TblConstr[[#This Row],[Dest Hom]]</f>
        <v>0</v>
      </c>
      <c r="CY32" s="142"/>
      <c r="CZ32" s="94">
        <f t="shared" ca="1" si="3"/>
        <v>90</v>
      </c>
      <c r="DA32" s="94">
        <f t="shared" ca="1" si="4"/>
        <v>20</v>
      </c>
      <c r="DB32" s="45">
        <f t="shared" ca="1" si="5"/>
        <v>0</v>
      </c>
      <c r="DC32" s="94">
        <f t="shared" ca="1" si="6"/>
        <v>0</v>
      </c>
      <c r="DD32" s="94">
        <f t="shared" ca="1" si="7"/>
        <v>0</v>
      </c>
      <c r="DE32" s="45">
        <f t="shared" ca="1" si="8"/>
        <v>0</v>
      </c>
      <c r="DF32" s="94">
        <f t="shared" ca="1" si="9"/>
        <v>0</v>
      </c>
      <c r="DG32" s="94" cm="1">
        <f t="array" aca="1" ref="DG32" ca="1">INDEX(TblConstr[[Total Plain]:[Total Water]],ROW()-ROW(TblConstr[#Headers]),MATCH("Total "&amp;home_land,TblConstr[[#Headers],[Total Plain]:[Total Water]],0))+TblConstr[[#This Row],[Homes]]</f>
        <v>90</v>
      </c>
      <c r="DH32" s="45">
        <f t="shared" ca="1" si="10"/>
        <v>0</v>
      </c>
      <c r="DI32" s="45">
        <f t="shared" ca="1" si="0"/>
        <v>0</v>
      </c>
      <c r="DJ32" s="45">
        <f t="shared" ca="1" si="1"/>
        <v>0</v>
      </c>
    </row>
    <row r="33" spans="1:114" x14ac:dyDescent="0.2">
      <c r="A33" s="175">
        <f>TblRezone[[#This Row],[Hour]]</f>
        <v>30</v>
      </c>
      <c r="B33" s="176">
        <f ca="1">SUM(TblConstr[[#This Row],[Plain]:[Water]])</f>
        <v>60</v>
      </c>
      <c r="C33" s="177">
        <f ca="1">SUM(TblConstr[[#This Row],[Tot Hom]:[Tot Doc]])</f>
        <v>50</v>
      </c>
      <c r="D33" s="177">
        <f t="shared" si="2"/>
        <v>0</v>
      </c>
      <c r="E33" s="178"/>
      <c r="F33" s="61">
        <f ca="1">TblConstr[[#This Row],[Barren]]+TblConstr[[#This Row],[Buildings]]+TblConstr[[#This Row],[Incoming]]</f>
        <v>110</v>
      </c>
      <c r="G33" s="187">
        <f ca="1">OFFSET(TblConstr[[#This Row],[Plain]],-1,0)+TblConstr[[#This Row],[Ch_Plain]]</f>
        <v>60</v>
      </c>
      <c r="H33" s="182">
        <f ca="1">OFFSET(TblConstr[[#This Row],[Forest]],-1,0)+TblConstr[[#This Row],[Ch_Forest]]</f>
        <v>0</v>
      </c>
      <c r="I33" s="359">
        <f ca="1">OFFSET(TblConstr[[#This Row],[Mountain]],-1,0)+TblConstr[[#This Row],[Ch_Mountain]]</f>
        <v>0</v>
      </c>
      <c r="J33" s="363">
        <f ca="1">OFFSET(TblConstr[[#This Row],[Hill]],-1,0)+TblConstr[[#This Row],[Ch_Hill]]</f>
        <v>0</v>
      </c>
      <c r="K33" s="367">
        <f ca="1">OFFSET(TblConstr[[#This Row],[Swamp]],-1,0)+TblConstr[[#This Row],[Ch_Swamp]]</f>
        <v>0</v>
      </c>
      <c r="L33" s="185">
        <f ca="1">OFFSET(TblConstr[[#This Row],[Cavern]],-1,0)+TblConstr[[#This Row],[Ch_Cavern]]</f>
        <v>0</v>
      </c>
      <c r="M33" s="186">
        <f ca="1">OFFSET(TblConstr[[#This Row],[Water]],-1,0)+TblConstr[[#This Row],[Ch_Water]]</f>
        <v>0</v>
      </c>
      <c r="N33" s="357">
        <f>TblRezone[[#This Row],[Hour]]</f>
        <v>30</v>
      </c>
      <c r="O33" s="179"/>
      <c r="P33" s="158"/>
      <c r="Q33" s="179"/>
      <c r="R33" s="179"/>
      <c r="S33" s="179"/>
      <c r="T33" s="179"/>
      <c r="U33" s="179"/>
      <c r="V33" s="179"/>
      <c r="W33" s="179"/>
      <c r="X33" s="179"/>
      <c r="Y33" s="179"/>
      <c r="Z33" s="179"/>
      <c r="AA33" s="179"/>
      <c r="AB33" s="179"/>
      <c r="AC33" s="179"/>
      <c r="AD33" s="179"/>
      <c r="AE33" s="179"/>
      <c r="AF33" s="179"/>
      <c r="AG33" s="179"/>
      <c r="AH33" s="53">
        <f ca="1">TblImps[[#This Row],[Time]]</f>
        <v>46048.208333333263</v>
      </c>
      <c r="AI33" s="180">
        <f ca="1">MIN(25%,(TblConstr[[#This Row],[Tot Fac]]+TblConstr[[#This Row],[Dest Fac]])/(TblConstr[[#This Row],[Land]]-TblExplore[[#This Row],[Land Bonus]]*20))</f>
        <v>0</v>
      </c>
      <c r="AJ33" s="180">
        <f ca="1">MIN(25%,(TblConstr[[#This Row],[Tot Fac]]+TblConstr[[#This Row],[Dest Fac]])/TblConstr[[#This Row],[Land]])</f>
        <v>0</v>
      </c>
      <c r="AK33" s="94">
        <f ca="1">TblProd[[#This Row],[Platinum]]</f>
        <v>97663</v>
      </c>
      <c r="AL33" s="94">
        <f ca="1">TblProd[[#This Row],[Lumber]]</f>
        <v>36490</v>
      </c>
      <c r="AM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3" s="94">
        <f ca="1">ROUNDDOWN( MAX(1 - MIN(facs_constr_factor*TblConstr[[#This Row],[Facs -DB]],facs_constr_max) + tech_1_11*TblTech[[#This Row],[11-1]] + tech_6_3_2*TblTech[[#This Row],[6-3]] + tech_5_2_3*TblTech[[#This Row],[5-2]], 1-global_constr_cap) * TblConstr[[#This Row],[RCPA Lumber]],0)</f>
        <v>48</v>
      </c>
      <c r="AO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3" s="94">
        <f ca="1">ROUNDDOWN( MAX(1 - MIN(facs_constr_factor*TblConstr[[#This Row],[Facs DB]],facs_constr_max) + tech_1_11*TblTech[[#This Row],[1-11]] + tech_6_3_2*TblTech[[#This Row],[6-3]] + tech_5_2_3*TblTech[[#This Row],[5-2]], 1-global_constr_cap) * ROUND((TblConstr[[#This Row],[Land]]-250)*0.285 + 87.5 + 0/4.25,0),0)</f>
        <v>48</v>
      </c>
      <c r="AQ33" s="45">
        <f ca="1">TblConstr[[#This Row],[build -db]]*TblConstr[[#This Row],[CPA Platinum -DB]] + TblConstr[[#This Row],[build db]]*TblConstr[[#This Row],[CPA Platinum DB]]</f>
        <v>0</v>
      </c>
      <c r="AR33" s="45">
        <f ca="1">TblConstr[[#This Row],[build -db]]*TblConstr[[#This Row],[CPA Lumber -DB]] + TblConstr[[#This Row],[build db]]*TblConstr[[#This Row],[CPA Lumber DB]]</f>
        <v>0</v>
      </c>
      <c r="AS33" s="94">
        <f ca="1">MIN(SUM(OFFSET(TblConstr[[#This Row],[Plain]:[Water]],-1,0))+SUM(TblConstr[[#This Row],[Dest Hom]:[Dest Doc]])+IF(TblConstr[[#This Row],[Hour]]&gt;12,SUM(OFFSET(TblExplore[[#This Row],[Plains Explore]:[Water Explore]],-12,0)),0),SUM(TblConstr[[#This Row],[Hom]:[Doc]]))</f>
        <v>0</v>
      </c>
      <c r="AT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3" s="142"/>
      <c r="AV33" s="94">
        <f ca="1">ROUND((TblConstr[[#This Row],[Land]]-250 - IF(TblExplore[[#This Row],[Land Bonus]]&lt;&gt;0,20,0))*1.25 + 850 + 0,0)</f>
        <v>675</v>
      </c>
      <c r="AW33" s="94">
        <f ca="1">ROUND((TblConstr[[#This Row],[Land]]-250 - IF(TblExplore[[#This Row],[Land Bonus]]&lt;&gt;0,20,0))*0.285 + 87.5 + 0/4.25,0)</f>
        <v>48</v>
      </c>
      <c r="AX33" s="154"/>
      <c r="AY33" s="188" cm="1">
        <f t="array" aca="1" ref="AY33" ca="1">IF(TblConstr[[#This Row],[Hour]:[Hour]]&gt;12,OFFSET(TblConstr[[#This Row],[Hom]],-12,0),0)+OFFSET(TblConstr[[#This Row],[Tot Hom]],-1,0)-TblConstr[[#This Row],[Dest Hom]]</f>
        <v>0</v>
      </c>
      <c r="AZ33" s="189" cm="1">
        <f t="array" aca="1" ref="AZ33" ca="1">IF(TblConstr[[#This Row],[Hour]:[Hour]]&gt;12,OFFSET(TblConstr[[#This Row],[Alc]],-12,0),0)+OFFSET(TblConstr[[#This Row],[Tot Alc]],-1,0)-TblConstr[[#This Row],[Dest Alc]]</f>
        <v>0</v>
      </c>
      <c r="BA33" s="189" cm="1">
        <f t="array" aca="1" ref="BA33" ca="1">IF(TblConstr[[#This Row],[Hour]:[Hour]]&gt;12,OFFSET(TblConstr[[#This Row],[Far]],-12,0),0)+OFFSET(TblConstr[[#This Row],[Tot Farm]],-1,0)-TblConstr[[#This Row],[Dest Farm]]</f>
        <v>30</v>
      </c>
      <c r="BB33" s="189" cm="1">
        <f t="array" aca="1" ref="BB33" ca="1">IF(TblConstr[[#This Row],[Hour]:[Hour]]&gt;12,OFFSET(TblConstr[[#This Row],[Smi]],-12,0),0)+OFFSET(TblConstr[[#This Row],[Tot Smi]],-1,0)-TblConstr[[#This Row],[Dest Smi]]</f>
        <v>0</v>
      </c>
      <c r="BC33" s="189" cm="1">
        <f t="array" aca="1" ref="BC33" ca="1">IF(TblConstr[[#This Row],[Hour]:[Hour]]&gt;12,OFFSET(TblConstr[[#This Row],[Mas]],-12,0),0)+OFFSET(TblConstr[[#This Row],[Tot Mas]],-1,0)-TblConstr[[#This Row],[Dest Mas]]</f>
        <v>0</v>
      </c>
      <c r="BD33" s="190" cm="1">
        <f t="array" aca="1" ref="BD33" ca="1">IF(TblConstr[[#This Row],[Hour]:[Hour]]&gt;12,OFFSET(TblConstr[[#This Row],[Ly]],-12,0),0)+OFFSET(TblConstr[[#This Row],[Tot Ly]],-1,0)-TblConstr[[#This Row],[Dest Ly]]</f>
        <v>20</v>
      </c>
      <c r="BE33" s="190" cm="1">
        <f t="array" aca="1" ref="BE33" ca="1">IF(TblConstr[[#This Row],[Hour]:[Hour]]&gt;12,OFFSET(TblConstr[[#This Row],[Hav]],-12,0),0)+OFFSET(TblConstr[[#This Row],[Tot Hav]],-1,0)-TblConstr[[#This Row],[Dest Hav]]</f>
        <v>0</v>
      </c>
      <c r="BF33" s="361" cm="1">
        <f t="array" aca="1" ref="BF33" ca="1">IF(TblConstr[[#This Row],[Hour]:[Hour]]&gt;12,OFFSET(TblConstr[[#This Row],[OM]],-12,0),0)+OFFSET(TblConstr[[#This Row],[Tot OM]],-1,0)-TblConstr[[#This Row],[Dest OM]]</f>
        <v>0</v>
      </c>
      <c r="BG33" s="361" cm="1">
        <f t="array" aca="1" ref="BG33" ca="1">IF(TblConstr[[#This Row],[Hour]:[Hour]]&gt;12,OFFSET(TblConstr[[#This Row],[GN]],-12,0),0)+OFFSET(TblConstr[[#This Row],[Tot GN]],-1,0)-TblConstr[[#This Row],[Dest GN]]</f>
        <v>0</v>
      </c>
      <c r="BH33" s="365" cm="1">
        <f t="array" aca="1" ref="BH33" ca="1">IF(TblConstr[[#This Row],[Hour]:[Hour]]&gt;12,OFFSET(TblConstr[[#This Row],[Fac]],-12,0),0)+OFFSET(TblConstr[[#This Row],[Tot Fac]],-1,0)-TblConstr[[#This Row],[Dest Fac]]</f>
        <v>0</v>
      </c>
      <c r="BI33" s="365" cm="1">
        <f t="array" aca="1" ref="BI33" ca="1">IF(TblConstr[[#This Row],[Hour]:[Hour]]&gt;12,OFFSET(TblConstr[[#This Row],[GT]],-12,0),0)+OFFSET(TblConstr[[#This Row],[Tot GT]],-1,0)-TblConstr[[#This Row],[Dest GT]]</f>
        <v>0</v>
      </c>
      <c r="BJ33" s="365" cm="1">
        <f t="array" aca="1" ref="BJ33" ca="1">IF(TblConstr[[#This Row],[Hour]:[Hour]]&gt;12,OFFSET(TblConstr[[#This Row],[Bar]],-12,0),0)+OFFSET(TblConstr[[#This Row],[Tot Bar]],-1,0)-TblConstr[[#This Row],[Dest Bar]]</f>
        <v>0</v>
      </c>
      <c r="BK33" s="365" cm="1">
        <f t="array" aca="1" ref="BK33" ca="1">IF(TblConstr[[#This Row],[Hour]:[Hour]]&gt;12,OFFSET(TblConstr[[#This Row],[Shr]],-12,0),0)+OFFSET(TblConstr[[#This Row],[Tot Shr]],-1,0)-TblConstr[[#This Row],[Dest Shr]]</f>
        <v>0</v>
      </c>
      <c r="BL33" s="369" cm="1">
        <f t="array" aca="1" ref="BL33" ca="1">IF(TblConstr[[#This Row],[Hour]:[Hour]]&gt;12,OFFSET(TblConstr[[#This Row],[Tow]],-12,0),0)+OFFSET(TblConstr[[#This Row],[Tot Tow]],-1,0)-TblConstr[[#This Row],[Dest Tow]]</f>
        <v>0</v>
      </c>
      <c r="BM33" s="369" cm="1">
        <f t="array" aca="1" ref="BM33" ca="1">IF(TblConstr[[#This Row],[Hour]:[Hour]]&gt;12,OFFSET(TblConstr[[#This Row],[Tem]],-12,0),0)+OFFSET(TblConstr[[#This Row],[Tot Tem]],-1,0)-TblConstr[[#This Row],[Dest Tem]]</f>
        <v>0</v>
      </c>
      <c r="BN33" s="369" cm="1">
        <f t="array" aca="1" ref="BN33" ca="1">IF(TblConstr[[#This Row],[Hour]:[Hour]]&gt;12,OFFSET(TblConstr[[#This Row],[WG]],-12,0),0)+OFFSET(TblConstr[[#This Row],[Tot WG]],-1,0)-TblConstr[[#This Row],[Dest WG]]</f>
        <v>0</v>
      </c>
      <c r="BO33" s="191" cm="1">
        <f t="array" aca="1" ref="BO33" ca="1">IF(TblConstr[[#This Row],[Hour]:[Hour]]&gt;12,OFFSET(TblConstr[[#This Row],[DM]],-12,0),0)+OFFSET(TblConstr[[#This Row],[Tot DM]],-1,0)-TblConstr[[#This Row],[Dest DM]]</f>
        <v>0</v>
      </c>
      <c r="BP33" s="191" cm="1">
        <f t="array" aca="1" ref="BP33" ca="1">IF(TblConstr[[#This Row],[Hour]:[Hour]]&gt;12,OFFSET(TblConstr[[#This Row],[Sch]],-12,0),0)+OFFSET(TblConstr[[#This Row],[Tot Sch]],-1,0)-TblConstr[[#This Row],[Dest Sch]]</f>
        <v>0</v>
      </c>
      <c r="BQ33" s="192" cm="1">
        <f t="array" aca="1" ref="BQ33" ca="1">IF(TblConstr[[#This Row],[Hour]:[Hour]]&gt;12,OFFSET(TblConstr[[#This Row],[Doc]],-12,0),0)+OFFSET(TblConstr[[#This Row],[Tot Doc]],-1,0)-TblConstr[[#This Row],[Dest Doc]]</f>
        <v>0</v>
      </c>
      <c r="BR33" s="142"/>
      <c r="BS33" s="154"/>
      <c r="BT33" s="94">
        <f ca="1">TblConstr[[#This Row],[Land]]</f>
        <v>110</v>
      </c>
      <c r="BU33" s="159">
        <f ca="1">TblImps[[#This Row],[Time]]</f>
        <v>46048.208333333263</v>
      </c>
      <c r="BV33" s="142"/>
      <c r="BW33" s="179"/>
      <c r="BX33" s="179"/>
      <c r="BY33" s="179"/>
      <c r="BZ33" s="179"/>
      <c r="CA33" s="179"/>
      <c r="CB33" s="179"/>
      <c r="CC33" s="179"/>
      <c r="CD33" s="179"/>
      <c r="CE33" s="179"/>
      <c r="CF33" s="179"/>
      <c r="CG33" s="179"/>
      <c r="CH33" s="179"/>
      <c r="CI33" s="179"/>
      <c r="CJ33" s="179"/>
      <c r="CK33" s="179"/>
      <c r="CL33" s="179"/>
      <c r="CM33" s="179"/>
      <c r="CN33" s="179"/>
      <c r="CO33" s="179"/>
      <c r="CP33" s="142"/>
      <c r="CQ33" s="181">
        <f ca="1">-SUM(TblConstr[[#This Row],[Alc]:[Mas]])+SUM(TblConstr[[#This Row],[Dest Alc]:[Dest Mas]])+Rezone!L33+IF("Ch_"&amp; home_land=TblConstr[[#Headers],[Ch_Plain]],TblConstr[[#This Row],[Home Land]])+IF(TblConstr[[#This Row],[Hour]:[Hour]]&gt;12,OFFSET(TblExplore[[#This Row],[Plains Explore]],-12,0),0)</f>
        <v>0</v>
      </c>
      <c r="CR33" s="182">
        <f ca="1">-SUM(TblConstr[[#This Row],[Ly]:[Hav]])+SUM(TblConstr[[#This Row],[Dest Ly]:[Dest Hav]]) +Rezone!M33 + IF("Ch_"&amp; home_land=TblConstr[[#Headers],[Ch_Forest]],TblConstr[[#This Row],[Home Land]])+IF(TblConstr[[#This Row],[Hour]:[Hour]]&gt;12,OFFSET(TblExplore[[#This Row],[Forest Explore]],-12,0),0)</f>
        <v>0</v>
      </c>
      <c r="CS33" s="359">
        <f ca="1">-SUM(TblConstr[[#This Row],[OM]:[GN]])+SUM(TblConstr[[#This Row],[Dest OM]:[Dest GN]]) +Rezone!N33 + IF("Ch_"&amp; home_land=TblConstr[[#Headers],[Ch_Mountain]],TblConstr[[#This Row],[Home Land]])+IF(TblConstr[[#This Row],[Hour]:[Hour]]&gt;12,OFFSET(TblExplore[[#This Row],[Mountain Explore]],-12,0),0)</f>
        <v>0</v>
      </c>
      <c r="CT33" s="183">
        <f ca="1">-SUM(TblConstr[[#This Row],[Fac]:[Shr]])+SUM(TblConstr[[#This Row],[Dest Fac]:[Dest Shr]]) +Rezone!O33 + IF("Ch_" &amp; home_land=TblConstr[[#Headers],[Ch_Hill]],TblConstr[[#This Row],[Home Land]])+IF(TblConstr[[#This Row],[Hour]:[Hour]]&gt;12,OFFSET(TblExplore[[#This Row],[Hill Explore]],-12,0),0)</f>
        <v>0</v>
      </c>
      <c r="CU33" s="184">
        <f ca="1">-SUM(TblConstr[[#This Row],[Tow]:[WG]])+SUM(TblConstr[[#This Row],[Dest Tow]:[Dest WG]]) +Rezone!P33 + IF("Ch_" &amp; home_land=TblConstr[[#Headers],[Ch_Swamp]],TblConstr[[#This Row],[Home Land]])+IF(TblConstr[[#This Row],[Hour]:[Hour]]&gt;12,OFFSET(TblExplore[[#This Row],[Swamp Explore]],-12,0),0)</f>
        <v>0</v>
      </c>
      <c r="CV33" s="185">
        <f ca="1" xml:space="preserve"> - SUM(TblConstr[[#This Row],[DM]:[Sch]])+SUM(TblConstr[[#This Row],[Dest DM]:[Dest Sch]]) +Rezone!Q33 + IF("Ch_" &amp; home_land=TblConstr[[#Headers],[Ch_Cavern]],TblConstr[[#This Row],[Home Land]])+IF(TblConstr[[#This Row],[Hour]:[Hour]]&gt;12,OFFSET(TblExplore[[#This Row],[Cavern Explore]],-12,0),0)</f>
        <v>0</v>
      </c>
      <c r="CW33" s="186">
        <f ca="1">-TblConstr[[#This Row],[Doc]]+TblConstr[[#This Row],[Dest Doc]] +Rezone!R33 + IF("Ch_" &amp; home_land=TblConstr[[#Headers],[Ch_Water]],TblConstr[[#This Row],[Home Land]])+IF(TblConstr[[#This Row],[Hour]:[Hour]]&gt;12,OFFSET(TblExplore[[#This Row],[Water Explore]],-12,0),0)</f>
        <v>0</v>
      </c>
      <c r="CX33" s="45">
        <f>IF(Explore!S33=1,20) - TblConstr[[#This Row],[Hom]] + TblConstr[[#This Row],[Dest Hom]]</f>
        <v>0</v>
      </c>
      <c r="CY33" s="142"/>
      <c r="CZ33" s="94">
        <f t="shared" ca="1" si="3"/>
        <v>90</v>
      </c>
      <c r="DA33" s="94">
        <f t="shared" ca="1" si="4"/>
        <v>20</v>
      </c>
      <c r="DB33" s="45">
        <f t="shared" ca="1" si="5"/>
        <v>0</v>
      </c>
      <c r="DC33" s="94">
        <f t="shared" ca="1" si="6"/>
        <v>0</v>
      </c>
      <c r="DD33" s="94">
        <f t="shared" ca="1" si="7"/>
        <v>0</v>
      </c>
      <c r="DE33" s="45">
        <f t="shared" ca="1" si="8"/>
        <v>0</v>
      </c>
      <c r="DF33" s="94">
        <f t="shared" ca="1" si="9"/>
        <v>0</v>
      </c>
      <c r="DG33" s="94" cm="1">
        <f t="array" aca="1" ref="DG33" ca="1">INDEX(TblConstr[[Total Plain]:[Total Water]],ROW()-ROW(TblConstr[#Headers]),MATCH("Total "&amp;home_land,TblConstr[[#Headers],[Total Plain]:[Total Water]],0))+TblConstr[[#This Row],[Homes]]</f>
        <v>90</v>
      </c>
      <c r="DH33" s="45">
        <f t="shared" ca="1" si="10"/>
        <v>0</v>
      </c>
      <c r="DI33" s="45">
        <f t="shared" ca="1" si="0"/>
        <v>0</v>
      </c>
      <c r="DJ33" s="45">
        <f t="shared" ca="1" si="1"/>
        <v>0</v>
      </c>
    </row>
    <row r="34" spans="1:114" x14ac:dyDescent="0.2">
      <c r="A34" s="175">
        <f>TblRezone[[#This Row],[Hour]]</f>
        <v>31</v>
      </c>
      <c r="B34" s="176">
        <f ca="1">SUM(TblConstr[[#This Row],[Plain]:[Water]])</f>
        <v>60</v>
      </c>
      <c r="C34" s="177">
        <f ca="1">SUM(TblConstr[[#This Row],[Tot Hom]:[Tot Doc]])</f>
        <v>50</v>
      </c>
      <c r="D34" s="177">
        <f t="shared" si="2"/>
        <v>0</v>
      </c>
      <c r="E34" s="178"/>
      <c r="F34" s="61">
        <f ca="1">TblConstr[[#This Row],[Barren]]+TblConstr[[#This Row],[Buildings]]+TblConstr[[#This Row],[Incoming]]</f>
        <v>110</v>
      </c>
      <c r="G34" s="187">
        <f ca="1">OFFSET(TblConstr[[#This Row],[Plain]],-1,0)+TblConstr[[#This Row],[Ch_Plain]]</f>
        <v>60</v>
      </c>
      <c r="H34" s="182">
        <f ca="1">OFFSET(TblConstr[[#This Row],[Forest]],-1,0)+TblConstr[[#This Row],[Ch_Forest]]</f>
        <v>0</v>
      </c>
      <c r="I34" s="359">
        <f ca="1">OFFSET(TblConstr[[#This Row],[Mountain]],-1,0)+TblConstr[[#This Row],[Ch_Mountain]]</f>
        <v>0</v>
      </c>
      <c r="J34" s="363">
        <f ca="1">OFFSET(TblConstr[[#This Row],[Hill]],-1,0)+TblConstr[[#This Row],[Ch_Hill]]</f>
        <v>0</v>
      </c>
      <c r="K34" s="367">
        <f ca="1">OFFSET(TblConstr[[#This Row],[Swamp]],-1,0)+TblConstr[[#This Row],[Ch_Swamp]]</f>
        <v>0</v>
      </c>
      <c r="L34" s="185">
        <f ca="1">OFFSET(TblConstr[[#This Row],[Cavern]],-1,0)+TblConstr[[#This Row],[Ch_Cavern]]</f>
        <v>0</v>
      </c>
      <c r="M34" s="186">
        <f ca="1">OFFSET(TblConstr[[#This Row],[Water]],-1,0)+TblConstr[[#This Row],[Ch_Water]]</f>
        <v>0</v>
      </c>
      <c r="N34" s="357">
        <f>TblRezone[[#This Row],[Hour]]</f>
        <v>31</v>
      </c>
      <c r="O34" s="179"/>
      <c r="P34" s="158"/>
      <c r="Q34" s="179"/>
      <c r="R34" s="179"/>
      <c r="S34" s="179"/>
      <c r="T34" s="179"/>
      <c r="U34" s="179"/>
      <c r="V34" s="179"/>
      <c r="W34" s="179"/>
      <c r="X34" s="179"/>
      <c r="Y34" s="179"/>
      <c r="Z34" s="179"/>
      <c r="AA34" s="179"/>
      <c r="AB34" s="179"/>
      <c r="AC34" s="179"/>
      <c r="AD34" s="179"/>
      <c r="AE34" s="179"/>
      <c r="AF34" s="179"/>
      <c r="AG34" s="179"/>
      <c r="AH34" s="53">
        <f ca="1">TblImps[[#This Row],[Time]]</f>
        <v>46048.249999999927</v>
      </c>
      <c r="AI34" s="180">
        <f ca="1">MIN(25%,(TblConstr[[#This Row],[Tot Fac]]+TblConstr[[#This Row],[Dest Fac]])/(TblConstr[[#This Row],[Land]]-TblExplore[[#This Row],[Land Bonus]]*20))</f>
        <v>0</v>
      </c>
      <c r="AJ34" s="180">
        <f ca="1">MIN(25%,(TblConstr[[#This Row],[Tot Fac]]+TblConstr[[#This Row],[Dest Fac]])/TblConstr[[#This Row],[Land]])</f>
        <v>0</v>
      </c>
      <c r="AK34" s="94">
        <f ca="1">TblProd[[#This Row],[Platinum]]</f>
        <v>99682</v>
      </c>
      <c r="AL34" s="94">
        <f ca="1">TblProd[[#This Row],[Lumber]]</f>
        <v>37125</v>
      </c>
      <c r="AM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4" s="94">
        <f ca="1">ROUNDDOWN( MAX(1 - MIN(facs_constr_factor*TblConstr[[#This Row],[Facs -DB]],facs_constr_max) + tech_1_11*TblTech[[#This Row],[11-1]] + tech_6_3_2*TblTech[[#This Row],[6-3]] + tech_5_2_3*TblTech[[#This Row],[5-2]], 1-global_constr_cap) * TblConstr[[#This Row],[RCPA Lumber]],0)</f>
        <v>48</v>
      </c>
      <c r="AO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4" s="94">
        <f ca="1">ROUNDDOWN( MAX(1 - MIN(facs_constr_factor*TblConstr[[#This Row],[Facs DB]],facs_constr_max) + tech_1_11*TblTech[[#This Row],[1-11]] + tech_6_3_2*TblTech[[#This Row],[6-3]] + tech_5_2_3*TblTech[[#This Row],[5-2]], 1-global_constr_cap) * ROUND((TblConstr[[#This Row],[Land]]-250)*0.285 + 87.5 + 0/4.25,0),0)</f>
        <v>48</v>
      </c>
      <c r="AQ34" s="45">
        <f ca="1">TblConstr[[#This Row],[build -db]]*TblConstr[[#This Row],[CPA Platinum -DB]] + TblConstr[[#This Row],[build db]]*TblConstr[[#This Row],[CPA Platinum DB]]</f>
        <v>0</v>
      </c>
      <c r="AR34" s="45">
        <f ca="1">TblConstr[[#This Row],[build -db]]*TblConstr[[#This Row],[CPA Lumber -DB]] + TblConstr[[#This Row],[build db]]*TblConstr[[#This Row],[CPA Lumber DB]]</f>
        <v>0</v>
      </c>
      <c r="AS34" s="94">
        <f ca="1">MIN(SUM(OFFSET(TblConstr[[#This Row],[Plain]:[Water]],-1,0))+SUM(TblConstr[[#This Row],[Dest Hom]:[Dest Doc]])+IF(TblConstr[[#This Row],[Hour]]&gt;12,SUM(OFFSET(TblExplore[[#This Row],[Plains Explore]:[Water Explore]],-12,0)),0),SUM(TblConstr[[#This Row],[Hom]:[Doc]]))</f>
        <v>0</v>
      </c>
      <c r="AT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4" s="142"/>
      <c r="AV34" s="94">
        <f ca="1">ROUND((TblConstr[[#This Row],[Land]]-250 - IF(TblExplore[[#This Row],[Land Bonus]]&lt;&gt;0,20,0))*1.25 + 850 + 0,0)</f>
        <v>675</v>
      </c>
      <c r="AW34" s="94">
        <f ca="1">ROUND((TblConstr[[#This Row],[Land]]-250 - IF(TblExplore[[#This Row],[Land Bonus]]&lt;&gt;0,20,0))*0.285 + 87.5 + 0/4.25,0)</f>
        <v>48</v>
      </c>
      <c r="AX34" s="154"/>
      <c r="AY34" s="188" cm="1">
        <f t="array" aca="1" ref="AY34" ca="1">IF(TblConstr[[#This Row],[Hour]:[Hour]]&gt;12,OFFSET(TblConstr[[#This Row],[Hom]],-12,0),0)+OFFSET(TblConstr[[#This Row],[Tot Hom]],-1,0)-TblConstr[[#This Row],[Dest Hom]]</f>
        <v>0</v>
      </c>
      <c r="AZ34" s="189" cm="1">
        <f t="array" aca="1" ref="AZ34" ca="1">IF(TblConstr[[#This Row],[Hour]:[Hour]]&gt;12,OFFSET(TblConstr[[#This Row],[Alc]],-12,0),0)+OFFSET(TblConstr[[#This Row],[Tot Alc]],-1,0)-TblConstr[[#This Row],[Dest Alc]]</f>
        <v>0</v>
      </c>
      <c r="BA34" s="189" cm="1">
        <f t="array" aca="1" ref="BA34" ca="1">IF(TblConstr[[#This Row],[Hour]:[Hour]]&gt;12,OFFSET(TblConstr[[#This Row],[Far]],-12,0),0)+OFFSET(TblConstr[[#This Row],[Tot Farm]],-1,0)-TblConstr[[#This Row],[Dest Farm]]</f>
        <v>30</v>
      </c>
      <c r="BB34" s="189" cm="1">
        <f t="array" aca="1" ref="BB34" ca="1">IF(TblConstr[[#This Row],[Hour]:[Hour]]&gt;12,OFFSET(TblConstr[[#This Row],[Smi]],-12,0),0)+OFFSET(TblConstr[[#This Row],[Tot Smi]],-1,0)-TblConstr[[#This Row],[Dest Smi]]</f>
        <v>0</v>
      </c>
      <c r="BC34" s="189" cm="1">
        <f t="array" aca="1" ref="BC34" ca="1">IF(TblConstr[[#This Row],[Hour]:[Hour]]&gt;12,OFFSET(TblConstr[[#This Row],[Mas]],-12,0),0)+OFFSET(TblConstr[[#This Row],[Tot Mas]],-1,0)-TblConstr[[#This Row],[Dest Mas]]</f>
        <v>0</v>
      </c>
      <c r="BD34" s="190" cm="1">
        <f t="array" aca="1" ref="BD34" ca="1">IF(TblConstr[[#This Row],[Hour]:[Hour]]&gt;12,OFFSET(TblConstr[[#This Row],[Ly]],-12,0),0)+OFFSET(TblConstr[[#This Row],[Tot Ly]],-1,0)-TblConstr[[#This Row],[Dest Ly]]</f>
        <v>20</v>
      </c>
      <c r="BE34" s="190" cm="1">
        <f t="array" aca="1" ref="BE34" ca="1">IF(TblConstr[[#This Row],[Hour]:[Hour]]&gt;12,OFFSET(TblConstr[[#This Row],[Hav]],-12,0),0)+OFFSET(TblConstr[[#This Row],[Tot Hav]],-1,0)-TblConstr[[#This Row],[Dest Hav]]</f>
        <v>0</v>
      </c>
      <c r="BF34" s="361" cm="1">
        <f t="array" aca="1" ref="BF34" ca="1">IF(TblConstr[[#This Row],[Hour]:[Hour]]&gt;12,OFFSET(TblConstr[[#This Row],[OM]],-12,0),0)+OFFSET(TblConstr[[#This Row],[Tot OM]],-1,0)-TblConstr[[#This Row],[Dest OM]]</f>
        <v>0</v>
      </c>
      <c r="BG34" s="361" cm="1">
        <f t="array" aca="1" ref="BG34" ca="1">IF(TblConstr[[#This Row],[Hour]:[Hour]]&gt;12,OFFSET(TblConstr[[#This Row],[GN]],-12,0),0)+OFFSET(TblConstr[[#This Row],[Tot GN]],-1,0)-TblConstr[[#This Row],[Dest GN]]</f>
        <v>0</v>
      </c>
      <c r="BH34" s="365" cm="1">
        <f t="array" aca="1" ref="BH34" ca="1">IF(TblConstr[[#This Row],[Hour]:[Hour]]&gt;12,OFFSET(TblConstr[[#This Row],[Fac]],-12,0),0)+OFFSET(TblConstr[[#This Row],[Tot Fac]],-1,0)-TblConstr[[#This Row],[Dest Fac]]</f>
        <v>0</v>
      </c>
      <c r="BI34" s="365" cm="1">
        <f t="array" aca="1" ref="BI34" ca="1">IF(TblConstr[[#This Row],[Hour]:[Hour]]&gt;12,OFFSET(TblConstr[[#This Row],[GT]],-12,0),0)+OFFSET(TblConstr[[#This Row],[Tot GT]],-1,0)-TblConstr[[#This Row],[Dest GT]]</f>
        <v>0</v>
      </c>
      <c r="BJ34" s="365" cm="1">
        <f t="array" aca="1" ref="BJ34" ca="1">IF(TblConstr[[#This Row],[Hour]:[Hour]]&gt;12,OFFSET(TblConstr[[#This Row],[Bar]],-12,0),0)+OFFSET(TblConstr[[#This Row],[Tot Bar]],-1,0)-TblConstr[[#This Row],[Dest Bar]]</f>
        <v>0</v>
      </c>
      <c r="BK34" s="365" cm="1">
        <f t="array" aca="1" ref="BK34" ca="1">IF(TblConstr[[#This Row],[Hour]:[Hour]]&gt;12,OFFSET(TblConstr[[#This Row],[Shr]],-12,0),0)+OFFSET(TblConstr[[#This Row],[Tot Shr]],-1,0)-TblConstr[[#This Row],[Dest Shr]]</f>
        <v>0</v>
      </c>
      <c r="BL34" s="369" cm="1">
        <f t="array" aca="1" ref="BL34" ca="1">IF(TblConstr[[#This Row],[Hour]:[Hour]]&gt;12,OFFSET(TblConstr[[#This Row],[Tow]],-12,0),0)+OFFSET(TblConstr[[#This Row],[Tot Tow]],-1,0)-TblConstr[[#This Row],[Dest Tow]]</f>
        <v>0</v>
      </c>
      <c r="BM34" s="369" cm="1">
        <f t="array" aca="1" ref="BM34" ca="1">IF(TblConstr[[#This Row],[Hour]:[Hour]]&gt;12,OFFSET(TblConstr[[#This Row],[Tem]],-12,0),0)+OFFSET(TblConstr[[#This Row],[Tot Tem]],-1,0)-TblConstr[[#This Row],[Dest Tem]]</f>
        <v>0</v>
      </c>
      <c r="BN34" s="369" cm="1">
        <f t="array" aca="1" ref="BN34" ca="1">IF(TblConstr[[#This Row],[Hour]:[Hour]]&gt;12,OFFSET(TblConstr[[#This Row],[WG]],-12,0),0)+OFFSET(TblConstr[[#This Row],[Tot WG]],-1,0)-TblConstr[[#This Row],[Dest WG]]</f>
        <v>0</v>
      </c>
      <c r="BO34" s="191" cm="1">
        <f t="array" aca="1" ref="BO34" ca="1">IF(TblConstr[[#This Row],[Hour]:[Hour]]&gt;12,OFFSET(TblConstr[[#This Row],[DM]],-12,0),0)+OFFSET(TblConstr[[#This Row],[Tot DM]],-1,0)-TblConstr[[#This Row],[Dest DM]]</f>
        <v>0</v>
      </c>
      <c r="BP34" s="191" cm="1">
        <f t="array" aca="1" ref="BP34" ca="1">IF(TblConstr[[#This Row],[Hour]:[Hour]]&gt;12,OFFSET(TblConstr[[#This Row],[Sch]],-12,0),0)+OFFSET(TblConstr[[#This Row],[Tot Sch]],-1,0)-TblConstr[[#This Row],[Dest Sch]]</f>
        <v>0</v>
      </c>
      <c r="BQ34" s="192" cm="1">
        <f t="array" aca="1" ref="BQ34" ca="1">IF(TblConstr[[#This Row],[Hour]:[Hour]]&gt;12,OFFSET(TblConstr[[#This Row],[Doc]],-12,0),0)+OFFSET(TblConstr[[#This Row],[Tot Doc]],-1,0)-TblConstr[[#This Row],[Dest Doc]]</f>
        <v>0</v>
      </c>
      <c r="BR34" s="142"/>
      <c r="BS34" s="154"/>
      <c r="BT34" s="94">
        <f ca="1">TblConstr[[#This Row],[Land]]</f>
        <v>110</v>
      </c>
      <c r="BU34" s="159">
        <f ca="1">TblImps[[#This Row],[Time]]</f>
        <v>46048.249999999927</v>
      </c>
      <c r="BV34" s="142"/>
      <c r="BW34" s="179"/>
      <c r="BX34" s="179"/>
      <c r="BY34" s="179"/>
      <c r="BZ34" s="179"/>
      <c r="CA34" s="179"/>
      <c r="CB34" s="179"/>
      <c r="CC34" s="179"/>
      <c r="CD34" s="179"/>
      <c r="CE34" s="179"/>
      <c r="CF34" s="179"/>
      <c r="CG34" s="179"/>
      <c r="CH34" s="179"/>
      <c r="CI34" s="179"/>
      <c r="CJ34" s="179"/>
      <c r="CK34" s="179"/>
      <c r="CL34" s="179"/>
      <c r="CM34" s="179"/>
      <c r="CN34" s="179"/>
      <c r="CO34" s="179"/>
      <c r="CP34" s="142"/>
      <c r="CQ34" s="181">
        <f ca="1">-SUM(TblConstr[[#This Row],[Alc]:[Mas]])+SUM(TblConstr[[#This Row],[Dest Alc]:[Dest Mas]])+Rezone!L34+IF("Ch_"&amp; home_land=TblConstr[[#Headers],[Ch_Plain]],TblConstr[[#This Row],[Home Land]])+IF(TblConstr[[#This Row],[Hour]:[Hour]]&gt;12,OFFSET(TblExplore[[#This Row],[Plains Explore]],-12,0),0)</f>
        <v>0</v>
      </c>
      <c r="CR34" s="182">
        <f ca="1">-SUM(TblConstr[[#This Row],[Ly]:[Hav]])+SUM(TblConstr[[#This Row],[Dest Ly]:[Dest Hav]]) +Rezone!M34 + IF("Ch_"&amp; home_land=TblConstr[[#Headers],[Ch_Forest]],TblConstr[[#This Row],[Home Land]])+IF(TblConstr[[#This Row],[Hour]:[Hour]]&gt;12,OFFSET(TblExplore[[#This Row],[Forest Explore]],-12,0),0)</f>
        <v>0</v>
      </c>
      <c r="CS34" s="359">
        <f ca="1">-SUM(TblConstr[[#This Row],[OM]:[GN]])+SUM(TblConstr[[#This Row],[Dest OM]:[Dest GN]]) +Rezone!N34 + IF("Ch_"&amp; home_land=TblConstr[[#Headers],[Ch_Mountain]],TblConstr[[#This Row],[Home Land]])+IF(TblConstr[[#This Row],[Hour]:[Hour]]&gt;12,OFFSET(TblExplore[[#This Row],[Mountain Explore]],-12,0),0)</f>
        <v>0</v>
      </c>
      <c r="CT34" s="183">
        <f ca="1">-SUM(TblConstr[[#This Row],[Fac]:[Shr]])+SUM(TblConstr[[#This Row],[Dest Fac]:[Dest Shr]]) +Rezone!O34 + IF("Ch_" &amp; home_land=TblConstr[[#Headers],[Ch_Hill]],TblConstr[[#This Row],[Home Land]])+IF(TblConstr[[#This Row],[Hour]:[Hour]]&gt;12,OFFSET(TblExplore[[#This Row],[Hill Explore]],-12,0),0)</f>
        <v>0</v>
      </c>
      <c r="CU34" s="184">
        <f ca="1">-SUM(TblConstr[[#This Row],[Tow]:[WG]])+SUM(TblConstr[[#This Row],[Dest Tow]:[Dest WG]]) +Rezone!P34 + IF("Ch_" &amp; home_land=TblConstr[[#Headers],[Ch_Swamp]],TblConstr[[#This Row],[Home Land]])+IF(TblConstr[[#This Row],[Hour]:[Hour]]&gt;12,OFFSET(TblExplore[[#This Row],[Swamp Explore]],-12,0),0)</f>
        <v>0</v>
      </c>
      <c r="CV34" s="185">
        <f ca="1" xml:space="preserve"> - SUM(TblConstr[[#This Row],[DM]:[Sch]])+SUM(TblConstr[[#This Row],[Dest DM]:[Dest Sch]]) +Rezone!Q34 + IF("Ch_" &amp; home_land=TblConstr[[#Headers],[Ch_Cavern]],TblConstr[[#This Row],[Home Land]])+IF(TblConstr[[#This Row],[Hour]:[Hour]]&gt;12,OFFSET(TblExplore[[#This Row],[Cavern Explore]],-12,0),0)</f>
        <v>0</v>
      </c>
      <c r="CW34" s="186">
        <f ca="1">-TblConstr[[#This Row],[Doc]]+TblConstr[[#This Row],[Dest Doc]] +Rezone!R34 + IF("Ch_" &amp; home_land=TblConstr[[#Headers],[Ch_Water]],TblConstr[[#This Row],[Home Land]])+IF(TblConstr[[#This Row],[Hour]:[Hour]]&gt;12,OFFSET(TblExplore[[#This Row],[Water Explore]],-12,0),0)</f>
        <v>0</v>
      </c>
      <c r="CX34" s="45">
        <f>IF(Explore!S34=1,20) - TblConstr[[#This Row],[Hom]] + TblConstr[[#This Row],[Dest Hom]]</f>
        <v>0</v>
      </c>
      <c r="CY34" s="142"/>
      <c r="CZ34" s="94">
        <f t="shared" ca="1" si="3"/>
        <v>90</v>
      </c>
      <c r="DA34" s="94">
        <f t="shared" ca="1" si="4"/>
        <v>20</v>
      </c>
      <c r="DB34" s="45">
        <f t="shared" ca="1" si="5"/>
        <v>0</v>
      </c>
      <c r="DC34" s="94">
        <f t="shared" ca="1" si="6"/>
        <v>0</v>
      </c>
      <c r="DD34" s="94">
        <f t="shared" ca="1" si="7"/>
        <v>0</v>
      </c>
      <c r="DE34" s="45">
        <f t="shared" ca="1" si="8"/>
        <v>0</v>
      </c>
      <c r="DF34" s="94">
        <f t="shared" ca="1" si="9"/>
        <v>0</v>
      </c>
      <c r="DG34" s="94" cm="1">
        <f t="array" aca="1" ref="DG34" ca="1">INDEX(TblConstr[[Total Plain]:[Total Water]],ROW()-ROW(TblConstr[#Headers]),MATCH("Total "&amp;home_land,TblConstr[[#Headers],[Total Plain]:[Total Water]],0))+TblConstr[[#This Row],[Homes]]</f>
        <v>90</v>
      </c>
      <c r="DH34" s="45">
        <f t="shared" ca="1" si="10"/>
        <v>0</v>
      </c>
      <c r="DI34" s="45">
        <f t="shared" ca="1" si="0"/>
        <v>0</v>
      </c>
      <c r="DJ34" s="45">
        <f t="shared" ca="1" si="1"/>
        <v>0</v>
      </c>
    </row>
    <row r="35" spans="1:114" x14ac:dyDescent="0.2">
      <c r="A35" s="175">
        <f>TblRezone[[#This Row],[Hour]]</f>
        <v>32</v>
      </c>
      <c r="B35" s="176">
        <f ca="1">SUM(TblConstr[[#This Row],[Plain]:[Water]])</f>
        <v>60</v>
      </c>
      <c r="C35" s="177">
        <f ca="1">SUM(TblConstr[[#This Row],[Tot Hom]:[Tot Doc]])</f>
        <v>50</v>
      </c>
      <c r="D35" s="177">
        <f t="shared" si="2"/>
        <v>0</v>
      </c>
      <c r="E35" s="178"/>
      <c r="F35" s="61">
        <f ca="1">TblConstr[[#This Row],[Barren]]+TblConstr[[#This Row],[Buildings]]+TblConstr[[#This Row],[Incoming]]</f>
        <v>110</v>
      </c>
      <c r="G35" s="187">
        <f ca="1">OFFSET(TblConstr[[#This Row],[Plain]],-1,0)+TblConstr[[#This Row],[Ch_Plain]]</f>
        <v>60</v>
      </c>
      <c r="H35" s="182">
        <f ca="1">OFFSET(TblConstr[[#This Row],[Forest]],-1,0)+TblConstr[[#This Row],[Ch_Forest]]</f>
        <v>0</v>
      </c>
      <c r="I35" s="359">
        <f ca="1">OFFSET(TblConstr[[#This Row],[Mountain]],-1,0)+TblConstr[[#This Row],[Ch_Mountain]]</f>
        <v>0</v>
      </c>
      <c r="J35" s="363">
        <f ca="1">OFFSET(TblConstr[[#This Row],[Hill]],-1,0)+TblConstr[[#This Row],[Ch_Hill]]</f>
        <v>0</v>
      </c>
      <c r="K35" s="367">
        <f ca="1">OFFSET(TblConstr[[#This Row],[Swamp]],-1,0)+TblConstr[[#This Row],[Ch_Swamp]]</f>
        <v>0</v>
      </c>
      <c r="L35" s="185">
        <f ca="1">OFFSET(TblConstr[[#This Row],[Cavern]],-1,0)+TblConstr[[#This Row],[Ch_Cavern]]</f>
        <v>0</v>
      </c>
      <c r="M35" s="186">
        <f ca="1">OFFSET(TblConstr[[#This Row],[Water]],-1,0)+TblConstr[[#This Row],[Ch_Water]]</f>
        <v>0</v>
      </c>
      <c r="N35" s="357">
        <f>TblRezone[[#This Row],[Hour]]</f>
        <v>32</v>
      </c>
      <c r="O35" s="179"/>
      <c r="P35" s="158"/>
      <c r="Q35" s="179"/>
      <c r="R35" s="179"/>
      <c r="S35" s="179"/>
      <c r="T35" s="179"/>
      <c r="U35" s="179"/>
      <c r="V35" s="179"/>
      <c r="W35" s="179"/>
      <c r="X35" s="158"/>
      <c r="Y35" s="179"/>
      <c r="Z35" s="179"/>
      <c r="AA35" s="179"/>
      <c r="AB35" s="179"/>
      <c r="AC35" s="179"/>
      <c r="AD35" s="179"/>
      <c r="AE35" s="179"/>
      <c r="AF35" s="179"/>
      <c r="AG35" s="179"/>
      <c r="AH35" s="53">
        <f ca="1">TblImps[[#This Row],[Time]]</f>
        <v>46048.291666666591</v>
      </c>
      <c r="AI35" s="180">
        <f ca="1">MIN(25%,(TblConstr[[#This Row],[Tot Fac]]+TblConstr[[#This Row],[Dest Fac]])/(TblConstr[[#This Row],[Land]]-TblExplore[[#This Row],[Land Bonus]]*20))</f>
        <v>0</v>
      </c>
      <c r="AJ35" s="180">
        <f ca="1">MIN(25%,(TblConstr[[#This Row],[Tot Fac]]+TblConstr[[#This Row],[Dest Fac]])/TblConstr[[#This Row],[Land]])</f>
        <v>0</v>
      </c>
      <c r="AK35" s="94">
        <f ca="1">TblProd[[#This Row],[Platinum]]</f>
        <v>101682</v>
      </c>
      <c r="AL35" s="94">
        <f ca="1">TblProd[[#This Row],[Lumber]]</f>
        <v>37754</v>
      </c>
      <c r="AM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5" s="94">
        <f ca="1">ROUNDDOWN( MAX(1 - MIN(facs_constr_factor*TblConstr[[#This Row],[Facs -DB]],facs_constr_max) + tech_1_11*TblTech[[#This Row],[11-1]] + tech_6_3_2*TblTech[[#This Row],[6-3]] + tech_5_2_3*TblTech[[#This Row],[5-2]], 1-global_constr_cap) * TblConstr[[#This Row],[RCPA Lumber]],0)</f>
        <v>48</v>
      </c>
      <c r="AO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5" s="94">
        <f ca="1">ROUNDDOWN( MAX(1 - MIN(facs_constr_factor*TblConstr[[#This Row],[Facs DB]],facs_constr_max) + tech_1_11*TblTech[[#This Row],[1-11]] + tech_6_3_2*TblTech[[#This Row],[6-3]] + tech_5_2_3*TblTech[[#This Row],[5-2]], 1-global_constr_cap) * ROUND((TblConstr[[#This Row],[Land]]-250)*0.285 + 87.5 + 0/4.25,0),0)</f>
        <v>48</v>
      </c>
      <c r="AQ35" s="45">
        <f ca="1">TblConstr[[#This Row],[build -db]]*TblConstr[[#This Row],[CPA Platinum -DB]] + TblConstr[[#This Row],[build db]]*TblConstr[[#This Row],[CPA Platinum DB]]</f>
        <v>0</v>
      </c>
      <c r="AR35" s="45">
        <f ca="1">TblConstr[[#This Row],[build -db]]*TblConstr[[#This Row],[CPA Lumber -DB]] + TblConstr[[#This Row],[build db]]*TblConstr[[#This Row],[CPA Lumber DB]]</f>
        <v>0</v>
      </c>
      <c r="AS35" s="94">
        <f ca="1">MIN(SUM(OFFSET(TblConstr[[#This Row],[Plain]:[Water]],-1,0))+SUM(TblConstr[[#This Row],[Dest Hom]:[Dest Doc]])+IF(TblConstr[[#This Row],[Hour]]&gt;12,SUM(OFFSET(TblExplore[[#This Row],[Plains Explore]:[Water Explore]],-12,0)),0),SUM(TblConstr[[#This Row],[Hom]:[Doc]]))</f>
        <v>0</v>
      </c>
      <c r="AT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5" s="142"/>
      <c r="AV35" s="94">
        <f ca="1">ROUND((TblConstr[[#This Row],[Land]]-250 - IF(TblExplore[[#This Row],[Land Bonus]]&lt;&gt;0,20,0))*1.25 + 850 + 0,0)</f>
        <v>675</v>
      </c>
      <c r="AW35" s="94">
        <f ca="1">ROUND((TblConstr[[#This Row],[Land]]-250 - IF(TblExplore[[#This Row],[Land Bonus]]&lt;&gt;0,20,0))*0.285 + 87.5 + 0/4.25,0)</f>
        <v>48</v>
      </c>
      <c r="AX35" s="154"/>
      <c r="AY35" s="188" cm="1">
        <f t="array" aca="1" ref="AY35" ca="1">IF(TblConstr[[#This Row],[Hour]:[Hour]]&gt;12,OFFSET(TblConstr[[#This Row],[Hom]],-12,0),0)+OFFSET(TblConstr[[#This Row],[Tot Hom]],-1,0)-TblConstr[[#This Row],[Dest Hom]]</f>
        <v>0</v>
      </c>
      <c r="AZ35" s="189" cm="1">
        <f t="array" aca="1" ref="AZ35" ca="1">IF(TblConstr[[#This Row],[Hour]:[Hour]]&gt;12,OFFSET(TblConstr[[#This Row],[Alc]],-12,0),0)+OFFSET(TblConstr[[#This Row],[Tot Alc]],-1,0)-TblConstr[[#This Row],[Dest Alc]]</f>
        <v>0</v>
      </c>
      <c r="BA35" s="189" cm="1">
        <f t="array" aca="1" ref="BA35" ca="1">IF(TblConstr[[#This Row],[Hour]:[Hour]]&gt;12,OFFSET(TblConstr[[#This Row],[Far]],-12,0),0)+OFFSET(TblConstr[[#This Row],[Tot Farm]],-1,0)-TblConstr[[#This Row],[Dest Farm]]</f>
        <v>30</v>
      </c>
      <c r="BB35" s="189" cm="1">
        <f t="array" aca="1" ref="BB35" ca="1">IF(TblConstr[[#This Row],[Hour]:[Hour]]&gt;12,OFFSET(TblConstr[[#This Row],[Smi]],-12,0),0)+OFFSET(TblConstr[[#This Row],[Tot Smi]],-1,0)-TblConstr[[#This Row],[Dest Smi]]</f>
        <v>0</v>
      </c>
      <c r="BC35" s="189" cm="1">
        <f t="array" aca="1" ref="BC35" ca="1">IF(TblConstr[[#This Row],[Hour]:[Hour]]&gt;12,OFFSET(TblConstr[[#This Row],[Mas]],-12,0),0)+OFFSET(TblConstr[[#This Row],[Tot Mas]],-1,0)-TblConstr[[#This Row],[Dest Mas]]</f>
        <v>0</v>
      </c>
      <c r="BD35" s="190" cm="1">
        <f t="array" aca="1" ref="BD35" ca="1">IF(TblConstr[[#This Row],[Hour]:[Hour]]&gt;12,OFFSET(TblConstr[[#This Row],[Ly]],-12,0),0)+OFFSET(TblConstr[[#This Row],[Tot Ly]],-1,0)-TblConstr[[#This Row],[Dest Ly]]</f>
        <v>20</v>
      </c>
      <c r="BE35" s="190" cm="1">
        <f t="array" aca="1" ref="BE35" ca="1">IF(TblConstr[[#This Row],[Hour]:[Hour]]&gt;12,OFFSET(TblConstr[[#This Row],[Hav]],-12,0),0)+OFFSET(TblConstr[[#This Row],[Tot Hav]],-1,0)-TblConstr[[#This Row],[Dest Hav]]</f>
        <v>0</v>
      </c>
      <c r="BF35" s="361" cm="1">
        <f t="array" aca="1" ref="BF35" ca="1">IF(TblConstr[[#This Row],[Hour]:[Hour]]&gt;12,OFFSET(TblConstr[[#This Row],[OM]],-12,0),0)+OFFSET(TblConstr[[#This Row],[Tot OM]],-1,0)-TblConstr[[#This Row],[Dest OM]]</f>
        <v>0</v>
      </c>
      <c r="BG35" s="361" cm="1">
        <f t="array" aca="1" ref="BG35" ca="1">IF(TblConstr[[#This Row],[Hour]:[Hour]]&gt;12,OFFSET(TblConstr[[#This Row],[GN]],-12,0),0)+OFFSET(TblConstr[[#This Row],[Tot GN]],-1,0)-TblConstr[[#This Row],[Dest GN]]</f>
        <v>0</v>
      </c>
      <c r="BH35" s="365" cm="1">
        <f t="array" aca="1" ref="BH35" ca="1">IF(TblConstr[[#This Row],[Hour]:[Hour]]&gt;12,OFFSET(TblConstr[[#This Row],[Fac]],-12,0),0)+OFFSET(TblConstr[[#This Row],[Tot Fac]],-1,0)-TblConstr[[#This Row],[Dest Fac]]</f>
        <v>0</v>
      </c>
      <c r="BI35" s="365" cm="1">
        <f t="array" aca="1" ref="BI35" ca="1">IF(TblConstr[[#This Row],[Hour]:[Hour]]&gt;12,OFFSET(TblConstr[[#This Row],[GT]],-12,0),0)+OFFSET(TblConstr[[#This Row],[Tot GT]],-1,0)-TblConstr[[#This Row],[Dest GT]]</f>
        <v>0</v>
      </c>
      <c r="BJ35" s="365" cm="1">
        <f t="array" aca="1" ref="BJ35" ca="1">IF(TblConstr[[#This Row],[Hour]:[Hour]]&gt;12,OFFSET(TblConstr[[#This Row],[Bar]],-12,0),0)+OFFSET(TblConstr[[#This Row],[Tot Bar]],-1,0)-TblConstr[[#This Row],[Dest Bar]]</f>
        <v>0</v>
      </c>
      <c r="BK35" s="365" cm="1">
        <f t="array" aca="1" ref="BK35" ca="1">IF(TblConstr[[#This Row],[Hour]:[Hour]]&gt;12,OFFSET(TblConstr[[#This Row],[Shr]],-12,0),0)+OFFSET(TblConstr[[#This Row],[Tot Shr]],-1,0)-TblConstr[[#This Row],[Dest Shr]]</f>
        <v>0</v>
      </c>
      <c r="BL35" s="369" cm="1">
        <f t="array" aca="1" ref="BL35" ca="1">IF(TblConstr[[#This Row],[Hour]:[Hour]]&gt;12,OFFSET(TblConstr[[#This Row],[Tow]],-12,0),0)+OFFSET(TblConstr[[#This Row],[Tot Tow]],-1,0)-TblConstr[[#This Row],[Dest Tow]]</f>
        <v>0</v>
      </c>
      <c r="BM35" s="369" cm="1">
        <f t="array" aca="1" ref="BM35" ca="1">IF(TblConstr[[#This Row],[Hour]:[Hour]]&gt;12,OFFSET(TblConstr[[#This Row],[Tem]],-12,0),0)+OFFSET(TblConstr[[#This Row],[Tot Tem]],-1,0)-TblConstr[[#This Row],[Dest Tem]]</f>
        <v>0</v>
      </c>
      <c r="BN35" s="369" cm="1">
        <f t="array" aca="1" ref="BN35" ca="1">IF(TblConstr[[#This Row],[Hour]:[Hour]]&gt;12,OFFSET(TblConstr[[#This Row],[WG]],-12,0),0)+OFFSET(TblConstr[[#This Row],[Tot WG]],-1,0)-TblConstr[[#This Row],[Dest WG]]</f>
        <v>0</v>
      </c>
      <c r="BO35" s="191" cm="1">
        <f t="array" aca="1" ref="BO35" ca="1">IF(TblConstr[[#This Row],[Hour]:[Hour]]&gt;12,OFFSET(TblConstr[[#This Row],[DM]],-12,0),0)+OFFSET(TblConstr[[#This Row],[Tot DM]],-1,0)-TblConstr[[#This Row],[Dest DM]]</f>
        <v>0</v>
      </c>
      <c r="BP35" s="191" cm="1">
        <f t="array" aca="1" ref="BP35" ca="1">IF(TblConstr[[#This Row],[Hour]:[Hour]]&gt;12,OFFSET(TblConstr[[#This Row],[Sch]],-12,0),0)+OFFSET(TblConstr[[#This Row],[Tot Sch]],-1,0)-TblConstr[[#This Row],[Dest Sch]]</f>
        <v>0</v>
      </c>
      <c r="BQ35" s="192" cm="1">
        <f t="array" aca="1" ref="BQ35" ca="1">IF(TblConstr[[#This Row],[Hour]:[Hour]]&gt;12,OFFSET(TblConstr[[#This Row],[Doc]],-12,0),0)+OFFSET(TblConstr[[#This Row],[Tot Doc]],-1,0)-TblConstr[[#This Row],[Dest Doc]]</f>
        <v>0</v>
      </c>
      <c r="BR35" s="142"/>
      <c r="BS35" s="154"/>
      <c r="BT35" s="94">
        <f ca="1">TblConstr[[#This Row],[Land]]</f>
        <v>110</v>
      </c>
      <c r="BU35" s="159">
        <f ca="1">TblImps[[#This Row],[Time]]</f>
        <v>46048.291666666591</v>
      </c>
      <c r="BV35" s="142"/>
      <c r="BW35" s="179"/>
      <c r="BX35" s="179"/>
      <c r="BY35" s="179"/>
      <c r="BZ35" s="179"/>
      <c r="CA35" s="179"/>
      <c r="CB35" s="179"/>
      <c r="CC35" s="179"/>
      <c r="CD35" s="179"/>
      <c r="CE35" s="179"/>
      <c r="CF35" s="179"/>
      <c r="CG35" s="179"/>
      <c r="CH35" s="179"/>
      <c r="CI35" s="179"/>
      <c r="CJ35" s="179"/>
      <c r="CK35" s="179"/>
      <c r="CL35" s="179"/>
      <c r="CM35" s="179"/>
      <c r="CN35" s="179"/>
      <c r="CO35" s="179"/>
      <c r="CP35" s="142"/>
      <c r="CQ35" s="181">
        <f ca="1">-SUM(TblConstr[[#This Row],[Alc]:[Mas]])+SUM(TblConstr[[#This Row],[Dest Alc]:[Dest Mas]])+Rezone!L35+IF("Ch_"&amp; home_land=TblConstr[[#Headers],[Ch_Plain]],TblConstr[[#This Row],[Home Land]])+IF(TblConstr[[#This Row],[Hour]:[Hour]]&gt;12,OFFSET(TblExplore[[#This Row],[Plains Explore]],-12,0),0)</f>
        <v>0</v>
      </c>
      <c r="CR35" s="182">
        <f ca="1">-SUM(TblConstr[[#This Row],[Ly]:[Hav]])+SUM(TblConstr[[#This Row],[Dest Ly]:[Dest Hav]]) +Rezone!M35 + IF("Ch_"&amp; home_land=TblConstr[[#Headers],[Ch_Forest]],TblConstr[[#This Row],[Home Land]])+IF(TblConstr[[#This Row],[Hour]:[Hour]]&gt;12,OFFSET(TblExplore[[#This Row],[Forest Explore]],-12,0),0)</f>
        <v>0</v>
      </c>
      <c r="CS35" s="359">
        <f ca="1">-SUM(TblConstr[[#This Row],[OM]:[GN]])+SUM(TblConstr[[#This Row],[Dest OM]:[Dest GN]]) +Rezone!N35 + IF("Ch_"&amp; home_land=TblConstr[[#Headers],[Ch_Mountain]],TblConstr[[#This Row],[Home Land]])+IF(TblConstr[[#This Row],[Hour]:[Hour]]&gt;12,OFFSET(TblExplore[[#This Row],[Mountain Explore]],-12,0),0)</f>
        <v>0</v>
      </c>
      <c r="CT35" s="183">
        <f ca="1">-SUM(TblConstr[[#This Row],[Fac]:[Shr]])+SUM(TblConstr[[#This Row],[Dest Fac]:[Dest Shr]]) +Rezone!O35 + IF("Ch_" &amp; home_land=TblConstr[[#Headers],[Ch_Hill]],TblConstr[[#This Row],[Home Land]])+IF(TblConstr[[#This Row],[Hour]:[Hour]]&gt;12,OFFSET(TblExplore[[#This Row],[Hill Explore]],-12,0),0)</f>
        <v>0</v>
      </c>
      <c r="CU35" s="184">
        <f ca="1">-SUM(TblConstr[[#This Row],[Tow]:[WG]])+SUM(TblConstr[[#This Row],[Dest Tow]:[Dest WG]]) +Rezone!P35 + IF("Ch_" &amp; home_land=TblConstr[[#Headers],[Ch_Swamp]],TblConstr[[#This Row],[Home Land]])+IF(TblConstr[[#This Row],[Hour]:[Hour]]&gt;12,OFFSET(TblExplore[[#This Row],[Swamp Explore]],-12,0),0)</f>
        <v>0</v>
      </c>
      <c r="CV35" s="185">
        <f ca="1" xml:space="preserve"> - SUM(TblConstr[[#This Row],[DM]:[Sch]])+SUM(TblConstr[[#This Row],[Dest DM]:[Dest Sch]]) +Rezone!Q35 + IF("Ch_" &amp; home_land=TblConstr[[#Headers],[Ch_Cavern]],TblConstr[[#This Row],[Home Land]])+IF(TblConstr[[#This Row],[Hour]:[Hour]]&gt;12,OFFSET(TblExplore[[#This Row],[Cavern Explore]],-12,0),0)</f>
        <v>0</v>
      </c>
      <c r="CW35" s="186">
        <f ca="1">-TblConstr[[#This Row],[Doc]]+TblConstr[[#This Row],[Dest Doc]] +Rezone!R35 + IF("Ch_" &amp; home_land=TblConstr[[#Headers],[Ch_Water]],TblConstr[[#This Row],[Home Land]])+IF(TblConstr[[#This Row],[Hour]:[Hour]]&gt;12,OFFSET(TblExplore[[#This Row],[Water Explore]],-12,0),0)</f>
        <v>0</v>
      </c>
      <c r="CX35" s="45">
        <f>IF(Explore!S35=1,20) - TblConstr[[#This Row],[Hom]] + TblConstr[[#This Row],[Dest Hom]]</f>
        <v>0</v>
      </c>
      <c r="CY35" s="142"/>
      <c r="CZ35" s="94">
        <f t="shared" ca="1" si="3"/>
        <v>90</v>
      </c>
      <c r="DA35" s="94">
        <f t="shared" ca="1" si="4"/>
        <v>20</v>
      </c>
      <c r="DB35" s="45">
        <f t="shared" ca="1" si="5"/>
        <v>0</v>
      </c>
      <c r="DC35" s="94">
        <f t="shared" ca="1" si="6"/>
        <v>0</v>
      </c>
      <c r="DD35" s="94">
        <f t="shared" ca="1" si="7"/>
        <v>0</v>
      </c>
      <c r="DE35" s="45">
        <f t="shared" ca="1" si="8"/>
        <v>0</v>
      </c>
      <c r="DF35" s="94">
        <f t="shared" ca="1" si="9"/>
        <v>0</v>
      </c>
      <c r="DG35" s="94" cm="1">
        <f t="array" aca="1" ref="DG35" ca="1">INDEX(TblConstr[[Total Plain]:[Total Water]],ROW()-ROW(TblConstr[#Headers]),MATCH("Total "&amp;home_land,TblConstr[[#Headers],[Total Plain]:[Total Water]],0))+TblConstr[[#This Row],[Homes]]</f>
        <v>90</v>
      </c>
      <c r="DH35" s="45">
        <f t="shared" ca="1" si="10"/>
        <v>0</v>
      </c>
      <c r="DI35" s="45">
        <f t="shared" ca="1" si="0"/>
        <v>0</v>
      </c>
      <c r="DJ35" s="45">
        <f t="shared" ca="1" si="1"/>
        <v>0</v>
      </c>
    </row>
    <row r="36" spans="1:114" x14ac:dyDescent="0.2">
      <c r="A36" s="175">
        <f>TblRezone[[#This Row],[Hour]]</f>
        <v>33</v>
      </c>
      <c r="B36" s="176">
        <f ca="1">SUM(TblConstr[[#This Row],[Plain]:[Water]])</f>
        <v>60</v>
      </c>
      <c r="C36" s="177">
        <f ca="1">SUM(TblConstr[[#This Row],[Tot Hom]:[Tot Doc]])</f>
        <v>50</v>
      </c>
      <c r="D36" s="177">
        <f t="shared" si="2"/>
        <v>0</v>
      </c>
      <c r="E36" s="178"/>
      <c r="F36" s="61">
        <f ca="1">TblConstr[[#This Row],[Barren]]+TblConstr[[#This Row],[Buildings]]+TblConstr[[#This Row],[Incoming]]</f>
        <v>110</v>
      </c>
      <c r="G36" s="187">
        <f ca="1">OFFSET(TblConstr[[#This Row],[Plain]],-1,0)+TblConstr[[#This Row],[Ch_Plain]]</f>
        <v>60</v>
      </c>
      <c r="H36" s="182">
        <f ca="1">OFFSET(TblConstr[[#This Row],[Forest]],-1,0)+TblConstr[[#This Row],[Ch_Forest]]</f>
        <v>0</v>
      </c>
      <c r="I36" s="359">
        <f ca="1">OFFSET(TblConstr[[#This Row],[Mountain]],-1,0)+TblConstr[[#This Row],[Ch_Mountain]]</f>
        <v>0</v>
      </c>
      <c r="J36" s="363">
        <f ca="1">OFFSET(TblConstr[[#This Row],[Hill]],-1,0)+TblConstr[[#This Row],[Ch_Hill]]</f>
        <v>0</v>
      </c>
      <c r="K36" s="367">
        <f ca="1">OFFSET(TblConstr[[#This Row],[Swamp]],-1,0)+TblConstr[[#This Row],[Ch_Swamp]]</f>
        <v>0</v>
      </c>
      <c r="L36" s="185">
        <f ca="1">OFFSET(TblConstr[[#This Row],[Cavern]],-1,0)+TblConstr[[#This Row],[Ch_Cavern]]</f>
        <v>0</v>
      </c>
      <c r="M36" s="186">
        <f ca="1">OFFSET(TblConstr[[#This Row],[Water]],-1,0)+TblConstr[[#This Row],[Ch_Water]]</f>
        <v>0</v>
      </c>
      <c r="N36" s="357">
        <f>TblRezone[[#This Row],[Hour]]</f>
        <v>33</v>
      </c>
      <c r="O36" s="179"/>
      <c r="P36" s="179"/>
      <c r="Q36" s="179"/>
      <c r="R36" s="179"/>
      <c r="S36" s="179"/>
      <c r="T36" s="179"/>
      <c r="U36" s="179"/>
      <c r="V36" s="179"/>
      <c r="W36" s="179"/>
      <c r="X36" s="179"/>
      <c r="Y36" s="179"/>
      <c r="Z36" s="179"/>
      <c r="AA36" s="179"/>
      <c r="AB36" s="179"/>
      <c r="AC36" s="179"/>
      <c r="AD36" s="179"/>
      <c r="AE36" s="179"/>
      <c r="AF36" s="179"/>
      <c r="AG36" s="179"/>
      <c r="AH36" s="53">
        <f ca="1">TblImps[[#This Row],[Time]]</f>
        <v>46048.333333333256</v>
      </c>
      <c r="AI36" s="180">
        <f ca="1">MIN(25%,(TblConstr[[#This Row],[Tot Fac]]+TblConstr[[#This Row],[Dest Fac]])/(TblConstr[[#This Row],[Land]]-TblExplore[[#This Row],[Land Bonus]]*20))</f>
        <v>0</v>
      </c>
      <c r="AJ36" s="180">
        <f ca="1">MIN(25%,(TblConstr[[#This Row],[Tot Fac]]+TblConstr[[#This Row],[Dest Fac]])/TblConstr[[#This Row],[Land]])</f>
        <v>0</v>
      </c>
      <c r="AK36" s="94">
        <f ca="1">TblProd[[#This Row],[Platinum]]</f>
        <v>103663</v>
      </c>
      <c r="AL36" s="94">
        <f ca="1">TblProd[[#This Row],[Lumber]]</f>
        <v>38376</v>
      </c>
      <c r="AM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6" s="94">
        <f ca="1">ROUNDDOWN( MAX(1 - MIN(facs_constr_factor*TblConstr[[#This Row],[Facs -DB]],facs_constr_max) + tech_1_11*TblTech[[#This Row],[11-1]] + tech_6_3_2*TblTech[[#This Row],[6-3]] + tech_5_2_3*TblTech[[#This Row],[5-2]], 1-global_constr_cap) * TblConstr[[#This Row],[RCPA Lumber]],0)</f>
        <v>48</v>
      </c>
      <c r="AO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6" s="94">
        <f ca="1">ROUNDDOWN( MAX(1 - MIN(facs_constr_factor*TblConstr[[#This Row],[Facs DB]],facs_constr_max) + tech_1_11*TblTech[[#This Row],[1-11]] + tech_6_3_2*TblTech[[#This Row],[6-3]] + tech_5_2_3*TblTech[[#This Row],[5-2]], 1-global_constr_cap) * ROUND((TblConstr[[#This Row],[Land]]-250)*0.285 + 87.5 + 0/4.25,0),0)</f>
        <v>48</v>
      </c>
      <c r="AQ36" s="45">
        <f ca="1">TblConstr[[#This Row],[build -db]]*TblConstr[[#This Row],[CPA Platinum -DB]] + TblConstr[[#This Row],[build db]]*TblConstr[[#This Row],[CPA Platinum DB]]</f>
        <v>0</v>
      </c>
      <c r="AR36" s="45">
        <f ca="1">TblConstr[[#This Row],[build -db]]*TblConstr[[#This Row],[CPA Lumber -DB]] + TblConstr[[#This Row],[build db]]*TblConstr[[#This Row],[CPA Lumber DB]]</f>
        <v>0</v>
      </c>
      <c r="AS36" s="94">
        <f ca="1">MIN(SUM(OFFSET(TblConstr[[#This Row],[Plain]:[Water]],-1,0))+SUM(TblConstr[[#This Row],[Dest Hom]:[Dest Doc]])+IF(TblConstr[[#This Row],[Hour]]&gt;12,SUM(OFFSET(TblExplore[[#This Row],[Plains Explore]:[Water Explore]],-12,0)),0),SUM(TblConstr[[#This Row],[Hom]:[Doc]]))</f>
        <v>0</v>
      </c>
      <c r="AT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6" s="142"/>
      <c r="AV36" s="94">
        <f ca="1">ROUND((TblConstr[[#This Row],[Land]]-250 - IF(TblExplore[[#This Row],[Land Bonus]]&lt;&gt;0,20,0))*1.25 + 850 + 0,0)</f>
        <v>675</v>
      </c>
      <c r="AW36" s="94">
        <f ca="1">ROUND((TblConstr[[#This Row],[Land]]-250 - IF(TblExplore[[#This Row],[Land Bonus]]&lt;&gt;0,20,0))*0.285 + 87.5 + 0/4.25,0)</f>
        <v>48</v>
      </c>
      <c r="AX36" s="154"/>
      <c r="AY36" s="188" cm="1">
        <f t="array" aca="1" ref="AY36" ca="1">IF(TblConstr[[#This Row],[Hour]:[Hour]]&gt;12,OFFSET(TblConstr[[#This Row],[Hom]],-12,0),0)+OFFSET(TblConstr[[#This Row],[Tot Hom]],-1,0)-TblConstr[[#This Row],[Dest Hom]]</f>
        <v>0</v>
      </c>
      <c r="AZ36" s="189" cm="1">
        <f t="array" aca="1" ref="AZ36" ca="1">IF(TblConstr[[#This Row],[Hour]:[Hour]]&gt;12,OFFSET(TblConstr[[#This Row],[Alc]],-12,0),0)+OFFSET(TblConstr[[#This Row],[Tot Alc]],-1,0)-TblConstr[[#This Row],[Dest Alc]]</f>
        <v>0</v>
      </c>
      <c r="BA36" s="189" cm="1">
        <f t="array" aca="1" ref="BA36" ca="1">IF(TblConstr[[#This Row],[Hour]:[Hour]]&gt;12,OFFSET(TblConstr[[#This Row],[Far]],-12,0),0)+OFFSET(TblConstr[[#This Row],[Tot Farm]],-1,0)-TblConstr[[#This Row],[Dest Farm]]</f>
        <v>30</v>
      </c>
      <c r="BB36" s="189" cm="1">
        <f t="array" aca="1" ref="BB36" ca="1">IF(TblConstr[[#This Row],[Hour]:[Hour]]&gt;12,OFFSET(TblConstr[[#This Row],[Smi]],-12,0),0)+OFFSET(TblConstr[[#This Row],[Tot Smi]],-1,0)-TblConstr[[#This Row],[Dest Smi]]</f>
        <v>0</v>
      </c>
      <c r="BC36" s="189" cm="1">
        <f t="array" aca="1" ref="BC36" ca="1">IF(TblConstr[[#This Row],[Hour]:[Hour]]&gt;12,OFFSET(TblConstr[[#This Row],[Mas]],-12,0),0)+OFFSET(TblConstr[[#This Row],[Tot Mas]],-1,0)-TblConstr[[#This Row],[Dest Mas]]</f>
        <v>0</v>
      </c>
      <c r="BD36" s="190" cm="1">
        <f t="array" aca="1" ref="BD36" ca="1">IF(TblConstr[[#This Row],[Hour]:[Hour]]&gt;12,OFFSET(TblConstr[[#This Row],[Ly]],-12,0),0)+OFFSET(TblConstr[[#This Row],[Tot Ly]],-1,0)-TblConstr[[#This Row],[Dest Ly]]</f>
        <v>20</v>
      </c>
      <c r="BE36" s="190" cm="1">
        <f t="array" aca="1" ref="BE36" ca="1">IF(TblConstr[[#This Row],[Hour]:[Hour]]&gt;12,OFFSET(TblConstr[[#This Row],[Hav]],-12,0),0)+OFFSET(TblConstr[[#This Row],[Tot Hav]],-1,0)-TblConstr[[#This Row],[Dest Hav]]</f>
        <v>0</v>
      </c>
      <c r="BF36" s="361" cm="1">
        <f t="array" aca="1" ref="BF36" ca="1">IF(TblConstr[[#This Row],[Hour]:[Hour]]&gt;12,OFFSET(TblConstr[[#This Row],[OM]],-12,0),0)+OFFSET(TblConstr[[#This Row],[Tot OM]],-1,0)-TblConstr[[#This Row],[Dest OM]]</f>
        <v>0</v>
      </c>
      <c r="BG36" s="361" cm="1">
        <f t="array" aca="1" ref="BG36" ca="1">IF(TblConstr[[#This Row],[Hour]:[Hour]]&gt;12,OFFSET(TblConstr[[#This Row],[GN]],-12,0),0)+OFFSET(TblConstr[[#This Row],[Tot GN]],-1,0)-TblConstr[[#This Row],[Dest GN]]</f>
        <v>0</v>
      </c>
      <c r="BH36" s="365" cm="1">
        <f t="array" aca="1" ref="BH36" ca="1">IF(TblConstr[[#This Row],[Hour]:[Hour]]&gt;12,OFFSET(TblConstr[[#This Row],[Fac]],-12,0),0)+OFFSET(TblConstr[[#This Row],[Tot Fac]],-1,0)-TblConstr[[#This Row],[Dest Fac]]</f>
        <v>0</v>
      </c>
      <c r="BI36" s="365" cm="1">
        <f t="array" aca="1" ref="BI36" ca="1">IF(TblConstr[[#This Row],[Hour]:[Hour]]&gt;12,OFFSET(TblConstr[[#This Row],[GT]],-12,0),0)+OFFSET(TblConstr[[#This Row],[Tot GT]],-1,0)-TblConstr[[#This Row],[Dest GT]]</f>
        <v>0</v>
      </c>
      <c r="BJ36" s="365" cm="1">
        <f t="array" aca="1" ref="BJ36" ca="1">IF(TblConstr[[#This Row],[Hour]:[Hour]]&gt;12,OFFSET(TblConstr[[#This Row],[Bar]],-12,0),0)+OFFSET(TblConstr[[#This Row],[Tot Bar]],-1,0)-TblConstr[[#This Row],[Dest Bar]]</f>
        <v>0</v>
      </c>
      <c r="BK36" s="365" cm="1">
        <f t="array" aca="1" ref="BK36" ca="1">IF(TblConstr[[#This Row],[Hour]:[Hour]]&gt;12,OFFSET(TblConstr[[#This Row],[Shr]],-12,0),0)+OFFSET(TblConstr[[#This Row],[Tot Shr]],-1,0)-TblConstr[[#This Row],[Dest Shr]]</f>
        <v>0</v>
      </c>
      <c r="BL36" s="369" cm="1">
        <f t="array" aca="1" ref="BL36" ca="1">IF(TblConstr[[#This Row],[Hour]:[Hour]]&gt;12,OFFSET(TblConstr[[#This Row],[Tow]],-12,0),0)+OFFSET(TblConstr[[#This Row],[Tot Tow]],-1,0)-TblConstr[[#This Row],[Dest Tow]]</f>
        <v>0</v>
      </c>
      <c r="BM36" s="369" cm="1">
        <f t="array" aca="1" ref="BM36" ca="1">IF(TblConstr[[#This Row],[Hour]:[Hour]]&gt;12,OFFSET(TblConstr[[#This Row],[Tem]],-12,0),0)+OFFSET(TblConstr[[#This Row],[Tot Tem]],-1,0)-TblConstr[[#This Row],[Dest Tem]]</f>
        <v>0</v>
      </c>
      <c r="BN36" s="369" cm="1">
        <f t="array" aca="1" ref="BN36" ca="1">IF(TblConstr[[#This Row],[Hour]:[Hour]]&gt;12,OFFSET(TblConstr[[#This Row],[WG]],-12,0),0)+OFFSET(TblConstr[[#This Row],[Tot WG]],-1,0)-TblConstr[[#This Row],[Dest WG]]</f>
        <v>0</v>
      </c>
      <c r="BO36" s="191" cm="1">
        <f t="array" aca="1" ref="BO36" ca="1">IF(TblConstr[[#This Row],[Hour]:[Hour]]&gt;12,OFFSET(TblConstr[[#This Row],[DM]],-12,0),0)+OFFSET(TblConstr[[#This Row],[Tot DM]],-1,0)-TblConstr[[#This Row],[Dest DM]]</f>
        <v>0</v>
      </c>
      <c r="BP36" s="191" cm="1">
        <f t="array" aca="1" ref="BP36" ca="1">IF(TblConstr[[#This Row],[Hour]:[Hour]]&gt;12,OFFSET(TblConstr[[#This Row],[Sch]],-12,0),0)+OFFSET(TblConstr[[#This Row],[Tot Sch]],-1,0)-TblConstr[[#This Row],[Dest Sch]]</f>
        <v>0</v>
      </c>
      <c r="BQ36" s="192" cm="1">
        <f t="array" aca="1" ref="BQ36" ca="1">IF(TblConstr[[#This Row],[Hour]:[Hour]]&gt;12,OFFSET(TblConstr[[#This Row],[Doc]],-12,0),0)+OFFSET(TblConstr[[#This Row],[Tot Doc]],-1,0)-TblConstr[[#This Row],[Dest Doc]]</f>
        <v>0</v>
      </c>
      <c r="BR36" s="142"/>
      <c r="BS36" s="154"/>
      <c r="BT36" s="94">
        <f ca="1">TblConstr[[#This Row],[Land]]</f>
        <v>110</v>
      </c>
      <c r="BU36" s="159">
        <f ca="1">TblImps[[#This Row],[Time]]</f>
        <v>46048.333333333256</v>
      </c>
      <c r="BV36" s="142"/>
      <c r="BW36" s="179"/>
      <c r="BX36" s="179"/>
      <c r="BY36" s="179"/>
      <c r="BZ36" s="179"/>
      <c r="CA36" s="179"/>
      <c r="CB36" s="179"/>
      <c r="CC36" s="179"/>
      <c r="CD36" s="179"/>
      <c r="CE36" s="179"/>
      <c r="CF36" s="179"/>
      <c r="CG36" s="179"/>
      <c r="CH36" s="179"/>
      <c r="CI36" s="179"/>
      <c r="CJ36" s="179"/>
      <c r="CK36" s="179"/>
      <c r="CL36" s="179"/>
      <c r="CM36" s="179"/>
      <c r="CN36" s="179"/>
      <c r="CO36" s="179"/>
      <c r="CP36" s="142"/>
      <c r="CQ36" s="181">
        <f ca="1">-SUM(TblConstr[[#This Row],[Alc]:[Mas]])+SUM(TblConstr[[#This Row],[Dest Alc]:[Dest Mas]])+Rezone!L36+IF("Ch_"&amp; home_land=TblConstr[[#Headers],[Ch_Plain]],TblConstr[[#This Row],[Home Land]])+IF(TblConstr[[#This Row],[Hour]:[Hour]]&gt;12,OFFSET(TblExplore[[#This Row],[Plains Explore]],-12,0),0)</f>
        <v>0</v>
      </c>
      <c r="CR36" s="182">
        <f ca="1">-SUM(TblConstr[[#This Row],[Ly]:[Hav]])+SUM(TblConstr[[#This Row],[Dest Ly]:[Dest Hav]]) +Rezone!M36 + IF("Ch_"&amp; home_land=TblConstr[[#Headers],[Ch_Forest]],TblConstr[[#This Row],[Home Land]])+IF(TblConstr[[#This Row],[Hour]:[Hour]]&gt;12,OFFSET(TblExplore[[#This Row],[Forest Explore]],-12,0),0)</f>
        <v>0</v>
      </c>
      <c r="CS36" s="359">
        <f ca="1">-SUM(TblConstr[[#This Row],[OM]:[GN]])+SUM(TblConstr[[#This Row],[Dest OM]:[Dest GN]]) +Rezone!N36 + IF("Ch_"&amp; home_land=TblConstr[[#Headers],[Ch_Mountain]],TblConstr[[#This Row],[Home Land]])+IF(TblConstr[[#This Row],[Hour]:[Hour]]&gt;12,OFFSET(TblExplore[[#This Row],[Mountain Explore]],-12,0),0)</f>
        <v>0</v>
      </c>
      <c r="CT36" s="183">
        <f ca="1">-SUM(TblConstr[[#This Row],[Fac]:[Shr]])+SUM(TblConstr[[#This Row],[Dest Fac]:[Dest Shr]]) +Rezone!O36 + IF("Ch_" &amp; home_land=TblConstr[[#Headers],[Ch_Hill]],TblConstr[[#This Row],[Home Land]])+IF(TblConstr[[#This Row],[Hour]:[Hour]]&gt;12,OFFSET(TblExplore[[#This Row],[Hill Explore]],-12,0),0)</f>
        <v>0</v>
      </c>
      <c r="CU36" s="184">
        <f ca="1">-SUM(TblConstr[[#This Row],[Tow]:[WG]])+SUM(TblConstr[[#This Row],[Dest Tow]:[Dest WG]]) +Rezone!P36 + IF("Ch_" &amp; home_land=TblConstr[[#Headers],[Ch_Swamp]],TblConstr[[#This Row],[Home Land]])+IF(TblConstr[[#This Row],[Hour]:[Hour]]&gt;12,OFFSET(TblExplore[[#This Row],[Swamp Explore]],-12,0),0)</f>
        <v>0</v>
      </c>
      <c r="CV36" s="185">
        <f ca="1" xml:space="preserve"> - SUM(TblConstr[[#This Row],[DM]:[Sch]])+SUM(TblConstr[[#This Row],[Dest DM]:[Dest Sch]]) +Rezone!Q36 + IF("Ch_" &amp; home_land=TblConstr[[#Headers],[Ch_Cavern]],TblConstr[[#This Row],[Home Land]])+IF(TblConstr[[#This Row],[Hour]:[Hour]]&gt;12,OFFSET(TblExplore[[#This Row],[Cavern Explore]],-12,0),0)</f>
        <v>0</v>
      </c>
      <c r="CW36" s="186">
        <f ca="1">-TblConstr[[#This Row],[Doc]]+TblConstr[[#This Row],[Dest Doc]] +Rezone!R36 + IF("Ch_" &amp; home_land=TblConstr[[#Headers],[Ch_Water]],TblConstr[[#This Row],[Home Land]])+IF(TblConstr[[#This Row],[Hour]:[Hour]]&gt;12,OFFSET(TblExplore[[#This Row],[Water Explore]],-12,0),0)</f>
        <v>0</v>
      </c>
      <c r="CX36" s="45">
        <f>IF(Explore!S36=1,20) - TblConstr[[#This Row],[Hom]] + TblConstr[[#This Row],[Dest Hom]]</f>
        <v>0</v>
      </c>
      <c r="CY36" s="142"/>
      <c r="CZ36" s="94">
        <f t="shared" ca="1" si="3"/>
        <v>90</v>
      </c>
      <c r="DA36" s="94">
        <f t="shared" ca="1" si="4"/>
        <v>20</v>
      </c>
      <c r="DB36" s="45">
        <f t="shared" ca="1" si="5"/>
        <v>0</v>
      </c>
      <c r="DC36" s="94">
        <f t="shared" ca="1" si="6"/>
        <v>0</v>
      </c>
      <c r="DD36" s="94">
        <f t="shared" ca="1" si="7"/>
        <v>0</v>
      </c>
      <c r="DE36" s="45">
        <f t="shared" ca="1" si="8"/>
        <v>0</v>
      </c>
      <c r="DF36" s="94">
        <f t="shared" ca="1" si="9"/>
        <v>0</v>
      </c>
      <c r="DG36" s="94" cm="1">
        <f t="array" aca="1" ref="DG36" ca="1">INDEX(TblConstr[[Total Plain]:[Total Water]],ROW()-ROW(TblConstr[#Headers]),MATCH("Total "&amp;home_land,TblConstr[[#Headers],[Total Plain]:[Total Water]],0))+TblConstr[[#This Row],[Homes]]</f>
        <v>90</v>
      </c>
      <c r="DH36" s="45">
        <f t="shared" ca="1" si="10"/>
        <v>0</v>
      </c>
      <c r="DI36" s="45">
        <f t="shared" ca="1" si="0"/>
        <v>0</v>
      </c>
      <c r="DJ36" s="45">
        <f t="shared" ca="1" si="1"/>
        <v>0</v>
      </c>
    </row>
    <row r="37" spans="1:114" x14ac:dyDescent="0.2">
      <c r="A37" s="175">
        <f>TblRezone[[#This Row],[Hour]]</f>
        <v>34</v>
      </c>
      <c r="B37" s="176">
        <f ca="1">SUM(TblConstr[[#This Row],[Plain]:[Water]])</f>
        <v>60</v>
      </c>
      <c r="C37" s="177">
        <f ca="1">SUM(TblConstr[[#This Row],[Tot Hom]:[Tot Doc]])</f>
        <v>50</v>
      </c>
      <c r="D37" s="177">
        <f t="shared" si="2"/>
        <v>0</v>
      </c>
      <c r="E37" s="178"/>
      <c r="F37" s="61">
        <f ca="1">TblConstr[[#This Row],[Barren]]+TblConstr[[#This Row],[Buildings]]+TblConstr[[#This Row],[Incoming]]</f>
        <v>110</v>
      </c>
      <c r="G37" s="187">
        <f ca="1">OFFSET(TblConstr[[#This Row],[Plain]],-1,0)+TblConstr[[#This Row],[Ch_Plain]]</f>
        <v>60</v>
      </c>
      <c r="H37" s="182">
        <f ca="1">OFFSET(TblConstr[[#This Row],[Forest]],-1,0)+TblConstr[[#This Row],[Ch_Forest]]</f>
        <v>0</v>
      </c>
      <c r="I37" s="359">
        <f ca="1">OFFSET(TblConstr[[#This Row],[Mountain]],-1,0)+TblConstr[[#This Row],[Ch_Mountain]]</f>
        <v>0</v>
      </c>
      <c r="J37" s="363">
        <f ca="1">OFFSET(TblConstr[[#This Row],[Hill]],-1,0)+TblConstr[[#This Row],[Ch_Hill]]</f>
        <v>0</v>
      </c>
      <c r="K37" s="367">
        <f ca="1">OFFSET(TblConstr[[#This Row],[Swamp]],-1,0)+TblConstr[[#This Row],[Ch_Swamp]]</f>
        <v>0</v>
      </c>
      <c r="L37" s="185">
        <f ca="1">OFFSET(TblConstr[[#This Row],[Cavern]],-1,0)+TblConstr[[#This Row],[Ch_Cavern]]</f>
        <v>0</v>
      </c>
      <c r="M37" s="186">
        <f ca="1">OFFSET(TblConstr[[#This Row],[Water]],-1,0)+TblConstr[[#This Row],[Ch_Water]]</f>
        <v>0</v>
      </c>
      <c r="N37" s="357">
        <f>TblRezone[[#This Row],[Hour]]</f>
        <v>34</v>
      </c>
      <c r="O37" s="179"/>
      <c r="P37" s="179"/>
      <c r="Q37" s="179"/>
      <c r="R37" s="179"/>
      <c r="S37" s="179"/>
      <c r="T37" s="179"/>
      <c r="U37" s="179"/>
      <c r="V37" s="179"/>
      <c r="W37" s="179"/>
      <c r="X37" s="179"/>
      <c r="Y37" s="179"/>
      <c r="Z37" s="179"/>
      <c r="AA37" s="179"/>
      <c r="AB37" s="179"/>
      <c r="AC37" s="179"/>
      <c r="AD37" s="179"/>
      <c r="AE37" s="179"/>
      <c r="AF37" s="179"/>
      <c r="AG37" s="179"/>
      <c r="AH37" s="53">
        <f ca="1">TblImps[[#This Row],[Time]]</f>
        <v>46048.37499999992</v>
      </c>
      <c r="AI37" s="180">
        <f ca="1">MIN(25%,(TblConstr[[#This Row],[Tot Fac]]+TblConstr[[#This Row],[Dest Fac]])/(TblConstr[[#This Row],[Land]]-TblExplore[[#This Row],[Land Bonus]]*20))</f>
        <v>0</v>
      </c>
      <c r="AJ37" s="180">
        <f ca="1">MIN(25%,(TblConstr[[#This Row],[Tot Fac]]+TblConstr[[#This Row],[Dest Fac]])/TblConstr[[#This Row],[Land]])</f>
        <v>0</v>
      </c>
      <c r="AK37" s="94">
        <f ca="1">TblProd[[#This Row],[Platinum]]</f>
        <v>105625</v>
      </c>
      <c r="AL37" s="94">
        <f ca="1">TblProd[[#This Row],[Lumber]]</f>
        <v>38992</v>
      </c>
      <c r="AM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7" s="94">
        <f ca="1">ROUNDDOWN( MAX(1 - MIN(facs_constr_factor*TblConstr[[#This Row],[Facs -DB]],facs_constr_max) + tech_1_11*TblTech[[#This Row],[11-1]] + tech_6_3_2*TblTech[[#This Row],[6-3]] + tech_5_2_3*TblTech[[#This Row],[5-2]], 1-global_constr_cap) * TblConstr[[#This Row],[RCPA Lumber]],0)</f>
        <v>48</v>
      </c>
      <c r="AO3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7" s="94">
        <f ca="1">ROUNDDOWN( MAX(1 - MIN(facs_constr_factor*TblConstr[[#This Row],[Facs DB]],facs_constr_max) + tech_1_11*TblTech[[#This Row],[1-11]] + tech_6_3_2*TblTech[[#This Row],[6-3]] + tech_5_2_3*TblTech[[#This Row],[5-2]], 1-global_constr_cap) * ROUND((TblConstr[[#This Row],[Land]]-250)*0.285 + 87.5 + 0/4.25,0),0)</f>
        <v>48</v>
      </c>
      <c r="AQ37" s="45">
        <f ca="1">TblConstr[[#This Row],[build -db]]*TblConstr[[#This Row],[CPA Platinum -DB]] + TblConstr[[#This Row],[build db]]*TblConstr[[#This Row],[CPA Platinum DB]]</f>
        <v>0</v>
      </c>
      <c r="AR37" s="45">
        <f ca="1">TblConstr[[#This Row],[build -db]]*TblConstr[[#This Row],[CPA Lumber -DB]] + TblConstr[[#This Row],[build db]]*TblConstr[[#This Row],[CPA Lumber DB]]</f>
        <v>0</v>
      </c>
      <c r="AS37" s="94">
        <f ca="1">MIN(SUM(OFFSET(TblConstr[[#This Row],[Plain]:[Water]],-1,0))+SUM(TblConstr[[#This Row],[Dest Hom]:[Dest Doc]])+IF(TblConstr[[#This Row],[Hour]]&gt;12,SUM(OFFSET(TblExplore[[#This Row],[Plains Explore]:[Water Explore]],-12,0)),0),SUM(TblConstr[[#This Row],[Hom]:[Doc]]))</f>
        <v>0</v>
      </c>
      <c r="AT3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7" s="142"/>
      <c r="AV37" s="94">
        <f ca="1">ROUND((TblConstr[[#This Row],[Land]]-250 - IF(TblExplore[[#This Row],[Land Bonus]]&lt;&gt;0,20,0))*1.25 + 850 + 0,0)</f>
        <v>675</v>
      </c>
      <c r="AW37" s="94">
        <f ca="1">ROUND((TblConstr[[#This Row],[Land]]-250 - IF(TblExplore[[#This Row],[Land Bonus]]&lt;&gt;0,20,0))*0.285 + 87.5 + 0/4.25,0)</f>
        <v>48</v>
      </c>
      <c r="AX37" s="154"/>
      <c r="AY37" s="188" cm="1">
        <f t="array" aca="1" ref="AY37" ca="1">IF(TblConstr[[#This Row],[Hour]:[Hour]]&gt;12,OFFSET(TblConstr[[#This Row],[Hom]],-12,0),0)+OFFSET(TblConstr[[#This Row],[Tot Hom]],-1,0)-TblConstr[[#This Row],[Dest Hom]]</f>
        <v>0</v>
      </c>
      <c r="AZ37" s="189" cm="1">
        <f t="array" aca="1" ref="AZ37" ca="1">IF(TblConstr[[#This Row],[Hour]:[Hour]]&gt;12,OFFSET(TblConstr[[#This Row],[Alc]],-12,0),0)+OFFSET(TblConstr[[#This Row],[Tot Alc]],-1,0)-TblConstr[[#This Row],[Dest Alc]]</f>
        <v>0</v>
      </c>
      <c r="BA37" s="189" cm="1">
        <f t="array" aca="1" ref="BA37" ca="1">IF(TblConstr[[#This Row],[Hour]:[Hour]]&gt;12,OFFSET(TblConstr[[#This Row],[Far]],-12,0),0)+OFFSET(TblConstr[[#This Row],[Tot Farm]],-1,0)-TblConstr[[#This Row],[Dest Farm]]</f>
        <v>30</v>
      </c>
      <c r="BB37" s="189" cm="1">
        <f t="array" aca="1" ref="BB37" ca="1">IF(TblConstr[[#This Row],[Hour]:[Hour]]&gt;12,OFFSET(TblConstr[[#This Row],[Smi]],-12,0),0)+OFFSET(TblConstr[[#This Row],[Tot Smi]],-1,0)-TblConstr[[#This Row],[Dest Smi]]</f>
        <v>0</v>
      </c>
      <c r="BC37" s="189" cm="1">
        <f t="array" aca="1" ref="BC37" ca="1">IF(TblConstr[[#This Row],[Hour]:[Hour]]&gt;12,OFFSET(TblConstr[[#This Row],[Mas]],-12,0),0)+OFFSET(TblConstr[[#This Row],[Tot Mas]],-1,0)-TblConstr[[#This Row],[Dest Mas]]</f>
        <v>0</v>
      </c>
      <c r="BD37" s="190" cm="1">
        <f t="array" aca="1" ref="BD37" ca="1">IF(TblConstr[[#This Row],[Hour]:[Hour]]&gt;12,OFFSET(TblConstr[[#This Row],[Ly]],-12,0),0)+OFFSET(TblConstr[[#This Row],[Tot Ly]],-1,0)-TblConstr[[#This Row],[Dest Ly]]</f>
        <v>20</v>
      </c>
      <c r="BE37" s="190" cm="1">
        <f t="array" aca="1" ref="BE37" ca="1">IF(TblConstr[[#This Row],[Hour]:[Hour]]&gt;12,OFFSET(TblConstr[[#This Row],[Hav]],-12,0),0)+OFFSET(TblConstr[[#This Row],[Tot Hav]],-1,0)-TblConstr[[#This Row],[Dest Hav]]</f>
        <v>0</v>
      </c>
      <c r="BF37" s="361" cm="1">
        <f t="array" aca="1" ref="BF37" ca="1">IF(TblConstr[[#This Row],[Hour]:[Hour]]&gt;12,OFFSET(TblConstr[[#This Row],[OM]],-12,0),0)+OFFSET(TblConstr[[#This Row],[Tot OM]],-1,0)-TblConstr[[#This Row],[Dest OM]]</f>
        <v>0</v>
      </c>
      <c r="BG37" s="361" cm="1">
        <f t="array" aca="1" ref="BG37" ca="1">IF(TblConstr[[#This Row],[Hour]:[Hour]]&gt;12,OFFSET(TblConstr[[#This Row],[GN]],-12,0),0)+OFFSET(TblConstr[[#This Row],[Tot GN]],-1,0)-TblConstr[[#This Row],[Dest GN]]</f>
        <v>0</v>
      </c>
      <c r="BH37" s="365" cm="1">
        <f t="array" aca="1" ref="BH37" ca="1">IF(TblConstr[[#This Row],[Hour]:[Hour]]&gt;12,OFFSET(TblConstr[[#This Row],[Fac]],-12,0),0)+OFFSET(TblConstr[[#This Row],[Tot Fac]],-1,0)-TblConstr[[#This Row],[Dest Fac]]</f>
        <v>0</v>
      </c>
      <c r="BI37" s="365" cm="1">
        <f t="array" aca="1" ref="BI37" ca="1">IF(TblConstr[[#This Row],[Hour]:[Hour]]&gt;12,OFFSET(TblConstr[[#This Row],[GT]],-12,0),0)+OFFSET(TblConstr[[#This Row],[Tot GT]],-1,0)-TblConstr[[#This Row],[Dest GT]]</f>
        <v>0</v>
      </c>
      <c r="BJ37" s="365" cm="1">
        <f t="array" aca="1" ref="BJ37" ca="1">IF(TblConstr[[#This Row],[Hour]:[Hour]]&gt;12,OFFSET(TblConstr[[#This Row],[Bar]],-12,0),0)+OFFSET(TblConstr[[#This Row],[Tot Bar]],-1,0)-TblConstr[[#This Row],[Dest Bar]]</f>
        <v>0</v>
      </c>
      <c r="BK37" s="365" cm="1">
        <f t="array" aca="1" ref="BK37" ca="1">IF(TblConstr[[#This Row],[Hour]:[Hour]]&gt;12,OFFSET(TblConstr[[#This Row],[Shr]],-12,0),0)+OFFSET(TblConstr[[#This Row],[Tot Shr]],-1,0)-TblConstr[[#This Row],[Dest Shr]]</f>
        <v>0</v>
      </c>
      <c r="BL37" s="369" cm="1">
        <f t="array" aca="1" ref="BL37" ca="1">IF(TblConstr[[#This Row],[Hour]:[Hour]]&gt;12,OFFSET(TblConstr[[#This Row],[Tow]],-12,0),0)+OFFSET(TblConstr[[#This Row],[Tot Tow]],-1,0)-TblConstr[[#This Row],[Dest Tow]]</f>
        <v>0</v>
      </c>
      <c r="BM37" s="369" cm="1">
        <f t="array" aca="1" ref="BM37" ca="1">IF(TblConstr[[#This Row],[Hour]:[Hour]]&gt;12,OFFSET(TblConstr[[#This Row],[Tem]],-12,0),0)+OFFSET(TblConstr[[#This Row],[Tot Tem]],-1,0)-TblConstr[[#This Row],[Dest Tem]]</f>
        <v>0</v>
      </c>
      <c r="BN37" s="369" cm="1">
        <f t="array" aca="1" ref="BN37" ca="1">IF(TblConstr[[#This Row],[Hour]:[Hour]]&gt;12,OFFSET(TblConstr[[#This Row],[WG]],-12,0),0)+OFFSET(TblConstr[[#This Row],[Tot WG]],-1,0)-TblConstr[[#This Row],[Dest WG]]</f>
        <v>0</v>
      </c>
      <c r="BO37" s="191" cm="1">
        <f t="array" aca="1" ref="BO37" ca="1">IF(TblConstr[[#This Row],[Hour]:[Hour]]&gt;12,OFFSET(TblConstr[[#This Row],[DM]],-12,0),0)+OFFSET(TblConstr[[#This Row],[Tot DM]],-1,0)-TblConstr[[#This Row],[Dest DM]]</f>
        <v>0</v>
      </c>
      <c r="BP37" s="191" cm="1">
        <f t="array" aca="1" ref="BP37" ca="1">IF(TblConstr[[#This Row],[Hour]:[Hour]]&gt;12,OFFSET(TblConstr[[#This Row],[Sch]],-12,0),0)+OFFSET(TblConstr[[#This Row],[Tot Sch]],-1,0)-TblConstr[[#This Row],[Dest Sch]]</f>
        <v>0</v>
      </c>
      <c r="BQ37" s="192" cm="1">
        <f t="array" aca="1" ref="BQ37" ca="1">IF(TblConstr[[#This Row],[Hour]:[Hour]]&gt;12,OFFSET(TblConstr[[#This Row],[Doc]],-12,0),0)+OFFSET(TblConstr[[#This Row],[Tot Doc]],-1,0)-TblConstr[[#This Row],[Dest Doc]]</f>
        <v>0</v>
      </c>
      <c r="BR37" s="142"/>
      <c r="BS37" s="154"/>
      <c r="BT37" s="94">
        <f ca="1">TblConstr[[#This Row],[Land]]</f>
        <v>110</v>
      </c>
      <c r="BU37" s="159">
        <f ca="1">TblImps[[#This Row],[Time]]</f>
        <v>46048.37499999992</v>
      </c>
      <c r="BV37" s="142"/>
      <c r="BW37" s="179"/>
      <c r="BX37" s="179"/>
      <c r="BY37" s="179"/>
      <c r="BZ37" s="179"/>
      <c r="CA37" s="179"/>
      <c r="CB37" s="179"/>
      <c r="CC37" s="179"/>
      <c r="CD37" s="179"/>
      <c r="CE37" s="179"/>
      <c r="CF37" s="179"/>
      <c r="CG37" s="179"/>
      <c r="CH37" s="179"/>
      <c r="CI37" s="179"/>
      <c r="CJ37" s="179"/>
      <c r="CK37" s="179"/>
      <c r="CL37" s="179"/>
      <c r="CM37" s="179"/>
      <c r="CN37" s="179"/>
      <c r="CO37" s="179"/>
      <c r="CP37" s="142"/>
      <c r="CQ37" s="181">
        <f ca="1">-SUM(TblConstr[[#This Row],[Alc]:[Mas]])+SUM(TblConstr[[#This Row],[Dest Alc]:[Dest Mas]])+Rezone!L37+IF("Ch_"&amp; home_land=TblConstr[[#Headers],[Ch_Plain]],TblConstr[[#This Row],[Home Land]])+IF(TblConstr[[#This Row],[Hour]:[Hour]]&gt;12,OFFSET(TblExplore[[#This Row],[Plains Explore]],-12,0),0)</f>
        <v>0</v>
      </c>
      <c r="CR37" s="182">
        <f ca="1">-SUM(TblConstr[[#This Row],[Ly]:[Hav]])+SUM(TblConstr[[#This Row],[Dest Ly]:[Dest Hav]]) +Rezone!M37 + IF("Ch_"&amp; home_land=TblConstr[[#Headers],[Ch_Forest]],TblConstr[[#This Row],[Home Land]])+IF(TblConstr[[#This Row],[Hour]:[Hour]]&gt;12,OFFSET(TblExplore[[#This Row],[Forest Explore]],-12,0),0)</f>
        <v>0</v>
      </c>
      <c r="CS37" s="359">
        <f ca="1">-SUM(TblConstr[[#This Row],[OM]:[GN]])+SUM(TblConstr[[#This Row],[Dest OM]:[Dest GN]]) +Rezone!N37 + IF("Ch_"&amp; home_land=TblConstr[[#Headers],[Ch_Mountain]],TblConstr[[#This Row],[Home Land]])+IF(TblConstr[[#This Row],[Hour]:[Hour]]&gt;12,OFFSET(TblExplore[[#This Row],[Mountain Explore]],-12,0),0)</f>
        <v>0</v>
      </c>
      <c r="CT37" s="183">
        <f ca="1">-SUM(TblConstr[[#This Row],[Fac]:[Shr]])+SUM(TblConstr[[#This Row],[Dest Fac]:[Dest Shr]]) +Rezone!O37 + IF("Ch_" &amp; home_land=TblConstr[[#Headers],[Ch_Hill]],TblConstr[[#This Row],[Home Land]])+IF(TblConstr[[#This Row],[Hour]:[Hour]]&gt;12,OFFSET(TblExplore[[#This Row],[Hill Explore]],-12,0),0)</f>
        <v>0</v>
      </c>
      <c r="CU37" s="184">
        <f ca="1">-SUM(TblConstr[[#This Row],[Tow]:[WG]])+SUM(TblConstr[[#This Row],[Dest Tow]:[Dest WG]]) +Rezone!P37 + IF("Ch_" &amp; home_land=TblConstr[[#Headers],[Ch_Swamp]],TblConstr[[#This Row],[Home Land]])+IF(TblConstr[[#This Row],[Hour]:[Hour]]&gt;12,OFFSET(TblExplore[[#This Row],[Swamp Explore]],-12,0),0)</f>
        <v>0</v>
      </c>
      <c r="CV37" s="185">
        <f ca="1" xml:space="preserve"> - SUM(TblConstr[[#This Row],[DM]:[Sch]])+SUM(TblConstr[[#This Row],[Dest DM]:[Dest Sch]]) +Rezone!Q37 + IF("Ch_" &amp; home_land=TblConstr[[#Headers],[Ch_Cavern]],TblConstr[[#This Row],[Home Land]])+IF(TblConstr[[#This Row],[Hour]:[Hour]]&gt;12,OFFSET(TblExplore[[#This Row],[Cavern Explore]],-12,0),0)</f>
        <v>0</v>
      </c>
      <c r="CW37" s="186">
        <f ca="1">-TblConstr[[#This Row],[Doc]]+TblConstr[[#This Row],[Dest Doc]] +Rezone!R37 + IF("Ch_" &amp; home_land=TblConstr[[#Headers],[Ch_Water]],TblConstr[[#This Row],[Home Land]])+IF(TblConstr[[#This Row],[Hour]:[Hour]]&gt;12,OFFSET(TblExplore[[#This Row],[Water Explore]],-12,0),0)</f>
        <v>0</v>
      </c>
      <c r="CX37" s="45">
        <f>IF(Explore!S37=1,20) - TblConstr[[#This Row],[Hom]] + TblConstr[[#This Row],[Dest Hom]]</f>
        <v>0</v>
      </c>
      <c r="CY37" s="142"/>
      <c r="CZ37" s="94">
        <f t="shared" ca="1" si="3"/>
        <v>90</v>
      </c>
      <c r="DA37" s="94">
        <f t="shared" ca="1" si="4"/>
        <v>20</v>
      </c>
      <c r="DB37" s="45">
        <f t="shared" ca="1" si="5"/>
        <v>0</v>
      </c>
      <c r="DC37" s="94">
        <f t="shared" ca="1" si="6"/>
        <v>0</v>
      </c>
      <c r="DD37" s="94">
        <f t="shared" ca="1" si="7"/>
        <v>0</v>
      </c>
      <c r="DE37" s="45">
        <f t="shared" ca="1" si="8"/>
        <v>0</v>
      </c>
      <c r="DF37" s="94">
        <f t="shared" ca="1" si="9"/>
        <v>0</v>
      </c>
      <c r="DG37" s="94" cm="1">
        <f t="array" aca="1" ref="DG37" ca="1">INDEX(TblConstr[[Total Plain]:[Total Water]],ROW()-ROW(TblConstr[#Headers]),MATCH("Total "&amp;home_land,TblConstr[[#Headers],[Total Plain]:[Total Water]],0))+TblConstr[[#This Row],[Homes]]</f>
        <v>90</v>
      </c>
      <c r="DH37" s="45">
        <f t="shared" ca="1" si="10"/>
        <v>0</v>
      </c>
      <c r="DI37" s="45">
        <f t="shared" ca="1" si="0"/>
        <v>0</v>
      </c>
      <c r="DJ37" s="45">
        <f t="shared" ca="1" si="1"/>
        <v>0</v>
      </c>
    </row>
    <row r="38" spans="1:114" x14ac:dyDescent="0.2">
      <c r="A38" s="175">
        <f>TblRezone[[#This Row],[Hour]]</f>
        <v>35</v>
      </c>
      <c r="B38" s="176">
        <f ca="1">SUM(TblConstr[[#This Row],[Plain]:[Water]])</f>
        <v>60</v>
      </c>
      <c r="C38" s="177">
        <f ca="1">SUM(TblConstr[[#This Row],[Tot Hom]:[Tot Doc]])</f>
        <v>50</v>
      </c>
      <c r="D38" s="177">
        <f t="shared" si="2"/>
        <v>0</v>
      </c>
      <c r="E38" s="178"/>
      <c r="F38" s="61">
        <f ca="1">TblConstr[[#This Row],[Barren]]+TblConstr[[#This Row],[Buildings]]+TblConstr[[#This Row],[Incoming]]</f>
        <v>110</v>
      </c>
      <c r="G38" s="187">
        <f ca="1">OFFSET(TblConstr[[#This Row],[Plain]],-1,0)+TblConstr[[#This Row],[Ch_Plain]]</f>
        <v>60</v>
      </c>
      <c r="H38" s="182">
        <f ca="1">OFFSET(TblConstr[[#This Row],[Forest]],-1,0)+TblConstr[[#This Row],[Ch_Forest]]</f>
        <v>0</v>
      </c>
      <c r="I38" s="359">
        <f ca="1">OFFSET(TblConstr[[#This Row],[Mountain]],-1,0)+TblConstr[[#This Row],[Ch_Mountain]]</f>
        <v>0</v>
      </c>
      <c r="J38" s="363">
        <f ca="1">OFFSET(TblConstr[[#This Row],[Hill]],-1,0)+TblConstr[[#This Row],[Ch_Hill]]</f>
        <v>0</v>
      </c>
      <c r="K38" s="367">
        <f ca="1">OFFSET(TblConstr[[#This Row],[Swamp]],-1,0)+TblConstr[[#This Row],[Ch_Swamp]]</f>
        <v>0</v>
      </c>
      <c r="L38" s="185">
        <f ca="1">OFFSET(TblConstr[[#This Row],[Cavern]],-1,0)+TblConstr[[#This Row],[Ch_Cavern]]</f>
        <v>0</v>
      </c>
      <c r="M38" s="186">
        <f ca="1">OFFSET(TblConstr[[#This Row],[Water]],-1,0)+TblConstr[[#This Row],[Ch_Water]]</f>
        <v>0</v>
      </c>
      <c r="N38" s="357">
        <f>TblRezone[[#This Row],[Hour]]</f>
        <v>35</v>
      </c>
      <c r="O38" s="179"/>
      <c r="P38" s="179"/>
      <c r="Q38" s="179"/>
      <c r="R38" s="179"/>
      <c r="S38" s="179"/>
      <c r="T38" s="179"/>
      <c r="U38" s="179"/>
      <c r="V38" s="179"/>
      <c r="W38" s="179"/>
      <c r="X38" s="179"/>
      <c r="Y38" s="179"/>
      <c r="Z38" s="179"/>
      <c r="AA38" s="179"/>
      <c r="AB38" s="179"/>
      <c r="AC38" s="179"/>
      <c r="AD38" s="179"/>
      <c r="AE38" s="179"/>
      <c r="AF38" s="158"/>
      <c r="AG38" s="179"/>
      <c r="AH38" s="53">
        <f ca="1">TblImps[[#This Row],[Time]]</f>
        <v>46048.416666666584</v>
      </c>
      <c r="AI38" s="180">
        <f ca="1">MIN(25%,(TblConstr[[#This Row],[Tot Fac]]+TblConstr[[#This Row],[Dest Fac]])/(TblConstr[[#This Row],[Land]]-TblExplore[[#This Row],[Land Bonus]]*20))</f>
        <v>0</v>
      </c>
      <c r="AJ38" s="180">
        <f ca="1">MIN(25%,(TblConstr[[#This Row],[Tot Fac]]+TblConstr[[#This Row],[Dest Fac]])/TblConstr[[#This Row],[Land]])</f>
        <v>0</v>
      </c>
      <c r="AK38" s="94">
        <f ca="1">TblProd[[#This Row],[Platinum]]</f>
        <v>107569</v>
      </c>
      <c r="AL38" s="94">
        <f ca="1">TblProd[[#This Row],[Lumber]]</f>
        <v>39602</v>
      </c>
      <c r="AM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8" s="94">
        <f ca="1">ROUNDDOWN( MAX(1 - MIN(facs_constr_factor*TblConstr[[#This Row],[Facs -DB]],facs_constr_max) + tech_1_11*TblTech[[#This Row],[11-1]] + tech_6_3_2*TblTech[[#This Row],[6-3]] + tech_5_2_3*TblTech[[#This Row],[5-2]], 1-global_constr_cap) * TblConstr[[#This Row],[RCPA Lumber]],0)</f>
        <v>48</v>
      </c>
      <c r="AO3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8" s="94">
        <f ca="1">ROUNDDOWN( MAX(1 - MIN(facs_constr_factor*TblConstr[[#This Row],[Facs DB]],facs_constr_max) + tech_1_11*TblTech[[#This Row],[1-11]] + tech_6_3_2*TblTech[[#This Row],[6-3]] + tech_5_2_3*TblTech[[#This Row],[5-2]], 1-global_constr_cap) * ROUND((TblConstr[[#This Row],[Land]]-250)*0.285 + 87.5 + 0/4.25,0),0)</f>
        <v>48</v>
      </c>
      <c r="AQ38" s="45">
        <f ca="1">TblConstr[[#This Row],[build -db]]*TblConstr[[#This Row],[CPA Platinum -DB]] + TblConstr[[#This Row],[build db]]*TblConstr[[#This Row],[CPA Platinum DB]]</f>
        <v>0</v>
      </c>
      <c r="AR38" s="45">
        <f ca="1">TblConstr[[#This Row],[build -db]]*TblConstr[[#This Row],[CPA Lumber -DB]] + TblConstr[[#This Row],[build db]]*TblConstr[[#This Row],[CPA Lumber DB]]</f>
        <v>0</v>
      </c>
      <c r="AS38" s="94">
        <f ca="1">MIN(SUM(OFFSET(TblConstr[[#This Row],[Plain]:[Water]],-1,0))+SUM(TblConstr[[#This Row],[Dest Hom]:[Dest Doc]])+IF(TblConstr[[#This Row],[Hour]]&gt;12,SUM(OFFSET(TblExplore[[#This Row],[Plains Explore]:[Water Explore]],-12,0)),0),SUM(TblConstr[[#This Row],[Hom]:[Doc]]))</f>
        <v>0</v>
      </c>
      <c r="AT3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8" s="142"/>
      <c r="AV38" s="94">
        <f ca="1">ROUND((TblConstr[[#This Row],[Land]]-250 - IF(TblExplore[[#This Row],[Land Bonus]]&lt;&gt;0,20,0))*1.25 + 850 + 0,0)</f>
        <v>675</v>
      </c>
      <c r="AW38" s="94">
        <f ca="1">ROUND((TblConstr[[#This Row],[Land]]-250 - IF(TblExplore[[#This Row],[Land Bonus]]&lt;&gt;0,20,0))*0.285 + 87.5 + 0/4.25,0)</f>
        <v>48</v>
      </c>
      <c r="AX38" s="154"/>
      <c r="AY38" s="188" cm="1">
        <f t="array" aca="1" ref="AY38" ca="1">IF(TblConstr[[#This Row],[Hour]:[Hour]]&gt;12,OFFSET(TblConstr[[#This Row],[Hom]],-12,0),0)+OFFSET(TblConstr[[#This Row],[Tot Hom]],-1,0)-TblConstr[[#This Row],[Dest Hom]]</f>
        <v>0</v>
      </c>
      <c r="AZ38" s="189" cm="1">
        <f t="array" aca="1" ref="AZ38" ca="1">IF(TblConstr[[#This Row],[Hour]:[Hour]]&gt;12,OFFSET(TblConstr[[#This Row],[Alc]],-12,0),0)+OFFSET(TblConstr[[#This Row],[Tot Alc]],-1,0)-TblConstr[[#This Row],[Dest Alc]]</f>
        <v>0</v>
      </c>
      <c r="BA38" s="189" cm="1">
        <f t="array" aca="1" ref="BA38" ca="1">IF(TblConstr[[#This Row],[Hour]:[Hour]]&gt;12,OFFSET(TblConstr[[#This Row],[Far]],-12,0),0)+OFFSET(TblConstr[[#This Row],[Tot Farm]],-1,0)-TblConstr[[#This Row],[Dest Farm]]</f>
        <v>30</v>
      </c>
      <c r="BB38" s="189" cm="1">
        <f t="array" aca="1" ref="BB38" ca="1">IF(TblConstr[[#This Row],[Hour]:[Hour]]&gt;12,OFFSET(TblConstr[[#This Row],[Smi]],-12,0),0)+OFFSET(TblConstr[[#This Row],[Tot Smi]],-1,0)-TblConstr[[#This Row],[Dest Smi]]</f>
        <v>0</v>
      </c>
      <c r="BC38" s="189" cm="1">
        <f t="array" aca="1" ref="BC38" ca="1">IF(TblConstr[[#This Row],[Hour]:[Hour]]&gt;12,OFFSET(TblConstr[[#This Row],[Mas]],-12,0),0)+OFFSET(TblConstr[[#This Row],[Tot Mas]],-1,0)-TblConstr[[#This Row],[Dest Mas]]</f>
        <v>0</v>
      </c>
      <c r="BD38" s="190" cm="1">
        <f t="array" aca="1" ref="BD38" ca="1">IF(TblConstr[[#This Row],[Hour]:[Hour]]&gt;12,OFFSET(TblConstr[[#This Row],[Ly]],-12,0),0)+OFFSET(TblConstr[[#This Row],[Tot Ly]],-1,0)-TblConstr[[#This Row],[Dest Ly]]</f>
        <v>20</v>
      </c>
      <c r="BE38" s="190" cm="1">
        <f t="array" aca="1" ref="BE38" ca="1">IF(TblConstr[[#This Row],[Hour]:[Hour]]&gt;12,OFFSET(TblConstr[[#This Row],[Hav]],-12,0),0)+OFFSET(TblConstr[[#This Row],[Tot Hav]],-1,0)-TblConstr[[#This Row],[Dest Hav]]</f>
        <v>0</v>
      </c>
      <c r="BF38" s="361" cm="1">
        <f t="array" aca="1" ref="BF38" ca="1">IF(TblConstr[[#This Row],[Hour]:[Hour]]&gt;12,OFFSET(TblConstr[[#This Row],[OM]],-12,0),0)+OFFSET(TblConstr[[#This Row],[Tot OM]],-1,0)-TblConstr[[#This Row],[Dest OM]]</f>
        <v>0</v>
      </c>
      <c r="BG38" s="361" cm="1">
        <f t="array" aca="1" ref="BG38" ca="1">IF(TblConstr[[#This Row],[Hour]:[Hour]]&gt;12,OFFSET(TblConstr[[#This Row],[GN]],-12,0),0)+OFFSET(TblConstr[[#This Row],[Tot GN]],-1,0)-TblConstr[[#This Row],[Dest GN]]</f>
        <v>0</v>
      </c>
      <c r="BH38" s="365" cm="1">
        <f t="array" aca="1" ref="BH38" ca="1">IF(TblConstr[[#This Row],[Hour]:[Hour]]&gt;12,OFFSET(TblConstr[[#This Row],[Fac]],-12,0),0)+OFFSET(TblConstr[[#This Row],[Tot Fac]],-1,0)-TblConstr[[#This Row],[Dest Fac]]</f>
        <v>0</v>
      </c>
      <c r="BI38" s="365" cm="1">
        <f t="array" aca="1" ref="BI38" ca="1">IF(TblConstr[[#This Row],[Hour]:[Hour]]&gt;12,OFFSET(TblConstr[[#This Row],[GT]],-12,0),0)+OFFSET(TblConstr[[#This Row],[Tot GT]],-1,0)-TblConstr[[#This Row],[Dest GT]]</f>
        <v>0</v>
      </c>
      <c r="BJ38" s="365" cm="1">
        <f t="array" aca="1" ref="BJ38" ca="1">IF(TblConstr[[#This Row],[Hour]:[Hour]]&gt;12,OFFSET(TblConstr[[#This Row],[Bar]],-12,0),0)+OFFSET(TblConstr[[#This Row],[Tot Bar]],-1,0)-TblConstr[[#This Row],[Dest Bar]]</f>
        <v>0</v>
      </c>
      <c r="BK38" s="365" cm="1">
        <f t="array" aca="1" ref="BK38" ca="1">IF(TblConstr[[#This Row],[Hour]:[Hour]]&gt;12,OFFSET(TblConstr[[#This Row],[Shr]],-12,0),0)+OFFSET(TblConstr[[#This Row],[Tot Shr]],-1,0)-TblConstr[[#This Row],[Dest Shr]]</f>
        <v>0</v>
      </c>
      <c r="BL38" s="369" cm="1">
        <f t="array" aca="1" ref="BL38" ca="1">IF(TblConstr[[#This Row],[Hour]:[Hour]]&gt;12,OFFSET(TblConstr[[#This Row],[Tow]],-12,0),0)+OFFSET(TblConstr[[#This Row],[Tot Tow]],-1,0)-TblConstr[[#This Row],[Dest Tow]]</f>
        <v>0</v>
      </c>
      <c r="BM38" s="369" cm="1">
        <f t="array" aca="1" ref="BM38" ca="1">IF(TblConstr[[#This Row],[Hour]:[Hour]]&gt;12,OFFSET(TblConstr[[#This Row],[Tem]],-12,0),0)+OFFSET(TblConstr[[#This Row],[Tot Tem]],-1,0)-TblConstr[[#This Row],[Dest Tem]]</f>
        <v>0</v>
      </c>
      <c r="BN38" s="369" cm="1">
        <f t="array" aca="1" ref="BN38" ca="1">IF(TblConstr[[#This Row],[Hour]:[Hour]]&gt;12,OFFSET(TblConstr[[#This Row],[WG]],-12,0),0)+OFFSET(TblConstr[[#This Row],[Tot WG]],-1,0)-TblConstr[[#This Row],[Dest WG]]</f>
        <v>0</v>
      </c>
      <c r="BO38" s="191" cm="1">
        <f t="array" aca="1" ref="BO38" ca="1">IF(TblConstr[[#This Row],[Hour]:[Hour]]&gt;12,OFFSET(TblConstr[[#This Row],[DM]],-12,0),0)+OFFSET(TblConstr[[#This Row],[Tot DM]],-1,0)-TblConstr[[#This Row],[Dest DM]]</f>
        <v>0</v>
      </c>
      <c r="BP38" s="191" cm="1">
        <f t="array" aca="1" ref="BP38" ca="1">IF(TblConstr[[#This Row],[Hour]:[Hour]]&gt;12,OFFSET(TblConstr[[#This Row],[Sch]],-12,0),0)+OFFSET(TblConstr[[#This Row],[Tot Sch]],-1,0)-TblConstr[[#This Row],[Dest Sch]]</f>
        <v>0</v>
      </c>
      <c r="BQ38" s="192" cm="1">
        <f t="array" aca="1" ref="BQ38" ca="1">IF(TblConstr[[#This Row],[Hour]:[Hour]]&gt;12,OFFSET(TblConstr[[#This Row],[Doc]],-12,0),0)+OFFSET(TblConstr[[#This Row],[Tot Doc]],-1,0)-TblConstr[[#This Row],[Dest Doc]]</f>
        <v>0</v>
      </c>
      <c r="BR38" s="142"/>
      <c r="BS38" s="154"/>
      <c r="BT38" s="94">
        <f ca="1">TblConstr[[#This Row],[Land]]</f>
        <v>110</v>
      </c>
      <c r="BU38" s="159">
        <f ca="1">TblImps[[#This Row],[Time]]</f>
        <v>46048.416666666584</v>
      </c>
      <c r="BV38" s="142"/>
      <c r="BW38" s="179"/>
      <c r="BX38" s="179"/>
      <c r="BY38" s="179"/>
      <c r="BZ38" s="179"/>
      <c r="CA38" s="179"/>
      <c r="CB38" s="179"/>
      <c r="CC38" s="179"/>
      <c r="CD38" s="179"/>
      <c r="CE38" s="179"/>
      <c r="CF38" s="179"/>
      <c r="CG38" s="179"/>
      <c r="CH38" s="179"/>
      <c r="CI38" s="179"/>
      <c r="CJ38" s="179"/>
      <c r="CK38" s="179"/>
      <c r="CL38" s="179"/>
      <c r="CM38" s="179"/>
      <c r="CN38" s="179"/>
      <c r="CO38" s="179"/>
      <c r="CP38" s="142"/>
      <c r="CQ38" s="181">
        <f ca="1">-SUM(TblConstr[[#This Row],[Alc]:[Mas]])+SUM(TblConstr[[#This Row],[Dest Alc]:[Dest Mas]])+Rezone!L38+IF("Ch_"&amp; home_land=TblConstr[[#Headers],[Ch_Plain]],TblConstr[[#This Row],[Home Land]])+IF(TblConstr[[#This Row],[Hour]:[Hour]]&gt;12,OFFSET(TblExplore[[#This Row],[Plains Explore]],-12,0),0)</f>
        <v>0</v>
      </c>
      <c r="CR38" s="182">
        <f ca="1">-SUM(TblConstr[[#This Row],[Ly]:[Hav]])+SUM(TblConstr[[#This Row],[Dest Ly]:[Dest Hav]]) +Rezone!M38 + IF("Ch_"&amp; home_land=TblConstr[[#Headers],[Ch_Forest]],TblConstr[[#This Row],[Home Land]])+IF(TblConstr[[#This Row],[Hour]:[Hour]]&gt;12,OFFSET(TblExplore[[#This Row],[Forest Explore]],-12,0),0)</f>
        <v>0</v>
      </c>
      <c r="CS38" s="359">
        <f ca="1">-SUM(TblConstr[[#This Row],[OM]:[GN]])+SUM(TblConstr[[#This Row],[Dest OM]:[Dest GN]]) +Rezone!N38 + IF("Ch_"&amp; home_land=TblConstr[[#Headers],[Ch_Mountain]],TblConstr[[#This Row],[Home Land]])+IF(TblConstr[[#This Row],[Hour]:[Hour]]&gt;12,OFFSET(TblExplore[[#This Row],[Mountain Explore]],-12,0),0)</f>
        <v>0</v>
      </c>
      <c r="CT38" s="183">
        <f ca="1">-SUM(TblConstr[[#This Row],[Fac]:[Shr]])+SUM(TblConstr[[#This Row],[Dest Fac]:[Dest Shr]]) +Rezone!O38 + IF("Ch_" &amp; home_land=TblConstr[[#Headers],[Ch_Hill]],TblConstr[[#This Row],[Home Land]])+IF(TblConstr[[#This Row],[Hour]:[Hour]]&gt;12,OFFSET(TblExplore[[#This Row],[Hill Explore]],-12,0),0)</f>
        <v>0</v>
      </c>
      <c r="CU38" s="184">
        <f ca="1">-SUM(TblConstr[[#This Row],[Tow]:[WG]])+SUM(TblConstr[[#This Row],[Dest Tow]:[Dest WG]]) +Rezone!P38 + IF("Ch_" &amp; home_land=TblConstr[[#Headers],[Ch_Swamp]],TblConstr[[#This Row],[Home Land]])+IF(TblConstr[[#This Row],[Hour]:[Hour]]&gt;12,OFFSET(TblExplore[[#This Row],[Swamp Explore]],-12,0),0)</f>
        <v>0</v>
      </c>
      <c r="CV38" s="185">
        <f ca="1" xml:space="preserve"> - SUM(TblConstr[[#This Row],[DM]:[Sch]])+SUM(TblConstr[[#This Row],[Dest DM]:[Dest Sch]]) +Rezone!Q38 + IF("Ch_" &amp; home_land=TblConstr[[#Headers],[Ch_Cavern]],TblConstr[[#This Row],[Home Land]])+IF(TblConstr[[#This Row],[Hour]:[Hour]]&gt;12,OFFSET(TblExplore[[#This Row],[Cavern Explore]],-12,0),0)</f>
        <v>0</v>
      </c>
      <c r="CW38" s="186">
        <f ca="1">-TblConstr[[#This Row],[Doc]]+TblConstr[[#This Row],[Dest Doc]] +Rezone!R38 + IF("Ch_" &amp; home_land=TblConstr[[#Headers],[Ch_Water]],TblConstr[[#This Row],[Home Land]])+IF(TblConstr[[#This Row],[Hour]:[Hour]]&gt;12,OFFSET(TblExplore[[#This Row],[Water Explore]],-12,0),0)</f>
        <v>0</v>
      </c>
      <c r="CX38" s="45">
        <f>IF(Explore!S38=1,20) - TblConstr[[#This Row],[Hom]] + TblConstr[[#This Row],[Dest Hom]]</f>
        <v>0</v>
      </c>
      <c r="CY38" s="142"/>
      <c r="CZ38" s="94">
        <f t="shared" ca="1" si="3"/>
        <v>90</v>
      </c>
      <c r="DA38" s="94">
        <f t="shared" ca="1" si="4"/>
        <v>20</v>
      </c>
      <c r="DB38" s="45">
        <f t="shared" ca="1" si="5"/>
        <v>0</v>
      </c>
      <c r="DC38" s="94">
        <f t="shared" ca="1" si="6"/>
        <v>0</v>
      </c>
      <c r="DD38" s="94">
        <f t="shared" ca="1" si="7"/>
        <v>0</v>
      </c>
      <c r="DE38" s="45">
        <f t="shared" ca="1" si="8"/>
        <v>0</v>
      </c>
      <c r="DF38" s="94">
        <f t="shared" ca="1" si="9"/>
        <v>0</v>
      </c>
      <c r="DG38" s="94" cm="1">
        <f t="array" aca="1" ref="DG38" ca="1">INDEX(TblConstr[[Total Plain]:[Total Water]],ROW()-ROW(TblConstr[#Headers]),MATCH("Total "&amp;home_land,TblConstr[[#Headers],[Total Plain]:[Total Water]],0))+TblConstr[[#This Row],[Homes]]</f>
        <v>90</v>
      </c>
      <c r="DH38" s="45">
        <f t="shared" ca="1" si="10"/>
        <v>0</v>
      </c>
      <c r="DI38" s="45">
        <f t="shared" ca="1" si="0"/>
        <v>0</v>
      </c>
      <c r="DJ38" s="45">
        <f t="shared" ca="1" si="1"/>
        <v>0</v>
      </c>
    </row>
    <row r="39" spans="1:114" x14ac:dyDescent="0.2">
      <c r="A39" s="175">
        <f>TblRezone[[#This Row],[Hour]]</f>
        <v>36</v>
      </c>
      <c r="B39" s="176">
        <f ca="1">SUM(TblConstr[[#This Row],[Plain]:[Water]])</f>
        <v>60</v>
      </c>
      <c r="C39" s="177">
        <f ca="1">SUM(TblConstr[[#This Row],[Tot Hom]:[Tot Doc]])</f>
        <v>50</v>
      </c>
      <c r="D39" s="177">
        <f t="shared" si="2"/>
        <v>0</v>
      </c>
      <c r="E39" s="178"/>
      <c r="F39" s="61">
        <f ca="1">TblConstr[[#This Row],[Barren]]+TblConstr[[#This Row],[Buildings]]+TblConstr[[#This Row],[Incoming]]</f>
        <v>110</v>
      </c>
      <c r="G39" s="187">
        <f ca="1">OFFSET(TblConstr[[#This Row],[Plain]],-1,0)+TblConstr[[#This Row],[Ch_Plain]]</f>
        <v>60</v>
      </c>
      <c r="H39" s="182">
        <f ca="1">OFFSET(TblConstr[[#This Row],[Forest]],-1,0)+TblConstr[[#This Row],[Ch_Forest]]</f>
        <v>0</v>
      </c>
      <c r="I39" s="359">
        <f ca="1">OFFSET(TblConstr[[#This Row],[Mountain]],-1,0)+TblConstr[[#This Row],[Ch_Mountain]]</f>
        <v>0</v>
      </c>
      <c r="J39" s="363">
        <f ca="1">OFFSET(TblConstr[[#This Row],[Hill]],-1,0)+TblConstr[[#This Row],[Ch_Hill]]</f>
        <v>0</v>
      </c>
      <c r="K39" s="367">
        <f ca="1">OFFSET(TblConstr[[#This Row],[Swamp]],-1,0)+TblConstr[[#This Row],[Ch_Swamp]]</f>
        <v>0</v>
      </c>
      <c r="L39" s="185">
        <f ca="1">OFFSET(TblConstr[[#This Row],[Cavern]],-1,0)+TblConstr[[#This Row],[Ch_Cavern]]</f>
        <v>0</v>
      </c>
      <c r="M39" s="186">
        <f ca="1">OFFSET(TblConstr[[#This Row],[Water]],-1,0)+TblConstr[[#This Row],[Ch_Water]]</f>
        <v>0</v>
      </c>
      <c r="N39" s="357">
        <f>TblRezone[[#This Row],[Hour]]</f>
        <v>36</v>
      </c>
      <c r="O39" s="179"/>
      <c r="P39" s="158"/>
      <c r="Q39" s="179"/>
      <c r="R39" s="179"/>
      <c r="S39" s="179"/>
      <c r="T39" s="179"/>
      <c r="U39" s="179"/>
      <c r="V39" s="179"/>
      <c r="W39" s="179"/>
      <c r="X39" s="179"/>
      <c r="Y39" s="179"/>
      <c r="Z39" s="179"/>
      <c r="AA39" s="179"/>
      <c r="AB39" s="179"/>
      <c r="AC39" s="179"/>
      <c r="AD39" s="179"/>
      <c r="AE39" s="179"/>
      <c r="AF39" s="179"/>
      <c r="AG39" s="179"/>
      <c r="AH39" s="53">
        <f ca="1">TblImps[[#This Row],[Time]]</f>
        <v>46048.458333333248</v>
      </c>
      <c r="AI39" s="180">
        <f ca="1">MIN(25%,(TblConstr[[#This Row],[Tot Fac]]+TblConstr[[#This Row],[Dest Fac]])/(TblConstr[[#This Row],[Land]]-TblExplore[[#This Row],[Land Bonus]]*20))</f>
        <v>0</v>
      </c>
      <c r="AJ39" s="180">
        <f ca="1">MIN(25%,(TblConstr[[#This Row],[Tot Fac]]+TblConstr[[#This Row],[Dest Fac]])/TblConstr[[#This Row],[Land]])</f>
        <v>0</v>
      </c>
      <c r="AK39" s="94">
        <f ca="1">TblProd[[#This Row],[Platinum]]</f>
        <v>109494</v>
      </c>
      <c r="AL39" s="94">
        <f ca="1">TblProd[[#This Row],[Lumber]]</f>
        <v>40206</v>
      </c>
      <c r="AM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39" s="94">
        <f ca="1">ROUNDDOWN( MAX(1 - MIN(facs_constr_factor*TblConstr[[#This Row],[Facs -DB]],facs_constr_max) + tech_1_11*TblTech[[#This Row],[11-1]] + tech_6_3_2*TblTech[[#This Row],[6-3]] + tech_5_2_3*TblTech[[#This Row],[5-2]], 1-global_constr_cap) * TblConstr[[#This Row],[RCPA Lumber]],0)</f>
        <v>48</v>
      </c>
      <c r="AO3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39" s="94">
        <f ca="1">ROUNDDOWN( MAX(1 - MIN(facs_constr_factor*TblConstr[[#This Row],[Facs DB]],facs_constr_max) + tech_1_11*TblTech[[#This Row],[1-11]] + tech_6_3_2*TblTech[[#This Row],[6-3]] + tech_5_2_3*TblTech[[#This Row],[5-2]], 1-global_constr_cap) * ROUND((TblConstr[[#This Row],[Land]]-250)*0.285 + 87.5 + 0/4.25,0),0)</f>
        <v>48</v>
      </c>
      <c r="AQ39" s="45">
        <f ca="1">TblConstr[[#This Row],[build -db]]*TblConstr[[#This Row],[CPA Platinum -DB]] + TblConstr[[#This Row],[build db]]*TblConstr[[#This Row],[CPA Platinum DB]]</f>
        <v>0</v>
      </c>
      <c r="AR39" s="45">
        <f ca="1">TblConstr[[#This Row],[build -db]]*TblConstr[[#This Row],[CPA Lumber -DB]] + TblConstr[[#This Row],[build db]]*TblConstr[[#This Row],[CPA Lumber DB]]</f>
        <v>0</v>
      </c>
      <c r="AS39" s="94">
        <f ca="1">MIN(SUM(OFFSET(TblConstr[[#This Row],[Plain]:[Water]],-1,0))+SUM(TblConstr[[#This Row],[Dest Hom]:[Dest Doc]])+IF(TblConstr[[#This Row],[Hour]]&gt;12,SUM(OFFSET(TblExplore[[#This Row],[Plains Explore]:[Water Explore]],-12,0)),0),SUM(TblConstr[[#This Row],[Hom]:[Doc]]))</f>
        <v>0</v>
      </c>
      <c r="AT3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39" s="142"/>
      <c r="AV39" s="94">
        <f ca="1">ROUND((TblConstr[[#This Row],[Land]]-250 - IF(TblExplore[[#This Row],[Land Bonus]]&lt;&gt;0,20,0))*1.25 + 850 + 0,0)</f>
        <v>675</v>
      </c>
      <c r="AW39" s="94">
        <f ca="1">ROUND((TblConstr[[#This Row],[Land]]-250 - IF(TblExplore[[#This Row],[Land Bonus]]&lt;&gt;0,20,0))*0.285 + 87.5 + 0/4.25,0)</f>
        <v>48</v>
      </c>
      <c r="AX39" s="154"/>
      <c r="AY39" s="188" cm="1">
        <f t="array" aca="1" ref="AY39" ca="1">IF(TblConstr[[#This Row],[Hour]:[Hour]]&gt;12,OFFSET(TblConstr[[#This Row],[Hom]],-12,0),0)+OFFSET(TblConstr[[#This Row],[Tot Hom]],-1,0)-TblConstr[[#This Row],[Dest Hom]]</f>
        <v>0</v>
      </c>
      <c r="AZ39" s="189" cm="1">
        <f t="array" aca="1" ref="AZ39" ca="1">IF(TblConstr[[#This Row],[Hour]:[Hour]]&gt;12,OFFSET(TblConstr[[#This Row],[Alc]],-12,0),0)+OFFSET(TblConstr[[#This Row],[Tot Alc]],-1,0)-TblConstr[[#This Row],[Dest Alc]]</f>
        <v>0</v>
      </c>
      <c r="BA39" s="189" cm="1">
        <f t="array" aca="1" ref="BA39" ca="1">IF(TblConstr[[#This Row],[Hour]:[Hour]]&gt;12,OFFSET(TblConstr[[#This Row],[Far]],-12,0),0)+OFFSET(TblConstr[[#This Row],[Tot Farm]],-1,0)-TblConstr[[#This Row],[Dest Farm]]</f>
        <v>30</v>
      </c>
      <c r="BB39" s="189" cm="1">
        <f t="array" aca="1" ref="BB39" ca="1">IF(TblConstr[[#This Row],[Hour]:[Hour]]&gt;12,OFFSET(TblConstr[[#This Row],[Smi]],-12,0),0)+OFFSET(TblConstr[[#This Row],[Tot Smi]],-1,0)-TblConstr[[#This Row],[Dest Smi]]</f>
        <v>0</v>
      </c>
      <c r="BC39" s="189" cm="1">
        <f t="array" aca="1" ref="BC39" ca="1">IF(TblConstr[[#This Row],[Hour]:[Hour]]&gt;12,OFFSET(TblConstr[[#This Row],[Mas]],-12,0),0)+OFFSET(TblConstr[[#This Row],[Tot Mas]],-1,0)-TblConstr[[#This Row],[Dest Mas]]</f>
        <v>0</v>
      </c>
      <c r="BD39" s="190" cm="1">
        <f t="array" aca="1" ref="BD39" ca="1">IF(TblConstr[[#This Row],[Hour]:[Hour]]&gt;12,OFFSET(TblConstr[[#This Row],[Ly]],-12,0),0)+OFFSET(TblConstr[[#This Row],[Tot Ly]],-1,0)-TblConstr[[#This Row],[Dest Ly]]</f>
        <v>20</v>
      </c>
      <c r="BE39" s="190" cm="1">
        <f t="array" aca="1" ref="BE39" ca="1">IF(TblConstr[[#This Row],[Hour]:[Hour]]&gt;12,OFFSET(TblConstr[[#This Row],[Hav]],-12,0),0)+OFFSET(TblConstr[[#This Row],[Tot Hav]],-1,0)-TblConstr[[#This Row],[Dest Hav]]</f>
        <v>0</v>
      </c>
      <c r="BF39" s="361" cm="1">
        <f t="array" aca="1" ref="BF39" ca="1">IF(TblConstr[[#This Row],[Hour]:[Hour]]&gt;12,OFFSET(TblConstr[[#This Row],[OM]],-12,0),0)+OFFSET(TblConstr[[#This Row],[Tot OM]],-1,0)-TblConstr[[#This Row],[Dest OM]]</f>
        <v>0</v>
      </c>
      <c r="BG39" s="361" cm="1">
        <f t="array" aca="1" ref="BG39" ca="1">IF(TblConstr[[#This Row],[Hour]:[Hour]]&gt;12,OFFSET(TblConstr[[#This Row],[GN]],-12,0),0)+OFFSET(TblConstr[[#This Row],[Tot GN]],-1,0)-TblConstr[[#This Row],[Dest GN]]</f>
        <v>0</v>
      </c>
      <c r="BH39" s="365" cm="1">
        <f t="array" aca="1" ref="BH39" ca="1">IF(TblConstr[[#This Row],[Hour]:[Hour]]&gt;12,OFFSET(TblConstr[[#This Row],[Fac]],-12,0),0)+OFFSET(TblConstr[[#This Row],[Tot Fac]],-1,0)-TblConstr[[#This Row],[Dest Fac]]</f>
        <v>0</v>
      </c>
      <c r="BI39" s="365" cm="1">
        <f t="array" aca="1" ref="BI39" ca="1">IF(TblConstr[[#This Row],[Hour]:[Hour]]&gt;12,OFFSET(TblConstr[[#This Row],[GT]],-12,0),0)+OFFSET(TblConstr[[#This Row],[Tot GT]],-1,0)-TblConstr[[#This Row],[Dest GT]]</f>
        <v>0</v>
      </c>
      <c r="BJ39" s="365" cm="1">
        <f t="array" aca="1" ref="BJ39" ca="1">IF(TblConstr[[#This Row],[Hour]:[Hour]]&gt;12,OFFSET(TblConstr[[#This Row],[Bar]],-12,0),0)+OFFSET(TblConstr[[#This Row],[Tot Bar]],-1,0)-TblConstr[[#This Row],[Dest Bar]]</f>
        <v>0</v>
      </c>
      <c r="BK39" s="365" cm="1">
        <f t="array" aca="1" ref="BK39" ca="1">IF(TblConstr[[#This Row],[Hour]:[Hour]]&gt;12,OFFSET(TblConstr[[#This Row],[Shr]],-12,0),0)+OFFSET(TblConstr[[#This Row],[Tot Shr]],-1,0)-TblConstr[[#This Row],[Dest Shr]]</f>
        <v>0</v>
      </c>
      <c r="BL39" s="369" cm="1">
        <f t="array" aca="1" ref="BL39" ca="1">IF(TblConstr[[#This Row],[Hour]:[Hour]]&gt;12,OFFSET(TblConstr[[#This Row],[Tow]],-12,0),0)+OFFSET(TblConstr[[#This Row],[Tot Tow]],-1,0)-TblConstr[[#This Row],[Dest Tow]]</f>
        <v>0</v>
      </c>
      <c r="BM39" s="369" cm="1">
        <f t="array" aca="1" ref="BM39" ca="1">IF(TblConstr[[#This Row],[Hour]:[Hour]]&gt;12,OFFSET(TblConstr[[#This Row],[Tem]],-12,0),0)+OFFSET(TblConstr[[#This Row],[Tot Tem]],-1,0)-TblConstr[[#This Row],[Dest Tem]]</f>
        <v>0</v>
      </c>
      <c r="BN39" s="369" cm="1">
        <f t="array" aca="1" ref="BN39" ca="1">IF(TblConstr[[#This Row],[Hour]:[Hour]]&gt;12,OFFSET(TblConstr[[#This Row],[WG]],-12,0),0)+OFFSET(TblConstr[[#This Row],[Tot WG]],-1,0)-TblConstr[[#This Row],[Dest WG]]</f>
        <v>0</v>
      </c>
      <c r="BO39" s="191" cm="1">
        <f t="array" aca="1" ref="BO39" ca="1">IF(TblConstr[[#This Row],[Hour]:[Hour]]&gt;12,OFFSET(TblConstr[[#This Row],[DM]],-12,0),0)+OFFSET(TblConstr[[#This Row],[Tot DM]],-1,0)-TblConstr[[#This Row],[Dest DM]]</f>
        <v>0</v>
      </c>
      <c r="BP39" s="191" cm="1">
        <f t="array" aca="1" ref="BP39" ca="1">IF(TblConstr[[#This Row],[Hour]:[Hour]]&gt;12,OFFSET(TblConstr[[#This Row],[Sch]],-12,0),0)+OFFSET(TblConstr[[#This Row],[Tot Sch]],-1,0)-TblConstr[[#This Row],[Dest Sch]]</f>
        <v>0</v>
      </c>
      <c r="BQ39" s="192" cm="1">
        <f t="array" aca="1" ref="BQ39" ca="1">IF(TblConstr[[#This Row],[Hour]:[Hour]]&gt;12,OFFSET(TblConstr[[#This Row],[Doc]],-12,0),0)+OFFSET(TblConstr[[#This Row],[Tot Doc]],-1,0)-TblConstr[[#This Row],[Dest Doc]]</f>
        <v>0</v>
      </c>
      <c r="BR39" s="142"/>
      <c r="BS39" s="154"/>
      <c r="BT39" s="94">
        <f ca="1">TblConstr[[#This Row],[Land]]</f>
        <v>110</v>
      </c>
      <c r="BU39" s="159">
        <f ca="1">TblImps[[#This Row],[Time]]</f>
        <v>46048.458333333248</v>
      </c>
      <c r="BV39" s="142"/>
      <c r="BW39" s="179"/>
      <c r="BX39" s="179"/>
      <c r="BY39" s="179"/>
      <c r="BZ39" s="179"/>
      <c r="CA39" s="179"/>
      <c r="CB39" s="179"/>
      <c r="CC39" s="179"/>
      <c r="CD39" s="179"/>
      <c r="CE39" s="179"/>
      <c r="CF39" s="179"/>
      <c r="CG39" s="179"/>
      <c r="CH39" s="179"/>
      <c r="CI39" s="179"/>
      <c r="CJ39" s="179"/>
      <c r="CK39" s="179"/>
      <c r="CL39" s="179"/>
      <c r="CM39" s="179"/>
      <c r="CN39" s="179"/>
      <c r="CO39" s="179"/>
      <c r="CP39" s="142"/>
      <c r="CQ39" s="181">
        <f ca="1">-SUM(TblConstr[[#This Row],[Alc]:[Mas]])+SUM(TblConstr[[#This Row],[Dest Alc]:[Dest Mas]])+Rezone!L39+IF("Ch_"&amp; home_land=TblConstr[[#Headers],[Ch_Plain]],TblConstr[[#This Row],[Home Land]])+IF(TblConstr[[#This Row],[Hour]:[Hour]]&gt;12,OFFSET(TblExplore[[#This Row],[Plains Explore]],-12,0),0)</f>
        <v>0</v>
      </c>
      <c r="CR39" s="182">
        <f ca="1">-SUM(TblConstr[[#This Row],[Ly]:[Hav]])+SUM(TblConstr[[#This Row],[Dest Ly]:[Dest Hav]]) +Rezone!M39 + IF("Ch_"&amp; home_land=TblConstr[[#Headers],[Ch_Forest]],TblConstr[[#This Row],[Home Land]])+IF(TblConstr[[#This Row],[Hour]:[Hour]]&gt;12,OFFSET(TblExplore[[#This Row],[Forest Explore]],-12,0),0)</f>
        <v>0</v>
      </c>
      <c r="CS39" s="359">
        <f ca="1">-SUM(TblConstr[[#This Row],[OM]:[GN]])+SUM(TblConstr[[#This Row],[Dest OM]:[Dest GN]]) +Rezone!N39 + IF("Ch_"&amp; home_land=TblConstr[[#Headers],[Ch_Mountain]],TblConstr[[#This Row],[Home Land]])+IF(TblConstr[[#This Row],[Hour]:[Hour]]&gt;12,OFFSET(TblExplore[[#This Row],[Mountain Explore]],-12,0),0)</f>
        <v>0</v>
      </c>
      <c r="CT39" s="183">
        <f ca="1">-SUM(TblConstr[[#This Row],[Fac]:[Shr]])+SUM(TblConstr[[#This Row],[Dest Fac]:[Dest Shr]]) +Rezone!O39 + IF("Ch_" &amp; home_land=TblConstr[[#Headers],[Ch_Hill]],TblConstr[[#This Row],[Home Land]])+IF(TblConstr[[#This Row],[Hour]:[Hour]]&gt;12,OFFSET(TblExplore[[#This Row],[Hill Explore]],-12,0),0)</f>
        <v>0</v>
      </c>
      <c r="CU39" s="184">
        <f ca="1">-SUM(TblConstr[[#This Row],[Tow]:[WG]])+SUM(TblConstr[[#This Row],[Dest Tow]:[Dest WG]]) +Rezone!P39 + IF("Ch_" &amp; home_land=TblConstr[[#Headers],[Ch_Swamp]],TblConstr[[#This Row],[Home Land]])+IF(TblConstr[[#This Row],[Hour]:[Hour]]&gt;12,OFFSET(TblExplore[[#This Row],[Swamp Explore]],-12,0),0)</f>
        <v>0</v>
      </c>
      <c r="CV39" s="185">
        <f ca="1" xml:space="preserve"> - SUM(TblConstr[[#This Row],[DM]:[Sch]])+SUM(TblConstr[[#This Row],[Dest DM]:[Dest Sch]]) +Rezone!Q39 + IF("Ch_" &amp; home_land=TblConstr[[#Headers],[Ch_Cavern]],TblConstr[[#This Row],[Home Land]])+IF(TblConstr[[#This Row],[Hour]:[Hour]]&gt;12,OFFSET(TblExplore[[#This Row],[Cavern Explore]],-12,0),0)</f>
        <v>0</v>
      </c>
      <c r="CW39" s="186">
        <f ca="1">-TblConstr[[#This Row],[Doc]]+TblConstr[[#This Row],[Dest Doc]] +Rezone!R39 + IF("Ch_" &amp; home_land=TblConstr[[#Headers],[Ch_Water]],TblConstr[[#This Row],[Home Land]])+IF(TblConstr[[#This Row],[Hour]:[Hour]]&gt;12,OFFSET(TblExplore[[#This Row],[Water Explore]],-12,0),0)</f>
        <v>0</v>
      </c>
      <c r="CX39" s="45">
        <f>IF(Explore!S39=1,20) - TblConstr[[#This Row],[Hom]] + TblConstr[[#This Row],[Dest Hom]]</f>
        <v>0</v>
      </c>
      <c r="CY39" s="142"/>
      <c r="CZ39" s="94">
        <f t="shared" ca="1" si="3"/>
        <v>90</v>
      </c>
      <c r="DA39" s="94">
        <f t="shared" ca="1" si="4"/>
        <v>20</v>
      </c>
      <c r="DB39" s="45">
        <f t="shared" ca="1" si="5"/>
        <v>0</v>
      </c>
      <c r="DC39" s="94">
        <f t="shared" ca="1" si="6"/>
        <v>0</v>
      </c>
      <c r="DD39" s="94">
        <f t="shared" ca="1" si="7"/>
        <v>0</v>
      </c>
      <c r="DE39" s="45">
        <f t="shared" ca="1" si="8"/>
        <v>0</v>
      </c>
      <c r="DF39" s="94">
        <f t="shared" ca="1" si="9"/>
        <v>0</v>
      </c>
      <c r="DG39" s="94" cm="1">
        <f t="array" aca="1" ref="DG39" ca="1">INDEX(TblConstr[[Total Plain]:[Total Water]],ROW()-ROW(TblConstr[#Headers]),MATCH("Total "&amp;home_land,TblConstr[[#Headers],[Total Plain]:[Total Water]],0))+TblConstr[[#This Row],[Homes]]</f>
        <v>90</v>
      </c>
      <c r="DH39" s="45">
        <f t="shared" ca="1" si="10"/>
        <v>0</v>
      </c>
      <c r="DI39" s="45">
        <f t="shared" ca="1" si="0"/>
        <v>0</v>
      </c>
      <c r="DJ39" s="45">
        <f t="shared" ca="1" si="1"/>
        <v>0</v>
      </c>
    </row>
    <row r="40" spans="1:114" s="5" customFormat="1" x14ac:dyDescent="0.2">
      <c r="A40" s="193">
        <f>TblRezone[[#This Row],[Hour]]</f>
        <v>37</v>
      </c>
      <c r="B40" s="434">
        <f ca="1">SUM(TblConstr[[#This Row],[Plain]:[Water]])</f>
        <v>60</v>
      </c>
      <c r="C40" s="173">
        <f ca="1">SUM(TblConstr[[#This Row],[Tot Hom]:[Tot Doc]])</f>
        <v>50</v>
      </c>
      <c r="D40" s="173">
        <f t="shared" si="2"/>
        <v>0</v>
      </c>
      <c r="E40" s="194"/>
      <c r="F40" s="148">
        <f ca="1">TblConstr[[#This Row],[Barren]]+TblConstr[[#This Row],[Buildings]]+TblConstr[[#This Row],[Incoming]]</f>
        <v>110</v>
      </c>
      <c r="G40" s="195">
        <f ca="1">OFFSET(TblConstr[[#This Row],[Plain]],-1,0)+TblConstr[[#This Row],[Ch_Plain]]</f>
        <v>60</v>
      </c>
      <c r="H40" s="196">
        <f ca="1">OFFSET(TblConstr[[#This Row],[Forest]],-1,0)+TblConstr[[#This Row],[Ch_Forest]]</f>
        <v>0</v>
      </c>
      <c r="I40" s="360">
        <f ca="1">OFFSET(TblConstr[[#This Row],[Mountain]],-1,0)+TblConstr[[#This Row],[Ch_Mountain]]</f>
        <v>0</v>
      </c>
      <c r="J40" s="364">
        <f ca="1">OFFSET(TblConstr[[#This Row],[Hill]],-1,0)+TblConstr[[#This Row],[Ch_Hill]]</f>
        <v>0</v>
      </c>
      <c r="K40" s="368">
        <f ca="1">OFFSET(TblConstr[[#This Row],[Swamp]],-1,0)+TblConstr[[#This Row],[Ch_Swamp]]</f>
        <v>0</v>
      </c>
      <c r="L40" s="199">
        <f ca="1">OFFSET(TblConstr[[#This Row],[Cavern]],-1,0)+TblConstr[[#This Row],[Ch_Cavern]]</f>
        <v>0</v>
      </c>
      <c r="M40" s="200">
        <f ca="1">OFFSET(TblConstr[[#This Row],[Water]],-1,0)+TblConstr[[#This Row],[Ch_Water]]</f>
        <v>0</v>
      </c>
      <c r="N40" s="358">
        <f>TblRezone[[#This Row],[Hour]]</f>
        <v>37</v>
      </c>
      <c r="O40" s="201"/>
      <c r="P40" s="201"/>
      <c r="Q40" s="201"/>
      <c r="R40" s="201"/>
      <c r="S40" s="201"/>
      <c r="T40" s="201"/>
      <c r="U40" s="201"/>
      <c r="V40" s="201"/>
      <c r="W40" s="201"/>
      <c r="X40" s="201"/>
      <c r="Y40" s="201"/>
      <c r="Z40" s="201"/>
      <c r="AA40" s="201"/>
      <c r="AB40" s="201"/>
      <c r="AC40" s="201"/>
      <c r="AD40" s="201"/>
      <c r="AE40" s="201"/>
      <c r="AF40" s="201"/>
      <c r="AG40" s="201"/>
      <c r="AH40" s="435">
        <f ca="1">TblImps[[#This Row],[Time]]</f>
        <v>46048.499999999913</v>
      </c>
      <c r="AI40" s="436">
        <f ca="1">MIN(25%,(TblConstr[[#This Row],[Tot Fac]]+TblConstr[[#This Row],[Dest Fac]])/(TblConstr[[#This Row],[Land]]-TblExplore[[#This Row],[Land Bonus]]*20))</f>
        <v>0</v>
      </c>
      <c r="AJ40" s="436">
        <f ca="1">MIN(25%,(TblConstr[[#This Row],[Tot Fac]]+TblConstr[[#This Row],[Dest Fac]])/TblConstr[[#This Row],[Land]])</f>
        <v>0</v>
      </c>
      <c r="AK40" s="35">
        <f ca="1">TblProd[[#This Row],[Platinum]]</f>
        <v>111400</v>
      </c>
      <c r="AL40" s="35">
        <f ca="1">TblProd[[#This Row],[Lumber]]</f>
        <v>40804</v>
      </c>
      <c r="AM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0" s="35">
        <f ca="1">ROUNDDOWN( MAX(1 - MIN(facs_constr_factor*TblConstr[[#This Row],[Facs -DB]],facs_constr_max) + tech_1_11*TblTech[[#This Row],[11-1]] + tech_6_3_2*TblTech[[#This Row],[6-3]] + tech_5_2_3*TblTech[[#This Row],[5-2]], 1-global_constr_cap) * TblConstr[[#This Row],[RCPA Lumber]],0)</f>
        <v>48</v>
      </c>
      <c r="AO40" s="35">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0" s="35">
        <f ca="1">ROUNDDOWN( MAX(1 - MIN(facs_constr_factor*TblConstr[[#This Row],[Facs DB]],facs_constr_max) + tech_1_11*TblTech[[#This Row],[1-11]] + tech_6_3_2*TblTech[[#This Row],[6-3]] + tech_5_2_3*TblTech[[#This Row],[5-2]], 1-global_constr_cap) * ROUND((TblConstr[[#This Row],[Land]]-250)*0.285 + 87.5 + 0/4.25,0),0)</f>
        <v>48</v>
      </c>
      <c r="AQ40" s="5">
        <f ca="1">TblConstr[[#This Row],[build -db]]*TblConstr[[#This Row],[CPA Platinum -DB]] + TblConstr[[#This Row],[build db]]*TblConstr[[#This Row],[CPA Platinum DB]]</f>
        <v>0</v>
      </c>
      <c r="AR40" s="5">
        <f ca="1">TblConstr[[#This Row],[build -db]]*TblConstr[[#This Row],[CPA Lumber -DB]] + TblConstr[[#This Row],[build db]]*TblConstr[[#This Row],[CPA Lumber DB]]</f>
        <v>0</v>
      </c>
      <c r="AS40" s="35">
        <f ca="1">MIN(SUM(OFFSET(TblConstr[[#This Row],[Plain]:[Water]],-1,0))+SUM(TblConstr[[#This Row],[Dest Hom]:[Dest Doc]])+IF(TblConstr[[#This Row],[Hour]]&gt;12,SUM(OFFSET(TblExplore[[#This Row],[Plains Explore]:[Water Explore]],-12,0)),0),SUM(TblConstr[[#This Row],[Hom]:[Doc]]))</f>
        <v>0</v>
      </c>
      <c r="AT40" s="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0" s="149"/>
      <c r="AV40" s="35">
        <f ca="1">ROUND((TblConstr[[#This Row],[Land]]-250 - IF(TblExplore[[#This Row],[Land Bonus]]&lt;&gt;0,20,0))*1.25 + 850 + 0,0)</f>
        <v>675</v>
      </c>
      <c r="AW40" s="35">
        <f ca="1">ROUND((TblConstr[[#This Row],[Land]]-250 - IF(TblExplore[[#This Row],[Land Bonus]]&lt;&gt;0,20,0))*0.285 + 87.5 + 0/4.25,0)</f>
        <v>48</v>
      </c>
      <c r="AX40" s="162"/>
      <c r="AY40" s="437" cm="1">
        <f t="array" aca="1" ref="AY40" ca="1">IF(TblConstr[[#This Row],[Hour]:[Hour]]&gt;12,OFFSET(TblConstr[[#This Row],[Hom]],-12,0),0)+OFFSET(TblConstr[[#This Row],[Tot Hom]],-1,0)-TblConstr[[#This Row],[Dest Hom]]</f>
        <v>0</v>
      </c>
      <c r="AZ40" s="203" cm="1">
        <f t="array" aca="1" ref="AZ40" ca="1">IF(TblConstr[[#This Row],[Hour]:[Hour]]&gt;12,OFFSET(TblConstr[[#This Row],[Alc]],-12,0),0)+OFFSET(TblConstr[[#This Row],[Tot Alc]],-1,0)-TblConstr[[#This Row],[Dest Alc]]</f>
        <v>0</v>
      </c>
      <c r="BA40" s="203" cm="1">
        <f t="array" aca="1" ref="BA40" ca="1">IF(TblConstr[[#This Row],[Hour]:[Hour]]&gt;12,OFFSET(TblConstr[[#This Row],[Far]],-12,0),0)+OFFSET(TblConstr[[#This Row],[Tot Farm]],-1,0)-TblConstr[[#This Row],[Dest Farm]]</f>
        <v>30</v>
      </c>
      <c r="BB40" s="203" cm="1">
        <f t="array" aca="1" ref="BB40" ca="1">IF(TblConstr[[#This Row],[Hour]:[Hour]]&gt;12,OFFSET(TblConstr[[#This Row],[Smi]],-12,0),0)+OFFSET(TblConstr[[#This Row],[Tot Smi]],-1,0)-TblConstr[[#This Row],[Dest Smi]]</f>
        <v>0</v>
      </c>
      <c r="BC40" s="203" cm="1">
        <f t="array" aca="1" ref="BC40" ca="1">IF(TblConstr[[#This Row],[Hour]:[Hour]]&gt;12,OFFSET(TblConstr[[#This Row],[Mas]],-12,0),0)+OFFSET(TblConstr[[#This Row],[Tot Mas]],-1,0)-TblConstr[[#This Row],[Dest Mas]]</f>
        <v>0</v>
      </c>
      <c r="BD40" s="204" cm="1">
        <f t="array" aca="1" ref="BD40" ca="1">IF(TblConstr[[#This Row],[Hour]:[Hour]]&gt;12,OFFSET(TblConstr[[#This Row],[Ly]],-12,0),0)+OFFSET(TblConstr[[#This Row],[Tot Ly]],-1,0)-TblConstr[[#This Row],[Dest Ly]]</f>
        <v>20</v>
      </c>
      <c r="BE40" s="204" cm="1">
        <f t="array" aca="1" ref="BE40" ca="1">IF(TblConstr[[#This Row],[Hour]:[Hour]]&gt;12,OFFSET(TblConstr[[#This Row],[Hav]],-12,0),0)+OFFSET(TblConstr[[#This Row],[Tot Hav]],-1,0)-TblConstr[[#This Row],[Dest Hav]]</f>
        <v>0</v>
      </c>
      <c r="BF40" s="362" cm="1">
        <f t="array" aca="1" ref="BF40" ca="1">IF(TblConstr[[#This Row],[Hour]:[Hour]]&gt;12,OFFSET(TblConstr[[#This Row],[OM]],-12,0),0)+OFFSET(TblConstr[[#This Row],[Tot OM]],-1,0)-TblConstr[[#This Row],[Dest OM]]</f>
        <v>0</v>
      </c>
      <c r="BG40" s="362" cm="1">
        <f t="array" aca="1" ref="BG40" ca="1">IF(TblConstr[[#This Row],[Hour]:[Hour]]&gt;12,OFFSET(TblConstr[[#This Row],[GN]],-12,0),0)+OFFSET(TblConstr[[#This Row],[Tot GN]],-1,0)-TblConstr[[#This Row],[Dest GN]]</f>
        <v>0</v>
      </c>
      <c r="BH40" s="366" cm="1">
        <f t="array" aca="1" ref="BH40" ca="1">IF(TblConstr[[#This Row],[Hour]:[Hour]]&gt;12,OFFSET(TblConstr[[#This Row],[Fac]],-12,0),0)+OFFSET(TblConstr[[#This Row],[Tot Fac]],-1,0)-TblConstr[[#This Row],[Dest Fac]]</f>
        <v>0</v>
      </c>
      <c r="BI40" s="366" cm="1">
        <f t="array" aca="1" ref="BI40" ca="1">IF(TblConstr[[#This Row],[Hour]:[Hour]]&gt;12,OFFSET(TblConstr[[#This Row],[GT]],-12,0),0)+OFFSET(TblConstr[[#This Row],[Tot GT]],-1,0)-TblConstr[[#This Row],[Dest GT]]</f>
        <v>0</v>
      </c>
      <c r="BJ40" s="366" cm="1">
        <f t="array" aca="1" ref="BJ40" ca="1">IF(TblConstr[[#This Row],[Hour]:[Hour]]&gt;12,OFFSET(TblConstr[[#This Row],[Bar]],-12,0),0)+OFFSET(TblConstr[[#This Row],[Tot Bar]],-1,0)-TblConstr[[#This Row],[Dest Bar]]</f>
        <v>0</v>
      </c>
      <c r="BK40" s="366" cm="1">
        <f t="array" aca="1" ref="BK40" ca="1">IF(TblConstr[[#This Row],[Hour]:[Hour]]&gt;12,OFFSET(TblConstr[[#This Row],[Shr]],-12,0),0)+OFFSET(TblConstr[[#This Row],[Tot Shr]],-1,0)-TblConstr[[#This Row],[Dest Shr]]</f>
        <v>0</v>
      </c>
      <c r="BL40" s="370" cm="1">
        <f t="array" aca="1" ref="BL40" ca="1">IF(TblConstr[[#This Row],[Hour]:[Hour]]&gt;12,OFFSET(TblConstr[[#This Row],[Tow]],-12,0),0)+OFFSET(TblConstr[[#This Row],[Tot Tow]],-1,0)-TblConstr[[#This Row],[Dest Tow]]</f>
        <v>0</v>
      </c>
      <c r="BM40" s="370" cm="1">
        <f t="array" aca="1" ref="BM40" ca="1">IF(TblConstr[[#This Row],[Hour]:[Hour]]&gt;12,OFFSET(TblConstr[[#This Row],[Tem]],-12,0),0)+OFFSET(TblConstr[[#This Row],[Tot Tem]],-1,0)-TblConstr[[#This Row],[Dest Tem]]</f>
        <v>0</v>
      </c>
      <c r="BN40" s="370" cm="1">
        <f t="array" aca="1" ref="BN40" ca="1">IF(TblConstr[[#This Row],[Hour]:[Hour]]&gt;12,OFFSET(TblConstr[[#This Row],[WG]],-12,0),0)+OFFSET(TblConstr[[#This Row],[Tot WG]],-1,0)-TblConstr[[#This Row],[Dest WG]]</f>
        <v>0</v>
      </c>
      <c r="BO40" s="205" cm="1">
        <f t="array" aca="1" ref="BO40" ca="1">IF(TblConstr[[#This Row],[Hour]:[Hour]]&gt;12,OFFSET(TblConstr[[#This Row],[DM]],-12,0),0)+OFFSET(TblConstr[[#This Row],[Tot DM]],-1,0)-TblConstr[[#This Row],[Dest DM]]</f>
        <v>0</v>
      </c>
      <c r="BP40" s="205" cm="1">
        <f t="array" aca="1" ref="BP40" ca="1">IF(TblConstr[[#This Row],[Hour]:[Hour]]&gt;12,OFFSET(TblConstr[[#This Row],[Sch]],-12,0),0)+OFFSET(TblConstr[[#This Row],[Tot Sch]],-1,0)-TblConstr[[#This Row],[Dest Sch]]</f>
        <v>0</v>
      </c>
      <c r="BQ40" s="206" cm="1">
        <f t="array" aca="1" ref="BQ40" ca="1">IF(TblConstr[[#This Row],[Hour]:[Hour]]&gt;12,OFFSET(TblConstr[[#This Row],[Doc]],-12,0),0)+OFFSET(TblConstr[[#This Row],[Tot Doc]],-1,0)-TblConstr[[#This Row],[Dest Doc]]</f>
        <v>0</v>
      </c>
      <c r="BR40" s="149"/>
      <c r="BS40" s="162"/>
      <c r="BT40" s="35">
        <f ca="1">TblConstr[[#This Row],[Land]]</f>
        <v>110</v>
      </c>
      <c r="BU40" s="167">
        <f ca="1">TblImps[[#This Row],[Time]]</f>
        <v>46048.499999999913</v>
      </c>
      <c r="BV40" s="149"/>
      <c r="BW40" s="201"/>
      <c r="BX40" s="201"/>
      <c r="BY40" s="201"/>
      <c r="BZ40" s="201"/>
      <c r="CA40" s="201"/>
      <c r="CB40" s="201"/>
      <c r="CC40" s="201"/>
      <c r="CD40" s="201"/>
      <c r="CE40" s="201"/>
      <c r="CF40" s="201"/>
      <c r="CG40" s="201"/>
      <c r="CH40" s="201"/>
      <c r="CI40" s="201"/>
      <c r="CJ40" s="201"/>
      <c r="CK40" s="201"/>
      <c r="CL40" s="201"/>
      <c r="CM40" s="201"/>
      <c r="CN40" s="201"/>
      <c r="CO40" s="201"/>
      <c r="CP40" s="149"/>
      <c r="CQ40" s="207">
        <f ca="1">-SUM(TblConstr[[#This Row],[Alc]:[Mas]])+SUM(TblConstr[[#This Row],[Dest Alc]:[Dest Mas]])+Rezone!L40+IF("Ch_"&amp; home_land=TblConstr[[#Headers],[Ch_Plain]],TblConstr[[#This Row],[Home Land]])+IF(TblConstr[[#This Row],[Hour]:[Hour]]&gt;12,OFFSET(TblExplore[[#This Row],[Plains Explore]],-12,0),0)</f>
        <v>0</v>
      </c>
      <c r="CR40" s="196">
        <f ca="1">-SUM(TblConstr[[#This Row],[Ly]:[Hav]])+SUM(TblConstr[[#This Row],[Dest Ly]:[Dest Hav]]) +Rezone!M40 + IF("Ch_"&amp; home_land=TblConstr[[#Headers],[Ch_Forest]],TblConstr[[#This Row],[Home Land]])+IF(TblConstr[[#This Row],[Hour]:[Hour]]&gt;12,OFFSET(TblExplore[[#This Row],[Forest Explore]],-12,0),0)</f>
        <v>0</v>
      </c>
      <c r="CS40" s="360">
        <f ca="1">-SUM(TblConstr[[#This Row],[OM]:[GN]])+SUM(TblConstr[[#This Row],[Dest OM]:[Dest GN]]) +Rezone!N40 + IF("Ch_"&amp; home_land=TblConstr[[#Headers],[Ch_Mountain]],TblConstr[[#This Row],[Home Land]])+IF(TblConstr[[#This Row],[Hour]:[Hour]]&gt;12,OFFSET(TblExplore[[#This Row],[Mountain Explore]],-12,0),0)</f>
        <v>0</v>
      </c>
      <c r="CT40" s="197">
        <f ca="1">-SUM(TblConstr[[#This Row],[Fac]:[Shr]])+SUM(TblConstr[[#This Row],[Dest Fac]:[Dest Shr]]) +Rezone!O40 + IF("Ch_" &amp; home_land=TblConstr[[#Headers],[Ch_Hill]],TblConstr[[#This Row],[Home Land]])+IF(TblConstr[[#This Row],[Hour]:[Hour]]&gt;12,OFFSET(TblExplore[[#This Row],[Hill Explore]],-12,0),0)</f>
        <v>0</v>
      </c>
      <c r="CU40" s="198">
        <f ca="1">-SUM(TblConstr[[#This Row],[Tow]:[WG]])+SUM(TblConstr[[#This Row],[Dest Tow]:[Dest WG]]) +Rezone!P40 + IF("Ch_" &amp; home_land=TblConstr[[#Headers],[Ch_Swamp]],TblConstr[[#This Row],[Home Land]])+IF(TblConstr[[#This Row],[Hour]:[Hour]]&gt;12,OFFSET(TblExplore[[#This Row],[Swamp Explore]],-12,0),0)</f>
        <v>0</v>
      </c>
      <c r="CV40" s="199">
        <f ca="1" xml:space="preserve"> - SUM(TblConstr[[#This Row],[DM]:[Sch]])+SUM(TblConstr[[#This Row],[Dest DM]:[Dest Sch]]) +Rezone!Q40 + IF("Ch_" &amp; home_land=TblConstr[[#Headers],[Ch_Cavern]],TblConstr[[#This Row],[Home Land]])+IF(TblConstr[[#This Row],[Hour]:[Hour]]&gt;12,OFFSET(TblExplore[[#This Row],[Cavern Explore]],-12,0),0)</f>
        <v>0</v>
      </c>
      <c r="CW40" s="200">
        <f ca="1">-TblConstr[[#This Row],[Doc]]+TblConstr[[#This Row],[Dest Doc]] +Rezone!R40 + IF("Ch_" &amp; home_land=TblConstr[[#Headers],[Ch_Water]],TblConstr[[#This Row],[Home Land]])+IF(TblConstr[[#This Row],[Hour]:[Hour]]&gt;12,OFFSET(TblExplore[[#This Row],[Water Explore]],-12,0),0)</f>
        <v>0</v>
      </c>
      <c r="CX40" s="5">
        <f>IF(Explore!S40=1,20) - TblConstr[[#This Row],[Hom]] + TblConstr[[#This Row],[Dest Hom]]</f>
        <v>0</v>
      </c>
      <c r="CY40" s="149"/>
      <c r="CZ40" s="35">
        <f t="shared" ca="1" si="3"/>
        <v>90</v>
      </c>
      <c r="DA40" s="35">
        <f t="shared" ca="1" si="4"/>
        <v>20</v>
      </c>
      <c r="DB40" s="5">
        <f t="shared" ca="1" si="5"/>
        <v>0</v>
      </c>
      <c r="DC40" s="35">
        <f t="shared" ca="1" si="6"/>
        <v>0</v>
      </c>
      <c r="DD40" s="35">
        <f t="shared" ca="1" si="7"/>
        <v>0</v>
      </c>
      <c r="DE40" s="5">
        <f t="shared" ca="1" si="8"/>
        <v>0</v>
      </c>
      <c r="DF40" s="35">
        <f t="shared" ca="1" si="9"/>
        <v>0</v>
      </c>
      <c r="DG40" s="35" cm="1">
        <f t="array" aca="1" ref="DG40" ca="1">INDEX(TblConstr[[Total Plain]:[Total Water]],ROW()-ROW(TblConstr[#Headers]),MATCH("Total "&amp;home_land,TblConstr[[#Headers],[Total Plain]:[Total Water]],0))+TblConstr[[#This Row],[Homes]]</f>
        <v>90</v>
      </c>
      <c r="DH40" s="5">
        <f t="shared" ca="1" si="10"/>
        <v>0</v>
      </c>
      <c r="DI40" s="5">
        <f t="shared" ca="1" si="0"/>
        <v>0</v>
      </c>
      <c r="DJ40" s="5">
        <f t="shared" ca="1" si="1"/>
        <v>0</v>
      </c>
    </row>
    <row r="41" spans="1:114" x14ac:dyDescent="0.2">
      <c r="A41" s="175">
        <f>TblRezone[[#This Row],[Hour]]</f>
        <v>38</v>
      </c>
      <c r="B41" s="176">
        <f ca="1">SUM(TblConstr[[#This Row],[Plain]:[Water]])</f>
        <v>60</v>
      </c>
      <c r="C41" s="177">
        <f ca="1">SUM(TblConstr[[#This Row],[Tot Hom]:[Tot Doc]])</f>
        <v>50</v>
      </c>
      <c r="D41" s="177">
        <f t="shared" si="2"/>
        <v>0</v>
      </c>
      <c r="E41" s="178"/>
      <c r="F41" s="61">
        <f ca="1">TblConstr[[#This Row],[Barren]]+TblConstr[[#This Row],[Buildings]]+TblConstr[[#This Row],[Incoming]]</f>
        <v>110</v>
      </c>
      <c r="G41" s="187">
        <f ca="1">OFFSET(TblConstr[[#This Row],[Plain]],-1,0)+TblConstr[[#This Row],[Ch_Plain]]</f>
        <v>60</v>
      </c>
      <c r="H41" s="182">
        <f ca="1">OFFSET(TblConstr[[#This Row],[Forest]],-1,0)+TblConstr[[#This Row],[Ch_Forest]]</f>
        <v>0</v>
      </c>
      <c r="I41" s="359">
        <f ca="1">OFFSET(TblConstr[[#This Row],[Mountain]],-1,0)+TblConstr[[#This Row],[Ch_Mountain]]</f>
        <v>0</v>
      </c>
      <c r="J41" s="363">
        <f ca="1">OFFSET(TblConstr[[#This Row],[Hill]],-1,0)+TblConstr[[#This Row],[Ch_Hill]]</f>
        <v>0</v>
      </c>
      <c r="K41" s="367">
        <f ca="1">OFFSET(TblConstr[[#This Row],[Swamp]],-1,0)+TblConstr[[#This Row],[Ch_Swamp]]</f>
        <v>0</v>
      </c>
      <c r="L41" s="185">
        <f ca="1">OFFSET(TblConstr[[#This Row],[Cavern]],-1,0)+TblConstr[[#This Row],[Ch_Cavern]]</f>
        <v>0</v>
      </c>
      <c r="M41" s="186">
        <f ca="1">OFFSET(TblConstr[[#This Row],[Water]],-1,0)+TblConstr[[#This Row],[Ch_Water]]</f>
        <v>0</v>
      </c>
      <c r="N41" s="357">
        <f>TblRezone[[#This Row],[Hour]]</f>
        <v>38</v>
      </c>
      <c r="O41" s="179"/>
      <c r="P41" s="179"/>
      <c r="Q41" s="179"/>
      <c r="R41" s="158"/>
      <c r="S41" s="179"/>
      <c r="T41" s="179"/>
      <c r="U41" s="179"/>
      <c r="V41" s="179"/>
      <c r="W41" s="179"/>
      <c r="X41" s="179"/>
      <c r="Y41" s="179"/>
      <c r="Z41" s="179"/>
      <c r="AA41" s="179"/>
      <c r="AB41" s="179"/>
      <c r="AC41" s="179"/>
      <c r="AD41" s="179"/>
      <c r="AE41" s="179"/>
      <c r="AF41" s="179"/>
      <c r="AG41" s="179"/>
      <c r="AH41" s="53">
        <f ca="1">TblImps[[#This Row],[Time]]</f>
        <v>46048.541666666577</v>
      </c>
      <c r="AI41" s="180">
        <f ca="1">MIN(25%,(TblConstr[[#This Row],[Tot Fac]]+TblConstr[[#This Row],[Dest Fac]])/(TblConstr[[#This Row],[Land]]-TblExplore[[#This Row],[Land Bonus]]*20))</f>
        <v>0</v>
      </c>
      <c r="AJ41" s="180">
        <f ca="1">MIN(25%,(TblConstr[[#This Row],[Tot Fac]]+TblConstr[[#This Row],[Dest Fac]])/TblConstr[[#This Row],[Land]])</f>
        <v>0</v>
      </c>
      <c r="AK41" s="94">
        <f ca="1">TblProd[[#This Row],[Platinum]]</f>
        <v>113287</v>
      </c>
      <c r="AL41" s="94">
        <f ca="1">TblProd[[#This Row],[Lumber]]</f>
        <v>41396</v>
      </c>
      <c r="AM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1" s="94">
        <f ca="1">ROUNDDOWN( MAX(1 - MIN(facs_constr_factor*TblConstr[[#This Row],[Facs -DB]],facs_constr_max) + tech_1_11*TblTech[[#This Row],[11-1]] + tech_6_3_2*TblTech[[#This Row],[6-3]] + tech_5_2_3*TblTech[[#This Row],[5-2]], 1-global_constr_cap) * TblConstr[[#This Row],[RCPA Lumber]],0)</f>
        <v>48</v>
      </c>
      <c r="AO4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1" s="94">
        <f ca="1">ROUNDDOWN( MAX(1 - MIN(facs_constr_factor*TblConstr[[#This Row],[Facs DB]],facs_constr_max) + tech_1_11*TblTech[[#This Row],[1-11]] + tech_6_3_2*TblTech[[#This Row],[6-3]] + tech_5_2_3*TblTech[[#This Row],[5-2]], 1-global_constr_cap) * ROUND((TblConstr[[#This Row],[Land]]-250)*0.285 + 87.5 + 0/4.25,0),0)</f>
        <v>48</v>
      </c>
      <c r="AQ41" s="45">
        <f ca="1">TblConstr[[#This Row],[build -db]]*TblConstr[[#This Row],[CPA Platinum -DB]] + TblConstr[[#This Row],[build db]]*TblConstr[[#This Row],[CPA Platinum DB]]</f>
        <v>0</v>
      </c>
      <c r="AR41" s="45">
        <f ca="1">TblConstr[[#This Row],[build -db]]*TblConstr[[#This Row],[CPA Lumber -DB]] + TblConstr[[#This Row],[build db]]*TblConstr[[#This Row],[CPA Lumber DB]]</f>
        <v>0</v>
      </c>
      <c r="AS41" s="94">
        <f ca="1">MIN(SUM(OFFSET(TblConstr[[#This Row],[Plain]:[Water]],-1,0))+SUM(TblConstr[[#This Row],[Dest Hom]:[Dest Doc]])+IF(TblConstr[[#This Row],[Hour]]&gt;12,SUM(OFFSET(TblExplore[[#This Row],[Plains Explore]:[Water Explore]],-12,0)),0),SUM(TblConstr[[#This Row],[Hom]:[Doc]]))</f>
        <v>0</v>
      </c>
      <c r="AT4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1" s="142"/>
      <c r="AV41" s="94">
        <f ca="1">ROUND((TblConstr[[#This Row],[Land]]-250 - IF(TblExplore[[#This Row],[Land Bonus]]&lt;&gt;0,20,0))*1.25 + 850 + 0,0)</f>
        <v>675</v>
      </c>
      <c r="AW41" s="94">
        <f ca="1">ROUND((TblConstr[[#This Row],[Land]]-250 - IF(TblExplore[[#This Row],[Land Bonus]]&lt;&gt;0,20,0))*0.285 + 87.5 + 0/4.25,0)</f>
        <v>48</v>
      </c>
      <c r="AX41" s="154"/>
      <c r="AY41" s="188" cm="1">
        <f t="array" aca="1" ref="AY41" ca="1">IF(TblConstr[[#This Row],[Hour]:[Hour]]&gt;12,OFFSET(TblConstr[[#This Row],[Hom]],-12,0),0)+OFFSET(TblConstr[[#This Row],[Tot Hom]],-1,0)-TblConstr[[#This Row],[Dest Hom]]</f>
        <v>0</v>
      </c>
      <c r="AZ41" s="189" cm="1">
        <f t="array" aca="1" ref="AZ41" ca="1">IF(TblConstr[[#This Row],[Hour]:[Hour]]&gt;12,OFFSET(TblConstr[[#This Row],[Alc]],-12,0),0)+OFFSET(TblConstr[[#This Row],[Tot Alc]],-1,0)-TblConstr[[#This Row],[Dest Alc]]</f>
        <v>0</v>
      </c>
      <c r="BA41" s="189" cm="1">
        <f t="array" aca="1" ref="BA41" ca="1">IF(TblConstr[[#This Row],[Hour]:[Hour]]&gt;12,OFFSET(TblConstr[[#This Row],[Far]],-12,0),0)+OFFSET(TblConstr[[#This Row],[Tot Farm]],-1,0)-TblConstr[[#This Row],[Dest Farm]]</f>
        <v>30</v>
      </c>
      <c r="BB41" s="189" cm="1">
        <f t="array" aca="1" ref="BB41" ca="1">IF(TblConstr[[#This Row],[Hour]:[Hour]]&gt;12,OFFSET(TblConstr[[#This Row],[Smi]],-12,0),0)+OFFSET(TblConstr[[#This Row],[Tot Smi]],-1,0)-TblConstr[[#This Row],[Dest Smi]]</f>
        <v>0</v>
      </c>
      <c r="BC41" s="189" cm="1">
        <f t="array" aca="1" ref="BC41" ca="1">IF(TblConstr[[#This Row],[Hour]:[Hour]]&gt;12,OFFSET(TblConstr[[#This Row],[Mas]],-12,0),0)+OFFSET(TblConstr[[#This Row],[Tot Mas]],-1,0)-TblConstr[[#This Row],[Dest Mas]]</f>
        <v>0</v>
      </c>
      <c r="BD41" s="190" cm="1">
        <f t="array" aca="1" ref="BD41" ca="1">IF(TblConstr[[#This Row],[Hour]:[Hour]]&gt;12,OFFSET(TblConstr[[#This Row],[Ly]],-12,0),0)+OFFSET(TblConstr[[#This Row],[Tot Ly]],-1,0)-TblConstr[[#This Row],[Dest Ly]]</f>
        <v>20</v>
      </c>
      <c r="BE41" s="190" cm="1">
        <f t="array" aca="1" ref="BE41" ca="1">IF(TblConstr[[#This Row],[Hour]:[Hour]]&gt;12,OFFSET(TblConstr[[#This Row],[Hav]],-12,0),0)+OFFSET(TblConstr[[#This Row],[Tot Hav]],-1,0)-TblConstr[[#This Row],[Dest Hav]]</f>
        <v>0</v>
      </c>
      <c r="BF41" s="361" cm="1">
        <f t="array" aca="1" ref="BF41" ca="1">IF(TblConstr[[#This Row],[Hour]:[Hour]]&gt;12,OFFSET(TblConstr[[#This Row],[OM]],-12,0),0)+OFFSET(TblConstr[[#This Row],[Tot OM]],-1,0)-TblConstr[[#This Row],[Dest OM]]</f>
        <v>0</v>
      </c>
      <c r="BG41" s="361" cm="1">
        <f t="array" aca="1" ref="BG41" ca="1">IF(TblConstr[[#This Row],[Hour]:[Hour]]&gt;12,OFFSET(TblConstr[[#This Row],[GN]],-12,0),0)+OFFSET(TblConstr[[#This Row],[Tot GN]],-1,0)-TblConstr[[#This Row],[Dest GN]]</f>
        <v>0</v>
      </c>
      <c r="BH41" s="365" cm="1">
        <f t="array" aca="1" ref="BH41" ca="1">IF(TblConstr[[#This Row],[Hour]:[Hour]]&gt;12,OFFSET(TblConstr[[#This Row],[Fac]],-12,0),0)+OFFSET(TblConstr[[#This Row],[Tot Fac]],-1,0)-TblConstr[[#This Row],[Dest Fac]]</f>
        <v>0</v>
      </c>
      <c r="BI41" s="365" cm="1">
        <f t="array" aca="1" ref="BI41" ca="1">IF(TblConstr[[#This Row],[Hour]:[Hour]]&gt;12,OFFSET(TblConstr[[#This Row],[GT]],-12,0),0)+OFFSET(TblConstr[[#This Row],[Tot GT]],-1,0)-TblConstr[[#This Row],[Dest GT]]</f>
        <v>0</v>
      </c>
      <c r="BJ41" s="365" cm="1">
        <f t="array" aca="1" ref="BJ41" ca="1">IF(TblConstr[[#This Row],[Hour]:[Hour]]&gt;12,OFFSET(TblConstr[[#This Row],[Bar]],-12,0),0)+OFFSET(TblConstr[[#This Row],[Tot Bar]],-1,0)-TblConstr[[#This Row],[Dest Bar]]</f>
        <v>0</v>
      </c>
      <c r="BK41" s="365" cm="1">
        <f t="array" aca="1" ref="BK41" ca="1">IF(TblConstr[[#This Row],[Hour]:[Hour]]&gt;12,OFFSET(TblConstr[[#This Row],[Shr]],-12,0),0)+OFFSET(TblConstr[[#This Row],[Tot Shr]],-1,0)-TblConstr[[#This Row],[Dest Shr]]</f>
        <v>0</v>
      </c>
      <c r="BL41" s="369" cm="1">
        <f t="array" aca="1" ref="BL41" ca="1">IF(TblConstr[[#This Row],[Hour]:[Hour]]&gt;12,OFFSET(TblConstr[[#This Row],[Tow]],-12,0),0)+OFFSET(TblConstr[[#This Row],[Tot Tow]],-1,0)-TblConstr[[#This Row],[Dest Tow]]</f>
        <v>0</v>
      </c>
      <c r="BM41" s="369" cm="1">
        <f t="array" aca="1" ref="BM41" ca="1">IF(TblConstr[[#This Row],[Hour]:[Hour]]&gt;12,OFFSET(TblConstr[[#This Row],[Tem]],-12,0),0)+OFFSET(TblConstr[[#This Row],[Tot Tem]],-1,0)-TblConstr[[#This Row],[Dest Tem]]</f>
        <v>0</v>
      </c>
      <c r="BN41" s="369" cm="1">
        <f t="array" aca="1" ref="BN41" ca="1">IF(TblConstr[[#This Row],[Hour]:[Hour]]&gt;12,OFFSET(TblConstr[[#This Row],[WG]],-12,0),0)+OFFSET(TblConstr[[#This Row],[Tot WG]],-1,0)-TblConstr[[#This Row],[Dest WG]]</f>
        <v>0</v>
      </c>
      <c r="BO41" s="191" cm="1">
        <f t="array" aca="1" ref="BO41" ca="1">IF(TblConstr[[#This Row],[Hour]:[Hour]]&gt;12,OFFSET(TblConstr[[#This Row],[DM]],-12,0),0)+OFFSET(TblConstr[[#This Row],[Tot DM]],-1,0)-TblConstr[[#This Row],[Dest DM]]</f>
        <v>0</v>
      </c>
      <c r="BP41" s="191" cm="1">
        <f t="array" aca="1" ref="BP41" ca="1">IF(TblConstr[[#This Row],[Hour]:[Hour]]&gt;12,OFFSET(TblConstr[[#This Row],[Sch]],-12,0),0)+OFFSET(TblConstr[[#This Row],[Tot Sch]],-1,0)-TblConstr[[#This Row],[Dest Sch]]</f>
        <v>0</v>
      </c>
      <c r="BQ41" s="192" cm="1">
        <f t="array" aca="1" ref="BQ41" ca="1">IF(TblConstr[[#This Row],[Hour]:[Hour]]&gt;12,OFFSET(TblConstr[[#This Row],[Doc]],-12,0),0)+OFFSET(TblConstr[[#This Row],[Tot Doc]],-1,0)-TblConstr[[#This Row],[Dest Doc]]</f>
        <v>0</v>
      </c>
      <c r="BR41" s="142"/>
      <c r="BS41" s="154"/>
      <c r="BT41" s="94">
        <f ca="1">TblConstr[[#This Row],[Land]]</f>
        <v>110</v>
      </c>
      <c r="BU41" s="159">
        <f ca="1">TblImps[[#This Row],[Time]]</f>
        <v>46048.541666666577</v>
      </c>
      <c r="BV41" s="142"/>
      <c r="BW41" s="179"/>
      <c r="BX41" s="179"/>
      <c r="BY41" s="179"/>
      <c r="BZ41" s="179"/>
      <c r="CA41" s="179"/>
      <c r="CB41" s="179"/>
      <c r="CC41" s="179"/>
      <c r="CD41" s="179"/>
      <c r="CE41" s="179"/>
      <c r="CF41" s="179"/>
      <c r="CG41" s="179"/>
      <c r="CH41" s="179"/>
      <c r="CI41" s="179"/>
      <c r="CJ41" s="179"/>
      <c r="CK41" s="179"/>
      <c r="CL41" s="179"/>
      <c r="CM41" s="179"/>
      <c r="CN41" s="179"/>
      <c r="CO41" s="179"/>
      <c r="CP41" s="142"/>
      <c r="CQ41" s="181">
        <f ca="1">-SUM(TblConstr[[#This Row],[Alc]:[Mas]])+SUM(TblConstr[[#This Row],[Dest Alc]:[Dest Mas]])+Rezone!L41+IF("Ch_"&amp; home_land=TblConstr[[#Headers],[Ch_Plain]],TblConstr[[#This Row],[Home Land]])+IF(TblConstr[[#This Row],[Hour]:[Hour]]&gt;12,OFFSET(TblExplore[[#This Row],[Plains Explore]],-12,0),0)</f>
        <v>0</v>
      </c>
      <c r="CR41" s="182">
        <f ca="1">-SUM(TblConstr[[#This Row],[Ly]:[Hav]])+SUM(TblConstr[[#This Row],[Dest Ly]:[Dest Hav]]) +Rezone!M41 + IF("Ch_"&amp; home_land=TblConstr[[#Headers],[Ch_Forest]],TblConstr[[#This Row],[Home Land]])+IF(TblConstr[[#This Row],[Hour]:[Hour]]&gt;12,OFFSET(TblExplore[[#This Row],[Forest Explore]],-12,0),0)</f>
        <v>0</v>
      </c>
      <c r="CS41" s="359">
        <f ca="1">-SUM(TblConstr[[#This Row],[OM]:[GN]])+SUM(TblConstr[[#This Row],[Dest OM]:[Dest GN]]) +Rezone!N41 + IF("Ch_"&amp; home_land=TblConstr[[#Headers],[Ch_Mountain]],TblConstr[[#This Row],[Home Land]])+IF(TblConstr[[#This Row],[Hour]:[Hour]]&gt;12,OFFSET(TblExplore[[#This Row],[Mountain Explore]],-12,0),0)</f>
        <v>0</v>
      </c>
      <c r="CT41" s="183">
        <f ca="1">-SUM(TblConstr[[#This Row],[Fac]:[Shr]])+SUM(TblConstr[[#This Row],[Dest Fac]:[Dest Shr]]) +Rezone!O41 + IF("Ch_" &amp; home_land=TblConstr[[#Headers],[Ch_Hill]],TblConstr[[#This Row],[Home Land]])+IF(TblConstr[[#This Row],[Hour]:[Hour]]&gt;12,OFFSET(TblExplore[[#This Row],[Hill Explore]],-12,0),0)</f>
        <v>0</v>
      </c>
      <c r="CU41" s="184">
        <f ca="1">-SUM(TblConstr[[#This Row],[Tow]:[WG]])+SUM(TblConstr[[#This Row],[Dest Tow]:[Dest WG]]) +Rezone!P41 + IF("Ch_" &amp; home_land=TblConstr[[#Headers],[Ch_Swamp]],TblConstr[[#This Row],[Home Land]])+IF(TblConstr[[#This Row],[Hour]:[Hour]]&gt;12,OFFSET(TblExplore[[#This Row],[Swamp Explore]],-12,0),0)</f>
        <v>0</v>
      </c>
      <c r="CV41" s="185">
        <f ca="1" xml:space="preserve"> - SUM(TblConstr[[#This Row],[DM]:[Sch]])+SUM(TblConstr[[#This Row],[Dest DM]:[Dest Sch]]) +Rezone!Q41 + IF("Ch_" &amp; home_land=TblConstr[[#Headers],[Ch_Cavern]],TblConstr[[#This Row],[Home Land]])+IF(TblConstr[[#This Row],[Hour]:[Hour]]&gt;12,OFFSET(TblExplore[[#This Row],[Cavern Explore]],-12,0),0)</f>
        <v>0</v>
      </c>
      <c r="CW41" s="186">
        <f ca="1">-TblConstr[[#This Row],[Doc]]+TblConstr[[#This Row],[Dest Doc]] +Rezone!R41 + IF("Ch_" &amp; home_land=TblConstr[[#Headers],[Ch_Water]],TblConstr[[#This Row],[Home Land]])+IF(TblConstr[[#This Row],[Hour]:[Hour]]&gt;12,OFFSET(TblExplore[[#This Row],[Water Explore]],-12,0),0)</f>
        <v>0</v>
      </c>
      <c r="CX41" s="45">
        <f>IF(Explore!S41=1,20) - TblConstr[[#This Row],[Hom]] + TblConstr[[#This Row],[Dest Hom]]</f>
        <v>0</v>
      </c>
      <c r="CY41" s="142"/>
      <c r="CZ41" s="94">
        <f t="shared" ca="1" si="3"/>
        <v>90</v>
      </c>
      <c r="DA41" s="94">
        <f t="shared" ca="1" si="4"/>
        <v>20</v>
      </c>
      <c r="DB41" s="45">
        <f t="shared" ca="1" si="5"/>
        <v>0</v>
      </c>
      <c r="DC41" s="94">
        <f t="shared" ca="1" si="6"/>
        <v>0</v>
      </c>
      <c r="DD41" s="94">
        <f t="shared" ca="1" si="7"/>
        <v>0</v>
      </c>
      <c r="DE41" s="45">
        <f t="shared" ca="1" si="8"/>
        <v>0</v>
      </c>
      <c r="DF41" s="94">
        <f t="shared" ca="1" si="9"/>
        <v>0</v>
      </c>
      <c r="DG41" s="94" cm="1">
        <f t="array" aca="1" ref="DG41" ca="1">INDEX(TblConstr[[Total Plain]:[Total Water]],ROW()-ROW(TblConstr[#Headers]),MATCH("Total "&amp;home_land,TblConstr[[#Headers],[Total Plain]:[Total Water]],0))+TblConstr[[#This Row],[Homes]]</f>
        <v>90</v>
      </c>
      <c r="DH41" s="45">
        <f t="shared" ca="1" si="10"/>
        <v>0</v>
      </c>
      <c r="DI41" s="45">
        <f t="shared" ca="1" si="0"/>
        <v>0</v>
      </c>
      <c r="DJ41" s="45">
        <f t="shared" ca="1" si="1"/>
        <v>0</v>
      </c>
    </row>
    <row r="42" spans="1:114" x14ac:dyDescent="0.2">
      <c r="A42" s="175">
        <f>TblRezone[[#This Row],[Hour]]</f>
        <v>39</v>
      </c>
      <c r="B42" s="176">
        <f ca="1">SUM(TblConstr[[#This Row],[Plain]:[Water]])</f>
        <v>60</v>
      </c>
      <c r="C42" s="177">
        <f ca="1">SUM(TblConstr[[#This Row],[Tot Hom]:[Tot Doc]])</f>
        <v>50</v>
      </c>
      <c r="D42" s="177">
        <f t="shared" si="2"/>
        <v>0</v>
      </c>
      <c r="E42" s="178"/>
      <c r="F42" s="61">
        <f ca="1">TblConstr[[#This Row],[Barren]]+TblConstr[[#This Row],[Buildings]]+TblConstr[[#This Row],[Incoming]]</f>
        <v>110</v>
      </c>
      <c r="G42" s="187">
        <f ca="1">OFFSET(TblConstr[[#This Row],[Plain]],-1,0)+TblConstr[[#This Row],[Ch_Plain]]</f>
        <v>60</v>
      </c>
      <c r="H42" s="182">
        <f ca="1">OFFSET(TblConstr[[#This Row],[Forest]],-1,0)+TblConstr[[#This Row],[Ch_Forest]]</f>
        <v>0</v>
      </c>
      <c r="I42" s="359">
        <f ca="1">OFFSET(TblConstr[[#This Row],[Mountain]],-1,0)+TblConstr[[#This Row],[Ch_Mountain]]</f>
        <v>0</v>
      </c>
      <c r="J42" s="363">
        <f ca="1">OFFSET(TblConstr[[#This Row],[Hill]],-1,0)+TblConstr[[#This Row],[Ch_Hill]]</f>
        <v>0</v>
      </c>
      <c r="K42" s="367">
        <f ca="1">OFFSET(TblConstr[[#This Row],[Swamp]],-1,0)+TblConstr[[#This Row],[Ch_Swamp]]</f>
        <v>0</v>
      </c>
      <c r="L42" s="185">
        <f ca="1">OFFSET(TblConstr[[#This Row],[Cavern]],-1,0)+TblConstr[[#This Row],[Ch_Cavern]]</f>
        <v>0</v>
      </c>
      <c r="M42" s="186">
        <f ca="1">OFFSET(TblConstr[[#This Row],[Water]],-1,0)+TblConstr[[#This Row],[Ch_Water]]</f>
        <v>0</v>
      </c>
      <c r="N42" s="357">
        <f>TblRezone[[#This Row],[Hour]]</f>
        <v>39</v>
      </c>
      <c r="O42" s="179"/>
      <c r="P42" s="179"/>
      <c r="Q42" s="179"/>
      <c r="R42" s="158"/>
      <c r="S42" s="179"/>
      <c r="T42" s="179"/>
      <c r="U42" s="179"/>
      <c r="V42" s="179"/>
      <c r="W42" s="179"/>
      <c r="X42" s="179"/>
      <c r="Y42" s="179"/>
      <c r="Z42" s="179"/>
      <c r="AA42" s="179"/>
      <c r="AB42" s="179"/>
      <c r="AC42" s="179"/>
      <c r="AD42" s="179"/>
      <c r="AE42" s="179"/>
      <c r="AF42" s="179"/>
      <c r="AG42" s="179"/>
      <c r="AH42" s="53">
        <f ca="1">TblImps[[#This Row],[Time]]</f>
        <v>46048.583333333241</v>
      </c>
      <c r="AI42" s="180">
        <f ca="1">MIN(25%,(TblConstr[[#This Row],[Tot Fac]]+TblConstr[[#This Row],[Dest Fac]])/(TblConstr[[#This Row],[Land]]-TblExplore[[#This Row],[Land Bonus]]*20))</f>
        <v>0</v>
      </c>
      <c r="AJ42" s="180">
        <f ca="1">MIN(25%,(TblConstr[[#This Row],[Tot Fac]]+TblConstr[[#This Row],[Dest Fac]])/TblConstr[[#This Row],[Land]])</f>
        <v>0</v>
      </c>
      <c r="AK42" s="94">
        <f ca="1">TblProd[[#This Row],[Platinum]]</f>
        <v>115155</v>
      </c>
      <c r="AL42" s="94">
        <f ca="1">TblProd[[#This Row],[Lumber]]</f>
        <v>41982</v>
      </c>
      <c r="AM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2" s="94">
        <f ca="1">ROUNDDOWN( MAX(1 - MIN(facs_constr_factor*TblConstr[[#This Row],[Facs -DB]],facs_constr_max) + tech_1_11*TblTech[[#This Row],[11-1]] + tech_6_3_2*TblTech[[#This Row],[6-3]] + tech_5_2_3*TblTech[[#This Row],[5-2]], 1-global_constr_cap) * TblConstr[[#This Row],[RCPA Lumber]],0)</f>
        <v>48</v>
      </c>
      <c r="AO4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2" s="94">
        <f ca="1">ROUNDDOWN( MAX(1 - MIN(facs_constr_factor*TblConstr[[#This Row],[Facs DB]],facs_constr_max) + tech_1_11*TblTech[[#This Row],[1-11]] + tech_6_3_2*TblTech[[#This Row],[6-3]] + tech_5_2_3*TblTech[[#This Row],[5-2]], 1-global_constr_cap) * ROUND((TblConstr[[#This Row],[Land]]-250)*0.285 + 87.5 + 0/4.25,0),0)</f>
        <v>48</v>
      </c>
      <c r="AQ42" s="45">
        <f ca="1">TblConstr[[#This Row],[build -db]]*TblConstr[[#This Row],[CPA Platinum -DB]] + TblConstr[[#This Row],[build db]]*TblConstr[[#This Row],[CPA Platinum DB]]</f>
        <v>0</v>
      </c>
      <c r="AR42" s="45">
        <f ca="1">TblConstr[[#This Row],[build -db]]*TblConstr[[#This Row],[CPA Lumber -DB]] + TblConstr[[#This Row],[build db]]*TblConstr[[#This Row],[CPA Lumber DB]]</f>
        <v>0</v>
      </c>
      <c r="AS42" s="94">
        <f ca="1">MIN(SUM(OFFSET(TblConstr[[#This Row],[Plain]:[Water]],-1,0))+SUM(TblConstr[[#This Row],[Dest Hom]:[Dest Doc]])+IF(TblConstr[[#This Row],[Hour]]&gt;12,SUM(OFFSET(TblExplore[[#This Row],[Plains Explore]:[Water Explore]],-12,0)),0),SUM(TblConstr[[#This Row],[Hom]:[Doc]]))</f>
        <v>0</v>
      </c>
      <c r="AT4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2" s="142"/>
      <c r="AV42" s="94">
        <f ca="1">ROUND((TblConstr[[#This Row],[Land]]-250 - IF(TblExplore[[#This Row],[Land Bonus]]&lt;&gt;0,20,0))*1.25 + 850 + 0,0)</f>
        <v>675</v>
      </c>
      <c r="AW42" s="94">
        <f ca="1">ROUND((TblConstr[[#This Row],[Land]]-250 - IF(TblExplore[[#This Row],[Land Bonus]]&lt;&gt;0,20,0))*0.285 + 87.5 + 0/4.25,0)</f>
        <v>48</v>
      </c>
      <c r="AX42" s="154"/>
      <c r="AY42" s="188" cm="1">
        <f t="array" aca="1" ref="AY42" ca="1">IF(TblConstr[[#This Row],[Hour]:[Hour]]&gt;12,OFFSET(TblConstr[[#This Row],[Hom]],-12,0),0)+OFFSET(TblConstr[[#This Row],[Tot Hom]],-1,0)-TblConstr[[#This Row],[Dest Hom]]</f>
        <v>0</v>
      </c>
      <c r="AZ42" s="189" cm="1">
        <f t="array" aca="1" ref="AZ42" ca="1">IF(TblConstr[[#This Row],[Hour]:[Hour]]&gt;12,OFFSET(TblConstr[[#This Row],[Alc]],-12,0),0)+OFFSET(TblConstr[[#This Row],[Tot Alc]],-1,0)-TblConstr[[#This Row],[Dest Alc]]</f>
        <v>0</v>
      </c>
      <c r="BA42" s="189" cm="1">
        <f t="array" aca="1" ref="BA42" ca="1">IF(TblConstr[[#This Row],[Hour]:[Hour]]&gt;12,OFFSET(TblConstr[[#This Row],[Far]],-12,0),0)+OFFSET(TblConstr[[#This Row],[Tot Farm]],-1,0)-TblConstr[[#This Row],[Dest Farm]]</f>
        <v>30</v>
      </c>
      <c r="BB42" s="189" cm="1">
        <f t="array" aca="1" ref="BB42" ca="1">IF(TblConstr[[#This Row],[Hour]:[Hour]]&gt;12,OFFSET(TblConstr[[#This Row],[Smi]],-12,0),0)+OFFSET(TblConstr[[#This Row],[Tot Smi]],-1,0)-TblConstr[[#This Row],[Dest Smi]]</f>
        <v>0</v>
      </c>
      <c r="BC42" s="189" cm="1">
        <f t="array" aca="1" ref="BC42" ca="1">IF(TblConstr[[#This Row],[Hour]:[Hour]]&gt;12,OFFSET(TblConstr[[#This Row],[Mas]],-12,0),0)+OFFSET(TblConstr[[#This Row],[Tot Mas]],-1,0)-TblConstr[[#This Row],[Dest Mas]]</f>
        <v>0</v>
      </c>
      <c r="BD42" s="190" cm="1">
        <f t="array" aca="1" ref="BD42" ca="1">IF(TblConstr[[#This Row],[Hour]:[Hour]]&gt;12,OFFSET(TblConstr[[#This Row],[Ly]],-12,0),0)+OFFSET(TblConstr[[#This Row],[Tot Ly]],-1,0)-TblConstr[[#This Row],[Dest Ly]]</f>
        <v>20</v>
      </c>
      <c r="BE42" s="190" cm="1">
        <f t="array" aca="1" ref="BE42" ca="1">IF(TblConstr[[#This Row],[Hour]:[Hour]]&gt;12,OFFSET(TblConstr[[#This Row],[Hav]],-12,0),0)+OFFSET(TblConstr[[#This Row],[Tot Hav]],-1,0)-TblConstr[[#This Row],[Dest Hav]]</f>
        <v>0</v>
      </c>
      <c r="BF42" s="361" cm="1">
        <f t="array" aca="1" ref="BF42" ca="1">IF(TblConstr[[#This Row],[Hour]:[Hour]]&gt;12,OFFSET(TblConstr[[#This Row],[OM]],-12,0),0)+OFFSET(TblConstr[[#This Row],[Tot OM]],-1,0)-TblConstr[[#This Row],[Dest OM]]</f>
        <v>0</v>
      </c>
      <c r="BG42" s="361" cm="1">
        <f t="array" aca="1" ref="BG42" ca="1">IF(TblConstr[[#This Row],[Hour]:[Hour]]&gt;12,OFFSET(TblConstr[[#This Row],[GN]],-12,0),0)+OFFSET(TblConstr[[#This Row],[Tot GN]],-1,0)-TblConstr[[#This Row],[Dest GN]]</f>
        <v>0</v>
      </c>
      <c r="BH42" s="365" cm="1">
        <f t="array" aca="1" ref="BH42" ca="1">IF(TblConstr[[#This Row],[Hour]:[Hour]]&gt;12,OFFSET(TblConstr[[#This Row],[Fac]],-12,0),0)+OFFSET(TblConstr[[#This Row],[Tot Fac]],-1,0)-TblConstr[[#This Row],[Dest Fac]]</f>
        <v>0</v>
      </c>
      <c r="BI42" s="365" cm="1">
        <f t="array" aca="1" ref="BI42" ca="1">IF(TblConstr[[#This Row],[Hour]:[Hour]]&gt;12,OFFSET(TblConstr[[#This Row],[GT]],-12,0),0)+OFFSET(TblConstr[[#This Row],[Tot GT]],-1,0)-TblConstr[[#This Row],[Dest GT]]</f>
        <v>0</v>
      </c>
      <c r="BJ42" s="365" cm="1">
        <f t="array" aca="1" ref="BJ42" ca="1">IF(TblConstr[[#This Row],[Hour]:[Hour]]&gt;12,OFFSET(TblConstr[[#This Row],[Bar]],-12,0),0)+OFFSET(TblConstr[[#This Row],[Tot Bar]],-1,0)-TblConstr[[#This Row],[Dest Bar]]</f>
        <v>0</v>
      </c>
      <c r="BK42" s="365" cm="1">
        <f t="array" aca="1" ref="BK42" ca="1">IF(TblConstr[[#This Row],[Hour]:[Hour]]&gt;12,OFFSET(TblConstr[[#This Row],[Shr]],-12,0),0)+OFFSET(TblConstr[[#This Row],[Tot Shr]],-1,0)-TblConstr[[#This Row],[Dest Shr]]</f>
        <v>0</v>
      </c>
      <c r="BL42" s="369" cm="1">
        <f t="array" aca="1" ref="BL42" ca="1">IF(TblConstr[[#This Row],[Hour]:[Hour]]&gt;12,OFFSET(TblConstr[[#This Row],[Tow]],-12,0),0)+OFFSET(TblConstr[[#This Row],[Tot Tow]],-1,0)-TblConstr[[#This Row],[Dest Tow]]</f>
        <v>0</v>
      </c>
      <c r="BM42" s="369" cm="1">
        <f t="array" aca="1" ref="BM42" ca="1">IF(TblConstr[[#This Row],[Hour]:[Hour]]&gt;12,OFFSET(TblConstr[[#This Row],[Tem]],-12,0),0)+OFFSET(TblConstr[[#This Row],[Tot Tem]],-1,0)-TblConstr[[#This Row],[Dest Tem]]</f>
        <v>0</v>
      </c>
      <c r="BN42" s="369" cm="1">
        <f t="array" aca="1" ref="BN42" ca="1">IF(TblConstr[[#This Row],[Hour]:[Hour]]&gt;12,OFFSET(TblConstr[[#This Row],[WG]],-12,0),0)+OFFSET(TblConstr[[#This Row],[Tot WG]],-1,0)-TblConstr[[#This Row],[Dest WG]]</f>
        <v>0</v>
      </c>
      <c r="BO42" s="191" cm="1">
        <f t="array" aca="1" ref="BO42" ca="1">IF(TblConstr[[#This Row],[Hour]:[Hour]]&gt;12,OFFSET(TblConstr[[#This Row],[DM]],-12,0),0)+OFFSET(TblConstr[[#This Row],[Tot DM]],-1,0)-TblConstr[[#This Row],[Dest DM]]</f>
        <v>0</v>
      </c>
      <c r="BP42" s="191" cm="1">
        <f t="array" aca="1" ref="BP42" ca="1">IF(TblConstr[[#This Row],[Hour]:[Hour]]&gt;12,OFFSET(TblConstr[[#This Row],[Sch]],-12,0),0)+OFFSET(TblConstr[[#This Row],[Tot Sch]],-1,0)-TblConstr[[#This Row],[Dest Sch]]</f>
        <v>0</v>
      </c>
      <c r="BQ42" s="192" cm="1">
        <f t="array" aca="1" ref="BQ42" ca="1">IF(TblConstr[[#This Row],[Hour]:[Hour]]&gt;12,OFFSET(TblConstr[[#This Row],[Doc]],-12,0),0)+OFFSET(TblConstr[[#This Row],[Tot Doc]],-1,0)-TblConstr[[#This Row],[Dest Doc]]</f>
        <v>0</v>
      </c>
      <c r="BR42" s="142"/>
      <c r="BS42" s="154"/>
      <c r="BT42" s="94">
        <f ca="1">TblConstr[[#This Row],[Land]]</f>
        <v>110</v>
      </c>
      <c r="BU42" s="159">
        <f ca="1">TblImps[[#This Row],[Time]]</f>
        <v>46048.583333333241</v>
      </c>
      <c r="BV42" s="142"/>
      <c r="BW42" s="179"/>
      <c r="BX42" s="158"/>
      <c r="BY42" s="179"/>
      <c r="BZ42" s="179"/>
      <c r="CA42" s="179"/>
      <c r="CB42" s="179"/>
      <c r="CC42" s="179"/>
      <c r="CD42" s="179"/>
      <c r="CE42" s="179"/>
      <c r="CF42" s="179"/>
      <c r="CG42" s="179"/>
      <c r="CH42" s="179"/>
      <c r="CI42" s="179"/>
      <c r="CJ42" s="179"/>
      <c r="CK42" s="179"/>
      <c r="CL42" s="179"/>
      <c r="CM42" s="179"/>
      <c r="CN42" s="179"/>
      <c r="CO42" s="179"/>
      <c r="CP42" s="142"/>
      <c r="CQ42" s="181">
        <f ca="1">-SUM(TblConstr[[#This Row],[Alc]:[Mas]])+SUM(TblConstr[[#This Row],[Dest Alc]:[Dest Mas]])+Rezone!L42+IF("Ch_"&amp; home_land=TblConstr[[#Headers],[Ch_Plain]],TblConstr[[#This Row],[Home Land]])+IF(TblConstr[[#This Row],[Hour]:[Hour]]&gt;12,OFFSET(TblExplore[[#This Row],[Plains Explore]],-12,0),0)</f>
        <v>0</v>
      </c>
      <c r="CR42" s="182">
        <f ca="1">-SUM(TblConstr[[#This Row],[Ly]:[Hav]])+SUM(TblConstr[[#This Row],[Dest Ly]:[Dest Hav]]) +Rezone!M42 + IF("Ch_"&amp; home_land=TblConstr[[#Headers],[Ch_Forest]],TblConstr[[#This Row],[Home Land]])+IF(TblConstr[[#This Row],[Hour]:[Hour]]&gt;12,OFFSET(TblExplore[[#This Row],[Forest Explore]],-12,0),0)</f>
        <v>0</v>
      </c>
      <c r="CS42" s="359">
        <f ca="1">-SUM(TblConstr[[#This Row],[OM]:[GN]])+SUM(TblConstr[[#This Row],[Dest OM]:[Dest GN]]) +Rezone!N42 + IF("Ch_"&amp; home_land=TblConstr[[#Headers],[Ch_Mountain]],TblConstr[[#This Row],[Home Land]])+IF(TblConstr[[#This Row],[Hour]:[Hour]]&gt;12,OFFSET(TblExplore[[#This Row],[Mountain Explore]],-12,0),0)</f>
        <v>0</v>
      </c>
      <c r="CT42" s="183">
        <f ca="1">-SUM(TblConstr[[#This Row],[Fac]:[Shr]])+SUM(TblConstr[[#This Row],[Dest Fac]:[Dest Shr]]) +Rezone!O42 + IF("Ch_" &amp; home_land=TblConstr[[#Headers],[Ch_Hill]],TblConstr[[#This Row],[Home Land]])+IF(TblConstr[[#This Row],[Hour]:[Hour]]&gt;12,OFFSET(TblExplore[[#This Row],[Hill Explore]],-12,0),0)</f>
        <v>0</v>
      </c>
      <c r="CU42" s="184">
        <f ca="1">-SUM(TblConstr[[#This Row],[Tow]:[WG]])+SUM(TblConstr[[#This Row],[Dest Tow]:[Dest WG]]) +Rezone!P42 + IF("Ch_" &amp; home_land=TblConstr[[#Headers],[Ch_Swamp]],TblConstr[[#This Row],[Home Land]])+IF(TblConstr[[#This Row],[Hour]:[Hour]]&gt;12,OFFSET(TblExplore[[#This Row],[Swamp Explore]],-12,0),0)</f>
        <v>0</v>
      </c>
      <c r="CV42" s="185">
        <f ca="1" xml:space="preserve"> - SUM(TblConstr[[#This Row],[DM]:[Sch]])+SUM(TblConstr[[#This Row],[Dest DM]:[Dest Sch]]) +Rezone!Q42 + IF("Ch_" &amp; home_land=TblConstr[[#Headers],[Ch_Cavern]],TblConstr[[#This Row],[Home Land]])+IF(TblConstr[[#This Row],[Hour]:[Hour]]&gt;12,OFFSET(TblExplore[[#This Row],[Cavern Explore]],-12,0),0)</f>
        <v>0</v>
      </c>
      <c r="CW42" s="186">
        <f ca="1">-TblConstr[[#This Row],[Doc]]+TblConstr[[#This Row],[Dest Doc]] +Rezone!R42 + IF("Ch_" &amp; home_land=TblConstr[[#Headers],[Ch_Water]],TblConstr[[#This Row],[Home Land]])+IF(TblConstr[[#This Row],[Hour]:[Hour]]&gt;12,OFFSET(TblExplore[[#This Row],[Water Explore]],-12,0),0)</f>
        <v>0</v>
      </c>
      <c r="CX42" s="45">
        <f>IF(Explore!S42=1,20) - TblConstr[[#This Row],[Hom]] + TblConstr[[#This Row],[Dest Hom]]</f>
        <v>0</v>
      </c>
      <c r="CY42" s="142"/>
      <c r="CZ42" s="94">
        <f t="shared" ca="1" si="3"/>
        <v>90</v>
      </c>
      <c r="DA42" s="94">
        <f t="shared" ca="1" si="4"/>
        <v>20</v>
      </c>
      <c r="DB42" s="45">
        <f t="shared" ca="1" si="5"/>
        <v>0</v>
      </c>
      <c r="DC42" s="94">
        <f t="shared" ca="1" si="6"/>
        <v>0</v>
      </c>
      <c r="DD42" s="94">
        <f t="shared" ca="1" si="7"/>
        <v>0</v>
      </c>
      <c r="DE42" s="45">
        <f t="shared" ca="1" si="8"/>
        <v>0</v>
      </c>
      <c r="DF42" s="94">
        <f t="shared" ca="1" si="9"/>
        <v>0</v>
      </c>
      <c r="DG42" s="94" cm="1">
        <f t="array" aca="1" ref="DG42" ca="1">INDEX(TblConstr[[Total Plain]:[Total Water]],ROW()-ROW(TblConstr[#Headers]),MATCH("Total "&amp;home_land,TblConstr[[#Headers],[Total Plain]:[Total Water]],0))+TblConstr[[#This Row],[Homes]]</f>
        <v>90</v>
      </c>
      <c r="DH42" s="45">
        <f t="shared" ca="1" si="10"/>
        <v>0</v>
      </c>
      <c r="DI42" s="45">
        <f t="shared" ca="1" si="0"/>
        <v>0</v>
      </c>
      <c r="DJ42" s="45">
        <f t="shared" ca="1" si="1"/>
        <v>0</v>
      </c>
    </row>
    <row r="43" spans="1:114" x14ac:dyDescent="0.2">
      <c r="A43" s="175">
        <f>TblRezone[[#This Row],[Hour]]</f>
        <v>40</v>
      </c>
      <c r="B43" s="176">
        <f ca="1">SUM(TblConstr[[#This Row],[Plain]:[Water]])</f>
        <v>60</v>
      </c>
      <c r="C43" s="177">
        <f ca="1">SUM(TblConstr[[#This Row],[Tot Hom]:[Tot Doc]])</f>
        <v>50</v>
      </c>
      <c r="D43" s="177">
        <f t="shared" si="2"/>
        <v>0</v>
      </c>
      <c r="E43" s="178"/>
      <c r="F43" s="61">
        <f ca="1">TblConstr[[#This Row],[Barren]]+TblConstr[[#This Row],[Buildings]]+TblConstr[[#This Row],[Incoming]]</f>
        <v>110</v>
      </c>
      <c r="G43" s="187">
        <f ca="1">OFFSET(TblConstr[[#This Row],[Plain]],-1,0)+TblConstr[[#This Row],[Ch_Plain]]</f>
        <v>60</v>
      </c>
      <c r="H43" s="182">
        <f ca="1">OFFSET(TblConstr[[#This Row],[Forest]],-1,0)+TblConstr[[#This Row],[Ch_Forest]]</f>
        <v>0</v>
      </c>
      <c r="I43" s="359">
        <f ca="1">OFFSET(TblConstr[[#This Row],[Mountain]],-1,0)+TblConstr[[#This Row],[Ch_Mountain]]</f>
        <v>0</v>
      </c>
      <c r="J43" s="363">
        <f ca="1">OFFSET(TblConstr[[#This Row],[Hill]],-1,0)+TblConstr[[#This Row],[Ch_Hill]]</f>
        <v>0</v>
      </c>
      <c r="K43" s="367">
        <f ca="1">OFFSET(TblConstr[[#This Row],[Swamp]],-1,0)+TblConstr[[#This Row],[Ch_Swamp]]</f>
        <v>0</v>
      </c>
      <c r="L43" s="185">
        <f ca="1">OFFSET(TblConstr[[#This Row],[Cavern]],-1,0)+TblConstr[[#This Row],[Ch_Cavern]]</f>
        <v>0</v>
      </c>
      <c r="M43" s="186">
        <f ca="1">OFFSET(TblConstr[[#This Row],[Water]],-1,0)+TblConstr[[#This Row],[Ch_Water]]</f>
        <v>0</v>
      </c>
      <c r="N43" s="357">
        <f>TblRezone[[#This Row],[Hour]]</f>
        <v>40</v>
      </c>
      <c r="O43" s="179"/>
      <c r="P43" s="179"/>
      <c r="Q43" s="179"/>
      <c r="R43" s="158"/>
      <c r="S43" s="179"/>
      <c r="T43" s="179"/>
      <c r="U43" s="179"/>
      <c r="V43" s="179"/>
      <c r="W43" s="179"/>
      <c r="X43" s="179"/>
      <c r="Y43" s="179"/>
      <c r="Z43" s="179"/>
      <c r="AA43" s="179"/>
      <c r="AB43" s="179"/>
      <c r="AC43" s="179"/>
      <c r="AD43" s="179"/>
      <c r="AE43" s="179"/>
      <c r="AF43" s="179"/>
      <c r="AG43" s="179"/>
      <c r="AH43" s="53">
        <f ca="1">TblImps[[#This Row],[Time]]</f>
        <v>46048.624999999905</v>
      </c>
      <c r="AI43" s="180">
        <f ca="1">MIN(25%,(TblConstr[[#This Row],[Tot Fac]]+TblConstr[[#This Row],[Dest Fac]])/(TblConstr[[#This Row],[Land]]-TblExplore[[#This Row],[Land Bonus]]*20))</f>
        <v>0</v>
      </c>
      <c r="AJ43" s="180">
        <f ca="1">MIN(25%,(TblConstr[[#This Row],[Tot Fac]]+TblConstr[[#This Row],[Dest Fac]])/TblConstr[[#This Row],[Land]])</f>
        <v>0</v>
      </c>
      <c r="AK43" s="94">
        <f ca="1">TblProd[[#This Row],[Platinum]]</f>
        <v>117004</v>
      </c>
      <c r="AL43" s="94">
        <f ca="1">TblProd[[#This Row],[Lumber]]</f>
        <v>42562</v>
      </c>
      <c r="AM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3" s="94">
        <f ca="1">ROUNDDOWN( MAX(1 - MIN(facs_constr_factor*TblConstr[[#This Row],[Facs -DB]],facs_constr_max) + tech_1_11*TblTech[[#This Row],[11-1]] + tech_6_3_2*TblTech[[#This Row],[6-3]] + tech_5_2_3*TblTech[[#This Row],[5-2]], 1-global_constr_cap) * TblConstr[[#This Row],[RCPA Lumber]],0)</f>
        <v>48</v>
      </c>
      <c r="AO4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3" s="94">
        <f ca="1">ROUNDDOWN( MAX(1 - MIN(facs_constr_factor*TblConstr[[#This Row],[Facs DB]],facs_constr_max) + tech_1_11*TblTech[[#This Row],[1-11]] + tech_6_3_2*TblTech[[#This Row],[6-3]] + tech_5_2_3*TblTech[[#This Row],[5-2]], 1-global_constr_cap) * ROUND((TblConstr[[#This Row],[Land]]-250)*0.285 + 87.5 + 0/4.25,0),0)</f>
        <v>48</v>
      </c>
      <c r="AQ43" s="45">
        <f ca="1">TblConstr[[#This Row],[build -db]]*TblConstr[[#This Row],[CPA Platinum -DB]] + TblConstr[[#This Row],[build db]]*TblConstr[[#This Row],[CPA Platinum DB]]</f>
        <v>0</v>
      </c>
      <c r="AR43" s="45">
        <f ca="1">TblConstr[[#This Row],[build -db]]*TblConstr[[#This Row],[CPA Lumber -DB]] + TblConstr[[#This Row],[build db]]*TblConstr[[#This Row],[CPA Lumber DB]]</f>
        <v>0</v>
      </c>
      <c r="AS43" s="94">
        <f ca="1">MIN(SUM(OFFSET(TblConstr[[#This Row],[Plain]:[Water]],-1,0))+SUM(TblConstr[[#This Row],[Dest Hom]:[Dest Doc]])+IF(TblConstr[[#This Row],[Hour]]&gt;12,SUM(OFFSET(TblExplore[[#This Row],[Plains Explore]:[Water Explore]],-12,0)),0),SUM(TblConstr[[#This Row],[Hom]:[Doc]]))</f>
        <v>0</v>
      </c>
      <c r="AT4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3" s="142"/>
      <c r="AV43" s="94">
        <f ca="1">ROUND((TblConstr[[#This Row],[Land]]-250 - IF(TblExplore[[#This Row],[Land Bonus]]&lt;&gt;0,20,0))*1.25 + 850 + 0,0)</f>
        <v>675</v>
      </c>
      <c r="AW43" s="94">
        <f ca="1">ROUND((TblConstr[[#This Row],[Land]]-250 - IF(TblExplore[[#This Row],[Land Bonus]]&lt;&gt;0,20,0))*0.285 + 87.5 + 0/4.25,0)</f>
        <v>48</v>
      </c>
      <c r="AX43" s="154"/>
      <c r="AY43" s="188" cm="1">
        <f t="array" aca="1" ref="AY43" ca="1">IF(TblConstr[[#This Row],[Hour]:[Hour]]&gt;12,OFFSET(TblConstr[[#This Row],[Hom]],-12,0),0)+OFFSET(TblConstr[[#This Row],[Tot Hom]],-1,0)-TblConstr[[#This Row],[Dest Hom]]</f>
        <v>0</v>
      </c>
      <c r="AZ43" s="189" cm="1">
        <f t="array" aca="1" ref="AZ43" ca="1">IF(TblConstr[[#This Row],[Hour]:[Hour]]&gt;12,OFFSET(TblConstr[[#This Row],[Alc]],-12,0),0)+OFFSET(TblConstr[[#This Row],[Tot Alc]],-1,0)-TblConstr[[#This Row],[Dest Alc]]</f>
        <v>0</v>
      </c>
      <c r="BA43" s="189" cm="1">
        <f t="array" aca="1" ref="BA43" ca="1">IF(TblConstr[[#This Row],[Hour]:[Hour]]&gt;12,OFFSET(TblConstr[[#This Row],[Far]],-12,0),0)+OFFSET(TblConstr[[#This Row],[Tot Farm]],-1,0)-TblConstr[[#This Row],[Dest Farm]]</f>
        <v>30</v>
      </c>
      <c r="BB43" s="189" cm="1">
        <f t="array" aca="1" ref="BB43" ca="1">IF(TblConstr[[#This Row],[Hour]:[Hour]]&gt;12,OFFSET(TblConstr[[#This Row],[Smi]],-12,0),0)+OFFSET(TblConstr[[#This Row],[Tot Smi]],-1,0)-TblConstr[[#This Row],[Dest Smi]]</f>
        <v>0</v>
      </c>
      <c r="BC43" s="189" cm="1">
        <f t="array" aca="1" ref="BC43" ca="1">IF(TblConstr[[#This Row],[Hour]:[Hour]]&gt;12,OFFSET(TblConstr[[#This Row],[Mas]],-12,0),0)+OFFSET(TblConstr[[#This Row],[Tot Mas]],-1,0)-TblConstr[[#This Row],[Dest Mas]]</f>
        <v>0</v>
      </c>
      <c r="BD43" s="190" cm="1">
        <f t="array" aca="1" ref="BD43" ca="1">IF(TblConstr[[#This Row],[Hour]:[Hour]]&gt;12,OFFSET(TblConstr[[#This Row],[Ly]],-12,0),0)+OFFSET(TblConstr[[#This Row],[Tot Ly]],-1,0)-TblConstr[[#This Row],[Dest Ly]]</f>
        <v>20</v>
      </c>
      <c r="BE43" s="190" cm="1">
        <f t="array" aca="1" ref="BE43" ca="1">IF(TblConstr[[#This Row],[Hour]:[Hour]]&gt;12,OFFSET(TblConstr[[#This Row],[Hav]],-12,0),0)+OFFSET(TblConstr[[#This Row],[Tot Hav]],-1,0)-TblConstr[[#This Row],[Dest Hav]]</f>
        <v>0</v>
      </c>
      <c r="BF43" s="361" cm="1">
        <f t="array" aca="1" ref="BF43" ca="1">IF(TblConstr[[#This Row],[Hour]:[Hour]]&gt;12,OFFSET(TblConstr[[#This Row],[OM]],-12,0),0)+OFFSET(TblConstr[[#This Row],[Tot OM]],-1,0)-TblConstr[[#This Row],[Dest OM]]</f>
        <v>0</v>
      </c>
      <c r="BG43" s="361" cm="1">
        <f t="array" aca="1" ref="BG43" ca="1">IF(TblConstr[[#This Row],[Hour]:[Hour]]&gt;12,OFFSET(TblConstr[[#This Row],[GN]],-12,0),0)+OFFSET(TblConstr[[#This Row],[Tot GN]],-1,0)-TblConstr[[#This Row],[Dest GN]]</f>
        <v>0</v>
      </c>
      <c r="BH43" s="365" cm="1">
        <f t="array" aca="1" ref="BH43" ca="1">IF(TblConstr[[#This Row],[Hour]:[Hour]]&gt;12,OFFSET(TblConstr[[#This Row],[Fac]],-12,0),0)+OFFSET(TblConstr[[#This Row],[Tot Fac]],-1,0)-TblConstr[[#This Row],[Dest Fac]]</f>
        <v>0</v>
      </c>
      <c r="BI43" s="365" cm="1">
        <f t="array" aca="1" ref="BI43" ca="1">IF(TblConstr[[#This Row],[Hour]:[Hour]]&gt;12,OFFSET(TblConstr[[#This Row],[GT]],-12,0),0)+OFFSET(TblConstr[[#This Row],[Tot GT]],-1,0)-TblConstr[[#This Row],[Dest GT]]</f>
        <v>0</v>
      </c>
      <c r="BJ43" s="365" cm="1">
        <f t="array" aca="1" ref="BJ43" ca="1">IF(TblConstr[[#This Row],[Hour]:[Hour]]&gt;12,OFFSET(TblConstr[[#This Row],[Bar]],-12,0),0)+OFFSET(TblConstr[[#This Row],[Tot Bar]],-1,0)-TblConstr[[#This Row],[Dest Bar]]</f>
        <v>0</v>
      </c>
      <c r="BK43" s="365" cm="1">
        <f t="array" aca="1" ref="BK43" ca="1">IF(TblConstr[[#This Row],[Hour]:[Hour]]&gt;12,OFFSET(TblConstr[[#This Row],[Shr]],-12,0),0)+OFFSET(TblConstr[[#This Row],[Tot Shr]],-1,0)-TblConstr[[#This Row],[Dest Shr]]</f>
        <v>0</v>
      </c>
      <c r="BL43" s="369" cm="1">
        <f t="array" aca="1" ref="BL43" ca="1">IF(TblConstr[[#This Row],[Hour]:[Hour]]&gt;12,OFFSET(TblConstr[[#This Row],[Tow]],-12,0),0)+OFFSET(TblConstr[[#This Row],[Tot Tow]],-1,0)-TblConstr[[#This Row],[Dest Tow]]</f>
        <v>0</v>
      </c>
      <c r="BM43" s="369" cm="1">
        <f t="array" aca="1" ref="BM43" ca="1">IF(TblConstr[[#This Row],[Hour]:[Hour]]&gt;12,OFFSET(TblConstr[[#This Row],[Tem]],-12,0),0)+OFFSET(TblConstr[[#This Row],[Tot Tem]],-1,0)-TblConstr[[#This Row],[Dest Tem]]</f>
        <v>0</v>
      </c>
      <c r="BN43" s="369" cm="1">
        <f t="array" aca="1" ref="BN43" ca="1">IF(TblConstr[[#This Row],[Hour]:[Hour]]&gt;12,OFFSET(TblConstr[[#This Row],[WG]],-12,0),0)+OFFSET(TblConstr[[#This Row],[Tot WG]],-1,0)-TblConstr[[#This Row],[Dest WG]]</f>
        <v>0</v>
      </c>
      <c r="BO43" s="191" cm="1">
        <f t="array" aca="1" ref="BO43" ca="1">IF(TblConstr[[#This Row],[Hour]:[Hour]]&gt;12,OFFSET(TblConstr[[#This Row],[DM]],-12,0),0)+OFFSET(TblConstr[[#This Row],[Tot DM]],-1,0)-TblConstr[[#This Row],[Dest DM]]</f>
        <v>0</v>
      </c>
      <c r="BP43" s="191" cm="1">
        <f t="array" aca="1" ref="BP43" ca="1">IF(TblConstr[[#This Row],[Hour]:[Hour]]&gt;12,OFFSET(TblConstr[[#This Row],[Sch]],-12,0),0)+OFFSET(TblConstr[[#This Row],[Tot Sch]],-1,0)-TblConstr[[#This Row],[Dest Sch]]</f>
        <v>0</v>
      </c>
      <c r="BQ43" s="192" cm="1">
        <f t="array" aca="1" ref="BQ43" ca="1">IF(TblConstr[[#This Row],[Hour]:[Hour]]&gt;12,OFFSET(TblConstr[[#This Row],[Doc]],-12,0),0)+OFFSET(TblConstr[[#This Row],[Tot Doc]],-1,0)-TblConstr[[#This Row],[Dest Doc]]</f>
        <v>0</v>
      </c>
      <c r="BR43" s="142"/>
      <c r="BS43" s="154"/>
      <c r="BT43" s="94">
        <f ca="1">TblConstr[[#This Row],[Land]]</f>
        <v>110</v>
      </c>
      <c r="BU43" s="159">
        <f ca="1">TblImps[[#This Row],[Time]]</f>
        <v>46048.624999999905</v>
      </c>
      <c r="BV43" s="142"/>
      <c r="BW43" s="179"/>
      <c r="BX43" s="179"/>
      <c r="BY43" s="179"/>
      <c r="BZ43" s="179"/>
      <c r="CA43" s="179"/>
      <c r="CB43" s="179"/>
      <c r="CC43" s="179"/>
      <c r="CD43" s="179"/>
      <c r="CE43" s="179"/>
      <c r="CF43" s="179"/>
      <c r="CG43" s="179"/>
      <c r="CH43" s="179"/>
      <c r="CI43" s="179"/>
      <c r="CJ43" s="179"/>
      <c r="CK43" s="179"/>
      <c r="CL43" s="179"/>
      <c r="CM43" s="179"/>
      <c r="CN43" s="179"/>
      <c r="CO43" s="179"/>
      <c r="CP43" s="142"/>
      <c r="CQ43" s="181">
        <f ca="1">-SUM(TblConstr[[#This Row],[Alc]:[Mas]])+SUM(TblConstr[[#This Row],[Dest Alc]:[Dest Mas]])+Rezone!L43+IF("Ch_"&amp; home_land=TblConstr[[#Headers],[Ch_Plain]],TblConstr[[#This Row],[Home Land]])+IF(TblConstr[[#This Row],[Hour]:[Hour]]&gt;12,OFFSET(TblExplore[[#This Row],[Plains Explore]],-12,0),0)</f>
        <v>0</v>
      </c>
      <c r="CR43" s="182">
        <f ca="1">-SUM(TblConstr[[#This Row],[Ly]:[Hav]])+SUM(TblConstr[[#This Row],[Dest Ly]:[Dest Hav]]) +Rezone!M43 + IF("Ch_"&amp; home_land=TblConstr[[#Headers],[Ch_Forest]],TblConstr[[#This Row],[Home Land]])+IF(TblConstr[[#This Row],[Hour]:[Hour]]&gt;12,OFFSET(TblExplore[[#This Row],[Forest Explore]],-12,0),0)</f>
        <v>0</v>
      </c>
      <c r="CS43" s="359">
        <f ca="1">-SUM(TblConstr[[#This Row],[OM]:[GN]])+SUM(TblConstr[[#This Row],[Dest OM]:[Dest GN]]) +Rezone!N43 + IF("Ch_"&amp; home_land=TblConstr[[#Headers],[Ch_Mountain]],TblConstr[[#This Row],[Home Land]])+IF(TblConstr[[#This Row],[Hour]:[Hour]]&gt;12,OFFSET(TblExplore[[#This Row],[Mountain Explore]],-12,0),0)</f>
        <v>0</v>
      </c>
      <c r="CT43" s="183">
        <f ca="1">-SUM(TblConstr[[#This Row],[Fac]:[Shr]])+SUM(TblConstr[[#This Row],[Dest Fac]:[Dest Shr]]) +Rezone!O43 + IF("Ch_" &amp; home_land=TblConstr[[#Headers],[Ch_Hill]],TblConstr[[#This Row],[Home Land]])+IF(TblConstr[[#This Row],[Hour]:[Hour]]&gt;12,OFFSET(TblExplore[[#This Row],[Hill Explore]],-12,0),0)</f>
        <v>0</v>
      </c>
      <c r="CU43" s="184">
        <f ca="1">-SUM(TblConstr[[#This Row],[Tow]:[WG]])+SUM(TblConstr[[#This Row],[Dest Tow]:[Dest WG]]) +Rezone!P43 + IF("Ch_" &amp; home_land=TblConstr[[#Headers],[Ch_Swamp]],TblConstr[[#This Row],[Home Land]])+IF(TblConstr[[#This Row],[Hour]:[Hour]]&gt;12,OFFSET(TblExplore[[#This Row],[Swamp Explore]],-12,0),0)</f>
        <v>0</v>
      </c>
      <c r="CV43" s="185">
        <f ca="1" xml:space="preserve"> - SUM(TblConstr[[#This Row],[DM]:[Sch]])+SUM(TblConstr[[#This Row],[Dest DM]:[Dest Sch]]) +Rezone!Q43 + IF("Ch_" &amp; home_land=TblConstr[[#Headers],[Ch_Cavern]],TblConstr[[#This Row],[Home Land]])+IF(TblConstr[[#This Row],[Hour]:[Hour]]&gt;12,OFFSET(TblExplore[[#This Row],[Cavern Explore]],-12,0),0)</f>
        <v>0</v>
      </c>
      <c r="CW43" s="186">
        <f ca="1">-TblConstr[[#This Row],[Doc]]+TblConstr[[#This Row],[Dest Doc]] +Rezone!R43 + IF("Ch_" &amp; home_land=TblConstr[[#Headers],[Ch_Water]],TblConstr[[#This Row],[Home Land]])+IF(TblConstr[[#This Row],[Hour]:[Hour]]&gt;12,OFFSET(TblExplore[[#This Row],[Water Explore]],-12,0),0)</f>
        <v>0</v>
      </c>
      <c r="CX43" s="45">
        <f>IF(Explore!S43=1,20) - TblConstr[[#This Row],[Hom]] + TblConstr[[#This Row],[Dest Hom]]</f>
        <v>0</v>
      </c>
      <c r="CY43" s="142"/>
      <c r="CZ43" s="94">
        <f t="shared" ca="1" si="3"/>
        <v>90</v>
      </c>
      <c r="DA43" s="94">
        <f t="shared" ca="1" si="4"/>
        <v>20</v>
      </c>
      <c r="DB43" s="45">
        <f t="shared" ca="1" si="5"/>
        <v>0</v>
      </c>
      <c r="DC43" s="94">
        <f t="shared" ca="1" si="6"/>
        <v>0</v>
      </c>
      <c r="DD43" s="94">
        <f t="shared" ca="1" si="7"/>
        <v>0</v>
      </c>
      <c r="DE43" s="45">
        <f t="shared" ca="1" si="8"/>
        <v>0</v>
      </c>
      <c r="DF43" s="94">
        <f t="shared" ca="1" si="9"/>
        <v>0</v>
      </c>
      <c r="DG43" s="94" cm="1">
        <f t="array" aca="1" ref="DG43" ca="1">INDEX(TblConstr[[Total Plain]:[Total Water]],ROW()-ROW(TblConstr[#Headers]),MATCH("Total "&amp;home_land,TblConstr[[#Headers],[Total Plain]:[Total Water]],0))+TblConstr[[#This Row],[Homes]]</f>
        <v>90</v>
      </c>
      <c r="DH43" s="45">
        <f t="shared" ca="1" si="10"/>
        <v>0</v>
      </c>
      <c r="DI43" s="45">
        <f t="shared" ca="1" si="0"/>
        <v>0</v>
      </c>
      <c r="DJ43" s="45">
        <f t="shared" ca="1" si="1"/>
        <v>0</v>
      </c>
    </row>
    <row r="44" spans="1:114" x14ac:dyDescent="0.2">
      <c r="A44" s="175">
        <f>TblRezone[[#This Row],[Hour]]</f>
        <v>41</v>
      </c>
      <c r="B44" s="176">
        <f ca="1">SUM(TblConstr[[#This Row],[Plain]:[Water]])</f>
        <v>60</v>
      </c>
      <c r="C44" s="177">
        <f ca="1">SUM(TblConstr[[#This Row],[Tot Hom]:[Tot Doc]])</f>
        <v>50</v>
      </c>
      <c r="D44" s="177">
        <f t="shared" si="2"/>
        <v>0</v>
      </c>
      <c r="E44" s="178"/>
      <c r="F44" s="61">
        <f ca="1">TblConstr[[#This Row],[Barren]]+TblConstr[[#This Row],[Buildings]]+TblConstr[[#This Row],[Incoming]]</f>
        <v>110</v>
      </c>
      <c r="G44" s="187">
        <f ca="1">OFFSET(TblConstr[[#This Row],[Plain]],-1,0)+TblConstr[[#This Row],[Ch_Plain]]</f>
        <v>60</v>
      </c>
      <c r="H44" s="182">
        <f ca="1">OFFSET(TblConstr[[#This Row],[Forest]],-1,0)+TblConstr[[#This Row],[Ch_Forest]]</f>
        <v>0</v>
      </c>
      <c r="I44" s="359">
        <f ca="1">OFFSET(TblConstr[[#This Row],[Mountain]],-1,0)+TblConstr[[#This Row],[Ch_Mountain]]</f>
        <v>0</v>
      </c>
      <c r="J44" s="363">
        <f ca="1">OFFSET(TblConstr[[#This Row],[Hill]],-1,0)+TblConstr[[#This Row],[Ch_Hill]]</f>
        <v>0</v>
      </c>
      <c r="K44" s="367">
        <f ca="1">OFFSET(TblConstr[[#This Row],[Swamp]],-1,0)+TblConstr[[#This Row],[Ch_Swamp]]</f>
        <v>0</v>
      </c>
      <c r="L44" s="185">
        <f ca="1">OFFSET(TblConstr[[#This Row],[Cavern]],-1,0)+TblConstr[[#This Row],[Ch_Cavern]]</f>
        <v>0</v>
      </c>
      <c r="M44" s="186">
        <f ca="1">OFFSET(TblConstr[[#This Row],[Water]],-1,0)+TblConstr[[#This Row],[Ch_Water]]</f>
        <v>0</v>
      </c>
      <c r="N44" s="357">
        <f>TblRezone[[#This Row],[Hour]]</f>
        <v>41</v>
      </c>
      <c r="O44" s="179"/>
      <c r="P44" s="179"/>
      <c r="Q44" s="179"/>
      <c r="R44" s="158"/>
      <c r="S44" s="179"/>
      <c r="T44" s="179"/>
      <c r="U44" s="179"/>
      <c r="V44" s="179"/>
      <c r="W44" s="179"/>
      <c r="X44" s="179"/>
      <c r="Y44" s="179"/>
      <c r="Z44" s="179"/>
      <c r="AA44" s="179"/>
      <c r="AB44" s="179"/>
      <c r="AC44" s="179"/>
      <c r="AD44" s="179"/>
      <c r="AE44" s="179"/>
      <c r="AF44" s="179"/>
      <c r="AG44" s="179"/>
      <c r="AH44" s="53">
        <f ca="1">TblImps[[#This Row],[Time]]</f>
        <v>46048.66666666657</v>
      </c>
      <c r="AI44" s="180">
        <f ca="1">MIN(25%,(TblConstr[[#This Row],[Tot Fac]]+TblConstr[[#This Row],[Dest Fac]])/(TblConstr[[#This Row],[Land]]-TblExplore[[#This Row],[Land Bonus]]*20))</f>
        <v>0</v>
      </c>
      <c r="AJ44" s="180">
        <f ca="1">MIN(25%,(TblConstr[[#This Row],[Tot Fac]]+TblConstr[[#This Row],[Dest Fac]])/TblConstr[[#This Row],[Land]])</f>
        <v>0</v>
      </c>
      <c r="AK44" s="94">
        <f ca="1">TblProd[[#This Row],[Platinum]]</f>
        <v>118834</v>
      </c>
      <c r="AL44" s="94">
        <f ca="1">TblProd[[#This Row],[Lumber]]</f>
        <v>43136</v>
      </c>
      <c r="AM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4" s="94">
        <f ca="1">ROUNDDOWN( MAX(1 - MIN(facs_constr_factor*TblConstr[[#This Row],[Facs -DB]],facs_constr_max) + tech_1_11*TblTech[[#This Row],[11-1]] + tech_6_3_2*TblTech[[#This Row],[6-3]] + tech_5_2_3*TblTech[[#This Row],[5-2]], 1-global_constr_cap) * TblConstr[[#This Row],[RCPA Lumber]],0)</f>
        <v>48</v>
      </c>
      <c r="AO4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4" s="94">
        <f ca="1">ROUNDDOWN( MAX(1 - MIN(facs_constr_factor*TblConstr[[#This Row],[Facs DB]],facs_constr_max) + tech_1_11*TblTech[[#This Row],[1-11]] + tech_6_3_2*TblTech[[#This Row],[6-3]] + tech_5_2_3*TblTech[[#This Row],[5-2]], 1-global_constr_cap) * ROUND((TblConstr[[#This Row],[Land]]-250)*0.285 + 87.5 + 0/4.25,0),0)</f>
        <v>48</v>
      </c>
      <c r="AQ44" s="45">
        <f ca="1">TblConstr[[#This Row],[build -db]]*TblConstr[[#This Row],[CPA Platinum -DB]] + TblConstr[[#This Row],[build db]]*TblConstr[[#This Row],[CPA Platinum DB]]</f>
        <v>0</v>
      </c>
      <c r="AR44" s="45">
        <f ca="1">TblConstr[[#This Row],[build -db]]*TblConstr[[#This Row],[CPA Lumber -DB]] + TblConstr[[#This Row],[build db]]*TblConstr[[#This Row],[CPA Lumber DB]]</f>
        <v>0</v>
      </c>
      <c r="AS44" s="94">
        <f ca="1">MIN(SUM(OFFSET(TblConstr[[#This Row],[Plain]:[Water]],-1,0))+SUM(TblConstr[[#This Row],[Dest Hom]:[Dest Doc]])+IF(TblConstr[[#This Row],[Hour]]&gt;12,SUM(OFFSET(TblExplore[[#This Row],[Plains Explore]:[Water Explore]],-12,0)),0),SUM(TblConstr[[#This Row],[Hom]:[Doc]]))</f>
        <v>0</v>
      </c>
      <c r="AT4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4" s="142"/>
      <c r="AV44" s="94">
        <f ca="1">ROUND((TblConstr[[#This Row],[Land]]-250 - IF(TblExplore[[#This Row],[Land Bonus]]&lt;&gt;0,20,0))*1.25 + 850 + 0,0)</f>
        <v>675</v>
      </c>
      <c r="AW44" s="94">
        <f ca="1">ROUND((TblConstr[[#This Row],[Land]]-250 - IF(TblExplore[[#This Row],[Land Bonus]]&lt;&gt;0,20,0))*0.285 + 87.5 + 0/4.25,0)</f>
        <v>48</v>
      </c>
      <c r="AX44" s="154"/>
      <c r="AY44" s="188" cm="1">
        <f t="array" aca="1" ref="AY44" ca="1">IF(TblConstr[[#This Row],[Hour]:[Hour]]&gt;12,OFFSET(TblConstr[[#This Row],[Hom]],-12,0),0)+OFFSET(TblConstr[[#This Row],[Tot Hom]],-1,0)-TblConstr[[#This Row],[Dest Hom]]</f>
        <v>0</v>
      </c>
      <c r="AZ44" s="189" cm="1">
        <f t="array" aca="1" ref="AZ44" ca="1">IF(TblConstr[[#This Row],[Hour]:[Hour]]&gt;12,OFFSET(TblConstr[[#This Row],[Alc]],-12,0),0)+OFFSET(TblConstr[[#This Row],[Tot Alc]],-1,0)-TblConstr[[#This Row],[Dest Alc]]</f>
        <v>0</v>
      </c>
      <c r="BA44" s="189" cm="1">
        <f t="array" aca="1" ref="BA44" ca="1">IF(TblConstr[[#This Row],[Hour]:[Hour]]&gt;12,OFFSET(TblConstr[[#This Row],[Far]],-12,0),0)+OFFSET(TblConstr[[#This Row],[Tot Farm]],-1,0)-TblConstr[[#This Row],[Dest Farm]]</f>
        <v>30</v>
      </c>
      <c r="BB44" s="189" cm="1">
        <f t="array" aca="1" ref="BB44" ca="1">IF(TblConstr[[#This Row],[Hour]:[Hour]]&gt;12,OFFSET(TblConstr[[#This Row],[Smi]],-12,0),0)+OFFSET(TblConstr[[#This Row],[Tot Smi]],-1,0)-TblConstr[[#This Row],[Dest Smi]]</f>
        <v>0</v>
      </c>
      <c r="BC44" s="189" cm="1">
        <f t="array" aca="1" ref="BC44" ca="1">IF(TblConstr[[#This Row],[Hour]:[Hour]]&gt;12,OFFSET(TblConstr[[#This Row],[Mas]],-12,0),0)+OFFSET(TblConstr[[#This Row],[Tot Mas]],-1,0)-TblConstr[[#This Row],[Dest Mas]]</f>
        <v>0</v>
      </c>
      <c r="BD44" s="190" cm="1">
        <f t="array" aca="1" ref="BD44" ca="1">IF(TblConstr[[#This Row],[Hour]:[Hour]]&gt;12,OFFSET(TblConstr[[#This Row],[Ly]],-12,0),0)+OFFSET(TblConstr[[#This Row],[Tot Ly]],-1,0)-TblConstr[[#This Row],[Dest Ly]]</f>
        <v>20</v>
      </c>
      <c r="BE44" s="190" cm="1">
        <f t="array" aca="1" ref="BE44" ca="1">IF(TblConstr[[#This Row],[Hour]:[Hour]]&gt;12,OFFSET(TblConstr[[#This Row],[Hav]],-12,0),0)+OFFSET(TblConstr[[#This Row],[Tot Hav]],-1,0)-TblConstr[[#This Row],[Dest Hav]]</f>
        <v>0</v>
      </c>
      <c r="BF44" s="361" cm="1">
        <f t="array" aca="1" ref="BF44" ca="1">IF(TblConstr[[#This Row],[Hour]:[Hour]]&gt;12,OFFSET(TblConstr[[#This Row],[OM]],-12,0),0)+OFFSET(TblConstr[[#This Row],[Tot OM]],-1,0)-TblConstr[[#This Row],[Dest OM]]</f>
        <v>0</v>
      </c>
      <c r="BG44" s="361" cm="1">
        <f t="array" aca="1" ref="BG44" ca="1">IF(TblConstr[[#This Row],[Hour]:[Hour]]&gt;12,OFFSET(TblConstr[[#This Row],[GN]],-12,0),0)+OFFSET(TblConstr[[#This Row],[Tot GN]],-1,0)-TblConstr[[#This Row],[Dest GN]]</f>
        <v>0</v>
      </c>
      <c r="BH44" s="365" cm="1">
        <f t="array" aca="1" ref="BH44" ca="1">IF(TblConstr[[#This Row],[Hour]:[Hour]]&gt;12,OFFSET(TblConstr[[#This Row],[Fac]],-12,0),0)+OFFSET(TblConstr[[#This Row],[Tot Fac]],-1,0)-TblConstr[[#This Row],[Dest Fac]]</f>
        <v>0</v>
      </c>
      <c r="BI44" s="365" cm="1">
        <f t="array" aca="1" ref="BI44" ca="1">IF(TblConstr[[#This Row],[Hour]:[Hour]]&gt;12,OFFSET(TblConstr[[#This Row],[GT]],-12,0),0)+OFFSET(TblConstr[[#This Row],[Tot GT]],-1,0)-TblConstr[[#This Row],[Dest GT]]</f>
        <v>0</v>
      </c>
      <c r="BJ44" s="365" cm="1">
        <f t="array" aca="1" ref="BJ44" ca="1">IF(TblConstr[[#This Row],[Hour]:[Hour]]&gt;12,OFFSET(TblConstr[[#This Row],[Bar]],-12,0),0)+OFFSET(TblConstr[[#This Row],[Tot Bar]],-1,0)-TblConstr[[#This Row],[Dest Bar]]</f>
        <v>0</v>
      </c>
      <c r="BK44" s="365" cm="1">
        <f t="array" aca="1" ref="BK44" ca="1">IF(TblConstr[[#This Row],[Hour]:[Hour]]&gt;12,OFFSET(TblConstr[[#This Row],[Shr]],-12,0),0)+OFFSET(TblConstr[[#This Row],[Tot Shr]],-1,0)-TblConstr[[#This Row],[Dest Shr]]</f>
        <v>0</v>
      </c>
      <c r="BL44" s="369" cm="1">
        <f t="array" aca="1" ref="BL44" ca="1">IF(TblConstr[[#This Row],[Hour]:[Hour]]&gt;12,OFFSET(TblConstr[[#This Row],[Tow]],-12,0),0)+OFFSET(TblConstr[[#This Row],[Tot Tow]],-1,0)-TblConstr[[#This Row],[Dest Tow]]</f>
        <v>0</v>
      </c>
      <c r="BM44" s="369" cm="1">
        <f t="array" aca="1" ref="BM44" ca="1">IF(TblConstr[[#This Row],[Hour]:[Hour]]&gt;12,OFFSET(TblConstr[[#This Row],[Tem]],-12,0),0)+OFFSET(TblConstr[[#This Row],[Tot Tem]],-1,0)-TblConstr[[#This Row],[Dest Tem]]</f>
        <v>0</v>
      </c>
      <c r="BN44" s="369" cm="1">
        <f t="array" aca="1" ref="BN44" ca="1">IF(TblConstr[[#This Row],[Hour]:[Hour]]&gt;12,OFFSET(TblConstr[[#This Row],[WG]],-12,0),0)+OFFSET(TblConstr[[#This Row],[Tot WG]],-1,0)-TblConstr[[#This Row],[Dest WG]]</f>
        <v>0</v>
      </c>
      <c r="BO44" s="191" cm="1">
        <f t="array" aca="1" ref="BO44" ca="1">IF(TblConstr[[#This Row],[Hour]:[Hour]]&gt;12,OFFSET(TblConstr[[#This Row],[DM]],-12,0),0)+OFFSET(TblConstr[[#This Row],[Tot DM]],-1,0)-TblConstr[[#This Row],[Dest DM]]</f>
        <v>0</v>
      </c>
      <c r="BP44" s="191" cm="1">
        <f t="array" aca="1" ref="BP44" ca="1">IF(TblConstr[[#This Row],[Hour]:[Hour]]&gt;12,OFFSET(TblConstr[[#This Row],[Sch]],-12,0),0)+OFFSET(TblConstr[[#This Row],[Tot Sch]],-1,0)-TblConstr[[#This Row],[Dest Sch]]</f>
        <v>0</v>
      </c>
      <c r="BQ44" s="192" cm="1">
        <f t="array" aca="1" ref="BQ44" ca="1">IF(TblConstr[[#This Row],[Hour]:[Hour]]&gt;12,OFFSET(TblConstr[[#This Row],[Doc]],-12,0),0)+OFFSET(TblConstr[[#This Row],[Tot Doc]],-1,0)-TblConstr[[#This Row],[Dest Doc]]</f>
        <v>0</v>
      </c>
      <c r="BR44" s="142"/>
      <c r="BS44" s="154"/>
      <c r="BT44" s="94">
        <f ca="1">TblConstr[[#This Row],[Land]]</f>
        <v>110</v>
      </c>
      <c r="BU44" s="159">
        <f ca="1">TblImps[[#This Row],[Time]]</f>
        <v>46048.66666666657</v>
      </c>
      <c r="BV44" s="142"/>
      <c r="BW44" s="179"/>
      <c r="BX44" s="179"/>
      <c r="BY44" s="179"/>
      <c r="BZ44" s="179"/>
      <c r="CA44" s="179"/>
      <c r="CB44" s="179"/>
      <c r="CC44" s="179"/>
      <c r="CD44" s="179"/>
      <c r="CE44" s="179"/>
      <c r="CF44" s="179"/>
      <c r="CG44" s="179"/>
      <c r="CH44" s="179"/>
      <c r="CI44" s="179"/>
      <c r="CJ44" s="179"/>
      <c r="CK44" s="179"/>
      <c r="CL44" s="179"/>
      <c r="CM44" s="179"/>
      <c r="CN44" s="179"/>
      <c r="CO44" s="179"/>
      <c r="CP44" s="142"/>
      <c r="CQ44" s="181">
        <f ca="1">-SUM(TblConstr[[#This Row],[Alc]:[Mas]])+SUM(TblConstr[[#This Row],[Dest Alc]:[Dest Mas]])+Rezone!L44+IF("Ch_"&amp; home_land=TblConstr[[#Headers],[Ch_Plain]],TblConstr[[#This Row],[Home Land]])+IF(TblConstr[[#This Row],[Hour]:[Hour]]&gt;12,OFFSET(TblExplore[[#This Row],[Plains Explore]],-12,0),0)</f>
        <v>0</v>
      </c>
      <c r="CR44" s="182">
        <f ca="1">-SUM(TblConstr[[#This Row],[Ly]:[Hav]])+SUM(TblConstr[[#This Row],[Dest Ly]:[Dest Hav]]) +Rezone!M44 + IF("Ch_"&amp; home_land=TblConstr[[#Headers],[Ch_Forest]],TblConstr[[#This Row],[Home Land]])+IF(TblConstr[[#This Row],[Hour]:[Hour]]&gt;12,OFFSET(TblExplore[[#This Row],[Forest Explore]],-12,0),0)</f>
        <v>0</v>
      </c>
      <c r="CS44" s="359">
        <f ca="1">-SUM(TblConstr[[#This Row],[OM]:[GN]])+SUM(TblConstr[[#This Row],[Dest OM]:[Dest GN]]) +Rezone!N44 + IF("Ch_"&amp; home_land=TblConstr[[#Headers],[Ch_Mountain]],TblConstr[[#This Row],[Home Land]])+IF(TblConstr[[#This Row],[Hour]:[Hour]]&gt;12,OFFSET(TblExplore[[#This Row],[Mountain Explore]],-12,0),0)</f>
        <v>0</v>
      </c>
      <c r="CT44" s="183">
        <f ca="1">-SUM(TblConstr[[#This Row],[Fac]:[Shr]])+SUM(TblConstr[[#This Row],[Dest Fac]:[Dest Shr]]) +Rezone!O44 + IF("Ch_" &amp; home_land=TblConstr[[#Headers],[Ch_Hill]],TblConstr[[#This Row],[Home Land]])+IF(TblConstr[[#This Row],[Hour]:[Hour]]&gt;12,OFFSET(TblExplore[[#This Row],[Hill Explore]],-12,0),0)</f>
        <v>0</v>
      </c>
      <c r="CU44" s="184">
        <f ca="1">-SUM(TblConstr[[#This Row],[Tow]:[WG]])+SUM(TblConstr[[#This Row],[Dest Tow]:[Dest WG]]) +Rezone!P44 + IF("Ch_" &amp; home_land=TblConstr[[#Headers],[Ch_Swamp]],TblConstr[[#This Row],[Home Land]])+IF(TblConstr[[#This Row],[Hour]:[Hour]]&gt;12,OFFSET(TblExplore[[#This Row],[Swamp Explore]],-12,0),0)</f>
        <v>0</v>
      </c>
      <c r="CV44" s="185">
        <f ca="1" xml:space="preserve"> - SUM(TblConstr[[#This Row],[DM]:[Sch]])+SUM(TblConstr[[#This Row],[Dest DM]:[Dest Sch]]) +Rezone!Q44 + IF("Ch_" &amp; home_land=TblConstr[[#Headers],[Ch_Cavern]],TblConstr[[#This Row],[Home Land]])+IF(TblConstr[[#This Row],[Hour]:[Hour]]&gt;12,OFFSET(TblExplore[[#This Row],[Cavern Explore]],-12,0),0)</f>
        <v>0</v>
      </c>
      <c r="CW44" s="186">
        <f ca="1">-TblConstr[[#This Row],[Doc]]+TblConstr[[#This Row],[Dest Doc]] +Rezone!R44 + IF("Ch_" &amp; home_land=TblConstr[[#Headers],[Ch_Water]],TblConstr[[#This Row],[Home Land]])+IF(TblConstr[[#This Row],[Hour]:[Hour]]&gt;12,OFFSET(TblExplore[[#This Row],[Water Explore]],-12,0),0)</f>
        <v>0</v>
      </c>
      <c r="CX44" s="45">
        <f>IF(Explore!S44=1,20) - TblConstr[[#This Row],[Hom]] + TblConstr[[#This Row],[Dest Hom]]</f>
        <v>0</v>
      </c>
      <c r="CY44" s="142"/>
      <c r="CZ44" s="94">
        <f t="shared" ca="1" si="3"/>
        <v>90</v>
      </c>
      <c r="DA44" s="94">
        <f t="shared" ca="1" si="4"/>
        <v>20</v>
      </c>
      <c r="DB44" s="45">
        <f t="shared" ca="1" si="5"/>
        <v>0</v>
      </c>
      <c r="DC44" s="94">
        <f t="shared" ca="1" si="6"/>
        <v>0</v>
      </c>
      <c r="DD44" s="94">
        <f t="shared" ca="1" si="7"/>
        <v>0</v>
      </c>
      <c r="DE44" s="45">
        <f t="shared" ca="1" si="8"/>
        <v>0</v>
      </c>
      <c r="DF44" s="94">
        <f t="shared" ca="1" si="9"/>
        <v>0</v>
      </c>
      <c r="DG44" s="94" cm="1">
        <f t="array" aca="1" ref="DG44" ca="1">INDEX(TblConstr[[Total Plain]:[Total Water]],ROW()-ROW(TblConstr[#Headers]),MATCH("Total "&amp;home_land,TblConstr[[#Headers],[Total Plain]:[Total Water]],0))+TblConstr[[#This Row],[Homes]]</f>
        <v>90</v>
      </c>
      <c r="DH44" s="45">
        <f t="shared" ca="1" si="10"/>
        <v>0</v>
      </c>
      <c r="DI44" s="45">
        <f t="shared" ca="1" si="0"/>
        <v>0</v>
      </c>
      <c r="DJ44" s="45">
        <f t="shared" ca="1" si="1"/>
        <v>0</v>
      </c>
    </row>
    <row r="45" spans="1:114" x14ac:dyDescent="0.2">
      <c r="A45" s="175">
        <f>TblRezone[[#This Row],[Hour]]</f>
        <v>42</v>
      </c>
      <c r="B45" s="176">
        <f ca="1">SUM(TblConstr[[#This Row],[Plain]:[Water]])</f>
        <v>60</v>
      </c>
      <c r="C45" s="177">
        <f ca="1">SUM(TblConstr[[#This Row],[Tot Hom]:[Tot Doc]])</f>
        <v>50</v>
      </c>
      <c r="D45" s="177">
        <f t="shared" si="2"/>
        <v>0</v>
      </c>
      <c r="E45" s="178"/>
      <c r="F45" s="61">
        <f ca="1">TblConstr[[#This Row],[Barren]]+TblConstr[[#This Row],[Buildings]]+TblConstr[[#This Row],[Incoming]]</f>
        <v>110</v>
      </c>
      <c r="G45" s="187">
        <f ca="1">OFFSET(TblConstr[[#This Row],[Plain]],-1,0)+TblConstr[[#This Row],[Ch_Plain]]</f>
        <v>60</v>
      </c>
      <c r="H45" s="182">
        <f ca="1">OFFSET(TblConstr[[#This Row],[Forest]],-1,0)+TblConstr[[#This Row],[Ch_Forest]]</f>
        <v>0</v>
      </c>
      <c r="I45" s="359">
        <f ca="1">OFFSET(TblConstr[[#This Row],[Mountain]],-1,0)+TblConstr[[#This Row],[Ch_Mountain]]</f>
        <v>0</v>
      </c>
      <c r="J45" s="363">
        <f ca="1">OFFSET(TblConstr[[#This Row],[Hill]],-1,0)+TblConstr[[#This Row],[Ch_Hill]]</f>
        <v>0</v>
      </c>
      <c r="K45" s="367">
        <f ca="1">OFFSET(TblConstr[[#This Row],[Swamp]],-1,0)+TblConstr[[#This Row],[Ch_Swamp]]</f>
        <v>0</v>
      </c>
      <c r="L45" s="185">
        <f ca="1">OFFSET(TblConstr[[#This Row],[Cavern]],-1,0)+TblConstr[[#This Row],[Ch_Cavern]]</f>
        <v>0</v>
      </c>
      <c r="M45" s="186">
        <f ca="1">OFFSET(TblConstr[[#This Row],[Water]],-1,0)+TblConstr[[#This Row],[Ch_Water]]</f>
        <v>0</v>
      </c>
      <c r="N45" s="357">
        <f>TblRezone[[#This Row],[Hour]]</f>
        <v>42</v>
      </c>
      <c r="O45" s="179"/>
      <c r="P45" s="179"/>
      <c r="Q45" s="179"/>
      <c r="R45" s="158"/>
      <c r="S45" s="179"/>
      <c r="T45" s="179"/>
      <c r="U45" s="179"/>
      <c r="V45" s="179"/>
      <c r="W45" s="179"/>
      <c r="X45" s="179"/>
      <c r="Y45" s="179"/>
      <c r="Z45" s="179"/>
      <c r="AA45" s="179"/>
      <c r="AB45" s="179"/>
      <c r="AC45" s="179"/>
      <c r="AD45" s="179"/>
      <c r="AE45" s="179"/>
      <c r="AF45" s="179"/>
      <c r="AG45" s="179"/>
      <c r="AH45" s="53">
        <f ca="1">TblImps[[#This Row],[Time]]</f>
        <v>46048.708333333234</v>
      </c>
      <c r="AI45" s="180">
        <f ca="1">MIN(25%,(TblConstr[[#This Row],[Tot Fac]]+TblConstr[[#This Row],[Dest Fac]])/(TblConstr[[#This Row],[Land]]-TblExplore[[#This Row],[Land Bonus]]*20))</f>
        <v>0</v>
      </c>
      <c r="AJ45" s="180">
        <f ca="1">MIN(25%,(TblConstr[[#This Row],[Tot Fac]]+TblConstr[[#This Row],[Dest Fac]])/TblConstr[[#This Row],[Land]])</f>
        <v>0</v>
      </c>
      <c r="AK45" s="94">
        <f ca="1">TblProd[[#This Row],[Platinum]]</f>
        <v>120645</v>
      </c>
      <c r="AL45" s="94">
        <f ca="1">TblProd[[#This Row],[Lumber]]</f>
        <v>43705</v>
      </c>
      <c r="AM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5" s="94">
        <f ca="1">ROUNDDOWN( MAX(1 - MIN(facs_constr_factor*TblConstr[[#This Row],[Facs -DB]],facs_constr_max) + tech_1_11*TblTech[[#This Row],[11-1]] + tech_6_3_2*TblTech[[#This Row],[6-3]] + tech_5_2_3*TblTech[[#This Row],[5-2]], 1-global_constr_cap) * TblConstr[[#This Row],[RCPA Lumber]],0)</f>
        <v>48</v>
      </c>
      <c r="AO4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5" s="94">
        <f ca="1">ROUNDDOWN( MAX(1 - MIN(facs_constr_factor*TblConstr[[#This Row],[Facs DB]],facs_constr_max) + tech_1_11*TblTech[[#This Row],[1-11]] + tech_6_3_2*TblTech[[#This Row],[6-3]] + tech_5_2_3*TblTech[[#This Row],[5-2]], 1-global_constr_cap) * ROUND((TblConstr[[#This Row],[Land]]-250)*0.285 + 87.5 + 0/4.25,0),0)</f>
        <v>48</v>
      </c>
      <c r="AQ45" s="45">
        <f ca="1">TblConstr[[#This Row],[build -db]]*TblConstr[[#This Row],[CPA Platinum -DB]] + TblConstr[[#This Row],[build db]]*TblConstr[[#This Row],[CPA Platinum DB]]</f>
        <v>0</v>
      </c>
      <c r="AR45" s="45">
        <f ca="1">TblConstr[[#This Row],[build -db]]*TblConstr[[#This Row],[CPA Lumber -DB]] + TblConstr[[#This Row],[build db]]*TblConstr[[#This Row],[CPA Lumber DB]]</f>
        <v>0</v>
      </c>
      <c r="AS45" s="94">
        <f ca="1">MIN(SUM(OFFSET(TblConstr[[#This Row],[Plain]:[Water]],-1,0))+SUM(TblConstr[[#This Row],[Dest Hom]:[Dest Doc]])+IF(TblConstr[[#This Row],[Hour]]&gt;12,SUM(OFFSET(TblExplore[[#This Row],[Plains Explore]:[Water Explore]],-12,0)),0),SUM(TblConstr[[#This Row],[Hom]:[Doc]]))</f>
        <v>0</v>
      </c>
      <c r="AT4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5" s="142"/>
      <c r="AV45" s="94">
        <f ca="1">ROUND((TblConstr[[#This Row],[Land]]-250 - IF(TblExplore[[#This Row],[Land Bonus]]&lt;&gt;0,20,0))*1.25 + 850 + 0,0)</f>
        <v>675</v>
      </c>
      <c r="AW45" s="94">
        <f ca="1">ROUND((TblConstr[[#This Row],[Land]]-250 - IF(TblExplore[[#This Row],[Land Bonus]]&lt;&gt;0,20,0))*0.285 + 87.5 + 0/4.25,0)</f>
        <v>48</v>
      </c>
      <c r="AX45" s="154"/>
      <c r="AY45" s="188" cm="1">
        <f t="array" aca="1" ref="AY45" ca="1">IF(TblConstr[[#This Row],[Hour]:[Hour]]&gt;12,OFFSET(TblConstr[[#This Row],[Hom]],-12,0),0)+OFFSET(TblConstr[[#This Row],[Tot Hom]],-1,0)-TblConstr[[#This Row],[Dest Hom]]</f>
        <v>0</v>
      </c>
      <c r="AZ45" s="189" cm="1">
        <f t="array" aca="1" ref="AZ45" ca="1">IF(TblConstr[[#This Row],[Hour]:[Hour]]&gt;12,OFFSET(TblConstr[[#This Row],[Alc]],-12,0),0)+OFFSET(TblConstr[[#This Row],[Tot Alc]],-1,0)-TblConstr[[#This Row],[Dest Alc]]</f>
        <v>0</v>
      </c>
      <c r="BA45" s="189" cm="1">
        <f t="array" aca="1" ref="BA45" ca="1">IF(TblConstr[[#This Row],[Hour]:[Hour]]&gt;12,OFFSET(TblConstr[[#This Row],[Far]],-12,0),0)+OFFSET(TblConstr[[#This Row],[Tot Farm]],-1,0)-TblConstr[[#This Row],[Dest Farm]]</f>
        <v>30</v>
      </c>
      <c r="BB45" s="189" cm="1">
        <f t="array" aca="1" ref="BB45" ca="1">IF(TblConstr[[#This Row],[Hour]:[Hour]]&gt;12,OFFSET(TblConstr[[#This Row],[Smi]],-12,0),0)+OFFSET(TblConstr[[#This Row],[Tot Smi]],-1,0)-TblConstr[[#This Row],[Dest Smi]]</f>
        <v>0</v>
      </c>
      <c r="BC45" s="189" cm="1">
        <f t="array" aca="1" ref="BC45" ca="1">IF(TblConstr[[#This Row],[Hour]:[Hour]]&gt;12,OFFSET(TblConstr[[#This Row],[Mas]],-12,0),0)+OFFSET(TblConstr[[#This Row],[Tot Mas]],-1,0)-TblConstr[[#This Row],[Dest Mas]]</f>
        <v>0</v>
      </c>
      <c r="BD45" s="190" cm="1">
        <f t="array" aca="1" ref="BD45" ca="1">IF(TblConstr[[#This Row],[Hour]:[Hour]]&gt;12,OFFSET(TblConstr[[#This Row],[Ly]],-12,0),0)+OFFSET(TblConstr[[#This Row],[Tot Ly]],-1,0)-TblConstr[[#This Row],[Dest Ly]]</f>
        <v>20</v>
      </c>
      <c r="BE45" s="190" cm="1">
        <f t="array" aca="1" ref="BE45" ca="1">IF(TblConstr[[#This Row],[Hour]:[Hour]]&gt;12,OFFSET(TblConstr[[#This Row],[Hav]],-12,0),0)+OFFSET(TblConstr[[#This Row],[Tot Hav]],-1,0)-TblConstr[[#This Row],[Dest Hav]]</f>
        <v>0</v>
      </c>
      <c r="BF45" s="361" cm="1">
        <f t="array" aca="1" ref="BF45" ca="1">IF(TblConstr[[#This Row],[Hour]:[Hour]]&gt;12,OFFSET(TblConstr[[#This Row],[OM]],-12,0),0)+OFFSET(TblConstr[[#This Row],[Tot OM]],-1,0)-TblConstr[[#This Row],[Dest OM]]</f>
        <v>0</v>
      </c>
      <c r="BG45" s="361" cm="1">
        <f t="array" aca="1" ref="BG45" ca="1">IF(TblConstr[[#This Row],[Hour]:[Hour]]&gt;12,OFFSET(TblConstr[[#This Row],[GN]],-12,0),0)+OFFSET(TblConstr[[#This Row],[Tot GN]],-1,0)-TblConstr[[#This Row],[Dest GN]]</f>
        <v>0</v>
      </c>
      <c r="BH45" s="365" cm="1">
        <f t="array" aca="1" ref="BH45" ca="1">IF(TblConstr[[#This Row],[Hour]:[Hour]]&gt;12,OFFSET(TblConstr[[#This Row],[Fac]],-12,0),0)+OFFSET(TblConstr[[#This Row],[Tot Fac]],-1,0)-TblConstr[[#This Row],[Dest Fac]]</f>
        <v>0</v>
      </c>
      <c r="BI45" s="365" cm="1">
        <f t="array" aca="1" ref="BI45" ca="1">IF(TblConstr[[#This Row],[Hour]:[Hour]]&gt;12,OFFSET(TblConstr[[#This Row],[GT]],-12,0),0)+OFFSET(TblConstr[[#This Row],[Tot GT]],-1,0)-TblConstr[[#This Row],[Dest GT]]</f>
        <v>0</v>
      </c>
      <c r="BJ45" s="365" cm="1">
        <f t="array" aca="1" ref="BJ45" ca="1">IF(TblConstr[[#This Row],[Hour]:[Hour]]&gt;12,OFFSET(TblConstr[[#This Row],[Bar]],-12,0),0)+OFFSET(TblConstr[[#This Row],[Tot Bar]],-1,0)-TblConstr[[#This Row],[Dest Bar]]</f>
        <v>0</v>
      </c>
      <c r="BK45" s="365" cm="1">
        <f t="array" aca="1" ref="BK45" ca="1">IF(TblConstr[[#This Row],[Hour]:[Hour]]&gt;12,OFFSET(TblConstr[[#This Row],[Shr]],-12,0),0)+OFFSET(TblConstr[[#This Row],[Tot Shr]],-1,0)-TblConstr[[#This Row],[Dest Shr]]</f>
        <v>0</v>
      </c>
      <c r="BL45" s="369" cm="1">
        <f t="array" aca="1" ref="BL45" ca="1">IF(TblConstr[[#This Row],[Hour]:[Hour]]&gt;12,OFFSET(TblConstr[[#This Row],[Tow]],-12,0),0)+OFFSET(TblConstr[[#This Row],[Tot Tow]],-1,0)-TblConstr[[#This Row],[Dest Tow]]</f>
        <v>0</v>
      </c>
      <c r="BM45" s="369" cm="1">
        <f t="array" aca="1" ref="BM45" ca="1">IF(TblConstr[[#This Row],[Hour]:[Hour]]&gt;12,OFFSET(TblConstr[[#This Row],[Tem]],-12,0),0)+OFFSET(TblConstr[[#This Row],[Tot Tem]],-1,0)-TblConstr[[#This Row],[Dest Tem]]</f>
        <v>0</v>
      </c>
      <c r="BN45" s="369" cm="1">
        <f t="array" aca="1" ref="BN45" ca="1">IF(TblConstr[[#This Row],[Hour]:[Hour]]&gt;12,OFFSET(TblConstr[[#This Row],[WG]],-12,0),0)+OFFSET(TblConstr[[#This Row],[Tot WG]],-1,0)-TblConstr[[#This Row],[Dest WG]]</f>
        <v>0</v>
      </c>
      <c r="BO45" s="191" cm="1">
        <f t="array" aca="1" ref="BO45" ca="1">IF(TblConstr[[#This Row],[Hour]:[Hour]]&gt;12,OFFSET(TblConstr[[#This Row],[DM]],-12,0),0)+OFFSET(TblConstr[[#This Row],[Tot DM]],-1,0)-TblConstr[[#This Row],[Dest DM]]</f>
        <v>0</v>
      </c>
      <c r="BP45" s="191" cm="1">
        <f t="array" aca="1" ref="BP45" ca="1">IF(TblConstr[[#This Row],[Hour]:[Hour]]&gt;12,OFFSET(TblConstr[[#This Row],[Sch]],-12,0),0)+OFFSET(TblConstr[[#This Row],[Tot Sch]],-1,0)-TblConstr[[#This Row],[Dest Sch]]</f>
        <v>0</v>
      </c>
      <c r="BQ45" s="192" cm="1">
        <f t="array" aca="1" ref="BQ45" ca="1">IF(TblConstr[[#This Row],[Hour]:[Hour]]&gt;12,OFFSET(TblConstr[[#This Row],[Doc]],-12,0),0)+OFFSET(TblConstr[[#This Row],[Tot Doc]],-1,0)-TblConstr[[#This Row],[Dest Doc]]</f>
        <v>0</v>
      </c>
      <c r="BR45" s="142"/>
      <c r="BS45" s="154"/>
      <c r="BT45" s="94">
        <f ca="1">TblConstr[[#This Row],[Land]]</f>
        <v>110</v>
      </c>
      <c r="BU45" s="159">
        <f ca="1">TblImps[[#This Row],[Time]]</f>
        <v>46048.708333333234</v>
      </c>
      <c r="BV45" s="142"/>
      <c r="BW45" s="179"/>
      <c r="BX45" s="179"/>
      <c r="BY45" s="179"/>
      <c r="BZ45" s="179"/>
      <c r="CA45" s="179"/>
      <c r="CB45" s="179"/>
      <c r="CC45" s="179"/>
      <c r="CD45" s="179"/>
      <c r="CE45" s="179"/>
      <c r="CF45" s="179"/>
      <c r="CG45" s="179"/>
      <c r="CH45" s="179"/>
      <c r="CI45" s="179"/>
      <c r="CJ45" s="179"/>
      <c r="CK45" s="179"/>
      <c r="CL45" s="179"/>
      <c r="CM45" s="179"/>
      <c r="CN45" s="179"/>
      <c r="CO45" s="179"/>
      <c r="CP45" s="142"/>
      <c r="CQ45" s="181">
        <f ca="1">-SUM(TblConstr[[#This Row],[Alc]:[Mas]])+SUM(TblConstr[[#This Row],[Dest Alc]:[Dest Mas]])+Rezone!L45+IF("Ch_"&amp; home_land=TblConstr[[#Headers],[Ch_Plain]],TblConstr[[#This Row],[Home Land]])+IF(TblConstr[[#This Row],[Hour]:[Hour]]&gt;12,OFFSET(TblExplore[[#This Row],[Plains Explore]],-12,0),0)</f>
        <v>0</v>
      </c>
      <c r="CR45" s="182">
        <f ca="1">-SUM(TblConstr[[#This Row],[Ly]:[Hav]])+SUM(TblConstr[[#This Row],[Dest Ly]:[Dest Hav]]) +Rezone!M45 + IF("Ch_"&amp; home_land=TblConstr[[#Headers],[Ch_Forest]],TblConstr[[#This Row],[Home Land]])+IF(TblConstr[[#This Row],[Hour]:[Hour]]&gt;12,OFFSET(TblExplore[[#This Row],[Forest Explore]],-12,0),0)</f>
        <v>0</v>
      </c>
      <c r="CS45" s="359">
        <f ca="1">-SUM(TblConstr[[#This Row],[OM]:[GN]])+SUM(TblConstr[[#This Row],[Dest OM]:[Dest GN]]) +Rezone!N45 + IF("Ch_"&amp; home_land=TblConstr[[#Headers],[Ch_Mountain]],TblConstr[[#This Row],[Home Land]])+IF(TblConstr[[#This Row],[Hour]:[Hour]]&gt;12,OFFSET(TblExplore[[#This Row],[Mountain Explore]],-12,0),0)</f>
        <v>0</v>
      </c>
      <c r="CT45" s="183">
        <f ca="1">-SUM(TblConstr[[#This Row],[Fac]:[Shr]])+SUM(TblConstr[[#This Row],[Dest Fac]:[Dest Shr]]) +Rezone!O45 + IF("Ch_" &amp; home_land=TblConstr[[#Headers],[Ch_Hill]],TblConstr[[#This Row],[Home Land]])+IF(TblConstr[[#This Row],[Hour]:[Hour]]&gt;12,OFFSET(TblExplore[[#This Row],[Hill Explore]],-12,0),0)</f>
        <v>0</v>
      </c>
      <c r="CU45" s="184">
        <f ca="1">-SUM(TblConstr[[#This Row],[Tow]:[WG]])+SUM(TblConstr[[#This Row],[Dest Tow]:[Dest WG]]) +Rezone!P45 + IF("Ch_" &amp; home_land=TblConstr[[#Headers],[Ch_Swamp]],TblConstr[[#This Row],[Home Land]])+IF(TblConstr[[#This Row],[Hour]:[Hour]]&gt;12,OFFSET(TblExplore[[#This Row],[Swamp Explore]],-12,0),0)</f>
        <v>0</v>
      </c>
      <c r="CV45" s="185">
        <f ca="1" xml:space="preserve"> - SUM(TblConstr[[#This Row],[DM]:[Sch]])+SUM(TblConstr[[#This Row],[Dest DM]:[Dest Sch]]) +Rezone!Q45 + IF("Ch_" &amp; home_land=TblConstr[[#Headers],[Ch_Cavern]],TblConstr[[#This Row],[Home Land]])+IF(TblConstr[[#This Row],[Hour]:[Hour]]&gt;12,OFFSET(TblExplore[[#This Row],[Cavern Explore]],-12,0),0)</f>
        <v>0</v>
      </c>
      <c r="CW45" s="186">
        <f ca="1">-TblConstr[[#This Row],[Doc]]+TblConstr[[#This Row],[Dest Doc]] +Rezone!R45 + IF("Ch_" &amp; home_land=TblConstr[[#Headers],[Ch_Water]],TblConstr[[#This Row],[Home Land]])+IF(TblConstr[[#This Row],[Hour]:[Hour]]&gt;12,OFFSET(TblExplore[[#This Row],[Water Explore]],-12,0),0)</f>
        <v>0</v>
      </c>
      <c r="CX45" s="45">
        <f>IF(Explore!S45=1,20) - TblConstr[[#This Row],[Hom]] + TblConstr[[#This Row],[Dest Hom]]</f>
        <v>0</v>
      </c>
      <c r="CY45" s="142"/>
      <c r="CZ45" s="94">
        <f t="shared" ca="1" si="3"/>
        <v>90</v>
      </c>
      <c r="DA45" s="94">
        <f t="shared" ca="1" si="4"/>
        <v>20</v>
      </c>
      <c r="DB45" s="45">
        <f t="shared" ca="1" si="5"/>
        <v>0</v>
      </c>
      <c r="DC45" s="94">
        <f t="shared" ca="1" si="6"/>
        <v>0</v>
      </c>
      <c r="DD45" s="94">
        <f t="shared" ca="1" si="7"/>
        <v>0</v>
      </c>
      <c r="DE45" s="45">
        <f t="shared" ca="1" si="8"/>
        <v>0</v>
      </c>
      <c r="DF45" s="94">
        <f t="shared" ca="1" si="9"/>
        <v>0</v>
      </c>
      <c r="DG45" s="94" cm="1">
        <f t="array" aca="1" ref="DG45" ca="1">INDEX(TblConstr[[Total Plain]:[Total Water]],ROW()-ROW(TblConstr[#Headers]),MATCH("Total "&amp;home_land,TblConstr[[#Headers],[Total Plain]:[Total Water]],0))+TblConstr[[#This Row],[Homes]]</f>
        <v>90</v>
      </c>
      <c r="DH45" s="45">
        <f t="shared" ca="1" si="10"/>
        <v>0</v>
      </c>
      <c r="DI45" s="45">
        <f t="shared" ca="1" si="0"/>
        <v>0</v>
      </c>
      <c r="DJ45" s="45">
        <f t="shared" ca="1" si="1"/>
        <v>0</v>
      </c>
    </row>
    <row r="46" spans="1:114" x14ac:dyDescent="0.2">
      <c r="A46" s="175">
        <f>TblRezone[[#This Row],[Hour]]</f>
        <v>43</v>
      </c>
      <c r="B46" s="176">
        <f ca="1">SUM(TblConstr[[#This Row],[Plain]:[Water]])</f>
        <v>60</v>
      </c>
      <c r="C46" s="177">
        <f ca="1">SUM(TblConstr[[#This Row],[Tot Hom]:[Tot Doc]])</f>
        <v>50</v>
      </c>
      <c r="D46" s="177">
        <f t="shared" si="2"/>
        <v>0</v>
      </c>
      <c r="E46" s="178"/>
      <c r="F46" s="61">
        <f ca="1">TblConstr[[#This Row],[Barren]]+TblConstr[[#This Row],[Buildings]]+TblConstr[[#This Row],[Incoming]]</f>
        <v>110</v>
      </c>
      <c r="G46" s="187">
        <f ca="1">OFFSET(TblConstr[[#This Row],[Plain]],-1,0)+TblConstr[[#This Row],[Ch_Plain]]</f>
        <v>60</v>
      </c>
      <c r="H46" s="182">
        <f ca="1">OFFSET(TblConstr[[#This Row],[Forest]],-1,0)+TblConstr[[#This Row],[Ch_Forest]]</f>
        <v>0</v>
      </c>
      <c r="I46" s="359">
        <f ca="1">OFFSET(TblConstr[[#This Row],[Mountain]],-1,0)+TblConstr[[#This Row],[Ch_Mountain]]</f>
        <v>0</v>
      </c>
      <c r="J46" s="363">
        <f ca="1">OFFSET(TblConstr[[#This Row],[Hill]],-1,0)+TblConstr[[#This Row],[Ch_Hill]]</f>
        <v>0</v>
      </c>
      <c r="K46" s="367">
        <f ca="1">OFFSET(TblConstr[[#This Row],[Swamp]],-1,0)+TblConstr[[#This Row],[Ch_Swamp]]</f>
        <v>0</v>
      </c>
      <c r="L46" s="185">
        <f ca="1">OFFSET(TblConstr[[#This Row],[Cavern]],-1,0)+TblConstr[[#This Row],[Ch_Cavern]]</f>
        <v>0</v>
      </c>
      <c r="M46" s="186">
        <f ca="1">OFFSET(TblConstr[[#This Row],[Water]],-1,0)+TblConstr[[#This Row],[Ch_Water]]</f>
        <v>0</v>
      </c>
      <c r="N46" s="357">
        <f>TblRezone[[#This Row],[Hour]]</f>
        <v>43</v>
      </c>
      <c r="O46" s="179"/>
      <c r="P46" s="179"/>
      <c r="Q46" s="179"/>
      <c r="R46" s="158"/>
      <c r="S46" s="179"/>
      <c r="T46" s="179"/>
      <c r="U46" s="179"/>
      <c r="V46" s="179"/>
      <c r="W46" s="179"/>
      <c r="X46" s="179"/>
      <c r="Y46" s="179"/>
      <c r="Z46" s="179"/>
      <c r="AA46" s="179"/>
      <c r="AB46" s="179"/>
      <c r="AC46" s="179"/>
      <c r="AD46" s="179"/>
      <c r="AE46" s="179"/>
      <c r="AF46" s="179"/>
      <c r="AG46" s="179"/>
      <c r="AH46" s="53">
        <f ca="1">TblImps[[#This Row],[Time]]</f>
        <v>46048.749999999898</v>
      </c>
      <c r="AI46" s="180">
        <f ca="1">MIN(25%,(TblConstr[[#This Row],[Tot Fac]]+TblConstr[[#This Row],[Dest Fac]])/(TblConstr[[#This Row],[Land]]-TblExplore[[#This Row],[Land Bonus]]*20))</f>
        <v>0</v>
      </c>
      <c r="AJ46" s="180">
        <f ca="1">MIN(25%,(TblConstr[[#This Row],[Tot Fac]]+TblConstr[[#This Row],[Dest Fac]])/TblConstr[[#This Row],[Land]])</f>
        <v>0</v>
      </c>
      <c r="AK46" s="94">
        <f ca="1">TblProd[[#This Row],[Platinum]]</f>
        <v>122437</v>
      </c>
      <c r="AL46" s="94">
        <f ca="1">TblProd[[#This Row],[Lumber]]</f>
        <v>44268</v>
      </c>
      <c r="AM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6" s="94">
        <f ca="1">ROUNDDOWN( MAX(1 - MIN(facs_constr_factor*TblConstr[[#This Row],[Facs -DB]],facs_constr_max) + tech_1_11*TblTech[[#This Row],[11-1]] + tech_6_3_2*TblTech[[#This Row],[6-3]] + tech_5_2_3*TblTech[[#This Row],[5-2]], 1-global_constr_cap) * TblConstr[[#This Row],[RCPA Lumber]],0)</f>
        <v>48</v>
      </c>
      <c r="AO4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6" s="94">
        <f ca="1">ROUNDDOWN( MAX(1 - MIN(facs_constr_factor*TblConstr[[#This Row],[Facs DB]],facs_constr_max) + tech_1_11*TblTech[[#This Row],[1-11]] + tech_6_3_2*TblTech[[#This Row],[6-3]] + tech_5_2_3*TblTech[[#This Row],[5-2]], 1-global_constr_cap) * ROUND((TblConstr[[#This Row],[Land]]-250)*0.285 + 87.5 + 0/4.25,0),0)</f>
        <v>48</v>
      </c>
      <c r="AQ46" s="45">
        <f ca="1">TblConstr[[#This Row],[build -db]]*TblConstr[[#This Row],[CPA Platinum -DB]] + TblConstr[[#This Row],[build db]]*TblConstr[[#This Row],[CPA Platinum DB]]</f>
        <v>0</v>
      </c>
      <c r="AR46" s="45">
        <f ca="1">TblConstr[[#This Row],[build -db]]*TblConstr[[#This Row],[CPA Lumber -DB]] + TblConstr[[#This Row],[build db]]*TblConstr[[#This Row],[CPA Lumber DB]]</f>
        <v>0</v>
      </c>
      <c r="AS46" s="94">
        <f ca="1">MIN(SUM(OFFSET(TblConstr[[#This Row],[Plain]:[Water]],-1,0))+SUM(TblConstr[[#This Row],[Dest Hom]:[Dest Doc]])+IF(TblConstr[[#This Row],[Hour]]&gt;12,SUM(OFFSET(TblExplore[[#This Row],[Plains Explore]:[Water Explore]],-12,0)),0),SUM(TblConstr[[#This Row],[Hom]:[Doc]]))</f>
        <v>0</v>
      </c>
      <c r="AT4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6" s="142"/>
      <c r="AV46" s="94">
        <f ca="1">ROUND((TblConstr[[#This Row],[Land]]-250 - IF(TblExplore[[#This Row],[Land Bonus]]&lt;&gt;0,20,0))*1.25 + 850 + 0,0)</f>
        <v>675</v>
      </c>
      <c r="AW46" s="94">
        <f ca="1">ROUND((TblConstr[[#This Row],[Land]]-250 - IF(TblExplore[[#This Row],[Land Bonus]]&lt;&gt;0,20,0))*0.285 + 87.5 + 0/4.25,0)</f>
        <v>48</v>
      </c>
      <c r="AX46" s="154"/>
      <c r="AY46" s="188" cm="1">
        <f t="array" aca="1" ref="AY46" ca="1">IF(TblConstr[[#This Row],[Hour]:[Hour]]&gt;12,OFFSET(TblConstr[[#This Row],[Hom]],-12,0),0)+OFFSET(TblConstr[[#This Row],[Tot Hom]],-1,0)-TblConstr[[#This Row],[Dest Hom]]</f>
        <v>0</v>
      </c>
      <c r="AZ46" s="189" cm="1">
        <f t="array" aca="1" ref="AZ46" ca="1">IF(TblConstr[[#This Row],[Hour]:[Hour]]&gt;12,OFFSET(TblConstr[[#This Row],[Alc]],-12,0),0)+OFFSET(TblConstr[[#This Row],[Tot Alc]],-1,0)-TblConstr[[#This Row],[Dest Alc]]</f>
        <v>0</v>
      </c>
      <c r="BA46" s="189" cm="1">
        <f t="array" aca="1" ref="BA46" ca="1">IF(TblConstr[[#This Row],[Hour]:[Hour]]&gt;12,OFFSET(TblConstr[[#This Row],[Far]],-12,0),0)+OFFSET(TblConstr[[#This Row],[Tot Farm]],-1,0)-TblConstr[[#This Row],[Dest Farm]]</f>
        <v>30</v>
      </c>
      <c r="BB46" s="189" cm="1">
        <f t="array" aca="1" ref="BB46" ca="1">IF(TblConstr[[#This Row],[Hour]:[Hour]]&gt;12,OFFSET(TblConstr[[#This Row],[Smi]],-12,0),0)+OFFSET(TblConstr[[#This Row],[Tot Smi]],-1,0)-TblConstr[[#This Row],[Dest Smi]]</f>
        <v>0</v>
      </c>
      <c r="BC46" s="189" cm="1">
        <f t="array" aca="1" ref="BC46" ca="1">IF(TblConstr[[#This Row],[Hour]:[Hour]]&gt;12,OFFSET(TblConstr[[#This Row],[Mas]],-12,0),0)+OFFSET(TblConstr[[#This Row],[Tot Mas]],-1,0)-TblConstr[[#This Row],[Dest Mas]]</f>
        <v>0</v>
      </c>
      <c r="BD46" s="190" cm="1">
        <f t="array" aca="1" ref="BD46" ca="1">IF(TblConstr[[#This Row],[Hour]:[Hour]]&gt;12,OFFSET(TblConstr[[#This Row],[Ly]],-12,0),0)+OFFSET(TblConstr[[#This Row],[Tot Ly]],-1,0)-TblConstr[[#This Row],[Dest Ly]]</f>
        <v>20</v>
      </c>
      <c r="BE46" s="190" cm="1">
        <f t="array" aca="1" ref="BE46" ca="1">IF(TblConstr[[#This Row],[Hour]:[Hour]]&gt;12,OFFSET(TblConstr[[#This Row],[Hav]],-12,0),0)+OFFSET(TblConstr[[#This Row],[Tot Hav]],-1,0)-TblConstr[[#This Row],[Dest Hav]]</f>
        <v>0</v>
      </c>
      <c r="BF46" s="361" cm="1">
        <f t="array" aca="1" ref="BF46" ca="1">IF(TblConstr[[#This Row],[Hour]:[Hour]]&gt;12,OFFSET(TblConstr[[#This Row],[OM]],-12,0),0)+OFFSET(TblConstr[[#This Row],[Tot OM]],-1,0)-TblConstr[[#This Row],[Dest OM]]</f>
        <v>0</v>
      </c>
      <c r="BG46" s="361" cm="1">
        <f t="array" aca="1" ref="BG46" ca="1">IF(TblConstr[[#This Row],[Hour]:[Hour]]&gt;12,OFFSET(TblConstr[[#This Row],[GN]],-12,0),0)+OFFSET(TblConstr[[#This Row],[Tot GN]],-1,0)-TblConstr[[#This Row],[Dest GN]]</f>
        <v>0</v>
      </c>
      <c r="BH46" s="365" cm="1">
        <f t="array" aca="1" ref="BH46" ca="1">IF(TblConstr[[#This Row],[Hour]:[Hour]]&gt;12,OFFSET(TblConstr[[#This Row],[Fac]],-12,0),0)+OFFSET(TblConstr[[#This Row],[Tot Fac]],-1,0)-TblConstr[[#This Row],[Dest Fac]]</f>
        <v>0</v>
      </c>
      <c r="BI46" s="365" cm="1">
        <f t="array" aca="1" ref="BI46" ca="1">IF(TblConstr[[#This Row],[Hour]:[Hour]]&gt;12,OFFSET(TblConstr[[#This Row],[GT]],-12,0),0)+OFFSET(TblConstr[[#This Row],[Tot GT]],-1,0)-TblConstr[[#This Row],[Dest GT]]</f>
        <v>0</v>
      </c>
      <c r="BJ46" s="365" cm="1">
        <f t="array" aca="1" ref="BJ46" ca="1">IF(TblConstr[[#This Row],[Hour]:[Hour]]&gt;12,OFFSET(TblConstr[[#This Row],[Bar]],-12,0),0)+OFFSET(TblConstr[[#This Row],[Tot Bar]],-1,0)-TblConstr[[#This Row],[Dest Bar]]</f>
        <v>0</v>
      </c>
      <c r="BK46" s="365" cm="1">
        <f t="array" aca="1" ref="BK46" ca="1">IF(TblConstr[[#This Row],[Hour]:[Hour]]&gt;12,OFFSET(TblConstr[[#This Row],[Shr]],-12,0),0)+OFFSET(TblConstr[[#This Row],[Tot Shr]],-1,0)-TblConstr[[#This Row],[Dest Shr]]</f>
        <v>0</v>
      </c>
      <c r="BL46" s="369" cm="1">
        <f t="array" aca="1" ref="BL46" ca="1">IF(TblConstr[[#This Row],[Hour]:[Hour]]&gt;12,OFFSET(TblConstr[[#This Row],[Tow]],-12,0),0)+OFFSET(TblConstr[[#This Row],[Tot Tow]],-1,0)-TblConstr[[#This Row],[Dest Tow]]</f>
        <v>0</v>
      </c>
      <c r="BM46" s="369" cm="1">
        <f t="array" aca="1" ref="BM46" ca="1">IF(TblConstr[[#This Row],[Hour]:[Hour]]&gt;12,OFFSET(TblConstr[[#This Row],[Tem]],-12,0),0)+OFFSET(TblConstr[[#This Row],[Tot Tem]],-1,0)-TblConstr[[#This Row],[Dest Tem]]</f>
        <v>0</v>
      </c>
      <c r="BN46" s="369" cm="1">
        <f t="array" aca="1" ref="BN46" ca="1">IF(TblConstr[[#This Row],[Hour]:[Hour]]&gt;12,OFFSET(TblConstr[[#This Row],[WG]],-12,0),0)+OFFSET(TblConstr[[#This Row],[Tot WG]],-1,0)-TblConstr[[#This Row],[Dest WG]]</f>
        <v>0</v>
      </c>
      <c r="BO46" s="191" cm="1">
        <f t="array" aca="1" ref="BO46" ca="1">IF(TblConstr[[#This Row],[Hour]:[Hour]]&gt;12,OFFSET(TblConstr[[#This Row],[DM]],-12,0),0)+OFFSET(TblConstr[[#This Row],[Tot DM]],-1,0)-TblConstr[[#This Row],[Dest DM]]</f>
        <v>0</v>
      </c>
      <c r="BP46" s="191" cm="1">
        <f t="array" aca="1" ref="BP46" ca="1">IF(TblConstr[[#This Row],[Hour]:[Hour]]&gt;12,OFFSET(TblConstr[[#This Row],[Sch]],-12,0),0)+OFFSET(TblConstr[[#This Row],[Tot Sch]],-1,0)-TblConstr[[#This Row],[Dest Sch]]</f>
        <v>0</v>
      </c>
      <c r="BQ46" s="192" cm="1">
        <f t="array" aca="1" ref="BQ46" ca="1">IF(TblConstr[[#This Row],[Hour]:[Hour]]&gt;12,OFFSET(TblConstr[[#This Row],[Doc]],-12,0),0)+OFFSET(TblConstr[[#This Row],[Tot Doc]],-1,0)-TblConstr[[#This Row],[Dest Doc]]</f>
        <v>0</v>
      </c>
      <c r="BR46" s="142"/>
      <c r="BS46" s="154"/>
      <c r="BT46" s="94">
        <f ca="1">TblConstr[[#This Row],[Land]]</f>
        <v>110</v>
      </c>
      <c r="BU46" s="159">
        <f ca="1">TblImps[[#This Row],[Time]]</f>
        <v>46048.749999999898</v>
      </c>
      <c r="BV46" s="142"/>
      <c r="BW46" s="179"/>
      <c r="BX46" s="179"/>
      <c r="BY46" s="179"/>
      <c r="BZ46" s="179"/>
      <c r="CA46" s="179"/>
      <c r="CB46" s="179"/>
      <c r="CC46" s="179"/>
      <c r="CD46" s="179"/>
      <c r="CE46" s="179"/>
      <c r="CF46" s="179"/>
      <c r="CG46" s="179"/>
      <c r="CH46" s="179"/>
      <c r="CI46" s="179"/>
      <c r="CJ46" s="179"/>
      <c r="CK46" s="179"/>
      <c r="CL46" s="179"/>
      <c r="CM46" s="179"/>
      <c r="CN46" s="179"/>
      <c r="CO46" s="179"/>
      <c r="CP46" s="142"/>
      <c r="CQ46" s="181">
        <f ca="1">-SUM(TblConstr[[#This Row],[Alc]:[Mas]])+SUM(TblConstr[[#This Row],[Dest Alc]:[Dest Mas]])+Rezone!L46+IF("Ch_"&amp; home_land=TblConstr[[#Headers],[Ch_Plain]],TblConstr[[#This Row],[Home Land]])+IF(TblConstr[[#This Row],[Hour]:[Hour]]&gt;12,OFFSET(TblExplore[[#This Row],[Plains Explore]],-12,0),0)</f>
        <v>0</v>
      </c>
      <c r="CR46" s="182">
        <f ca="1">-SUM(TblConstr[[#This Row],[Ly]:[Hav]])+SUM(TblConstr[[#This Row],[Dest Ly]:[Dest Hav]]) +Rezone!M46 + IF("Ch_"&amp; home_land=TblConstr[[#Headers],[Ch_Forest]],TblConstr[[#This Row],[Home Land]])+IF(TblConstr[[#This Row],[Hour]:[Hour]]&gt;12,OFFSET(TblExplore[[#This Row],[Forest Explore]],-12,0),0)</f>
        <v>0</v>
      </c>
      <c r="CS46" s="359">
        <f ca="1">-SUM(TblConstr[[#This Row],[OM]:[GN]])+SUM(TblConstr[[#This Row],[Dest OM]:[Dest GN]]) +Rezone!N46 + IF("Ch_"&amp; home_land=TblConstr[[#Headers],[Ch_Mountain]],TblConstr[[#This Row],[Home Land]])+IF(TblConstr[[#This Row],[Hour]:[Hour]]&gt;12,OFFSET(TblExplore[[#This Row],[Mountain Explore]],-12,0),0)</f>
        <v>0</v>
      </c>
      <c r="CT46" s="183">
        <f ca="1">-SUM(TblConstr[[#This Row],[Fac]:[Shr]])+SUM(TblConstr[[#This Row],[Dest Fac]:[Dest Shr]]) +Rezone!O46 + IF("Ch_" &amp; home_land=TblConstr[[#Headers],[Ch_Hill]],TblConstr[[#This Row],[Home Land]])+IF(TblConstr[[#This Row],[Hour]:[Hour]]&gt;12,OFFSET(TblExplore[[#This Row],[Hill Explore]],-12,0),0)</f>
        <v>0</v>
      </c>
      <c r="CU46" s="184">
        <f ca="1">-SUM(TblConstr[[#This Row],[Tow]:[WG]])+SUM(TblConstr[[#This Row],[Dest Tow]:[Dest WG]]) +Rezone!P46 + IF("Ch_" &amp; home_land=TblConstr[[#Headers],[Ch_Swamp]],TblConstr[[#This Row],[Home Land]])+IF(TblConstr[[#This Row],[Hour]:[Hour]]&gt;12,OFFSET(TblExplore[[#This Row],[Swamp Explore]],-12,0),0)</f>
        <v>0</v>
      </c>
      <c r="CV46" s="185">
        <f ca="1" xml:space="preserve"> - SUM(TblConstr[[#This Row],[DM]:[Sch]])+SUM(TblConstr[[#This Row],[Dest DM]:[Dest Sch]]) +Rezone!Q46 + IF("Ch_" &amp; home_land=TblConstr[[#Headers],[Ch_Cavern]],TblConstr[[#This Row],[Home Land]])+IF(TblConstr[[#This Row],[Hour]:[Hour]]&gt;12,OFFSET(TblExplore[[#This Row],[Cavern Explore]],-12,0),0)</f>
        <v>0</v>
      </c>
      <c r="CW46" s="186">
        <f ca="1">-TblConstr[[#This Row],[Doc]]+TblConstr[[#This Row],[Dest Doc]] +Rezone!R46 + IF("Ch_" &amp; home_land=TblConstr[[#Headers],[Ch_Water]],TblConstr[[#This Row],[Home Land]])+IF(TblConstr[[#This Row],[Hour]:[Hour]]&gt;12,OFFSET(TblExplore[[#This Row],[Water Explore]],-12,0),0)</f>
        <v>0</v>
      </c>
      <c r="CX46" s="45">
        <f>IF(Explore!S46=1,20) - TblConstr[[#This Row],[Hom]] + TblConstr[[#This Row],[Dest Hom]]</f>
        <v>0</v>
      </c>
      <c r="CY46" s="142"/>
      <c r="CZ46" s="94">
        <f t="shared" ca="1" si="3"/>
        <v>90</v>
      </c>
      <c r="DA46" s="94">
        <f t="shared" ca="1" si="4"/>
        <v>20</v>
      </c>
      <c r="DB46" s="45">
        <f t="shared" ca="1" si="5"/>
        <v>0</v>
      </c>
      <c r="DC46" s="94">
        <f t="shared" ca="1" si="6"/>
        <v>0</v>
      </c>
      <c r="DD46" s="94">
        <f t="shared" ca="1" si="7"/>
        <v>0</v>
      </c>
      <c r="DE46" s="45">
        <f t="shared" ca="1" si="8"/>
        <v>0</v>
      </c>
      <c r="DF46" s="94">
        <f t="shared" ca="1" si="9"/>
        <v>0</v>
      </c>
      <c r="DG46" s="94" cm="1">
        <f t="array" aca="1" ref="DG46" ca="1">INDEX(TblConstr[[Total Plain]:[Total Water]],ROW()-ROW(TblConstr[#Headers]),MATCH("Total "&amp;home_land,TblConstr[[#Headers],[Total Plain]:[Total Water]],0))+TblConstr[[#This Row],[Homes]]</f>
        <v>90</v>
      </c>
      <c r="DH46" s="45">
        <f t="shared" ca="1" si="10"/>
        <v>0</v>
      </c>
      <c r="DI46" s="45">
        <f t="shared" ca="1" si="0"/>
        <v>0</v>
      </c>
      <c r="DJ46" s="45">
        <f t="shared" ca="1" si="1"/>
        <v>0</v>
      </c>
    </row>
    <row r="47" spans="1:114" x14ac:dyDescent="0.2">
      <c r="A47" s="175">
        <f>TblRezone[[#This Row],[Hour]]</f>
        <v>44</v>
      </c>
      <c r="B47" s="176">
        <f ca="1">SUM(TblConstr[[#This Row],[Plain]:[Water]])</f>
        <v>60</v>
      </c>
      <c r="C47" s="177">
        <f ca="1">SUM(TblConstr[[#This Row],[Tot Hom]:[Tot Doc]])</f>
        <v>50</v>
      </c>
      <c r="D47" s="177">
        <f t="shared" ref="D47:D75" si="11">SUM(O36:AG47)</f>
        <v>0</v>
      </c>
      <c r="E47" s="178"/>
      <c r="F47" s="61">
        <f ca="1">TblConstr[[#This Row],[Barren]]+TblConstr[[#This Row],[Buildings]]+TblConstr[[#This Row],[Incoming]]</f>
        <v>110</v>
      </c>
      <c r="G47" s="187">
        <f ca="1">OFFSET(TblConstr[[#This Row],[Plain]],-1,0)+TblConstr[[#This Row],[Ch_Plain]]</f>
        <v>60</v>
      </c>
      <c r="H47" s="182">
        <f ca="1">OFFSET(TblConstr[[#This Row],[Forest]],-1,0)+TblConstr[[#This Row],[Ch_Forest]]</f>
        <v>0</v>
      </c>
      <c r="I47" s="359">
        <f ca="1">OFFSET(TblConstr[[#This Row],[Mountain]],-1,0)+TblConstr[[#This Row],[Ch_Mountain]]</f>
        <v>0</v>
      </c>
      <c r="J47" s="363">
        <f ca="1">OFFSET(TblConstr[[#This Row],[Hill]],-1,0)+TblConstr[[#This Row],[Ch_Hill]]</f>
        <v>0</v>
      </c>
      <c r="K47" s="367">
        <f ca="1">OFFSET(TblConstr[[#This Row],[Swamp]],-1,0)+TblConstr[[#This Row],[Ch_Swamp]]</f>
        <v>0</v>
      </c>
      <c r="L47" s="185">
        <f ca="1">OFFSET(TblConstr[[#This Row],[Cavern]],-1,0)+TblConstr[[#This Row],[Ch_Cavern]]</f>
        <v>0</v>
      </c>
      <c r="M47" s="186">
        <f ca="1">OFFSET(TblConstr[[#This Row],[Water]],-1,0)+TblConstr[[#This Row],[Ch_Water]]</f>
        <v>0</v>
      </c>
      <c r="N47" s="357">
        <f>TblRezone[[#This Row],[Hour]]</f>
        <v>44</v>
      </c>
      <c r="O47" s="179"/>
      <c r="P47" s="179"/>
      <c r="Q47" s="179"/>
      <c r="R47" s="158"/>
      <c r="S47" s="179"/>
      <c r="T47" s="179"/>
      <c r="U47" s="179"/>
      <c r="V47" s="179"/>
      <c r="W47" s="179"/>
      <c r="X47" s="179"/>
      <c r="Y47" s="179"/>
      <c r="Z47" s="179"/>
      <c r="AA47" s="179"/>
      <c r="AB47" s="179"/>
      <c r="AC47" s="179"/>
      <c r="AD47" s="179"/>
      <c r="AE47" s="179"/>
      <c r="AF47" s="179"/>
      <c r="AG47" s="179"/>
      <c r="AH47" s="53">
        <f ca="1">TblImps[[#This Row],[Time]]</f>
        <v>46048.791666666562</v>
      </c>
      <c r="AI47" s="180">
        <f ca="1">MIN(25%,(TblConstr[[#This Row],[Tot Fac]]+TblConstr[[#This Row],[Dest Fac]])/(TblConstr[[#This Row],[Land]]-TblExplore[[#This Row],[Land Bonus]]*20))</f>
        <v>0</v>
      </c>
      <c r="AJ47" s="180">
        <f ca="1">MIN(25%,(TblConstr[[#This Row],[Tot Fac]]+TblConstr[[#This Row],[Dest Fac]])/TblConstr[[#This Row],[Land]])</f>
        <v>0</v>
      </c>
      <c r="AK47" s="94">
        <f ca="1">TblProd[[#This Row],[Platinum]]</f>
        <v>124210</v>
      </c>
      <c r="AL47" s="94">
        <f ca="1">TblProd[[#This Row],[Lumber]]</f>
        <v>44825</v>
      </c>
      <c r="AM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7" s="94">
        <f ca="1">ROUNDDOWN( MAX(1 - MIN(facs_constr_factor*TblConstr[[#This Row],[Facs -DB]],facs_constr_max) + tech_1_11*TblTech[[#This Row],[11-1]] + tech_6_3_2*TblTech[[#This Row],[6-3]] + tech_5_2_3*TblTech[[#This Row],[5-2]], 1-global_constr_cap) * TblConstr[[#This Row],[RCPA Lumber]],0)</f>
        <v>48</v>
      </c>
      <c r="AO4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7" s="94">
        <f ca="1">ROUNDDOWN( MAX(1 - MIN(facs_constr_factor*TblConstr[[#This Row],[Facs DB]],facs_constr_max) + tech_1_11*TblTech[[#This Row],[1-11]] + tech_6_3_2*TblTech[[#This Row],[6-3]] + tech_5_2_3*TblTech[[#This Row],[5-2]], 1-global_constr_cap) * ROUND((TblConstr[[#This Row],[Land]]-250)*0.285 + 87.5 + 0/4.25,0),0)</f>
        <v>48</v>
      </c>
      <c r="AQ47" s="45">
        <f ca="1">TblConstr[[#This Row],[build -db]]*TblConstr[[#This Row],[CPA Platinum -DB]] + TblConstr[[#This Row],[build db]]*TblConstr[[#This Row],[CPA Platinum DB]]</f>
        <v>0</v>
      </c>
      <c r="AR47" s="45">
        <f ca="1">TblConstr[[#This Row],[build -db]]*TblConstr[[#This Row],[CPA Lumber -DB]] + TblConstr[[#This Row],[build db]]*TblConstr[[#This Row],[CPA Lumber DB]]</f>
        <v>0</v>
      </c>
      <c r="AS47" s="94">
        <f ca="1">MIN(SUM(OFFSET(TblConstr[[#This Row],[Plain]:[Water]],-1,0))+SUM(TblConstr[[#This Row],[Dest Hom]:[Dest Doc]])+IF(TblConstr[[#This Row],[Hour]]&gt;12,SUM(OFFSET(TblExplore[[#This Row],[Plains Explore]:[Water Explore]],-12,0)),0),SUM(TblConstr[[#This Row],[Hom]:[Doc]]))</f>
        <v>0</v>
      </c>
      <c r="AT4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7" s="142"/>
      <c r="AV47" s="94">
        <f ca="1">ROUND((TblConstr[[#This Row],[Land]]-250 - IF(TblExplore[[#This Row],[Land Bonus]]&lt;&gt;0,20,0))*1.25 + 850 + 0,0)</f>
        <v>675</v>
      </c>
      <c r="AW47" s="94">
        <f ca="1">ROUND((TblConstr[[#This Row],[Land]]-250 - IF(TblExplore[[#This Row],[Land Bonus]]&lt;&gt;0,20,0))*0.285 + 87.5 + 0/4.25,0)</f>
        <v>48</v>
      </c>
      <c r="AX47" s="154"/>
      <c r="AY47" s="188" cm="1">
        <f t="array" aca="1" ref="AY47" ca="1">IF(TblConstr[[#This Row],[Hour]:[Hour]]&gt;12,OFFSET(TblConstr[[#This Row],[Hom]],-12,0),0)+OFFSET(TblConstr[[#This Row],[Tot Hom]],-1,0)-TblConstr[[#This Row],[Dest Hom]]</f>
        <v>0</v>
      </c>
      <c r="AZ47" s="189" cm="1">
        <f t="array" aca="1" ref="AZ47" ca="1">IF(TblConstr[[#This Row],[Hour]:[Hour]]&gt;12,OFFSET(TblConstr[[#This Row],[Alc]],-12,0),0)+OFFSET(TblConstr[[#This Row],[Tot Alc]],-1,0)-TblConstr[[#This Row],[Dest Alc]]</f>
        <v>0</v>
      </c>
      <c r="BA47" s="189" cm="1">
        <f t="array" aca="1" ref="BA47" ca="1">IF(TblConstr[[#This Row],[Hour]:[Hour]]&gt;12,OFFSET(TblConstr[[#This Row],[Far]],-12,0),0)+OFFSET(TblConstr[[#This Row],[Tot Farm]],-1,0)-TblConstr[[#This Row],[Dest Farm]]</f>
        <v>30</v>
      </c>
      <c r="BB47" s="189" cm="1">
        <f t="array" aca="1" ref="BB47" ca="1">IF(TblConstr[[#This Row],[Hour]:[Hour]]&gt;12,OFFSET(TblConstr[[#This Row],[Smi]],-12,0),0)+OFFSET(TblConstr[[#This Row],[Tot Smi]],-1,0)-TblConstr[[#This Row],[Dest Smi]]</f>
        <v>0</v>
      </c>
      <c r="BC47" s="189" cm="1">
        <f t="array" aca="1" ref="BC47" ca="1">IF(TblConstr[[#This Row],[Hour]:[Hour]]&gt;12,OFFSET(TblConstr[[#This Row],[Mas]],-12,0),0)+OFFSET(TblConstr[[#This Row],[Tot Mas]],-1,0)-TblConstr[[#This Row],[Dest Mas]]</f>
        <v>0</v>
      </c>
      <c r="BD47" s="190" cm="1">
        <f t="array" aca="1" ref="BD47" ca="1">IF(TblConstr[[#This Row],[Hour]:[Hour]]&gt;12,OFFSET(TblConstr[[#This Row],[Ly]],-12,0),0)+OFFSET(TblConstr[[#This Row],[Tot Ly]],-1,0)-TblConstr[[#This Row],[Dest Ly]]</f>
        <v>20</v>
      </c>
      <c r="BE47" s="190" cm="1">
        <f t="array" aca="1" ref="BE47" ca="1">IF(TblConstr[[#This Row],[Hour]:[Hour]]&gt;12,OFFSET(TblConstr[[#This Row],[Hav]],-12,0),0)+OFFSET(TblConstr[[#This Row],[Tot Hav]],-1,0)-TblConstr[[#This Row],[Dest Hav]]</f>
        <v>0</v>
      </c>
      <c r="BF47" s="361" cm="1">
        <f t="array" aca="1" ref="BF47" ca="1">IF(TblConstr[[#This Row],[Hour]:[Hour]]&gt;12,OFFSET(TblConstr[[#This Row],[OM]],-12,0),0)+OFFSET(TblConstr[[#This Row],[Tot OM]],-1,0)-TblConstr[[#This Row],[Dest OM]]</f>
        <v>0</v>
      </c>
      <c r="BG47" s="361" cm="1">
        <f t="array" aca="1" ref="BG47" ca="1">IF(TblConstr[[#This Row],[Hour]:[Hour]]&gt;12,OFFSET(TblConstr[[#This Row],[GN]],-12,0),0)+OFFSET(TblConstr[[#This Row],[Tot GN]],-1,0)-TblConstr[[#This Row],[Dest GN]]</f>
        <v>0</v>
      </c>
      <c r="BH47" s="365" cm="1">
        <f t="array" aca="1" ref="BH47" ca="1">IF(TblConstr[[#This Row],[Hour]:[Hour]]&gt;12,OFFSET(TblConstr[[#This Row],[Fac]],-12,0),0)+OFFSET(TblConstr[[#This Row],[Tot Fac]],-1,0)-TblConstr[[#This Row],[Dest Fac]]</f>
        <v>0</v>
      </c>
      <c r="BI47" s="365" cm="1">
        <f t="array" aca="1" ref="BI47" ca="1">IF(TblConstr[[#This Row],[Hour]:[Hour]]&gt;12,OFFSET(TblConstr[[#This Row],[GT]],-12,0),0)+OFFSET(TblConstr[[#This Row],[Tot GT]],-1,0)-TblConstr[[#This Row],[Dest GT]]</f>
        <v>0</v>
      </c>
      <c r="BJ47" s="365" cm="1">
        <f t="array" aca="1" ref="BJ47" ca="1">IF(TblConstr[[#This Row],[Hour]:[Hour]]&gt;12,OFFSET(TblConstr[[#This Row],[Bar]],-12,0),0)+OFFSET(TblConstr[[#This Row],[Tot Bar]],-1,0)-TblConstr[[#This Row],[Dest Bar]]</f>
        <v>0</v>
      </c>
      <c r="BK47" s="365" cm="1">
        <f t="array" aca="1" ref="BK47" ca="1">IF(TblConstr[[#This Row],[Hour]:[Hour]]&gt;12,OFFSET(TblConstr[[#This Row],[Shr]],-12,0),0)+OFFSET(TblConstr[[#This Row],[Tot Shr]],-1,0)-TblConstr[[#This Row],[Dest Shr]]</f>
        <v>0</v>
      </c>
      <c r="BL47" s="369" cm="1">
        <f t="array" aca="1" ref="BL47" ca="1">IF(TblConstr[[#This Row],[Hour]:[Hour]]&gt;12,OFFSET(TblConstr[[#This Row],[Tow]],-12,0),0)+OFFSET(TblConstr[[#This Row],[Tot Tow]],-1,0)-TblConstr[[#This Row],[Dest Tow]]</f>
        <v>0</v>
      </c>
      <c r="BM47" s="369" cm="1">
        <f t="array" aca="1" ref="BM47" ca="1">IF(TblConstr[[#This Row],[Hour]:[Hour]]&gt;12,OFFSET(TblConstr[[#This Row],[Tem]],-12,0),0)+OFFSET(TblConstr[[#This Row],[Tot Tem]],-1,0)-TblConstr[[#This Row],[Dest Tem]]</f>
        <v>0</v>
      </c>
      <c r="BN47" s="369" cm="1">
        <f t="array" aca="1" ref="BN47" ca="1">IF(TblConstr[[#This Row],[Hour]:[Hour]]&gt;12,OFFSET(TblConstr[[#This Row],[WG]],-12,0),0)+OFFSET(TblConstr[[#This Row],[Tot WG]],-1,0)-TblConstr[[#This Row],[Dest WG]]</f>
        <v>0</v>
      </c>
      <c r="BO47" s="191" cm="1">
        <f t="array" aca="1" ref="BO47" ca="1">IF(TblConstr[[#This Row],[Hour]:[Hour]]&gt;12,OFFSET(TblConstr[[#This Row],[DM]],-12,0),0)+OFFSET(TblConstr[[#This Row],[Tot DM]],-1,0)-TblConstr[[#This Row],[Dest DM]]</f>
        <v>0</v>
      </c>
      <c r="BP47" s="191" cm="1">
        <f t="array" aca="1" ref="BP47" ca="1">IF(TblConstr[[#This Row],[Hour]:[Hour]]&gt;12,OFFSET(TblConstr[[#This Row],[Sch]],-12,0),0)+OFFSET(TblConstr[[#This Row],[Tot Sch]],-1,0)-TblConstr[[#This Row],[Dest Sch]]</f>
        <v>0</v>
      </c>
      <c r="BQ47" s="192" cm="1">
        <f t="array" aca="1" ref="BQ47" ca="1">IF(TblConstr[[#This Row],[Hour]:[Hour]]&gt;12,OFFSET(TblConstr[[#This Row],[Doc]],-12,0),0)+OFFSET(TblConstr[[#This Row],[Tot Doc]],-1,0)-TblConstr[[#This Row],[Dest Doc]]</f>
        <v>0</v>
      </c>
      <c r="BR47" s="142"/>
      <c r="BS47" s="154"/>
      <c r="BT47" s="94">
        <f ca="1">TblConstr[[#This Row],[Land]]</f>
        <v>110</v>
      </c>
      <c r="BU47" s="159">
        <f ca="1">TblImps[[#This Row],[Time]]</f>
        <v>46048.791666666562</v>
      </c>
      <c r="BV47" s="142"/>
      <c r="BW47" s="179"/>
      <c r="BX47" s="179"/>
      <c r="BY47" s="179"/>
      <c r="BZ47" s="179"/>
      <c r="CA47" s="179"/>
      <c r="CB47" s="179"/>
      <c r="CC47" s="179"/>
      <c r="CD47" s="179"/>
      <c r="CE47" s="179"/>
      <c r="CF47" s="179"/>
      <c r="CG47" s="179"/>
      <c r="CH47" s="179"/>
      <c r="CI47" s="179"/>
      <c r="CJ47" s="179"/>
      <c r="CK47" s="179"/>
      <c r="CL47" s="179"/>
      <c r="CM47" s="179"/>
      <c r="CN47" s="179"/>
      <c r="CO47" s="179"/>
      <c r="CP47" s="142"/>
      <c r="CQ47" s="181">
        <f ca="1">-SUM(TblConstr[[#This Row],[Alc]:[Mas]])+SUM(TblConstr[[#This Row],[Dest Alc]:[Dest Mas]])+Rezone!L47+IF("Ch_"&amp; home_land=TblConstr[[#Headers],[Ch_Plain]],TblConstr[[#This Row],[Home Land]])+IF(TblConstr[[#This Row],[Hour]:[Hour]]&gt;12,OFFSET(TblExplore[[#This Row],[Plains Explore]],-12,0),0)</f>
        <v>0</v>
      </c>
      <c r="CR47" s="182">
        <f ca="1">-SUM(TblConstr[[#This Row],[Ly]:[Hav]])+SUM(TblConstr[[#This Row],[Dest Ly]:[Dest Hav]]) +Rezone!M47 + IF("Ch_"&amp; home_land=TblConstr[[#Headers],[Ch_Forest]],TblConstr[[#This Row],[Home Land]])+IF(TblConstr[[#This Row],[Hour]:[Hour]]&gt;12,OFFSET(TblExplore[[#This Row],[Forest Explore]],-12,0),0)</f>
        <v>0</v>
      </c>
      <c r="CS47" s="359">
        <f ca="1">-SUM(TblConstr[[#This Row],[OM]:[GN]])+SUM(TblConstr[[#This Row],[Dest OM]:[Dest GN]]) +Rezone!N47 + IF("Ch_"&amp; home_land=TblConstr[[#Headers],[Ch_Mountain]],TblConstr[[#This Row],[Home Land]])+IF(TblConstr[[#This Row],[Hour]:[Hour]]&gt;12,OFFSET(TblExplore[[#This Row],[Mountain Explore]],-12,0),0)</f>
        <v>0</v>
      </c>
      <c r="CT47" s="183">
        <f ca="1">-SUM(TblConstr[[#This Row],[Fac]:[Shr]])+SUM(TblConstr[[#This Row],[Dest Fac]:[Dest Shr]]) +Rezone!O47 + IF("Ch_" &amp; home_land=TblConstr[[#Headers],[Ch_Hill]],TblConstr[[#This Row],[Home Land]])+IF(TblConstr[[#This Row],[Hour]:[Hour]]&gt;12,OFFSET(TblExplore[[#This Row],[Hill Explore]],-12,0),0)</f>
        <v>0</v>
      </c>
      <c r="CU47" s="184">
        <f ca="1">-SUM(TblConstr[[#This Row],[Tow]:[WG]])+SUM(TblConstr[[#This Row],[Dest Tow]:[Dest WG]]) +Rezone!P47 + IF("Ch_" &amp; home_land=TblConstr[[#Headers],[Ch_Swamp]],TblConstr[[#This Row],[Home Land]])+IF(TblConstr[[#This Row],[Hour]:[Hour]]&gt;12,OFFSET(TblExplore[[#This Row],[Swamp Explore]],-12,0),0)</f>
        <v>0</v>
      </c>
      <c r="CV47" s="185">
        <f ca="1" xml:space="preserve"> - SUM(TblConstr[[#This Row],[DM]:[Sch]])+SUM(TblConstr[[#This Row],[Dest DM]:[Dest Sch]]) +Rezone!Q47 + IF("Ch_" &amp; home_land=TblConstr[[#Headers],[Ch_Cavern]],TblConstr[[#This Row],[Home Land]])+IF(TblConstr[[#This Row],[Hour]:[Hour]]&gt;12,OFFSET(TblExplore[[#This Row],[Cavern Explore]],-12,0),0)</f>
        <v>0</v>
      </c>
      <c r="CW47" s="186">
        <f ca="1">-TblConstr[[#This Row],[Doc]]+TblConstr[[#This Row],[Dest Doc]] +Rezone!R47 + IF("Ch_" &amp; home_land=TblConstr[[#Headers],[Ch_Water]],TblConstr[[#This Row],[Home Land]])+IF(TblConstr[[#This Row],[Hour]:[Hour]]&gt;12,OFFSET(TblExplore[[#This Row],[Water Explore]],-12,0),0)</f>
        <v>0</v>
      </c>
      <c r="CX47" s="45">
        <f>IF(Explore!S47=1,20) - TblConstr[[#This Row],[Hom]] + TblConstr[[#This Row],[Dest Hom]]</f>
        <v>0</v>
      </c>
      <c r="CY47" s="142"/>
      <c r="CZ47" s="94">
        <f t="shared" ca="1" si="3"/>
        <v>90</v>
      </c>
      <c r="DA47" s="94">
        <f t="shared" ca="1" si="4"/>
        <v>20</v>
      </c>
      <c r="DB47" s="45">
        <f t="shared" ca="1" si="5"/>
        <v>0</v>
      </c>
      <c r="DC47" s="94">
        <f t="shared" ca="1" si="6"/>
        <v>0</v>
      </c>
      <c r="DD47" s="94">
        <f t="shared" ca="1" si="7"/>
        <v>0</v>
      </c>
      <c r="DE47" s="45">
        <f t="shared" ca="1" si="8"/>
        <v>0</v>
      </c>
      <c r="DF47" s="94">
        <f t="shared" ca="1" si="9"/>
        <v>0</v>
      </c>
      <c r="DG47" s="94" cm="1">
        <f t="array" aca="1" ref="DG47" ca="1">INDEX(TblConstr[[Total Plain]:[Total Water]],ROW()-ROW(TblConstr[#Headers]),MATCH("Total "&amp;home_land,TblConstr[[#Headers],[Total Plain]:[Total Water]],0))+TblConstr[[#This Row],[Homes]]</f>
        <v>90</v>
      </c>
      <c r="DH47" s="45">
        <f t="shared" ca="1" si="10"/>
        <v>0</v>
      </c>
      <c r="DI47" s="45">
        <f t="shared" ca="1" si="0"/>
        <v>0</v>
      </c>
      <c r="DJ47" s="45">
        <f t="shared" ca="1" si="1"/>
        <v>0</v>
      </c>
    </row>
    <row r="48" spans="1:114" x14ac:dyDescent="0.2">
      <c r="A48" s="175">
        <f>TblRezone[[#This Row],[Hour]]</f>
        <v>45</v>
      </c>
      <c r="B48" s="176">
        <f ca="1">SUM(TblConstr[[#This Row],[Plain]:[Water]])</f>
        <v>60</v>
      </c>
      <c r="C48" s="177">
        <f ca="1">SUM(TblConstr[[#This Row],[Tot Hom]:[Tot Doc]])</f>
        <v>50</v>
      </c>
      <c r="D48" s="177">
        <f t="shared" si="11"/>
        <v>0</v>
      </c>
      <c r="E48" s="178"/>
      <c r="F48" s="61">
        <f ca="1">TblConstr[[#This Row],[Barren]]+TblConstr[[#This Row],[Buildings]]+TblConstr[[#This Row],[Incoming]]</f>
        <v>110</v>
      </c>
      <c r="G48" s="187">
        <f ca="1">OFFSET(TblConstr[[#This Row],[Plain]],-1,0)+TblConstr[[#This Row],[Ch_Plain]]</f>
        <v>60</v>
      </c>
      <c r="H48" s="182">
        <f ca="1">OFFSET(TblConstr[[#This Row],[Forest]],-1,0)+TblConstr[[#This Row],[Ch_Forest]]</f>
        <v>0</v>
      </c>
      <c r="I48" s="359">
        <f ca="1">OFFSET(TblConstr[[#This Row],[Mountain]],-1,0)+TblConstr[[#This Row],[Ch_Mountain]]</f>
        <v>0</v>
      </c>
      <c r="J48" s="363">
        <f ca="1">OFFSET(TblConstr[[#This Row],[Hill]],-1,0)+TblConstr[[#This Row],[Ch_Hill]]</f>
        <v>0</v>
      </c>
      <c r="K48" s="367">
        <f ca="1">OFFSET(TblConstr[[#This Row],[Swamp]],-1,0)+TblConstr[[#This Row],[Ch_Swamp]]</f>
        <v>0</v>
      </c>
      <c r="L48" s="185">
        <f ca="1">OFFSET(TblConstr[[#This Row],[Cavern]],-1,0)+TblConstr[[#This Row],[Ch_Cavern]]</f>
        <v>0</v>
      </c>
      <c r="M48" s="186">
        <f ca="1">OFFSET(TblConstr[[#This Row],[Water]],-1,0)+TblConstr[[#This Row],[Ch_Water]]</f>
        <v>0</v>
      </c>
      <c r="N48" s="357">
        <f>TblRezone[[#This Row],[Hour]]</f>
        <v>45</v>
      </c>
      <c r="O48" s="179"/>
      <c r="P48" s="179"/>
      <c r="Q48" s="179"/>
      <c r="R48" s="158"/>
      <c r="S48" s="179"/>
      <c r="T48" s="179"/>
      <c r="U48" s="179"/>
      <c r="V48" s="179"/>
      <c r="W48" s="179"/>
      <c r="X48" s="179"/>
      <c r="Y48" s="179"/>
      <c r="Z48" s="179"/>
      <c r="AA48" s="179"/>
      <c r="AB48" s="179"/>
      <c r="AC48" s="179"/>
      <c r="AD48" s="179"/>
      <c r="AE48" s="179"/>
      <c r="AF48" s="179"/>
      <c r="AG48" s="179"/>
      <c r="AH48" s="53">
        <f ca="1">TblImps[[#This Row],[Time]]</f>
        <v>46048.833333333227</v>
      </c>
      <c r="AI48" s="180">
        <f ca="1">MIN(25%,(TblConstr[[#This Row],[Tot Fac]]+TblConstr[[#This Row],[Dest Fac]])/(TblConstr[[#This Row],[Land]]-TblExplore[[#This Row],[Land Bonus]]*20))</f>
        <v>0</v>
      </c>
      <c r="AJ48" s="180">
        <f ca="1">MIN(25%,(TblConstr[[#This Row],[Tot Fac]]+TblConstr[[#This Row],[Dest Fac]])/TblConstr[[#This Row],[Land]])</f>
        <v>0</v>
      </c>
      <c r="AK48" s="94">
        <f ca="1">TblProd[[#This Row],[Platinum]]</f>
        <v>125965</v>
      </c>
      <c r="AL48" s="94">
        <f ca="1">TblProd[[#This Row],[Lumber]]</f>
        <v>45377</v>
      </c>
      <c r="AM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8" s="94">
        <f ca="1">ROUNDDOWN( MAX(1 - MIN(facs_constr_factor*TblConstr[[#This Row],[Facs -DB]],facs_constr_max) + tech_1_11*TblTech[[#This Row],[11-1]] + tech_6_3_2*TblTech[[#This Row],[6-3]] + tech_5_2_3*TblTech[[#This Row],[5-2]], 1-global_constr_cap) * TblConstr[[#This Row],[RCPA Lumber]],0)</f>
        <v>48</v>
      </c>
      <c r="AO4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8" s="94">
        <f ca="1">ROUNDDOWN( MAX(1 - MIN(facs_constr_factor*TblConstr[[#This Row],[Facs DB]],facs_constr_max) + tech_1_11*TblTech[[#This Row],[1-11]] + tech_6_3_2*TblTech[[#This Row],[6-3]] + tech_5_2_3*TblTech[[#This Row],[5-2]], 1-global_constr_cap) * ROUND((TblConstr[[#This Row],[Land]]-250)*0.285 + 87.5 + 0/4.25,0),0)</f>
        <v>48</v>
      </c>
      <c r="AQ48" s="45">
        <f ca="1">TblConstr[[#This Row],[build -db]]*TblConstr[[#This Row],[CPA Platinum -DB]] + TblConstr[[#This Row],[build db]]*TblConstr[[#This Row],[CPA Platinum DB]]</f>
        <v>0</v>
      </c>
      <c r="AR48" s="45">
        <f ca="1">TblConstr[[#This Row],[build -db]]*TblConstr[[#This Row],[CPA Lumber -DB]] + TblConstr[[#This Row],[build db]]*TblConstr[[#This Row],[CPA Lumber DB]]</f>
        <v>0</v>
      </c>
      <c r="AS48" s="94">
        <f ca="1">MIN(SUM(OFFSET(TblConstr[[#This Row],[Plain]:[Water]],-1,0))+SUM(TblConstr[[#This Row],[Dest Hom]:[Dest Doc]])+IF(TblConstr[[#This Row],[Hour]]&gt;12,SUM(OFFSET(TblExplore[[#This Row],[Plains Explore]:[Water Explore]],-12,0)),0),SUM(TblConstr[[#This Row],[Hom]:[Doc]]))</f>
        <v>0</v>
      </c>
      <c r="AT4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8" s="142"/>
      <c r="AV48" s="94">
        <f ca="1">ROUND((TblConstr[[#This Row],[Land]]-250 - IF(TblExplore[[#This Row],[Land Bonus]]&lt;&gt;0,20,0))*1.25 + 850 + 0,0)</f>
        <v>675</v>
      </c>
      <c r="AW48" s="94">
        <f ca="1">ROUND((TblConstr[[#This Row],[Land]]-250 - IF(TblExplore[[#This Row],[Land Bonus]]&lt;&gt;0,20,0))*0.285 + 87.5 + 0/4.25,0)</f>
        <v>48</v>
      </c>
      <c r="AX48" s="154"/>
      <c r="AY48" s="188" cm="1">
        <f t="array" aca="1" ref="AY48" ca="1">IF(TblConstr[[#This Row],[Hour]:[Hour]]&gt;12,OFFSET(TblConstr[[#This Row],[Hom]],-12,0),0)+OFFSET(TblConstr[[#This Row],[Tot Hom]],-1,0)-TblConstr[[#This Row],[Dest Hom]]</f>
        <v>0</v>
      </c>
      <c r="AZ48" s="189" cm="1">
        <f t="array" aca="1" ref="AZ48" ca="1">IF(TblConstr[[#This Row],[Hour]:[Hour]]&gt;12,OFFSET(TblConstr[[#This Row],[Alc]],-12,0),0)+OFFSET(TblConstr[[#This Row],[Tot Alc]],-1,0)-TblConstr[[#This Row],[Dest Alc]]</f>
        <v>0</v>
      </c>
      <c r="BA48" s="189" cm="1">
        <f t="array" aca="1" ref="BA48" ca="1">IF(TblConstr[[#This Row],[Hour]:[Hour]]&gt;12,OFFSET(TblConstr[[#This Row],[Far]],-12,0),0)+OFFSET(TblConstr[[#This Row],[Tot Farm]],-1,0)-TblConstr[[#This Row],[Dest Farm]]</f>
        <v>30</v>
      </c>
      <c r="BB48" s="189" cm="1">
        <f t="array" aca="1" ref="BB48" ca="1">IF(TblConstr[[#This Row],[Hour]:[Hour]]&gt;12,OFFSET(TblConstr[[#This Row],[Smi]],-12,0),0)+OFFSET(TblConstr[[#This Row],[Tot Smi]],-1,0)-TblConstr[[#This Row],[Dest Smi]]</f>
        <v>0</v>
      </c>
      <c r="BC48" s="189" cm="1">
        <f t="array" aca="1" ref="BC48" ca="1">IF(TblConstr[[#This Row],[Hour]:[Hour]]&gt;12,OFFSET(TblConstr[[#This Row],[Mas]],-12,0),0)+OFFSET(TblConstr[[#This Row],[Tot Mas]],-1,0)-TblConstr[[#This Row],[Dest Mas]]</f>
        <v>0</v>
      </c>
      <c r="BD48" s="190" cm="1">
        <f t="array" aca="1" ref="BD48" ca="1">IF(TblConstr[[#This Row],[Hour]:[Hour]]&gt;12,OFFSET(TblConstr[[#This Row],[Ly]],-12,0),0)+OFFSET(TblConstr[[#This Row],[Tot Ly]],-1,0)-TblConstr[[#This Row],[Dest Ly]]</f>
        <v>20</v>
      </c>
      <c r="BE48" s="190" cm="1">
        <f t="array" aca="1" ref="BE48" ca="1">IF(TblConstr[[#This Row],[Hour]:[Hour]]&gt;12,OFFSET(TblConstr[[#This Row],[Hav]],-12,0),0)+OFFSET(TblConstr[[#This Row],[Tot Hav]],-1,0)-TblConstr[[#This Row],[Dest Hav]]</f>
        <v>0</v>
      </c>
      <c r="BF48" s="361" cm="1">
        <f t="array" aca="1" ref="BF48" ca="1">IF(TblConstr[[#This Row],[Hour]:[Hour]]&gt;12,OFFSET(TblConstr[[#This Row],[OM]],-12,0),0)+OFFSET(TblConstr[[#This Row],[Tot OM]],-1,0)-TblConstr[[#This Row],[Dest OM]]</f>
        <v>0</v>
      </c>
      <c r="BG48" s="361" cm="1">
        <f t="array" aca="1" ref="BG48" ca="1">IF(TblConstr[[#This Row],[Hour]:[Hour]]&gt;12,OFFSET(TblConstr[[#This Row],[GN]],-12,0),0)+OFFSET(TblConstr[[#This Row],[Tot GN]],-1,0)-TblConstr[[#This Row],[Dest GN]]</f>
        <v>0</v>
      </c>
      <c r="BH48" s="365" cm="1">
        <f t="array" aca="1" ref="BH48" ca="1">IF(TblConstr[[#This Row],[Hour]:[Hour]]&gt;12,OFFSET(TblConstr[[#This Row],[Fac]],-12,0),0)+OFFSET(TblConstr[[#This Row],[Tot Fac]],-1,0)-TblConstr[[#This Row],[Dest Fac]]</f>
        <v>0</v>
      </c>
      <c r="BI48" s="365" cm="1">
        <f t="array" aca="1" ref="BI48" ca="1">IF(TblConstr[[#This Row],[Hour]:[Hour]]&gt;12,OFFSET(TblConstr[[#This Row],[GT]],-12,0),0)+OFFSET(TblConstr[[#This Row],[Tot GT]],-1,0)-TblConstr[[#This Row],[Dest GT]]</f>
        <v>0</v>
      </c>
      <c r="BJ48" s="365" cm="1">
        <f t="array" aca="1" ref="BJ48" ca="1">IF(TblConstr[[#This Row],[Hour]:[Hour]]&gt;12,OFFSET(TblConstr[[#This Row],[Bar]],-12,0),0)+OFFSET(TblConstr[[#This Row],[Tot Bar]],-1,0)-TblConstr[[#This Row],[Dest Bar]]</f>
        <v>0</v>
      </c>
      <c r="BK48" s="365" cm="1">
        <f t="array" aca="1" ref="BK48" ca="1">IF(TblConstr[[#This Row],[Hour]:[Hour]]&gt;12,OFFSET(TblConstr[[#This Row],[Shr]],-12,0),0)+OFFSET(TblConstr[[#This Row],[Tot Shr]],-1,0)-TblConstr[[#This Row],[Dest Shr]]</f>
        <v>0</v>
      </c>
      <c r="BL48" s="369" cm="1">
        <f t="array" aca="1" ref="BL48" ca="1">IF(TblConstr[[#This Row],[Hour]:[Hour]]&gt;12,OFFSET(TblConstr[[#This Row],[Tow]],-12,0),0)+OFFSET(TblConstr[[#This Row],[Tot Tow]],-1,0)-TblConstr[[#This Row],[Dest Tow]]</f>
        <v>0</v>
      </c>
      <c r="BM48" s="369" cm="1">
        <f t="array" aca="1" ref="BM48" ca="1">IF(TblConstr[[#This Row],[Hour]:[Hour]]&gt;12,OFFSET(TblConstr[[#This Row],[Tem]],-12,0),0)+OFFSET(TblConstr[[#This Row],[Tot Tem]],-1,0)-TblConstr[[#This Row],[Dest Tem]]</f>
        <v>0</v>
      </c>
      <c r="BN48" s="369" cm="1">
        <f t="array" aca="1" ref="BN48" ca="1">IF(TblConstr[[#This Row],[Hour]:[Hour]]&gt;12,OFFSET(TblConstr[[#This Row],[WG]],-12,0),0)+OFFSET(TblConstr[[#This Row],[Tot WG]],-1,0)-TblConstr[[#This Row],[Dest WG]]</f>
        <v>0</v>
      </c>
      <c r="BO48" s="191" cm="1">
        <f t="array" aca="1" ref="BO48" ca="1">IF(TblConstr[[#This Row],[Hour]:[Hour]]&gt;12,OFFSET(TblConstr[[#This Row],[DM]],-12,0),0)+OFFSET(TblConstr[[#This Row],[Tot DM]],-1,0)-TblConstr[[#This Row],[Dest DM]]</f>
        <v>0</v>
      </c>
      <c r="BP48" s="191" cm="1">
        <f t="array" aca="1" ref="BP48" ca="1">IF(TblConstr[[#This Row],[Hour]:[Hour]]&gt;12,OFFSET(TblConstr[[#This Row],[Sch]],-12,0),0)+OFFSET(TblConstr[[#This Row],[Tot Sch]],-1,0)-TblConstr[[#This Row],[Dest Sch]]</f>
        <v>0</v>
      </c>
      <c r="BQ48" s="192" cm="1">
        <f t="array" aca="1" ref="BQ48" ca="1">IF(TblConstr[[#This Row],[Hour]:[Hour]]&gt;12,OFFSET(TblConstr[[#This Row],[Doc]],-12,0),0)+OFFSET(TblConstr[[#This Row],[Tot Doc]],-1,0)-TblConstr[[#This Row],[Dest Doc]]</f>
        <v>0</v>
      </c>
      <c r="BR48" s="142"/>
      <c r="BS48" s="154"/>
      <c r="BT48" s="94">
        <f ca="1">TblConstr[[#This Row],[Land]]</f>
        <v>110</v>
      </c>
      <c r="BU48" s="159">
        <f ca="1">TblImps[[#This Row],[Time]]</f>
        <v>46048.833333333227</v>
      </c>
      <c r="BV48" s="142"/>
      <c r="BW48" s="179"/>
      <c r="BX48" s="179"/>
      <c r="BY48" s="179"/>
      <c r="BZ48" s="179"/>
      <c r="CA48" s="179"/>
      <c r="CB48" s="179"/>
      <c r="CC48" s="179"/>
      <c r="CD48" s="179"/>
      <c r="CE48" s="179"/>
      <c r="CF48" s="179"/>
      <c r="CG48" s="179"/>
      <c r="CH48" s="179"/>
      <c r="CI48" s="179"/>
      <c r="CJ48" s="179"/>
      <c r="CK48" s="179"/>
      <c r="CL48" s="179"/>
      <c r="CM48" s="179"/>
      <c r="CN48" s="179"/>
      <c r="CO48" s="179"/>
      <c r="CP48" s="142"/>
      <c r="CQ48" s="181">
        <f ca="1">-SUM(TblConstr[[#This Row],[Alc]:[Mas]])+SUM(TblConstr[[#This Row],[Dest Alc]:[Dest Mas]])+Rezone!L48+IF("Ch_"&amp; home_land=TblConstr[[#Headers],[Ch_Plain]],TblConstr[[#This Row],[Home Land]])+IF(TblConstr[[#This Row],[Hour]:[Hour]]&gt;12,OFFSET(TblExplore[[#This Row],[Plains Explore]],-12,0),0)</f>
        <v>0</v>
      </c>
      <c r="CR48" s="182">
        <f ca="1">-SUM(TblConstr[[#This Row],[Ly]:[Hav]])+SUM(TblConstr[[#This Row],[Dest Ly]:[Dest Hav]]) +Rezone!M48 + IF("Ch_"&amp; home_land=TblConstr[[#Headers],[Ch_Forest]],TblConstr[[#This Row],[Home Land]])+IF(TblConstr[[#This Row],[Hour]:[Hour]]&gt;12,OFFSET(TblExplore[[#This Row],[Forest Explore]],-12,0),0)</f>
        <v>0</v>
      </c>
      <c r="CS48" s="359">
        <f ca="1">-SUM(TblConstr[[#This Row],[OM]:[GN]])+SUM(TblConstr[[#This Row],[Dest OM]:[Dest GN]]) +Rezone!N48 + IF("Ch_"&amp; home_land=TblConstr[[#Headers],[Ch_Mountain]],TblConstr[[#This Row],[Home Land]])+IF(TblConstr[[#This Row],[Hour]:[Hour]]&gt;12,OFFSET(TblExplore[[#This Row],[Mountain Explore]],-12,0),0)</f>
        <v>0</v>
      </c>
      <c r="CT48" s="183">
        <f ca="1">-SUM(TblConstr[[#This Row],[Fac]:[Shr]])+SUM(TblConstr[[#This Row],[Dest Fac]:[Dest Shr]]) +Rezone!O48 + IF("Ch_" &amp; home_land=TblConstr[[#Headers],[Ch_Hill]],TblConstr[[#This Row],[Home Land]])+IF(TblConstr[[#This Row],[Hour]:[Hour]]&gt;12,OFFSET(TblExplore[[#This Row],[Hill Explore]],-12,0),0)</f>
        <v>0</v>
      </c>
      <c r="CU48" s="184">
        <f ca="1">-SUM(TblConstr[[#This Row],[Tow]:[WG]])+SUM(TblConstr[[#This Row],[Dest Tow]:[Dest WG]]) +Rezone!P48 + IF("Ch_" &amp; home_land=TblConstr[[#Headers],[Ch_Swamp]],TblConstr[[#This Row],[Home Land]])+IF(TblConstr[[#This Row],[Hour]:[Hour]]&gt;12,OFFSET(TblExplore[[#This Row],[Swamp Explore]],-12,0),0)</f>
        <v>0</v>
      </c>
      <c r="CV48" s="185">
        <f ca="1" xml:space="preserve"> - SUM(TblConstr[[#This Row],[DM]:[Sch]])+SUM(TblConstr[[#This Row],[Dest DM]:[Dest Sch]]) +Rezone!Q48 + IF("Ch_" &amp; home_land=TblConstr[[#Headers],[Ch_Cavern]],TblConstr[[#This Row],[Home Land]])+IF(TblConstr[[#This Row],[Hour]:[Hour]]&gt;12,OFFSET(TblExplore[[#This Row],[Cavern Explore]],-12,0),0)</f>
        <v>0</v>
      </c>
      <c r="CW48" s="186">
        <f ca="1">-TblConstr[[#This Row],[Doc]]+TblConstr[[#This Row],[Dest Doc]] +Rezone!R48 + IF("Ch_" &amp; home_land=TblConstr[[#Headers],[Ch_Water]],TblConstr[[#This Row],[Home Land]])+IF(TblConstr[[#This Row],[Hour]:[Hour]]&gt;12,OFFSET(TblExplore[[#This Row],[Water Explore]],-12,0),0)</f>
        <v>0</v>
      </c>
      <c r="CX48" s="45">
        <f>IF(Explore!S48=1,20) - TblConstr[[#This Row],[Hom]] + TblConstr[[#This Row],[Dest Hom]]</f>
        <v>0</v>
      </c>
      <c r="CY48" s="142"/>
      <c r="CZ48" s="94">
        <f t="shared" ref="CZ48:CZ79" ca="1" si="12">G48+SUM(P37:S48)+SUM(AZ48:BC48)</f>
        <v>90</v>
      </c>
      <c r="DA48" s="94">
        <f t="shared" ref="DA48:DA79" ca="1" si="13">H48+SUM(T37:U48)+SUM(BD48:BE48)</f>
        <v>20</v>
      </c>
      <c r="DB48" s="45">
        <f t="shared" ref="DB48:DB79" ca="1" si="14">I48+SUM(V37:W48)+SUM(BF48:BG48)</f>
        <v>0</v>
      </c>
      <c r="DC48" s="94">
        <f t="shared" ref="DC48:DC79" ca="1" si="15">J48+SUM(X37:Y48)+SUM(BH48:BI48)</f>
        <v>0</v>
      </c>
      <c r="DD48" s="94">
        <f t="shared" ref="DD48:DD79" ca="1" si="16">K48+SUM(AB37:AD48)+SUM(BL48:BN48)</f>
        <v>0</v>
      </c>
      <c r="DE48" s="45">
        <f t="shared" ref="DE48:DE79" ca="1" si="17">L48+SUM(AE37:AE48)+BO48</f>
        <v>0</v>
      </c>
      <c r="DF48" s="94">
        <f t="shared" ref="DF48:DF79" ca="1" si="18">M48+SUM(AG37:AG48)+BQ48</f>
        <v>0</v>
      </c>
      <c r="DG48" s="94" cm="1">
        <f t="array" aca="1" ref="DG48" ca="1">INDEX(TblConstr[[Total Plain]:[Total Water]],ROW()-ROW(TblConstr[#Headers]),MATCH("Total "&amp;home_land,TblConstr[[#Headers],[Total Plain]:[Total Water]],0))+TblConstr[[#This Row],[Homes]]</f>
        <v>90</v>
      </c>
      <c r="DH48" s="45">
        <f t="shared" ca="1" si="10"/>
        <v>0</v>
      </c>
      <c r="DI48" s="45">
        <f t="shared" ca="1" si="0"/>
        <v>0</v>
      </c>
      <c r="DJ48" s="45">
        <f t="shared" ca="1" si="1"/>
        <v>0</v>
      </c>
    </row>
    <row r="49" spans="1:114" x14ac:dyDescent="0.2">
      <c r="A49" s="175">
        <f>TblRezone[[#This Row],[Hour]]</f>
        <v>46</v>
      </c>
      <c r="B49" s="176">
        <f ca="1">SUM(TblConstr[[#This Row],[Plain]:[Water]])</f>
        <v>60</v>
      </c>
      <c r="C49" s="177">
        <f ca="1">SUM(TblConstr[[#This Row],[Tot Hom]:[Tot Doc]])</f>
        <v>50</v>
      </c>
      <c r="D49" s="177">
        <f t="shared" si="11"/>
        <v>0</v>
      </c>
      <c r="E49" s="178"/>
      <c r="F49" s="61">
        <f ca="1">TblConstr[[#This Row],[Barren]]+TblConstr[[#This Row],[Buildings]]+TblConstr[[#This Row],[Incoming]]</f>
        <v>110</v>
      </c>
      <c r="G49" s="187">
        <f ca="1">OFFSET(TblConstr[[#This Row],[Plain]],-1,0)+TblConstr[[#This Row],[Ch_Plain]]</f>
        <v>60</v>
      </c>
      <c r="H49" s="182">
        <f ca="1">OFFSET(TblConstr[[#This Row],[Forest]],-1,0)+TblConstr[[#This Row],[Ch_Forest]]</f>
        <v>0</v>
      </c>
      <c r="I49" s="359">
        <f ca="1">OFFSET(TblConstr[[#This Row],[Mountain]],-1,0)+TblConstr[[#This Row],[Ch_Mountain]]</f>
        <v>0</v>
      </c>
      <c r="J49" s="363">
        <f ca="1">OFFSET(TblConstr[[#This Row],[Hill]],-1,0)+TblConstr[[#This Row],[Ch_Hill]]</f>
        <v>0</v>
      </c>
      <c r="K49" s="367">
        <f ca="1">OFFSET(TblConstr[[#This Row],[Swamp]],-1,0)+TblConstr[[#This Row],[Ch_Swamp]]</f>
        <v>0</v>
      </c>
      <c r="L49" s="185">
        <f ca="1">OFFSET(TblConstr[[#This Row],[Cavern]],-1,0)+TblConstr[[#This Row],[Ch_Cavern]]</f>
        <v>0</v>
      </c>
      <c r="M49" s="186">
        <f ca="1">OFFSET(TblConstr[[#This Row],[Water]],-1,0)+TblConstr[[#This Row],[Ch_Water]]</f>
        <v>0</v>
      </c>
      <c r="N49" s="357">
        <f>TblRezone[[#This Row],[Hour]]</f>
        <v>46</v>
      </c>
      <c r="O49" s="179"/>
      <c r="P49" s="179"/>
      <c r="Q49" s="179"/>
      <c r="R49" s="158"/>
      <c r="S49" s="179"/>
      <c r="T49" s="179"/>
      <c r="U49" s="179"/>
      <c r="V49" s="179"/>
      <c r="W49" s="179"/>
      <c r="X49" s="179"/>
      <c r="Y49" s="179"/>
      <c r="Z49" s="179"/>
      <c r="AA49" s="179"/>
      <c r="AB49" s="179"/>
      <c r="AC49" s="179"/>
      <c r="AD49" s="179"/>
      <c r="AE49" s="179"/>
      <c r="AF49" s="179"/>
      <c r="AG49" s="179"/>
      <c r="AH49" s="53">
        <f ca="1">TblImps[[#This Row],[Time]]</f>
        <v>46048.874999999891</v>
      </c>
      <c r="AI49" s="180">
        <f ca="1">MIN(25%,(TblConstr[[#This Row],[Tot Fac]]+TblConstr[[#This Row],[Dest Fac]])/(TblConstr[[#This Row],[Land]]-TblExplore[[#This Row],[Land Bonus]]*20))</f>
        <v>0</v>
      </c>
      <c r="AJ49" s="180">
        <f ca="1">MIN(25%,(TblConstr[[#This Row],[Tot Fac]]+TblConstr[[#This Row],[Dest Fac]])/TblConstr[[#This Row],[Land]])</f>
        <v>0</v>
      </c>
      <c r="AK49" s="94">
        <f ca="1">TblProd[[#This Row],[Platinum]]</f>
        <v>127701</v>
      </c>
      <c r="AL49" s="94">
        <f ca="1">TblProd[[#This Row],[Lumber]]</f>
        <v>45923</v>
      </c>
      <c r="AM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49" s="94">
        <f ca="1">ROUNDDOWN( MAX(1 - MIN(facs_constr_factor*TblConstr[[#This Row],[Facs -DB]],facs_constr_max) + tech_1_11*TblTech[[#This Row],[11-1]] + tech_6_3_2*TblTech[[#This Row],[6-3]] + tech_5_2_3*TblTech[[#This Row],[5-2]], 1-global_constr_cap) * TblConstr[[#This Row],[RCPA Lumber]],0)</f>
        <v>48</v>
      </c>
      <c r="AO4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49" s="94">
        <f ca="1">ROUNDDOWN( MAX(1 - MIN(facs_constr_factor*TblConstr[[#This Row],[Facs DB]],facs_constr_max) + tech_1_11*TblTech[[#This Row],[1-11]] + tech_6_3_2*TblTech[[#This Row],[6-3]] + tech_5_2_3*TblTech[[#This Row],[5-2]], 1-global_constr_cap) * ROUND((TblConstr[[#This Row],[Land]]-250)*0.285 + 87.5 + 0/4.25,0),0)</f>
        <v>48</v>
      </c>
      <c r="AQ49" s="45">
        <f ca="1">TblConstr[[#This Row],[build -db]]*TblConstr[[#This Row],[CPA Platinum -DB]] + TblConstr[[#This Row],[build db]]*TblConstr[[#This Row],[CPA Platinum DB]]</f>
        <v>0</v>
      </c>
      <c r="AR49" s="45">
        <f ca="1">TblConstr[[#This Row],[build -db]]*TblConstr[[#This Row],[CPA Lumber -DB]] + TblConstr[[#This Row],[build db]]*TblConstr[[#This Row],[CPA Lumber DB]]</f>
        <v>0</v>
      </c>
      <c r="AS49" s="94">
        <f ca="1">MIN(SUM(OFFSET(TblConstr[[#This Row],[Plain]:[Water]],-1,0))+SUM(TblConstr[[#This Row],[Dest Hom]:[Dest Doc]])+IF(TblConstr[[#This Row],[Hour]]&gt;12,SUM(OFFSET(TblExplore[[#This Row],[Plains Explore]:[Water Explore]],-12,0)),0),SUM(TblConstr[[#This Row],[Hom]:[Doc]]))</f>
        <v>0</v>
      </c>
      <c r="AT4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49" s="142"/>
      <c r="AV49" s="94">
        <f ca="1">ROUND((TblConstr[[#This Row],[Land]]-250 - IF(TblExplore[[#This Row],[Land Bonus]]&lt;&gt;0,20,0))*1.25 + 850 + 0,0)</f>
        <v>675</v>
      </c>
      <c r="AW49" s="94">
        <f ca="1">ROUND((TblConstr[[#This Row],[Land]]-250 - IF(TblExplore[[#This Row],[Land Bonus]]&lt;&gt;0,20,0))*0.285 + 87.5 + 0/4.25,0)</f>
        <v>48</v>
      </c>
      <c r="AX49" s="154"/>
      <c r="AY49" s="188" cm="1">
        <f t="array" aca="1" ref="AY49" ca="1">IF(TblConstr[[#This Row],[Hour]:[Hour]]&gt;12,OFFSET(TblConstr[[#This Row],[Hom]],-12,0),0)+OFFSET(TblConstr[[#This Row],[Tot Hom]],-1,0)-TblConstr[[#This Row],[Dest Hom]]</f>
        <v>0</v>
      </c>
      <c r="AZ49" s="189" cm="1">
        <f t="array" aca="1" ref="AZ49" ca="1">IF(TblConstr[[#This Row],[Hour]:[Hour]]&gt;12,OFFSET(TblConstr[[#This Row],[Alc]],-12,0),0)+OFFSET(TblConstr[[#This Row],[Tot Alc]],-1,0)-TblConstr[[#This Row],[Dest Alc]]</f>
        <v>0</v>
      </c>
      <c r="BA49" s="189" cm="1">
        <f t="array" aca="1" ref="BA49" ca="1">IF(TblConstr[[#This Row],[Hour]:[Hour]]&gt;12,OFFSET(TblConstr[[#This Row],[Far]],-12,0),0)+OFFSET(TblConstr[[#This Row],[Tot Farm]],-1,0)-TblConstr[[#This Row],[Dest Farm]]</f>
        <v>30</v>
      </c>
      <c r="BB49" s="189" cm="1">
        <f t="array" aca="1" ref="BB49" ca="1">IF(TblConstr[[#This Row],[Hour]:[Hour]]&gt;12,OFFSET(TblConstr[[#This Row],[Smi]],-12,0),0)+OFFSET(TblConstr[[#This Row],[Tot Smi]],-1,0)-TblConstr[[#This Row],[Dest Smi]]</f>
        <v>0</v>
      </c>
      <c r="BC49" s="189" cm="1">
        <f t="array" aca="1" ref="BC49" ca="1">IF(TblConstr[[#This Row],[Hour]:[Hour]]&gt;12,OFFSET(TblConstr[[#This Row],[Mas]],-12,0),0)+OFFSET(TblConstr[[#This Row],[Tot Mas]],-1,0)-TblConstr[[#This Row],[Dest Mas]]</f>
        <v>0</v>
      </c>
      <c r="BD49" s="190" cm="1">
        <f t="array" aca="1" ref="BD49" ca="1">IF(TblConstr[[#This Row],[Hour]:[Hour]]&gt;12,OFFSET(TblConstr[[#This Row],[Ly]],-12,0),0)+OFFSET(TblConstr[[#This Row],[Tot Ly]],-1,0)-TblConstr[[#This Row],[Dest Ly]]</f>
        <v>20</v>
      </c>
      <c r="BE49" s="190" cm="1">
        <f t="array" aca="1" ref="BE49" ca="1">IF(TblConstr[[#This Row],[Hour]:[Hour]]&gt;12,OFFSET(TblConstr[[#This Row],[Hav]],-12,0),0)+OFFSET(TblConstr[[#This Row],[Tot Hav]],-1,0)-TblConstr[[#This Row],[Dest Hav]]</f>
        <v>0</v>
      </c>
      <c r="BF49" s="361" cm="1">
        <f t="array" aca="1" ref="BF49" ca="1">IF(TblConstr[[#This Row],[Hour]:[Hour]]&gt;12,OFFSET(TblConstr[[#This Row],[OM]],-12,0),0)+OFFSET(TblConstr[[#This Row],[Tot OM]],-1,0)-TblConstr[[#This Row],[Dest OM]]</f>
        <v>0</v>
      </c>
      <c r="BG49" s="361" cm="1">
        <f t="array" aca="1" ref="BG49" ca="1">IF(TblConstr[[#This Row],[Hour]:[Hour]]&gt;12,OFFSET(TblConstr[[#This Row],[GN]],-12,0),0)+OFFSET(TblConstr[[#This Row],[Tot GN]],-1,0)-TblConstr[[#This Row],[Dest GN]]</f>
        <v>0</v>
      </c>
      <c r="BH49" s="365" cm="1">
        <f t="array" aca="1" ref="BH49" ca="1">IF(TblConstr[[#This Row],[Hour]:[Hour]]&gt;12,OFFSET(TblConstr[[#This Row],[Fac]],-12,0),0)+OFFSET(TblConstr[[#This Row],[Tot Fac]],-1,0)-TblConstr[[#This Row],[Dest Fac]]</f>
        <v>0</v>
      </c>
      <c r="BI49" s="365" cm="1">
        <f t="array" aca="1" ref="BI49" ca="1">IF(TblConstr[[#This Row],[Hour]:[Hour]]&gt;12,OFFSET(TblConstr[[#This Row],[GT]],-12,0),0)+OFFSET(TblConstr[[#This Row],[Tot GT]],-1,0)-TblConstr[[#This Row],[Dest GT]]</f>
        <v>0</v>
      </c>
      <c r="BJ49" s="365" cm="1">
        <f t="array" aca="1" ref="BJ49" ca="1">IF(TblConstr[[#This Row],[Hour]:[Hour]]&gt;12,OFFSET(TblConstr[[#This Row],[Bar]],-12,0),0)+OFFSET(TblConstr[[#This Row],[Tot Bar]],-1,0)-TblConstr[[#This Row],[Dest Bar]]</f>
        <v>0</v>
      </c>
      <c r="BK49" s="365" cm="1">
        <f t="array" aca="1" ref="BK49" ca="1">IF(TblConstr[[#This Row],[Hour]:[Hour]]&gt;12,OFFSET(TblConstr[[#This Row],[Shr]],-12,0),0)+OFFSET(TblConstr[[#This Row],[Tot Shr]],-1,0)-TblConstr[[#This Row],[Dest Shr]]</f>
        <v>0</v>
      </c>
      <c r="BL49" s="369" cm="1">
        <f t="array" aca="1" ref="BL49" ca="1">IF(TblConstr[[#This Row],[Hour]:[Hour]]&gt;12,OFFSET(TblConstr[[#This Row],[Tow]],-12,0),0)+OFFSET(TblConstr[[#This Row],[Tot Tow]],-1,0)-TblConstr[[#This Row],[Dest Tow]]</f>
        <v>0</v>
      </c>
      <c r="BM49" s="369" cm="1">
        <f t="array" aca="1" ref="BM49" ca="1">IF(TblConstr[[#This Row],[Hour]:[Hour]]&gt;12,OFFSET(TblConstr[[#This Row],[Tem]],-12,0),0)+OFFSET(TblConstr[[#This Row],[Tot Tem]],-1,0)-TblConstr[[#This Row],[Dest Tem]]</f>
        <v>0</v>
      </c>
      <c r="BN49" s="369" cm="1">
        <f t="array" aca="1" ref="BN49" ca="1">IF(TblConstr[[#This Row],[Hour]:[Hour]]&gt;12,OFFSET(TblConstr[[#This Row],[WG]],-12,0),0)+OFFSET(TblConstr[[#This Row],[Tot WG]],-1,0)-TblConstr[[#This Row],[Dest WG]]</f>
        <v>0</v>
      </c>
      <c r="BO49" s="191" cm="1">
        <f t="array" aca="1" ref="BO49" ca="1">IF(TblConstr[[#This Row],[Hour]:[Hour]]&gt;12,OFFSET(TblConstr[[#This Row],[DM]],-12,0),0)+OFFSET(TblConstr[[#This Row],[Tot DM]],-1,0)-TblConstr[[#This Row],[Dest DM]]</f>
        <v>0</v>
      </c>
      <c r="BP49" s="191" cm="1">
        <f t="array" aca="1" ref="BP49" ca="1">IF(TblConstr[[#This Row],[Hour]:[Hour]]&gt;12,OFFSET(TblConstr[[#This Row],[Sch]],-12,0),0)+OFFSET(TblConstr[[#This Row],[Tot Sch]],-1,0)-TblConstr[[#This Row],[Dest Sch]]</f>
        <v>0</v>
      </c>
      <c r="BQ49" s="192" cm="1">
        <f t="array" aca="1" ref="BQ49" ca="1">IF(TblConstr[[#This Row],[Hour]:[Hour]]&gt;12,OFFSET(TblConstr[[#This Row],[Doc]],-12,0),0)+OFFSET(TblConstr[[#This Row],[Tot Doc]],-1,0)-TblConstr[[#This Row],[Dest Doc]]</f>
        <v>0</v>
      </c>
      <c r="BR49" s="142"/>
      <c r="BS49" s="154"/>
      <c r="BT49" s="94">
        <f ca="1">TblConstr[[#This Row],[Land]]</f>
        <v>110</v>
      </c>
      <c r="BU49" s="159">
        <f ca="1">TblImps[[#This Row],[Time]]</f>
        <v>46048.874999999891</v>
      </c>
      <c r="BV49" s="142"/>
      <c r="BW49" s="179"/>
      <c r="BX49" s="179"/>
      <c r="BY49" s="179"/>
      <c r="BZ49" s="179"/>
      <c r="CA49" s="179"/>
      <c r="CB49" s="179"/>
      <c r="CC49" s="179"/>
      <c r="CD49" s="179"/>
      <c r="CE49" s="179"/>
      <c r="CF49" s="179"/>
      <c r="CG49" s="179"/>
      <c r="CH49" s="179"/>
      <c r="CI49" s="179"/>
      <c r="CJ49" s="179"/>
      <c r="CK49" s="179"/>
      <c r="CL49" s="179"/>
      <c r="CM49" s="179"/>
      <c r="CN49" s="179"/>
      <c r="CO49" s="179"/>
      <c r="CP49" s="142"/>
      <c r="CQ49" s="181">
        <f ca="1">-SUM(TblConstr[[#This Row],[Alc]:[Mas]])+SUM(TblConstr[[#This Row],[Dest Alc]:[Dest Mas]])+Rezone!L49+IF("Ch_"&amp; home_land=TblConstr[[#Headers],[Ch_Plain]],TblConstr[[#This Row],[Home Land]])+IF(TblConstr[[#This Row],[Hour]:[Hour]]&gt;12,OFFSET(TblExplore[[#This Row],[Plains Explore]],-12,0),0)</f>
        <v>0</v>
      </c>
      <c r="CR49" s="182">
        <f ca="1">-SUM(TblConstr[[#This Row],[Ly]:[Hav]])+SUM(TblConstr[[#This Row],[Dest Ly]:[Dest Hav]]) +Rezone!M49 + IF("Ch_"&amp; home_land=TblConstr[[#Headers],[Ch_Forest]],TblConstr[[#This Row],[Home Land]])+IF(TblConstr[[#This Row],[Hour]:[Hour]]&gt;12,OFFSET(TblExplore[[#This Row],[Forest Explore]],-12,0),0)</f>
        <v>0</v>
      </c>
      <c r="CS49" s="359">
        <f ca="1">-SUM(TblConstr[[#This Row],[OM]:[GN]])+SUM(TblConstr[[#This Row],[Dest OM]:[Dest GN]]) +Rezone!N49 + IF("Ch_"&amp; home_land=TblConstr[[#Headers],[Ch_Mountain]],TblConstr[[#This Row],[Home Land]])+IF(TblConstr[[#This Row],[Hour]:[Hour]]&gt;12,OFFSET(TblExplore[[#This Row],[Mountain Explore]],-12,0),0)</f>
        <v>0</v>
      </c>
      <c r="CT49" s="183">
        <f ca="1">-SUM(TblConstr[[#This Row],[Fac]:[Shr]])+SUM(TblConstr[[#This Row],[Dest Fac]:[Dest Shr]]) +Rezone!O49 + IF("Ch_" &amp; home_land=TblConstr[[#Headers],[Ch_Hill]],TblConstr[[#This Row],[Home Land]])+IF(TblConstr[[#This Row],[Hour]:[Hour]]&gt;12,OFFSET(TblExplore[[#This Row],[Hill Explore]],-12,0),0)</f>
        <v>0</v>
      </c>
      <c r="CU49" s="184">
        <f ca="1">-SUM(TblConstr[[#This Row],[Tow]:[WG]])+SUM(TblConstr[[#This Row],[Dest Tow]:[Dest WG]]) +Rezone!P49 + IF("Ch_" &amp; home_land=TblConstr[[#Headers],[Ch_Swamp]],TblConstr[[#This Row],[Home Land]])+IF(TblConstr[[#This Row],[Hour]:[Hour]]&gt;12,OFFSET(TblExplore[[#This Row],[Swamp Explore]],-12,0),0)</f>
        <v>0</v>
      </c>
      <c r="CV49" s="185">
        <f ca="1" xml:space="preserve"> - SUM(TblConstr[[#This Row],[DM]:[Sch]])+SUM(TblConstr[[#This Row],[Dest DM]:[Dest Sch]]) +Rezone!Q49 + IF("Ch_" &amp; home_land=TblConstr[[#Headers],[Ch_Cavern]],TblConstr[[#This Row],[Home Land]])+IF(TblConstr[[#This Row],[Hour]:[Hour]]&gt;12,OFFSET(TblExplore[[#This Row],[Cavern Explore]],-12,0),0)</f>
        <v>0</v>
      </c>
      <c r="CW49" s="186">
        <f ca="1">-TblConstr[[#This Row],[Doc]]+TblConstr[[#This Row],[Dest Doc]] +Rezone!R49 + IF("Ch_" &amp; home_land=TblConstr[[#Headers],[Ch_Water]],TblConstr[[#This Row],[Home Land]])+IF(TblConstr[[#This Row],[Hour]:[Hour]]&gt;12,OFFSET(TblExplore[[#This Row],[Water Explore]],-12,0),0)</f>
        <v>0</v>
      </c>
      <c r="CX49" s="45">
        <f>IF(Explore!S49=1,20) - TblConstr[[#This Row],[Hom]] + TblConstr[[#This Row],[Dest Hom]]</f>
        <v>0</v>
      </c>
      <c r="CY49" s="142"/>
      <c r="CZ49" s="94">
        <f t="shared" ca="1" si="12"/>
        <v>90</v>
      </c>
      <c r="DA49" s="94">
        <f t="shared" ca="1" si="13"/>
        <v>20</v>
      </c>
      <c r="DB49" s="45">
        <f t="shared" ca="1" si="14"/>
        <v>0</v>
      </c>
      <c r="DC49" s="94">
        <f t="shared" ca="1" si="15"/>
        <v>0</v>
      </c>
      <c r="DD49" s="94">
        <f t="shared" ca="1" si="16"/>
        <v>0</v>
      </c>
      <c r="DE49" s="45">
        <f t="shared" ca="1" si="17"/>
        <v>0</v>
      </c>
      <c r="DF49" s="94">
        <f t="shared" ca="1" si="18"/>
        <v>0</v>
      </c>
      <c r="DG49" s="94" cm="1">
        <f t="array" aca="1" ref="DG49" ca="1">INDEX(TblConstr[[Total Plain]:[Total Water]],ROW()-ROW(TblConstr[#Headers]),MATCH("Total "&amp;home_land,TblConstr[[#Headers],[Total Plain]:[Total Water]],0))+TblConstr[[#This Row],[Homes]]</f>
        <v>90</v>
      </c>
      <c r="DH49" s="45">
        <f t="shared" ca="1" si="10"/>
        <v>0</v>
      </c>
      <c r="DI49" s="45">
        <f t="shared" ca="1" si="0"/>
        <v>0</v>
      </c>
      <c r="DJ49" s="45">
        <f t="shared" ca="1" si="1"/>
        <v>0</v>
      </c>
    </row>
    <row r="50" spans="1:114" x14ac:dyDescent="0.2">
      <c r="A50" s="175">
        <f>TblRezone[[#This Row],[Hour]]</f>
        <v>47</v>
      </c>
      <c r="B50" s="176">
        <f ca="1">SUM(TblConstr[[#This Row],[Plain]:[Water]])</f>
        <v>60</v>
      </c>
      <c r="C50" s="177">
        <f ca="1">SUM(TblConstr[[#This Row],[Tot Hom]:[Tot Doc]])</f>
        <v>50</v>
      </c>
      <c r="D50" s="177">
        <f t="shared" si="11"/>
        <v>0</v>
      </c>
      <c r="E50" s="178"/>
      <c r="F50" s="61">
        <f ca="1">TblConstr[[#This Row],[Barren]]+TblConstr[[#This Row],[Buildings]]+TblConstr[[#This Row],[Incoming]]</f>
        <v>110</v>
      </c>
      <c r="G50" s="187">
        <f ca="1">OFFSET(TblConstr[[#This Row],[Plain]],-1,0)+TblConstr[[#This Row],[Ch_Plain]]</f>
        <v>60</v>
      </c>
      <c r="H50" s="182">
        <f ca="1">OFFSET(TblConstr[[#This Row],[Forest]],-1,0)+TblConstr[[#This Row],[Ch_Forest]]</f>
        <v>0</v>
      </c>
      <c r="I50" s="359">
        <f ca="1">OFFSET(TblConstr[[#This Row],[Mountain]],-1,0)+TblConstr[[#This Row],[Ch_Mountain]]</f>
        <v>0</v>
      </c>
      <c r="J50" s="363">
        <f ca="1">OFFSET(TblConstr[[#This Row],[Hill]],-1,0)+TblConstr[[#This Row],[Ch_Hill]]</f>
        <v>0</v>
      </c>
      <c r="K50" s="367">
        <f ca="1">OFFSET(TblConstr[[#This Row],[Swamp]],-1,0)+TblConstr[[#This Row],[Ch_Swamp]]</f>
        <v>0</v>
      </c>
      <c r="L50" s="185">
        <f ca="1">OFFSET(TblConstr[[#This Row],[Cavern]],-1,0)+TblConstr[[#This Row],[Ch_Cavern]]</f>
        <v>0</v>
      </c>
      <c r="M50" s="186">
        <f ca="1">OFFSET(TblConstr[[#This Row],[Water]],-1,0)+TblConstr[[#This Row],[Ch_Water]]</f>
        <v>0</v>
      </c>
      <c r="N50" s="357">
        <f>TblRezone[[#This Row],[Hour]]</f>
        <v>47</v>
      </c>
      <c r="O50" s="179"/>
      <c r="P50" s="179"/>
      <c r="Q50" s="179"/>
      <c r="R50" s="158"/>
      <c r="S50" s="179"/>
      <c r="T50" s="179"/>
      <c r="U50" s="179"/>
      <c r="V50" s="179"/>
      <c r="W50" s="179"/>
      <c r="X50" s="179"/>
      <c r="Y50" s="179"/>
      <c r="Z50" s="179"/>
      <c r="AA50" s="179"/>
      <c r="AB50" s="179"/>
      <c r="AC50" s="179"/>
      <c r="AD50" s="179"/>
      <c r="AE50" s="179"/>
      <c r="AF50" s="179"/>
      <c r="AG50" s="179"/>
      <c r="AH50" s="53">
        <f ca="1">TblImps[[#This Row],[Time]]</f>
        <v>46048.916666666555</v>
      </c>
      <c r="AI50" s="180">
        <f ca="1">MIN(25%,(TblConstr[[#This Row],[Tot Fac]]+TblConstr[[#This Row],[Dest Fac]])/(TblConstr[[#This Row],[Land]]-TblExplore[[#This Row],[Land Bonus]]*20))</f>
        <v>0</v>
      </c>
      <c r="AJ50" s="180">
        <f ca="1">MIN(25%,(TblConstr[[#This Row],[Tot Fac]]+TblConstr[[#This Row],[Dest Fac]])/TblConstr[[#This Row],[Land]])</f>
        <v>0</v>
      </c>
      <c r="AK50" s="94">
        <f ca="1">TblProd[[#This Row],[Platinum]]</f>
        <v>129420</v>
      </c>
      <c r="AL50" s="94">
        <f ca="1">TblProd[[#This Row],[Lumber]]</f>
        <v>46464</v>
      </c>
      <c r="AM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0" s="94">
        <f ca="1">ROUNDDOWN( MAX(1 - MIN(facs_constr_factor*TblConstr[[#This Row],[Facs -DB]],facs_constr_max) + tech_1_11*TblTech[[#This Row],[11-1]] + tech_6_3_2*TblTech[[#This Row],[6-3]] + tech_5_2_3*TblTech[[#This Row],[5-2]], 1-global_constr_cap) * TblConstr[[#This Row],[RCPA Lumber]],0)</f>
        <v>48</v>
      </c>
      <c r="AO5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0" s="94">
        <f ca="1">ROUNDDOWN( MAX(1 - MIN(facs_constr_factor*TblConstr[[#This Row],[Facs DB]],facs_constr_max) + tech_1_11*TblTech[[#This Row],[1-11]] + tech_6_3_2*TblTech[[#This Row],[6-3]] + tech_5_2_3*TblTech[[#This Row],[5-2]], 1-global_constr_cap) * ROUND((TblConstr[[#This Row],[Land]]-250)*0.285 + 87.5 + 0/4.25,0),0)</f>
        <v>48</v>
      </c>
      <c r="AQ50" s="45">
        <f ca="1">TblConstr[[#This Row],[build -db]]*TblConstr[[#This Row],[CPA Platinum -DB]] + TblConstr[[#This Row],[build db]]*TblConstr[[#This Row],[CPA Platinum DB]]</f>
        <v>0</v>
      </c>
      <c r="AR50" s="45">
        <f ca="1">TblConstr[[#This Row],[build -db]]*TblConstr[[#This Row],[CPA Lumber -DB]] + TblConstr[[#This Row],[build db]]*TblConstr[[#This Row],[CPA Lumber DB]]</f>
        <v>0</v>
      </c>
      <c r="AS50" s="94">
        <f ca="1">MIN(SUM(OFFSET(TblConstr[[#This Row],[Plain]:[Water]],-1,0))+SUM(TblConstr[[#This Row],[Dest Hom]:[Dest Doc]])+IF(TblConstr[[#This Row],[Hour]]&gt;12,SUM(OFFSET(TblExplore[[#This Row],[Plains Explore]:[Water Explore]],-12,0)),0),SUM(TblConstr[[#This Row],[Hom]:[Doc]]))</f>
        <v>0</v>
      </c>
      <c r="AT5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0" s="142"/>
      <c r="AV50" s="94">
        <f ca="1">ROUND((TblConstr[[#This Row],[Land]]-250 - IF(TblExplore[[#This Row],[Land Bonus]]&lt;&gt;0,20,0))*1.25 + 850 + 0,0)</f>
        <v>675</v>
      </c>
      <c r="AW50" s="94">
        <f ca="1">ROUND((TblConstr[[#This Row],[Land]]-250 - IF(TblExplore[[#This Row],[Land Bonus]]&lt;&gt;0,20,0))*0.285 + 87.5 + 0/4.25,0)</f>
        <v>48</v>
      </c>
      <c r="AX50" s="154"/>
      <c r="AY50" s="188" cm="1">
        <f t="array" aca="1" ref="AY50" ca="1">IF(TblConstr[[#This Row],[Hour]:[Hour]]&gt;12,OFFSET(TblConstr[[#This Row],[Hom]],-12,0),0)+OFFSET(TblConstr[[#This Row],[Tot Hom]],-1,0)-TblConstr[[#This Row],[Dest Hom]]</f>
        <v>0</v>
      </c>
      <c r="AZ50" s="189" cm="1">
        <f t="array" aca="1" ref="AZ50" ca="1">IF(TblConstr[[#This Row],[Hour]:[Hour]]&gt;12,OFFSET(TblConstr[[#This Row],[Alc]],-12,0),0)+OFFSET(TblConstr[[#This Row],[Tot Alc]],-1,0)-TblConstr[[#This Row],[Dest Alc]]</f>
        <v>0</v>
      </c>
      <c r="BA50" s="189" cm="1">
        <f t="array" aca="1" ref="BA50" ca="1">IF(TblConstr[[#This Row],[Hour]:[Hour]]&gt;12,OFFSET(TblConstr[[#This Row],[Far]],-12,0),0)+OFFSET(TblConstr[[#This Row],[Tot Farm]],-1,0)-TblConstr[[#This Row],[Dest Farm]]</f>
        <v>30</v>
      </c>
      <c r="BB50" s="189" cm="1">
        <f t="array" aca="1" ref="BB50" ca="1">IF(TblConstr[[#This Row],[Hour]:[Hour]]&gt;12,OFFSET(TblConstr[[#This Row],[Smi]],-12,0),0)+OFFSET(TblConstr[[#This Row],[Tot Smi]],-1,0)-TblConstr[[#This Row],[Dest Smi]]</f>
        <v>0</v>
      </c>
      <c r="BC50" s="189" cm="1">
        <f t="array" aca="1" ref="BC50" ca="1">IF(TblConstr[[#This Row],[Hour]:[Hour]]&gt;12,OFFSET(TblConstr[[#This Row],[Mas]],-12,0),0)+OFFSET(TblConstr[[#This Row],[Tot Mas]],-1,0)-TblConstr[[#This Row],[Dest Mas]]</f>
        <v>0</v>
      </c>
      <c r="BD50" s="190" cm="1">
        <f t="array" aca="1" ref="BD50" ca="1">IF(TblConstr[[#This Row],[Hour]:[Hour]]&gt;12,OFFSET(TblConstr[[#This Row],[Ly]],-12,0),0)+OFFSET(TblConstr[[#This Row],[Tot Ly]],-1,0)-TblConstr[[#This Row],[Dest Ly]]</f>
        <v>20</v>
      </c>
      <c r="BE50" s="190" cm="1">
        <f t="array" aca="1" ref="BE50" ca="1">IF(TblConstr[[#This Row],[Hour]:[Hour]]&gt;12,OFFSET(TblConstr[[#This Row],[Hav]],-12,0),0)+OFFSET(TblConstr[[#This Row],[Tot Hav]],-1,0)-TblConstr[[#This Row],[Dest Hav]]</f>
        <v>0</v>
      </c>
      <c r="BF50" s="361" cm="1">
        <f t="array" aca="1" ref="BF50" ca="1">IF(TblConstr[[#This Row],[Hour]:[Hour]]&gt;12,OFFSET(TblConstr[[#This Row],[OM]],-12,0),0)+OFFSET(TblConstr[[#This Row],[Tot OM]],-1,0)-TblConstr[[#This Row],[Dest OM]]</f>
        <v>0</v>
      </c>
      <c r="BG50" s="361" cm="1">
        <f t="array" aca="1" ref="BG50" ca="1">IF(TblConstr[[#This Row],[Hour]:[Hour]]&gt;12,OFFSET(TblConstr[[#This Row],[GN]],-12,0),0)+OFFSET(TblConstr[[#This Row],[Tot GN]],-1,0)-TblConstr[[#This Row],[Dest GN]]</f>
        <v>0</v>
      </c>
      <c r="BH50" s="365" cm="1">
        <f t="array" aca="1" ref="BH50" ca="1">IF(TblConstr[[#This Row],[Hour]:[Hour]]&gt;12,OFFSET(TblConstr[[#This Row],[Fac]],-12,0),0)+OFFSET(TblConstr[[#This Row],[Tot Fac]],-1,0)-TblConstr[[#This Row],[Dest Fac]]</f>
        <v>0</v>
      </c>
      <c r="BI50" s="365" cm="1">
        <f t="array" aca="1" ref="BI50" ca="1">IF(TblConstr[[#This Row],[Hour]:[Hour]]&gt;12,OFFSET(TblConstr[[#This Row],[GT]],-12,0),0)+OFFSET(TblConstr[[#This Row],[Tot GT]],-1,0)-TblConstr[[#This Row],[Dest GT]]</f>
        <v>0</v>
      </c>
      <c r="BJ50" s="365" cm="1">
        <f t="array" aca="1" ref="BJ50" ca="1">IF(TblConstr[[#This Row],[Hour]:[Hour]]&gt;12,OFFSET(TblConstr[[#This Row],[Bar]],-12,0),0)+OFFSET(TblConstr[[#This Row],[Tot Bar]],-1,0)-TblConstr[[#This Row],[Dest Bar]]</f>
        <v>0</v>
      </c>
      <c r="BK50" s="365" cm="1">
        <f t="array" aca="1" ref="BK50" ca="1">IF(TblConstr[[#This Row],[Hour]:[Hour]]&gt;12,OFFSET(TblConstr[[#This Row],[Shr]],-12,0),0)+OFFSET(TblConstr[[#This Row],[Tot Shr]],-1,0)-TblConstr[[#This Row],[Dest Shr]]</f>
        <v>0</v>
      </c>
      <c r="BL50" s="369" cm="1">
        <f t="array" aca="1" ref="BL50" ca="1">IF(TblConstr[[#This Row],[Hour]:[Hour]]&gt;12,OFFSET(TblConstr[[#This Row],[Tow]],-12,0),0)+OFFSET(TblConstr[[#This Row],[Tot Tow]],-1,0)-TblConstr[[#This Row],[Dest Tow]]</f>
        <v>0</v>
      </c>
      <c r="BM50" s="369" cm="1">
        <f t="array" aca="1" ref="BM50" ca="1">IF(TblConstr[[#This Row],[Hour]:[Hour]]&gt;12,OFFSET(TblConstr[[#This Row],[Tem]],-12,0),0)+OFFSET(TblConstr[[#This Row],[Tot Tem]],-1,0)-TblConstr[[#This Row],[Dest Tem]]</f>
        <v>0</v>
      </c>
      <c r="BN50" s="369" cm="1">
        <f t="array" aca="1" ref="BN50" ca="1">IF(TblConstr[[#This Row],[Hour]:[Hour]]&gt;12,OFFSET(TblConstr[[#This Row],[WG]],-12,0),0)+OFFSET(TblConstr[[#This Row],[Tot WG]],-1,0)-TblConstr[[#This Row],[Dest WG]]</f>
        <v>0</v>
      </c>
      <c r="BO50" s="191" cm="1">
        <f t="array" aca="1" ref="BO50" ca="1">IF(TblConstr[[#This Row],[Hour]:[Hour]]&gt;12,OFFSET(TblConstr[[#This Row],[DM]],-12,0),0)+OFFSET(TblConstr[[#This Row],[Tot DM]],-1,0)-TblConstr[[#This Row],[Dest DM]]</f>
        <v>0</v>
      </c>
      <c r="BP50" s="191" cm="1">
        <f t="array" aca="1" ref="BP50" ca="1">IF(TblConstr[[#This Row],[Hour]:[Hour]]&gt;12,OFFSET(TblConstr[[#This Row],[Sch]],-12,0),0)+OFFSET(TblConstr[[#This Row],[Tot Sch]],-1,0)-TblConstr[[#This Row],[Dest Sch]]</f>
        <v>0</v>
      </c>
      <c r="BQ50" s="192" cm="1">
        <f t="array" aca="1" ref="BQ50" ca="1">IF(TblConstr[[#This Row],[Hour]:[Hour]]&gt;12,OFFSET(TblConstr[[#This Row],[Doc]],-12,0),0)+OFFSET(TblConstr[[#This Row],[Tot Doc]],-1,0)-TblConstr[[#This Row],[Dest Doc]]</f>
        <v>0</v>
      </c>
      <c r="BR50" s="142"/>
      <c r="BS50" s="154"/>
      <c r="BT50" s="94">
        <f ca="1">TblConstr[[#This Row],[Land]]</f>
        <v>110</v>
      </c>
      <c r="BU50" s="159">
        <f ca="1">TblImps[[#This Row],[Time]]</f>
        <v>46048.916666666555</v>
      </c>
      <c r="BV50" s="142"/>
      <c r="BW50" s="179"/>
      <c r="BX50" s="179"/>
      <c r="BY50" s="179"/>
      <c r="BZ50" s="179"/>
      <c r="CA50" s="179"/>
      <c r="CB50" s="179"/>
      <c r="CC50" s="179"/>
      <c r="CD50" s="179"/>
      <c r="CE50" s="179"/>
      <c r="CF50" s="179"/>
      <c r="CG50" s="179"/>
      <c r="CH50" s="179"/>
      <c r="CI50" s="179"/>
      <c r="CJ50" s="179"/>
      <c r="CK50" s="179"/>
      <c r="CL50" s="179"/>
      <c r="CM50" s="179"/>
      <c r="CN50" s="179"/>
      <c r="CO50" s="179"/>
      <c r="CP50" s="142"/>
      <c r="CQ50" s="181">
        <f ca="1">-SUM(TblConstr[[#This Row],[Alc]:[Mas]])+SUM(TblConstr[[#This Row],[Dest Alc]:[Dest Mas]])+Rezone!L50+IF("Ch_"&amp; home_land=TblConstr[[#Headers],[Ch_Plain]],TblConstr[[#This Row],[Home Land]])+IF(TblConstr[[#This Row],[Hour]:[Hour]]&gt;12,OFFSET(TblExplore[[#This Row],[Plains Explore]],-12,0),0)</f>
        <v>0</v>
      </c>
      <c r="CR50" s="182">
        <f ca="1">-SUM(TblConstr[[#This Row],[Ly]:[Hav]])+SUM(TblConstr[[#This Row],[Dest Ly]:[Dest Hav]]) +Rezone!M50 + IF("Ch_"&amp; home_land=TblConstr[[#Headers],[Ch_Forest]],TblConstr[[#This Row],[Home Land]])+IF(TblConstr[[#This Row],[Hour]:[Hour]]&gt;12,OFFSET(TblExplore[[#This Row],[Forest Explore]],-12,0),0)</f>
        <v>0</v>
      </c>
      <c r="CS50" s="359">
        <f ca="1">-SUM(TblConstr[[#This Row],[OM]:[GN]])+SUM(TblConstr[[#This Row],[Dest OM]:[Dest GN]]) +Rezone!N50 + IF("Ch_"&amp; home_land=TblConstr[[#Headers],[Ch_Mountain]],TblConstr[[#This Row],[Home Land]])+IF(TblConstr[[#This Row],[Hour]:[Hour]]&gt;12,OFFSET(TblExplore[[#This Row],[Mountain Explore]],-12,0),0)</f>
        <v>0</v>
      </c>
      <c r="CT50" s="183">
        <f ca="1">-SUM(TblConstr[[#This Row],[Fac]:[Shr]])+SUM(TblConstr[[#This Row],[Dest Fac]:[Dest Shr]]) +Rezone!O50 + IF("Ch_" &amp; home_land=TblConstr[[#Headers],[Ch_Hill]],TblConstr[[#This Row],[Home Land]])+IF(TblConstr[[#This Row],[Hour]:[Hour]]&gt;12,OFFSET(TblExplore[[#This Row],[Hill Explore]],-12,0),0)</f>
        <v>0</v>
      </c>
      <c r="CU50" s="184">
        <f ca="1">-SUM(TblConstr[[#This Row],[Tow]:[WG]])+SUM(TblConstr[[#This Row],[Dest Tow]:[Dest WG]]) +Rezone!P50 + IF("Ch_" &amp; home_land=TblConstr[[#Headers],[Ch_Swamp]],TblConstr[[#This Row],[Home Land]])+IF(TblConstr[[#This Row],[Hour]:[Hour]]&gt;12,OFFSET(TblExplore[[#This Row],[Swamp Explore]],-12,0),0)</f>
        <v>0</v>
      </c>
      <c r="CV50" s="185">
        <f ca="1" xml:space="preserve"> - SUM(TblConstr[[#This Row],[DM]:[Sch]])+SUM(TblConstr[[#This Row],[Dest DM]:[Dest Sch]]) +Rezone!Q50 + IF("Ch_" &amp; home_land=TblConstr[[#Headers],[Ch_Cavern]],TblConstr[[#This Row],[Home Land]])+IF(TblConstr[[#This Row],[Hour]:[Hour]]&gt;12,OFFSET(TblExplore[[#This Row],[Cavern Explore]],-12,0),0)</f>
        <v>0</v>
      </c>
      <c r="CW50" s="186">
        <f ca="1">-TblConstr[[#This Row],[Doc]]+TblConstr[[#This Row],[Dest Doc]] +Rezone!R50 + IF("Ch_" &amp; home_land=TblConstr[[#Headers],[Ch_Water]],TblConstr[[#This Row],[Home Land]])+IF(TblConstr[[#This Row],[Hour]:[Hour]]&gt;12,OFFSET(TblExplore[[#This Row],[Water Explore]],-12,0),0)</f>
        <v>0</v>
      </c>
      <c r="CX50" s="45">
        <f>IF(Explore!S50=1,20) - TblConstr[[#This Row],[Hom]] + TblConstr[[#This Row],[Dest Hom]]</f>
        <v>0</v>
      </c>
      <c r="CY50" s="142"/>
      <c r="CZ50" s="94">
        <f t="shared" ca="1" si="12"/>
        <v>90</v>
      </c>
      <c r="DA50" s="94">
        <f t="shared" ca="1" si="13"/>
        <v>20</v>
      </c>
      <c r="DB50" s="45">
        <f t="shared" ca="1" si="14"/>
        <v>0</v>
      </c>
      <c r="DC50" s="94">
        <f t="shared" ca="1" si="15"/>
        <v>0</v>
      </c>
      <c r="DD50" s="94">
        <f t="shared" ca="1" si="16"/>
        <v>0</v>
      </c>
      <c r="DE50" s="45">
        <f t="shared" ca="1" si="17"/>
        <v>0</v>
      </c>
      <c r="DF50" s="94">
        <f t="shared" ca="1" si="18"/>
        <v>0</v>
      </c>
      <c r="DG50" s="94" cm="1">
        <f t="array" aca="1" ref="DG50" ca="1">INDEX(TblConstr[[Total Plain]:[Total Water]],ROW()-ROW(TblConstr[#Headers]),MATCH("Total "&amp;home_land,TblConstr[[#Headers],[Total Plain]:[Total Water]],0))+TblConstr[[#This Row],[Homes]]</f>
        <v>90</v>
      </c>
      <c r="DH50" s="45">
        <f t="shared" ca="1" si="10"/>
        <v>0</v>
      </c>
      <c r="DI50" s="45">
        <f t="shared" ca="1" si="0"/>
        <v>0</v>
      </c>
      <c r="DJ50" s="45">
        <f t="shared" ca="1" si="1"/>
        <v>0</v>
      </c>
    </row>
    <row r="51" spans="1:114" x14ac:dyDescent="0.2">
      <c r="A51" s="175">
        <f>TblRezone[[#This Row],[Hour]]</f>
        <v>48</v>
      </c>
      <c r="B51" s="176">
        <f ca="1">SUM(TblConstr[[#This Row],[Plain]:[Water]])</f>
        <v>60</v>
      </c>
      <c r="C51" s="177">
        <f ca="1">SUM(TblConstr[[#This Row],[Tot Hom]:[Tot Doc]])</f>
        <v>50</v>
      </c>
      <c r="D51" s="177">
        <f t="shared" si="11"/>
        <v>0</v>
      </c>
      <c r="E51" s="178"/>
      <c r="F51" s="61">
        <f ca="1">TblConstr[[#This Row],[Barren]]+TblConstr[[#This Row],[Buildings]]+TblConstr[[#This Row],[Incoming]]</f>
        <v>110</v>
      </c>
      <c r="G51" s="187">
        <f ca="1">OFFSET(TblConstr[[#This Row],[Plain]],-1,0)+TblConstr[[#This Row],[Ch_Plain]]</f>
        <v>60</v>
      </c>
      <c r="H51" s="182">
        <f ca="1">OFFSET(TblConstr[[#This Row],[Forest]],-1,0)+TblConstr[[#This Row],[Ch_Forest]]</f>
        <v>0</v>
      </c>
      <c r="I51" s="359">
        <f ca="1">OFFSET(TblConstr[[#This Row],[Mountain]],-1,0)+TblConstr[[#This Row],[Ch_Mountain]]</f>
        <v>0</v>
      </c>
      <c r="J51" s="363">
        <f ca="1">OFFSET(TblConstr[[#This Row],[Hill]],-1,0)+TblConstr[[#This Row],[Ch_Hill]]</f>
        <v>0</v>
      </c>
      <c r="K51" s="367">
        <f ca="1">OFFSET(TblConstr[[#This Row],[Swamp]],-1,0)+TblConstr[[#This Row],[Ch_Swamp]]</f>
        <v>0</v>
      </c>
      <c r="L51" s="185">
        <f ca="1">OFFSET(TblConstr[[#This Row],[Cavern]],-1,0)+TblConstr[[#This Row],[Ch_Cavern]]</f>
        <v>0</v>
      </c>
      <c r="M51" s="186">
        <f ca="1">OFFSET(TblConstr[[#This Row],[Water]],-1,0)+TblConstr[[#This Row],[Ch_Water]]</f>
        <v>0</v>
      </c>
      <c r="N51" s="357">
        <f>TblRezone[[#This Row],[Hour]]</f>
        <v>48</v>
      </c>
      <c r="O51" s="179"/>
      <c r="P51" s="179"/>
      <c r="Q51" s="179"/>
      <c r="R51" s="158"/>
      <c r="S51" s="179"/>
      <c r="T51" s="179"/>
      <c r="U51" s="179"/>
      <c r="V51" s="179"/>
      <c r="W51" s="179"/>
      <c r="X51" s="179"/>
      <c r="Y51" s="179"/>
      <c r="Z51" s="179"/>
      <c r="AA51" s="179"/>
      <c r="AB51" s="179"/>
      <c r="AC51" s="179"/>
      <c r="AD51" s="179"/>
      <c r="AE51" s="179"/>
      <c r="AF51" s="179"/>
      <c r="AG51" s="179"/>
      <c r="AH51" s="53">
        <f ca="1">TblImps[[#This Row],[Time]]</f>
        <v>46048.958333333219</v>
      </c>
      <c r="AI51" s="180">
        <f ca="1">MIN(25%,(TblConstr[[#This Row],[Tot Fac]]+TblConstr[[#This Row],[Dest Fac]])/(TblConstr[[#This Row],[Land]]-TblExplore[[#This Row],[Land Bonus]]*20))</f>
        <v>0</v>
      </c>
      <c r="AJ51" s="180">
        <f ca="1">MIN(25%,(TblConstr[[#This Row],[Tot Fac]]+TblConstr[[#This Row],[Dest Fac]])/TblConstr[[#This Row],[Land]])</f>
        <v>0</v>
      </c>
      <c r="AK51" s="94">
        <f ca="1">TblProd[[#This Row],[Platinum]]</f>
        <v>131123</v>
      </c>
      <c r="AL51" s="94">
        <f ca="1">TblProd[[#This Row],[Lumber]]</f>
        <v>46999</v>
      </c>
      <c r="AM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1" s="94">
        <f ca="1">ROUNDDOWN( MAX(1 - MIN(facs_constr_factor*TblConstr[[#This Row],[Facs -DB]],facs_constr_max) + tech_1_11*TblTech[[#This Row],[11-1]] + tech_6_3_2*TblTech[[#This Row],[6-3]] + tech_5_2_3*TblTech[[#This Row],[5-2]], 1-global_constr_cap) * TblConstr[[#This Row],[RCPA Lumber]],0)</f>
        <v>48</v>
      </c>
      <c r="AO5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1" s="94">
        <f ca="1">ROUNDDOWN( MAX(1 - MIN(facs_constr_factor*TblConstr[[#This Row],[Facs DB]],facs_constr_max) + tech_1_11*TblTech[[#This Row],[1-11]] + tech_6_3_2*TblTech[[#This Row],[6-3]] + tech_5_2_3*TblTech[[#This Row],[5-2]], 1-global_constr_cap) * ROUND((TblConstr[[#This Row],[Land]]-250)*0.285 + 87.5 + 0/4.25,0),0)</f>
        <v>48</v>
      </c>
      <c r="AQ51" s="45">
        <f ca="1">TblConstr[[#This Row],[build -db]]*TblConstr[[#This Row],[CPA Platinum -DB]] + TblConstr[[#This Row],[build db]]*TblConstr[[#This Row],[CPA Platinum DB]]</f>
        <v>0</v>
      </c>
      <c r="AR51" s="45">
        <f ca="1">TblConstr[[#This Row],[build -db]]*TblConstr[[#This Row],[CPA Lumber -DB]] + TblConstr[[#This Row],[build db]]*TblConstr[[#This Row],[CPA Lumber DB]]</f>
        <v>0</v>
      </c>
      <c r="AS51" s="94">
        <f ca="1">MIN(SUM(OFFSET(TblConstr[[#This Row],[Plain]:[Water]],-1,0))+SUM(TblConstr[[#This Row],[Dest Hom]:[Dest Doc]])+IF(TblConstr[[#This Row],[Hour]]&gt;12,SUM(OFFSET(TblExplore[[#This Row],[Plains Explore]:[Water Explore]],-12,0)),0),SUM(TblConstr[[#This Row],[Hom]:[Doc]]))</f>
        <v>0</v>
      </c>
      <c r="AT5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1" s="142"/>
      <c r="AV51" s="94">
        <f ca="1">ROUND((TblConstr[[#This Row],[Land]]-250 - IF(TblExplore[[#This Row],[Land Bonus]]&lt;&gt;0,20,0))*1.25 + 850 + 0,0)</f>
        <v>675</v>
      </c>
      <c r="AW51" s="94">
        <f ca="1">ROUND((TblConstr[[#This Row],[Land]]-250 - IF(TblExplore[[#This Row],[Land Bonus]]&lt;&gt;0,20,0))*0.285 + 87.5 + 0/4.25,0)</f>
        <v>48</v>
      </c>
      <c r="AX51" s="154"/>
      <c r="AY51" s="188" cm="1">
        <f t="array" aca="1" ref="AY51" ca="1">IF(TblConstr[[#This Row],[Hour]:[Hour]]&gt;12,OFFSET(TblConstr[[#This Row],[Hom]],-12,0),0)+OFFSET(TblConstr[[#This Row],[Tot Hom]],-1,0)-TblConstr[[#This Row],[Dest Hom]]</f>
        <v>0</v>
      </c>
      <c r="AZ51" s="189" cm="1">
        <f t="array" aca="1" ref="AZ51" ca="1">IF(TblConstr[[#This Row],[Hour]:[Hour]]&gt;12,OFFSET(TblConstr[[#This Row],[Alc]],-12,0),0)+OFFSET(TblConstr[[#This Row],[Tot Alc]],-1,0)-TblConstr[[#This Row],[Dest Alc]]</f>
        <v>0</v>
      </c>
      <c r="BA51" s="189" cm="1">
        <f t="array" aca="1" ref="BA51" ca="1">IF(TblConstr[[#This Row],[Hour]:[Hour]]&gt;12,OFFSET(TblConstr[[#This Row],[Far]],-12,0),0)+OFFSET(TblConstr[[#This Row],[Tot Farm]],-1,0)-TblConstr[[#This Row],[Dest Farm]]</f>
        <v>30</v>
      </c>
      <c r="BB51" s="189" cm="1">
        <f t="array" aca="1" ref="BB51" ca="1">IF(TblConstr[[#This Row],[Hour]:[Hour]]&gt;12,OFFSET(TblConstr[[#This Row],[Smi]],-12,0),0)+OFFSET(TblConstr[[#This Row],[Tot Smi]],-1,0)-TblConstr[[#This Row],[Dest Smi]]</f>
        <v>0</v>
      </c>
      <c r="BC51" s="189" cm="1">
        <f t="array" aca="1" ref="BC51" ca="1">IF(TblConstr[[#This Row],[Hour]:[Hour]]&gt;12,OFFSET(TblConstr[[#This Row],[Mas]],-12,0),0)+OFFSET(TblConstr[[#This Row],[Tot Mas]],-1,0)-TblConstr[[#This Row],[Dest Mas]]</f>
        <v>0</v>
      </c>
      <c r="BD51" s="190" cm="1">
        <f t="array" aca="1" ref="BD51" ca="1">IF(TblConstr[[#This Row],[Hour]:[Hour]]&gt;12,OFFSET(TblConstr[[#This Row],[Ly]],-12,0),0)+OFFSET(TblConstr[[#This Row],[Tot Ly]],-1,0)-TblConstr[[#This Row],[Dest Ly]]</f>
        <v>20</v>
      </c>
      <c r="BE51" s="190" cm="1">
        <f t="array" aca="1" ref="BE51" ca="1">IF(TblConstr[[#This Row],[Hour]:[Hour]]&gt;12,OFFSET(TblConstr[[#This Row],[Hav]],-12,0),0)+OFFSET(TblConstr[[#This Row],[Tot Hav]],-1,0)-TblConstr[[#This Row],[Dest Hav]]</f>
        <v>0</v>
      </c>
      <c r="BF51" s="361" cm="1">
        <f t="array" aca="1" ref="BF51" ca="1">IF(TblConstr[[#This Row],[Hour]:[Hour]]&gt;12,OFFSET(TblConstr[[#This Row],[OM]],-12,0),0)+OFFSET(TblConstr[[#This Row],[Tot OM]],-1,0)-TblConstr[[#This Row],[Dest OM]]</f>
        <v>0</v>
      </c>
      <c r="BG51" s="361" cm="1">
        <f t="array" aca="1" ref="BG51" ca="1">IF(TblConstr[[#This Row],[Hour]:[Hour]]&gt;12,OFFSET(TblConstr[[#This Row],[GN]],-12,0),0)+OFFSET(TblConstr[[#This Row],[Tot GN]],-1,0)-TblConstr[[#This Row],[Dest GN]]</f>
        <v>0</v>
      </c>
      <c r="BH51" s="365" cm="1">
        <f t="array" aca="1" ref="BH51" ca="1">IF(TblConstr[[#This Row],[Hour]:[Hour]]&gt;12,OFFSET(TblConstr[[#This Row],[Fac]],-12,0),0)+OFFSET(TblConstr[[#This Row],[Tot Fac]],-1,0)-TblConstr[[#This Row],[Dest Fac]]</f>
        <v>0</v>
      </c>
      <c r="BI51" s="365" cm="1">
        <f t="array" aca="1" ref="BI51" ca="1">IF(TblConstr[[#This Row],[Hour]:[Hour]]&gt;12,OFFSET(TblConstr[[#This Row],[GT]],-12,0),0)+OFFSET(TblConstr[[#This Row],[Tot GT]],-1,0)-TblConstr[[#This Row],[Dest GT]]</f>
        <v>0</v>
      </c>
      <c r="BJ51" s="365" cm="1">
        <f t="array" aca="1" ref="BJ51" ca="1">IF(TblConstr[[#This Row],[Hour]:[Hour]]&gt;12,OFFSET(TblConstr[[#This Row],[Bar]],-12,0),0)+OFFSET(TblConstr[[#This Row],[Tot Bar]],-1,0)-TblConstr[[#This Row],[Dest Bar]]</f>
        <v>0</v>
      </c>
      <c r="BK51" s="365" cm="1">
        <f t="array" aca="1" ref="BK51" ca="1">IF(TblConstr[[#This Row],[Hour]:[Hour]]&gt;12,OFFSET(TblConstr[[#This Row],[Shr]],-12,0),0)+OFFSET(TblConstr[[#This Row],[Tot Shr]],-1,0)-TblConstr[[#This Row],[Dest Shr]]</f>
        <v>0</v>
      </c>
      <c r="BL51" s="369" cm="1">
        <f t="array" aca="1" ref="BL51" ca="1">IF(TblConstr[[#This Row],[Hour]:[Hour]]&gt;12,OFFSET(TblConstr[[#This Row],[Tow]],-12,0),0)+OFFSET(TblConstr[[#This Row],[Tot Tow]],-1,0)-TblConstr[[#This Row],[Dest Tow]]</f>
        <v>0</v>
      </c>
      <c r="BM51" s="369" cm="1">
        <f t="array" aca="1" ref="BM51" ca="1">IF(TblConstr[[#This Row],[Hour]:[Hour]]&gt;12,OFFSET(TblConstr[[#This Row],[Tem]],-12,0),0)+OFFSET(TblConstr[[#This Row],[Tot Tem]],-1,0)-TblConstr[[#This Row],[Dest Tem]]</f>
        <v>0</v>
      </c>
      <c r="BN51" s="369" cm="1">
        <f t="array" aca="1" ref="BN51" ca="1">IF(TblConstr[[#This Row],[Hour]:[Hour]]&gt;12,OFFSET(TblConstr[[#This Row],[WG]],-12,0),0)+OFFSET(TblConstr[[#This Row],[Tot WG]],-1,0)-TblConstr[[#This Row],[Dest WG]]</f>
        <v>0</v>
      </c>
      <c r="BO51" s="191" cm="1">
        <f t="array" aca="1" ref="BO51" ca="1">IF(TblConstr[[#This Row],[Hour]:[Hour]]&gt;12,OFFSET(TblConstr[[#This Row],[DM]],-12,0),0)+OFFSET(TblConstr[[#This Row],[Tot DM]],-1,0)-TblConstr[[#This Row],[Dest DM]]</f>
        <v>0</v>
      </c>
      <c r="BP51" s="191" cm="1">
        <f t="array" aca="1" ref="BP51" ca="1">IF(TblConstr[[#This Row],[Hour]:[Hour]]&gt;12,OFFSET(TblConstr[[#This Row],[Sch]],-12,0),0)+OFFSET(TblConstr[[#This Row],[Tot Sch]],-1,0)-TblConstr[[#This Row],[Dest Sch]]</f>
        <v>0</v>
      </c>
      <c r="BQ51" s="192" cm="1">
        <f t="array" aca="1" ref="BQ51" ca="1">IF(TblConstr[[#This Row],[Hour]:[Hour]]&gt;12,OFFSET(TblConstr[[#This Row],[Doc]],-12,0),0)+OFFSET(TblConstr[[#This Row],[Tot Doc]],-1,0)-TblConstr[[#This Row],[Dest Doc]]</f>
        <v>0</v>
      </c>
      <c r="BR51" s="142"/>
      <c r="BS51" s="154"/>
      <c r="BT51" s="94">
        <f ca="1">TblConstr[[#This Row],[Land]]</f>
        <v>110</v>
      </c>
      <c r="BU51" s="159">
        <f ca="1">TblImps[[#This Row],[Time]]</f>
        <v>46048.958333333219</v>
      </c>
      <c r="BV51" s="142"/>
      <c r="BW51" s="179"/>
      <c r="BX51" s="179"/>
      <c r="BY51" s="179"/>
      <c r="BZ51" s="179"/>
      <c r="CA51" s="179"/>
      <c r="CB51" s="179"/>
      <c r="CC51" s="179"/>
      <c r="CD51" s="179"/>
      <c r="CE51" s="179"/>
      <c r="CF51" s="179"/>
      <c r="CG51" s="179"/>
      <c r="CH51" s="179"/>
      <c r="CI51" s="179"/>
      <c r="CJ51" s="179"/>
      <c r="CK51" s="179"/>
      <c r="CL51" s="179"/>
      <c r="CM51" s="179"/>
      <c r="CN51" s="179"/>
      <c r="CO51" s="179"/>
      <c r="CP51" s="142"/>
      <c r="CQ51" s="181">
        <f ca="1">-SUM(TblConstr[[#This Row],[Alc]:[Mas]])+SUM(TblConstr[[#This Row],[Dest Alc]:[Dest Mas]])+Rezone!L51+IF("Ch_"&amp; home_land=TblConstr[[#Headers],[Ch_Plain]],TblConstr[[#This Row],[Home Land]])+IF(TblConstr[[#This Row],[Hour]:[Hour]]&gt;12,OFFSET(TblExplore[[#This Row],[Plains Explore]],-12,0),0)</f>
        <v>0</v>
      </c>
      <c r="CR51" s="182">
        <f ca="1">-SUM(TblConstr[[#This Row],[Ly]:[Hav]])+SUM(TblConstr[[#This Row],[Dest Ly]:[Dest Hav]]) +Rezone!M51 + IF("Ch_"&amp; home_land=TblConstr[[#Headers],[Ch_Forest]],TblConstr[[#This Row],[Home Land]])+IF(TblConstr[[#This Row],[Hour]:[Hour]]&gt;12,OFFSET(TblExplore[[#This Row],[Forest Explore]],-12,0),0)</f>
        <v>0</v>
      </c>
      <c r="CS51" s="359">
        <f ca="1">-SUM(TblConstr[[#This Row],[OM]:[GN]])+SUM(TblConstr[[#This Row],[Dest OM]:[Dest GN]]) +Rezone!N51 + IF("Ch_"&amp; home_land=TblConstr[[#Headers],[Ch_Mountain]],TblConstr[[#This Row],[Home Land]])+IF(TblConstr[[#This Row],[Hour]:[Hour]]&gt;12,OFFSET(TblExplore[[#This Row],[Mountain Explore]],-12,0),0)</f>
        <v>0</v>
      </c>
      <c r="CT51" s="183">
        <f ca="1">-SUM(TblConstr[[#This Row],[Fac]:[Shr]])+SUM(TblConstr[[#This Row],[Dest Fac]:[Dest Shr]]) +Rezone!O51 + IF("Ch_" &amp; home_land=TblConstr[[#Headers],[Ch_Hill]],TblConstr[[#This Row],[Home Land]])+IF(TblConstr[[#This Row],[Hour]:[Hour]]&gt;12,OFFSET(TblExplore[[#This Row],[Hill Explore]],-12,0),0)</f>
        <v>0</v>
      </c>
      <c r="CU51" s="184">
        <f ca="1">-SUM(TblConstr[[#This Row],[Tow]:[WG]])+SUM(TblConstr[[#This Row],[Dest Tow]:[Dest WG]]) +Rezone!P51 + IF("Ch_" &amp; home_land=TblConstr[[#Headers],[Ch_Swamp]],TblConstr[[#This Row],[Home Land]])+IF(TblConstr[[#This Row],[Hour]:[Hour]]&gt;12,OFFSET(TblExplore[[#This Row],[Swamp Explore]],-12,0),0)</f>
        <v>0</v>
      </c>
      <c r="CV51" s="185">
        <f ca="1" xml:space="preserve"> - SUM(TblConstr[[#This Row],[DM]:[Sch]])+SUM(TblConstr[[#This Row],[Dest DM]:[Dest Sch]]) +Rezone!Q51 + IF("Ch_" &amp; home_land=TblConstr[[#Headers],[Ch_Cavern]],TblConstr[[#This Row],[Home Land]])+IF(TblConstr[[#This Row],[Hour]:[Hour]]&gt;12,OFFSET(TblExplore[[#This Row],[Cavern Explore]],-12,0),0)</f>
        <v>0</v>
      </c>
      <c r="CW51" s="186">
        <f ca="1">-TblConstr[[#This Row],[Doc]]+TblConstr[[#This Row],[Dest Doc]] +Rezone!R51 + IF("Ch_" &amp; home_land=TblConstr[[#Headers],[Ch_Water]],TblConstr[[#This Row],[Home Land]])+IF(TblConstr[[#This Row],[Hour]:[Hour]]&gt;12,OFFSET(TblExplore[[#This Row],[Water Explore]],-12,0),0)</f>
        <v>0</v>
      </c>
      <c r="CX51" s="45">
        <f>IF(Explore!S51=1,20) - TblConstr[[#This Row],[Hom]] + TblConstr[[#This Row],[Dest Hom]]</f>
        <v>0</v>
      </c>
      <c r="CY51" s="142"/>
      <c r="CZ51" s="94">
        <f t="shared" ca="1" si="12"/>
        <v>90</v>
      </c>
      <c r="DA51" s="94">
        <f t="shared" ca="1" si="13"/>
        <v>20</v>
      </c>
      <c r="DB51" s="45">
        <f t="shared" ca="1" si="14"/>
        <v>0</v>
      </c>
      <c r="DC51" s="94">
        <f t="shared" ca="1" si="15"/>
        <v>0</v>
      </c>
      <c r="DD51" s="94">
        <f t="shared" ca="1" si="16"/>
        <v>0</v>
      </c>
      <c r="DE51" s="45">
        <f t="shared" ca="1" si="17"/>
        <v>0</v>
      </c>
      <c r="DF51" s="94">
        <f t="shared" ca="1" si="18"/>
        <v>0</v>
      </c>
      <c r="DG51" s="94" cm="1">
        <f t="array" aca="1" ref="DG51" ca="1">INDEX(TblConstr[[Total Plain]:[Total Water]],ROW()-ROW(TblConstr[#Headers]),MATCH("Total "&amp;home_land,TblConstr[[#Headers],[Total Plain]:[Total Water]],0))+TblConstr[[#This Row],[Homes]]</f>
        <v>90</v>
      </c>
      <c r="DH51" s="45">
        <f t="shared" ca="1" si="10"/>
        <v>0</v>
      </c>
      <c r="DI51" s="45">
        <f t="shared" ca="1" si="0"/>
        <v>0</v>
      </c>
      <c r="DJ51" s="45">
        <f t="shared" ca="1" si="1"/>
        <v>0</v>
      </c>
    </row>
    <row r="52" spans="1:114" x14ac:dyDescent="0.2">
      <c r="A52" s="175">
        <f>TblRezone[[#This Row],[Hour]]</f>
        <v>49</v>
      </c>
      <c r="B52" s="176">
        <f ca="1">SUM(TblConstr[[#This Row],[Plain]:[Water]])</f>
        <v>60</v>
      </c>
      <c r="C52" s="177">
        <f ca="1">SUM(TblConstr[[#This Row],[Tot Hom]:[Tot Doc]])</f>
        <v>50</v>
      </c>
      <c r="D52" s="177">
        <f t="shared" si="11"/>
        <v>0</v>
      </c>
      <c r="E52" s="178"/>
      <c r="F52" s="61">
        <f ca="1">TblConstr[[#This Row],[Barren]]+TblConstr[[#This Row],[Buildings]]+TblConstr[[#This Row],[Incoming]]</f>
        <v>110</v>
      </c>
      <c r="G52" s="187">
        <f ca="1">OFFSET(TblConstr[[#This Row],[Plain]],-1,0)+TblConstr[[#This Row],[Ch_Plain]]</f>
        <v>60</v>
      </c>
      <c r="H52" s="182">
        <f ca="1">OFFSET(TblConstr[[#This Row],[Forest]],-1,0)+TblConstr[[#This Row],[Ch_Forest]]</f>
        <v>0</v>
      </c>
      <c r="I52" s="359">
        <f ca="1">OFFSET(TblConstr[[#This Row],[Mountain]],-1,0)+TblConstr[[#This Row],[Ch_Mountain]]</f>
        <v>0</v>
      </c>
      <c r="J52" s="363">
        <f ca="1">OFFSET(TblConstr[[#This Row],[Hill]],-1,0)+TblConstr[[#This Row],[Ch_Hill]]</f>
        <v>0</v>
      </c>
      <c r="K52" s="367">
        <f ca="1">OFFSET(TblConstr[[#This Row],[Swamp]],-1,0)+TblConstr[[#This Row],[Ch_Swamp]]</f>
        <v>0</v>
      </c>
      <c r="L52" s="185">
        <f ca="1">OFFSET(TblConstr[[#This Row],[Cavern]],-1,0)+TblConstr[[#This Row],[Ch_Cavern]]</f>
        <v>0</v>
      </c>
      <c r="M52" s="186">
        <f ca="1">OFFSET(TblConstr[[#This Row],[Water]],-1,0)+TblConstr[[#This Row],[Ch_Water]]</f>
        <v>0</v>
      </c>
      <c r="N52" s="357">
        <f>TblRezone[[#This Row],[Hour]]</f>
        <v>49</v>
      </c>
      <c r="O52" s="179"/>
      <c r="P52" s="179"/>
      <c r="Q52" s="179"/>
      <c r="R52" s="179"/>
      <c r="S52" s="179"/>
      <c r="T52" s="179"/>
      <c r="U52" s="179"/>
      <c r="V52" s="179"/>
      <c r="W52" s="179"/>
      <c r="X52" s="179"/>
      <c r="Y52" s="179"/>
      <c r="Z52" s="179"/>
      <c r="AA52" s="179"/>
      <c r="AB52" s="179"/>
      <c r="AC52" s="179"/>
      <c r="AD52" s="179"/>
      <c r="AE52" s="179"/>
      <c r="AF52" s="179"/>
      <c r="AG52" s="179"/>
      <c r="AH52" s="53">
        <f ca="1">TblImps[[#This Row],[Time]]</f>
        <v>46048.999999999884</v>
      </c>
      <c r="AI52" s="180">
        <f ca="1">MIN(25%,(TblConstr[[#This Row],[Tot Fac]]+TblConstr[[#This Row],[Dest Fac]])/(TblConstr[[#This Row],[Land]]-TblExplore[[#This Row],[Land Bonus]]*20))</f>
        <v>0</v>
      </c>
      <c r="AJ52" s="180">
        <f ca="1">MIN(25%,(TblConstr[[#This Row],[Tot Fac]]+TblConstr[[#This Row],[Dest Fac]])/TblConstr[[#This Row],[Land]])</f>
        <v>0</v>
      </c>
      <c r="AK52" s="94">
        <f ca="1">TblProd[[#This Row],[Platinum]]</f>
        <v>132810</v>
      </c>
      <c r="AL52" s="94">
        <f ca="1">TblProd[[#This Row],[Lumber]]</f>
        <v>47529</v>
      </c>
      <c r="AM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2" s="94">
        <f ca="1">ROUNDDOWN( MAX(1 - MIN(facs_constr_factor*TblConstr[[#This Row],[Facs -DB]],facs_constr_max) + tech_1_11*TblTech[[#This Row],[11-1]] + tech_6_3_2*TblTech[[#This Row],[6-3]] + tech_5_2_3*TblTech[[#This Row],[5-2]], 1-global_constr_cap) * TblConstr[[#This Row],[RCPA Lumber]],0)</f>
        <v>48</v>
      </c>
      <c r="AO5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2" s="94">
        <f ca="1">ROUNDDOWN( MAX(1 - MIN(facs_constr_factor*TblConstr[[#This Row],[Facs DB]],facs_constr_max) + tech_1_11*TblTech[[#This Row],[1-11]] + tech_6_3_2*TblTech[[#This Row],[6-3]] + tech_5_2_3*TblTech[[#This Row],[5-2]], 1-global_constr_cap) * ROUND((TblConstr[[#This Row],[Land]]-250)*0.285 + 87.5 + 0/4.25,0),0)</f>
        <v>48</v>
      </c>
      <c r="AQ52" s="45">
        <f ca="1">TblConstr[[#This Row],[build -db]]*TblConstr[[#This Row],[CPA Platinum -DB]] + TblConstr[[#This Row],[build db]]*TblConstr[[#This Row],[CPA Platinum DB]]</f>
        <v>0</v>
      </c>
      <c r="AR52" s="45">
        <f ca="1">TblConstr[[#This Row],[build -db]]*TblConstr[[#This Row],[CPA Lumber -DB]] + TblConstr[[#This Row],[build db]]*TblConstr[[#This Row],[CPA Lumber DB]]</f>
        <v>0</v>
      </c>
      <c r="AS52" s="94">
        <f ca="1">MIN(SUM(OFFSET(TblConstr[[#This Row],[Plain]:[Water]],-1,0))+SUM(TblConstr[[#This Row],[Dest Hom]:[Dest Doc]])+IF(TblConstr[[#This Row],[Hour]]&gt;12,SUM(OFFSET(TblExplore[[#This Row],[Plains Explore]:[Water Explore]],-12,0)),0),SUM(TblConstr[[#This Row],[Hom]:[Doc]]))</f>
        <v>0</v>
      </c>
      <c r="AT5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2" s="142"/>
      <c r="AV52" s="94">
        <f ca="1">ROUND((TblConstr[[#This Row],[Land]]-250 - IF(TblExplore[[#This Row],[Land Bonus]]&lt;&gt;0,20,0))*1.25 + 850 + 0,0)</f>
        <v>675</v>
      </c>
      <c r="AW52" s="94">
        <f ca="1">ROUND((TblConstr[[#This Row],[Land]]-250 - IF(TblExplore[[#This Row],[Land Bonus]]&lt;&gt;0,20,0))*0.285 + 87.5 + 0/4.25,0)</f>
        <v>48</v>
      </c>
      <c r="AX52" s="154"/>
      <c r="AY52" s="188" cm="1">
        <f t="array" aca="1" ref="AY52" ca="1">IF(TblConstr[[#This Row],[Hour]:[Hour]]&gt;12,OFFSET(TblConstr[[#This Row],[Hom]],-12,0),0)+OFFSET(TblConstr[[#This Row],[Tot Hom]],-1,0)-TblConstr[[#This Row],[Dest Hom]]</f>
        <v>0</v>
      </c>
      <c r="AZ52" s="189" cm="1">
        <f t="array" aca="1" ref="AZ52" ca="1">IF(TblConstr[[#This Row],[Hour]:[Hour]]&gt;12,OFFSET(TblConstr[[#This Row],[Alc]],-12,0),0)+OFFSET(TblConstr[[#This Row],[Tot Alc]],-1,0)-TblConstr[[#This Row],[Dest Alc]]</f>
        <v>0</v>
      </c>
      <c r="BA52" s="189" cm="1">
        <f t="array" aca="1" ref="BA52" ca="1">IF(TblConstr[[#This Row],[Hour]:[Hour]]&gt;12,OFFSET(TblConstr[[#This Row],[Far]],-12,0),0)+OFFSET(TblConstr[[#This Row],[Tot Farm]],-1,0)-TblConstr[[#This Row],[Dest Farm]]</f>
        <v>30</v>
      </c>
      <c r="BB52" s="189" cm="1">
        <f t="array" aca="1" ref="BB52" ca="1">IF(TblConstr[[#This Row],[Hour]:[Hour]]&gt;12,OFFSET(TblConstr[[#This Row],[Smi]],-12,0),0)+OFFSET(TblConstr[[#This Row],[Tot Smi]],-1,0)-TblConstr[[#This Row],[Dest Smi]]</f>
        <v>0</v>
      </c>
      <c r="BC52" s="189" cm="1">
        <f t="array" aca="1" ref="BC52" ca="1">IF(TblConstr[[#This Row],[Hour]:[Hour]]&gt;12,OFFSET(TblConstr[[#This Row],[Mas]],-12,0),0)+OFFSET(TblConstr[[#This Row],[Tot Mas]],-1,0)-TblConstr[[#This Row],[Dest Mas]]</f>
        <v>0</v>
      </c>
      <c r="BD52" s="190" cm="1">
        <f t="array" aca="1" ref="BD52" ca="1">IF(TblConstr[[#This Row],[Hour]:[Hour]]&gt;12,OFFSET(TblConstr[[#This Row],[Ly]],-12,0),0)+OFFSET(TblConstr[[#This Row],[Tot Ly]],-1,0)-TblConstr[[#This Row],[Dest Ly]]</f>
        <v>20</v>
      </c>
      <c r="BE52" s="190" cm="1">
        <f t="array" aca="1" ref="BE52" ca="1">IF(TblConstr[[#This Row],[Hour]:[Hour]]&gt;12,OFFSET(TblConstr[[#This Row],[Hav]],-12,0),0)+OFFSET(TblConstr[[#This Row],[Tot Hav]],-1,0)-TblConstr[[#This Row],[Dest Hav]]</f>
        <v>0</v>
      </c>
      <c r="BF52" s="361" cm="1">
        <f t="array" aca="1" ref="BF52" ca="1">IF(TblConstr[[#This Row],[Hour]:[Hour]]&gt;12,OFFSET(TblConstr[[#This Row],[OM]],-12,0),0)+OFFSET(TblConstr[[#This Row],[Tot OM]],-1,0)-TblConstr[[#This Row],[Dest OM]]</f>
        <v>0</v>
      </c>
      <c r="BG52" s="361" cm="1">
        <f t="array" aca="1" ref="BG52" ca="1">IF(TblConstr[[#This Row],[Hour]:[Hour]]&gt;12,OFFSET(TblConstr[[#This Row],[GN]],-12,0),0)+OFFSET(TblConstr[[#This Row],[Tot GN]],-1,0)-TblConstr[[#This Row],[Dest GN]]</f>
        <v>0</v>
      </c>
      <c r="BH52" s="365" cm="1">
        <f t="array" aca="1" ref="BH52" ca="1">IF(TblConstr[[#This Row],[Hour]:[Hour]]&gt;12,OFFSET(TblConstr[[#This Row],[Fac]],-12,0),0)+OFFSET(TblConstr[[#This Row],[Tot Fac]],-1,0)-TblConstr[[#This Row],[Dest Fac]]</f>
        <v>0</v>
      </c>
      <c r="BI52" s="365" cm="1">
        <f t="array" aca="1" ref="BI52" ca="1">IF(TblConstr[[#This Row],[Hour]:[Hour]]&gt;12,OFFSET(TblConstr[[#This Row],[GT]],-12,0),0)+OFFSET(TblConstr[[#This Row],[Tot GT]],-1,0)-TblConstr[[#This Row],[Dest GT]]</f>
        <v>0</v>
      </c>
      <c r="BJ52" s="365" cm="1">
        <f t="array" aca="1" ref="BJ52" ca="1">IF(TblConstr[[#This Row],[Hour]:[Hour]]&gt;12,OFFSET(TblConstr[[#This Row],[Bar]],-12,0),0)+OFFSET(TblConstr[[#This Row],[Tot Bar]],-1,0)-TblConstr[[#This Row],[Dest Bar]]</f>
        <v>0</v>
      </c>
      <c r="BK52" s="365" cm="1">
        <f t="array" aca="1" ref="BK52" ca="1">IF(TblConstr[[#This Row],[Hour]:[Hour]]&gt;12,OFFSET(TblConstr[[#This Row],[Shr]],-12,0),0)+OFFSET(TblConstr[[#This Row],[Tot Shr]],-1,0)-TblConstr[[#This Row],[Dest Shr]]</f>
        <v>0</v>
      </c>
      <c r="BL52" s="369" cm="1">
        <f t="array" aca="1" ref="BL52" ca="1">IF(TblConstr[[#This Row],[Hour]:[Hour]]&gt;12,OFFSET(TblConstr[[#This Row],[Tow]],-12,0),0)+OFFSET(TblConstr[[#This Row],[Tot Tow]],-1,0)-TblConstr[[#This Row],[Dest Tow]]</f>
        <v>0</v>
      </c>
      <c r="BM52" s="369" cm="1">
        <f t="array" aca="1" ref="BM52" ca="1">IF(TblConstr[[#This Row],[Hour]:[Hour]]&gt;12,OFFSET(TblConstr[[#This Row],[Tem]],-12,0),0)+OFFSET(TblConstr[[#This Row],[Tot Tem]],-1,0)-TblConstr[[#This Row],[Dest Tem]]</f>
        <v>0</v>
      </c>
      <c r="BN52" s="369" cm="1">
        <f t="array" aca="1" ref="BN52" ca="1">IF(TblConstr[[#This Row],[Hour]:[Hour]]&gt;12,OFFSET(TblConstr[[#This Row],[WG]],-12,0),0)+OFFSET(TblConstr[[#This Row],[Tot WG]],-1,0)-TblConstr[[#This Row],[Dest WG]]</f>
        <v>0</v>
      </c>
      <c r="BO52" s="191" cm="1">
        <f t="array" aca="1" ref="BO52" ca="1">IF(TblConstr[[#This Row],[Hour]:[Hour]]&gt;12,OFFSET(TblConstr[[#This Row],[DM]],-12,0),0)+OFFSET(TblConstr[[#This Row],[Tot DM]],-1,0)-TblConstr[[#This Row],[Dest DM]]</f>
        <v>0</v>
      </c>
      <c r="BP52" s="191" cm="1">
        <f t="array" aca="1" ref="BP52" ca="1">IF(TblConstr[[#This Row],[Hour]:[Hour]]&gt;12,OFFSET(TblConstr[[#This Row],[Sch]],-12,0),0)+OFFSET(TblConstr[[#This Row],[Tot Sch]],-1,0)-TblConstr[[#This Row],[Dest Sch]]</f>
        <v>0</v>
      </c>
      <c r="BQ52" s="192" cm="1">
        <f t="array" aca="1" ref="BQ52" ca="1">IF(TblConstr[[#This Row],[Hour]:[Hour]]&gt;12,OFFSET(TblConstr[[#This Row],[Doc]],-12,0),0)+OFFSET(TblConstr[[#This Row],[Tot Doc]],-1,0)-TblConstr[[#This Row],[Dest Doc]]</f>
        <v>0</v>
      </c>
      <c r="BR52" s="142"/>
      <c r="BS52" s="154"/>
      <c r="BT52" s="94">
        <f ca="1">TblConstr[[#This Row],[Land]]</f>
        <v>110</v>
      </c>
      <c r="BU52" s="159">
        <f ca="1">TblImps[[#This Row],[Time]]</f>
        <v>46048.999999999884</v>
      </c>
      <c r="BV52" s="142"/>
      <c r="BW52" s="179"/>
      <c r="BX52" s="179"/>
      <c r="BY52" s="179"/>
      <c r="BZ52" s="179"/>
      <c r="CA52" s="179"/>
      <c r="CB52" s="179"/>
      <c r="CC52" s="179"/>
      <c r="CD52" s="179"/>
      <c r="CE52" s="179"/>
      <c r="CF52" s="179"/>
      <c r="CG52" s="179"/>
      <c r="CH52" s="179"/>
      <c r="CI52" s="179"/>
      <c r="CJ52" s="179"/>
      <c r="CK52" s="179"/>
      <c r="CL52" s="179"/>
      <c r="CM52" s="179"/>
      <c r="CN52" s="179"/>
      <c r="CO52" s="179"/>
      <c r="CP52" s="142"/>
      <c r="CQ52" s="181">
        <f ca="1">-SUM(TblConstr[[#This Row],[Alc]:[Mas]])+SUM(TblConstr[[#This Row],[Dest Alc]:[Dest Mas]])+Rezone!L52+IF("Ch_"&amp; home_land=TblConstr[[#Headers],[Ch_Plain]],TblConstr[[#This Row],[Home Land]])+IF(TblConstr[[#This Row],[Hour]:[Hour]]&gt;12,OFFSET(TblExplore[[#This Row],[Plains Explore]],-12,0),0)</f>
        <v>0</v>
      </c>
      <c r="CR52" s="182">
        <f ca="1">-SUM(TblConstr[[#This Row],[Ly]:[Hav]])+SUM(TblConstr[[#This Row],[Dest Ly]:[Dest Hav]]) +Rezone!M52 + IF("Ch_"&amp; home_land=TblConstr[[#Headers],[Ch_Forest]],TblConstr[[#This Row],[Home Land]])+IF(TblConstr[[#This Row],[Hour]:[Hour]]&gt;12,OFFSET(TblExplore[[#This Row],[Forest Explore]],-12,0),0)</f>
        <v>0</v>
      </c>
      <c r="CS52" s="359">
        <f ca="1">-SUM(TblConstr[[#This Row],[OM]:[GN]])+SUM(TblConstr[[#This Row],[Dest OM]:[Dest GN]]) +Rezone!N52 + IF("Ch_"&amp; home_land=TblConstr[[#Headers],[Ch_Mountain]],TblConstr[[#This Row],[Home Land]])+IF(TblConstr[[#This Row],[Hour]:[Hour]]&gt;12,OFFSET(TblExplore[[#This Row],[Mountain Explore]],-12,0),0)</f>
        <v>0</v>
      </c>
      <c r="CT52" s="183">
        <f ca="1">-SUM(TblConstr[[#This Row],[Fac]:[Shr]])+SUM(TblConstr[[#This Row],[Dest Fac]:[Dest Shr]]) +Rezone!O52 + IF("Ch_" &amp; home_land=TblConstr[[#Headers],[Ch_Hill]],TblConstr[[#This Row],[Home Land]])+IF(TblConstr[[#This Row],[Hour]:[Hour]]&gt;12,OFFSET(TblExplore[[#This Row],[Hill Explore]],-12,0),0)</f>
        <v>0</v>
      </c>
      <c r="CU52" s="184">
        <f ca="1">-SUM(TblConstr[[#This Row],[Tow]:[WG]])+SUM(TblConstr[[#This Row],[Dest Tow]:[Dest WG]]) +Rezone!P52 + IF("Ch_" &amp; home_land=TblConstr[[#Headers],[Ch_Swamp]],TblConstr[[#This Row],[Home Land]])+IF(TblConstr[[#This Row],[Hour]:[Hour]]&gt;12,OFFSET(TblExplore[[#This Row],[Swamp Explore]],-12,0),0)</f>
        <v>0</v>
      </c>
      <c r="CV52" s="185">
        <f ca="1" xml:space="preserve"> - SUM(TblConstr[[#This Row],[DM]:[Sch]])+SUM(TblConstr[[#This Row],[Dest DM]:[Dest Sch]]) +Rezone!Q52 + IF("Ch_" &amp; home_land=TblConstr[[#Headers],[Ch_Cavern]],TblConstr[[#This Row],[Home Land]])+IF(TblConstr[[#This Row],[Hour]:[Hour]]&gt;12,OFFSET(TblExplore[[#This Row],[Cavern Explore]],-12,0),0)</f>
        <v>0</v>
      </c>
      <c r="CW52" s="186">
        <f ca="1">-TblConstr[[#This Row],[Doc]]+TblConstr[[#This Row],[Dest Doc]] +Rezone!R52 + IF("Ch_" &amp; home_land=TblConstr[[#Headers],[Ch_Water]],TblConstr[[#This Row],[Home Land]])+IF(TblConstr[[#This Row],[Hour]:[Hour]]&gt;12,OFFSET(TblExplore[[#This Row],[Water Explore]],-12,0),0)</f>
        <v>0</v>
      </c>
      <c r="CX52" s="45">
        <f>IF(Explore!S52=1,20) - TblConstr[[#This Row],[Hom]] + TblConstr[[#This Row],[Dest Hom]]</f>
        <v>0</v>
      </c>
      <c r="CY52" s="142"/>
      <c r="CZ52" s="94">
        <f t="shared" ca="1" si="12"/>
        <v>90</v>
      </c>
      <c r="DA52" s="94">
        <f t="shared" ca="1" si="13"/>
        <v>20</v>
      </c>
      <c r="DB52" s="45">
        <f t="shared" ca="1" si="14"/>
        <v>0</v>
      </c>
      <c r="DC52" s="94">
        <f t="shared" ca="1" si="15"/>
        <v>0</v>
      </c>
      <c r="DD52" s="94">
        <f t="shared" ca="1" si="16"/>
        <v>0</v>
      </c>
      <c r="DE52" s="45">
        <f t="shared" ca="1" si="17"/>
        <v>0</v>
      </c>
      <c r="DF52" s="94">
        <f t="shared" ca="1" si="18"/>
        <v>0</v>
      </c>
      <c r="DG52" s="94" cm="1">
        <f t="array" aca="1" ref="DG52" ca="1">INDEX(TblConstr[[Total Plain]:[Total Water]],ROW()-ROW(TblConstr[#Headers]),MATCH("Total "&amp;home_land,TblConstr[[#Headers],[Total Plain]:[Total Water]],0))+TblConstr[[#This Row],[Homes]]</f>
        <v>90</v>
      </c>
      <c r="DH52" s="45">
        <f t="shared" ca="1" si="10"/>
        <v>0</v>
      </c>
      <c r="DI52" s="45">
        <f t="shared" ca="1" si="0"/>
        <v>0</v>
      </c>
      <c r="DJ52" s="45">
        <f t="shared" ca="1" si="1"/>
        <v>0</v>
      </c>
    </row>
    <row r="53" spans="1:114" x14ac:dyDescent="0.2">
      <c r="A53" s="175">
        <f>TblRezone[[#This Row],[Hour]]</f>
        <v>50</v>
      </c>
      <c r="B53" s="176">
        <f ca="1">SUM(TblConstr[[#This Row],[Plain]:[Water]])</f>
        <v>60</v>
      </c>
      <c r="C53" s="177">
        <f ca="1">SUM(TblConstr[[#This Row],[Tot Hom]:[Tot Doc]])</f>
        <v>50</v>
      </c>
      <c r="D53" s="177">
        <f t="shared" si="11"/>
        <v>0</v>
      </c>
      <c r="E53" s="178"/>
      <c r="F53" s="61">
        <f ca="1">TblConstr[[#This Row],[Barren]]+TblConstr[[#This Row],[Buildings]]+TblConstr[[#This Row],[Incoming]]</f>
        <v>110</v>
      </c>
      <c r="G53" s="187">
        <f ca="1">OFFSET(TblConstr[[#This Row],[Plain]],-1,0)+TblConstr[[#This Row],[Ch_Plain]]</f>
        <v>60</v>
      </c>
      <c r="H53" s="182">
        <f ca="1">OFFSET(TblConstr[[#This Row],[Forest]],-1,0)+TblConstr[[#This Row],[Ch_Forest]]</f>
        <v>0</v>
      </c>
      <c r="I53" s="359">
        <f ca="1">OFFSET(TblConstr[[#This Row],[Mountain]],-1,0)+TblConstr[[#This Row],[Ch_Mountain]]</f>
        <v>0</v>
      </c>
      <c r="J53" s="363">
        <f ca="1">OFFSET(TblConstr[[#This Row],[Hill]],-1,0)+TblConstr[[#This Row],[Ch_Hill]]</f>
        <v>0</v>
      </c>
      <c r="K53" s="367">
        <f ca="1">OFFSET(TblConstr[[#This Row],[Swamp]],-1,0)+TblConstr[[#This Row],[Ch_Swamp]]</f>
        <v>0</v>
      </c>
      <c r="L53" s="185">
        <f ca="1">OFFSET(TblConstr[[#This Row],[Cavern]],-1,0)+TblConstr[[#This Row],[Ch_Cavern]]</f>
        <v>0</v>
      </c>
      <c r="M53" s="186">
        <f ca="1">OFFSET(TblConstr[[#This Row],[Water]],-1,0)+TblConstr[[#This Row],[Ch_Water]]</f>
        <v>0</v>
      </c>
      <c r="N53" s="357">
        <f>TblRezone[[#This Row],[Hour]]</f>
        <v>50</v>
      </c>
      <c r="O53" s="179"/>
      <c r="P53" s="179"/>
      <c r="Q53" s="179"/>
      <c r="R53" s="179"/>
      <c r="S53" s="179"/>
      <c r="T53" s="179"/>
      <c r="U53" s="179"/>
      <c r="V53" s="179"/>
      <c r="W53" s="179"/>
      <c r="X53" s="179"/>
      <c r="Y53" s="179"/>
      <c r="Z53" s="179"/>
      <c r="AA53" s="179"/>
      <c r="AB53" s="179"/>
      <c r="AC53" s="179"/>
      <c r="AD53" s="179"/>
      <c r="AE53" s="179"/>
      <c r="AF53" s="179"/>
      <c r="AG53" s="179"/>
      <c r="AH53" s="53">
        <f ca="1">TblImps[[#This Row],[Time]]</f>
        <v>46049.041666666548</v>
      </c>
      <c r="AI53" s="180">
        <f ca="1">MIN(25%,(TblConstr[[#This Row],[Tot Fac]]+TblConstr[[#This Row],[Dest Fac]])/(TblConstr[[#This Row],[Land]]-TblExplore[[#This Row],[Land Bonus]]*20))</f>
        <v>0</v>
      </c>
      <c r="AJ53" s="180">
        <f ca="1">MIN(25%,(TblConstr[[#This Row],[Tot Fac]]+TblConstr[[#This Row],[Dest Fac]])/TblConstr[[#This Row],[Land]])</f>
        <v>0</v>
      </c>
      <c r="AK53" s="94">
        <f ca="1">TblProd[[#This Row],[Platinum]]</f>
        <v>134481</v>
      </c>
      <c r="AL53" s="94">
        <f ca="1">TblProd[[#This Row],[Lumber]]</f>
        <v>48054</v>
      </c>
      <c r="AM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3" s="94">
        <f ca="1">ROUNDDOWN( MAX(1 - MIN(facs_constr_factor*TblConstr[[#This Row],[Facs -DB]],facs_constr_max) + tech_1_11*TblTech[[#This Row],[11-1]] + tech_6_3_2*TblTech[[#This Row],[6-3]] + tech_5_2_3*TblTech[[#This Row],[5-2]], 1-global_constr_cap) * TblConstr[[#This Row],[RCPA Lumber]],0)</f>
        <v>48</v>
      </c>
      <c r="AO5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3" s="94">
        <f ca="1">ROUNDDOWN( MAX(1 - MIN(facs_constr_factor*TblConstr[[#This Row],[Facs DB]],facs_constr_max) + tech_1_11*TblTech[[#This Row],[1-11]] + tech_6_3_2*TblTech[[#This Row],[6-3]] + tech_5_2_3*TblTech[[#This Row],[5-2]], 1-global_constr_cap) * ROUND((TblConstr[[#This Row],[Land]]-250)*0.285 + 87.5 + 0/4.25,0),0)</f>
        <v>48</v>
      </c>
      <c r="AQ53" s="45">
        <f ca="1">TblConstr[[#This Row],[build -db]]*TblConstr[[#This Row],[CPA Platinum -DB]] + TblConstr[[#This Row],[build db]]*TblConstr[[#This Row],[CPA Platinum DB]]</f>
        <v>0</v>
      </c>
      <c r="AR53" s="45">
        <f ca="1">TblConstr[[#This Row],[build -db]]*TblConstr[[#This Row],[CPA Lumber -DB]] + TblConstr[[#This Row],[build db]]*TblConstr[[#This Row],[CPA Lumber DB]]</f>
        <v>0</v>
      </c>
      <c r="AS53" s="94">
        <f ca="1">MIN(SUM(OFFSET(TblConstr[[#This Row],[Plain]:[Water]],-1,0))+SUM(TblConstr[[#This Row],[Dest Hom]:[Dest Doc]])+IF(TblConstr[[#This Row],[Hour]]&gt;12,SUM(OFFSET(TblExplore[[#This Row],[Plains Explore]:[Water Explore]],-12,0)),0),SUM(TblConstr[[#This Row],[Hom]:[Doc]]))</f>
        <v>0</v>
      </c>
      <c r="AT5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3" s="142"/>
      <c r="AV53" s="94">
        <f ca="1">ROUND((TblConstr[[#This Row],[Land]]-250 - IF(TblExplore[[#This Row],[Land Bonus]]&lt;&gt;0,20,0))*1.25 + 850 + 0,0)</f>
        <v>675</v>
      </c>
      <c r="AW53" s="94">
        <f ca="1">ROUND((TblConstr[[#This Row],[Land]]-250 - IF(TblExplore[[#This Row],[Land Bonus]]&lt;&gt;0,20,0))*0.285 + 87.5 + 0/4.25,0)</f>
        <v>48</v>
      </c>
      <c r="AX53" s="154"/>
      <c r="AY53" s="188" cm="1">
        <f t="array" aca="1" ref="AY53" ca="1">IF(TblConstr[[#This Row],[Hour]:[Hour]]&gt;12,OFFSET(TblConstr[[#This Row],[Hom]],-12,0),0)+OFFSET(TblConstr[[#This Row],[Tot Hom]],-1,0)-TblConstr[[#This Row],[Dest Hom]]</f>
        <v>0</v>
      </c>
      <c r="AZ53" s="189" cm="1">
        <f t="array" aca="1" ref="AZ53" ca="1">IF(TblConstr[[#This Row],[Hour]:[Hour]]&gt;12,OFFSET(TblConstr[[#This Row],[Alc]],-12,0),0)+OFFSET(TblConstr[[#This Row],[Tot Alc]],-1,0)-TblConstr[[#This Row],[Dest Alc]]</f>
        <v>0</v>
      </c>
      <c r="BA53" s="189" cm="1">
        <f t="array" aca="1" ref="BA53" ca="1">IF(TblConstr[[#This Row],[Hour]:[Hour]]&gt;12,OFFSET(TblConstr[[#This Row],[Far]],-12,0),0)+OFFSET(TblConstr[[#This Row],[Tot Farm]],-1,0)-TblConstr[[#This Row],[Dest Farm]]</f>
        <v>30</v>
      </c>
      <c r="BB53" s="189" cm="1">
        <f t="array" aca="1" ref="BB53" ca="1">IF(TblConstr[[#This Row],[Hour]:[Hour]]&gt;12,OFFSET(TblConstr[[#This Row],[Smi]],-12,0),0)+OFFSET(TblConstr[[#This Row],[Tot Smi]],-1,0)-TblConstr[[#This Row],[Dest Smi]]</f>
        <v>0</v>
      </c>
      <c r="BC53" s="189" cm="1">
        <f t="array" aca="1" ref="BC53" ca="1">IF(TblConstr[[#This Row],[Hour]:[Hour]]&gt;12,OFFSET(TblConstr[[#This Row],[Mas]],-12,0),0)+OFFSET(TblConstr[[#This Row],[Tot Mas]],-1,0)-TblConstr[[#This Row],[Dest Mas]]</f>
        <v>0</v>
      </c>
      <c r="BD53" s="190" cm="1">
        <f t="array" aca="1" ref="BD53" ca="1">IF(TblConstr[[#This Row],[Hour]:[Hour]]&gt;12,OFFSET(TblConstr[[#This Row],[Ly]],-12,0),0)+OFFSET(TblConstr[[#This Row],[Tot Ly]],-1,0)-TblConstr[[#This Row],[Dest Ly]]</f>
        <v>20</v>
      </c>
      <c r="BE53" s="190" cm="1">
        <f t="array" aca="1" ref="BE53" ca="1">IF(TblConstr[[#This Row],[Hour]:[Hour]]&gt;12,OFFSET(TblConstr[[#This Row],[Hav]],-12,0),0)+OFFSET(TblConstr[[#This Row],[Tot Hav]],-1,0)-TblConstr[[#This Row],[Dest Hav]]</f>
        <v>0</v>
      </c>
      <c r="BF53" s="361" cm="1">
        <f t="array" aca="1" ref="BF53" ca="1">IF(TblConstr[[#This Row],[Hour]:[Hour]]&gt;12,OFFSET(TblConstr[[#This Row],[OM]],-12,0),0)+OFFSET(TblConstr[[#This Row],[Tot OM]],-1,0)-TblConstr[[#This Row],[Dest OM]]</f>
        <v>0</v>
      </c>
      <c r="BG53" s="361" cm="1">
        <f t="array" aca="1" ref="BG53" ca="1">IF(TblConstr[[#This Row],[Hour]:[Hour]]&gt;12,OFFSET(TblConstr[[#This Row],[GN]],-12,0),0)+OFFSET(TblConstr[[#This Row],[Tot GN]],-1,0)-TblConstr[[#This Row],[Dest GN]]</f>
        <v>0</v>
      </c>
      <c r="BH53" s="365" cm="1">
        <f t="array" aca="1" ref="BH53" ca="1">IF(TblConstr[[#This Row],[Hour]:[Hour]]&gt;12,OFFSET(TblConstr[[#This Row],[Fac]],-12,0),0)+OFFSET(TblConstr[[#This Row],[Tot Fac]],-1,0)-TblConstr[[#This Row],[Dest Fac]]</f>
        <v>0</v>
      </c>
      <c r="BI53" s="365" cm="1">
        <f t="array" aca="1" ref="BI53" ca="1">IF(TblConstr[[#This Row],[Hour]:[Hour]]&gt;12,OFFSET(TblConstr[[#This Row],[GT]],-12,0),0)+OFFSET(TblConstr[[#This Row],[Tot GT]],-1,0)-TblConstr[[#This Row],[Dest GT]]</f>
        <v>0</v>
      </c>
      <c r="BJ53" s="365" cm="1">
        <f t="array" aca="1" ref="BJ53" ca="1">IF(TblConstr[[#This Row],[Hour]:[Hour]]&gt;12,OFFSET(TblConstr[[#This Row],[Bar]],-12,0),0)+OFFSET(TblConstr[[#This Row],[Tot Bar]],-1,0)-TblConstr[[#This Row],[Dest Bar]]</f>
        <v>0</v>
      </c>
      <c r="BK53" s="365" cm="1">
        <f t="array" aca="1" ref="BK53" ca="1">IF(TblConstr[[#This Row],[Hour]:[Hour]]&gt;12,OFFSET(TblConstr[[#This Row],[Shr]],-12,0),0)+OFFSET(TblConstr[[#This Row],[Tot Shr]],-1,0)-TblConstr[[#This Row],[Dest Shr]]</f>
        <v>0</v>
      </c>
      <c r="BL53" s="369" cm="1">
        <f t="array" aca="1" ref="BL53" ca="1">IF(TblConstr[[#This Row],[Hour]:[Hour]]&gt;12,OFFSET(TblConstr[[#This Row],[Tow]],-12,0),0)+OFFSET(TblConstr[[#This Row],[Tot Tow]],-1,0)-TblConstr[[#This Row],[Dest Tow]]</f>
        <v>0</v>
      </c>
      <c r="BM53" s="369" cm="1">
        <f t="array" aca="1" ref="BM53" ca="1">IF(TblConstr[[#This Row],[Hour]:[Hour]]&gt;12,OFFSET(TblConstr[[#This Row],[Tem]],-12,0),0)+OFFSET(TblConstr[[#This Row],[Tot Tem]],-1,0)-TblConstr[[#This Row],[Dest Tem]]</f>
        <v>0</v>
      </c>
      <c r="BN53" s="369" cm="1">
        <f t="array" aca="1" ref="BN53" ca="1">IF(TblConstr[[#This Row],[Hour]:[Hour]]&gt;12,OFFSET(TblConstr[[#This Row],[WG]],-12,0),0)+OFFSET(TblConstr[[#This Row],[Tot WG]],-1,0)-TblConstr[[#This Row],[Dest WG]]</f>
        <v>0</v>
      </c>
      <c r="BO53" s="191" cm="1">
        <f t="array" aca="1" ref="BO53" ca="1">IF(TblConstr[[#This Row],[Hour]:[Hour]]&gt;12,OFFSET(TblConstr[[#This Row],[DM]],-12,0),0)+OFFSET(TblConstr[[#This Row],[Tot DM]],-1,0)-TblConstr[[#This Row],[Dest DM]]</f>
        <v>0</v>
      </c>
      <c r="BP53" s="191" cm="1">
        <f t="array" aca="1" ref="BP53" ca="1">IF(TblConstr[[#This Row],[Hour]:[Hour]]&gt;12,OFFSET(TblConstr[[#This Row],[Sch]],-12,0),0)+OFFSET(TblConstr[[#This Row],[Tot Sch]],-1,0)-TblConstr[[#This Row],[Dest Sch]]</f>
        <v>0</v>
      </c>
      <c r="BQ53" s="192" cm="1">
        <f t="array" aca="1" ref="BQ53" ca="1">IF(TblConstr[[#This Row],[Hour]:[Hour]]&gt;12,OFFSET(TblConstr[[#This Row],[Doc]],-12,0),0)+OFFSET(TblConstr[[#This Row],[Tot Doc]],-1,0)-TblConstr[[#This Row],[Dest Doc]]</f>
        <v>0</v>
      </c>
      <c r="BR53" s="142"/>
      <c r="BS53" s="154"/>
      <c r="BT53" s="94">
        <f ca="1">TblConstr[[#This Row],[Land]]</f>
        <v>110</v>
      </c>
      <c r="BU53" s="159">
        <f ca="1">TblImps[[#This Row],[Time]]</f>
        <v>46049.041666666548</v>
      </c>
      <c r="BV53" s="142"/>
      <c r="BW53" s="179"/>
      <c r="BX53" s="179"/>
      <c r="BY53" s="179"/>
      <c r="BZ53" s="179"/>
      <c r="CA53" s="179"/>
      <c r="CB53" s="179"/>
      <c r="CC53" s="179"/>
      <c r="CD53" s="179"/>
      <c r="CE53" s="179"/>
      <c r="CF53" s="179"/>
      <c r="CG53" s="179"/>
      <c r="CH53" s="179"/>
      <c r="CI53" s="179"/>
      <c r="CJ53" s="179"/>
      <c r="CK53" s="179"/>
      <c r="CL53" s="179"/>
      <c r="CM53" s="179"/>
      <c r="CN53" s="179"/>
      <c r="CO53" s="179"/>
      <c r="CP53" s="142"/>
      <c r="CQ53" s="181">
        <f ca="1">-SUM(TblConstr[[#This Row],[Alc]:[Mas]])+SUM(TblConstr[[#This Row],[Dest Alc]:[Dest Mas]])+Rezone!L53+IF("Ch_"&amp; home_land=TblConstr[[#Headers],[Ch_Plain]],TblConstr[[#This Row],[Home Land]])+IF(TblConstr[[#This Row],[Hour]:[Hour]]&gt;12,OFFSET(TblExplore[[#This Row],[Plains Explore]],-12,0),0)</f>
        <v>0</v>
      </c>
      <c r="CR53" s="182">
        <f ca="1">-SUM(TblConstr[[#This Row],[Ly]:[Hav]])+SUM(TblConstr[[#This Row],[Dest Ly]:[Dest Hav]]) +Rezone!M53 + IF("Ch_"&amp; home_land=TblConstr[[#Headers],[Ch_Forest]],TblConstr[[#This Row],[Home Land]])+IF(TblConstr[[#This Row],[Hour]:[Hour]]&gt;12,OFFSET(TblExplore[[#This Row],[Forest Explore]],-12,0),0)</f>
        <v>0</v>
      </c>
      <c r="CS53" s="359">
        <f ca="1">-SUM(TblConstr[[#This Row],[OM]:[GN]])+SUM(TblConstr[[#This Row],[Dest OM]:[Dest GN]]) +Rezone!N53 + IF("Ch_"&amp; home_land=TblConstr[[#Headers],[Ch_Mountain]],TblConstr[[#This Row],[Home Land]])+IF(TblConstr[[#This Row],[Hour]:[Hour]]&gt;12,OFFSET(TblExplore[[#This Row],[Mountain Explore]],-12,0),0)</f>
        <v>0</v>
      </c>
      <c r="CT53" s="183">
        <f ca="1">-SUM(TblConstr[[#This Row],[Fac]:[Shr]])+SUM(TblConstr[[#This Row],[Dest Fac]:[Dest Shr]]) +Rezone!O53 + IF("Ch_" &amp; home_land=TblConstr[[#Headers],[Ch_Hill]],TblConstr[[#This Row],[Home Land]])+IF(TblConstr[[#This Row],[Hour]:[Hour]]&gt;12,OFFSET(TblExplore[[#This Row],[Hill Explore]],-12,0),0)</f>
        <v>0</v>
      </c>
      <c r="CU53" s="184">
        <f ca="1">-SUM(TblConstr[[#This Row],[Tow]:[WG]])+SUM(TblConstr[[#This Row],[Dest Tow]:[Dest WG]]) +Rezone!P53 + IF("Ch_" &amp; home_land=TblConstr[[#Headers],[Ch_Swamp]],TblConstr[[#This Row],[Home Land]])+IF(TblConstr[[#This Row],[Hour]:[Hour]]&gt;12,OFFSET(TblExplore[[#This Row],[Swamp Explore]],-12,0),0)</f>
        <v>0</v>
      </c>
      <c r="CV53" s="185">
        <f ca="1" xml:space="preserve"> - SUM(TblConstr[[#This Row],[DM]:[Sch]])+SUM(TblConstr[[#This Row],[Dest DM]:[Dest Sch]]) +Rezone!Q53 + IF("Ch_" &amp; home_land=TblConstr[[#Headers],[Ch_Cavern]],TblConstr[[#This Row],[Home Land]])+IF(TblConstr[[#This Row],[Hour]:[Hour]]&gt;12,OFFSET(TblExplore[[#This Row],[Cavern Explore]],-12,0),0)</f>
        <v>0</v>
      </c>
      <c r="CW53" s="186">
        <f ca="1">-TblConstr[[#This Row],[Doc]]+TblConstr[[#This Row],[Dest Doc]] +Rezone!R53 + IF("Ch_" &amp; home_land=TblConstr[[#Headers],[Ch_Water]],TblConstr[[#This Row],[Home Land]])+IF(TblConstr[[#This Row],[Hour]:[Hour]]&gt;12,OFFSET(TblExplore[[#This Row],[Water Explore]],-12,0),0)</f>
        <v>0</v>
      </c>
      <c r="CX53" s="45">
        <f>IF(Explore!S53=1,20) - TblConstr[[#This Row],[Hom]] + TblConstr[[#This Row],[Dest Hom]]</f>
        <v>0</v>
      </c>
      <c r="CY53" s="142"/>
      <c r="CZ53" s="94">
        <f t="shared" ca="1" si="12"/>
        <v>90</v>
      </c>
      <c r="DA53" s="94">
        <f t="shared" ca="1" si="13"/>
        <v>20</v>
      </c>
      <c r="DB53" s="45">
        <f t="shared" ca="1" si="14"/>
        <v>0</v>
      </c>
      <c r="DC53" s="94">
        <f t="shared" ca="1" si="15"/>
        <v>0</v>
      </c>
      <c r="DD53" s="94">
        <f t="shared" ca="1" si="16"/>
        <v>0</v>
      </c>
      <c r="DE53" s="45">
        <f t="shared" ca="1" si="17"/>
        <v>0</v>
      </c>
      <c r="DF53" s="94">
        <f t="shared" ca="1" si="18"/>
        <v>0</v>
      </c>
      <c r="DG53" s="94" cm="1">
        <f t="array" aca="1" ref="DG53" ca="1">INDEX(TblConstr[[Total Plain]:[Total Water]],ROW()-ROW(TblConstr[#Headers]),MATCH("Total "&amp;home_land,TblConstr[[#Headers],[Total Plain]:[Total Water]],0))+TblConstr[[#This Row],[Homes]]</f>
        <v>90</v>
      </c>
      <c r="DH53" s="45">
        <f t="shared" ca="1" si="10"/>
        <v>0</v>
      </c>
      <c r="DI53" s="45">
        <f t="shared" ca="1" si="0"/>
        <v>0</v>
      </c>
      <c r="DJ53" s="45">
        <f t="shared" ca="1" si="1"/>
        <v>0</v>
      </c>
    </row>
    <row r="54" spans="1:114" x14ac:dyDescent="0.2">
      <c r="A54" s="175">
        <f>TblRezone[[#This Row],[Hour]]</f>
        <v>51</v>
      </c>
      <c r="B54" s="176">
        <f ca="1">SUM(TblConstr[[#This Row],[Plain]:[Water]])</f>
        <v>60</v>
      </c>
      <c r="C54" s="177">
        <f ca="1">SUM(TblConstr[[#This Row],[Tot Hom]:[Tot Doc]])</f>
        <v>50</v>
      </c>
      <c r="D54" s="177">
        <f t="shared" si="11"/>
        <v>0</v>
      </c>
      <c r="E54" s="178"/>
      <c r="F54" s="61">
        <f ca="1">TblConstr[[#This Row],[Barren]]+TblConstr[[#This Row],[Buildings]]+TblConstr[[#This Row],[Incoming]]</f>
        <v>110</v>
      </c>
      <c r="G54" s="187">
        <f ca="1">OFFSET(TblConstr[[#This Row],[Plain]],-1,0)+TblConstr[[#This Row],[Ch_Plain]]</f>
        <v>60</v>
      </c>
      <c r="H54" s="182">
        <f ca="1">OFFSET(TblConstr[[#This Row],[Forest]],-1,0)+TblConstr[[#This Row],[Ch_Forest]]</f>
        <v>0</v>
      </c>
      <c r="I54" s="359">
        <f ca="1">OFFSET(TblConstr[[#This Row],[Mountain]],-1,0)+TblConstr[[#This Row],[Ch_Mountain]]</f>
        <v>0</v>
      </c>
      <c r="J54" s="363">
        <f ca="1">OFFSET(TblConstr[[#This Row],[Hill]],-1,0)+TblConstr[[#This Row],[Ch_Hill]]</f>
        <v>0</v>
      </c>
      <c r="K54" s="367">
        <f ca="1">OFFSET(TblConstr[[#This Row],[Swamp]],-1,0)+TblConstr[[#This Row],[Ch_Swamp]]</f>
        <v>0</v>
      </c>
      <c r="L54" s="185">
        <f ca="1">OFFSET(TblConstr[[#This Row],[Cavern]],-1,0)+TblConstr[[#This Row],[Ch_Cavern]]</f>
        <v>0</v>
      </c>
      <c r="M54" s="186">
        <f ca="1">OFFSET(TblConstr[[#This Row],[Water]],-1,0)+TblConstr[[#This Row],[Ch_Water]]</f>
        <v>0</v>
      </c>
      <c r="N54" s="357">
        <f>TblRezone[[#This Row],[Hour]]</f>
        <v>51</v>
      </c>
      <c r="O54" s="179"/>
      <c r="P54" s="179"/>
      <c r="Q54" s="179"/>
      <c r="R54" s="179"/>
      <c r="S54" s="179"/>
      <c r="T54" s="179"/>
      <c r="U54" s="179"/>
      <c r="V54" s="179"/>
      <c r="W54" s="179"/>
      <c r="X54" s="179"/>
      <c r="Y54" s="179"/>
      <c r="Z54" s="179"/>
      <c r="AA54" s="179"/>
      <c r="AB54" s="179"/>
      <c r="AC54" s="179"/>
      <c r="AD54" s="179"/>
      <c r="AE54" s="179"/>
      <c r="AF54" s="179"/>
      <c r="AG54" s="179"/>
      <c r="AH54" s="53">
        <f ca="1">TblImps[[#This Row],[Time]]</f>
        <v>46049.083333333212</v>
      </c>
      <c r="AI54" s="180">
        <f ca="1">MIN(25%,(TblConstr[[#This Row],[Tot Fac]]+TblConstr[[#This Row],[Dest Fac]])/(TblConstr[[#This Row],[Land]]-TblExplore[[#This Row],[Land Bonus]]*20))</f>
        <v>0</v>
      </c>
      <c r="AJ54" s="180">
        <f ca="1">MIN(25%,(TblConstr[[#This Row],[Tot Fac]]+TblConstr[[#This Row],[Dest Fac]])/TblConstr[[#This Row],[Land]])</f>
        <v>0</v>
      </c>
      <c r="AK54" s="94">
        <f ca="1">TblProd[[#This Row],[Platinum]]</f>
        <v>136136</v>
      </c>
      <c r="AL54" s="94">
        <f ca="1">TblProd[[#This Row],[Lumber]]</f>
        <v>48573</v>
      </c>
      <c r="AM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4" s="94">
        <f ca="1">ROUNDDOWN( MAX(1 - MIN(facs_constr_factor*TblConstr[[#This Row],[Facs -DB]],facs_constr_max) + tech_1_11*TblTech[[#This Row],[11-1]] + tech_6_3_2*TblTech[[#This Row],[6-3]] + tech_5_2_3*TblTech[[#This Row],[5-2]], 1-global_constr_cap) * TblConstr[[#This Row],[RCPA Lumber]],0)</f>
        <v>48</v>
      </c>
      <c r="AO5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4" s="94">
        <f ca="1">ROUNDDOWN( MAX(1 - MIN(facs_constr_factor*TblConstr[[#This Row],[Facs DB]],facs_constr_max) + tech_1_11*TblTech[[#This Row],[1-11]] + tech_6_3_2*TblTech[[#This Row],[6-3]] + tech_5_2_3*TblTech[[#This Row],[5-2]], 1-global_constr_cap) * ROUND((TblConstr[[#This Row],[Land]]-250)*0.285 + 87.5 + 0/4.25,0),0)</f>
        <v>48</v>
      </c>
      <c r="AQ54" s="45">
        <f ca="1">TblConstr[[#This Row],[build -db]]*TblConstr[[#This Row],[CPA Platinum -DB]] + TblConstr[[#This Row],[build db]]*TblConstr[[#This Row],[CPA Platinum DB]]</f>
        <v>0</v>
      </c>
      <c r="AR54" s="45">
        <f ca="1">TblConstr[[#This Row],[build -db]]*TblConstr[[#This Row],[CPA Lumber -DB]] + TblConstr[[#This Row],[build db]]*TblConstr[[#This Row],[CPA Lumber DB]]</f>
        <v>0</v>
      </c>
      <c r="AS54" s="94">
        <f ca="1">MIN(SUM(OFFSET(TblConstr[[#This Row],[Plain]:[Water]],-1,0))+SUM(TblConstr[[#This Row],[Dest Hom]:[Dest Doc]])+IF(TblConstr[[#This Row],[Hour]]&gt;12,SUM(OFFSET(TblExplore[[#This Row],[Plains Explore]:[Water Explore]],-12,0)),0),SUM(TblConstr[[#This Row],[Hom]:[Doc]]))</f>
        <v>0</v>
      </c>
      <c r="AT5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4" s="142"/>
      <c r="AV54" s="94">
        <f ca="1">ROUND((TblConstr[[#This Row],[Land]]-250 - IF(TblExplore[[#This Row],[Land Bonus]]&lt;&gt;0,20,0))*1.25 + 850 + 0,0)</f>
        <v>675</v>
      </c>
      <c r="AW54" s="94">
        <f ca="1">ROUND((TblConstr[[#This Row],[Land]]-250 - IF(TblExplore[[#This Row],[Land Bonus]]&lt;&gt;0,20,0))*0.285 + 87.5 + 0/4.25,0)</f>
        <v>48</v>
      </c>
      <c r="AX54" s="154"/>
      <c r="AY54" s="188" cm="1">
        <f t="array" aca="1" ref="AY54" ca="1">IF(TblConstr[[#This Row],[Hour]:[Hour]]&gt;12,OFFSET(TblConstr[[#This Row],[Hom]],-12,0),0)+OFFSET(TblConstr[[#This Row],[Tot Hom]],-1,0)-TblConstr[[#This Row],[Dest Hom]]</f>
        <v>0</v>
      </c>
      <c r="AZ54" s="189" cm="1">
        <f t="array" aca="1" ref="AZ54" ca="1">IF(TblConstr[[#This Row],[Hour]:[Hour]]&gt;12,OFFSET(TblConstr[[#This Row],[Alc]],-12,0),0)+OFFSET(TblConstr[[#This Row],[Tot Alc]],-1,0)-TblConstr[[#This Row],[Dest Alc]]</f>
        <v>0</v>
      </c>
      <c r="BA54" s="189" cm="1">
        <f t="array" aca="1" ref="BA54" ca="1">IF(TblConstr[[#This Row],[Hour]:[Hour]]&gt;12,OFFSET(TblConstr[[#This Row],[Far]],-12,0),0)+OFFSET(TblConstr[[#This Row],[Tot Farm]],-1,0)-TblConstr[[#This Row],[Dest Farm]]</f>
        <v>30</v>
      </c>
      <c r="BB54" s="189" cm="1">
        <f t="array" aca="1" ref="BB54" ca="1">IF(TblConstr[[#This Row],[Hour]:[Hour]]&gt;12,OFFSET(TblConstr[[#This Row],[Smi]],-12,0),0)+OFFSET(TblConstr[[#This Row],[Tot Smi]],-1,0)-TblConstr[[#This Row],[Dest Smi]]</f>
        <v>0</v>
      </c>
      <c r="BC54" s="189" cm="1">
        <f t="array" aca="1" ref="BC54" ca="1">IF(TblConstr[[#This Row],[Hour]:[Hour]]&gt;12,OFFSET(TblConstr[[#This Row],[Mas]],-12,0),0)+OFFSET(TblConstr[[#This Row],[Tot Mas]],-1,0)-TblConstr[[#This Row],[Dest Mas]]</f>
        <v>0</v>
      </c>
      <c r="BD54" s="190" cm="1">
        <f t="array" aca="1" ref="BD54" ca="1">IF(TblConstr[[#This Row],[Hour]:[Hour]]&gt;12,OFFSET(TblConstr[[#This Row],[Ly]],-12,0),0)+OFFSET(TblConstr[[#This Row],[Tot Ly]],-1,0)-TblConstr[[#This Row],[Dest Ly]]</f>
        <v>20</v>
      </c>
      <c r="BE54" s="190" cm="1">
        <f t="array" aca="1" ref="BE54" ca="1">IF(TblConstr[[#This Row],[Hour]:[Hour]]&gt;12,OFFSET(TblConstr[[#This Row],[Hav]],-12,0),0)+OFFSET(TblConstr[[#This Row],[Tot Hav]],-1,0)-TblConstr[[#This Row],[Dest Hav]]</f>
        <v>0</v>
      </c>
      <c r="BF54" s="361" cm="1">
        <f t="array" aca="1" ref="BF54" ca="1">IF(TblConstr[[#This Row],[Hour]:[Hour]]&gt;12,OFFSET(TblConstr[[#This Row],[OM]],-12,0),0)+OFFSET(TblConstr[[#This Row],[Tot OM]],-1,0)-TblConstr[[#This Row],[Dest OM]]</f>
        <v>0</v>
      </c>
      <c r="BG54" s="361" cm="1">
        <f t="array" aca="1" ref="BG54" ca="1">IF(TblConstr[[#This Row],[Hour]:[Hour]]&gt;12,OFFSET(TblConstr[[#This Row],[GN]],-12,0),0)+OFFSET(TblConstr[[#This Row],[Tot GN]],-1,0)-TblConstr[[#This Row],[Dest GN]]</f>
        <v>0</v>
      </c>
      <c r="BH54" s="365" cm="1">
        <f t="array" aca="1" ref="BH54" ca="1">IF(TblConstr[[#This Row],[Hour]:[Hour]]&gt;12,OFFSET(TblConstr[[#This Row],[Fac]],-12,0),0)+OFFSET(TblConstr[[#This Row],[Tot Fac]],-1,0)-TblConstr[[#This Row],[Dest Fac]]</f>
        <v>0</v>
      </c>
      <c r="BI54" s="365" cm="1">
        <f t="array" aca="1" ref="BI54" ca="1">IF(TblConstr[[#This Row],[Hour]:[Hour]]&gt;12,OFFSET(TblConstr[[#This Row],[GT]],-12,0),0)+OFFSET(TblConstr[[#This Row],[Tot GT]],-1,0)-TblConstr[[#This Row],[Dest GT]]</f>
        <v>0</v>
      </c>
      <c r="BJ54" s="365" cm="1">
        <f t="array" aca="1" ref="BJ54" ca="1">IF(TblConstr[[#This Row],[Hour]:[Hour]]&gt;12,OFFSET(TblConstr[[#This Row],[Bar]],-12,0),0)+OFFSET(TblConstr[[#This Row],[Tot Bar]],-1,0)-TblConstr[[#This Row],[Dest Bar]]</f>
        <v>0</v>
      </c>
      <c r="BK54" s="365" cm="1">
        <f t="array" aca="1" ref="BK54" ca="1">IF(TblConstr[[#This Row],[Hour]:[Hour]]&gt;12,OFFSET(TblConstr[[#This Row],[Shr]],-12,0),0)+OFFSET(TblConstr[[#This Row],[Tot Shr]],-1,0)-TblConstr[[#This Row],[Dest Shr]]</f>
        <v>0</v>
      </c>
      <c r="BL54" s="369" cm="1">
        <f t="array" aca="1" ref="BL54" ca="1">IF(TblConstr[[#This Row],[Hour]:[Hour]]&gt;12,OFFSET(TblConstr[[#This Row],[Tow]],-12,0),0)+OFFSET(TblConstr[[#This Row],[Tot Tow]],-1,0)-TblConstr[[#This Row],[Dest Tow]]</f>
        <v>0</v>
      </c>
      <c r="BM54" s="369" cm="1">
        <f t="array" aca="1" ref="BM54" ca="1">IF(TblConstr[[#This Row],[Hour]:[Hour]]&gt;12,OFFSET(TblConstr[[#This Row],[Tem]],-12,0),0)+OFFSET(TblConstr[[#This Row],[Tot Tem]],-1,0)-TblConstr[[#This Row],[Dest Tem]]</f>
        <v>0</v>
      </c>
      <c r="BN54" s="369" cm="1">
        <f t="array" aca="1" ref="BN54" ca="1">IF(TblConstr[[#This Row],[Hour]:[Hour]]&gt;12,OFFSET(TblConstr[[#This Row],[WG]],-12,0),0)+OFFSET(TblConstr[[#This Row],[Tot WG]],-1,0)-TblConstr[[#This Row],[Dest WG]]</f>
        <v>0</v>
      </c>
      <c r="BO54" s="191" cm="1">
        <f t="array" aca="1" ref="BO54" ca="1">IF(TblConstr[[#This Row],[Hour]:[Hour]]&gt;12,OFFSET(TblConstr[[#This Row],[DM]],-12,0),0)+OFFSET(TblConstr[[#This Row],[Tot DM]],-1,0)-TblConstr[[#This Row],[Dest DM]]</f>
        <v>0</v>
      </c>
      <c r="BP54" s="191" cm="1">
        <f t="array" aca="1" ref="BP54" ca="1">IF(TblConstr[[#This Row],[Hour]:[Hour]]&gt;12,OFFSET(TblConstr[[#This Row],[Sch]],-12,0),0)+OFFSET(TblConstr[[#This Row],[Tot Sch]],-1,0)-TblConstr[[#This Row],[Dest Sch]]</f>
        <v>0</v>
      </c>
      <c r="BQ54" s="192" cm="1">
        <f t="array" aca="1" ref="BQ54" ca="1">IF(TblConstr[[#This Row],[Hour]:[Hour]]&gt;12,OFFSET(TblConstr[[#This Row],[Doc]],-12,0),0)+OFFSET(TblConstr[[#This Row],[Tot Doc]],-1,0)-TblConstr[[#This Row],[Dest Doc]]</f>
        <v>0</v>
      </c>
      <c r="BR54" s="142"/>
      <c r="BS54" s="154"/>
      <c r="BT54" s="94">
        <f ca="1">TblConstr[[#This Row],[Land]]</f>
        <v>110</v>
      </c>
      <c r="BU54" s="159">
        <f ca="1">TblImps[[#This Row],[Time]]</f>
        <v>46049.083333333212</v>
      </c>
      <c r="BV54" s="142"/>
      <c r="BW54" s="179"/>
      <c r="BX54" s="179"/>
      <c r="BY54" s="179"/>
      <c r="BZ54" s="179"/>
      <c r="CA54" s="179"/>
      <c r="CB54" s="179"/>
      <c r="CC54" s="179"/>
      <c r="CD54" s="179"/>
      <c r="CE54" s="179"/>
      <c r="CF54" s="179"/>
      <c r="CG54" s="179"/>
      <c r="CH54" s="179"/>
      <c r="CI54" s="179"/>
      <c r="CJ54" s="179"/>
      <c r="CK54" s="179"/>
      <c r="CL54" s="179"/>
      <c r="CM54" s="179"/>
      <c r="CN54" s="179"/>
      <c r="CO54" s="179"/>
      <c r="CP54" s="142"/>
      <c r="CQ54" s="181">
        <f ca="1">-SUM(TblConstr[[#This Row],[Alc]:[Mas]])+SUM(TblConstr[[#This Row],[Dest Alc]:[Dest Mas]])+Rezone!L54+IF("Ch_"&amp; home_land=TblConstr[[#Headers],[Ch_Plain]],TblConstr[[#This Row],[Home Land]])+IF(TblConstr[[#This Row],[Hour]:[Hour]]&gt;12,OFFSET(TblExplore[[#This Row],[Plains Explore]],-12,0),0)</f>
        <v>0</v>
      </c>
      <c r="CR54" s="182">
        <f ca="1">-SUM(TblConstr[[#This Row],[Ly]:[Hav]])+SUM(TblConstr[[#This Row],[Dest Ly]:[Dest Hav]]) +Rezone!M54 + IF("Ch_"&amp; home_land=TblConstr[[#Headers],[Ch_Forest]],TblConstr[[#This Row],[Home Land]])+IF(TblConstr[[#This Row],[Hour]:[Hour]]&gt;12,OFFSET(TblExplore[[#This Row],[Forest Explore]],-12,0),0)</f>
        <v>0</v>
      </c>
      <c r="CS54" s="359">
        <f ca="1">-SUM(TblConstr[[#This Row],[OM]:[GN]])+SUM(TblConstr[[#This Row],[Dest OM]:[Dest GN]]) +Rezone!N54 + IF("Ch_"&amp; home_land=TblConstr[[#Headers],[Ch_Mountain]],TblConstr[[#This Row],[Home Land]])+IF(TblConstr[[#This Row],[Hour]:[Hour]]&gt;12,OFFSET(TblExplore[[#This Row],[Mountain Explore]],-12,0),0)</f>
        <v>0</v>
      </c>
      <c r="CT54" s="183">
        <f ca="1">-SUM(TblConstr[[#This Row],[Fac]:[Shr]])+SUM(TblConstr[[#This Row],[Dest Fac]:[Dest Shr]]) +Rezone!O54 + IF("Ch_" &amp; home_land=TblConstr[[#Headers],[Ch_Hill]],TblConstr[[#This Row],[Home Land]])+IF(TblConstr[[#This Row],[Hour]:[Hour]]&gt;12,OFFSET(TblExplore[[#This Row],[Hill Explore]],-12,0),0)</f>
        <v>0</v>
      </c>
      <c r="CU54" s="184">
        <f ca="1">-SUM(TblConstr[[#This Row],[Tow]:[WG]])+SUM(TblConstr[[#This Row],[Dest Tow]:[Dest WG]]) +Rezone!P54 + IF("Ch_" &amp; home_land=TblConstr[[#Headers],[Ch_Swamp]],TblConstr[[#This Row],[Home Land]])+IF(TblConstr[[#This Row],[Hour]:[Hour]]&gt;12,OFFSET(TblExplore[[#This Row],[Swamp Explore]],-12,0),0)</f>
        <v>0</v>
      </c>
      <c r="CV54" s="185">
        <f ca="1" xml:space="preserve"> - SUM(TblConstr[[#This Row],[DM]:[Sch]])+SUM(TblConstr[[#This Row],[Dest DM]:[Dest Sch]]) +Rezone!Q54 + IF("Ch_" &amp; home_land=TblConstr[[#Headers],[Ch_Cavern]],TblConstr[[#This Row],[Home Land]])+IF(TblConstr[[#This Row],[Hour]:[Hour]]&gt;12,OFFSET(TblExplore[[#This Row],[Cavern Explore]],-12,0),0)</f>
        <v>0</v>
      </c>
      <c r="CW54" s="186">
        <f ca="1">-TblConstr[[#This Row],[Doc]]+TblConstr[[#This Row],[Dest Doc]] +Rezone!R54 + IF("Ch_" &amp; home_land=TblConstr[[#Headers],[Ch_Water]],TblConstr[[#This Row],[Home Land]])+IF(TblConstr[[#This Row],[Hour]:[Hour]]&gt;12,OFFSET(TblExplore[[#This Row],[Water Explore]],-12,0),0)</f>
        <v>0</v>
      </c>
      <c r="CX54" s="45">
        <f>IF(Explore!S54=1,20) - TblConstr[[#This Row],[Hom]] + TblConstr[[#This Row],[Dest Hom]]</f>
        <v>0</v>
      </c>
      <c r="CY54" s="142"/>
      <c r="CZ54" s="94">
        <f t="shared" ca="1" si="12"/>
        <v>90</v>
      </c>
      <c r="DA54" s="94">
        <f t="shared" ca="1" si="13"/>
        <v>20</v>
      </c>
      <c r="DB54" s="45">
        <f t="shared" ca="1" si="14"/>
        <v>0</v>
      </c>
      <c r="DC54" s="94">
        <f t="shared" ca="1" si="15"/>
        <v>0</v>
      </c>
      <c r="DD54" s="94">
        <f t="shared" ca="1" si="16"/>
        <v>0</v>
      </c>
      <c r="DE54" s="45">
        <f t="shared" ca="1" si="17"/>
        <v>0</v>
      </c>
      <c r="DF54" s="94">
        <f t="shared" ca="1" si="18"/>
        <v>0</v>
      </c>
      <c r="DG54" s="94" cm="1">
        <f t="array" aca="1" ref="DG54" ca="1">INDEX(TblConstr[[Total Plain]:[Total Water]],ROW()-ROW(TblConstr[#Headers]),MATCH("Total "&amp;home_land,TblConstr[[#Headers],[Total Plain]:[Total Water]],0))+TblConstr[[#This Row],[Homes]]</f>
        <v>90</v>
      </c>
      <c r="DH54" s="45">
        <f t="shared" ca="1" si="10"/>
        <v>0</v>
      </c>
      <c r="DI54" s="45">
        <f t="shared" ca="1" si="0"/>
        <v>0</v>
      </c>
      <c r="DJ54" s="45">
        <f t="shared" ca="1" si="1"/>
        <v>0</v>
      </c>
    </row>
    <row r="55" spans="1:114" x14ac:dyDescent="0.2">
      <c r="A55" s="175">
        <f>TblRezone[[#This Row],[Hour]]</f>
        <v>52</v>
      </c>
      <c r="B55" s="176">
        <f ca="1">SUM(TblConstr[[#This Row],[Plain]:[Water]])</f>
        <v>60</v>
      </c>
      <c r="C55" s="177">
        <f ca="1">SUM(TblConstr[[#This Row],[Tot Hom]:[Tot Doc]])</f>
        <v>50</v>
      </c>
      <c r="D55" s="177">
        <f t="shared" si="11"/>
        <v>0</v>
      </c>
      <c r="E55" s="178"/>
      <c r="F55" s="61">
        <f ca="1">TblConstr[[#This Row],[Barren]]+TblConstr[[#This Row],[Buildings]]+TblConstr[[#This Row],[Incoming]]</f>
        <v>110</v>
      </c>
      <c r="G55" s="187">
        <f ca="1">OFFSET(TblConstr[[#This Row],[Plain]],-1,0)+TblConstr[[#This Row],[Ch_Plain]]</f>
        <v>60</v>
      </c>
      <c r="H55" s="182">
        <f ca="1">OFFSET(TblConstr[[#This Row],[Forest]],-1,0)+TblConstr[[#This Row],[Ch_Forest]]</f>
        <v>0</v>
      </c>
      <c r="I55" s="359">
        <f ca="1">OFFSET(TblConstr[[#This Row],[Mountain]],-1,0)+TblConstr[[#This Row],[Ch_Mountain]]</f>
        <v>0</v>
      </c>
      <c r="J55" s="363">
        <f ca="1">OFFSET(TblConstr[[#This Row],[Hill]],-1,0)+TblConstr[[#This Row],[Ch_Hill]]</f>
        <v>0</v>
      </c>
      <c r="K55" s="367">
        <f ca="1">OFFSET(TblConstr[[#This Row],[Swamp]],-1,0)+TblConstr[[#This Row],[Ch_Swamp]]</f>
        <v>0</v>
      </c>
      <c r="L55" s="185">
        <f ca="1">OFFSET(TblConstr[[#This Row],[Cavern]],-1,0)+TblConstr[[#This Row],[Ch_Cavern]]</f>
        <v>0</v>
      </c>
      <c r="M55" s="186">
        <f ca="1">OFFSET(TblConstr[[#This Row],[Water]],-1,0)+TblConstr[[#This Row],[Ch_Water]]</f>
        <v>0</v>
      </c>
      <c r="N55" s="357">
        <f>TblRezone[[#This Row],[Hour]]</f>
        <v>52</v>
      </c>
      <c r="O55" s="179"/>
      <c r="P55" s="179"/>
      <c r="Q55" s="179"/>
      <c r="R55" s="179"/>
      <c r="S55" s="179"/>
      <c r="T55" s="179"/>
      <c r="U55" s="179"/>
      <c r="V55" s="179"/>
      <c r="W55" s="179"/>
      <c r="X55" s="179"/>
      <c r="Y55" s="179"/>
      <c r="Z55" s="179"/>
      <c r="AA55" s="179"/>
      <c r="AB55" s="179"/>
      <c r="AC55" s="179"/>
      <c r="AD55" s="179"/>
      <c r="AE55" s="179"/>
      <c r="AF55" s="179"/>
      <c r="AG55" s="179"/>
      <c r="AH55" s="53">
        <f ca="1">TblImps[[#This Row],[Time]]</f>
        <v>46049.124999999876</v>
      </c>
      <c r="AI55" s="180">
        <f ca="1">MIN(25%,(TblConstr[[#This Row],[Tot Fac]]+TblConstr[[#This Row],[Dest Fac]])/(TblConstr[[#This Row],[Land]]-TblExplore[[#This Row],[Land Bonus]]*20))</f>
        <v>0</v>
      </c>
      <c r="AJ55" s="180">
        <f ca="1">MIN(25%,(TblConstr[[#This Row],[Tot Fac]]+TblConstr[[#This Row],[Dest Fac]])/TblConstr[[#This Row],[Land]])</f>
        <v>0</v>
      </c>
      <c r="AK55" s="94">
        <f ca="1">TblProd[[#This Row],[Platinum]]</f>
        <v>137774</v>
      </c>
      <c r="AL55" s="94">
        <f ca="1">TblProd[[#This Row],[Lumber]]</f>
        <v>49087</v>
      </c>
      <c r="AM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5" s="94">
        <f ca="1">ROUNDDOWN( MAX(1 - MIN(facs_constr_factor*TblConstr[[#This Row],[Facs -DB]],facs_constr_max) + tech_1_11*TblTech[[#This Row],[11-1]] + tech_6_3_2*TblTech[[#This Row],[6-3]] + tech_5_2_3*TblTech[[#This Row],[5-2]], 1-global_constr_cap) * TblConstr[[#This Row],[RCPA Lumber]],0)</f>
        <v>48</v>
      </c>
      <c r="AO5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5" s="94">
        <f ca="1">ROUNDDOWN( MAX(1 - MIN(facs_constr_factor*TblConstr[[#This Row],[Facs DB]],facs_constr_max) + tech_1_11*TblTech[[#This Row],[1-11]] + tech_6_3_2*TblTech[[#This Row],[6-3]] + tech_5_2_3*TblTech[[#This Row],[5-2]], 1-global_constr_cap) * ROUND((TblConstr[[#This Row],[Land]]-250)*0.285 + 87.5 + 0/4.25,0),0)</f>
        <v>48</v>
      </c>
      <c r="AQ55" s="45">
        <f ca="1">TblConstr[[#This Row],[build -db]]*TblConstr[[#This Row],[CPA Platinum -DB]] + TblConstr[[#This Row],[build db]]*TblConstr[[#This Row],[CPA Platinum DB]]</f>
        <v>0</v>
      </c>
      <c r="AR55" s="45">
        <f ca="1">TblConstr[[#This Row],[build -db]]*TblConstr[[#This Row],[CPA Lumber -DB]] + TblConstr[[#This Row],[build db]]*TblConstr[[#This Row],[CPA Lumber DB]]</f>
        <v>0</v>
      </c>
      <c r="AS55" s="94">
        <f ca="1">MIN(SUM(OFFSET(TblConstr[[#This Row],[Plain]:[Water]],-1,0))+SUM(TblConstr[[#This Row],[Dest Hom]:[Dest Doc]])+IF(TblConstr[[#This Row],[Hour]]&gt;12,SUM(OFFSET(TblExplore[[#This Row],[Plains Explore]:[Water Explore]],-12,0)),0),SUM(TblConstr[[#This Row],[Hom]:[Doc]]))</f>
        <v>0</v>
      </c>
      <c r="AT5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5" s="142"/>
      <c r="AV55" s="94">
        <f ca="1">ROUND((TblConstr[[#This Row],[Land]]-250 - IF(TblExplore[[#This Row],[Land Bonus]]&lt;&gt;0,20,0))*1.25 + 850 + 0,0)</f>
        <v>675</v>
      </c>
      <c r="AW55" s="94">
        <f ca="1">ROUND((TblConstr[[#This Row],[Land]]-250 - IF(TblExplore[[#This Row],[Land Bonus]]&lt;&gt;0,20,0))*0.285 + 87.5 + 0/4.25,0)</f>
        <v>48</v>
      </c>
      <c r="AX55" s="154"/>
      <c r="AY55" s="188" cm="1">
        <f t="array" aca="1" ref="AY55" ca="1">IF(TblConstr[[#This Row],[Hour]:[Hour]]&gt;12,OFFSET(TblConstr[[#This Row],[Hom]],-12,0),0)+OFFSET(TblConstr[[#This Row],[Tot Hom]],-1,0)-TblConstr[[#This Row],[Dest Hom]]</f>
        <v>0</v>
      </c>
      <c r="AZ55" s="189" cm="1">
        <f t="array" aca="1" ref="AZ55" ca="1">IF(TblConstr[[#This Row],[Hour]:[Hour]]&gt;12,OFFSET(TblConstr[[#This Row],[Alc]],-12,0),0)+OFFSET(TblConstr[[#This Row],[Tot Alc]],-1,0)-TblConstr[[#This Row],[Dest Alc]]</f>
        <v>0</v>
      </c>
      <c r="BA55" s="189" cm="1">
        <f t="array" aca="1" ref="BA55" ca="1">IF(TblConstr[[#This Row],[Hour]:[Hour]]&gt;12,OFFSET(TblConstr[[#This Row],[Far]],-12,0),0)+OFFSET(TblConstr[[#This Row],[Tot Farm]],-1,0)-TblConstr[[#This Row],[Dest Farm]]</f>
        <v>30</v>
      </c>
      <c r="BB55" s="189" cm="1">
        <f t="array" aca="1" ref="BB55" ca="1">IF(TblConstr[[#This Row],[Hour]:[Hour]]&gt;12,OFFSET(TblConstr[[#This Row],[Smi]],-12,0),0)+OFFSET(TblConstr[[#This Row],[Tot Smi]],-1,0)-TblConstr[[#This Row],[Dest Smi]]</f>
        <v>0</v>
      </c>
      <c r="BC55" s="189" cm="1">
        <f t="array" aca="1" ref="BC55" ca="1">IF(TblConstr[[#This Row],[Hour]:[Hour]]&gt;12,OFFSET(TblConstr[[#This Row],[Mas]],-12,0),0)+OFFSET(TblConstr[[#This Row],[Tot Mas]],-1,0)-TblConstr[[#This Row],[Dest Mas]]</f>
        <v>0</v>
      </c>
      <c r="BD55" s="190" cm="1">
        <f t="array" aca="1" ref="BD55" ca="1">IF(TblConstr[[#This Row],[Hour]:[Hour]]&gt;12,OFFSET(TblConstr[[#This Row],[Ly]],-12,0),0)+OFFSET(TblConstr[[#This Row],[Tot Ly]],-1,0)-TblConstr[[#This Row],[Dest Ly]]</f>
        <v>20</v>
      </c>
      <c r="BE55" s="190" cm="1">
        <f t="array" aca="1" ref="BE55" ca="1">IF(TblConstr[[#This Row],[Hour]:[Hour]]&gt;12,OFFSET(TblConstr[[#This Row],[Hav]],-12,0),0)+OFFSET(TblConstr[[#This Row],[Tot Hav]],-1,0)-TblConstr[[#This Row],[Dest Hav]]</f>
        <v>0</v>
      </c>
      <c r="BF55" s="361" cm="1">
        <f t="array" aca="1" ref="BF55" ca="1">IF(TblConstr[[#This Row],[Hour]:[Hour]]&gt;12,OFFSET(TblConstr[[#This Row],[OM]],-12,0),0)+OFFSET(TblConstr[[#This Row],[Tot OM]],-1,0)-TblConstr[[#This Row],[Dest OM]]</f>
        <v>0</v>
      </c>
      <c r="BG55" s="361" cm="1">
        <f t="array" aca="1" ref="BG55" ca="1">IF(TblConstr[[#This Row],[Hour]:[Hour]]&gt;12,OFFSET(TblConstr[[#This Row],[GN]],-12,0),0)+OFFSET(TblConstr[[#This Row],[Tot GN]],-1,0)-TblConstr[[#This Row],[Dest GN]]</f>
        <v>0</v>
      </c>
      <c r="BH55" s="365" cm="1">
        <f t="array" aca="1" ref="BH55" ca="1">IF(TblConstr[[#This Row],[Hour]:[Hour]]&gt;12,OFFSET(TblConstr[[#This Row],[Fac]],-12,0),0)+OFFSET(TblConstr[[#This Row],[Tot Fac]],-1,0)-TblConstr[[#This Row],[Dest Fac]]</f>
        <v>0</v>
      </c>
      <c r="BI55" s="365" cm="1">
        <f t="array" aca="1" ref="BI55" ca="1">IF(TblConstr[[#This Row],[Hour]:[Hour]]&gt;12,OFFSET(TblConstr[[#This Row],[GT]],-12,0),0)+OFFSET(TblConstr[[#This Row],[Tot GT]],-1,0)-TblConstr[[#This Row],[Dest GT]]</f>
        <v>0</v>
      </c>
      <c r="BJ55" s="365" cm="1">
        <f t="array" aca="1" ref="BJ55" ca="1">IF(TblConstr[[#This Row],[Hour]:[Hour]]&gt;12,OFFSET(TblConstr[[#This Row],[Bar]],-12,0),0)+OFFSET(TblConstr[[#This Row],[Tot Bar]],-1,0)-TblConstr[[#This Row],[Dest Bar]]</f>
        <v>0</v>
      </c>
      <c r="BK55" s="365" cm="1">
        <f t="array" aca="1" ref="BK55" ca="1">IF(TblConstr[[#This Row],[Hour]:[Hour]]&gt;12,OFFSET(TblConstr[[#This Row],[Shr]],-12,0),0)+OFFSET(TblConstr[[#This Row],[Tot Shr]],-1,0)-TblConstr[[#This Row],[Dest Shr]]</f>
        <v>0</v>
      </c>
      <c r="BL55" s="369" cm="1">
        <f t="array" aca="1" ref="BL55" ca="1">IF(TblConstr[[#This Row],[Hour]:[Hour]]&gt;12,OFFSET(TblConstr[[#This Row],[Tow]],-12,0),0)+OFFSET(TblConstr[[#This Row],[Tot Tow]],-1,0)-TblConstr[[#This Row],[Dest Tow]]</f>
        <v>0</v>
      </c>
      <c r="BM55" s="369" cm="1">
        <f t="array" aca="1" ref="BM55" ca="1">IF(TblConstr[[#This Row],[Hour]:[Hour]]&gt;12,OFFSET(TblConstr[[#This Row],[Tem]],-12,0),0)+OFFSET(TblConstr[[#This Row],[Tot Tem]],-1,0)-TblConstr[[#This Row],[Dest Tem]]</f>
        <v>0</v>
      </c>
      <c r="BN55" s="369" cm="1">
        <f t="array" aca="1" ref="BN55" ca="1">IF(TblConstr[[#This Row],[Hour]:[Hour]]&gt;12,OFFSET(TblConstr[[#This Row],[WG]],-12,0),0)+OFFSET(TblConstr[[#This Row],[Tot WG]],-1,0)-TblConstr[[#This Row],[Dest WG]]</f>
        <v>0</v>
      </c>
      <c r="BO55" s="191" cm="1">
        <f t="array" aca="1" ref="BO55" ca="1">IF(TblConstr[[#This Row],[Hour]:[Hour]]&gt;12,OFFSET(TblConstr[[#This Row],[DM]],-12,0),0)+OFFSET(TblConstr[[#This Row],[Tot DM]],-1,0)-TblConstr[[#This Row],[Dest DM]]</f>
        <v>0</v>
      </c>
      <c r="BP55" s="191" cm="1">
        <f t="array" aca="1" ref="BP55" ca="1">IF(TblConstr[[#This Row],[Hour]:[Hour]]&gt;12,OFFSET(TblConstr[[#This Row],[Sch]],-12,0),0)+OFFSET(TblConstr[[#This Row],[Tot Sch]],-1,0)-TblConstr[[#This Row],[Dest Sch]]</f>
        <v>0</v>
      </c>
      <c r="BQ55" s="192" cm="1">
        <f t="array" aca="1" ref="BQ55" ca="1">IF(TblConstr[[#This Row],[Hour]:[Hour]]&gt;12,OFFSET(TblConstr[[#This Row],[Doc]],-12,0),0)+OFFSET(TblConstr[[#This Row],[Tot Doc]],-1,0)-TblConstr[[#This Row],[Dest Doc]]</f>
        <v>0</v>
      </c>
      <c r="BR55" s="142"/>
      <c r="BS55" s="154"/>
      <c r="BT55" s="94">
        <f ca="1">TblConstr[[#This Row],[Land]]</f>
        <v>110</v>
      </c>
      <c r="BU55" s="159">
        <f ca="1">TblImps[[#This Row],[Time]]</f>
        <v>46049.124999999876</v>
      </c>
      <c r="BV55" s="142"/>
      <c r="BW55" s="179"/>
      <c r="BX55" s="179"/>
      <c r="BY55" s="179"/>
      <c r="BZ55" s="179"/>
      <c r="CA55" s="179"/>
      <c r="CB55" s="179"/>
      <c r="CC55" s="179"/>
      <c r="CD55" s="179"/>
      <c r="CE55" s="179"/>
      <c r="CF55" s="179"/>
      <c r="CG55" s="179"/>
      <c r="CH55" s="179"/>
      <c r="CI55" s="179"/>
      <c r="CJ55" s="179"/>
      <c r="CK55" s="179"/>
      <c r="CL55" s="179"/>
      <c r="CM55" s="179"/>
      <c r="CN55" s="179"/>
      <c r="CO55" s="179"/>
      <c r="CP55" s="142"/>
      <c r="CQ55" s="181">
        <f ca="1">-SUM(TblConstr[[#This Row],[Alc]:[Mas]])+SUM(TblConstr[[#This Row],[Dest Alc]:[Dest Mas]])+Rezone!L55+IF("Ch_"&amp; home_land=TblConstr[[#Headers],[Ch_Plain]],TblConstr[[#This Row],[Home Land]])+IF(TblConstr[[#This Row],[Hour]:[Hour]]&gt;12,OFFSET(TblExplore[[#This Row],[Plains Explore]],-12,0),0)</f>
        <v>0</v>
      </c>
      <c r="CR55" s="182">
        <f ca="1">-SUM(TblConstr[[#This Row],[Ly]:[Hav]])+SUM(TblConstr[[#This Row],[Dest Ly]:[Dest Hav]]) +Rezone!M55 + IF("Ch_"&amp; home_land=TblConstr[[#Headers],[Ch_Forest]],TblConstr[[#This Row],[Home Land]])+IF(TblConstr[[#This Row],[Hour]:[Hour]]&gt;12,OFFSET(TblExplore[[#This Row],[Forest Explore]],-12,0),0)</f>
        <v>0</v>
      </c>
      <c r="CS55" s="359">
        <f ca="1">-SUM(TblConstr[[#This Row],[OM]:[GN]])+SUM(TblConstr[[#This Row],[Dest OM]:[Dest GN]]) +Rezone!N55 + IF("Ch_"&amp; home_land=TblConstr[[#Headers],[Ch_Mountain]],TblConstr[[#This Row],[Home Land]])+IF(TblConstr[[#This Row],[Hour]:[Hour]]&gt;12,OFFSET(TblExplore[[#This Row],[Mountain Explore]],-12,0),0)</f>
        <v>0</v>
      </c>
      <c r="CT55" s="183">
        <f ca="1">-SUM(TblConstr[[#This Row],[Fac]:[Shr]])+SUM(TblConstr[[#This Row],[Dest Fac]:[Dest Shr]]) +Rezone!O55 + IF("Ch_" &amp; home_land=TblConstr[[#Headers],[Ch_Hill]],TblConstr[[#This Row],[Home Land]])+IF(TblConstr[[#This Row],[Hour]:[Hour]]&gt;12,OFFSET(TblExplore[[#This Row],[Hill Explore]],-12,0),0)</f>
        <v>0</v>
      </c>
      <c r="CU55" s="184">
        <f ca="1">-SUM(TblConstr[[#This Row],[Tow]:[WG]])+SUM(TblConstr[[#This Row],[Dest Tow]:[Dest WG]]) +Rezone!P55 + IF("Ch_" &amp; home_land=TblConstr[[#Headers],[Ch_Swamp]],TblConstr[[#This Row],[Home Land]])+IF(TblConstr[[#This Row],[Hour]:[Hour]]&gt;12,OFFSET(TblExplore[[#This Row],[Swamp Explore]],-12,0),0)</f>
        <v>0</v>
      </c>
      <c r="CV55" s="185">
        <f ca="1" xml:space="preserve"> - SUM(TblConstr[[#This Row],[DM]:[Sch]])+SUM(TblConstr[[#This Row],[Dest DM]:[Dest Sch]]) +Rezone!Q55 + IF("Ch_" &amp; home_land=TblConstr[[#Headers],[Ch_Cavern]],TblConstr[[#This Row],[Home Land]])+IF(TblConstr[[#This Row],[Hour]:[Hour]]&gt;12,OFFSET(TblExplore[[#This Row],[Cavern Explore]],-12,0),0)</f>
        <v>0</v>
      </c>
      <c r="CW55" s="186">
        <f ca="1">-TblConstr[[#This Row],[Doc]]+TblConstr[[#This Row],[Dest Doc]] +Rezone!R55 + IF("Ch_" &amp; home_land=TblConstr[[#Headers],[Ch_Water]],TblConstr[[#This Row],[Home Land]])+IF(TblConstr[[#This Row],[Hour]:[Hour]]&gt;12,OFFSET(TblExplore[[#This Row],[Water Explore]],-12,0),0)</f>
        <v>0</v>
      </c>
      <c r="CX55" s="45">
        <f>IF(Explore!S55=1,20) - TblConstr[[#This Row],[Hom]] + TblConstr[[#This Row],[Dest Hom]]</f>
        <v>0</v>
      </c>
      <c r="CY55" s="142"/>
      <c r="CZ55" s="94">
        <f t="shared" ca="1" si="12"/>
        <v>90</v>
      </c>
      <c r="DA55" s="94">
        <f t="shared" ca="1" si="13"/>
        <v>20</v>
      </c>
      <c r="DB55" s="45">
        <f t="shared" ca="1" si="14"/>
        <v>0</v>
      </c>
      <c r="DC55" s="94">
        <f t="shared" ca="1" si="15"/>
        <v>0</v>
      </c>
      <c r="DD55" s="94">
        <f t="shared" ca="1" si="16"/>
        <v>0</v>
      </c>
      <c r="DE55" s="45">
        <f t="shared" ca="1" si="17"/>
        <v>0</v>
      </c>
      <c r="DF55" s="94">
        <f t="shared" ca="1" si="18"/>
        <v>0</v>
      </c>
      <c r="DG55" s="94" cm="1">
        <f t="array" aca="1" ref="DG55" ca="1">INDEX(TblConstr[[Total Plain]:[Total Water]],ROW()-ROW(TblConstr[#Headers]),MATCH("Total "&amp;home_land,TblConstr[[#Headers],[Total Plain]:[Total Water]],0))+TblConstr[[#This Row],[Homes]]</f>
        <v>90</v>
      </c>
      <c r="DH55" s="45">
        <f t="shared" ca="1" si="10"/>
        <v>0</v>
      </c>
      <c r="DI55" s="45">
        <f t="shared" ca="1" si="0"/>
        <v>0</v>
      </c>
      <c r="DJ55" s="45">
        <f t="shared" ca="1" si="1"/>
        <v>0</v>
      </c>
    </row>
    <row r="56" spans="1:114" x14ac:dyDescent="0.2">
      <c r="A56" s="175">
        <f>TblRezone[[#This Row],[Hour]]</f>
        <v>53</v>
      </c>
      <c r="B56" s="176">
        <f ca="1">SUM(TblConstr[[#This Row],[Plain]:[Water]])</f>
        <v>60</v>
      </c>
      <c r="C56" s="177">
        <f ca="1">SUM(TblConstr[[#This Row],[Tot Hom]:[Tot Doc]])</f>
        <v>50</v>
      </c>
      <c r="D56" s="177">
        <f t="shared" si="11"/>
        <v>0</v>
      </c>
      <c r="E56" s="178"/>
      <c r="F56" s="61">
        <f ca="1">TblConstr[[#This Row],[Barren]]+TblConstr[[#This Row],[Buildings]]+TblConstr[[#This Row],[Incoming]]</f>
        <v>110</v>
      </c>
      <c r="G56" s="187">
        <f ca="1">OFFSET(TblConstr[[#This Row],[Plain]],-1,0)+TblConstr[[#This Row],[Ch_Plain]]</f>
        <v>60</v>
      </c>
      <c r="H56" s="182">
        <f ca="1">OFFSET(TblConstr[[#This Row],[Forest]],-1,0)+TblConstr[[#This Row],[Ch_Forest]]</f>
        <v>0</v>
      </c>
      <c r="I56" s="359">
        <f ca="1">OFFSET(TblConstr[[#This Row],[Mountain]],-1,0)+TblConstr[[#This Row],[Ch_Mountain]]</f>
        <v>0</v>
      </c>
      <c r="J56" s="363">
        <f ca="1">OFFSET(TblConstr[[#This Row],[Hill]],-1,0)+TblConstr[[#This Row],[Ch_Hill]]</f>
        <v>0</v>
      </c>
      <c r="K56" s="367">
        <f ca="1">OFFSET(TblConstr[[#This Row],[Swamp]],-1,0)+TblConstr[[#This Row],[Ch_Swamp]]</f>
        <v>0</v>
      </c>
      <c r="L56" s="185">
        <f ca="1">OFFSET(TblConstr[[#This Row],[Cavern]],-1,0)+TblConstr[[#This Row],[Ch_Cavern]]</f>
        <v>0</v>
      </c>
      <c r="M56" s="186">
        <f ca="1">OFFSET(TblConstr[[#This Row],[Water]],-1,0)+TblConstr[[#This Row],[Ch_Water]]</f>
        <v>0</v>
      </c>
      <c r="N56" s="357">
        <f>TblRezone[[#This Row],[Hour]]</f>
        <v>53</v>
      </c>
      <c r="O56" s="179"/>
      <c r="P56" s="179"/>
      <c r="Q56" s="179"/>
      <c r="R56" s="179"/>
      <c r="S56" s="179"/>
      <c r="T56" s="179"/>
      <c r="U56" s="179"/>
      <c r="V56" s="179"/>
      <c r="W56" s="179"/>
      <c r="X56" s="179"/>
      <c r="Y56" s="179"/>
      <c r="Z56" s="179"/>
      <c r="AA56" s="179"/>
      <c r="AB56" s="179"/>
      <c r="AC56" s="179"/>
      <c r="AD56" s="179"/>
      <c r="AE56" s="179"/>
      <c r="AF56" s="179"/>
      <c r="AG56" s="179"/>
      <c r="AH56" s="53">
        <f ca="1">TblImps[[#This Row],[Time]]</f>
        <v>46049.166666666541</v>
      </c>
      <c r="AI56" s="180">
        <f ca="1">MIN(25%,(TblConstr[[#This Row],[Tot Fac]]+TblConstr[[#This Row],[Dest Fac]])/(TblConstr[[#This Row],[Land]]-TblExplore[[#This Row],[Land Bonus]]*20))</f>
        <v>0</v>
      </c>
      <c r="AJ56" s="180">
        <f ca="1">MIN(25%,(TblConstr[[#This Row],[Tot Fac]]+TblConstr[[#This Row],[Dest Fac]])/TblConstr[[#This Row],[Land]])</f>
        <v>0</v>
      </c>
      <c r="AK56" s="94">
        <f ca="1">TblProd[[#This Row],[Platinum]]</f>
        <v>139396</v>
      </c>
      <c r="AL56" s="94">
        <f ca="1">TblProd[[#This Row],[Lumber]]</f>
        <v>49596</v>
      </c>
      <c r="AM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6" s="94">
        <f ca="1">ROUNDDOWN( MAX(1 - MIN(facs_constr_factor*TblConstr[[#This Row],[Facs -DB]],facs_constr_max) + tech_1_11*TblTech[[#This Row],[11-1]] + tech_6_3_2*TblTech[[#This Row],[6-3]] + tech_5_2_3*TblTech[[#This Row],[5-2]], 1-global_constr_cap) * TblConstr[[#This Row],[RCPA Lumber]],0)</f>
        <v>48</v>
      </c>
      <c r="AO5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6" s="94">
        <f ca="1">ROUNDDOWN( MAX(1 - MIN(facs_constr_factor*TblConstr[[#This Row],[Facs DB]],facs_constr_max) + tech_1_11*TblTech[[#This Row],[1-11]] + tech_6_3_2*TblTech[[#This Row],[6-3]] + tech_5_2_3*TblTech[[#This Row],[5-2]], 1-global_constr_cap) * ROUND((TblConstr[[#This Row],[Land]]-250)*0.285 + 87.5 + 0/4.25,0),0)</f>
        <v>48</v>
      </c>
      <c r="AQ56" s="45">
        <f ca="1">TblConstr[[#This Row],[build -db]]*TblConstr[[#This Row],[CPA Platinum -DB]] + TblConstr[[#This Row],[build db]]*TblConstr[[#This Row],[CPA Platinum DB]]</f>
        <v>0</v>
      </c>
      <c r="AR56" s="45">
        <f ca="1">TblConstr[[#This Row],[build -db]]*TblConstr[[#This Row],[CPA Lumber -DB]] + TblConstr[[#This Row],[build db]]*TblConstr[[#This Row],[CPA Lumber DB]]</f>
        <v>0</v>
      </c>
      <c r="AS56" s="94">
        <f ca="1">MIN(SUM(OFFSET(TblConstr[[#This Row],[Plain]:[Water]],-1,0))+SUM(TblConstr[[#This Row],[Dest Hom]:[Dest Doc]])+IF(TblConstr[[#This Row],[Hour]]&gt;12,SUM(OFFSET(TblExplore[[#This Row],[Plains Explore]:[Water Explore]],-12,0)),0),SUM(TblConstr[[#This Row],[Hom]:[Doc]]))</f>
        <v>0</v>
      </c>
      <c r="AT5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6" s="142"/>
      <c r="AV56" s="94">
        <f ca="1">ROUND((TblConstr[[#This Row],[Land]]-250 - IF(TblExplore[[#This Row],[Land Bonus]]&lt;&gt;0,20,0))*1.25 + 850 + 0,0)</f>
        <v>675</v>
      </c>
      <c r="AW56" s="94">
        <f ca="1">ROUND((TblConstr[[#This Row],[Land]]-250 - IF(TblExplore[[#This Row],[Land Bonus]]&lt;&gt;0,20,0))*0.285 + 87.5 + 0/4.25,0)</f>
        <v>48</v>
      </c>
      <c r="AX56" s="154"/>
      <c r="AY56" s="188" cm="1">
        <f t="array" aca="1" ref="AY56" ca="1">IF(TblConstr[[#This Row],[Hour]:[Hour]]&gt;12,OFFSET(TblConstr[[#This Row],[Hom]],-12,0),0)+OFFSET(TblConstr[[#This Row],[Tot Hom]],-1,0)-TblConstr[[#This Row],[Dest Hom]]</f>
        <v>0</v>
      </c>
      <c r="AZ56" s="189" cm="1">
        <f t="array" aca="1" ref="AZ56" ca="1">IF(TblConstr[[#This Row],[Hour]:[Hour]]&gt;12,OFFSET(TblConstr[[#This Row],[Alc]],-12,0),0)+OFFSET(TblConstr[[#This Row],[Tot Alc]],-1,0)-TblConstr[[#This Row],[Dest Alc]]</f>
        <v>0</v>
      </c>
      <c r="BA56" s="189" cm="1">
        <f t="array" aca="1" ref="BA56" ca="1">IF(TblConstr[[#This Row],[Hour]:[Hour]]&gt;12,OFFSET(TblConstr[[#This Row],[Far]],-12,0),0)+OFFSET(TblConstr[[#This Row],[Tot Farm]],-1,0)-TblConstr[[#This Row],[Dest Farm]]</f>
        <v>30</v>
      </c>
      <c r="BB56" s="189" cm="1">
        <f t="array" aca="1" ref="BB56" ca="1">IF(TblConstr[[#This Row],[Hour]:[Hour]]&gt;12,OFFSET(TblConstr[[#This Row],[Smi]],-12,0),0)+OFFSET(TblConstr[[#This Row],[Tot Smi]],-1,0)-TblConstr[[#This Row],[Dest Smi]]</f>
        <v>0</v>
      </c>
      <c r="BC56" s="189" cm="1">
        <f t="array" aca="1" ref="BC56" ca="1">IF(TblConstr[[#This Row],[Hour]:[Hour]]&gt;12,OFFSET(TblConstr[[#This Row],[Mas]],-12,0),0)+OFFSET(TblConstr[[#This Row],[Tot Mas]],-1,0)-TblConstr[[#This Row],[Dest Mas]]</f>
        <v>0</v>
      </c>
      <c r="BD56" s="190" cm="1">
        <f t="array" aca="1" ref="BD56" ca="1">IF(TblConstr[[#This Row],[Hour]:[Hour]]&gt;12,OFFSET(TblConstr[[#This Row],[Ly]],-12,0),0)+OFFSET(TblConstr[[#This Row],[Tot Ly]],-1,0)-TblConstr[[#This Row],[Dest Ly]]</f>
        <v>20</v>
      </c>
      <c r="BE56" s="190" cm="1">
        <f t="array" aca="1" ref="BE56" ca="1">IF(TblConstr[[#This Row],[Hour]:[Hour]]&gt;12,OFFSET(TblConstr[[#This Row],[Hav]],-12,0),0)+OFFSET(TblConstr[[#This Row],[Tot Hav]],-1,0)-TblConstr[[#This Row],[Dest Hav]]</f>
        <v>0</v>
      </c>
      <c r="BF56" s="361" cm="1">
        <f t="array" aca="1" ref="BF56" ca="1">IF(TblConstr[[#This Row],[Hour]:[Hour]]&gt;12,OFFSET(TblConstr[[#This Row],[OM]],-12,0),0)+OFFSET(TblConstr[[#This Row],[Tot OM]],-1,0)-TblConstr[[#This Row],[Dest OM]]</f>
        <v>0</v>
      </c>
      <c r="BG56" s="361" cm="1">
        <f t="array" aca="1" ref="BG56" ca="1">IF(TblConstr[[#This Row],[Hour]:[Hour]]&gt;12,OFFSET(TblConstr[[#This Row],[GN]],-12,0),0)+OFFSET(TblConstr[[#This Row],[Tot GN]],-1,0)-TblConstr[[#This Row],[Dest GN]]</f>
        <v>0</v>
      </c>
      <c r="BH56" s="365" cm="1">
        <f t="array" aca="1" ref="BH56" ca="1">IF(TblConstr[[#This Row],[Hour]:[Hour]]&gt;12,OFFSET(TblConstr[[#This Row],[Fac]],-12,0),0)+OFFSET(TblConstr[[#This Row],[Tot Fac]],-1,0)-TblConstr[[#This Row],[Dest Fac]]</f>
        <v>0</v>
      </c>
      <c r="BI56" s="365" cm="1">
        <f t="array" aca="1" ref="BI56" ca="1">IF(TblConstr[[#This Row],[Hour]:[Hour]]&gt;12,OFFSET(TblConstr[[#This Row],[GT]],-12,0),0)+OFFSET(TblConstr[[#This Row],[Tot GT]],-1,0)-TblConstr[[#This Row],[Dest GT]]</f>
        <v>0</v>
      </c>
      <c r="BJ56" s="365" cm="1">
        <f t="array" aca="1" ref="BJ56" ca="1">IF(TblConstr[[#This Row],[Hour]:[Hour]]&gt;12,OFFSET(TblConstr[[#This Row],[Bar]],-12,0),0)+OFFSET(TblConstr[[#This Row],[Tot Bar]],-1,0)-TblConstr[[#This Row],[Dest Bar]]</f>
        <v>0</v>
      </c>
      <c r="BK56" s="365" cm="1">
        <f t="array" aca="1" ref="BK56" ca="1">IF(TblConstr[[#This Row],[Hour]:[Hour]]&gt;12,OFFSET(TblConstr[[#This Row],[Shr]],-12,0),0)+OFFSET(TblConstr[[#This Row],[Tot Shr]],-1,0)-TblConstr[[#This Row],[Dest Shr]]</f>
        <v>0</v>
      </c>
      <c r="BL56" s="369" cm="1">
        <f t="array" aca="1" ref="BL56" ca="1">IF(TblConstr[[#This Row],[Hour]:[Hour]]&gt;12,OFFSET(TblConstr[[#This Row],[Tow]],-12,0),0)+OFFSET(TblConstr[[#This Row],[Tot Tow]],-1,0)-TblConstr[[#This Row],[Dest Tow]]</f>
        <v>0</v>
      </c>
      <c r="BM56" s="369" cm="1">
        <f t="array" aca="1" ref="BM56" ca="1">IF(TblConstr[[#This Row],[Hour]:[Hour]]&gt;12,OFFSET(TblConstr[[#This Row],[Tem]],-12,0),0)+OFFSET(TblConstr[[#This Row],[Tot Tem]],-1,0)-TblConstr[[#This Row],[Dest Tem]]</f>
        <v>0</v>
      </c>
      <c r="BN56" s="369" cm="1">
        <f t="array" aca="1" ref="BN56" ca="1">IF(TblConstr[[#This Row],[Hour]:[Hour]]&gt;12,OFFSET(TblConstr[[#This Row],[WG]],-12,0),0)+OFFSET(TblConstr[[#This Row],[Tot WG]],-1,0)-TblConstr[[#This Row],[Dest WG]]</f>
        <v>0</v>
      </c>
      <c r="BO56" s="191" cm="1">
        <f t="array" aca="1" ref="BO56" ca="1">IF(TblConstr[[#This Row],[Hour]:[Hour]]&gt;12,OFFSET(TblConstr[[#This Row],[DM]],-12,0),0)+OFFSET(TblConstr[[#This Row],[Tot DM]],-1,0)-TblConstr[[#This Row],[Dest DM]]</f>
        <v>0</v>
      </c>
      <c r="BP56" s="191" cm="1">
        <f t="array" aca="1" ref="BP56" ca="1">IF(TblConstr[[#This Row],[Hour]:[Hour]]&gt;12,OFFSET(TblConstr[[#This Row],[Sch]],-12,0),0)+OFFSET(TblConstr[[#This Row],[Tot Sch]],-1,0)-TblConstr[[#This Row],[Dest Sch]]</f>
        <v>0</v>
      </c>
      <c r="BQ56" s="192" cm="1">
        <f t="array" aca="1" ref="BQ56" ca="1">IF(TblConstr[[#This Row],[Hour]:[Hour]]&gt;12,OFFSET(TblConstr[[#This Row],[Doc]],-12,0),0)+OFFSET(TblConstr[[#This Row],[Tot Doc]],-1,0)-TblConstr[[#This Row],[Dest Doc]]</f>
        <v>0</v>
      </c>
      <c r="BR56" s="142"/>
      <c r="BS56" s="154"/>
      <c r="BT56" s="94">
        <f ca="1">TblConstr[[#This Row],[Land]]</f>
        <v>110</v>
      </c>
      <c r="BU56" s="159">
        <f ca="1">TblImps[[#This Row],[Time]]</f>
        <v>46049.166666666541</v>
      </c>
      <c r="BV56" s="142"/>
      <c r="BW56" s="179"/>
      <c r="BX56" s="179"/>
      <c r="BY56" s="179"/>
      <c r="BZ56" s="179"/>
      <c r="CA56" s="179"/>
      <c r="CB56" s="179"/>
      <c r="CC56" s="179"/>
      <c r="CD56" s="179"/>
      <c r="CE56" s="179"/>
      <c r="CF56" s="179"/>
      <c r="CG56" s="179"/>
      <c r="CH56" s="179"/>
      <c r="CI56" s="179"/>
      <c r="CJ56" s="179"/>
      <c r="CK56" s="179"/>
      <c r="CL56" s="179"/>
      <c r="CM56" s="179"/>
      <c r="CN56" s="179"/>
      <c r="CO56" s="179"/>
      <c r="CP56" s="142"/>
      <c r="CQ56" s="181">
        <f ca="1">-SUM(TblConstr[[#This Row],[Alc]:[Mas]])+SUM(TblConstr[[#This Row],[Dest Alc]:[Dest Mas]])+Rezone!L56+IF("Ch_"&amp; home_land=TblConstr[[#Headers],[Ch_Plain]],TblConstr[[#This Row],[Home Land]])+IF(TblConstr[[#This Row],[Hour]:[Hour]]&gt;12,OFFSET(TblExplore[[#This Row],[Plains Explore]],-12,0),0)</f>
        <v>0</v>
      </c>
      <c r="CR56" s="182">
        <f ca="1">-SUM(TblConstr[[#This Row],[Ly]:[Hav]])+SUM(TblConstr[[#This Row],[Dest Ly]:[Dest Hav]]) +Rezone!M56 + IF("Ch_"&amp; home_land=TblConstr[[#Headers],[Ch_Forest]],TblConstr[[#This Row],[Home Land]])+IF(TblConstr[[#This Row],[Hour]:[Hour]]&gt;12,OFFSET(TblExplore[[#This Row],[Forest Explore]],-12,0),0)</f>
        <v>0</v>
      </c>
      <c r="CS56" s="359">
        <f ca="1">-SUM(TblConstr[[#This Row],[OM]:[GN]])+SUM(TblConstr[[#This Row],[Dest OM]:[Dest GN]]) +Rezone!N56 + IF("Ch_"&amp; home_land=TblConstr[[#Headers],[Ch_Mountain]],TblConstr[[#This Row],[Home Land]])+IF(TblConstr[[#This Row],[Hour]:[Hour]]&gt;12,OFFSET(TblExplore[[#This Row],[Mountain Explore]],-12,0),0)</f>
        <v>0</v>
      </c>
      <c r="CT56" s="183">
        <f ca="1">-SUM(TblConstr[[#This Row],[Fac]:[Shr]])+SUM(TblConstr[[#This Row],[Dest Fac]:[Dest Shr]]) +Rezone!O56 + IF("Ch_" &amp; home_land=TblConstr[[#Headers],[Ch_Hill]],TblConstr[[#This Row],[Home Land]])+IF(TblConstr[[#This Row],[Hour]:[Hour]]&gt;12,OFFSET(TblExplore[[#This Row],[Hill Explore]],-12,0),0)</f>
        <v>0</v>
      </c>
      <c r="CU56" s="184">
        <f ca="1">-SUM(TblConstr[[#This Row],[Tow]:[WG]])+SUM(TblConstr[[#This Row],[Dest Tow]:[Dest WG]]) +Rezone!P56 + IF("Ch_" &amp; home_land=TblConstr[[#Headers],[Ch_Swamp]],TblConstr[[#This Row],[Home Land]])+IF(TblConstr[[#This Row],[Hour]:[Hour]]&gt;12,OFFSET(TblExplore[[#This Row],[Swamp Explore]],-12,0),0)</f>
        <v>0</v>
      </c>
      <c r="CV56" s="185">
        <f ca="1" xml:space="preserve"> - SUM(TblConstr[[#This Row],[DM]:[Sch]])+SUM(TblConstr[[#This Row],[Dest DM]:[Dest Sch]]) +Rezone!Q56 + IF("Ch_" &amp; home_land=TblConstr[[#Headers],[Ch_Cavern]],TblConstr[[#This Row],[Home Land]])+IF(TblConstr[[#This Row],[Hour]:[Hour]]&gt;12,OFFSET(TblExplore[[#This Row],[Cavern Explore]],-12,0),0)</f>
        <v>0</v>
      </c>
      <c r="CW56" s="186">
        <f ca="1">-TblConstr[[#This Row],[Doc]]+TblConstr[[#This Row],[Dest Doc]] +Rezone!R56 + IF("Ch_" &amp; home_land=TblConstr[[#Headers],[Ch_Water]],TblConstr[[#This Row],[Home Land]])+IF(TblConstr[[#This Row],[Hour]:[Hour]]&gt;12,OFFSET(TblExplore[[#This Row],[Water Explore]],-12,0),0)</f>
        <v>0</v>
      </c>
      <c r="CX56" s="45">
        <f>IF(Explore!S56=1,20) - TblConstr[[#This Row],[Hom]] + TblConstr[[#This Row],[Dest Hom]]</f>
        <v>0</v>
      </c>
      <c r="CY56" s="142"/>
      <c r="CZ56" s="94">
        <f t="shared" ca="1" si="12"/>
        <v>90</v>
      </c>
      <c r="DA56" s="94">
        <f t="shared" ca="1" si="13"/>
        <v>20</v>
      </c>
      <c r="DB56" s="45">
        <f t="shared" ca="1" si="14"/>
        <v>0</v>
      </c>
      <c r="DC56" s="94">
        <f t="shared" ca="1" si="15"/>
        <v>0</v>
      </c>
      <c r="DD56" s="94">
        <f t="shared" ca="1" si="16"/>
        <v>0</v>
      </c>
      <c r="DE56" s="45">
        <f t="shared" ca="1" si="17"/>
        <v>0</v>
      </c>
      <c r="DF56" s="94">
        <f t="shared" ca="1" si="18"/>
        <v>0</v>
      </c>
      <c r="DG56" s="94" cm="1">
        <f t="array" aca="1" ref="DG56" ca="1">INDEX(TblConstr[[Total Plain]:[Total Water]],ROW()-ROW(TblConstr[#Headers]),MATCH("Total "&amp;home_land,TblConstr[[#Headers],[Total Plain]:[Total Water]],0))+TblConstr[[#This Row],[Homes]]</f>
        <v>90</v>
      </c>
      <c r="DH56" s="45">
        <f t="shared" ca="1" si="10"/>
        <v>0</v>
      </c>
      <c r="DI56" s="45">
        <f t="shared" ca="1" si="0"/>
        <v>0</v>
      </c>
      <c r="DJ56" s="45">
        <f t="shared" ca="1" si="1"/>
        <v>0</v>
      </c>
    </row>
    <row r="57" spans="1:114" x14ac:dyDescent="0.2">
      <c r="A57" s="175">
        <f>TblRezone[[#This Row],[Hour]]</f>
        <v>54</v>
      </c>
      <c r="B57" s="176">
        <f ca="1">SUM(TblConstr[[#This Row],[Plain]:[Water]])</f>
        <v>60</v>
      </c>
      <c r="C57" s="177">
        <f ca="1">SUM(TblConstr[[#This Row],[Tot Hom]:[Tot Doc]])</f>
        <v>50</v>
      </c>
      <c r="D57" s="177">
        <f t="shared" si="11"/>
        <v>0</v>
      </c>
      <c r="E57" s="178"/>
      <c r="F57" s="61">
        <f ca="1">TblConstr[[#This Row],[Barren]]+TblConstr[[#This Row],[Buildings]]+TblConstr[[#This Row],[Incoming]]</f>
        <v>110</v>
      </c>
      <c r="G57" s="187">
        <f ca="1">OFFSET(TblConstr[[#This Row],[Plain]],-1,0)+TblConstr[[#This Row],[Ch_Plain]]</f>
        <v>60</v>
      </c>
      <c r="H57" s="182">
        <f ca="1">OFFSET(TblConstr[[#This Row],[Forest]],-1,0)+TblConstr[[#This Row],[Ch_Forest]]</f>
        <v>0</v>
      </c>
      <c r="I57" s="359">
        <f ca="1">OFFSET(TblConstr[[#This Row],[Mountain]],-1,0)+TblConstr[[#This Row],[Ch_Mountain]]</f>
        <v>0</v>
      </c>
      <c r="J57" s="363">
        <f ca="1">OFFSET(TblConstr[[#This Row],[Hill]],-1,0)+TblConstr[[#This Row],[Ch_Hill]]</f>
        <v>0</v>
      </c>
      <c r="K57" s="367">
        <f ca="1">OFFSET(TblConstr[[#This Row],[Swamp]],-1,0)+TblConstr[[#This Row],[Ch_Swamp]]</f>
        <v>0</v>
      </c>
      <c r="L57" s="185">
        <f ca="1">OFFSET(TblConstr[[#This Row],[Cavern]],-1,0)+TblConstr[[#This Row],[Ch_Cavern]]</f>
        <v>0</v>
      </c>
      <c r="M57" s="186">
        <f ca="1">OFFSET(TblConstr[[#This Row],[Water]],-1,0)+TblConstr[[#This Row],[Ch_Water]]</f>
        <v>0</v>
      </c>
      <c r="N57" s="357">
        <f>TblRezone[[#This Row],[Hour]]</f>
        <v>54</v>
      </c>
      <c r="O57" s="179"/>
      <c r="P57" s="179"/>
      <c r="Q57" s="179"/>
      <c r="R57" s="179"/>
      <c r="S57" s="179"/>
      <c r="T57" s="179"/>
      <c r="U57" s="179"/>
      <c r="V57" s="179"/>
      <c r="W57" s="179"/>
      <c r="X57" s="179"/>
      <c r="Y57" s="179"/>
      <c r="Z57" s="179"/>
      <c r="AA57" s="179"/>
      <c r="AB57" s="179"/>
      <c r="AC57" s="179"/>
      <c r="AD57" s="179"/>
      <c r="AE57" s="179"/>
      <c r="AF57" s="179"/>
      <c r="AG57" s="179"/>
      <c r="AH57" s="53">
        <f ca="1">TblImps[[#This Row],[Time]]</f>
        <v>46049.208333333205</v>
      </c>
      <c r="AI57" s="180">
        <f ca="1">MIN(25%,(TblConstr[[#This Row],[Tot Fac]]+TblConstr[[#This Row],[Dest Fac]])/(TblConstr[[#This Row],[Land]]-TblExplore[[#This Row],[Land Bonus]]*20))</f>
        <v>0</v>
      </c>
      <c r="AJ57" s="180">
        <f ca="1">MIN(25%,(TblConstr[[#This Row],[Tot Fac]]+TblConstr[[#This Row],[Dest Fac]])/TblConstr[[#This Row],[Land]])</f>
        <v>0</v>
      </c>
      <c r="AK57" s="94">
        <f ca="1">TblProd[[#This Row],[Platinum]]</f>
        <v>141002</v>
      </c>
      <c r="AL57" s="94">
        <f ca="1">TblProd[[#This Row],[Lumber]]</f>
        <v>50100</v>
      </c>
      <c r="AM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7" s="94">
        <f ca="1">ROUNDDOWN( MAX(1 - MIN(facs_constr_factor*TblConstr[[#This Row],[Facs -DB]],facs_constr_max) + tech_1_11*TblTech[[#This Row],[11-1]] + tech_6_3_2*TblTech[[#This Row],[6-3]] + tech_5_2_3*TblTech[[#This Row],[5-2]], 1-global_constr_cap) * TblConstr[[#This Row],[RCPA Lumber]],0)</f>
        <v>48</v>
      </c>
      <c r="AO5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7" s="94">
        <f ca="1">ROUNDDOWN( MAX(1 - MIN(facs_constr_factor*TblConstr[[#This Row],[Facs DB]],facs_constr_max) + tech_1_11*TblTech[[#This Row],[1-11]] + tech_6_3_2*TblTech[[#This Row],[6-3]] + tech_5_2_3*TblTech[[#This Row],[5-2]], 1-global_constr_cap) * ROUND((TblConstr[[#This Row],[Land]]-250)*0.285 + 87.5 + 0/4.25,0),0)</f>
        <v>48</v>
      </c>
      <c r="AQ57" s="45">
        <f ca="1">TblConstr[[#This Row],[build -db]]*TblConstr[[#This Row],[CPA Platinum -DB]] + TblConstr[[#This Row],[build db]]*TblConstr[[#This Row],[CPA Platinum DB]]</f>
        <v>0</v>
      </c>
      <c r="AR57" s="45">
        <f ca="1">TblConstr[[#This Row],[build -db]]*TblConstr[[#This Row],[CPA Lumber -DB]] + TblConstr[[#This Row],[build db]]*TblConstr[[#This Row],[CPA Lumber DB]]</f>
        <v>0</v>
      </c>
      <c r="AS57" s="94">
        <f ca="1">MIN(SUM(OFFSET(TblConstr[[#This Row],[Plain]:[Water]],-1,0))+SUM(TblConstr[[#This Row],[Dest Hom]:[Dest Doc]])+IF(TblConstr[[#This Row],[Hour]]&gt;12,SUM(OFFSET(TblExplore[[#This Row],[Plains Explore]:[Water Explore]],-12,0)),0),SUM(TblConstr[[#This Row],[Hom]:[Doc]]))</f>
        <v>0</v>
      </c>
      <c r="AT5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7" s="142"/>
      <c r="AV57" s="94">
        <f ca="1">ROUND((TblConstr[[#This Row],[Land]]-250 - IF(TblExplore[[#This Row],[Land Bonus]]&lt;&gt;0,20,0))*1.25 + 850 + 0,0)</f>
        <v>675</v>
      </c>
      <c r="AW57" s="94">
        <f ca="1">ROUND((TblConstr[[#This Row],[Land]]-250 - IF(TblExplore[[#This Row],[Land Bonus]]&lt;&gt;0,20,0))*0.285 + 87.5 + 0/4.25,0)</f>
        <v>48</v>
      </c>
      <c r="AX57" s="154"/>
      <c r="AY57" s="188" cm="1">
        <f t="array" aca="1" ref="AY57" ca="1">IF(TblConstr[[#This Row],[Hour]:[Hour]]&gt;12,OFFSET(TblConstr[[#This Row],[Hom]],-12,0),0)+OFFSET(TblConstr[[#This Row],[Tot Hom]],-1,0)-TblConstr[[#This Row],[Dest Hom]]</f>
        <v>0</v>
      </c>
      <c r="AZ57" s="189" cm="1">
        <f t="array" aca="1" ref="AZ57" ca="1">IF(TblConstr[[#This Row],[Hour]:[Hour]]&gt;12,OFFSET(TblConstr[[#This Row],[Alc]],-12,0),0)+OFFSET(TblConstr[[#This Row],[Tot Alc]],-1,0)-TblConstr[[#This Row],[Dest Alc]]</f>
        <v>0</v>
      </c>
      <c r="BA57" s="189" cm="1">
        <f t="array" aca="1" ref="BA57" ca="1">IF(TblConstr[[#This Row],[Hour]:[Hour]]&gt;12,OFFSET(TblConstr[[#This Row],[Far]],-12,0),0)+OFFSET(TblConstr[[#This Row],[Tot Farm]],-1,0)-TblConstr[[#This Row],[Dest Farm]]</f>
        <v>30</v>
      </c>
      <c r="BB57" s="189" cm="1">
        <f t="array" aca="1" ref="BB57" ca="1">IF(TblConstr[[#This Row],[Hour]:[Hour]]&gt;12,OFFSET(TblConstr[[#This Row],[Smi]],-12,0),0)+OFFSET(TblConstr[[#This Row],[Tot Smi]],-1,0)-TblConstr[[#This Row],[Dest Smi]]</f>
        <v>0</v>
      </c>
      <c r="BC57" s="189" cm="1">
        <f t="array" aca="1" ref="BC57" ca="1">IF(TblConstr[[#This Row],[Hour]:[Hour]]&gt;12,OFFSET(TblConstr[[#This Row],[Mas]],-12,0),0)+OFFSET(TblConstr[[#This Row],[Tot Mas]],-1,0)-TblConstr[[#This Row],[Dest Mas]]</f>
        <v>0</v>
      </c>
      <c r="BD57" s="190" cm="1">
        <f t="array" aca="1" ref="BD57" ca="1">IF(TblConstr[[#This Row],[Hour]:[Hour]]&gt;12,OFFSET(TblConstr[[#This Row],[Ly]],-12,0),0)+OFFSET(TblConstr[[#This Row],[Tot Ly]],-1,0)-TblConstr[[#This Row],[Dest Ly]]</f>
        <v>20</v>
      </c>
      <c r="BE57" s="190" cm="1">
        <f t="array" aca="1" ref="BE57" ca="1">IF(TblConstr[[#This Row],[Hour]:[Hour]]&gt;12,OFFSET(TblConstr[[#This Row],[Hav]],-12,0),0)+OFFSET(TblConstr[[#This Row],[Tot Hav]],-1,0)-TblConstr[[#This Row],[Dest Hav]]</f>
        <v>0</v>
      </c>
      <c r="BF57" s="361" cm="1">
        <f t="array" aca="1" ref="BF57" ca="1">IF(TblConstr[[#This Row],[Hour]:[Hour]]&gt;12,OFFSET(TblConstr[[#This Row],[OM]],-12,0),0)+OFFSET(TblConstr[[#This Row],[Tot OM]],-1,0)-TblConstr[[#This Row],[Dest OM]]</f>
        <v>0</v>
      </c>
      <c r="BG57" s="361" cm="1">
        <f t="array" aca="1" ref="BG57" ca="1">IF(TblConstr[[#This Row],[Hour]:[Hour]]&gt;12,OFFSET(TblConstr[[#This Row],[GN]],-12,0),0)+OFFSET(TblConstr[[#This Row],[Tot GN]],-1,0)-TblConstr[[#This Row],[Dest GN]]</f>
        <v>0</v>
      </c>
      <c r="BH57" s="365" cm="1">
        <f t="array" aca="1" ref="BH57" ca="1">IF(TblConstr[[#This Row],[Hour]:[Hour]]&gt;12,OFFSET(TblConstr[[#This Row],[Fac]],-12,0),0)+OFFSET(TblConstr[[#This Row],[Tot Fac]],-1,0)-TblConstr[[#This Row],[Dest Fac]]</f>
        <v>0</v>
      </c>
      <c r="BI57" s="365" cm="1">
        <f t="array" aca="1" ref="BI57" ca="1">IF(TblConstr[[#This Row],[Hour]:[Hour]]&gt;12,OFFSET(TblConstr[[#This Row],[GT]],-12,0),0)+OFFSET(TblConstr[[#This Row],[Tot GT]],-1,0)-TblConstr[[#This Row],[Dest GT]]</f>
        <v>0</v>
      </c>
      <c r="BJ57" s="365" cm="1">
        <f t="array" aca="1" ref="BJ57" ca="1">IF(TblConstr[[#This Row],[Hour]:[Hour]]&gt;12,OFFSET(TblConstr[[#This Row],[Bar]],-12,0),0)+OFFSET(TblConstr[[#This Row],[Tot Bar]],-1,0)-TblConstr[[#This Row],[Dest Bar]]</f>
        <v>0</v>
      </c>
      <c r="BK57" s="365" cm="1">
        <f t="array" aca="1" ref="BK57" ca="1">IF(TblConstr[[#This Row],[Hour]:[Hour]]&gt;12,OFFSET(TblConstr[[#This Row],[Shr]],-12,0),0)+OFFSET(TblConstr[[#This Row],[Tot Shr]],-1,0)-TblConstr[[#This Row],[Dest Shr]]</f>
        <v>0</v>
      </c>
      <c r="BL57" s="369" cm="1">
        <f t="array" aca="1" ref="BL57" ca="1">IF(TblConstr[[#This Row],[Hour]:[Hour]]&gt;12,OFFSET(TblConstr[[#This Row],[Tow]],-12,0),0)+OFFSET(TblConstr[[#This Row],[Tot Tow]],-1,0)-TblConstr[[#This Row],[Dest Tow]]</f>
        <v>0</v>
      </c>
      <c r="BM57" s="369" cm="1">
        <f t="array" aca="1" ref="BM57" ca="1">IF(TblConstr[[#This Row],[Hour]:[Hour]]&gt;12,OFFSET(TblConstr[[#This Row],[Tem]],-12,0),0)+OFFSET(TblConstr[[#This Row],[Tot Tem]],-1,0)-TblConstr[[#This Row],[Dest Tem]]</f>
        <v>0</v>
      </c>
      <c r="BN57" s="369" cm="1">
        <f t="array" aca="1" ref="BN57" ca="1">IF(TblConstr[[#This Row],[Hour]:[Hour]]&gt;12,OFFSET(TblConstr[[#This Row],[WG]],-12,0),0)+OFFSET(TblConstr[[#This Row],[Tot WG]],-1,0)-TblConstr[[#This Row],[Dest WG]]</f>
        <v>0</v>
      </c>
      <c r="BO57" s="191" cm="1">
        <f t="array" aca="1" ref="BO57" ca="1">IF(TblConstr[[#This Row],[Hour]:[Hour]]&gt;12,OFFSET(TblConstr[[#This Row],[DM]],-12,0),0)+OFFSET(TblConstr[[#This Row],[Tot DM]],-1,0)-TblConstr[[#This Row],[Dest DM]]</f>
        <v>0</v>
      </c>
      <c r="BP57" s="191" cm="1">
        <f t="array" aca="1" ref="BP57" ca="1">IF(TblConstr[[#This Row],[Hour]:[Hour]]&gt;12,OFFSET(TblConstr[[#This Row],[Sch]],-12,0),0)+OFFSET(TblConstr[[#This Row],[Tot Sch]],-1,0)-TblConstr[[#This Row],[Dest Sch]]</f>
        <v>0</v>
      </c>
      <c r="BQ57" s="192" cm="1">
        <f t="array" aca="1" ref="BQ57" ca="1">IF(TblConstr[[#This Row],[Hour]:[Hour]]&gt;12,OFFSET(TblConstr[[#This Row],[Doc]],-12,0),0)+OFFSET(TblConstr[[#This Row],[Tot Doc]],-1,0)-TblConstr[[#This Row],[Dest Doc]]</f>
        <v>0</v>
      </c>
      <c r="BR57" s="142"/>
      <c r="BS57" s="154"/>
      <c r="BT57" s="94">
        <f ca="1">TblConstr[[#This Row],[Land]]</f>
        <v>110</v>
      </c>
      <c r="BU57" s="159">
        <f ca="1">TblImps[[#This Row],[Time]]</f>
        <v>46049.208333333205</v>
      </c>
      <c r="BV57" s="142"/>
      <c r="BW57" s="179"/>
      <c r="BX57" s="179"/>
      <c r="BY57" s="179"/>
      <c r="BZ57" s="179"/>
      <c r="CA57" s="179"/>
      <c r="CB57" s="179"/>
      <c r="CC57" s="179"/>
      <c r="CD57" s="179"/>
      <c r="CE57" s="179"/>
      <c r="CF57" s="179"/>
      <c r="CG57" s="179"/>
      <c r="CH57" s="179"/>
      <c r="CI57" s="179"/>
      <c r="CJ57" s="179"/>
      <c r="CK57" s="179"/>
      <c r="CL57" s="179"/>
      <c r="CM57" s="179"/>
      <c r="CN57" s="179"/>
      <c r="CO57" s="179"/>
      <c r="CP57" s="142"/>
      <c r="CQ57" s="181">
        <f ca="1">-SUM(TblConstr[[#This Row],[Alc]:[Mas]])+SUM(TblConstr[[#This Row],[Dest Alc]:[Dest Mas]])+Rezone!L57+IF("Ch_"&amp; home_land=TblConstr[[#Headers],[Ch_Plain]],TblConstr[[#This Row],[Home Land]])+IF(TblConstr[[#This Row],[Hour]:[Hour]]&gt;12,OFFSET(TblExplore[[#This Row],[Plains Explore]],-12,0),0)</f>
        <v>0</v>
      </c>
      <c r="CR57" s="182">
        <f ca="1">-SUM(TblConstr[[#This Row],[Ly]:[Hav]])+SUM(TblConstr[[#This Row],[Dest Ly]:[Dest Hav]]) +Rezone!M57 + IF("Ch_"&amp; home_land=TblConstr[[#Headers],[Ch_Forest]],TblConstr[[#This Row],[Home Land]])+IF(TblConstr[[#This Row],[Hour]:[Hour]]&gt;12,OFFSET(TblExplore[[#This Row],[Forest Explore]],-12,0),0)</f>
        <v>0</v>
      </c>
      <c r="CS57" s="359">
        <f ca="1">-SUM(TblConstr[[#This Row],[OM]:[GN]])+SUM(TblConstr[[#This Row],[Dest OM]:[Dest GN]]) +Rezone!N57 + IF("Ch_"&amp; home_land=TblConstr[[#Headers],[Ch_Mountain]],TblConstr[[#This Row],[Home Land]])+IF(TblConstr[[#This Row],[Hour]:[Hour]]&gt;12,OFFSET(TblExplore[[#This Row],[Mountain Explore]],-12,0),0)</f>
        <v>0</v>
      </c>
      <c r="CT57" s="183">
        <f ca="1">-SUM(TblConstr[[#This Row],[Fac]:[Shr]])+SUM(TblConstr[[#This Row],[Dest Fac]:[Dest Shr]]) +Rezone!O57 + IF("Ch_" &amp; home_land=TblConstr[[#Headers],[Ch_Hill]],TblConstr[[#This Row],[Home Land]])+IF(TblConstr[[#This Row],[Hour]:[Hour]]&gt;12,OFFSET(TblExplore[[#This Row],[Hill Explore]],-12,0),0)</f>
        <v>0</v>
      </c>
      <c r="CU57" s="184">
        <f ca="1">-SUM(TblConstr[[#This Row],[Tow]:[WG]])+SUM(TblConstr[[#This Row],[Dest Tow]:[Dest WG]]) +Rezone!P57 + IF("Ch_" &amp; home_land=TblConstr[[#Headers],[Ch_Swamp]],TblConstr[[#This Row],[Home Land]])+IF(TblConstr[[#This Row],[Hour]:[Hour]]&gt;12,OFFSET(TblExplore[[#This Row],[Swamp Explore]],-12,0),0)</f>
        <v>0</v>
      </c>
      <c r="CV57" s="185">
        <f ca="1" xml:space="preserve"> - SUM(TblConstr[[#This Row],[DM]:[Sch]])+SUM(TblConstr[[#This Row],[Dest DM]:[Dest Sch]]) +Rezone!Q57 + IF("Ch_" &amp; home_land=TblConstr[[#Headers],[Ch_Cavern]],TblConstr[[#This Row],[Home Land]])+IF(TblConstr[[#This Row],[Hour]:[Hour]]&gt;12,OFFSET(TblExplore[[#This Row],[Cavern Explore]],-12,0),0)</f>
        <v>0</v>
      </c>
      <c r="CW57" s="186">
        <f ca="1">-TblConstr[[#This Row],[Doc]]+TblConstr[[#This Row],[Dest Doc]] +Rezone!R57 + IF("Ch_" &amp; home_land=TblConstr[[#Headers],[Ch_Water]],TblConstr[[#This Row],[Home Land]])+IF(TblConstr[[#This Row],[Hour]:[Hour]]&gt;12,OFFSET(TblExplore[[#This Row],[Water Explore]],-12,0),0)</f>
        <v>0</v>
      </c>
      <c r="CX57" s="45">
        <f>IF(Explore!S57=1,20) - TblConstr[[#This Row],[Hom]] + TblConstr[[#This Row],[Dest Hom]]</f>
        <v>0</v>
      </c>
      <c r="CY57" s="142"/>
      <c r="CZ57" s="94">
        <f t="shared" ca="1" si="12"/>
        <v>90</v>
      </c>
      <c r="DA57" s="94">
        <f t="shared" ca="1" si="13"/>
        <v>20</v>
      </c>
      <c r="DB57" s="45">
        <f t="shared" ca="1" si="14"/>
        <v>0</v>
      </c>
      <c r="DC57" s="94">
        <f t="shared" ca="1" si="15"/>
        <v>0</v>
      </c>
      <c r="DD57" s="94">
        <f t="shared" ca="1" si="16"/>
        <v>0</v>
      </c>
      <c r="DE57" s="45">
        <f t="shared" ca="1" si="17"/>
        <v>0</v>
      </c>
      <c r="DF57" s="94">
        <f t="shared" ca="1" si="18"/>
        <v>0</v>
      </c>
      <c r="DG57" s="94" cm="1">
        <f t="array" aca="1" ref="DG57" ca="1">INDEX(TblConstr[[Total Plain]:[Total Water]],ROW()-ROW(TblConstr[#Headers]),MATCH("Total "&amp;home_land,TblConstr[[#Headers],[Total Plain]:[Total Water]],0))+TblConstr[[#This Row],[Homes]]</f>
        <v>90</v>
      </c>
      <c r="DH57" s="45">
        <f t="shared" ca="1" si="10"/>
        <v>0</v>
      </c>
      <c r="DI57" s="45">
        <f t="shared" ca="1" si="0"/>
        <v>0</v>
      </c>
      <c r="DJ57" s="45">
        <f t="shared" ca="1" si="1"/>
        <v>0</v>
      </c>
    </row>
    <row r="58" spans="1:114" x14ac:dyDescent="0.2">
      <c r="A58" s="175">
        <f>TblRezone[[#This Row],[Hour]]</f>
        <v>55</v>
      </c>
      <c r="B58" s="176">
        <f ca="1">SUM(TblConstr[[#This Row],[Plain]:[Water]])</f>
        <v>60</v>
      </c>
      <c r="C58" s="177">
        <f ca="1">SUM(TblConstr[[#This Row],[Tot Hom]:[Tot Doc]])</f>
        <v>50</v>
      </c>
      <c r="D58" s="177">
        <f t="shared" si="11"/>
        <v>0</v>
      </c>
      <c r="E58" s="178"/>
      <c r="F58" s="61">
        <f ca="1">TblConstr[[#This Row],[Barren]]+TblConstr[[#This Row],[Buildings]]+TblConstr[[#This Row],[Incoming]]</f>
        <v>110</v>
      </c>
      <c r="G58" s="187">
        <f ca="1">OFFSET(TblConstr[[#This Row],[Plain]],-1,0)+TblConstr[[#This Row],[Ch_Plain]]</f>
        <v>60</v>
      </c>
      <c r="H58" s="182">
        <f ca="1">OFFSET(TblConstr[[#This Row],[Forest]],-1,0)+TblConstr[[#This Row],[Ch_Forest]]</f>
        <v>0</v>
      </c>
      <c r="I58" s="359">
        <f ca="1">OFFSET(TblConstr[[#This Row],[Mountain]],-1,0)+TblConstr[[#This Row],[Ch_Mountain]]</f>
        <v>0</v>
      </c>
      <c r="J58" s="363">
        <f ca="1">OFFSET(TblConstr[[#This Row],[Hill]],-1,0)+TblConstr[[#This Row],[Ch_Hill]]</f>
        <v>0</v>
      </c>
      <c r="K58" s="367">
        <f ca="1">OFFSET(TblConstr[[#This Row],[Swamp]],-1,0)+TblConstr[[#This Row],[Ch_Swamp]]</f>
        <v>0</v>
      </c>
      <c r="L58" s="185">
        <f ca="1">OFFSET(TblConstr[[#This Row],[Cavern]],-1,0)+TblConstr[[#This Row],[Ch_Cavern]]</f>
        <v>0</v>
      </c>
      <c r="M58" s="186">
        <f ca="1">OFFSET(TblConstr[[#This Row],[Water]],-1,0)+TblConstr[[#This Row],[Ch_Water]]</f>
        <v>0</v>
      </c>
      <c r="N58" s="357">
        <f>TblRezone[[#This Row],[Hour]]</f>
        <v>55</v>
      </c>
      <c r="O58" s="179"/>
      <c r="P58" s="179"/>
      <c r="Q58" s="179"/>
      <c r="R58" s="179"/>
      <c r="S58" s="179"/>
      <c r="T58" s="179"/>
      <c r="U58" s="179"/>
      <c r="V58" s="179"/>
      <c r="W58" s="179"/>
      <c r="X58" s="179"/>
      <c r="Y58" s="179"/>
      <c r="Z58" s="179"/>
      <c r="AA58" s="179"/>
      <c r="AB58" s="179"/>
      <c r="AC58" s="179"/>
      <c r="AD58" s="179"/>
      <c r="AE58" s="179"/>
      <c r="AF58" s="179"/>
      <c r="AG58" s="179"/>
      <c r="AH58" s="53">
        <f ca="1">TblImps[[#This Row],[Time]]</f>
        <v>46049.249999999869</v>
      </c>
      <c r="AI58" s="180">
        <f ca="1">MIN(25%,(TblConstr[[#This Row],[Tot Fac]]+TblConstr[[#This Row],[Dest Fac]])/(TblConstr[[#This Row],[Land]]-TblExplore[[#This Row],[Land Bonus]]*20))</f>
        <v>0</v>
      </c>
      <c r="AJ58" s="180">
        <f ca="1">MIN(25%,(TblConstr[[#This Row],[Tot Fac]]+TblConstr[[#This Row],[Dest Fac]])/TblConstr[[#This Row],[Land]])</f>
        <v>0</v>
      </c>
      <c r="AK58" s="94">
        <f ca="1">TblProd[[#This Row],[Platinum]]</f>
        <v>142592</v>
      </c>
      <c r="AL58" s="94">
        <f ca="1">TblProd[[#This Row],[Lumber]]</f>
        <v>50599</v>
      </c>
      <c r="AM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8" s="94">
        <f ca="1">ROUNDDOWN( MAX(1 - MIN(facs_constr_factor*TblConstr[[#This Row],[Facs -DB]],facs_constr_max) + tech_1_11*TblTech[[#This Row],[11-1]] + tech_6_3_2*TblTech[[#This Row],[6-3]] + tech_5_2_3*TblTech[[#This Row],[5-2]], 1-global_constr_cap) * TblConstr[[#This Row],[RCPA Lumber]],0)</f>
        <v>48</v>
      </c>
      <c r="AO5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8" s="94">
        <f ca="1">ROUNDDOWN( MAX(1 - MIN(facs_constr_factor*TblConstr[[#This Row],[Facs DB]],facs_constr_max) + tech_1_11*TblTech[[#This Row],[1-11]] + tech_6_3_2*TblTech[[#This Row],[6-3]] + tech_5_2_3*TblTech[[#This Row],[5-2]], 1-global_constr_cap) * ROUND((TblConstr[[#This Row],[Land]]-250)*0.285 + 87.5 + 0/4.25,0),0)</f>
        <v>48</v>
      </c>
      <c r="AQ58" s="45">
        <f ca="1">TblConstr[[#This Row],[build -db]]*TblConstr[[#This Row],[CPA Platinum -DB]] + TblConstr[[#This Row],[build db]]*TblConstr[[#This Row],[CPA Platinum DB]]</f>
        <v>0</v>
      </c>
      <c r="AR58" s="45">
        <f ca="1">TblConstr[[#This Row],[build -db]]*TblConstr[[#This Row],[CPA Lumber -DB]] + TblConstr[[#This Row],[build db]]*TblConstr[[#This Row],[CPA Lumber DB]]</f>
        <v>0</v>
      </c>
      <c r="AS58" s="94">
        <f ca="1">MIN(SUM(OFFSET(TblConstr[[#This Row],[Plain]:[Water]],-1,0))+SUM(TblConstr[[#This Row],[Dest Hom]:[Dest Doc]])+IF(TblConstr[[#This Row],[Hour]]&gt;12,SUM(OFFSET(TblExplore[[#This Row],[Plains Explore]:[Water Explore]],-12,0)),0),SUM(TblConstr[[#This Row],[Hom]:[Doc]]))</f>
        <v>0</v>
      </c>
      <c r="AT5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8" s="142"/>
      <c r="AV58" s="94">
        <f ca="1">ROUND((TblConstr[[#This Row],[Land]]-250 - IF(TblExplore[[#This Row],[Land Bonus]]&lt;&gt;0,20,0))*1.25 + 850 + 0,0)</f>
        <v>675</v>
      </c>
      <c r="AW58" s="94">
        <f ca="1">ROUND((TblConstr[[#This Row],[Land]]-250 - IF(TblExplore[[#This Row],[Land Bonus]]&lt;&gt;0,20,0))*0.285 + 87.5 + 0/4.25,0)</f>
        <v>48</v>
      </c>
      <c r="AX58" s="154"/>
      <c r="AY58" s="188" cm="1">
        <f t="array" aca="1" ref="AY58" ca="1">IF(TblConstr[[#This Row],[Hour]:[Hour]]&gt;12,OFFSET(TblConstr[[#This Row],[Hom]],-12,0),0)+OFFSET(TblConstr[[#This Row],[Tot Hom]],-1,0)-TblConstr[[#This Row],[Dest Hom]]</f>
        <v>0</v>
      </c>
      <c r="AZ58" s="189" cm="1">
        <f t="array" aca="1" ref="AZ58" ca="1">IF(TblConstr[[#This Row],[Hour]:[Hour]]&gt;12,OFFSET(TblConstr[[#This Row],[Alc]],-12,0),0)+OFFSET(TblConstr[[#This Row],[Tot Alc]],-1,0)-TblConstr[[#This Row],[Dest Alc]]</f>
        <v>0</v>
      </c>
      <c r="BA58" s="189" cm="1">
        <f t="array" aca="1" ref="BA58" ca="1">IF(TblConstr[[#This Row],[Hour]:[Hour]]&gt;12,OFFSET(TblConstr[[#This Row],[Far]],-12,0),0)+OFFSET(TblConstr[[#This Row],[Tot Farm]],-1,0)-TblConstr[[#This Row],[Dest Farm]]</f>
        <v>30</v>
      </c>
      <c r="BB58" s="189" cm="1">
        <f t="array" aca="1" ref="BB58" ca="1">IF(TblConstr[[#This Row],[Hour]:[Hour]]&gt;12,OFFSET(TblConstr[[#This Row],[Smi]],-12,0),0)+OFFSET(TblConstr[[#This Row],[Tot Smi]],-1,0)-TblConstr[[#This Row],[Dest Smi]]</f>
        <v>0</v>
      </c>
      <c r="BC58" s="189" cm="1">
        <f t="array" aca="1" ref="BC58" ca="1">IF(TblConstr[[#This Row],[Hour]:[Hour]]&gt;12,OFFSET(TblConstr[[#This Row],[Mas]],-12,0),0)+OFFSET(TblConstr[[#This Row],[Tot Mas]],-1,0)-TblConstr[[#This Row],[Dest Mas]]</f>
        <v>0</v>
      </c>
      <c r="BD58" s="190" cm="1">
        <f t="array" aca="1" ref="BD58" ca="1">IF(TblConstr[[#This Row],[Hour]:[Hour]]&gt;12,OFFSET(TblConstr[[#This Row],[Ly]],-12,0),0)+OFFSET(TblConstr[[#This Row],[Tot Ly]],-1,0)-TblConstr[[#This Row],[Dest Ly]]</f>
        <v>20</v>
      </c>
      <c r="BE58" s="190" cm="1">
        <f t="array" aca="1" ref="BE58" ca="1">IF(TblConstr[[#This Row],[Hour]:[Hour]]&gt;12,OFFSET(TblConstr[[#This Row],[Hav]],-12,0),0)+OFFSET(TblConstr[[#This Row],[Tot Hav]],-1,0)-TblConstr[[#This Row],[Dest Hav]]</f>
        <v>0</v>
      </c>
      <c r="BF58" s="361" cm="1">
        <f t="array" aca="1" ref="BF58" ca="1">IF(TblConstr[[#This Row],[Hour]:[Hour]]&gt;12,OFFSET(TblConstr[[#This Row],[OM]],-12,0),0)+OFFSET(TblConstr[[#This Row],[Tot OM]],-1,0)-TblConstr[[#This Row],[Dest OM]]</f>
        <v>0</v>
      </c>
      <c r="BG58" s="361" cm="1">
        <f t="array" aca="1" ref="BG58" ca="1">IF(TblConstr[[#This Row],[Hour]:[Hour]]&gt;12,OFFSET(TblConstr[[#This Row],[GN]],-12,0),0)+OFFSET(TblConstr[[#This Row],[Tot GN]],-1,0)-TblConstr[[#This Row],[Dest GN]]</f>
        <v>0</v>
      </c>
      <c r="BH58" s="365" cm="1">
        <f t="array" aca="1" ref="BH58" ca="1">IF(TblConstr[[#This Row],[Hour]:[Hour]]&gt;12,OFFSET(TblConstr[[#This Row],[Fac]],-12,0),0)+OFFSET(TblConstr[[#This Row],[Tot Fac]],-1,0)-TblConstr[[#This Row],[Dest Fac]]</f>
        <v>0</v>
      </c>
      <c r="BI58" s="365" cm="1">
        <f t="array" aca="1" ref="BI58" ca="1">IF(TblConstr[[#This Row],[Hour]:[Hour]]&gt;12,OFFSET(TblConstr[[#This Row],[GT]],-12,0),0)+OFFSET(TblConstr[[#This Row],[Tot GT]],-1,0)-TblConstr[[#This Row],[Dest GT]]</f>
        <v>0</v>
      </c>
      <c r="BJ58" s="365" cm="1">
        <f t="array" aca="1" ref="BJ58" ca="1">IF(TblConstr[[#This Row],[Hour]:[Hour]]&gt;12,OFFSET(TblConstr[[#This Row],[Bar]],-12,0),0)+OFFSET(TblConstr[[#This Row],[Tot Bar]],-1,0)-TblConstr[[#This Row],[Dest Bar]]</f>
        <v>0</v>
      </c>
      <c r="BK58" s="365" cm="1">
        <f t="array" aca="1" ref="BK58" ca="1">IF(TblConstr[[#This Row],[Hour]:[Hour]]&gt;12,OFFSET(TblConstr[[#This Row],[Shr]],-12,0),0)+OFFSET(TblConstr[[#This Row],[Tot Shr]],-1,0)-TblConstr[[#This Row],[Dest Shr]]</f>
        <v>0</v>
      </c>
      <c r="BL58" s="369" cm="1">
        <f t="array" aca="1" ref="BL58" ca="1">IF(TblConstr[[#This Row],[Hour]:[Hour]]&gt;12,OFFSET(TblConstr[[#This Row],[Tow]],-12,0),0)+OFFSET(TblConstr[[#This Row],[Tot Tow]],-1,0)-TblConstr[[#This Row],[Dest Tow]]</f>
        <v>0</v>
      </c>
      <c r="BM58" s="369" cm="1">
        <f t="array" aca="1" ref="BM58" ca="1">IF(TblConstr[[#This Row],[Hour]:[Hour]]&gt;12,OFFSET(TblConstr[[#This Row],[Tem]],-12,0),0)+OFFSET(TblConstr[[#This Row],[Tot Tem]],-1,0)-TblConstr[[#This Row],[Dest Tem]]</f>
        <v>0</v>
      </c>
      <c r="BN58" s="369" cm="1">
        <f t="array" aca="1" ref="BN58" ca="1">IF(TblConstr[[#This Row],[Hour]:[Hour]]&gt;12,OFFSET(TblConstr[[#This Row],[WG]],-12,0),0)+OFFSET(TblConstr[[#This Row],[Tot WG]],-1,0)-TblConstr[[#This Row],[Dest WG]]</f>
        <v>0</v>
      </c>
      <c r="BO58" s="191" cm="1">
        <f t="array" aca="1" ref="BO58" ca="1">IF(TblConstr[[#This Row],[Hour]:[Hour]]&gt;12,OFFSET(TblConstr[[#This Row],[DM]],-12,0),0)+OFFSET(TblConstr[[#This Row],[Tot DM]],-1,0)-TblConstr[[#This Row],[Dest DM]]</f>
        <v>0</v>
      </c>
      <c r="BP58" s="191" cm="1">
        <f t="array" aca="1" ref="BP58" ca="1">IF(TblConstr[[#This Row],[Hour]:[Hour]]&gt;12,OFFSET(TblConstr[[#This Row],[Sch]],-12,0),0)+OFFSET(TblConstr[[#This Row],[Tot Sch]],-1,0)-TblConstr[[#This Row],[Dest Sch]]</f>
        <v>0</v>
      </c>
      <c r="BQ58" s="192" cm="1">
        <f t="array" aca="1" ref="BQ58" ca="1">IF(TblConstr[[#This Row],[Hour]:[Hour]]&gt;12,OFFSET(TblConstr[[#This Row],[Doc]],-12,0),0)+OFFSET(TblConstr[[#This Row],[Tot Doc]],-1,0)-TblConstr[[#This Row],[Dest Doc]]</f>
        <v>0</v>
      </c>
      <c r="BR58" s="142"/>
      <c r="BS58" s="154"/>
      <c r="BT58" s="94">
        <f ca="1">TblConstr[[#This Row],[Land]]</f>
        <v>110</v>
      </c>
      <c r="BU58" s="159">
        <f ca="1">TblImps[[#This Row],[Time]]</f>
        <v>46049.249999999869</v>
      </c>
      <c r="BV58" s="142"/>
      <c r="BW58" s="179"/>
      <c r="BX58" s="179"/>
      <c r="BY58" s="179"/>
      <c r="BZ58" s="179"/>
      <c r="CA58" s="179"/>
      <c r="CB58" s="179"/>
      <c r="CC58" s="179"/>
      <c r="CD58" s="179"/>
      <c r="CE58" s="179"/>
      <c r="CF58" s="179"/>
      <c r="CG58" s="179"/>
      <c r="CH58" s="179"/>
      <c r="CI58" s="179"/>
      <c r="CJ58" s="179"/>
      <c r="CK58" s="179"/>
      <c r="CL58" s="179"/>
      <c r="CM58" s="179"/>
      <c r="CN58" s="179"/>
      <c r="CO58" s="179"/>
      <c r="CP58" s="142"/>
      <c r="CQ58" s="181">
        <f ca="1">-SUM(TblConstr[[#This Row],[Alc]:[Mas]])+SUM(TblConstr[[#This Row],[Dest Alc]:[Dest Mas]])+Rezone!L58+IF("Ch_"&amp; home_land=TblConstr[[#Headers],[Ch_Plain]],TblConstr[[#This Row],[Home Land]])+IF(TblConstr[[#This Row],[Hour]:[Hour]]&gt;12,OFFSET(TblExplore[[#This Row],[Plains Explore]],-12,0),0)</f>
        <v>0</v>
      </c>
      <c r="CR58" s="182">
        <f ca="1">-SUM(TblConstr[[#This Row],[Ly]:[Hav]])+SUM(TblConstr[[#This Row],[Dest Ly]:[Dest Hav]]) +Rezone!M58 + IF("Ch_"&amp; home_land=TblConstr[[#Headers],[Ch_Forest]],TblConstr[[#This Row],[Home Land]])+IF(TblConstr[[#This Row],[Hour]:[Hour]]&gt;12,OFFSET(TblExplore[[#This Row],[Forest Explore]],-12,0),0)</f>
        <v>0</v>
      </c>
      <c r="CS58" s="359">
        <f ca="1">-SUM(TblConstr[[#This Row],[OM]:[GN]])+SUM(TblConstr[[#This Row],[Dest OM]:[Dest GN]]) +Rezone!N58 + IF("Ch_"&amp; home_land=TblConstr[[#Headers],[Ch_Mountain]],TblConstr[[#This Row],[Home Land]])+IF(TblConstr[[#This Row],[Hour]:[Hour]]&gt;12,OFFSET(TblExplore[[#This Row],[Mountain Explore]],-12,0),0)</f>
        <v>0</v>
      </c>
      <c r="CT58" s="183">
        <f ca="1">-SUM(TblConstr[[#This Row],[Fac]:[Shr]])+SUM(TblConstr[[#This Row],[Dest Fac]:[Dest Shr]]) +Rezone!O58 + IF("Ch_" &amp; home_land=TblConstr[[#Headers],[Ch_Hill]],TblConstr[[#This Row],[Home Land]])+IF(TblConstr[[#This Row],[Hour]:[Hour]]&gt;12,OFFSET(TblExplore[[#This Row],[Hill Explore]],-12,0),0)</f>
        <v>0</v>
      </c>
      <c r="CU58" s="184">
        <f ca="1">-SUM(TblConstr[[#This Row],[Tow]:[WG]])+SUM(TblConstr[[#This Row],[Dest Tow]:[Dest WG]]) +Rezone!P58 + IF("Ch_" &amp; home_land=TblConstr[[#Headers],[Ch_Swamp]],TblConstr[[#This Row],[Home Land]])+IF(TblConstr[[#This Row],[Hour]:[Hour]]&gt;12,OFFSET(TblExplore[[#This Row],[Swamp Explore]],-12,0),0)</f>
        <v>0</v>
      </c>
      <c r="CV58" s="185">
        <f ca="1" xml:space="preserve"> - SUM(TblConstr[[#This Row],[DM]:[Sch]])+SUM(TblConstr[[#This Row],[Dest DM]:[Dest Sch]]) +Rezone!Q58 + IF("Ch_" &amp; home_land=TblConstr[[#Headers],[Ch_Cavern]],TblConstr[[#This Row],[Home Land]])+IF(TblConstr[[#This Row],[Hour]:[Hour]]&gt;12,OFFSET(TblExplore[[#This Row],[Cavern Explore]],-12,0),0)</f>
        <v>0</v>
      </c>
      <c r="CW58" s="186">
        <f ca="1">-TblConstr[[#This Row],[Doc]]+TblConstr[[#This Row],[Dest Doc]] +Rezone!R58 + IF("Ch_" &amp; home_land=TblConstr[[#Headers],[Ch_Water]],TblConstr[[#This Row],[Home Land]])+IF(TblConstr[[#This Row],[Hour]:[Hour]]&gt;12,OFFSET(TblExplore[[#This Row],[Water Explore]],-12,0),0)</f>
        <v>0</v>
      </c>
      <c r="CX58" s="45">
        <f>IF(Explore!S58=1,20) - TblConstr[[#This Row],[Hom]] + TblConstr[[#This Row],[Dest Hom]]</f>
        <v>0</v>
      </c>
      <c r="CY58" s="142"/>
      <c r="CZ58" s="94">
        <f t="shared" ca="1" si="12"/>
        <v>90</v>
      </c>
      <c r="DA58" s="94">
        <f t="shared" ca="1" si="13"/>
        <v>20</v>
      </c>
      <c r="DB58" s="45">
        <f t="shared" ca="1" si="14"/>
        <v>0</v>
      </c>
      <c r="DC58" s="94">
        <f t="shared" ca="1" si="15"/>
        <v>0</v>
      </c>
      <c r="DD58" s="94">
        <f t="shared" ca="1" si="16"/>
        <v>0</v>
      </c>
      <c r="DE58" s="45">
        <f t="shared" ca="1" si="17"/>
        <v>0</v>
      </c>
      <c r="DF58" s="94">
        <f t="shared" ca="1" si="18"/>
        <v>0</v>
      </c>
      <c r="DG58" s="94" cm="1">
        <f t="array" aca="1" ref="DG58" ca="1">INDEX(TblConstr[[Total Plain]:[Total Water]],ROW()-ROW(TblConstr[#Headers]),MATCH("Total "&amp;home_land,TblConstr[[#Headers],[Total Plain]:[Total Water]],0))+TblConstr[[#This Row],[Homes]]</f>
        <v>90</v>
      </c>
      <c r="DH58" s="45">
        <f t="shared" ca="1" si="10"/>
        <v>0</v>
      </c>
      <c r="DI58" s="45">
        <f t="shared" ca="1" si="0"/>
        <v>0</v>
      </c>
      <c r="DJ58" s="45">
        <f t="shared" ca="1" si="1"/>
        <v>0</v>
      </c>
    </row>
    <row r="59" spans="1:114" x14ac:dyDescent="0.2">
      <c r="A59" s="175">
        <f>TblRezone[[#This Row],[Hour]]</f>
        <v>56</v>
      </c>
      <c r="B59" s="176">
        <f ca="1">SUM(TblConstr[[#This Row],[Plain]:[Water]])</f>
        <v>60</v>
      </c>
      <c r="C59" s="177">
        <f ca="1">SUM(TblConstr[[#This Row],[Tot Hom]:[Tot Doc]])</f>
        <v>50</v>
      </c>
      <c r="D59" s="177">
        <f t="shared" si="11"/>
        <v>0</v>
      </c>
      <c r="E59" s="178"/>
      <c r="F59" s="61">
        <f ca="1">TblConstr[[#This Row],[Barren]]+TblConstr[[#This Row],[Buildings]]+TblConstr[[#This Row],[Incoming]]</f>
        <v>110</v>
      </c>
      <c r="G59" s="187">
        <f ca="1">OFFSET(TblConstr[[#This Row],[Plain]],-1,0)+TblConstr[[#This Row],[Ch_Plain]]</f>
        <v>60</v>
      </c>
      <c r="H59" s="182">
        <f ca="1">OFFSET(TblConstr[[#This Row],[Forest]],-1,0)+TblConstr[[#This Row],[Ch_Forest]]</f>
        <v>0</v>
      </c>
      <c r="I59" s="359">
        <f ca="1">OFFSET(TblConstr[[#This Row],[Mountain]],-1,0)+TblConstr[[#This Row],[Ch_Mountain]]</f>
        <v>0</v>
      </c>
      <c r="J59" s="363">
        <f ca="1">OFFSET(TblConstr[[#This Row],[Hill]],-1,0)+TblConstr[[#This Row],[Ch_Hill]]</f>
        <v>0</v>
      </c>
      <c r="K59" s="367">
        <f ca="1">OFFSET(TblConstr[[#This Row],[Swamp]],-1,0)+TblConstr[[#This Row],[Ch_Swamp]]</f>
        <v>0</v>
      </c>
      <c r="L59" s="185">
        <f ca="1">OFFSET(TblConstr[[#This Row],[Cavern]],-1,0)+TblConstr[[#This Row],[Ch_Cavern]]</f>
        <v>0</v>
      </c>
      <c r="M59" s="186">
        <f ca="1">OFFSET(TblConstr[[#This Row],[Water]],-1,0)+TblConstr[[#This Row],[Ch_Water]]</f>
        <v>0</v>
      </c>
      <c r="N59" s="357">
        <f>TblRezone[[#This Row],[Hour]]</f>
        <v>56</v>
      </c>
      <c r="O59" s="179"/>
      <c r="P59" s="179"/>
      <c r="Q59" s="179"/>
      <c r="R59" s="179"/>
      <c r="S59" s="179"/>
      <c r="T59" s="179"/>
      <c r="U59" s="179"/>
      <c r="V59" s="179"/>
      <c r="W59" s="179"/>
      <c r="X59" s="179"/>
      <c r="Y59" s="179"/>
      <c r="Z59" s="179"/>
      <c r="AA59" s="179"/>
      <c r="AB59" s="179"/>
      <c r="AC59" s="179"/>
      <c r="AD59" s="179"/>
      <c r="AE59" s="179"/>
      <c r="AF59" s="179"/>
      <c r="AG59" s="179"/>
      <c r="AH59" s="53">
        <f ca="1">TblImps[[#This Row],[Time]]</f>
        <v>46049.291666666533</v>
      </c>
      <c r="AI59" s="180">
        <f ca="1">MIN(25%,(TblConstr[[#This Row],[Tot Fac]]+TblConstr[[#This Row],[Dest Fac]])/(TblConstr[[#This Row],[Land]]-TblExplore[[#This Row],[Land Bonus]]*20))</f>
        <v>0</v>
      </c>
      <c r="AJ59" s="180">
        <f ca="1">MIN(25%,(TblConstr[[#This Row],[Tot Fac]]+TblConstr[[#This Row],[Dest Fac]])/TblConstr[[#This Row],[Land]])</f>
        <v>0</v>
      </c>
      <c r="AK59" s="94">
        <f ca="1">TblProd[[#This Row],[Platinum]]</f>
        <v>144166</v>
      </c>
      <c r="AL59" s="94">
        <f ca="1">TblProd[[#This Row],[Lumber]]</f>
        <v>51093</v>
      </c>
      <c r="AM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59" s="94">
        <f ca="1">ROUNDDOWN( MAX(1 - MIN(facs_constr_factor*TblConstr[[#This Row],[Facs -DB]],facs_constr_max) + tech_1_11*TblTech[[#This Row],[11-1]] + tech_6_3_2*TblTech[[#This Row],[6-3]] + tech_5_2_3*TblTech[[#This Row],[5-2]], 1-global_constr_cap) * TblConstr[[#This Row],[RCPA Lumber]],0)</f>
        <v>48</v>
      </c>
      <c r="AO5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59" s="94">
        <f ca="1">ROUNDDOWN( MAX(1 - MIN(facs_constr_factor*TblConstr[[#This Row],[Facs DB]],facs_constr_max) + tech_1_11*TblTech[[#This Row],[1-11]] + tech_6_3_2*TblTech[[#This Row],[6-3]] + tech_5_2_3*TblTech[[#This Row],[5-2]], 1-global_constr_cap) * ROUND((TblConstr[[#This Row],[Land]]-250)*0.285 + 87.5 + 0/4.25,0),0)</f>
        <v>48</v>
      </c>
      <c r="AQ59" s="45">
        <f ca="1">TblConstr[[#This Row],[build -db]]*TblConstr[[#This Row],[CPA Platinum -DB]] + TblConstr[[#This Row],[build db]]*TblConstr[[#This Row],[CPA Platinum DB]]</f>
        <v>0</v>
      </c>
      <c r="AR59" s="45">
        <f ca="1">TblConstr[[#This Row],[build -db]]*TblConstr[[#This Row],[CPA Lumber -DB]] + TblConstr[[#This Row],[build db]]*TblConstr[[#This Row],[CPA Lumber DB]]</f>
        <v>0</v>
      </c>
      <c r="AS59" s="94">
        <f ca="1">MIN(SUM(OFFSET(TblConstr[[#This Row],[Plain]:[Water]],-1,0))+SUM(TblConstr[[#This Row],[Dest Hom]:[Dest Doc]])+IF(TblConstr[[#This Row],[Hour]]&gt;12,SUM(OFFSET(TblExplore[[#This Row],[Plains Explore]:[Water Explore]],-12,0)),0),SUM(TblConstr[[#This Row],[Hom]:[Doc]]))</f>
        <v>0</v>
      </c>
      <c r="AT5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59" s="142"/>
      <c r="AV59" s="94">
        <f ca="1">ROUND((TblConstr[[#This Row],[Land]]-250 - IF(TblExplore[[#This Row],[Land Bonus]]&lt;&gt;0,20,0))*1.25 + 850 + 0,0)</f>
        <v>675</v>
      </c>
      <c r="AW59" s="94">
        <f ca="1">ROUND((TblConstr[[#This Row],[Land]]-250 - IF(TblExplore[[#This Row],[Land Bonus]]&lt;&gt;0,20,0))*0.285 + 87.5 + 0/4.25,0)</f>
        <v>48</v>
      </c>
      <c r="AX59" s="154"/>
      <c r="AY59" s="188" cm="1">
        <f t="array" aca="1" ref="AY59" ca="1">IF(TblConstr[[#This Row],[Hour]:[Hour]]&gt;12,OFFSET(TblConstr[[#This Row],[Hom]],-12,0),0)+OFFSET(TblConstr[[#This Row],[Tot Hom]],-1,0)-TblConstr[[#This Row],[Dest Hom]]</f>
        <v>0</v>
      </c>
      <c r="AZ59" s="189" cm="1">
        <f t="array" aca="1" ref="AZ59" ca="1">IF(TblConstr[[#This Row],[Hour]:[Hour]]&gt;12,OFFSET(TblConstr[[#This Row],[Alc]],-12,0),0)+OFFSET(TblConstr[[#This Row],[Tot Alc]],-1,0)-TblConstr[[#This Row],[Dest Alc]]</f>
        <v>0</v>
      </c>
      <c r="BA59" s="189" cm="1">
        <f t="array" aca="1" ref="BA59" ca="1">IF(TblConstr[[#This Row],[Hour]:[Hour]]&gt;12,OFFSET(TblConstr[[#This Row],[Far]],-12,0),0)+OFFSET(TblConstr[[#This Row],[Tot Farm]],-1,0)-TblConstr[[#This Row],[Dest Farm]]</f>
        <v>30</v>
      </c>
      <c r="BB59" s="189" cm="1">
        <f t="array" aca="1" ref="BB59" ca="1">IF(TblConstr[[#This Row],[Hour]:[Hour]]&gt;12,OFFSET(TblConstr[[#This Row],[Smi]],-12,0),0)+OFFSET(TblConstr[[#This Row],[Tot Smi]],-1,0)-TblConstr[[#This Row],[Dest Smi]]</f>
        <v>0</v>
      </c>
      <c r="BC59" s="189" cm="1">
        <f t="array" aca="1" ref="BC59" ca="1">IF(TblConstr[[#This Row],[Hour]:[Hour]]&gt;12,OFFSET(TblConstr[[#This Row],[Mas]],-12,0),0)+OFFSET(TblConstr[[#This Row],[Tot Mas]],-1,0)-TblConstr[[#This Row],[Dest Mas]]</f>
        <v>0</v>
      </c>
      <c r="BD59" s="190" cm="1">
        <f t="array" aca="1" ref="BD59" ca="1">IF(TblConstr[[#This Row],[Hour]:[Hour]]&gt;12,OFFSET(TblConstr[[#This Row],[Ly]],-12,0),0)+OFFSET(TblConstr[[#This Row],[Tot Ly]],-1,0)-TblConstr[[#This Row],[Dest Ly]]</f>
        <v>20</v>
      </c>
      <c r="BE59" s="190" cm="1">
        <f t="array" aca="1" ref="BE59" ca="1">IF(TblConstr[[#This Row],[Hour]:[Hour]]&gt;12,OFFSET(TblConstr[[#This Row],[Hav]],-12,0),0)+OFFSET(TblConstr[[#This Row],[Tot Hav]],-1,0)-TblConstr[[#This Row],[Dest Hav]]</f>
        <v>0</v>
      </c>
      <c r="BF59" s="361" cm="1">
        <f t="array" aca="1" ref="BF59" ca="1">IF(TblConstr[[#This Row],[Hour]:[Hour]]&gt;12,OFFSET(TblConstr[[#This Row],[OM]],-12,0),0)+OFFSET(TblConstr[[#This Row],[Tot OM]],-1,0)-TblConstr[[#This Row],[Dest OM]]</f>
        <v>0</v>
      </c>
      <c r="BG59" s="361" cm="1">
        <f t="array" aca="1" ref="BG59" ca="1">IF(TblConstr[[#This Row],[Hour]:[Hour]]&gt;12,OFFSET(TblConstr[[#This Row],[GN]],-12,0),0)+OFFSET(TblConstr[[#This Row],[Tot GN]],-1,0)-TblConstr[[#This Row],[Dest GN]]</f>
        <v>0</v>
      </c>
      <c r="BH59" s="365" cm="1">
        <f t="array" aca="1" ref="BH59" ca="1">IF(TblConstr[[#This Row],[Hour]:[Hour]]&gt;12,OFFSET(TblConstr[[#This Row],[Fac]],-12,0),0)+OFFSET(TblConstr[[#This Row],[Tot Fac]],-1,0)-TblConstr[[#This Row],[Dest Fac]]</f>
        <v>0</v>
      </c>
      <c r="BI59" s="365" cm="1">
        <f t="array" aca="1" ref="BI59" ca="1">IF(TblConstr[[#This Row],[Hour]:[Hour]]&gt;12,OFFSET(TblConstr[[#This Row],[GT]],-12,0),0)+OFFSET(TblConstr[[#This Row],[Tot GT]],-1,0)-TblConstr[[#This Row],[Dest GT]]</f>
        <v>0</v>
      </c>
      <c r="BJ59" s="365" cm="1">
        <f t="array" aca="1" ref="BJ59" ca="1">IF(TblConstr[[#This Row],[Hour]:[Hour]]&gt;12,OFFSET(TblConstr[[#This Row],[Bar]],-12,0),0)+OFFSET(TblConstr[[#This Row],[Tot Bar]],-1,0)-TblConstr[[#This Row],[Dest Bar]]</f>
        <v>0</v>
      </c>
      <c r="BK59" s="365" cm="1">
        <f t="array" aca="1" ref="BK59" ca="1">IF(TblConstr[[#This Row],[Hour]:[Hour]]&gt;12,OFFSET(TblConstr[[#This Row],[Shr]],-12,0),0)+OFFSET(TblConstr[[#This Row],[Tot Shr]],-1,0)-TblConstr[[#This Row],[Dest Shr]]</f>
        <v>0</v>
      </c>
      <c r="BL59" s="369" cm="1">
        <f t="array" aca="1" ref="BL59" ca="1">IF(TblConstr[[#This Row],[Hour]:[Hour]]&gt;12,OFFSET(TblConstr[[#This Row],[Tow]],-12,0),0)+OFFSET(TblConstr[[#This Row],[Tot Tow]],-1,0)-TblConstr[[#This Row],[Dest Tow]]</f>
        <v>0</v>
      </c>
      <c r="BM59" s="369" cm="1">
        <f t="array" aca="1" ref="BM59" ca="1">IF(TblConstr[[#This Row],[Hour]:[Hour]]&gt;12,OFFSET(TblConstr[[#This Row],[Tem]],-12,0),0)+OFFSET(TblConstr[[#This Row],[Tot Tem]],-1,0)-TblConstr[[#This Row],[Dest Tem]]</f>
        <v>0</v>
      </c>
      <c r="BN59" s="369" cm="1">
        <f t="array" aca="1" ref="BN59" ca="1">IF(TblConstr[[#This Row],[Hour]:[Hour]]&gt;12,OFFSET(TblConstr[[#This Row],[WG]],-12,0),0)+OFFSET(TblConstr[[#This Row],[Tot WG]],-1,0)-TblConstr[[#This Row],[Dest WG]]</f>
        <v>0</v>
      </c>
      <c r="BO59" s="191" cm="1">
        <f t="array" aca="1" ref="BO59" ca="1">IF(TblConstr[[#This Row],[Hour]:[Hour]]&gt;12,OFFSET(TblConstr[[#This Row],[DM]],-12,0),0)+OFFSET(TblConstr[[#This Row],[Tot DM]],-1,0)-TblConstr[[#This Row],[Dest DM]]</f>
        <v>0</v>
      </c>
      <c r="BP59" s="191" cm="1">
        <f t="array" aca="1" ref="BP59" ca="1">IF(TblConstr[[#This Row],[Hour]:[Hour]]&gt;12,OFFSET(TblConstr[[#This Row],[Sch]],-12,0),0)+OFFSET(TblConstr[[#This Row],[Tot Sch]],-1,0)-TblConstr[[#This Row],[Dest Sch]]</f>
        <v>0</v>
      </c>
      <c r="BQ59" s="192" cm="1">
        <f t="array" aca="1" ref="BQ59" ca="1">IF(TblConstr[[#This Row],[Hour]:[Hour]]&gt;12,OFFSET(TblConstr[[#This Row],[Doc]],-12,0),0)+OFFSET(TblConstr[[#This Row],[Tot Doc]],-1,0)-TblConstr[[#This Row],[Dest Doc]]</f>
        <v>0</v>
      </c>
      <c r="BR59" s="142"/>
      <c r="BS59" s="154"/>
      <c r="BT59" s="94">
        <f ca="1">TblConstr[[#This Row],[Land]]</f>
        <v>110</v>
      </c>
      <c r="BU59" s="159">
        <f ca="1">TblImps[[#This Row],[Time]]</f>
        <v>46049.291666666533</v>
      </c>
      <c r="BV59" s="142"/>
      <c r="BW59" s="179"/>
      <c r="BX59" s="179"/>
      <c r="BY59" s="179"/>
      <c r="BZ59" s="179"/>
      <c r="CA59" s="179"/>
      <c r="CB59" s="179"/>
      <c r="CC59" s="179"/>
      <c r="CD59" s="179"/>
      <c r="CE59" s="179"/>
      <c r="CF59" s="179"/>
      <c r="CG59" s="179"/>
      <c r="CH59" s="179"/>
      <c r="CI59" s="179"/>
      <c r="CJ59" s="179"/>
      <c r="CK59" s="179"/>
      <c r="CL59" s="179"/>
      <c r="CM59" s="179"/>
      <c r="CN59" s="179"/>
      <c r="CO59" s="179"/>
      <c r="CP59" s="142"/>
      <c r="CQ59" s="181">
        <f ca="1">-SUM(TblConstr[[#This Row],[Alc]:[Mas]])+SUM(TblConstr[[#This Row],[Dest Alc]:[Dest Mas]])+Rezone!L59+IF("Ch_"&amp; home_land=TblConstr[[#Headers],[Ch_Plain]],TblConstr[[#This Row],[Home Land]])+IF(TblConstr[[#This Row],[Hour]:[Hour]]&gt;12,OFFSET(TblExplore[[#This Row],[Plains Explore]],-12,0),0)</f>
        <v>0</v>
      </c>
      <c r="CR59" s="182">
        <f ca="1">-SUM(TblConstr[[#This Row],[Ly]:[Hav]])+SUM(TblConstr[[#This Row],[Dest Ly]:[Dest Hav]]) +Rezone!M59 + IF("Ch_"&amp; home_land=TblConstr[[#Headers],[Ch_Forest]],TblConstr[[#This Row],[Home Land]])+IF(TblConstr[[#This Row],[Hour]:[Hour]]&gt;12,OFFSET(TblExplore[[#This Row],[Forest Explore]],-12,0),0)</f>
        <v>0</v>
      </c>
      <c r="CS59" s="359">
        <f ca="1">-SUM(TblConstr[[#This Row],[OM]:[GN]])+SUM(TblConstr[[#This Row],[Dest OM]:[Dest GN]]) +Rezone!N59 + IF("Ch_"&amp; home_land=TblConstr[[#Headers],[Ch_Mountain]],TblConstr[[#This Row],[Home Land]])+IF(TblConstr[[#This Row],[Hour]:[Hour]]&gt;12,OFFSET(TblExplore[[#This Row],[Mountain Explore]],-12,0),0)</f>
        <v>0</v>
      </c>
      <c r="CT59" s="183">
        <f ca="1">-SUM(TblConstr[[#This Row],[Fac]:[Shr]])+SUM(TblConstr[[#This Row],[Dest Fac]:[Dest Shr]]) +Rezone!O59 + IF("Ch_" &amp; home_land=TblConstr[[#Headers],[Ch_Hill]],TblConstr[[#This Row],[Home Land]])+IF(TblConstr[[#This Row],[Hour]:[Hour]]&gt;12,OFFSET(TblExplore[[#This Row],[Hill Explore]],-12,0),0)</f>
        <v>0</v>
      </c>
      <c r="CU59" s="184">
        <f ca="1">-SUM(TblConstr[[#This Row],[Tow]:[WG]])+SUM(TblConstr[[#This Row],[Dest Tow]:[Dest WG]]) +Rezone!P59 + IF("Ch_" &amp; home_land=TblConstr[[#Headers],[Ch_Swamp]],TblConstr[[#This Row],[Home Land]])+IF(TblConstr[[#This Row],[Hour]:[Hour]]&gt;12,OFFSET(TblExplore[[#This Row],[Swamp Explore]],-12,0),0)</f>
        <v>0</v>
      </c>
      <c r="CV59" s="185">
        <f ca="1" xml:space="preserve"> - SUM(TblConstr[[#This Row],[DM]:[Sch]])+SUM(TblConstr[[#This Row],[Dest DM]:[Dest Sch]]) +Rezone!Q59 + IF("Ch_" &amp; home_land=TblConstr[[#Headers],[Ch_Cavern]],TblConstr[[#This Row],[Home Land]])+IF(TblConstr[[#This Row],[Hour]:[Hour]]&gt;12,OFFSET(TblExplore[[#This Row],[Cavern Explore]],-12,0),0)</f>
        <v>0</v>
      </c>
      <c r="CW59" s="186">
        <f ca="1">-TblConstr[[#This Row],[Doc]]+TblConstr[[#This Row],[Dest Doc]] +Rezone!R59 + IF("Ch_" &amp; home_land=TblConstr[[#Headers],[Ch_Water]],TblConstr[[#This Row],[Home Land]])+IF(TblConstr[[#This Row],[Hour]:[Hour]]&gt;12,OFFSET(TblExplore[[#This Row],[Water Explore]],-12,0),0)</f>
        <v>0</v>
      </c>
      <c r="CX59" s="45">
        <f>IF(Explore!S59=1,20) - TblConstr[[#This Row],[Hom]] + TblConstr[[#This Row],[Dest Hom]]</f>
        <v>0</v>
      </c>
      <c r="CY59" s="142"/>
      <c r="CZ59" s="94">
        <f t="shared" ca="1" si="12"/>
        <v>90</v>
      </c>
      <c r="DA59" s="94">
        <f t="shared" ca="1" si="13"/>
        <v>20</v>
      </c>
      <c r="DB59" s="45">
        <f t="shared" ca="1" si="14"/>
        <v>0</v>
      </c>
      <c r="DC59" s="94">
        <f t="shared" ca="1" si="15"/>
        <v>0</v>
      </c>
      <c r="DD59" s="94">
        <f t="shared" ca="1" si="16"/>
        <v>0</v>
      </c>
      <c r="DE59" s="45">
        <f t="shared" ca="1" si="17"/>
        <v>0</v>
      </c>
      <c r="DF59" s="94">
        <f t="shared" ca="1" si="18"/>
        <v>0</v>
      </c>
      <c r="DG59" s="94" cm="1">
        <f t="array" aca="1" ref="DG59" ca="1">INDEX(TblConstr[[Total Plain]:[Total Water]],ROW()-ROW(TblConstr[#Headers]),MATCH("Total "&amp;home_land,TblConstr[[#Headers],[Total Plain]:[Total Water]],0))+TblConstr[[#This Row],[Homes]]</f>
        <v>90</v>
      </c>
      <c r="DH59" s="45">
        <f t="shared" ca="1" si="10"/>
        <v>0</v>
      </c>
      <c r="DI59" s="45">
        <f t="shared" ca="1" si="0"/>
        <v>0</v>
      </c>
      <c r="DJ59" s="45">
        <f t="shared" ca="1" si="1"/>
        <v>0</v>
      </c>
    </row>
    <row r="60" spans="1:114" x14ac:dyDescent="0.2">
      <c r="A60" s="175">
        <f>TblRezone[[#This Row],[Hour]]</f>
        <v>57</v>
      </c>
      <c r="B60" s="176">
        <f ca="1">SUM(TblConstr[[#This Row],[Plain]:[Water]])</f>
        <v>60</v>
      </c>
      <c r="C60" s="177">
        <f ca="1">SUM(TblConstr[[#This Row],[Tot Hom]:[Tot Doc]])</f>
        <v>50</v>
      </c>
      <c r="D60" s="177">
        <f t="shared" si="11"/>
        <v>0</v>
      </c>
      <c r="E60" s="178"/>
      <c r="F60" s="61">
        <f ca="1">TblConstr[[#This Row],[Barren]]+TblConstr[[#This Row],[Buildings]]+TblConstr[[#This Row],[Incoming]]</f>
        <v>110</v>
      </c>
      <c r="G60" s="187">
        <f ca="1">OFFSET(TblConstr[[#This Row],[Plain]],-1,0)+TblConstr[[#This Row],[Ch_Plain]]</f>
        <v>60</v>
      </c>
      <c r="H60" s="182">
        <f ca="1">OFFSET(TblConstr[[#This Row],[Forest]],-1,0)+TblConstr[[#This Row],[Ch_Forest]]</f>
        <v>0</v>
      </c>
      <c r="I60" s="359">
        <f ca="1">OFFSET(TblConstr[[#This Row],[Mountain]],-1,0)+TblConstr[[#This Row],[Ch_Mountain]]</f>
        <v>0</v>
      </c>
      <c r="J60" s="363">
        <f ca="1">OFFSET(TblConstr[[#This Row],[Hill]],-1,0)+TblConstr[[#This Row],[Ch_Hill]]</f>
        <v>0</v>
      </c>
      <c r="K60" s="367">
        <f ca="1">OFFSET(TblConstr[[#This Row],[Swamp]],-1,0)+TblConstr[[#This Row],[Ch_Swamp]]</f>
        <v>0</v>
      </c>
      <c r="L60" s="185">
        <f ca="1">OFFSET(TblConstr[[#This Row],[Cavern]],-1,0)+TblConstr[[#This Row],[Ch_Cavern]]</f>
        <v>0</v>
      </c>
      <c r="M60" s="186">
        <f ca="1">OFFSET(TblConstr[[#This Row],[Water]],-1,0)+TblConstr[[#This Row],[Ch_Water]]</f>
        <v>0</v>
      </c>
      <c r="N60" s="357">
        <f>TblRezone[[#This Row],[Hour]]</f>
        <v>57</v>
      </c>
      <c r="O60" s="179"/>
      <c r="P60" s="179"/>
      <c r="Q60" s="179"/>
      <c r="R60" s="179"/>
      <c r="S60" s="179"/>
      <c r="T60" s="179"/>
      <c r="U60" s="179"/>
      <c r="V60" s="179"/>
      <c r="W60" s="179"/>
      <c r="X60" s="179"/>
      <c r="Y60" s="179"/>
      <c r="Z60" s="179"/>
      <c r="AA60" s="179"/>
      <c r="AB60" s="179"/>
      <c r="AC60" s="179"/>
      <c r="AD60" s="179"/>
      <c r="AE60" s="179"/>
      <c r="AF60" s="179"/>
      <c r="AG60" s="179"/>
      <c r="AH60" s="53">
        <f ca="1">TblImps[[#This Row],[Time]]</f>
        <v>46049.333333333198</v>
      </c>
      <c r="AI60" s="180">
        <f ca="1">MIN(25%,(TblConstr[[#This Row],[Tot Fac]]+TblConstr[[#This Row],[Dest Fac]])/(TblConstr[[#This Row],[Land]]-TblExplore[[#This Row],[Land Bonus]]*20))</f>
        <v>0</v>
      </c>
      <c r="AJ60" s="180">
        <f ca="1">MIN(25%,(TblConstr[[#This Row],[Tot Fac]]+TblConstr[[#This Row],[Dest Fac]])/TblConstr[[#This Row],[Land]])</f>
        <v>0</v>
      </c>
      <c r="AK60" s="94">
        <f ca="1">TblProd[[#This Row],[Platinum]]</f>
        <v>145723</v>
      </c>
      <c r="AL60" s="94">
        <f ca="1">TblProd[[#This Row],[Lumber]]</f>
        <v>51582</v>
      </c>
      <c r="AM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0" s="94">
        <f ca="1">ROUNDDOWN( MAX(1 - MIN(facs_constr_factor*TblConstr[[#This Row],[Facs -DB]],facs_constr_max) + tech_1_11*TblTech[[#This Row],[11-1]] + tech_6_3_2*TblTech[[#This Row],[6-3]] + tech_5_2_3*TblTech[[#This Row],[5-2]], 1-global_constr_cap) * TblConstr[[#This Row],[RCPA Lumber]],0)</f>
        <v>48</v>
      </c>
      <c r="AO6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0" s="94">
        <f ca="1">ROUNDDOWN( MAX(1 - MIN(facs_constr_factor*TblConstr[[#This Row],[Facs DB]],facs_constr_max) + tech_1_11*TblTech[[#This Row],[1-11]] + tech_6_3_2*TblTech[[#This Row],[6-3]] + tech_5_2_3*TblTech[[#This Row],[5-2]], 1-global_constr_cap) * ROUND((TblConstr[[#This Row],[Land]]-250)*0.285 + 87.5 + 0/4.25,0),0)</f>
        <v>48</v>
      </c>
      <c r="AQ60" s="45">
        <f ca="1">TblConstr[[#This Row],[build -db]]*TblConstr[[#This Row],[CPA Platinum -DB]] + TblConstr[[#This Row],[build db]]*TblConstr[[#This Row],[CPA Platinum DB]]</f>
        <v>0</v>
      </c>
      <c r="AR60" s="45">
        <f ca="1">TblConstr[[#This Row],[build -db]]*TblConstr[[#This Row],[CPA Lumber -DB]] + TblConstr[[#This Row],[build db]]*TblConstr[[#This Row],[CPA Lumber DB]]</f>
        <v>0</v>
      </c>
      <c r="AS60" s="94">
        <f ca="1">MIN(SUM(OFFSET(TblConstr[[#This Row],[Plain]:[Water]],-1,0))+SUM(TblConstr[[#This Row],[Dest Hom]:[Dest Doc]])+IF(TblConstr[[#This Row],[Hour]]&gt;12,SUM(OFFSET(TblExplore[[#This Row],[Plains Explore]:[Water Explore]],-12,0)),0),SUM(TblConstr[[#This Row],[Hom]:[Doc]]))</f>
        <v>0</v>
      </c>
      <c r="AT6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0" s="142"/>
      <c r="AV60" s="94">
        <f ca="1">ROUND((TblConstr[[#This Row],[Land]]-250 - IF(TblExplore[[#This Row],[Land Bonus]]&lt;&gt;0,20,0))*1.25 + 850 + 0,0)</f>
        <v>675</v>
      </c>
      <c r="AW60" s="94">
        <f ca="1">ROUND((TblConstr[[#This Row],[Land]]-250 - IF(TblExplore[[#This Row],[Land Bonus]]&lt;&gt;0,20,0))*0.285 + 87.5 + 0/4.25,0)</f>
        <v>48</v>
      </c>
      <c r="AX60" s="154"/>
      <c r="AY60" s="188" cm="1">
        <f t="array" aca="1" ref="AY60" ca="1">IF(TblConstr[[#This Row],[Hour]:[Hour]]&gt;12,OFFSET(TblConstr[[#This Row],[Hom]],-12,0),0)+OFFSET(TblConstr[[#This Row],[Tot Hom]],-1,0)-TblConstr[[#This Row],[Dest Hom]]</f>
        <v>0</v>
      </c>
      <c r="AZ60" s="189" cm="1">
        <f t="array" aca="1" ref="AZ60" ca="1">IF(TblConstr[[#This Row],[Hour]:[Hour]]&gt;12,OFFSET(TblConstr[[#This Row],[Alc]],-12,0),0)+OFFSET(TblConstr[[#This Row],[Tot Alc]],-1,0)-TblConstr[[#This Row],[Dest Alc]]</f>
        <v>0</v>
      </c>
      <c r="BA60" s="189" cm="1">
        <f t="array" aca="1" ref="BA60" ca="1">IF(TblConstr[[#This Row],[Hour]:[Hour]]&gt;12,OFFSET(TblConstr[[#This Row],[Far]],-12,0),0)+OFFSET(TblConstr[[#This Row],[Tot Farm]],-1,0)-TblConstr[[#This Row],[Dest Farm]]</f>
        <v>30</v>
      </c>
      <c r="BB60" s="189" cm="1">
        <f t="array" aca="1" ref="BB60" ca="1">IF(TblConstr[[#This Row],[Hour]:[Hour]]&gt;12,OFFSET(TblConstr[[#This Row],[Smi]],-12,0),0)+OFFSET(TblConstr[[#This Row],[Tot Smi]],-1,0)-TblConstr[[#This Row],[Dest Smi]]</f>
        <v>0</v>
      </c>
      <c r="BC60" s="189" cm="1">
        <f t="array" aca="1" ref="BC60" ca="1">IF(TblConstr[[#This Row],[Hour]:[Hour]]&gt;12,OFFSET(TblConstr[[#This Row],[Mas]],-12,0),0)+OFFSET(TblConstr[[#This Row],[Tot Mas]],-1,0)-TblConstr[[#This Row],[Dest Mas]]</f>
        <v>0</v>
      </c>
      <c r="BD60" s="190" cm="1">
        <f t="array" aca="1" ref="BD60" ca="1">IF(TblConstr[[#This Row],[Hour]:[Hour]]&gt;12,OFFSET(TblConstr[[#This Row],[Ly]],-12,0),0)+OFFSET(TblConstr[[#This Row],[Tot Ly]],-1,0)-TblConstr[[#This Row],[Dest Ly]]</f>
        <v>20</v>
      </c>
      <c r="BE60" s="190" cm="1">
        <f t="array" aca="1" ref="BE60" ca="1">IF(TblConstr[[#This Row],[Hour]:[Hour]]&gt;12,OFFSET(TblConstr[[#This Row],[Hav]],-12,0),0)+OFFSET(TblConstr[[#This Row],[Tot Hav]],-1,0)-TblConstr[[#This Row],[Dest Hav]]</f>
        <v>0</v>
      </c>
      <c r="BF60" s="361" cm="1">
        <f t="array" aca="1" ref="BF60" ca="1">IF(TblConstr[[#This Row],[Hour]:[Hour]]&gt;12,OFFSET(TblConstr[[#This Row],[OM]],-12,0),0)+OFFSET(TblConstr[[#This Row],[Tot OM]],-1,0)-TblConstr[[#This Row],[Dest OM]]</f>
        <v>0</v>
      </c>
      <c r="BG60" s="361" cm="1">
        <f t="array" aca="1" ref="BG60" ca="1">IF(TblConstr[[#This Row],[Hour]:[Hour]]&gt;12,OFFSET(TblConstr[[#This Row],[GN]],-12,0),0)+OFFSET(TblConstr[[#This Row],[Tot GN]],-1,0)-TblConstr[[#This Row],[Dest GN]]</f>
        <v>0</v>
      </c>
      <c r="BH60" s="365" cm="1">
        <f t="array" aca="1" ref="BH60" ca="1">IF(TblConstr[[#This Row],[Hour]:[Hour]]&gt;12,OFFSET(TblConstr[[#This Row],[Fac]],-12,0),0)+OFFSET(TblConstr[[#This Row],[Tot Fac]],-1,0)-TblConstr[[#This Row],[Dest Fac]]</f>
        <v>0</v>
      </c>
      <c r="BI60" s="365" cm="1">
        <f t="array" aca="1" ref="BI60" ca="1">IF(TblConstr[[#This Row],[Hour]:[Hour]]&gt;12,OFFSET(TblConstr[[#This Row],[GT]],-12,0),0)+OFFSET(TblConstr[[#This Row],[Tot GT]],-1,0)-TblConstr[[#This Row],[Dest GT]]</f>
        <v>0</v>
      </c>
      <c r="BJ60" s="365" cm="1">
        <f t="array" aca="1" ref="BJ60" ca="1">IF(TblConstr[[#This Row],[Hour]:[Hour]]&gt;12,OFFSET(TblConstr[[#This Row],[Bar]],-12,0),0)+OFFSET(TblConstr[[#This Row],[Tot Bar]],-1,0)-TblConstr[[#This Row],[Dest Bar]]</f>
        <v>0</v>
      </c>
      <c r="BK60" s="365" cm="1">
        <f t="array" aca="1" ref="BK60" ca="1">IF(TblConstr[[#This Row],[Hour]:[Hour]]&gt;12,OFFSET(TblConstr[[#This Row],[Shr]],-12,0),0)+OFFSET(TblConstr[[#This Row],[Tot Shr]],-1,0)-TblConstr[[#This Row],[Dest Shr]]</f>
        <v>0</v>
      </c>
      <c r="BL60" s="369" cm="1">
        <f t="array" aca="1" ref="BL60" ca="1">IF(TblConstr[[#This Row],[Hour]:[Hour]]&gt;12,OFFSET(TblConstr[[#This Row],[Tow]],-12,0),0)+OFFSET(TblConstr[[#This Row],[Tot Tow]],-1,0)-TblConstr[[#This Row],[Dest Tow]]</f>
        <v>0</v>
      </c>
      <c r="BM60" s="369" cm="1">
        <f t="array" aca="1" ref="BM60" ca="1">IF(TblConstr[[#This Row],[Hour]:[Hour]]&gt;12,OFFSET(TblConstr[[#This Row],[Tem]],-12,0),0)+OFFSET(TblConstr[[#This Row],[Tot Tem]],-1,0)-TblConstr[[#This Row],[Dest Tem]]</f>
        <v>0</v>
      </c>
      <c r="BN60" s="369" cm="1">
        <f t="array" aca="1" ref="BN60" ca="1">IF(TblConstr[[#This Row],[Hour]:[Hour]]&gt;12,OFFSET(TblConstr[[#This Row],[WG]],-12,0),0)+OFFSET(TblConstr[[#This Row],[Tot WG]],-1,0)-TblConstr[[#This Row],[Dest WG]]</f>
        <v>0</v>
      </c>
      <c r="BO60" s="191" cm="1">
        <f t="array" aca="1" ref="BO60" ca="1">IF(TblConstr[[#This Row],[Hour]:[Hour]]&gt;12,OFFSET(TblConstr[[#This Row],[DM]],-12,0),0)+OFFSET(TblConstr[[#This Row],[Tot DM]],-1,0)-TblConstr[[#This Row],[Dest DM]]</f>
        <v>0</v>
      </c>
      <c r="BP60" s="191" cm="1">
        <f t="array" aca="1" ref="BP60" ca="1">IF(TblConstr[[#This Row],[Hour]:[Hour]]&gt;12,OFFSET(TblConstr[[#This Row],[Sch]],-12,0),0)+OFFSET(TblConstr[[#This Row],[Tot Sch]],-1,0)-TblConstr[[#This Row],[Dest Sch]]</f>
        <v>0</v>
      </c>
      <c r="BQ60" s="192" cm="1">
        <f t="array" aca="1" ref="BQ60" ca="1">IF(TblConstr[[#This Row],[Hour]:[Hour]]&gt;12,OFFSET(TblConstr[[#This Row],[Doc]],-12,0),0)+OFFSET(TblConstr[[#This Row],[Tot Doc]],-1,0)-TblConstr[[#This Row],[Dest Doc]]</f>
        <v>0</v>
      </c>
      <c r="BR60" s="142"/>
      <c r="BS60" s="154"/>
      <c r="BT60" s="94">
        <f ca="1">TblConstr[[#This Row],[Land]]</f>
        <v>110</v>
      </c>
      <c r="BU60" s="159">
        <f ca="1">TblImps[[#This Row],[Time]]</f>
        <v>46049.333333333198</v>
      </c>
      <c r="BV60" s="142"/>
      <c r="BW60" s="179"/>
      <c r="BX60" s="179"/>
      <c r="BY60" s="179"/>
      <c r="BZ60" s="179"/>
      <c r="CA60" s="179"/>
      <c r="CB60" s="179"/>
      <c r="CC60" s="179"/>
      <c r="CD60" s="179"/>
      <c r="CE60" s="179"/>
      <c r="CF60" s="179"/>
      <c r="CG60" s="179"/>
      <c r="CH60" s="179"/>
      <c r="CI60" s="179"/>
      <c r="CJ60" s="179"/>
      <c r="CK60" s="179"/>
      <c r="CL60" s="179"/>
      <c r="CM60" s="179"/>
      <c r="CN60" s="179"/>
      <c r="CO60" s="179"/>
      <c r="CP60" s="142"/>
      <c r="CQ60" s="181">
        <f ca="1">-SUM(TblConstr[[#This Row],[Alc]:[Mas]])+SUM(TblConstr[[#This Row],[Dest Alc]:[Dest Mas]])+Rezone!L60+IF("Ch_"&amp; home_land=TblConstr[[#Headers],[Ch_Plain]],TblConstr[[#This Row],[Home Land]])+IF(TblConstr[[#This Row],[Hour]:[Hour]]&gt;12,OFFSET(TblExplore[[#This Row],[Plains Explore]],-12,0),0)</f>
        <v>0</v>
      </c>
      <c r="CR60" s="182">
        <f ca="1">-SUM(TblConstr[[#This Row],[Ly]:[Hav]])+SUM(TblConstr[[#This Row],[Dest Ly]:[Dest Hav]]) +Rezone!M60 + IF("Ch_"&amp; home_land=TblConstr[[#Headers],[Ch_Forest]],TblConstr[[#This Row],[Home Land]])+IF(TblConstr[[#This Row],[Hour]:[Hour]]&gt;12,OFFSET(TblExplore[[#This Row],[Forest Explore]],-12,0),0)</f>
        <v>0</v>
      </c>
      <c r="CS60" s="359">
        <f ca="1">-SUM(TblConstr[[#This Row],[OM]:[GN]])+SUM(TblConstr[[#This Row],[Dest OM]:[Dest GN]]) +Rezone!N60 + IF("Ch_"&amp; home_land=TblConstr[[#Headers],[Ch_Mountain]],TblConstr[[#This Row],[Home Land]])+IF(TblConstr[[#This Row],[Hour]:[Hour]]&gt;12,OFFSET(TblExplore[[#This Row],[Mountain Explore]],-12,0),0)</f>
        <v>0</v>
      </c>
      <c r="CT60" s="183">
        <f ca="1">-SUM(TblConstr[[#This Row],[Fac]:[Shr]])+SUM(TblConstr[[#This Row],[Dest Fac]:[Dest Shr]]) +Rezone!O60 + IF("Ch_" &amp; home_land=TblConstr[[#Headers],[Ch_Hill]],TblConstr[[#This Row],[Home Land]])+IF(TblConstr[[#This Row],[Hour]:[Hour]]&gt;12,OFFSET(TblExplore[[#This Row],[Hill Explore]],-12,0),0)</f>
        <v>0</v>
      </c>
      <c r="CU60" s="184">
        <f ca="1">-SUM(TblConstr[[#This Row],[Tow]:[WG]])+SUM(TblConstr[[#This Row],[Dest Tow]:[Dest WG]]) +Rezone!P60 + IF("Ch_" &amp; home_land=TblConstr[[#Headers],[Ch_Swamp]],TblConstr[[#This Row],[Home Land]])+IF(TblConstr[[#This Row],[Hour]:[Hour]]&gt;12,OFFSET(TblExplore[[#This Row],[Swamp Explore]],-12,0),0)</f>
        <v>0</v>
      </c>
      <c r="CV60" s="185">
        <f ca="1" xml:space="preserve"> - SUM(TblConstr[[#This Row],[DM]:[Sch]])+SUM(TblConstr[[#This Row],[Dest DM]:[Dest Sch]]) +Rezone!Q60 + IF("Ch_" &amp; home_land=TblConstr[[#Headers],[Ch_Cavern]],TblConstr[[#This Row],[Home Land]])+IF(TblConstr[[#This Row],[Hour]:[Hour]]&gt;12,OFFSET(TblExplore[[#This Row],[Cavern Explore]],-12,0),0)</f>
        <v>0</v>
      </c>
      <c r="CW60" s="186">
        <f ca="1">-TblConstr[[#This Row],[Doc]]+TblConstr[[#This Row],[Dest Doc]] +Rezone!R60 + IF("Ch_" &amp; home_land=TblConstr[[#Headers],[Ch_Water]],TblConstr[[#This Row],[Home Land]])+IF(TblConstr[[#This Row],[Hour]:[Hour]]&gt;12,OFFSET(TblExplore[[#This Row],[Water Explore]],-12,0),0)</f>
        <v>0</v>
      </c>
      <c r="CX60" s="45">
        <f>IF(Explore!S60=1,20) - TblConstr[[#This Row],[Hom]] + TblConstr[[#This Row],[Dest Hom]]</f>
        <v>0</v>
      </c>
      <c r="CY60" s="142"/>
      <c r="CZ60" s="94">
        <f t="shared" ca="1" si="12"/>
        <v>90</v>
      </c>
      <c r="DA60" s="94">
        <f t="shared" ca="1" si="13"/>
        <v>20</v>
      </c>
      <c r="DB60" s="45">
        <f t="shared" ca="1" si="14"/>
        <v>0</v>
      </c>
      <c r="DC60" s="94">
        <f t="shared" ca="1" si="15"/>
        <v>0</v>
      </c>
      <c r="DD60" s="94">
        <f t="shared" ca="1" si="16"/>
        <v>0</v>
      </c>
      <c r="DE60" s="45">
        <f t="shared" ca="1" si="17"/>
        <v>0</v>
      </c>
      <c r="DF60" s="94">
        <f t="shared" ca="1" si="18"/>
        <v>0</v>
      </c>
      <c r="DG60" s="94" cm="1">
        <f t="array" aca="1" ref="DG60" ca="1">INDEX(TblConstr[[Total Plain]:[Total Water]],ROW()-ROW(TblConstr[#Headers]),MATCH("Total "&amp;home_land,TblConstr[[#Headers],[Total Plain]:[Total Water]],0))+TblConstr[[#This Row],[Homes]]</f>
        <v>90</v>
      </c>
      <c r="DH60" s="45">
        <f t="shared" ca="1" si="10"/>
        <v>0</v>
      </c>
      <c r="DI60" s="45">
        <f t="shared" ca="1" si="0"/>
        <v>0</v>
      </c>
      <c r="DJ60" s="45">
        <f t="shared" ca="1" si="1"/>
        <v>0</v>
      </c>
    </row>
    <row r="61" spans="1:114" x14ac:dyDescent="0.2">
      <c r="A61" s="175">
        <f>TblRezone[[#This Row],[Hour]]</f>
        <v>58</v>
      </c>
      <c r="B61" s="176">
        <f ca="1">SUM(TblConstr[[#This Row],[Plain]:[Water]])</f>
        <v>60</v>
      </c>
      <c r="C61" s="177">
        <f ca="1">SUM(TblConstr[[#This Row],[Tot Hom]:[Tot Doc]])</f>
        <v>50</v>
      </c>
      <c r="D61" s="177">
        <f t="shared" si="11"/>
        <v>0</v>
      </c>
      <c r="E61" s="178"/>
      <c r="F61" s="61">
        <f ca="1">TblConstr[[#This Row],[Barren]]+TblConstr[[#This Row],[Buildings]]+TblConstr[[#This Row],[Incoming]]</f>
        <v>110</v>
      </c>
      <c r="G61" s="187">
        <f ca="1">OFFSET(TblConstr[[#This Row],[Plain]],-1,0)+TblConstr[[#This Row],[Ch_Plain]]</f>
        <v>60</v>
      </c>
      <c r="H61" s="182">
        <f ca="1">OFFSET(TblConstr[[#This Row],[Forest]],-1,0)+TblConstr[[#This Row],[Ch_Forest]]</f>
        <v>0</v>
      </c>
      <c r="I61" s="359">
        <f ca="1">OFFSET(TblConstr[[#This Row],[Mountain]],-1,0)+TblConstr[[#This Row],[Ch_Mountain]]</f>
        <v>0</v>
      </c>
      <c r="J61" s="363">
        <f ca="1">OFFSET(TblConstr[[#This Row],[Hill]],-1,0)+TblConstr[[#This Row],[Ch_Hill]]</f>
        <v>0</v>
      </c>
      <c r="K61" s="367">
        <f ca="1">OFFSET(TblConstr[[#This Row],[Swamp]],-1,0)+TblConstr[[#This Row],[Ch_Swamp]]</f>
        <v>0</v>
      </c>
      <c r="L61" s="185">
        <f ca="1">OFFSET(TblConstr[[#This Row],[Cavern]],-1,0)+TblConstr[[#This Row],[Ch_Cavern]]</f>
        <v>0</v>
      </c>
      <c r="M61" s="186">
        <f ca="1">OFFSET(TblConstr[[#This Row],[Water]],-1,0)+TblConstr[[#This Row],[Ch_Water]]</f>
        <v>0</v>
      </c>
      <c r="N61" s="357">
        <f>TblRezone[[#This Row],[Hour]]</f>
        <v>58</v>
      </c>
      <c r="O61" s="179"/>
      <c r="P61" s="179"/>
      <c r="Q61" s="179"/>
      <c r="R61" s="179"/>
      <c r="S61" s="179"/>
      <c r="T61" s="179"/>
      <c r="U61" s="179"/>
      <c r="V61" s="179"/>
      <c r="W61" s="179"/>
      <c r="X61" s="179"/>
      <c r="Y61" s="179"/>
      <c r="Z61" s="179"/>
      <c r="AA61" s="179"/>
      <c r="AB61" s="179"/>
      <c r="AC61" s="179"/>
      <c r="AD61" s="179"/>
      <c r="AE61" s="179"/>
      <c r="AF61" s="179"/>
      <c r="AG61" s="179"/>
      <c r="AH61" s="53">
        <f ca="1">TblImps[[#This Row],[Time]]</f>
        <v>46049.374999999862</v>
      </c>
      <c r="AI61" s="180">
        <f ca="1">MIN(25%,(TblConstr[[#This Row],[Tot Fac]]+TblConstr[[#This Row],[Dest Fac]])/(TblConstr[[#This Row],[Land]]-TblExplore[[#This Row],[Land Bonus]]*20))</f>
        <v>0</v>
      </c>
      <c r="AJ61" s="180">
        <f ca="1">MIN(25%,(TblConstr[[#This Row],[Tot Fac]]+TblConstr[[#This Row],[Dest Fac]])/TblConstr[[#This Row],[Land]])</f>
        <v>0</v>
      </c>
      <c r="AK61" s="94">
        <f ca="1">TblProd[[#This Row],[Platinum]]</f>
        <v>147264</v>
      </c>
      <c r="AL61" s="94">
        <f ca="1">TblProd[[#This Row],[Lumber]]</f>
        <v>52066</v>
      </c>
      <c r="AM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1" s="94">
        <f ca="1">ROUNDDOWN( MAX(1 - MIN(facs_constr_factor*TblConstr[[#This Row],[Facs -DB]],facs_constr_max) + tech_1_11*TblTech[[#This Row],[11-1]] + tech_6_3_2*TblTech[[#This Row],[6-3]] + tech_5_2_3*TblTech[[#This Row],[5-2]], 1-global_constr_cap) * TblConstr[[#This Row],[RCPA Lumber]],0)</f>
        <v>48</v>
      </c>
      <c r="AO6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1" s="94">
        <f ca="1">ROUNDDOWN( MAX(1 - MIN(facs_constr_factor*TblConstr[[#This Row],[Facs DB]],facs_constr_max) + tech_1_11*TblTech[[#This Row],[1-11]] + tech_6_3_2*TblTech[[#This Row],[6-3]] + tech_5_2_3*TblTech[[#This Row],[5-2]], 1-global_constr_cap) * ROUND((TblConstr[[#This Row],[Land]]-250)*0.285 + 87.5 + 0/4.25,0),0)</f>
        <v>48</v>
      </c>
      <c r="AQ61" s="45">
        <f ca="1">TblConstr[[#This Row],[build -db]]*TblConstr[[#This Row],[CPA Platinum -DB]] + TblConstr[[#This Row],[build db]]*TblConstr[[#This Row],[CPA Platinum DB]]</f>
        <v>0</v>
      </c>
      <c r="AR61" s="45">
        <f ca="1">TblConstr[[#This Row],[build -db]]*TblConstr[[#This Row],[CPA Lumber -DB]] + TblConstr[[#This Row],[build db]]*TblConstr[[#This Row],[CPA Lumber DB]]</f>
        <v>0</v>
      </c>
      <c r="AS61" s="94">
        <f ca="1">MIN(SUM(OFFSET(TblConstr[[#This Row],[Plain]:[Water]],-1,0))+SUM(TblConstr[[#This Row],[Dest Hom]:[Dest Doc]])+IF(TblConstr[[#This Row],[Hour]]&gt;12,SUM(OFFSET(TblExplore[[#This Row],[Plains Explore]:[Water Explore]],-12,0)),0),SUM(TblConstr[[#This Row],[Hom]:[Doc]]))</f>
        <v>0</v>
      </c>
      <c r="AT6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1" s="142"/>
      <c r="AV61" s="94">
        <f ca="1">ROUND((TblConstr[[#This Row],[Land]]-250 - IF(TblExplore[[#This Row],[Land Bonus]]&lt;&gt;0,20,0))*1.25 + 850 + 0,0)</f>
        <v>675</v>
      </c>
      <c r="AW61" s="94">
        <f ca="1">ROUND((TblConstr[[#This Row],[Land]]-250 - IF(TblExplore[[#This Row],[Land Bonus]]&lt;&gt;0,20,0))*0.285 + 87.5 + 0/4.25,0)</f>
        <v>48</v>
      </c>
      <c r="AX61" s="154"/>
      <c r="AY61" s="188" cm="1">
        <f t="array" aca="1" ref="AY61" ca="1">IF(TblConstr[[#This Row],[Hour]:[Hour]]&gt;12,OFFSET(TblConstr[[#This Row],[Hom]],-12,0),0)+OFFSET(TblConstr[[#This Row],[Tot Hom]],-1,0)-TblConstr[[#This Row],[Dest Hom]]</f>
        <v>0</v>
      </c>
      <c r="AZ61" s="189" cm="1">
        <f t="array" aca="1" ref="AZ61" ca="1">IF(TblConstr[[#This Row],[Hour]:[Hour]]&gt;12,OFFSET(TblConstr[[#This Row],[Alc]],-12,0),0)+OFFSET(TblConstr[[#This Row],[Tot Alc]],-1,0)-TblConstr[[#This Row],[Dest Alc]]</f>
        <v>0</v>
      </c>
      <c r="BA61" s="189" cm="1">
        <f t="array" aca="1" ref="BA61" ca="1">IF(TblConstr[[#This Row],[Hour]:[Hour]]&gt;12,OFFSET(TblConstr[[#This Row],[Far]],-12,0),0)+OFFSET(TblConstr[[#This Row],[Tot Farm]],-1,0)-TblConstr[[#This Row],[Dest Farm]]</f>
        <v>30</v>
      </c>
      <c r="BB61" s="189" cm="1">
        <f t="array" aca="1" ref="BB61" ca="1">IF(TblConstr[[#This Row],[Hour]:[Hour]]&gt;12,OFFSET(TblConstr[[#This Row],[Smi]],-12,0),0)+OFFSET(TblConstr[[#This Row],[Tot Smi]],-1,0)-TblConstr[[#This Row],[Dest Smi]]</f>
        <v>0</v>
      </c>
      <c r="BC61" s="189" cm="1">
        <f t="array" aca="1" ref="BC61" ca="1">IF(TblConstr[[#This Row],[Hour]:[Hour]]&gt;12,OFFSET(TblConstr[[#This Row],[Mas]],-12,0),0)+OFFSET(TblConstr[[#This Row],[Tot Mas]],-1,0)-TblConstr[[#This Row],[Dest Mas]]</f>
        <v>0</v>
      </c>
      <c r="BD61" s="190" cm="1">
        <f t="array" aca="1" ref="BD61" ca="1">IF(TblConstr[[#This Row],[Hour]:[Hour]]&gt;12,OFFSET(TblConstr[[#This Row],[Ly]],-12,0),0)+OFFSET(TblConstr[[#This Row],[Tot Ly]],-1,0)-TblConstr[[#This Row],[Dest Ly]]</f>
        <v>20</v>
      </c>
      <c r="BE61" s="190" cm="1">
        <f t="array" aca="1" ref="BE61" ca="1">IF(TblConstr[[#This Row],[Hour]:[Hour]]&gt;12,OFFSET(TblConstr[[#This Row],[Hav]],-12,0),0)+OFFSET(TblConstr[[#This Row],[Tot Hav]],-1,0)-TblConstr[[#This Row],[Dest Hav]]</f>
        <v>0</v>
      </c>
      <c r="BF61" s="361" cm="1">
        <f t="array" aca="1" ref="BF61" ca="1">IF(TblConstr[[#This Row],[Hour]:[Hour]]&gt;12,OFFSET(TblConstr[[#This Row],[OM]],-12,0),0)+OFFSET(TblConstr[[#This Row],[Tot OM]],-1,0)-TblConstr[[#This Row],[Dest OM]]</f>
        <v>0</v>
      </c>
      <c r="BG61" s="361" cm="1">
        <f t="array" aca="1" ref="BG61" ca="1">IF(TblConstr[[#This Row],[Hour]:[Hour]]&gt;12,OFFSET(TblConstr[[#This Row],[GN]],-12,0),0)+OFFSET(TblConstr[[#This Row],[Tot GN]],-1,0)-TblConstr[[#This Row],[Dest GN]]</f>
        <v>0</v>
      </c>
      <c r="BH61" s="365" cm="1">
        <f t="array" aca="1" ref="BH61" ca="1">IF(TblConstr[[#This Row],[Hour]:[Hour]]&gt;12,OFFSET(TblConstr[[#This Row],[Fac]],-12,0),0)+OFFSET(TblConstr[[#This Row],[Tot Fac]],-1,0)-TblConstr[[#This Row],[Dest Fac]]</f>
        <v>0</v>
      </c>
      <c r="BI61" s="365" cm="1">
        <f t="array" aca="1" ref="BI61" ca="1">IF(TblConstr[[#This Row],[Hour]:[Hour]]&gt;12,OFFSET(TblConstr[[#This Row],[GT]],-12,0),0)+OFFSET(TblConstr[[#This Row],[Tot GT]],-1,0)-TblConstr[[#This Row],[Dest GT]]</f>
        <v>0</v>
      </c>
      <c r="BJ61" s="365" cm="1">
        <f t="array" aca="1" ref="BJ61" ca="1">IF(TblConstr[[#This Row],[Hour]:[Hour]]&gt;12,OFFSET(TblConstr[[#This Row],[Bar]],-12,0),0)+OFFSET(TblConstr[[#This Row],[Tot Bar]],-1,0)-TblConstr[[#This Row],[Dest Bar]]</f>
        <v>0</v>
      </c>
      <c r="BK61" s="365" cm="1">
        <f t="array" aca="1" ref="BK61" ca="1">IF(TblConstr[[#This Row],[Hour]:[Hour]]&gt;12,OFFSET(TblConstr[[#This Row],[Shr]],-12,0),0)+OFFSET(TblConstr[[#This Row],[Tot Shr]],-1,0)-TblConstr[[#This Row],[Dest Shr]]</f>
        <v>0</v>
      </c>
      <c r="BL61" s="369" cm="1">
        <f t="array" aca="1" ref="BL61" ca="1">IF(TblConstr[[#This Row],[Hour]:[Hour]]&gt;12,OFFSET(TblConstr[[#This Row],[Tow]],-12,0),0)+OFFSET(TblConstr[[#This Row],[Tot Tow]],-1,0)-TblConstr[[#This Row],[Dest Tow]]</f>
        <v>0</v>
      </c>
      <c r="BM61" s="369" cm="1">
        <f t="array" aca="1" ref="BM61" ca="1">IF(TblConstr[[#This Row],[Hour]:[Hour]]&gt;12,OFFSET(TblConstr[[#This Row],[Tem]],-12,0),0)+OFFSET(TblConstr[[#This Row],[Tot Tem]],-1,0)-TblConstr[[#This Row],[Dest Tem]]</f>
        <v>0</v>
      </c>
      <c r="BN61" s="369" cm="1">
        <f t="array" aca="1" ref="BN61" ca="1">IF(TblConstr[[#This Row],[Hour]:[Hour]]&gt;12,OFFSET(TblConstr[[#This Row],[WG]],-12,0),0)+OFFSET(TblConstr[[#This Row],[Tot WG]],-1,0)-TblConstr[[#This Row],[Dest WG]]</f>
        <v>0</v>
      </c>
      <c r="BO61" s="191" cm="1">
        <f t="array" aca="1" ref="BO61" ca="1">IF(TblConstr[[#This Row],[Hour]:[Hour]]&gt;12,OFFSET(TblConstr[[#This Row],[DM]],-12,0),0)+OFFSET(TblConstr[[#This Row],[Tot DM]],-1,0)-TblConstr[[#This Row],[Dest DM]]</f>
        <v>0</v>
      </c>
      <c r="BP61" s="191" cm="1">
        <f t="array" aca="1" ref="BP61" ca="1">IF(TblConstr[[#This Row],[Hour]:[Hour]]&gt;12,OFFSET(TblConstr[[#This Row],[Sch]],-12,0),0)+OFFSET(TblConstr[[#This Row],[Tot Sch]],-1,0)-TblConstr[[#This Row],[Dest Sch]]</f>
        <v>0</v>
      </c>
      <c r="BQ61" s="192" cm="1">
        <f t="array" aca="1" ref="BQ61" ca="1">IF(TblConstr[[#This Row],[Hour]:[Hour]]&gt;12,OFFSET(TblConstr[[#This Row],[Doc]],-12,0),0)+OFFSET(TblConstr[[#This Row],[Tot Doc]],-1,0)-TblConstr[[#This Row],[Dest Doc]]</f>
        <v>0</v>
      </c>
      <c r="BR61" s="142"/>
      <c r="BS61" s="154"/>
      <c r="BT61" s="94">
        <f ca="1">TblConstr[[#This Row],[Land]]</f>
        <v>110</v>
      </c>
      <c r="BU61" s="159">
        <f ca="1">TblImps[[#This Row],[Time]]</f>
        <v>46049.374999999862</v>
      </c>
      <c r="BV61" s="142"/>
      <c r="BW61" s="179"/>
      <c r="BX61" s="179"/>
      <c r="BY61" s="179"/>
      <c r="BZ61" s="179"/>
      <c r="CA61" s="179"/>
      <c r="CB61" s="179"/>
      <c r="CC61" s="179"/>
      <c r="CD61" s="179"/>
      <c r="CE61" s="179"/>
      <c r="CF61" s="179"/>
      <c r="CG61" s="179"/>
      <c r="CH61" s="179"/>
      <c r="CI61" s="179"/>
      <c r="CJ61" s="179"/>
      <c r="CK61" s="179"/>
      <c r="CL61" s="179"/>
      <c r="CM61" s="179"/>
      <c r="CN61" s="179"/>
      <c r="CO61" s="179"/>
      <c r="CP61" s="142"/>
      <c r="CQ61" s="181">
        <f ca="1">-SUM(TblConstr[[#This Row],[Alc]:[Mas]])+SUM(TblConstr[[#This Row],[Dest Alc]:[Dest Mas]])+Rezone!L61+IF("Ch_"&amp; home_land=TblConstr[[#Headers],[Ch_Plain]],TblConstr[[#This Row],[Home Land]])+IF(TblConstr[[#This Row],[Hour]:[Hour]]&gt;12,OFFSET(TblExplore[[#This Row],[Plains Explore]],-12,0),0)</f>
        <v>0</v>
      </c>
      <c r="CR61" s="182">
        <f ca="1">-SUM(TblConstr[[#This Row],[Ly]:[Hav]])+SUM(TblConstr[[#This Row],[Dest Ly]:[Dest Hav]]) +Rezone!M61 + IF("Ch_"&amp; home_land=TblConstr[[#Headers],[Ch_Forest]],TblConstr[[#This Row],[Home Land]])+IF(TblConstr[[#This Row],[Hour]:[Hour]]&gt;12,OFFSET(TblExplore[[#This Row],[Forest Explore]],-12,0),0)</f>
        <v>0</v>
      </c>
      <c r="CS61" s="359">
        <f ca="1">-SUM(TblConstr[[#This Row],[OM]:[GN]])+SUM(TblConstr[[#This Row],[Dest OM]:[Dest GN]]) +Rezone!N61 + IF("Ch_"&amp; home_land=TblConstr[[#Headers],[Ch_Mountain]],TblConstr[[#This Row],[Home Land]])+IF(TblConstr[[#This Row],[Hour]:[Hour]]&gt;12,OFFSET(TblExplore[[#This Row],[Mountain Explore]],-12,0),0)</f>
        <v>0</v>
      </c>
      <c r="CT61" s="183">
        <f ca="1">-SUM(TblConstr[[#This Row],[Fac]:[Shr]])+SUM(TblConstr[[#This Row],[Dest Fac]:[Dest Shr]]) +Rezone!O61 + IF("Ch_" &amp; home_land=TblConstr[[#Headers],[Ch_Hill]],TblConstr[[#This Row],[Home Land]])+IF(TblConstr[[#This Row],[Hour]:[Hour]]&gt;12,OFFSET(TblExplore[[#This Row],[Hill Explore]],-12,0),0)</f>
        <v>0</v>
      </c>
      <c r="CU61" s="184">
        <f ca="1">-SUM(TblConstr[[#This Row],[Tow]:[WG]])+SUM(TblConstr[[#This Row],[Dest Tow]:[Dest WG]]) +Rezone!P61 + IF("Ch_" &amp; home_land=TblConstr[[#Headers],[Ch_Swamp]],TblConstr[[#This Row],[Home Land]])+IF(TblConstr[[#This Row],[Hour]:[Hour]]&gt;12,OFFSET(TblExplore[[#This Row],[Swamp Explore]],-12,0),0)</f>
        <v>0</v>
      </c>
      <c r="CV61" s="185">
        <f ca="1" xml:space="preserve"> - SUM(TblConstr[[#This Row],[DM]:[Sch]])+SUM(TblConstr[[#This Row],[Dest DM]:[Dest Sch]]) +Rezone!Q61 + IF("Ch_" &amp; home_land=TblConstr[[#Headers],[Ch_Cavern]],TblConstr[[#This Row],[Home Land]])+IF(TblConstr[[#This Row],[Hour]:[Hour]]&gt;12,OFFSET(TblExplore[[#This Row],[Cavern Explore]],-12,0),0)</f>
        <v>0</v>
      </c>
      <c r="CW61" s="186">
        <f ca="1">-TblConstr[[#This Row],[Doc]]+TblConstr[[#This Row],[Dest Doc]] +Rezone!R61 + IF("Ch_" &amp; home_land=TblConstr[[#Headers],[Ch_Water]],TblConstr[[#This Row],[Home Land]])+IF(TblConstr[[#This Row],[Hour]:[Hour]]&gt;12,OFFSET(TblExplore[[#This Row],[Water Explore]],-12,0),0)</f>
        <v>0</v>
      </c>
      <c r="CX61" s="45">
        <f>IF(Explore!S61=1,20) - TblConstr[[#This Row],[Hom]] + TblConstr[[#This Row],[Dest Hom]]</f>
        <v>0</v>
      </c>
      <c r="CY61" s="142"/>
      <c r="CZ61" s="94">
        <f t="shared" ca="1" si="12"/>
        <v>90</v>
      </c>
      <c r="DA61" s="94">
        <f t="shared" ca="1" si="13"/>
        <v>20</v>
      </c>
      <c r="DB61" s="45">
        <f t="shared" ca="1" si="14"/>
        <v>0</v>
      </c>
      <c r="DC61" s="94">
        <f t="shared" ca="1" si="15"/>
        <v>0</v>
      </c>
      <c r="DD61" s="94">
        <f t="shared" ca="1" si="16"/>
        <v>0</v>
      </c>
      <c r="DE61" s="45">
        <f t="shared" ca="1" si="17"/>
        <v>0</v>
      </c>
      <c r="DF61" s="94">
        <f t="shared" ca="1" si="18"/>
        <v>0</v>
      </c>
      <c r="DG61" s="94" cm="1">
        <f t="array" aca="1" ref="DG61" ca="1">INDEX(TblConstr[[Total Plain]:[Total Water]],ROW()-ROW(TblConstr[#Headers]),MATCH("Total "&amp;home_land,TblConstr[[#Headers],[Total Plain]:[Total Water]],0))+TblConstr[[#This Row],[Homes]]</f>
        <v>90</v>
      </c>
      <c r="DH61" s="45">
        <f t="shared" ca="1" si="10"/>
        <v>0</v>
      </c>
      <c r="DI61" s="45">
        <f t="shared" ca="1" si="0"/>
        <v>0</v>
      </c>
      <c r="DJ61" s="45">
        <f t="shared" ca="1" si="1"/>
        <v>0</v>
      </c>
    </row>
    <row r="62" spans="1:114" x14ac:dyDescent="0.2">
      <c r="A62" s="175">
        <f>TblRezone[[#This Row],[Hour]]</f>
        <v>59</v>
      </c>
      <c r="B62" s="176">
        <f ca="1">SUM(TblConstr[[#This Row],[Plain]:[Water]])</f>
        <v>60</v>
      </c>
      <c r="C62" s="177">
        <f ca="1">SUM(TblConstr[[#This Row],[Tot Hom]:[Tot Doc]])</f>
        <v>50</v>
      </c>
      <c r="D62" s="177">
        <f t="shared" si="11"/>
        <v>0</v>
      </c>
      <c r="E62" s="178"/>
      <c r="F62" s="61">
        <f ca="1">TblConstr[[#This Row],[Barren]]+TblConstr[[#This Row],[Buildings]]+TblConstr[[#This Row],[Incoming]]</f>
        <v>110</v>
      </c>
      <c r="G62" s="187">
        <f ca="1">OFFSET(TblConstr[[#This Row],[Plain]],-1,0)+TblConstr[[#This Row],[Ch_Plain]]</f>
        <v>60</v>
      </c>
      <c r="H62" s="182">
        <f ca="1">OFFSET(TblConstr[[#This Row],[Forest]],-1,0)+TblConstr[[#This Row],[Ch_Forest]]</f>
        <v>0</v>
      </c>
      <c r="I62" s="359">
        <f ca="1">OFFSET(TblConstr[[#This Row],[Mountain]],-1,0)+TblConstr[[#This Row],[Ch_Mountain]]</f>
        <v>0</v>
      </c>
      <c r="J62" s="363">
        <f ca="1">OFFSET(TblConstr[[#This Row],[Hill]],-1,0)+TblConstr[[#This Row],[Ch_Hill]]</f>
        <v>0</v>
      </c>
      <c r="K62" s="367">
        <f ca="1">OFFSET(TblConstr[[#This Row],[Swamp]],-1,0)+TblConstr[[#This Row],[Ch_Swamp]]</f>
        <v>0</v>
      </c>
      <c r="L62" s="185">
        <f ca="1">OFFSET(TblConstr[[#This Row],[Cavern]],-1,0)+TblConstr[[#This Row],[Ch_Cavern]]</f>
        <v>0</v>
      </c>
      <c r="M62" s="186">
        <f ca="1">OFFSET(TblConstr[[#This Row],[Water]],-1,0)+TblConstr[[#This Row],[Ch_Water]]</f>
        <v>0</v>
      </c>
      <c r="N62" s="357">
        <f>TblRezone[[#This Row],[Hour]]</f>
        <v>59</v>
      </c>
      <c r="O62" s="179"/>
      <c r="P62" s="179"/>
      <c r="Q62" s="179"/>
      <c r="R62" s="179"/>
      <c r="S62" s="179"/>
      <c r="T62" s="179"/>
      <c r="U62" s="179"/>
      <c r="V62" s="179"/>
      <c r="W62" s="179"/>
      <c r="X62" s="179"/>
      <c r="Y62" s="179"/>
      <c r="Z62" s="179"/>
      <c r="AA62" s="179"/>
      <c r="AB62" s="179"/>
      <c r="AC62" s="179"/>
      <c r="AD62" s="179"/>
      <c r="AE62" s="179"/>
      <c r="AF62" s="179"/>
      <c r="AG62" s="179"/>
      <c r="AH62" s="53">
        <f ca="1">TblImps[[#This Row],[Time]]</f>
        <v>46049.416666666526</v>
      </c>
      <c r="AI62" s="180">
        <f ca="1">MIN(25%,(TblConstr[[#This Row],[Tot Fac]]+TblConstr[[#This Row],[Dest Fac]])/(TblConstr[[#This Row],[Land]]-TblExplore[[#This Row],[Land Bonus]]*20))</f>
        <v>0</v>
      </c>
      <c r="AJ62" s="180">
        <f ca="1">MIN(25%,(TblConstr[[#This Row],[Tot Fac]]+TblConstr[[#This Row],[Dest Fac]])/TblConstr[[#This Row],[Land]])</f>
        <v>0</v>
      </c>
      <c r="AK62" s="94">
        <f ca="1">TblProd[[#This Row],[Platinum]]</f>
        <v>148789</v>
      </c>
      <c r="AL62" s="94">
        <f ca="1">TblProd[[#This Row],[Lumber]]</f>
        <v>52545</v>
      </c>
      <c r="AM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2" s="94">
        <f ca="1">ROUNDDOWN( MAX(1 - MIN(facs_constr_factor*TblConstr[[#This Row],[Facs -DB]],facs_constr_max) + tech_1_11*TblTech[[#This Row],[11-1]] + tech_6_3_2*TblTech[[#This Row],[6-3]] + tech_5_2_3*TblTech[[#This Row],[5-2]], 1-global_constr_cap) * TblConstr[[#This Row],[RCPA Lumber]],0)</f>
        <v>48</v>
      </c>
      <c r="AO6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2" s="94">
        <f ca="1">ROUNDDOWN( MAX(1 - MIN(facs_constr_factor*TblConstr[[#This Row],[Facs DB]],facs_constr_max) + tech_1_11*TblTech[[#This Row],[1-11]] + tech_6_3_2*TblTech[[#This Row],[6-3]] + tech_5_2_3*TblTech[[#This Row],[5-2]], 1-global_constr_cap) * ROUND((TblConstr[[#This Row],[Land]]-250)*0.285 + 87.5 + 0/4.25,0),0)</f>
        <v>48</v>
      </c>
      <c r="AQ62" s="45">
        <f ca="1">TblConstr[[#This Row],[build -db]]*TblConstr[[#This Row],[CPA Platinum -DB]] + TblConstr[[#This Row],[build db]]*TblConstr[[#This Row],[CPA Platinum DB]]</f>
        <v>0</v>
      </c>
      <c r="AR62" s="45">
        <f ca="1">TblConstr[[#This Row],[build -db]]*TblConstr[[#This Row],[CPA Lumber -DB]] + TblConstr[[#This Row],[build db]]*TblConstr[[#This Row],[CPA Lumber DB]]</f>
        <v>0</v>
      </c>
      <c r="AS62" s="94">
        <f ca="1">MIN(SUM(OFFSET(TblConstr[[#This Row],[Plain]:[Water]],-1,0))+SUM(TblConstr[[#This Row],[Dest Hom]:[Dest Doc]])+IF(TblConstr[[#This Row],[Hour]]&gt;12,SUM(OFFSET(TblExplore[[#This Row],[Plains Explore]:[Water Explore]],-12,0)),0),SUM(TblConstr[[#This Row],[Hom]:[Doc]]))</f>
        <v>0</v>
      </c>
      <c r="AT6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2" s="142"/>
      <c r="AV62" s="94">
        <f ca="1">ROUND((TblConstr[[#This Row],[Land]]-250 - IF(TblExplore[[#This Row],[Land Bonus]]&lt;&gt;0,20,0))*1.25 + 850 + 0,0)</f>
        <v>675</v>
      </c>
      <c r="AW62" s="94">
        <f ca="1">ROUND((TblConstr[[#This Row],[Land]]-250 - IF(TblExplore[[#This Row],[Land Bonus]]&lt;&gt;0,20,0))*0.285 + 87.5 + 0/4.25,0)</f>
        <v>48</v>
      </c>
      <c r="AX62" s="154"/>
      <c r="AY62" s="188" cm="1">
        <f t="array" aca="1" ref="AY62" ca="1">IF(TblConstr[[#This Row],[Hour]:[Hour]]&gt;12,OFFSET(TblConstr[[#This Row],[Hom]],-12,0),0)+OFFSET(TblConstr[[#This Row],[Tot Hom]],-1,0)-TblConstr[[#This Row],[Dest Hom]]</f>
        <v>0</v>
      </c>
      <c r="AZ62" s="189" cm="1">
        <f t="array" aca="1" ref="AZ62" ca="1">IF(TblConstr[[#This Row],[Hour]:[Hour]]&gt;12,OFFSET(TblConstr[[#This Row],[Alc]],-12,0),0)+OFFSET(TblConstr[[#This Row],[Tot Alc]],-1,0)-TblConstr[[#This Row],[Dest Alc]]</f>
        <v>0</v>
      </c>
      <c r="BA62" s="189" cm="1">
        <f t="array" aca="1" ref="BA62" ca="1">IF(TblConstr[[#This Row],[Hour]:[Hour]]&gt;12,OFFSET(TblConstr[[#This Row],[Far]],-12,0),0)+OFFSET(TblConstr[[#This Row],[Tot Farm]],-1,0)-TblConstr[[#This Row],[Dest Farm]]</f>
        <v>30</v>
      </c>
      <c r="BB62" s="189" cm="1">
        <f t="array" aca="1" ref="BB62" ca="1">IF(TblConstr[[#This Row],[Hour]:[Hour]]&gt;12,OFFSET(TblConstr[[#This Row],[Smi]],-12,0),0)+OFFSET(TblConstr[[#This Row],[Tot Smi]],-1,0)-TblConstr[[#This Row],[Dest Smi]]</f>
        <v>0</v>
      </c>
      <c r="BC62" s="189" cm="1">
        <f t="array" aca="1" ref="BC62" ca="1">IF(TblConstr[[#This Row],[Hour]:[Hour]]&gt;12,OFFSET(TblConstr[[#This Row],[Mas]],-12,0),0)+OFFSET(TblConstr[[#This Row],[Tot Mas]],-1,0)-TblConstr[[#This Row],[Dest Mas]]</f>
        <v>0</v>
      </c>
      <c r="BD62" s="190" cm="1">
        <f t="array" aca="1" ref="BD62" ca="1">IF(TblConstr[[#This Row],[Hour]:[Hour]]&gt;12,OFFSET(TblConstr[[#This Row],[Ly]],-12,0),0)+OFFSET(TblConstr[[#This Row],[Tot Ly]],-1,0)-TblConstr[[#This Row],[Dest Ly]]</f>
        <v>20</v>
      </c>
      <c r="BE62" s="190" cm="1">
        <f t="array" aca="1" ref="BE62" ca="1">IF(TblConstr[[#This Row],[Hour]:[Hour]]&gt;12,OFFSET(TblConstr[[#This Row],[Hav]],-12,0),0)+OFFSET(TblConstr[[#This Row],[Tot Hav]],-1,0)-TblConstr[[#This Row],[Dest Hav]]</f>
        <v>0</v>
      </c>
      <c r="BF62" s="361" cm="1">
        <f t="array" aca="1" ref="BF62" ca="1">IF(TblConstr[[#This Row],[Hour]:[Hour]]&gt;12,OFFSET(TblConstr[[#This Row],[OM]],-12,0),0)+OFFSET(TblConstr[[#This Row],[Tot OM]],-1,0)-TblConstr[[#This Row],[Dest OM]]</f>
        <v>0</v>
      </c>
      <c r="BG62" s="361" cm="1">
        <f t="array" aca="1" ref="BG62" ca="1">IF(TblConstr[[#This Row],[Hour]:[Hour]]&gt;12,OFFSET(TblConstr[[#This Row],[GN]],-12,0),0)+OFFSET(TblConstr[[#This Row],[Tot GN]],-1,0)-TblConstr[[#This Row],[Dest GN]]</f>
        <v>0</v>
      </c>
      <c r="BH62" s="365" cm="1">
        <f t="array" aca="1" ref="BH62" ca="1">IF(TblConstr[[#This Row],[Hour]:[Hour]]&gt;12,OFFSET(TblConstr[[#This Row],[Fac]],-12,0),0)+OFFSET(TblConstr[[#This Row],[Tot Fac]],-1,0)-TblConstr[[#This Row],[Dest Fac]]</f>
        <v>0</v>
      </c>
      <c r="BI62" s="365" cm="1">
        <f t="array" aca="1" ref="BI62" ca="1">IF(TblConstr[[#This Row],[Hour]:[Hour]]&gt;12,OFFSET(TblConstr[[#This Row],[GT]],-12,0),0)+OFFSET(TblConstr[[#This Row],[Tot GT]],-1,0)-TblConstr[[#This Row],[Dest GT]]</f>
        <v>0</v>
      </c>
      <c r="BJ62" s="365" cm="1">
        <f t="array" aca="1" ref="BJ62" ca="1">IF(TblConstr[[#This Row],[Hour]:[Hour]]&gt;12,OFFSET(TblConstr[[#This Row],[Bar]],-12,0),0)+OFFSET(TblConstr[[#This Row],[Tot Bar]],-1,0)-TblConstr[[#This Row],[Dest Bar]]</f>
        <v>0</v>
      </c>
      <c r="BK62" s="365" cm="1">
        <f t="array" aca="1" ref="BK62" ca="1">IF(TblConstr[[#This Row],[Hour]:[Hour]]&gt;12,OFFSET(TblConstr[[#This Row],[Shr]],-12,0),0)+OFFSET(TblConstr[[#This Row],[Tot Shr]],-1,0)-TblConstr[[#This Row],[Dest Shr]]</f>
        <v>0</v>
      </c>
      <c r="BL62" s="369" cm="1">
        <f t="array" aca="1" ref="BL62" ca="1">IF(TblConstr[[#This Row],[Hour]:[Hour]]&gt;12,OFFSET(TblConstr[[#This Row],[Tow]],-12,0),0)+OFFSET(TblConstr[[#This Row],[Tot Tow]],-1,0)-TblConstr[[#This Row],[Dest Tow]]</f>
        <v>0</v>
      </c>
      <c r="BM62" s="369" cm="1">
        <f t="array" aca="1" ref="BM62" ca="1">IF(TblConstr[[#This Row],[Hour]:[Hour]]&gt;12,OFFSET(TblConstr[[#This Row],[Tem]],-12,0),0)+OFFSET(TblConstr[[#This Row],[Tot Tem]],-1,0)-TblConstr[[#This Row],[Dest Tem]]</f>
        <v>0</v>
      </c>
      <c r="BN62" s="369" cm="1">
        <f t="array" aca="1" ref="BN62" ca="1">IF(TblConstr[[#This Row],[Hour]:[Hour]]&gt;12,OFFSET(TblConstr[[#This Row],[WG]],-12,0),0)+OFFSET(TblConstr[[#This Row],[Tot WG]],-1,0)-TblConstr[[#This Row],[Dest WG]]</f>
        <v>0</v>
      </c>
      <c r="BO62" s="191" cm="1">
        <f t="array" aca="1" ref="BO62" ca="1">IF(TblConstr[[#This Row],[Hour]:[Hour]]&gt;12,OFFSET(TblConstr[[#This Row],[DM]],-12,0),0)+OFFSET(TblConstr[[#This Row],[Tot DM]],-1,0)-TblConstr[[#This Row],[Dest DM]]</f>
        <v>0</v>
      </c>
      <c r="BP62" s="191" cm="1">
        <f t="array" aca="1" ref="BP62" ca="1">IF(TblConstr[[#This Row],[Hour]:[Hour]]&gt;12,OFFSET(TblConstr[[#This Row],[Sch]],-12,0),0)+OFFSET(TblConstr[[#This Row],[Tot Sch]],-1,0)-TblConstr[[#This Row],[Dest Sch]]</f>
        <v>0</v>
      </c>
      <c r="BQ62" s="192" cm="1">
        <f t="array" aca="1" ref="BQ62" ca="1">IF(TblConstr[[#This Row],[Hour]:[Hour]]&gt;12,OFFSET(TblConstr[[#This Row],[Doc]],-12,0),0)+OFFSET(TblConstr[[#This Row],[Tot Doc]],-1,0)-TblConstr[[#This Row],[Dest Doc]]</f>
        <v>0</v>
      </c>
      <c r="BR62" s="142"/>
      <c r="BS62" s="154"/>
      <c r="BT62" s="94">
        <f ca="1">TblConstr[[#This Row],[Land]]</f>
        <v>110</v>
      </c>
      <c r="BU62" s="159">
        <f ca="1">TblImps[[#This Row],[Time]]</f>
        <v>46049.416666666526</v>
      </c>
      <c r="BV62" s="142"/>
      <c r="BW62" s="179"/>
      <c r="BX62" s="179"/>
      <c r="BY62" s="179"/>
      <c r="BZ62" s="179"/>
      <c r="CA62" s="179"/>
      <c r="CB62" s="179"/>
      <c r="CC62" s="179"/>
      <c r="CD62" s="179"/>
      <c r="CE62" s="179"/>
      <c r="CF62" s="179"/>
      <c r="CG62" s="179"/>
      <c r="CH62" s="179"/>
      <c r="CI62" s="179"/>
      <c r="CJ62" s="179"/>
      <c r="CK62" s="179"/>
      <c r="CL62" s="179"/>
      <c r="CM62" s="179"/>
      <c r="CN62" s="179"/>
      <c r="CO62" s="179"/>
      <c r="CP62" s="142"/>
      <c r="CQ62" s="181">
        <f ca="1">-SUM(TblConstr[[#This Row],[Alc]:[Mas]])+SUM(TblConstr[[#This Row],[Dest Alc]:[Dest Mas]])+Rezone!L62+IF("Ch_"&amp; home_land=TblConstr[[#Headers],[Ch_Plain]],TblConstr[[#This Row],[Home Land]])+IF(TblConstr[[#This Row],[Hour]:[Hour]]&gt;12,OFFSET(TblExplore[[#This Row],[Plains Explore]],-12,0),0)</f>
        <v>0</v>
      </c>
      <c r="CR62" s="182">
        <f ca="1">-SUM(TblConstr[[#This Row],[Ly]:[Hav]])+SUM(TblConstr[[#This Row],[Dest Ly]:[Dest Hav]]) +Rezone!M62 + IF("Ch_"&amp; home_land=TblConstr[[#Headers],[Ch_Forest]],TblConstr[[#This Row],[Home Land]])+IF(TblConstr[[#This Row],[Hour]:[Hour]]&gt;12,OFFSET(TblExplore[[#This Row],[Forest Explore]],-12,0),0)</f>
        <v>0</v>
      </c>
      <c r="CS62" s="359">
        <f ca="1">-SUM(TblConstr[[#This Row],[OM]:[GN]])+SUM(TblConstr[[#This Row],[Dest OM]:[Dest GN]]) +Rezone!N62 + IF("Ch_"&amp; home_land=TblConstr[[#Headers],[Ch_Mountain]],TblConstr[[#This Row],[Home Land]])+IF(TblConstr[[#This Row],[Hour]:[Hour]]&gt;12,OFFSET(TblExplore[[#This Row],[Mountain Explore]],-12,0),0)</f>
        <v>0</v>
      </c>
      <c r="CT62" s="183">
        <f ca="1">-SUM(TblConstr[[#This Row],[Fac]:[Shr]])+SUM(TblConstr[[#This Row],[Dest Fac]:[Dest Shr]]) +Rezone!O62 + IF("Ch_" &amp; home_land=TblConstr[[#Headers],[Ch_Hill]],TblConstr[[#This Row],[Home Land]])+IF(TblConstr[[#This Row],[Hour]:[Hour]]&gt;12,OFFSET(TblExplore[[#This Row],[Hill Explore]],-12,0),0)</f>
        <v>0</v>
      </c>
      <c r="CU62" s="184">
        <f ca="1">-SUM(TblConstr[[#This Row],[Tow]:[WG]])+SUM(TblConstr[[#This Row],[Dest Tow]:[Dest WG]]) +Rezone!P62 + IF("Ch_" &amp; home_land=TblConstr[[#Headers],[Ch_Swamp]],TblConstr[[#This Row],[Home Land]])+IF(TblConstr[[#This Row],[Hour]:[Hour]]&gt;12,OFFSET(TblExplore[[#This Row],[Swamp Explore]],-12,0),0)</f>
        <v>0</v>
      </c>
      <c r="CV62" s="185">
        <f ca="1" xml:space="preserve"> - SUM(TblConstr[[#This Row],[DM]:[Sch]])+SUM(TblConstr[[#This Row],[Dest DM]:[Dest Sch]]) +Rezone!Q62 + IF("Ch_" &amp; home_land=TblConstr[[#Headers],[Ch_Cavern]],TblConstr[[#This Row],[Home Land]])+IF(TblConstr[[#This Row],[Hour]:[Hour]]&gt;12,OFFSET(TblExplore[[#This Row],[Cavern Explore]],-12,0),0)</f>
        <v>0</v>
      </c>
      <c r="CW62" s="186">
        <f ca="1">-TblConstr[[#This Row],[Doc]]+TblConstr[[#This Row],[Dest Doc]] +Rezone!R62 + IF("Ch_" &amp; home_land=TblConstr[[#Headers],[Ch_Water]],TblConstr[[#This Row],[Home Land]])+IF(TblConstr[[#This Row],[Hour]:[Hour]]&gt;12,OFFSET(TblExplore[[#This Row],[Water Explore]],-12,0),0)</f>
        <v>0</v>
      </c>
      <c r="CX62" s="45">
        <f>IF(Explore!S62=1,20) - TblConstr[[#This Row],[Hom]] + TblConstr[[#This Row],[Dest Hom]]</f>
        <v>0</v>
      </c>
      <c r="CY62" s="142"/>
      <c r="CZ62" s="94">
        <f t="shared" ca="1" si="12"/>
        <v>90</v>
      </c>
      <c r="DA62" s="94">
        <f t="shared" ca="1" si="13"/>
        <v>20</v>
      </c>
      <c r="DB62" s="45">
        <f t="shared" ca="1" si="14"/>
        <v>0</v>
      </c>
      <c r="DC62" s="94">
        <f t="shared" ca="1" si="15"/>
        <v>0</v>
      </c>
      <c r="DD62" s="94">
        <f t="shared" ca="1" si="16"/>
        <v>0</v>
      </c>
      <c r="DE62" s="45">
        <f t="shared" ca="1" si="17"/>
        <v>0</v>
      </c>
      <c r="DF62" s="94">
        <f t="shared" ca="1" si="18"/>
        <v>0</v>
      </c>
      <c r="DG62" s="94" cm="1">
        <f t="array" aca="1" ref="DG62" ca="1">INDEX(TblConstr[[Total Plain]:[Total Water]],ROW()-ROW(TblConstr[#Headers]),MATCH("Total "&amp;home_land,TblConstr[[#Headers],[Total Plain]:[Total Water]],0))+TblConstr[[#This Row],[Homes]]</f>
        <v>90</v>
      </c>
      <c r="DH62" s="45">
        <f t="shared" ca="1" si="10"/>
        <v>0</v>
      </c>
      <c r="DI62" s="45">
        <f t="shared" ca="1" si="0"/>
        <v>0</v>
      </c>
      <c r="DJ62" s="45">
        <f t="shared" ca="1" si="1"/>
        <v>0</v>
      </c>
    </row>
    <row r="63" spans="1:114" x14ac:dyDescent="0.2">
      <c r="A63" s="175">
        <f>TblRezone[[#This Row],[Hour]]</f>
        <v>60</v>
      </c>
      <c r="B63" s="176">
        <f ca="1">SUM(TblConstr[[#This Row],[Plain]:[Water]])</f>
        <v>60</v>
      </c>
      <c r="C63" s="177">
        <f ca="1">SUM(TblConstr[[#This Row],[Tot Hom]:[Tot Doc]])</f>
        <v>50</v>
      </c>
      <c r="D63" s="177">
        <f t="shared" si="11"/>
        <v>0</v>
      </c>
      <c r="E63" s="178"/>
      <c r="F63" s="61">
        <f ca="1">TblConstr[[#This Row],[Barren]]+TblConstr[[#This Row],[Buildings]]+TblConstr[[#This Row],[Incoming]]</f>
        <v>110</v>
      </c>
      <c r="G63" s="187">
        <f ca="1">OFFSET(TblConstr[[#This Row],[Plain]],-1,0)+TblConstr[[#This Row],[Ch_Plain]]</f>
        <v>60</v>
      </c>
      <c r="H63" s="182">
        <f ca="1">OFFSET(TblConstr[[#This Row],[Forest]],-1,0)+TblConstr[[#This Row],[Ch_Forest]]</f>
        <v>0</v>
      </c>
      <c r="I63" s="359">
        <f ca="1">OFFSET(TblConstr[[#This Row],[Mountain]],-1,0)+TblConstr[[#This Row],[Ch_Mountain]]</f>
        <v>0</v>
      </c>
      <c r="J63" s="363">
        <f ca="1">OFFSET(TblConstr[[#This Row],[Hill]],-1,0)+TblConstr[[#This Row],[Ch_Hill]]</f>
        <v>0</v>
      </c>
      <c r="K63" s="367">
        <f ca="1">OFFSET(TblConstr[[#This Row],[Swamp]],-1,0)+TblConstr[[#This Row],[Ch_Swamp]]</f>
        <v>0</v>
      </c>
      <c r="L63" s="185">
        <f ca="1">OFFSET(TblConstr[[#This Row],[Cavern]],-1,0)+TblConstr[[#This Row],[Ch_Cavern]]</f>
        <v>0</v>
      </c>
      <c r="M63" s="186">
        <f ca="1">OFFSET(TblConstr[[#This Row],[Water]],-1,0)+TblConstr[[#This Row],[Ch_Water]]</f>
        <v>0</v>
      </c>
      <c r="N63" s="357">
        <f>TblRezone[[#This Row],[Hour]]</f>
        <v>60</v>
      </c>
      <c r="O63" s="179"/>
      <c r="P63" s="179"/>
      <c r="Q63" s="179"/>
      <c r="R63" s="179"/>
      <c r="S63" s="179"/>
      <c r="T63" s="179"/>
      <c r="U63" s="179"/>
      <c r="V63" s="179"/>
      <c r="W63" s="179"/>
      <c r="X63" s="179"/>
      <c r="Y63" s="179"/>
      <c r="Z63" s="179"/>
      <c r="AA63" s="179"/>
      <c r="AB63" s="179"/>
      <c r="AC63" s="179"/>
      <c r="AD63" s="179"/>
      <c r="AE63" s="179"/>
      <c r="AF63" s="179"/>
      <c r="AG63" s="179"/>
      <c r="AH63" s="53">
        <f ca="1">TblImps[[#This Row],[Time]]</f>
        <v>46049.45833333319</v>
      </c>
      <c r="AI63" s="180">
        <f ca="1">MIN(25%,(TblConstr[[#This Row],[Tot Fac]]+TblConstr[[#This Row],[Dest Fac]])/(TblConstr[[#This Row],[Land]]-TblExplore[[#This Row],[Land Bonus]]*20))</f>
        <v>0</v>
      </c>
      <c r="AJ63" s="180">
        <f ca="1">MIN(25%,(TblConstr[[#This Row],[Tot Fac]]+TblConstr[[#This Row],[Dest Fac]])/TblConstr[[#This Row],[Land]])</f>
        <v>0</v>
      </c>
      <c r="AK63" s="94">
        <f ca="1">TblProd[[#This Row],[Platinum]]</f>
        <v>150298</v>
      </c>
      <c r="AL63" s="94">
        <f ca="1">TblProd[[#This Row],[Lumber]]</f>
        <v>53020</v>
      </c>
      <c r="AM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3" s="94">
        <f ca="1">ROUNDDOWN( MAX(1 - MIN(facs_constr_factor*TblConstr[[#This Row],[Facs -DB]],facs_constr_max) + tech_1_11*TblTech[[#This Row],[11-1]] + tech_6_3_2*TblTech[[#This Row],[6-3]] + tech_5_2_3*TblTech[[#This Row],[5-2]], 1-global_constr_cap) * TblConstr[[#This Row],[RCPA Lumber]],0)</f>
        <v>48</v>
      </c>
      <c r="AO6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3" s="94">
        <f ca="1">ROUNDDOWN( MAX(1 - MIN(facs_constr_factor*TblConstr[[#This Row],[Facs DB]],facs_constr_max) + tech_1_11*TblTech[[#This Row],[1-11]] + tech_6_3_2*TblTech[[#This Row],[6-3]] + tech_5_2_3*TblTech[[#This Row],[5-2]], 1-global_constr_cap) * ROUND((TblConstr[[#This Row],[Land]]-250)*0.285 + 87.5 + 0/4.25,0),0)</f>
        <v>48</v>
      </c>
      <c r="AQ63" s="45">
        <f ca="1">TblConstr[[#This Row],[build -db]]*TblConstr[[#This Row],[CPA Platinum -DB]] + TblConstr[[#This Row],[build db]]*TblConstr[[#This Row],[CPA Platinum DB]]</f>
        <v>0</v>
      </c>
      <c r="AR63" s="45">
        <f ca="1">TblConstr[[#This Row],[build -db]]*TblConstr[[#This Row],[CPA Lumber -DB]] + TblConstr[[#This Row],[build db]]*TblConstr[[#This Row],[CPA Lumber DB]]</f>
        <v>0</v>
      </c>
      <c r="AS63" s="94">
        <f ca="1">MIN(SUM(OFFSET(TblConstr[[#This Row],[Plain]:[Water]],-1,0))+SUM(TblConstr[[#This Row],[Dest Hom]:[Dest Doc]])+IF(TblConstr[[#This Row],[Hour]]&gt;12,SUM(OFFSET(TblExplore[[#This Row],[Plains Explore]:[Water Explore]],-12,0)),0),SUM(TblConstr[[#This Row],[Hom]:[Doc]]))</f>
        <v>0</v>
      </c>
      <c r="AT6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3" s="142"/>
      <c r="AV63" s="94">
        <f ca="1">ROUND((TblConstr[[#This Row],[Land]]-250 - IF(TblExplore[[#This Row],[Land Bonus]]&lt;&gt;0,20,0))*1.25 + 850 + 0,0)</f>
        <v>675</v>
      </c>
      <c r="AW63" s="94">
        <f ca="1">ROUND((TblConstr[[#This Row],[Land]]-250 - IF(TblExplore[[#This Row],[Land Bonus]]&lt;&gt;0,20,0))*0.285 + 87.5 + 0/4.25,0)</f>
        <v>48</v>
      </c>
      <c r="AX63" s="154"/>
      <c r="AY63" s="188" cm="1">
        <f t="array" aca="1" ref="AY63" ca="1">IF(TblConstr[[#This Row],[Hour]:[Hour]]&gt;12,OFFSET(TblConstr[[#This Row],[Hom]],-12,0),0)+OFFSET(TblConstr[[#This Row],[Tot Hom]],-1,0)-TblConstr[[#This Row],[Dest Hom]]</f>
        <v>0</v>
      </c>
      <c r="AZ63" s="189" cm="1">
        <f t="array" aca="1" ref="AZ63" ca="1">IF(TblConstr[[#This Row],[Hour]:[Hour]]&gt;12,OFFSET(TblConstr[[#This Row],[Alc]],-12,0),0)+OFFSET(TblConstr[[#This Row],[Tot Alc]],-1,0)-TblConstr[[#This Row],[Dest Alc]]</f>
        <v>0</v>
      </c>
      <c r="BA63" s="189" cm="1">
        <f t="array" aca="1" ref="BA63" ca="1">IF(TblConstr[[#This Row],[Hour]:[Hour]]&gt;12,OFFSET(TblConstr[[#This Row],[Far]],-12,0),0)+OFFSET(TblConstr[[#This Row],[Tot Farm]],-1,0)-TblConstr[[#This Row],[Dest Farm]]</f>
        <v>30</v>
      </c>
      <c r="BB63" s="189" cm="1">
        <f t="array" aca="1" ref="BB63" ca="1">IF(TblConstr[[#This Row],[Hour]:[Hour]]&gt;12,OFFSET(TblConstr[[#This Row],[Smi]],-12,0),0)+OFFSET(TblConstr[[#This Row],[Tot Smi]],-1,0)-TblConstr[[#This Row],[Dest Smi]]</f>
        <v>0</v>
      </c>
      <c r="BC63" s="189" cm="1">
        <f t="array" aca="1" ref="BC63" ca="1">IF(TblConstr[[#This Row],[Hour]:[Hour]]&gt;12,OFFSET(TblConstr[[#This Row],[Mas]],-12,0),0)+OFFSET(TblConstr[[#This Row],[Tot Mas]],-1,0)-TblConstr[[#This Row],[Dest Mas]]</f>
        <v>0</v>
      </c>
      <c r="BD63" s="190" cm="1">
        <f t="array" aca="1" ref="BD63" ca="1">IF(TblConstr[[#This Row],[Hour]:[Hour]]&gt;12,OFFSET(TblConstr[[#This Row],[Ly]],-12,0),0)+OFFSET(TblConstr[[#This Row],[Tot Ly]],-1,0)-TblConstr[[#This Row],[Dest Ly]]</f>
        <v>20</v>
      </c>
      <c r="BE63" s="190" cm="1">
        <f t="array" aca="1" ref="BE63" ca="1">IF(TblConstr[[#This Row],[Hour]:[Hour]]&gt;12,OFFSET(TblConstr[[#This Row],[Hav]],-12,0),0)+OFFSET(TblConstr[[#This Row],[Tot Hav]],-1,0)-TblConstr[[#This Row],[Dest Hav]]</f>
        <v>0</v>
      </c>
      <c r="BF63" s="361" cm="1">
        <f t="array" aca="1" ref="BF63" ca="1">IF(TblConstr[[#This Row],[Hour]:[Hour]]&gt;12,OFFSET(TblConstr[[#This Row],[OM]],-12,0),0)+OFFSET(TblConstr[[#This Row],[Tot OM]],-1,0)-TblConstr[[#This Row],[Dest OM]]</f>
        <v>0</v>
      </c>
      <c r="BG63" s="361" cm="1">
        <f t="array" aca="1" ref="BG63" ca="1">IF(TblConstr[[#This Row],[Hour]:[Hour]]&gt;12,OFFSET(TblConstr[[#This Row],[GN]],-12,0),0)+OFFSET(TblConstr[[#This Row],[Tot GN]],-1,0)-TblConstr[[#This Row],[Dest GN]]</f>
        <v>0</v>
      </c>
      <c r="BH63" s="365" cm="1">
        <f t="array" aca="1" ref="BH63" ca="1">IF(TblConstr[[#This Row],[Hour]:[Hour]]&gt;12,OFFSET(TblConstr[[#This Row],[Fac]],-12,0),0)+OFFSET(TblConstr[[#This Row],[Tot Fac]],-1,0)-TblConstr[[#This Row],[Dest Fac]]</f>
        <v>0</v>
      </c>
      <c r="BI63" s="365" cm="1">
        <f t="array" aca="1" ref="BI63" ca="1">IF(TblConstr[[#This Row],[Hour]:[Hour]]&gt;12,OFFSET(TblConstr[[#This Row],[GT]],-12,0),0)+OFFSET(TblConstr[[#This Row],[Tot GT]],-1,0)-TblConstr[[#This Row],[Dest GT]]</f>
        <v>0</v>
      </c>
      <c r="BJ63" s="365" cm="1">
        <f t="array" aca="1" ref="BJ63" ca="1">IF(TblConstr[[#This Row],[Hour]:[Hour]]&gt;12,OFFSET(TblConstr[[#This Row],[Bar]],-12,0),0)+OFFSET(TblConstr[[#This Row],[Tot Bar]],-1,0)-TblConstr[[#This Row],[Dest Bar]]</f>
        <v>0</v>
      </c>
      <c r="BK63" s="365" cm="1">
        <f t="array" aca="1" ref="BK63" ca="1">IF(TblConstr[[#This Row],[Hour]:[Hour]]&gt;12,OFFSET(TblConstr[[#This Row],[Shr]],-12,0),0)+OFFSET(TblConstr[[#This Row],[Tot Shr]],-1,0)-TblConstr[[#This Row],[Dest Shr]]</f>
        <v>0</v>
      </c>
      <c r="BL63" s="369" cm="1">
        <f t="array" aca="1" ref="BL63" ca="1">IF(TblConstr[[#This Row],[Hour]:[Hour]]&gt;12,OFFSET(TblConstr[[#This Row],[Tow]],-12,0),0)+OFFSET(TblConstr[[#This Row],[Tot Tow]],-1,0)-TblConstr[[#This Row],[Dest Tow]]</f>
        <v>0</v>
      </c>
      <c r="BM63" s="369" cm="1">
        <f t="array" aca="1" ref="BM63" ca="1">IF(TblConstr[[#This Row],[Hour]:[Hour]]&gt;12,OFFSET(TblConstr[[#This Row],[Tem]],-12,0),0)+OFFSET(TblConstr[[#This Row],[Tot Tem]],-1,0)-TblConstr[[#This Row],[Dest Tem]]</f>
        <v>0</v>
      </c>
      <c r="BN63" s="369" cm="1">
        <f t="array" aca="1" ref="BN63" ca="1">IF(TblConstr[[#This Row],[Hour]:[Hour]]&gt;12,OFFSET(TblConstr[[#This Row],[WG]],-12,0),0)+OFFSET(TblConstr[[#This Row],[Tot WG]],-1,0)-TblConstr[[#This Row],[Dest WG]]</f>
        <v>0</v>
      </c>
      <c r="BO63" s="191" cm="1">
        <f t="array" aca="1" ref="BO63" ca="1">IF(TblConstr[[#This Row],[Hour]:[Hour]]&gt;12,OFFSET(TblConstr[[#This Row],[DM]],-12,0),0)+OFFSET(TblConstr[[#This Row],[Tot DM]],-1,0)-TblConstr[[#This Row],[Dest DM]]</f>
        <v>0</v>
      </c>
      <c r="BP63" s="191" cm="1">
        <f t="array" aca="1" ref="BP63" ca="1">IF(TblConstr[[#This Row],[Hour]:[Hour]]&gt;12,OFFSET(TblConstr[[#This Row],[Sch]],-12,0),0)+OFFSET(TblConstr[[#This Row],[Tot Sch]],-1,0)-TblConstr[[#This Row],[Dest Sch]]</f>
        <v>0</v>
      </c>
      <c r="BQ63" s="192" cm="1">
        <f t="array" aca="1" ref="BQ63" ca="1">IF(TblConstr[[#This Row],[Hour]:[Hour]]&gt;12,OFFSET(TblConstr[[#This Row],[Doc]],-12,0),0)+OFFSET(TblConstr[[#This Row],[Tot Doc]],-1,0)-TblConstr[[#This Row],[Dest Doc]]</f>
        <v>0</v>
      </c>
      <c r="BR63" s="142"/>
      <c r="BS63" s="154"/>
      <c r="BT63" s="94">
        <f ca="1">TblConstr[[#This Row],[Land]]</f>
        <v>110</v>
      </c>
      <c r="BU63" s="159">
        <f ca="1">TblImps[[#This Row],[Time]]</f>
        <v>46049.45833333319</v>
      </c>
      <c r="BV63" s="142"/>
      <c r="BW63" s="179"/>
      <c r="BX63" s="179"/>
      <c r="BY63" s="179"/>
      <c r="BZ63" s="179"/>
      <c r="CA63" s="179"/>
      <c r="CB63" s="179"/>
      <c r="CC63" s="179"/>
      <c r="CD63" s="179"/>
      <c r="CE63" s="179"/>
      <c r="CF63" s="179"/>
      <c r="CG63" s="179"/>
      <c r="CH63" s="179"/>
      <c r="CI63" s="179"/>
      <c r="CJ63" s="179"/>
      <c r="CK63" s="179"/>
      <c r="CL63" s="179"/>
      <c r="CM63" s="179"/>
      <c r="CN63" s="179"/>
      <c r="CO63" s="179"/>
      <c r="CP63" s="142"/>
      <c r="CQ63" s="181">
        <f ca="1">-SUM(TblConstr[[#This Row],[Alc]:[Mas]])+SUM(TblConstr[[#This Row],[Dest Alc]:[Dest Mas]])+Rezone!L63+IF("Ch_"&amp; home_land=TblConstr[[#Headers],[Ch_Plain]],TblConstr[[#This Row],[Home Land]])+IF(TblConstr[[#This Row],[Hour]:[Hour]]&gt;12,OFFSET(TblExplore[[#This Row],[Plains Explore]],-12,0),0)</f>
        <v>0</v>
      </c>
      <c r="CR63" s="182">
        <f ca="1">-SUM(TblConstr[[#This Row],[Ly]:[Hav]])+SUM(TblConstr[[#This Row],[Dest Ly]:[Dest Hav]]) +Rezone!M63 + IF("Ch_"&amp; home_land=TblConstr[[#Headers],[Ch_Forest]],TblConstr[[#This Row],[Home Land]])+IF(TblConstr[[#This Row],[Hour]:[Hour]]&gt;12,OFFSET(TblExplore[[#This Row],[Forest Explore]],-12,0),0)</f>
        <v>0</v>
      </c>
      <c r="CS63" s="359">
        <f ca="1">-SUM(TblConstr[[#This Row],[OM]:[GN]])+SUM(TblConstr[[#This Row],[Dest OM]:[Dest GN]]) +Rezone!N63 + IF("Ch_"&amp; home_land=TblConstr[[#Headers],[Ch_Mountain]],TblConstr[[#This Row],[Home Land]])+IF(TblConstr[[#This Row],[Hour]:[Hour]]&gt;12,OFFSET(TblExplore[[#This Row],[Mountain Explore]],-12,0),0)</f>
        <v>0</v>
      </c>
      <c r="CT63" s="183">
        <f ca="1">-SUM(TblConstr[[#This Row],[Fac]:[Shr]])+SUM(TblConstr[[#This Row],[Dest Fac]:[Dest Shr]]) +Rezone!O63 + IF("Ch_" &amp; home_land=TblConstr[[#Headers],[Ch_Hill]],TblConstr[[#This Row],[Home Land]])+IF(TblConstr[[#This Row],[Hour]:[Hour]]&gt;12,OFFSET(TblExplore[[#This Row],[Hill Explore]],-12,0),0)</f>
        <v>0</v>
      </c>
      <c r="CU63" s="184">
        <f ca="1">-SUM(TblConstr[[#This Row],[Tow]:[WG]])+SUM(TblConstr[[#This Row],[Dest Tow]:[Dest WG]]) +Rezone!P63 + IF("Ch_" &amp; home_land=TblConstr[[#Headers],[Ch_Swamp]],TblConstr[[#This Row],[Home Land]])+IF(TblConstr[[#This Row],[Hour]:[Hour]]&gt;12,OFFSET(TblExplore[[#This Row],[Swamp Explore]],-12,0),0)</f>
        <v>0</v>
      </c>
      <c r="CV63" s="185">
        <f ca="1" xml:space="preserve"> - SUM(TblConstr[[#This Row],[DM]:[Sch]])+SUM(TblConstr[[#This Row],[Dest DM]:[Dest Sch]]) +Rezone!Q63 + IF("Ch_" &amp; home_land=TblConstr[[#Headers],[Ch_Cavern]],TblConstr[[#This Row],[Home Land]])+IF(TblConstr[[#This Row],[Hour]:[Hour]]&gt;12,OFFSET(TblExplore[[#This Row],[Cavern Explore]],-12,0),0)</f>
        <v>0</v>
      </c>
      <c r="CW63" s="186">
        <f ca="1">-TblConstr[[#This Row],[Doc]]+TblConstr[[#This Row],[Dest Doc]] +Rezone!R63 + IF("Ch_" &amp; home_land=TblConstr[[#Headers],[Ch_Water]],TblConstr[[#This Row],[Home Land]])+IF(TblConstr[[#This Row],[Hour]:[Hour]]&gt;12,OFFSET(TblExplore[[#This Row],[Water Explore]],-12,0),0)</f>
        <v>0</v>
      </c>
      <c r="CX63" s="45">
        <f>IF(Explore!S63=1,20) - TblConstr[[#This Row],[Hom]] + TblConstr[[#This Row],[Dest Hom]]</f>
        <v>0</v>
      </c>
      <c r="CY63" s="142"/>
      <c r="CZ63" s="94">
        <f t="shared" ca="1" si="12"/>
        <v>90</v>
      </c>
      <c r="DA63" s="94">
        <f t="shared" ca="1" si="13"/>
        <v>20</v>
      </c>
      <c r="DB63" s="45">
        <f t="shared" ca="1" si="14"/>
        <v>0</v>
      </c>
      <c r="DC63" s="94">
        <f t="shared" ca="1" si="15"/>
        <v>0</v>
      </c>
      <c r="DD63" s="94">
        <f t="shared" ca="1" si="16"/>
        <v>0</v>
      </c>
      <c r="DE63" s="45">
        <f t="shared" ca="1" si="17"/>
        <v>0</v>
      </c>
      <c r="DF63" s="94">
        <f t="shared" ca="1" si="18"/>
        <v>0</v>
      </c>
      <c r="DG63" s="94" cm="1">
        <f t="array" aca="1" ref="DG63" ca="1">INDEX(TblConstr[[Total Plain]:[Total Water]],ROW()-ROW(TblConstr[#Headers]),MATCH("Total "&amp;home_land,TblConstr[[#Headers],[Total Plain]:[Total Water]],0))+TblConstr[[#This Row],[Homes]]</f>
        <v>90</v>
      </c>
      <c r="DH63" s="45">
        <f t="shared" ca="1" si="10"/>
        <v>0</v>
      </c>
      <c r="DI63" s="45">
        <f t="shared" ca="1" si="0"/>
        <v>0</v>
      </c>
      <c r="DJ63" s="45">
        <f t="shared" ca="1" si="1"/>
        <v>0</v>
      </c>
    </row>
    <row r="64" spans="1:114" x14ac:dyDescent="0.2">
      <c r="A64" s="175">
        <f>TblRezone[[#This Row],[Hour]]</f>
        <v>61</v>
      </c>
      <c r="B64" s="176">
        <f ca="1">SUM(TblConstr[[#This Row],[Plain]:[Water]])</f>
        <v>60</v>
      </c>
      <c r="C64" s="177">
        <f ca="1">SUM(TblConstr[[#This Row],[Tot Hom]:[Tot Doc]])</f>
        <v>50</v>
      </c>
      <c r="D64" s="177">
        <f t="shared" si="11"/>
        <v>0</v>
      </c>
      <c r="E64" s="178"/>
      <c r="F64" s="61">
        <f ca="1">TblConstr[[#This Row],[Barren]]+TblConstr[[#This Row],[Buildings]]+TblConstr[[#This Row],[Incoming]]</f>
        <v>110</v>
      </c>
      <c r="G64" s="187">
        <f ca="1">OFFSET(TblConstr[[#This Row],[Plain]],-1,0)+TblConstr[[#This Row],[Ch_Plain]]</f>
        <v>60</v>
      </c>
      <c r="H64" s="182">
        <f ca="1">OFFSET(TblConstr[[#This Row],[Forest]],-1,0)+TblConstr[[#This Row],[Ch_Forest]]</f>
        <v>0</v>
      </c>
      <c r="I64" s="359">
        <f ca="1">OFFSET(TblConstr[[#This Row],[Mountain]],-1,0)+TblConstr[[#This Row],[Ch_Mountain]]</f>
        <v>0</v>
      </c>
      <c r="J64" s="363">
        <f ca="1">OFFSET(TblConstr[[#This Row],[Hill]],-1,0)+TblConstr[[#This Row],[Ch_Hill]]</f>
        <v>0</v>
      </c>
      <c r="K64" s="367">
        <f ca="1">OFFSET(TblConstr[[#This Row],[Swamp]],-1,0)+TblConstr[[#This Row],[Ch_Swamp]]</f>
        <v>0</v>
      </c>
      <c r="L64" s="185">
        <f ca="1">OFFSET(TblConstr[[#This Row],[Cavern]],-1,0)+TblConstr[[#This Row],[Ch_Cavern]]</f>
        <v>0</v>
      </c>
      <c r="M64" s="186">
        <f ca="1">OFFSET(TblConstr[[#This Row],[Water]],-1,0)+TblConstr[[#This Row],[Ch_Water]]</f>
        <v>0</v>
      </c>
      <c r="N64" s="357">
        <f>TblRezone[[#This Row],[Hour]]</f>
        <v>61</v>
      </c>
      <c r="O64" s="179"/>
      <c r="P64" s="179"/>
      <c r="Q64" s="179"/>
      <c r="R64" s="179"/>
      <c r="S64" s="179"/>
      <c r="T64" s="179"/>
      <c r="U64" s="179"/>
      <c r="V64" s="179"/>
      <c r="W64" s="179"/>
      <c r="X64" s="179"/>
      <c r="Y64" s="179"/>
      <c r="Z64" s="179"/>
      <c r="AA64" s="179"/>
      <c r="AB64" s="179"/>
      <c r="AC64" s="179"/>
      <c r="AD64" s="179"/>
      <c r="AE64" s="179"/>
      <c r="AF64" s="179"/>
      <c r="AG64" s="179"/>
      <c r="AH64" s="53">
        <f ca="1">TblImps[[#This Row],[Time]]</f>
        <v>46049.499999999854</v>
      </c>
      <c r="AI64" s="180">
        <f ca="1">MIN(25%,(TblConstr[[#This Row],[Tot Fac]]+TblConstr[[#This Row],[Dest Fac]])/(TblConstr[[#This Row],[Land]]-TblExplore[[#This Row],[Land Bonus]]*20))</f>
        <v>0</v>
      </c>
      <c r="AJ64" s="180">
        <f ca="1">MIN(25%,(TblConstr[[#This Row],[Tot Fac]]+TblConstr[[#This Row],[Dest Fac]])/TblConstr[[#This Row],[Land]])</f>
        <v>0</v>
      </c>
      <c r="AK64" s="94">
        <f ca="1">TblProd[[#This Row],[Platinum]]</f>
        <v>151791</v>
      </c>
      <c r="AL64" s="94">
        <f ca="1">TblProd[[#This Row],[Lumber]]</f>
        <v>53490</v>
      </c>
      <c r="AM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4" s="94">
        <f ca="1">ROUNDDOWN( MAX(1 - MIN(facs_constr_factor*TblConstr[[#This Row],[Facs -DB]],facs_constr_max) + tech_1_11*TblTech[[#This Row],[11-1]] + tech_6_3_2*TblTech[[#This Row],[6-3]] + tech_5_2_3*TblTech[[#This Row],[5-2]], 1-global_constr_cap) * TblConstr[[#This Row],[RCPA Lumber]],0)</f>
        <v>48</v>
      </c>
      <c r="AO6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4" s="94">
        <f ca="1">ROUNDDOWN( MAX(1 - MIN(facs_constr_factor*TblConstr[[#This Row],[Facs DB]],facs_constr_max) + tech_1_11*TblTech[[#This Row],[1-11]] + tech_6_3_2*TblTech[[#This Row],[6-3]] + tech_5_2_3*TblTech[[#This Row],[5-2]], 1-global_constr_cap) * ROUND((TblConstr[[#This Row],[Land]]-250)*0.285 + 87.5 + 0/4.25,0),0)</f>
        <v>48</v>
      </c>
      <c r="AQ64" s="45">
        <f ca="1">TblConstr[[#This Row],[build -db]]*TblConstr[[#This Row],[CPA Platinum -DB]] + TblConstr[[#This Row],[build db]]*TblConstr[[#This Row],[CPA Platinum DB]]</f>
        <v>0</v>
      </c>
      <c r="AR64" s="45">
        <f ca="1">TblConstr[[#This Row],[build -db]]*TblConstr[[#This Row],[CPA Lumber -DB]] + TblConstr[[#This Row],[build db]]*TblConstr[[#This Row],[CPA Lumber DB]]</f>
        <v>0</v>
      </c>
      <c r="AS64" s="94">
        <f ca="1">MIN(SUM(OFFSET(TblConstr[[#This Row],[Plain]:[Water]],-1,0))+SUM(TblConstr[[#This Row],[Dest Hom]:[Dest Doc]])+IF(TblConstr[[#This Row],[Hour]]&gt;12,SUM(OFFSET(TblExplore[[#This Row],[Plains Explore]:[Water Explore]],-12,0)),0),SUM(TblConstr[[#This Row],[Hom]:[Doc]]))</f>
        <v>0</v>
      </c>
      <c r="AT6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4" s="142"/>
      <c r="AV64" s="94">
        <f ca="1">ROUND((TblConstr[[#This Row],[Land]]-250 - IF(TblExplore[[#This Row],[Land Bonus]]&lt;&gt;0,20,0))*1.25 + 850 + 0,0)</f>
        <v>675</v>
      </c>
      <c r="AW64" s="94">
        <f ca="1">ROUND((TblConstr[[#This Row],[Land]]-250 - IF(TblExplore[[#This Row],[Land Bonus]]&lt;&gt;0,20,0))*0.285 + 87.5 + 0/4.25,0)</f>
        <v>48</v>
      </c>
      <c r="AX64" s="154"/>
      <c r="AY64" s="188" cm="1">
        <f t="array" aca="1" ref="AY64" ca="1">IF(TblConstr[[#This Row],[Hour]:[Hour]]&gt;12,OFFSET(TblConstr[[#This Row],[Hom]],-12,0),0)+OFFSET(TblConstr[[#This Row],[Tot Hom]],-1,0)-TblConstr[[#This Row],[Dest Hom]]</f>
        <v>0</v>
      </c>
      <c r="AZ64" s="189" cm="1">
        <f t="array" aca="1" ref="AZ64" ca="1">IF(TblConstr[[#This Row],[Hour]:[Hour]]&gt;12,OFFSET(TblConstr[[#This Row],[Alc]],-12,0),0)+OFFSET(TblConstr[[#This Row],[Tot Alc]],-1,0)-TblConstr[[#This Row],[Dest Alc]]</f>
        <v>0</v>
      </c>
      <c r="BA64" s="189" cm="1">
        <f t="array" aca="1" ref="BA64" ca="1">IF(TblConstr[[#This Row],[Hour]:[Hour]]&gt;12,OFFSET(TblConstr[[#This Row],[Far]],-12,0),0)+OFFSET(TblConstr[[#This Row],[Tot Farm]],-1,0)-TblConstr[[#This Row],[Dest Farm]]</f>
        <v>30</v>
      </c>
      <c r="BB64" s="189" cm="1">
        <f t="array" aca="1" ref="BB64" ca="1">IF(TblConstr[[#This Row],[Hour]:[Hour]]&gt;12,OFFSET(TblConstr[[#This Row],[Smi]],-12,0),0)+OFFSET(TblConstr[[#This Row],[Tot Smi]],-1,0)-TblConstr[[#This Row],[Dest Smi]]</f>
        <v>0</v>
      </c>
      <c r="BC64" s="189" cm="1">
        <f t="array" aca="1" ref="BC64" ca="1">IF(TblConstr[[#This Row],[Hour]:[Hour]]&gt;12,OFFSET(TblConstr[[#This Row],[Mas]],-12,0),0)+OFFSET(TblConstr[[#This Row],[Tot Mas]],-1,0)-TblConstr[[#This Row],[Dest Mas]]</f>
        <v>0</v>
      </c>
      <c r="BD64" s="190" cm="1">
        <f t="array" aca="1" ref="BD64" ca="1">IF(TblConstr[[#This Row],[Hour]:[Hour]]&gt;12,OFFSET(TblConstr[[#This Row],[Ly]],-12,0),0)+OFFSET(TblConstr[[#This Row],[Tot Ly]],-1,0)-TblConstr[[#This Row],[Dest Ly]]</f>
        <v>20</v>
      </c>
      <c r="BE64" s="190" cm="1">
        <f t="array" aca="1" ref="BE64" ca="1">IF(TblConstr[[#This Row],[Hour]:[Hour]]&gt;12,OFFSET(TblConstr[[#This Row],[Hav]],-12,0),0)+OFFSET(TblConstr[[#This Row],[Tot Hav]],-1,0)-TblConstr[[#This Row],[Dest Hav]]</f>
        <v>0</v>
      </c>
      <c r="BF64" s="361" cm="1">
        <f t="array" aca="1" ref="BF64" ca="1">IF(TblConstr[[#This Row],[Hour]:[Hour]]&gt;12,OFFSET(TblConstr[[#This Row],[OM]],-12,0),0)+OFFSET(TblConstr[[#This Row],[Tot OM]],-1,0)-TblConstr[[#This Row],[Dest OM]]</f>
        <v>0</v>
      </c>
      <c r="BG64" s="361" cm="1">
        <f t="array" aca="1" ref="BG64" ca="1">IF(TblConstr[[#This Row],[Hour]:[Hour]]&gt;12,OFFSET(TblConstr[[#This Row],[GN]],-12,0),0)+OFFSET(TblConstr[[#This Row],[Tot GN]],-1,0)-TblConstr[[#This Row],[Dest GN]]</f>
        <v>0</v>
      </c>
      <c r="BH64" s="365" cm="1">
        <f t="array" aca="1" ref="BH64" ca="1">IF(TblConstr[[#This Row],[Hour]:[Hour]]&gt;12,OFFSET(TblConstr[[#This Row],[Fac]],-12,0),0)+OFFSET(TblConstr[[#This Row],[Tot Fac]],-1,0)-TblConstr[[#This Row],[Dest Fac]]</f>
        <v>0</v>
      </c>
      <c r="BI64" s="365" cm="1">
        <f t="array" aca="1" ref="BI64" ca="1">IF(TblConstr[[#This Row],[Hour]:[Hour]]&gt;12,OFFSET(TblConstr[[#This Row],[GT]],-12,0),0)+OFFSET(TblConstr[[#This Row],[Tot GT]],-1,0)-TblConstr[[#This Row],[Dest GT]]</f>
        <v>0</v>
      </c>
      <c r="BJ64" s="365" cm="1">
        <f t="array" aca="1" ref="BJ64" ca="1">IF(TblConstr[[#This Row],[Hour]:[Hour]]&gt;12,OFFSET(TblConstr[[#This Row],[Bar]],-12,0),0)+OFFSET(TblConstr[[#This Row],[Tot Bar]],-1,0)-TblConstr[[#This Row],[Dest Bar]]</f>
        <v>0</v>
      </c>
      <c r="BK64" s="365" cm="1">
        <f t="array" aca="1" ref="BK64" ca="1">IF(TblConstr[[#This Row],[Hour]:[Hour]]&gt;12,OFFSET(TblConstr[[#This Row],[Shr]],-12,0),0)+OFFSET(TblConstr[[#This Row],[Tot Shr]],-1,0)-TblConstr[[#This Row],[Dest Shr]]</f>
        <v>0</v>
      </c>
      <c r="BL64" s="369" cm="1">
        <f t="array" aca="1" ref="BL64" ca="1">IF(TblConstr[[#This Row],[Hour]:[Hour]]&gt;12,OFFSET(TblConstr[[#This Row],[Tow]],-12,0),0)+OFFSET(TblConstr[[#This Row],[Tot Tow]],-1,0)-TblConstr[[#This Row],[Dest Tow]]</f>
        <v>0</v>
      </c>
      <c r="BM64" s="369" cm="1">
        <f t="array" aca="1" ref="BM64" ca="1">IF(TblConstr[[#This Row],[Hour]:[Hour]]&gt;12,OFFSET(TblConstr[[#This Row],[Tem]],-12,0),0)+OFFSET(TblConstr[[#This Row],[Tot Tem]],-1,0)-TblConstr[[#This Row],[Dest Tem]]</f>
        <v>0</v>
      </c>
      <c r="BN64" s="369" cm="1">
        <f t="array" aca="1" ref="BN64" ca="1">IF(TblConstr[[#This Row],[Hour]:[Hour]]&gt;12,OFFSET(TblConstr[[#This Row],[WG]],-12,0),0)+OFFSET(TblConstr[[#This Row],[Tot WG]],-1,0)-TblConstr[[#This Row],[Dest WG]]</f>
        <v>0</v>
      </c>
      <c r="BO64" s="191" cm="1">
        <f t="array" aca="1" ref="BO64" ca="1">IF(TblConstr[[#This Row],[Hour]:[Hour]]&gt;12,OFFSET(TblConstr[[#This Row],[DM]],-12,0),0)+OFFSET(TblConstr[[#This Row],[Tot DM]],-1,0)-TblConstr[[#This Row],[Dest DM]]</f>
        <v>0</v>
      </c>
      <c r="BP64" s="191" cm="1">
        <f t="array" aca="1" ref="BP64" ca="1">IF(TblConstr[[#This Row],[Hour]:[Hour]]&gt;12,OFFSET(TblConstr[[#This Row],[Sch]],-12,0),0)+OFFSET(TblConstr[[#This Row],[Tot Sch]],-1,0)-TblConstr[[#This Row],[Dest Sch]]</f>
        <v>0</v>
      </c>
      <c r="BQ64" s="192" cm="1">
        <f t="array" aca="1" ref="BQ64" ca="1">IF(TblConstr[[#This Row],[Hour]:[Hour]]&gt;12,OFFSET(TblConstr[[#This Row],[Doc]],-12,0),0)+OFFSET(TblConstr[[#This Row],[Tot Doc]],-1,0)-TblConstr[[#This Row],[Dest Doc]]</f>
        <v>0</v>
      </c>
      <c r="BR64" s="142"/>
      <c r="BS64" s="154"/>
      <c r="BT64" s="94">
        <f ca="1">TblConstr[[#This Row],[Land]]</f>
        <v>110</v>
      </c>
      <c r="BU64" s="159">
        <f ca="1">TblImps[[#This Row],[Time]]</f>
        <v>46049.499999999854</v>
      </c>
      <c r="BV64" s="142"/>
      <c r="BW64" s="179"/>
      <c r="BX64" s="179"/>
      <c r="BY64" s="179"/>
      <c r="BZ64" s="179"/>
      <c r="CA64" s="179"/>
      <c r="CB64" s="179"/>
      <c r="CC64" s="179"/>
      <c r="CD64" s="179"/>
      <c r="CE64" s="179"/>
      <c r="CF64" s="179"/>
      <c r="CG64" s="179"/>
      <c r="CH64" s="179"/>
      <c r="CI64" s="179"/>
      <c r="CJ64" s="179"/>
      <c r="CK64" s="179"/>
      <c r="CL64" s="179"/>
      <c r="CM64" s="179"/>
      <c r="CN64" s="179"/>
      <c r="CO64" s="179"/>
      <c r="CP64" s="142"/>
      <c r="CQ64" s="181">
        <f ca="1">-SUM(TblConstr[[#This Row],[Alc]:[Mas]])+SUM(TblConstr[[#This Row],[Dest Alc]:[Dest Mas]])+Rezone!L64+IF("Ch_"&amp; home_land=TblConstr[[#Headers],[Ch_Plain]],TblConstr[[#This Row],[Home Land]])+IF(TblConstr[[#This Row],[Hour]:[Hour]]&gt;12,OFFSET(TblExplore[[#This Row],[Plains Explore]],-12,0),0)</f>
        <v>0</v>
      </c>
      <c r="CR64" s="182">
        <f ca="1">-SUM(TblConstr[[#This Row],[Ly]:[Hav]])+SUM(TblConstr[[#This Row],[Dest Ly]:[Dest Hav]]) +Rezone!M64 + IF("Ch_"&amp; home_land=TblConstr[[#Headers],[Ch_Forest]],TblConstr[[#This Row],[Home Land]])+IF(TblConstr[[#This Row],[Hour]:[Hour]]&gt;12,OFFSET(TblExplore[[#This Row],[Forest Explore]],-12,0),0)</f>
        <v>0</v>
      </c>
      <c r="CS64" s="359">
        <f ca="1">-SUM(TblConstr[[#This Row],[OM]:[GN]])+SUM(TblConstr[[#This Row],[Dest OM]:[Dest GN]]) +Rezone!N64 + IF("Ch_"&amp; home_land=TblConstr[[#Headers],[Ch_Mountain]],TblConstr[[#This Row],[Home Land]])+IF(TblConstr[[#This Row],[Hour]:[Hour]]&gt;12,OFFSET(TblExplore[[#This Row],[Mountain Explore]],-12,0),0)</f>
        <v>0</v>
      </c>
      <c r="CT64" s="183">
        <f ca="1">-SUM(TblConstr[[#This Row],[Fac]:[Shr]])+SUM(TblConstr[[#This Row],[Dest Fac]:[Dest Shr]]) +Rezone!O64 + IF("Ch_" &amp; home_land=TblConstr[[#Headers],[Ch_Hill]],TblConstr[[#This Row],[Home Land]])+IF(TblConstr[[#This Row],[Hour]:[Hour]]&gt;12,OFFSET(TblExplore[[#This Row],[Hill Explore]],-12,0),0)</f>
        <v>0</v>
      </c>
      <c r="CU64" s="184">
        <f ca="1">-SUM(TblConstr[[#This Row],[Tow]:[WG]])+SUM(TblConstr[[#This Row],[Dest Tow]:[Dest WG]]) +Rezone!P64 + IF("Ch_" &amp; home_land=TblConstr[[#Headers],[Ch_Swamp]],TblConstr[[#This Row],[Home Land]])+IF(TblConstr[[#This Row],[Hour]:[Hour]]&gt;12,OFFSET(TblExplore[[#This Row],[Swamp Explore]],-12,0),0)</f>
        <v>0</v>
      </c>
      <c r="CV64" s="185">
        <f ca="1" xml:space="preserve"> - SUM(TblConstr[[#This Row],[DM]:[Sch]])+SUM(TblConstr[[#This Row],[Dest DM]:[Dest Sch]]) +Rezone!Q64 + IF("Ch_" &amp; home_land=TblConstr[[#Headers],[Ch_Cavern]],TblConstr[[#This Row],[Home Land]])+IF(TblConstr[[#This Row],[Hour]:[Hour]]&gt;12,OFFSET(TblExplore[[#This Row],[Cavern Explore]],-12,0),0)</f>
        <v>0</v>
      </c>
      <c r="CW64" s="186">
        <f ca="1">-TblConstr[[#This Row],[Doc]]+TblConstr[[#This Row],[Dest Doc]] +Rezone!R64 + IF("Ch_" &amp; home_land=TblConstr[[#Headers],[Ch_Water]],TblConstr[[#This Row],[Home Land]])+IF(TblConstr[[#This Row],[Hour]:[Hour]]&gt;12,OFFSET(TblExplore[[#This Row],[Water Explore]],-12,0),0)</f>
        <v>0</v>
      </c>
      <c r="CX64" s="45">
        <f>IF(Explore!S64=1,20) - TblConstr[[#This Row],[Hom]] + TblConstr[[#This Row],[Dest Hom]]</f>
        <v>0</v>
      </c>
      <c r="CY64" s="142"/>
      <c r="CZ64" s="94">
        <f t="shared" ca="1" si="12"/>
        <v>90</v>
      </c>
      <c r="DA64" s="94">
        <f t="shared" ca="1" si="13"/>
        <v>20</v>
      </c>
      <c r="DB64" s="45">
        <f t="shared" ca="1" si="14"/>
        <v>0</v>
      </c>
      <c r="DC64" s="94">
        <f t="shared" ca="1" si="15"/>
        <v>0</v>
      </c>
      <c r="DD64" s="94">
        <f t="shared" ca="1" si="16"/>
        <v>0</v>
      </c>
      <c r="DE64" s="45">
        <f t="shared" ca="1" si="17"/>
        <v>0</v>
      </c>
      <c r="DF64" s="94">
        <f t="shared" ca="1" si="18"/>
        <v>0</v>
      </c>
      <c r="DG64" s="94" cm="1">
        <f t="array" aca="1" ref="DG64" ca="1">INDEX(TblConstr[[Total Plain]:[Total Water]],ROW()-ROW(TblConstr[#Headers]),MATCH("Total "&amp;home_land,TblConstr[[#Headers],[Total Plain]:[Total Water]],0))+TblConstr[[#This Row],[Homes]]</f>
        <v>90</v>
      </c>
      <c r="DH64" s="45">
        <f t="shared" ca="1" si="10"/>
        <v>0</v>
      </c>
      <c r="DI64" s="45">
        <f t="shared" ca="1" si="0"/>
        <v>0</v>
      </c>
      <c r="DJ64" s="45">
        <f t="shared" ca="1" si="1"/>
        <v>0</v>
      </c>
    </row>
    <row r="65" spans="1:114" x14ac:dyDescent="0.2">
      <c r="A65" s="175">
        <f>TblRezone[[#This Row],[Hour]]</f>
        <v>62</v>
      </c>
      <c r="B65" s="176">
        <f ca="1">SUM(TblConstr[[#This Row],[Plain]:[Water]])</f>
        <v>60</v>
      </c>
      <c r="C65" s="177">
        <f ca="1">SUM(TblConstr[[#This Row],[Tot Hom]:[Tot Doc]])</f>
        <v>50</v>
      </c>
      <c r="D65" s="177">
        <f t="shared" si="11"/>
        <v>0</v>
      </c>
      <c r="E65" s="178"/>
      <c r="F65" s="61">
        <f ca="1">TblConstr[[#This Row],[Barren]]+TblConstr[[#This Row],[Buildings]]+TblConstr[[#This Row],[Incoming]]</f>
        <v>110</v>
      </c>
      <c r="G65" s="187">
        <f ca="1">OFFSET(TblConstr[[#This Row],[Plain]],-1,0)+TblConstr[[#This Row],[Ch_Plain]]</f>
        <v>60</v>
      </c>
      <c r="H65" s="182">
        <f ca="1">OFFSET(TblConstr[[#This Row],[Forest]],-1,0)+TblConstr[[#This Row],[Ch_Forest]]</f>
        <v>0</v>
      </c>
      <c r="I65" s="359">
        <f ca="1">OFFSET(TblConstr[[#This Row],[Mountain]],-1,0)+TblConstr[[#This Row],[Ch_Mountain]]</f>
        <v>0</v>
      </c>
      <c r="J65" s="363">
        <f ca="1">OFFSET(TblConstr[[#This Row],[Hill]],-1,0)+TblConstr[[#This Row],[Ch_Hill]]</f>
        <v>0</v>
      </c>
      <c r="K65" s="367">
        <f ca="1">OFFSET(TblConstr[[#This Row],[Swamp]],-1,0)+TblConstr[[#This Row],[Ch_Swamp]]</f>
        <v>0</v>
      </c>
      <c r="L65" s="185">
        <f ca="1">OFFSET(TblConstr[[#This Row],[Cavern]],-1,0)+TblConstr[[#This Row],[Ch_Cavern]]</f>
        <v>0</v>
      </c>
      <c r="M65" s="186">
        <f ca="1">OFFSET(TblConstr[[#This Row],[Water]],-1,0)+TblConstr[[#This Row],[Ch_Water]]</f>
        <v>0</v>
      </c>
      <c r="N65" s="357">
        <f>TblRezone[[#This Row],[Hour]]</f>
        <v>62</v>
      </c>
      <c r="O65" s="179"/>
      <c r="P65" s="179"/>
      <c r="Q65" s="179"/>
      <c r="R65" s="179"/>
      <c r="S65" s="179"/>
      <c r="T65" s="179"/>
      <c r="U65" s="179"/>
      <c r="V65" s="179"/>
      <c r="W65" s="179"/>
      <c r="X65" s="179"/>
      <c r="Y65" s="179"/>
      <c r="Z65" s="179"/>
      <c r="AA65" s="179"/>
      <c r="AB65" s="179"/>
      <c r="AC65" s="179"/>
      <c r="AD65" s="179"/>
      <c r="AE65" s="179"/>
      <c r="AF65" s="179"/>
      <c r="AG65" s="179"/>
      <c r="AH65" s="53">
        <f ca="1">TblImps[[#This Row],[Time]]</f>
        <v>46049.541666666519</v>
      </c>
      <c r="AI65" s="180">
        <f ca="1">MIN(25%,(TblConstr[[#This Row],[Tot Fac]]+TblConstr[[#This Row],[Dest Fac]])/(TblConstr[[#This Row],[Land]]-TblExplore[[#This Row],[Land Bonus]]*20))</f>
        <v>0</v>
      </c>
      <c r="AJ65" s="180">
        <f ca="1">MIN(25%,(TblConstr[[#This Row],[Tot Fac]]+TblConstr[[#This Row],[Dest Fac]])/TblConstr[[#This Row],[Land]])</f>
        <v>0</v>
      </c>
      <c r="AK65" s="94">
        <f ca="1">TblProd[[#This Row],[Platinum]]</f>
        <v>153267</v>
      </c>
      <c r="AL65" s="94">
        <f ca="1">TblProd[[#This Row],[Lumber]]</f>
        <v>53955</v>
      </c>
      <c r="AM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5" s="94">
        <f ca="1">ROUNDDOWN( MAX(1 - MIN(facs_constr_factor*TblConstr[[#This Row],[Facs -DB]],facs_constr_max) + tech_1_11*TblTech[[#This Row],[11-1]] + tech_6_3_2*TblTech[[#This Row],[6-3]] + tech_5_2_3*TblTech[[#This Row],[5-2]], 1-global_constr_cap) * TblConstr[[#This Row],[RCPA Lumber]],0)</f>
        <v>48</v>
      </c>
      <c r="AO6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5" s="94">
        <f ca="1">ROUNDDOWN( MAX(1 - MIN(facs_constr_factor*TblConstr[[#This Row],[Facs DB]],facs_constr_max) + tech_1_11*TblTech[[#This Row],[1-11]] + tech_6_3_2*TblTech[[#This Row],[6-3]] + tech_5_2_3*TblTech[[#This Row],[5-2]], 1-global_constr_cap) * ROUND((TblConstr[[#This Row],[Land]]-250)*0.285 + 87.5 + 0/4.25,0),0)</f>
        <v>48</v>
      </c>
      <c r="AQ65" s="45">
        <f ca="1">TblConstr[[#This Row],[build -db]]*TblConstr[[#This Row],[CPA Platinum -DB]] + TblConstr[[#This Row],[build db]]*TblConstr[[#This Row],[CPA Platinum DB]]</f>
        <v>0</v>
      </c>
      <c r="AR65" s="45">
        <f ca="1">TblConstr[[#This Row],[build -db]]*TblConstr[[#This Row],[CPA Lumber -DB]] + TblConstr[[#This Row],[build db]]*TblConstr[[#This Row],[CPA Lumber DB]]</f>
        <v>0</v>
      </c>
      <c r="AS65" s="94">
        <f ca="1">MIN(SUM(OFFSET(TblConstr[[#This Row],[Plain]:[Water]],-1,0))+SUM(TblConstr[[#This Row],[Dest Hom]:[Dest Doc]])+IF(TblConstr[[#This Row],[Hour]]&gt;12,SUM(OFFSET(TblExplore[[#This Row],[Plains Explore]:[Water Explore]],-12,0)),0),SUM(TblConstr[[#This Row],[Hom]:[Doc]]))</f>
        <v>0</v>
      </c>
      <c r="AT6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5" s="142"/>
      <c r="AV65" s="94">
        <f ca="1">ROUND((TblConstr[[#This Row],[Land]]-250 - IF(TblExplore[[#This Row],[Land Bonus]]&lt;&gt;0,20,0))*1.25 + 850 + 0,0)</f>
        <v>675</v>
      </c>
      <c r="AW65" s="94">
        <f ca="1">ROUND((TblConstr[[#This Row],[Land]]-250 - IF(TblExplore[[#This Row],[Land Bonus]]&lt;&gt;0,20,0))*0.285 + 87.5 + 0/4.25,0)</f>
        <v>48</v>
      </c>
      <c r="AX65" s="154"/>
      <c r="AY65" s="188" cm="1">
        <f t="array" aca="1" ref="AY65" ca="1">IF(TblConstr[[#This Row],[Hour]:[Hour]]&gt;12,OFFSET(TblConstr[[#This Row],[Hom]],-12,0),0)+OFFSET(TblConstr[[#This Row],[Tot Hom]],-1,0)-TblConstr[[#This Row],[Dest Hom]]</f>
        <v>0</v>
      </c>
      <c r="AZ65" s="189" cm="1">
        <f t="array" aca="1" ref="AZ65" ca="1">IF(TblConstr[[#This Row],[Hour]:[Hour]]&gt;12,OFFSET(TblConstr[[#This Row],[Alc]],-12,0),0)+OFFSET(TblConstr[[#This Row],[Tot Alc]],-1,0)-TblConstr[[#This Row],[Dest Alc]]</f>
        <v>0</v>
      </c>
      <c r="BA65" s="189" cm="1">
        <f t="array" aca="1" ref="BA65" ca="1">IF(TblConstr[[#This Row],[Hour]:[Hour]]&gt;12,OFFSET(TblConstr[[#This Row],[Far]],-12,0),0)+OFFSET(TblConstr[[#This Row],[Tot Farm]],-1,0)-TblConstr[[#This Row],[Dest Farm]]</f>
        <v>30</v>
      </c>
      <c r="BB65" s="189" cm="1">
        <f t="array" aca="1" ref="BB65" ca="1">IF(TblConstr[[#This Row],[Hour]:[Hour]]&gt;12,OFFSET(TblConstr[[#This Row],[Smi]],-12,0),0)+OFFSET(TblConstr[[#This Row],[Tot Smi]],-1,0)-TblConstr[[#This Row],[Dest Smi]]</f>
        <v>0</v>
      </c>
      <c r="BC65" s="189" cm="1">
        <f t="array" aca="1" ref="BC65" ca="1">IF(TblConstr[[#This Row],[Hour]:[Hour]]&gt;12,OFFSET(TblConstr[[#This Row],[Mas]],-12,0),0)+OFFSET(TblConstr[[#This Row],[Tot Mas]],-1,0)-TblConstr[[#This Row],[Dest Mas]]</f>
        <v>0</v>
      </c>
      <c r="BD65" s="190" cm="1">
        <f t="array" aca="1" ref="BD65" ca="1">IF(TblConstr[[#This Row],[Hour]:[Hour]]&gt;12,OFFSET(TblConstr[[#This Row],[Ly]],-12,0),0)+OFFSET(TblConstr[[#This Row],[Tot Ly]],-1,0)-TblConstr[[#This Row],[Dest Ly]]</f>
        <v>20</v>
      </c>
      <c r="BE65" s="190" cm="1">
        <f t="array" aca="1" ref="BE65" ca="1">IF(TblConstr[[#This Row],[Hour]:[Hour]]&gt;12,OFFSET(TblConstr[[#This Row],[Hav]],-12,0),0)+OFFSET(TblConstr[[#This Row],[Tot Hav]],-1,0)-TblConstr[[#This Row],[Dest Hav]]</f>
        <v>0</v>
      </c>
      <c r="BF65" s="361" cm="1">
        <f t="array" aca="1" ref="BF65" ca="1">IF(TblConstr[[#This Row],[Hour]:[Hour]]&gt;12,OFFSET(TblConstr[[#This Row],[OM]],-12,0),0)+OFFSET(TblConstr[[#This Row],[Tot OM]],-1,0)-TblConstr[[#This Row],[Dest OM]]</f>
        <v>0</v>
      </c>
      <c r="BG65" s="361" cm="1">
        <f t="array" aca="1" ref="BG65" ca="1">IF(TblConstr[[#This Row],[Hour]:[Hour]]&gt;12,OFFSET(TblConstr[[#This Row],[GN]],-12,0),0)+OFFSET(TblConstr[[#This Row],[Tot GN]],-1,0)-TblConstr[[#This Row],[Dest GN]]</f>
        <v>0</v>
      </c>
      <c r="BH65" s="365" cm="1">
        <f t="array" aca="1" ref="BH65" ca="1">IF(TblConstr[[#This Row],[Hour]:[Hour]]&gt;12,OFFSET(TblConstr[[#This Row],[Fac]],-12,0),0)+OFFSET(TblConstr[[#This Row],[Tot Fac]],-1,0)-TblConstr[[#This Row],[Dest Fac]]</f>
        <v>0</v>
      </c>
      <c r="BI65" s="365" cm="1">
        <f t="array" aca="1" ref="BI65" ca="1">IF(TblConstr[[#This Row],[Hour]:[Hour]]&gt;12,OFFSET(TblConstr[[#This Row],[GT]],-12,0),0)+OFFSET(TblConstr[[#This Row],[Tot GT]],-1,0)-TblConstr[[#This Row],[Dest GT]]</f>
        <v>0</v>
      </c>
      <c r="BJ65" s="365" cm="1">
        <f t="array" aca="1" ref="BJ65" ca="1">IF(TblConstr[[#This Row],[Hour]:[Hour]]&gt;12,OFFSET(TblConstr[[#This Row],[Bar]],-12,0),0)+OFFSET(TblConstr[[#This Row],[Tot Bar]],-1,0)-TblConstr[[#This Row],[Dest Bar]]</f>
        <v>0</v>
      </c>
      <c r="BK65" s="365" cm="1">
        <f t="array" aca="1" ref="BK65" ca="1">IF(TblConstr[[#This Row],[Hour]:[Hour]]&gt;12,OFFSET(TblConstr[[#This Row],[Shr]],-12,0),0)+OFFSET(TblConstr[[#This Row],[Tot Shr]],-1,0)-TblConstr[[#This Row],[Dest Shr]]</f>
        <v>0</v>
      </c>
      <c r="BL65" s="369" cm="1">
        <f t="array" aca="1" ref="BL65" ca="1">IF(TblConstr[[#This Row],[Hour]:[Hour]]&gt;12,OFFSET(TblConstr[[#This Row],[Tow]],-12,0),0)+OFFSET(TblConstr[[#This Row],[Tot Tow]],-1,0)-TblConstr[[#This Row],[Dest Tow]]</f>
        <v>0</v>
      </c>
      <c r="BM65" s="369" cm="1">
        <f t="array" aca="1" ref="BM65" ca="1">IF(TblConstr[[#This Row],[Hour]:[Hour]]&gt;12,OFFSET(TblConstr[[#This Row],[Tem]],-12,0),0)+OFFSET(TblConstr[[#This Row],[Tot Tem]],-1,0)-TblConstr[[#This Row],[Dest Tem]]</f>
        <v>0</v>
      </c>
      <c r="BN65" s="369" cm="1">
        <f t="array" aca="1" ref="BN65" ca="1">IF(TblConstr[[#This Row],[Hour]:[Hour]]&gt;12,OFFSET(TblConstr[[#This Row],[WG]],-12,0),0)+OFFSET(TblConstr[[#This Row],[Tot WG]],-1,0)-TblConstr[[#This Row],[Dest WG]]</f>
        <v>0</v>
      </c>
      <c r="BO65" s="191" cm="1">
        <f t="array" aca="1" ref="BO65" ca="1">IF(TblConstr[[#This Row],[Hour]:[Hour]]&gt;12,OFFSET(TblConstr[[#This Row],[DM]],-12,0),0)+OFFSET(TblConstr[[#This Row],[Tot DM]],-1,0)-TblConstr[[#This Row],[Dest DM]]</f>
        <v>0</v>
      </c>
      <c r="BP65" s="191" cm="1">
        <f t="array" aca="1" ref="BP65" ca="1">IF(TblConstr[[#This Row],[Hour]:[Hour]]&gt;12,OFFSET(TblConstr[[#This Row],[Sch]],-12,0),0)+OFFSET(TblConstr[[#This Row],[Tot Sch]],-1,0)-TblConstr[[#This Row],[Dest Sch]]</f>
        <v>0</v>
      </c>
      <c r="BQ65" s="192" cm="1">
        <f t="array" aca="1" ref="BQ65" ca="1">IF(TblConstr[[#This Row],[Hour]:[Hour]]&gt;12,OFFSET(TblConstr[[#This Row],[Doc]],-12,0),0)+OFFSET(TblConstr[[#This Row],[Tot Doc]],-1,0)-TblConstr[[#This Row],[Dest Doc]]</f>
        <v>0</v>
      </c>
      <c r="BR65" s="142"/>
      <c r="BS65" s="154"/>
      <c r="BT65" s="94">
        <f ca="1">TblConstr[[#This Row],[Land]]</f>
        <v>110</v>
      </c>
      <c r="BU65" s="159">
        <f ca="1">TblImps[[#This Row],[Time]]</f>
        <v>46049.541666666519</v>
      </c>
      <c r="BV65" s="142"/>
      <c r="BW65" s="179"/>
      <c r="BX65" s="179"/>
      <c r="BY65" s="179"/>
      <c r="BZ65" s="179"/>
      <c r="CA65" s="179"/>
      <c r="CB65" s="179"/>
      <c r="CC65" s="179"/>
      <c r="CD65" s="179"/>
      <c r="CE65" s="179"/>
      <c r="CF65" s="179"/>
      <c r="CG65" s="179"/>
      <c r="CH65" s="179"/>
      <c r="CI65" s="179"/>
      <c r="CJ65" s="179"/>
      <c r="CK65" s="179"/>
      <c r="CL65" s="179"/>
      <c r="CM65" s="179"/>
      <c r="CN65" s="179"/>
      <c r="CO65" s="179"/>
      <c r="CP65" s="142"/>
      <c r="CQ65" s="181">
        <f ca="1">-SUM(TblConstr[[#This Row],[Alc]:[Mas]])+SUM(TblConstr[[#This Row],[Dest Alc]:[Dest Mas]])+Rezone!L65+IF("Ch_"&amp; home_land=TblConstr[[#Headers],[Ch_Plain]],TblConstr[[#This Row],[Home Land]])+IF(TblConstr[[#This Row],[Hour]:[Hour]]&gt;12,OFFSET(TblExplore[[#This Row],[Plains Explore]],-12,0),0)</f>
        <v>0</v>
      </c>
      <c r="CR65" s="182">
        <f ca="1">-SUM(TblConstr[[#This Row],[Ly]:[Hav]])+SUM(TblConstr[[#This Row],[Dest Ly]:[Dest Hav]]) +Rezone!M65 + IF("Ch_"&amp; home_land=TblConstr[[#Headers],[Ch_Forest]],TblConstr[[#This Row],[Home Land]])+IF(TblConstr[[#This Row],[Hour]:[Hour]]&gt;12,OFFSET(TblExplore[[#This Row],[Forest Explore]],-12,0),0)</f>
        <v>0</v>
      </c>
      <c r="CS65" s="359">
        <f ca="1">-SUM(TblConstr[[#This Row],[OM]:[GN]])+SUM(TblConstr[[#This Row],[Dest OM]:[Dest GN]]) +Rezone!N65 + IF("Ch_"&amp; home_land=TblConstr[[#Headers],[Ch_Mountain]],TblConstr[[#This Row],[Home Land]])+IF(TblConstr[[#This Row],[Hour]:[Hour]]&gt;12,OFFSET(TblExplore[[#This Row],[Mountain Explore]],-12,0),0)</f>
        <v>0</v>
      </c>
      <c r="CT65" s="183">
        <f ca="1">-SUM(TblConstr[[#This Row],[Fac]:[Shr]])+SUM(TblConstr[[#This Row],[Dest Fac]:[Dest Shr]]) +Rezone!O65 + IF("Ch_" &amp; home_land=TblConstr[[#Headers],[Ch_Hill]],TblConstr[[#This Row],[Home Land]])+IF(TblConstr[[#This Row],[Hour]:[Hour]]&gt;12,OFFSET(TblExplore[[#This Row],[Hill Explore]],-12,0),0)</f>
        <v>0</v>
      </c>
      <c r="CU65" s="184">
        <f ca="1">-SUM(TblConstr[[#This Row],[Tow]:[WG]])+SUM(TblConstr[[#This Row],[Dest Tow]:[Dest WG]]) +Rezone!P65 + IF("Ch_" &amp; home_land=TblConstr[[#Headers],[Ch_Swamp]],TblConstr[[#This Row],[Home Land]])+IF(TblConstr[[#This Row],[Hour]:[Hour]]&gt;12,OFFSET(TblExplore[[#This Row],[Swamp Explore]],-12,0),0)</f>
        <v>0</v>
      </c>
      <c r="CV65" s="185">
        <f ca="1" xml:space="preserve"> - SUM(TblConstr[[#This Row],[DM]:[Sch]])+SUM(TblConstr[[#This Row],[Dest DM]:[Dest Sch]]) +Rezone!Q65 + IF("Ch_" &amp; home_land=TblConstr[[#Headers],[Ch_Cavern]],TblConstr[[#This Row],[Home Land]])+IF(TblConstr[[#This Row],[Hour]:[Hour]]&gt;12,OFFSET(TblExplore[[#This Row],[Cavern Explore]],-12,0),0)</f>
        <v>0</v>
      </c>
      <c r="CW65" s="186">
        <f ca="1">-TblConstr[[#This Row],[Doc]]+TblConstr[[#This Row],[Dest Doc]] +Rezone!R65 + IF("Ch_" &amp; home_land=TblConstr[[#Headers],[Ch_Water]],TblConstr[[#This Row],[Home Land]])+IF(TblConstr[[#This Row],[Hour]:[Hour]]&gt;12,OFFSET(TblExplore[[#This Row],[Water Explore]],-12,0),0)</f>
        <v>0</v>
      </c>
      <c r="CX65" s="45">
        <f>IF(Explore!S65=1,20) - TblConstr[[#This Row],[Hom]] + TblConstr[[#This Row],[Dest Hom]]</f>
        <v>0</v>
      </c>
      <c r="CY65" s="142"/>
      <c r="CZ65" s="94">
        <f t="shared" ca="1" si="12"/>
        <v>90</v>
      </c>
      <c r="DA65" s="94">
        <f t="shared" ca="1" si="13"/>
        <v>20</v>
      </c>
      <c r="DB65" s="45">
        <f t="shared" ca="1" si="14"/>
        <v>0</v>
      </c>
      <c r="DC65" s="94">
        <f t="shared" ca="1" si="15"/>
        <v>0</v>
      </c>
      <c r="DD65" s="94">
        <f t="shared" ca="1" si="16"/>
        <v>0</v>
      </c>
      <c r="DE65" s="45">
        <f t="shared" ca="1" si="17"/>
        <v>0</v>
      </c>
      <c r="DF65" s="94">
        <f t="shared" ca="1" si="18"/>
        <v>0</v>
      </c>
      <c r="DG65" s="94" cm="1">
        <f t="array" aca="1" ref="DG65" ca="1">INDEX(TblConstr[[Total Plain]:[Total Water]],ROW()-ROW(TblConstr[#Headers]),MATCH("Total "&amp;home_land,TblConstr[[#Headers],[Total Plain]:[Total Water]],0))+TblConstr[[#This Row],[Homes]]</f>
        <v>90</v>
      </c>
      <c r="DH65" s="45">
        <f t="shared" ca="1" si="10"/>
        <v>0</v>
      </c>
      <c r="DI65" s="45">
        <f t="shared" ca="1" si="0"/>
        <v>0</v>
      </c>
      <c r="DJ65" s="45">
        <f t="shared" ca="1" si="1"/>
        <v>0</v>
      </c>
    </row>
    <row r="66" spans="1:114" x14ac:dyDescent="0.2">
      <c r="A66" s="175">
        <f>TblRezone[[#This Row],[Hour]]</f>
        <v>63</v>
      </c>
      <c r="B66" s="176">
        <f ca="1">SUM(TblConstr[[#This Row],[Plain]:[Water]])</f>
        <v>60</v>
      </c>
      <c r="C66" s="177">
        <f ca="1">SUM(TblConstr[[#This Row],[Tot Hom]:[Tot Doc]])</f>
        <v>50</v>
      </c>
      <c r="D66" s="177">
        <f t="shared" si="11"/>
        <v>0</v>
      </c>
      <c r="E66" s="178"/>
      <c r="F66" s="61">
        <f ca="1">TblConstr[[#This Row],[Barren]]+TblConstr[[#This Row],[Buildings]]+TblConstr[[#This Row],[Incoming]]</f>
        <v>110</v>
      </c>
      <c r="G66" s="187">
        <f ca="1">OFFSET(TblConstr[[#This Row],[Plain]],-1,0)+TblConstr[[#This Row],[Ch_Plain]]</f>
        <v>60</v>
      </c>
      <c r="H66" s="182">
        <f ca="1">OFFSET(TblConstr[[#This Row],[Forest]],-1,0)+TblConstr[[#This Row],[Ch_Forest]]</f>
        <v>0</v>
      </c>
      <c r="I66" s="359">
        <f ca="1">OFFSET(TblConstr[[#This Row],[Mountain]],-1,0)+TblConstr[[#This Row],[Ch_Mountain]]</f>
        <v>0</v>
      </c>
      <c r="J66" s="363">
        <f ca="1">OFFSET(TblConstr[[#This Row],[Hill]],-1,0)+TblConstr[[#This Row],[Ch_Hill]]</f>
        <v>0</v>
      </c>
      <c r="K66" s="367">
        <f ca="1">OFFSET(TblConstr[[#This Row],[Swamp]],-1,0)+TblConstr[[#This Row],[Ch_Swamp]]</f>
        <v>0</v>
      </c>
      <c r="L66" s="185">
        <f ca="1">OFFSET(TblConstr[[#This Row],[Cavern]],-1,0)+TblConstr[[#This Row],[Ch_Cavern]]</f>
        <v>0</v>
      </c>
      <c r="M66" s="186">
        <f ca="1">OFFSET(TblConstr[[#This Row],[Water]],-1,0)+TblConstr[[#This Row],[Ch_Water]]</f>
        <v>0</v>
      </c>
      <c r="N66" s="357">
        <f>TblRezone[[#This Row],[Hour]]</f>
        <v>63</v>
      </c>
      <c r="O66" s="179"/>
      <c r="P66" s="179"/>
      <c r="Q66" s="179"/>
      <c r="R66" s="179"/>
      <c r="S66" s="179"/>
      <c r="T66" s="179"/>
      <c r="U66" s="179"/>
      <c r="V66" s="179"/>
      <c r="W66" s="179"/>
      <c r="X66" s="179"/>
      <c r="Y66" s="179"/>
      <c r="Z66" s="179"/>
      <c r="AA66" s="179"/>
      <c r="AB66" s="179"/>
      <c r="AC66" s="179"/>
      <c r="AD66" s="179"/>
      <c r="AE66" s="179"/>
      <c r="AF66" s="179"/>
      <c r="AG66" s="179"/>
      <c r="AH66" s="53">
        <f ca="1">TblImps[[#This Row],[Time]]</f>
        <v>46049.583333333183</v>
      </c>
      <c r="AI66" s="180">
        <f ca="1">MIN(25%,(TblConstr[[#This Row],[Tot Fac]]+TblConstr[[#This Row],[Dest Fac]])/(TblConstr[[#This Row],[Land]]-TblExplore[[#This Row],[Land Bonus]]*20))</f>
        <v>0</v>
      </c>
      <c r="AJ66" s="180">
        <f ca="1">MIN(25%,(TblConstr[[#This Row],[Tot Fac]]+TblConstr[[#This Row],[Dest Fac]])/TblConstr[[#This Row],[Land]])</f>
        <v>0</v>
      </c>
      <c r="AK66" s="94">
        <f ca="1">TblProd[[#This Row],[Platinum]]</f>
        <v>154730</v>
      </c>
      <c r="AL66" s="94">
        <f ca="1">TblProd[[#This Row],[Lumber]]</f>
        <v>54415</v>
      </c>
      <c r="AM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6" s="94">
        <f ca="1">ROUNDDOWN( MAX(1 - MIN(facs_constr_factor*TblConstr[[#This Row],[Facs -DB]],facs_constr_max) + tech_1_11*TblTech[[#This Row],[11-1]] + tech_6_3_2*TblTech[[#This Row],[6-3]] + tech_5_2_3*TblTech[[#This Row],[5-2]], 1-global_constr_cap) * TblConstr[[#This Row],[RCPA Lumber]],0)</f>
        <v>48</v>
      </c>
      <c r="AO6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6" s="94">
        <f ca="1">ROUNDDOWN( MAX(1 - MIN(facs_constr_factor*TblConstr[[#This Row],[Facs DB]],facs_constr_max) + tech_1_11*TblTech[[#This Row],[1-11]] + tech_6_3_2*TblTech[[#This Row],[6-3]] + tech_5_2_3*TblTech[[#This Row],[5-2]], 1-global_constr_cap) * ROUND((TblConstr[[#This Row],[Land]]-250)*0.285 + 87.5 + 0/4.25,0),0)</f>
        <v>48</v>
      </c>
      <c r="AQ66" s="45">
        <f ca="1">TblConstr[[#This Row],[build -db]]*TblConstr[[#This Row],[CPA Platinum -DB]] + TblConstr[[#This Row],[build db]]*TblConstr[[#This Row],[CPA Platinum DB]]</f>
        <v>0</v>
      </c>
      <c r="AR66" s="45">
        <f ca="1">TblConstr[[#This Row],[build -db]]*TblConstr[[#This Row],[CPA Lumber -DB]] + TblConstr[[#This Row],[build db]]*TblConstr[[#This Row],[CPA Lumber DB]]</f>
        <v>0</v>
      </c>
      <c r="AS66" s="94">
        <f ca="1">MIN(SUM(OFFSET(TblConstr[[#This Row],[Plain]:[Water]],-1,0))+SUM(TblConstr[[#This Row],[Dest Hom]:[Dest Doc]])+IF(TblConstr[[#This Row],[Hour]]&gt;12,SUM(OFFSET(TblExplore[[#This Row],[Plains Explore]:[Water Explore]],-12,0)),0),SUM(TblConstr[[#This Row],[Hom]:[Doc]]))</f>
        <v>0</v>
      </c>
      <c r="AT6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6" s="142"/>
      <c r="AV66" s="94">
        <f ca="1">ROUND((TblConstr[[#This Row],[Land]]-250 - IF(TblExplore[[#This Row],[Land Bonus]]&lt;&gt;0,20,0))*1.25 + 850 + 0,0)</f>
        <v>675</v>
      </c>
      <c r="AW66" s="94">
        <f ca="1">ROUND((TblConstr[[#This Row],[Land]]-250 - IF(TblExplore[[#This Row],[Land Bonus]]&lt;&gt;0,20,0))*0.285 + 87.5 + 0/4.25,0)</f>
        <v>48</v>
      </c>
      <c r="AX66" s="154"/>
      <c r="AY66" s="188" cm="1">
        <f t="array" aca="1" ref="AY66" ca="1">IF(TblConstr[[#This Row],[Hour]:[Hour]]&gt;12,OFFSET(TblConstr[[#This Row],[Hom]],-12,0),0)+OFFSET(TblConstr[[#This Row],[Tot Hom]],-1,0)-TblConstr[[#This Row],[Dest Hom]]</f>
        <v>0</v>
      </c>
      <c r="AZ66" s="189" cm="1">
        <f t="array" aca="1" ref="AZ66" ca="1">IF(TblConstr[[#This Row],[Hour]:[Hour]]&gt;12,OFFSET(TblConstr[[#This Row],[Alc]],-12,0),0)+OFFSET(TblConstr[[#This Row],[Tot Alc]],-1,0)-TblConstr[[#This Row],[Dest Alc]]</f>
        <v>0</v>
      </c>
      <c r="BA66" s="189" cm="1">
        <f t="array" aca="1" ref="BA66" ca="1">IF(TblConstr[[#This Row],[Hour]:[Hour]]&gt;12,OFFSET(TblConstr[[#This Row],[Far]],-12,0),0)+OFFSET(TblConstr[[#This Row],[Tot Farm]],-1,0)-TblConstr[[#This Row],[Dest Farm]]</f>
        <v>30</v>
      </c>
      <c r="BB66" s="189" cm="1">
        <f t="array" aca="1" ref="BB66" ca="1">IF(TblConstr[[#This Row],[Hour]:[Hour]]&gt;12,OFFSET(TblConstr[[#This Row],[Smi]],-12,0),0)+OFFSET(TblConstr[[#This Row],[Tot Smi]],-1,0)-TblConstr[[#This Row],[Dest Smi]]</f>
        <v>0</v>
      </c>
      <c r="BC66" s="189" cm="1">
        <f t="array" aca="1" ref="BC66" ca="1">IF(TblConstr[[#This Row],[Hour]:[Hour]]&gt;12,OFFSET(TblConstr[[#This Row],[Mas]],-12,0),0)+OFFSET(TblConstr[[#This Row],[Tot Mas]],-1,0)-TblConstr[[#This Row],[Dest Mas]]</f>
        <v>0</v>
      </c>
      <c r="BD66" s="190" cm="1">
        <f t="array" aca="1" ref="BD66" ca="1">IF(TblConstr[[#This Row],[Hour]:[Hour]]&gt;12,OFFSET(TblConstr[[#This Row],[Ly]],-12,0),0)+OFFSET(TblConstr[[#This Row],[Tot Ly]],-1,0)-TblConstr[[#This Row],[Dest Ly]]</f>
        <v>20</v>
      </c>
      <c r="BE66" s="190" cm="1">
        <f t="array" aca="1" ref="BE66" ca="1">IF(TblConstr[[#This Row],[Hour]:[Hour]]&gt;12,OFFSET(TblConstr[[#This Row],[Hav]],-12,0),0)+OFFSET(TblConstr[[#This Row],[Tot Hav]],-1,0)-TblConstr[[#This Row],[Dest Hav]]</f>
        <v>0</v>
      </c>
      <c r="BF66" s="361" cm="1">
        <f t="array" aca="1" ref="BF66" ca="1">IF(TblConstr[[#This Row],[Hour]:[Hour]]&gt;12,OFFSET(TblConstr[[#This Row],[OM]],-12,0),0)+OFFSET(TblConstr[[#This Row],[Tot OM]],-1,0)-TblConstr[[#This Row],[Dest OM]]</f>
        <v>0</v>
      </c>
      <c r="BG66" s="361" cm="1">
        <f t="array" aca="1" ref="BG66" ca="1">IF(TblConstr[[#This Row],[Hour]:[Hour]]&gt;12,OFFSET(TblConstr[[#This Row],[GN]],-12,0),0)+OFFSET(TblConstr[[#This Row],[Tot GN]],-1,0)-TblConstr[[#This Row],[Dest GN]]</f>
        <v>0</v>
      </c>
      <c r="BH66" s="365" cm="1">
        <f t="array" aca="1" ref="BH66" ca="1">IF(TblConstr[[#This Row],[Hour]:[Hour]]&gt;12,OFFSET(TblConstr[[#This Row],[Fac]],-12,0),0)+OFFSET(TblConstr[[#This Row],[Tot Fac]],-1,0)-TblConstr[[#This Row],[Dest Fac]]</f>
        <v>0</v>
      </c>
      <c r="BI66" s="365" cm="1">
        <f t="array" aca="1" ref="BI66" ca="1">IF(TblConstr[[#This Row],[Hour]:[Hour]]&gt;12,OFFSET(TblConstr[[#This Row],[GT]],-12,0),0)+OFFSET(TblConstr[[#This Row],[Tot GT]],-1,0)-TblConstr[[#This Row],[Dest GT]]</f>
        <v>0</v>
      </c>
      <c r="BJ66" s="365" cm="1">
        <f t="array" aca="1" ref="BJ66" ca="1">IF(TblConstr[[#This Row],[Hour]:[Hour]]&gt;12,OFFSET(TblConstr[[#This Row],[Bar]],-12,0),0)+OFFSET(TblConstr[[#This Row],[Tot Bar]],-1,0)-TblConstr[[#This Row],[Dest Bar]]</f>
        <v>0</v>
      </c>
      <c r="BK66" s="365" cm="1">
        <f t="array" aca="1" ref="BK66" ca="1">IF(TblConstr[[#This Row],[Hour]:[Hour]]&gt;12,OFFSET(TblConstr[[#This Row],[Shr]],-12,0),0)+OFFSET(TblConstr[[#This Row],[Tot Shr]],-1,0)-TblConstr[[#This Row],[Dest Shr]]</f>
        <v>0</v>
      </c>
      <c r="BL66" s="369" cm="1">
        <f t="array" aca="1" ref="BL66" ca="1">IF(TblConstr[[#This Row],[Hour]:[Hour]]&gt;12,OFFSET(TblConstr[[#This Row],[Tow]],-12,0),0)+OFFSET(TblConstr[[#This Row],[Tot Tow]],-1,0)-TblConstr[[#This Row],[Dest Tow]]</f>
        <v>0</v>
      </c>
      <c r="BM66" s="369" cm="1">
        <f t="array" aca="1" ref="BM66" ca="1">IF(TblConstr[[#This Row],[Hour]:[Hour]]&gt;12,OFFSET(TblConstr[[#This Row],[Tem]],-12,0),0)+OFFSET(TblConstr[[#This Row],[Tot Tem]],-1,0)-TblConstr[[#This Row],[Dest Tem]]</f>
        <v>0</v>
      </c>
      <c r="BN66" s="369" cm="1">
        <f t="array" aca="1" ref="BN66" ca="1">IF(TblConstr[[#This Row],[Hour]:[Hour]]&gt;12,OFFSET(TblConstr[[#This Row],[WG]],-12,0),0)+OFFSET(TblConstr[[#This Row],[Tot WG]],-1,0)-TblConstr[[#This Row],[Dest WG]]</f>
        <v>0</v>
      </c>
      <c r="BO66" s="191" cm="1">
        <f t="array" aca="1" ref="BO66" ca="1">IF(TblConstr[[#This Row],[Hour]:[Hour]]&gt;12,OFFSET(TblConstr[[#This Row],[DM]],-12,0),0)+OFFSET(TblConstr[[#This Row],[Tot DM]],-1,0)-TblConstr[[#This Row],[Dest DM]]</f>
        <v>0</v>
      </c>
      <c r="BP66" s="191" cm="1">
        <f t="array" aca="1" ref="BP66" ca="1">IF(TblConstr[[#This Row],[Hour]:[Hour]]&gt;12,OFFSET(TblConstr[[#This Row],[Sch]],-12,0),0)+OFFSET(TblConstr[[#This Row],[Tot Sch]],-1,0)-TblConstr[[#This Row],[Dest Sch]]</f>
        <v>0</v>
      </c>
      <c r="BQ66" s="192" cm="1">
        <f t="array" aca="1" ref="BQ66" ca="1">IF(TblConstr[[#This Row],[Hour]:[Hour]]&gt;12,OFFSET(TblConstr[[#This Row],[Doc]],-12,0),0)+OFFSET(TblConstr[[#This Row],[Tot Doc]],-1,0)-TblConstr[[#This Row],[Dest Doc]]</f>
        <v>0</v>
      </c>
      <c r="BR66" s="142"/>
      <c r="BS66" s="154"/>
      <c r="BT66" s="94">
        <f ca="1">TblConstr[[#This Row],[Land]]</f>
        <v>110</v>
      </c>
      <c r="BU66" s="159">
        <f ca="1">TblImps[[#This Row],[Time]]</f>
        <v>46049.583333333183</v>
      </c>
      <c r="BV66" s="142"/>
      <c r="BW66" s="179"/>
      <c r="BX66" s="179"/>
      <c r="BY66" s="179"/>
      <c r="BZ66" s="179"/>
      <c r="CA66" s="179"/>
      <c r="CB66" s="179"/>
      <c r="CC66" s="179"/>
      <c r="CD66" s="179"/>
      <c r="CE66" s="179"/>
      <c r="CF66" s="179"/>
      <c r="CG66" s="179"/>
      <c r="CH66" s="179"/>
      <c r="CI66" s="179"/>
      <c r="CJ66" s="179"/>
      <c r="CK66" s="179"/>
      <c r="CL66" s="179"/>
      <c r="CM66" s="179"/>
      <c r="CN66" s="179"/>
      <c r="CO66" s="179"/>
      <c r="CP66" s="142"/>
      <c r="CQ66" s="181">
        <f ca="1">-SUM(TblConstr[[#This Row],[Alc]:[Mas]])+SUM(TblConstr[[#This Row],[Dest Alc]:[Dest Mas]])+Rezone!L66+IF("Ch_"&amp; home_land=TblConstr[[#Headers],[Ch_Plain]],TblConstr[[#This Row],[Home Land]])+IF(TblConstr[[#This Row],[Hour]:[Hour]]&gt;12,OFFSET(TblExplore[[#This Row],[Plains Explore]],-12,0),0)</f>
        <v>0</v>
      </c>
      <c r="CR66" s="182">
        <f ca="1">-SUM(TblConstr[[#This Row],[Ly]:[Hav]])+SUM(TblConstr[[#This Row],[Dest Ly]:[Dest Hav]]) +Rezone!M66 + IF("Ch_"&amp; home_land=TblConstr[[#Headers],[Ch_Forest]],TblConstr[[#This Row],[Home Land]])+IF(TblConstr[[#This Row],[Hour]:[Hour]]&gt;12,OFFSET(TblExplore[[#This Row],[Forest Explore]],-12,0),0)</f>
        <v>0</v>
      </c>
      <c r="CS66" s="359">
        <f ca="1">-SUM(TblConstr[[#This Row],[OM]:[GN]])+SUM(TblConstr[[#This Row],[Dest OM]:[Dest GN]]) +Rezone!N66 + IF("Ch_"&amp; home_land=TblConstr[[#Headers],[Ch_Mountain]],TblConstr[[#This Row],[Home Land]])+IF(TblConstr[[#This Row],[Hour]:[Hour]]&gt;12,OFFSET(TblExplore[[#This Row],[Mountain Explore]],-12,0),0)</f>
        <v>0</v>
      </c>
      <c r="CT66" s="183">
        <f ca="1">-SUM(TblConstr[[#This Row],[Fac]:[Shr]])+SUM(TblConstr[[#This Row],[Dest Fac]:[Dest Shr]]) +Rezone!O66 + IF("Ch_" &amp; home_land=TblConstr[[#Headers],[Ch_Hill]],TblConstr[[#This Row],[Home Land]])+IF(TblConstr[[#This Row],[Hour]:[Hour]]&gt;12,OFFSET(TblExplore[[#This Row],[Hill Explore]],-12,0),0)</f>
        <v>0</v>
      </c>
      <c r="CU66" s="184">
        <f ca="1">-SUM(TblConstr[[#This Row],[Tow]:[WG]])+SUM(TblConstr[[#This Row],[Dest Tow]:[Dest WG]]) +Rezone!P66 + IF("Ch_" &amp; home_land=TblConstr[[#Headers],[Ch_Swamp]],TblConstr[[#This Row],[Home Land]])+IF(TblConstr[[#This Row],[Hour]:[Hour]]&gt;12,OFFSET(TblExplore[[#This Row],[Swamp Explore]],-12,0),0)</f>
        <v>0</v>
      </c>
      <c r="CV66" s="185">
        <f ca="1" xml:space="preserve"> - SUM(TblConstr[[#This Row],[DM]:[Sch]])+SUM(TblConstr[[#This Row],[Dest DM]:[Dest Sch]]) +Rezone!Q66 + IF("Ch_" &amp; home_land=TblConstr[[#Headers],[Ch_Cavern]],TblConstr[[#This Row],[Home Land]])+IF(TblConstr[[#This Row],[Hour]:[Hour]]&gt;12,OFFSET(TblExplore[[#This Row],[Cavern Explore]],-12,0),0)</f>
        <v>0</v>
      </c>
      <c r="CW66" s="186">
        <f ca="1">-TblConstr[[#This Row],[Doc]]+TblConstr[[#This Row],[Dest Doc]] +Rezone!R66 + IF("Ch_" &amp; home_land=TblConstr[[#Headers],[Ch_Water]],TblConstr[[#This Row],[Home Land]])+IF(TblConstr[[#This Row],[Hour]:[Hour]]&gt;12,OFFSET(TblExplore[[#This Row],[Water Explore]],-12,0),0)</f>
        <v>0</v>
      </c>
      <c r="CX66" s="45">
        <f>IF(Explore!S66=1,20) - TblConstr[[#This Row],[Hom]] + TblConstr[[#This Row],[Dest Hom]]</f>
        <v>0</v>
      </c>
      <c r="CY66" s="142"/>
      <c r="CZ66" s="94">
        <f t="shared" ca="1" si="12"/>
        <v>90</v>
      </c>
      <c r="DA66" s="94">
        <f t="shared" ca="1" si="13"/>
        <v>20</v>
      </c>
      <c r="DB66" s="45">
        <f t="shared" ca="1" si="14"/>
        <v>0</v>
      </c>
      <c r="DC66" s="94">
        <f t="shared" ca="1" si="15"/>
        <v>0</v>
      </c>
      <c r="DD66" s="94">
        <f t="shared" ca="1" si="16"/>
        <v>0</v>
      </c>
      <c r="DE66" s="45">
        <f t="shared" ca="1" si="17"/>
        <v>0</v>
      </c>
      <c r="DF66" s="94">
        <f t="shared" ca="1" si="18"/>
        <v>0</v>
      </c>
      <c r="DG66" s="94" cm="1">
        <f t="array" aca="1" ref="DG66" ca="1">INDEX(TblConstr[[Total Plain]:[Total Water]],ROW()-ROW(TblConstr[#Headers]),MATCH("Total "&amp;home_land,TblConstr[[#Headers],[Total Plain]:[Total Water]],0))+TblConstr[[#This Row],[Homes]]</f>
        <v>90</v>
      </c>
      <c r="DH66" s="45">
        <f t="shared" ca="1" si="10"/>
        <v>0</v>
      </c>
      <c r="DI66" s="45">
        <f t="shared" ca="1" si="0"/>
        <v>0</v>
      </c>
      <c r="DJ66" s="45">
        <f t="shared" ca="1" si="1"/>
        <v>0</v>
      </c>
    </row>
    <row r="67" spans="1:114" x14ac:dyDescent="0.2">
      <c r="A67" s="175">
        <f>TblRezone[[#This Row],[Hour]]</f>
        <v>64</v>
      </c>
      <c r="B67" s="176">
        <f ca="1">SUM(TblConstr[[#This Row],[Plain]:[Water]])</f>
        <v>60</v>
      </c>
      <c r="C67" s="177">
        <f ca="1">SUM(TblConstr[[#This Row],[Tot Hom]:[Tot Doc]])</f>
        <v>50</v>
      </c>
      <c r="D67" s="177">
        <f t="shared" si="11"/>
        <v>0</v>
      </c>
      <c r="E67" s="178"/>
      <c r="F67" s="61">
        <f ca="1">TblConstr[[#This Row],[Barren]]+TblConstr[[#This Row],[Buildings]]+TblConstr[[#This Row],[Incoming]]</f>
        <v>110</v>
      </c>
      <c r="G67" s="187">
        <f ca="1">OFFSET(TblConstr[[#This Row],[Plain]],-1,0)+TblConstr[[#This Row],[Ch_Plain]]</f>
        <v>60</v>
      </c>
      <c r="H67" s="182">
        <f ca="1">OFFSET(TblConstr[[#This Row],[Forest]],-1,0)+TblConstr[[#This Row],[Ch_Forest]]</f>
        <v>0</v>
      </c>
      <c r="I67" s="359">
        <f ca="1">OFFSET(TblConstr[[#This Row],[Mountain]],-1,0)+TblConstr[[#This Row],[Ch_Mountain]]</f>
        <v>0</v>
      </c>
      <c r="J67" s="363">
        <f ca="1">OFFSET(TblConstr[[#This Row],[Hill]],-1,0)+TblConstr[[#This Row],[Ch_Hill]]</f>
        <v>0</v>
      </c>
      <c r="K67" s="367">
        <f ca="1">OFFSET(TblConstr[[#This Row],[Swamp]],-1,0)+TblConstr[[#This Row],[Ch_Swamp]]</f>
        <v>0</v>
      </c>
      <c r="L67" s="185">
        <f ca="1">OFFSET(TblConstr[[#This Row],[Cavern]],-1,0)+TblConstr[[#This Row],[Ch_Cavern]]</f>
        <v>0</v>
      </c>
      <c r="M67" s="186">
        <f ca="1">OFFSET(TblConstr[[#This Row],[Water]],-1,0)+TblConstr[[#This Row],[Ch_Water]]</f>
        <v>0</v>
      </c>
      <c r="N67" s="357">
        <f>TblRezone[[#This Row],[Hour]]</f>
        <v>64</v>
      </c>
      <c r="O67" s="179"/>
      <c r="P67" s="179"/>
      <c r="Q67" s="179"/>
      <c r="R67" s="179"/>
      <c r="S67" s="179"/>
      <c r="T67" s="179"/>
      <c r="U67" s="179"/>
      <c r="V67" s="179"/>
      <c r="W67" s="179"/>
      <c r="X67" s="179"/>
      <c r="Y67" s="179"/>
      <c r="Z67" s="179"/>
      <c r="AA67" s="179"/>
      <c r="AB67" s="179"/>
      <c r="AC67" s="179"/>
      <c r="AD67" s="179"/>
      <c r="AE67" s="179"/>
      <c r="AF67" s="179"/>
      <c r="AG67" s="179"/>
      <c r="AH67" s="53">
        <f ca="1">TblImps[[#This Row],[Time]]</f>
        <v>46049.624999999847</v>
      </c>
      <c r="AI67" s="180">
        <f ca="1">MIN(25%,(TblConstr[[#This Row],[Tot Fac]]+TblConstr[[#This Row],[Dest Fac]])/(TblConstr[[#This Row],[Land]]-TblExplore[[#This Row],[Land Bonus]]*20))</f>
        <v>0</v>
      </c>
      <c r="AJ67" s="180">
        <f ca="1">MIN(25%,(TblConstr[[#This Row],[Tot Fac]]+TblConstr[[#This Row],[Dest Fac]])/TblConstr[[#This Row],[Land]])</f>
        <v>0</v>
      </c>
      <c r="AK67" s="94">
        <f ca="1">TblProd[[#This Row],[Platinum]]</f>
        <v>156179</v>
      </c>
      <c r="AL67" s="94">
        <f ca="1">TblProd[[#This Row],[Lumber]]</f>
        <v>54871</v>
      </c>
      <c r="AM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7" s="94">
        <f ca="1">ROUNDDOWN( MAX(1 - MIN(facs_constr_factor*TblConstr[[#This Row],[Facs -DB]],facs_constr_max) + tech_1_11*TblTech[[#This Row],[11-1]] + tech_6_3_2*TblTech[[#This Row],[6-3]] + tech_5_2_3*TblTech[[#This Row],[5-2]], 1-global_constr_cap) * TblConstr[[#This Row],[RCPA Lumber]],0)</f>
        <v>48</v>
      </c>
      <c r="AO6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7" s="94">
        <f ca="1">ROUNDDOWN( MAX(1 - MIN(facs_constr_factor*TblConstr[[#This Row],[Facs DB]],facs_constr_max) + tech_1_11*TblTech[[#This Row],[1-11]] + tech_6_3_2*TblTech[[#This Row],[6-3]] + tech_5_2_3*TblTech[[#This Row],[5-2]], 1-global_constr_cap) * ROUND((TblConstr[[#This Row],[Land]]-250)*0.285 + 87.5 + 0/4.25,0),0)</f>
        <v>48</v>
      </c>
      <c r="AQ67" s="45">
        <f ca="1">TblConstr[[#This Row],[build -db]]*TblConstr[[#This Row],[CPA Platinum -DB]] + TblConstr[[#This Row],[build db]]*TblConstr[[#This Row],[CPA Platinum DB]]</f>
        <v>0</v>
      </c>
      <c r="AR67" s="45">
        <f ca="1">TblConstr[[#This Row],[build -db]]*TblConstr[[#This Row],[CPA Lumber -DB]] + TblConstr[[#This Row],[build db]]*TblConstr[[#This Row],[CPA Lumber DB]]</f>
        <v>0</v>
      </c>
      <c r="AS67" s="94">
        <f ca="1">MIN(SUM(OFFSET(TblConstr[[#This Row],[Plain]:[Water]],-1,0))+SUM(TblConstr[[#This Row],[Dest Hom]:[Dest Doc]])+IF(TblConstr[[#This Row],[Hour]]&gt;12,SUM(OFFSET(TblExplore[[#This Row],[Plains Explore]:[Water Explore]],-12,0)),0),SUM(TblConstr[[#This Row],[Hom]:[Doc]]))</f>
        <v>0</v>
      </c>
      <c r="AT6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7" s="142"/>
      <c r="AV67" s="94">
        <f ca="1">ROUND((TblConstr[[#This Row],[Land]]-250 - IF(TblExplore[[#This Row],[Land Bonus]]&lt;&gt;0,20,0))*1.25 + 850 + 0,0)</f>
        <v>675</v>
      </c>
      <c r="AW67" s="94">
        <f ca="1">ROUND((TblConstr[[#This Row],[Land]]-250 - IF(TblExplore[[#This Row],[Land Bonus]]&lt;&gt;0,20,0))*0.285 + 87.5 + 0/4.25,0)</f>
        <v>48</v>
      </c>
      <c r="AX67" s="154"/>
      <c r="AY67" s="188" cm="1">
        <f t="array" aca="1" ref="AY67" ca="1">IF(TblConstr[[#This Row],[Hour]:[Hour]]&gt;12,OFFSET(TblConstr[[#This Row],[Hom]],-12,0),0)+OFFSET(TblConstr[[#This Row],[Tot Hom]],-1,0)-TblConstr[[#This Row],[Dest Hom]]</f>
        <v>0</v>
      </c>
      <c r="AZ67" s="189" cm="1">
        <f t="array" aca="1" ref="AZ67" ca="1">IF(TblConstr[[#This Row],[Hour]:[Hour]]&gt;12,OFFSET(TblConstr[[#This Row],[Alc]],-12,0),0)+OFFSET(TblConstr[[#This Row],[Tot Alc]],-1,0)-TblConstr[[#This Row],[Dest Alc]]</f>
        <v>0</v>
      </c>
      <c r="BA67" s="189" cm="1">
        <f t="array" aca="1" ref="BA67" ca="1">IF(TblConstr[[#This Row],[Hour]:[Hour]]&gt;12,OFFSET(TblConstr[[#This Row],[Far]],-12,0),0)+OFFSET(TblConstr[[#This Row],[Tot Farm]],-1,0)-TblConstr[[#This Row],[Dest Farm]]</f>
        <v>30</v>
      </c>
      <c r="BB67" s="189" cm="1">
        <f t="array" aca="1" ref="BB67" ca="1">IF(TblConstr[[#This Row],[Hour]:[Hour]]&gt;12,OFFSET(TblConstr[[#This Row],[Smi]],-12,0),0)+OFFSET(TblConstr[[#This Row],[Tot Smi]],-1,0)-TblConstr[[#This Row],[Dest Smi]]</f>
        <v>0</v>
      </c>
      <c r="BC67" s="189" cm="1">
        <f t="array" aca="1" ref="BC67" ca="1">IF(TblConstr[[#This Row],[Hour]:[Hour]]&gt;12,OFFSET(TblConstr[[#This Row],[Mas]],-12,0),0)+OFFSET(TblConstr[[#This Row],[Tot Mas]],-1,0)-TblConstr[[#This Row],[Dest Mas]]</f>
        <v>0</v>
      </c>
      <c r="BD67" s="190" cm="1">
        <f t="array" aca="1" ref="BD67" ca="1">IF(TblConstr[[#This Row],[Hour]:[Hour]]&gt;12,OFFSET(TblConstr[[#This Row],[Ly]],-12,0),0)+OFFSET(TblConstr[[#This Row],[Tot Ly]],-1,0)-TblConstr[[#This Row],[Dest Ly]]</f>
        <v>20</v>
      </c>
      <c r="BE67" s="190" cm="1">
        <f t="array" aca="1" ref="BE67" ca="1">IF(TblConstr[[#This Row],[Hour]:[Hour]]&gt;12,OFFSET(TblConstr[[#This Row],[Hav]],-12,0),0)+OFFSET(TblConstr[[#This Row],[Tot Hav]],-1,0)-TblConstr[[#This Row],[Dest Hav]]</f>
        <v>0</v>
      </c>
      <c r="BF67" s="361" cm="1">
        <f t="array" aca="1" ref="BF67" ca="1">IF(TblConstr[[#This Row],[Hour]:[Hour]]&gt;12,OFFSET(TblConstr[[#This Row],[OM]],-12,0),0)+OFFSET(TblConstr[[#This Row],[Tot OM]],-1,0)-TblConstr[[#This Row],[Dest OM]]</f>
        <v>0</v>
      </c>
      <c r="BG67" s="361" cm="1">
        <f t="array" aca="1" ref="BG67" ca="1">IF(TblConstr[[#This Row],[Hour]:[Hour]]&gt;12,OFFSET(TblConstr[[#This Row],[GN]],-12,0),0)+OFFSET(TblConstr[[#This Row],[Tot GN]],-1,0)-TblConstr[[#This Row],[Dest GN]]</f>
        <v>0</v>
      </c>
      <c r="BH67" s="365" cm="1">
        <f t="array" aca="1" ref="BH67" ca="1">IF(TblConstr[[#This Row],[Hour]:[Hour]]&gt;12,OFFSET(TblConstr[[#This Row],[Fac]],-12,0),0)+OFFSET(TblConstr[[#This Row],[Tot Fac]],-1,0)-TblConstr[[#This Row],[Dest Fac]]</f>
        <v>0</v>
      </c>
      <c r="BI67" s="365" cm="1">
        <f t="array" aca="1" ref="BI67" ca="1">IF(TblConstr[[#This Row],[Hour]:[Hour]]&gt;12,OFFSET(TblConstr[[#This Row],[GT]],-12,0),0)+OFFSET(TblConstr[[#This Row],[Tot GT]],-1,0)-TblConstr[[#This Row],[Dest GT]]</f>
        <v>0</v>
      </c>
      <c r="BJ67" s="365" cm="1">
        <f t="array" aca="1" ref="BJ67" ca="1">IF(TblConstr[[#This Row],[Hour]:[Hour]]&gt;12,OFFSET(TblConstr[[#This Row],[Bar]],-12,0),0)+OFFSET(TblConstr[[#This Row],[Tot Bar]],-1,0)-TblConstr[[#This Row],[Dest Bar]]</f>
        <v>0</v>
      </c>
      <c r="BK67" s="365" cm="1">
        <f t="array" aca="1" ref="BK67" ca="1">IF(TblConstr[[#This Row],[Hour]:[Hour]]&gt;12,OFFSET(TblConstr[[#This Row],[Shr]],-12,0),0)+OFFSET(TblConstr[[#This Row],[Tot Shr]],-1,0)-TblConstr[[#This Row],[Dest Shr]]</f>
        <v>0</v>
      </c>
      <c r="BL67" s="369" cm="1">
        <f t="array" aca="1" ref="BL67" ca="1">IF(TblConstr[[#This Row],[Hour]:[Hour]]&gt;12,OFFSET(TblConstr[[#This Row],[Tow]],-12,0),0)+OFFSET(TblConstr[[#This Row],[Tot Tow]],-1,0)-TblConstr[[#This Row],[Dest Tow]]</f>
        <v>0</v>
      </c>
      <c r="BM67" s="369" cm="1">
        <f t="array" aca="1" ref="BM67" ca="1">IF(TblConstr[[#This Row],[Hour]:[Hour]]&gt;12,OFFSET(TblConstr[[#This Row],[Tem]],-12,0),0)+OFFSET(TblConstr[[#This Row],[Tot Tem]],-1,0)-TblConstr[[#This Row],[Dest Tem]]</f>
        <v>0</v>
      </c>
      <c r="BN67" s="369" cm="1">
        <f t="array" aca="1" ref="BN67" ca="1">IF(TblConstr[[#This Row],[Hour]:[Hour]]&gt;12,OFFSET(TblConstr[[#This Row],[WG]],-12,0),0)+OFFSET(TblConstr[[#This Row],[Tot WG]],-1,0)-TblConstr[[#This Row],[Dest WG]]</f>
        <v>0</v>
      </c>
      <c r="BO67" s="191" cm="1">
        <f t="array" aca="1" ref="BO67" ca="1">IF(TblConstr[[#This Row],[Hour]:[Hour]]&gt;12,OFFSET(TblConstr[[#This Row],[DM]],-12,0),0)+OFFSET(TblConstr[[#This Row],[Tot DM]],-1,0)-TblConstr[[#This Row],[Dest DM]]</f>
        <v>0</v>
      </c>
      <c r="BP67" s="191" cm="1">
        <f t="array" aca="1" ref="BP67" ca="1">IF(TblConstr[[#This Row],[Hour]:[Hour]]&gt;12,OFFSET(TblConstr[[#This Row],[Sch]],-12,0),0)+OFFSET(TblConstr[[#This Row],[Tot Sch]],-1,0)-TblConstr[[#This Row],[Dest Sch]]</f>
        <v>0</v>
      </c>
      <c r="BQ67" s="192" cm="1">
        <f t="array" aca="1" ref="BQ67" ca="1">IF(TblConstr[[#This Row],[Hour]:[Hour]]&gt;12,OFFSET(TblConstr[[#This Row],[Doc]],-12,0),0)+OFFSET(TblConstr[[#This Row],[Tot Doc]],-1,0)-TblConstr[[#This Row],[Dest Doc]]</f>
        <v>0</v>
      </c>
      <c r="BR67" s="142"/>
      <c r="BS67" s="154"/>
      <c r="BT67" s="94">
        <f ca="1">TblConstr[[#This Row],[Land]]</f>
        <v>110</v>
      </c>
      <c r="BU67" s="159">
        <f ca="1">TblImps[[#This Row],[Time]]</f>
        <v>46049.624999999847</v>
      </c>
      <c r="BV67" s="142"/>
      <c r="BW67" s="179"/>
      <c r="BX67" s="179"/>
      <c r="BY67" s="179"/>
      <c r="BZ67" s="179"/>
      <c r="CA67" s="179"/>
      <c r="CB67" s="179"/>
      <c r="CC67" s="179"/>
      <c r="CD67" s="179"/>
      <c r="CE67" s="179"/>
      <c r="CF67" s="179"/>
      <c r="CG67" s="179"/>
      <c r="CH67" s="179"/>
      <c r="CI67" s="179"/>
      <c r="CJ67" s="179"/>
      <c r="CK67" s="179"/>
      <c r="CL67" s="179"/>
      <c r="CM67" s="179"/>
      <c r="CN67" s="179"/>
      <c r="CO67" s="179"/>
      <c r="CP67" s="142"/>
      <c r="CQ67" s="181">
        <f ca="1">-SUM(TblConstr[[#This Row],[Alc]:[Mas]])+SUM(TblConstr[[#This Row],[Dest Alc]:[Dest Mas]])+Rezone!L67+IF("Ch_"&amp; home_land=TblConstr[[#Headers],[Ch_Plain]],TblConstr[[#This Row],[Home Land]])+IF(TblConstr[[#This Row],[Hour]:[Hour]]&gt;12,OFFSET(TblExplore[[#This Row],[Plains Explore]],-12,0),0)</f>
        <v>0</v>
      </c>
      <c r="CR67" s="182">
        <f ca="1">-SUM(TblConstr[[#This Row],[Ly]:[Hav]])+SUM(TblConstr[[#This Row],[Dest Ly]:[Dest Hav]]) +Rezone!M67 + IF("Ch_"&amp; home_land=TblConstr[[#Headers],[Ch_Forest]],TblConstr[[#This Row],[Home Land]])+IF(TblConstr[[#This Row],[Hour]:[Hour]]&gt;12,OFFSET(TblExplore[[#This Row],[Forest Explore]],-12,0),0)</f>
        <v>0</v>
      </c>
      <c r="CS67" s="359">
        <f ca="1">-SUM(TblConstr[[#This Row],[OM]:[GN]])+SUM(TblConstr[[#This Row],[Dest OM]:[Dest GN]]) +Rezone!N67 + IF("Ch_"&amp; home_land=TblConstr[[#Headers],[Ch_Mountain]],TblConstr[[#This Row],[Home Land]])+IF(TblConstr[[#This Row],[Hour]:[Hour]]&gt;12,OFFSET(TblExplore[[#This Row],[Mountain Explore]],-12,0),0)</f>
        <v>0</v>
      </c>
      <c r="CT67" s="183">
        <f ca="1">-SUM(TblConstr[[#This Row],[Fac]:[Shr]])+SUM(TblConstr[[#This Row],[Dest Fac]:[Dest Shr]]) +Rezone!O67 + IF("Ch_" &amp; home_land=TblConstr[[#Headers],[Ch_Hill]],TblConstr[[#This Row],[Home Land]])+IF(TblConstr[[#This Row],[Hour]:[Hour]]&gt;12,OFFSET(TblExplore[[#This Row],[Hill Explore]],-12,0),0)</f>
        <v>0</v>
      </c>
      <c r="CU67" s="184">
        <f ca="1">-SUM(TblConstr[[#This Row],[Tow]:[WG]])+SUM(TblConstr[[#This Row],[Dest Tow]:[Dest WG]]) +Rezone!P67 + IF("Ch_" &amp; home_land=TblConstr[[#Headers],[Ch_Swamp]],TblConstr[[#This Row],[Home Land]])+IF(TblConstr[[#This Row],[Hour]:[Hour]]&gt;12,OFFSET(TblExplore[[#This Row],[Swamp Explore]],-12,0),0)</f>
        <v>0</v>
      </c>
      <c r="CV67" s="185">
        <f ca="1" xml:space="preserve"> - SUM(TblConstr[[#This Row],[DM]:[Sch]])+SUM(TblConstr[[#This Row],[Dest DM]:[Dest Sch]]) +Rezone!Q67 + IF("Ch_" &amp; home_land=TblConstr[[#Headers],[Ch_Cavern]],TblConstr[[#This Row],[Home Land]])+IF(TblConstr[[#This Row],[Hour]:[Hour]]&gt;12,OFFSET(TblExplore[[#This Row],[Cavern Explore]],-12,0),0)</f>
        <v>0</v>
      </c>
      <c r="CW67" s="186">
        <f ca="1">-TblConstr[[#This Row],[Doc]]+TblConstr[[#This Row],[Dest Doc]] +Rezone!R67 + IF("Ch_" &amp; home_land=TblConstr[[#Headers],[Ch_Water]],TblConstr[[#This Row],[Home Land]])+IF(TblConstr[[#This Row],[Hour]:[Hour]]&gt;12,OFFSET(TblExplore[[#This Row],[Water Explore]],-12,0),0)</f>
        <v>0</v>
      </c>
      <c r="CX67" s="45">
        <f>IF(Explore!S67=1,20) - TblConstr[[#This Row],[Hom]] + TblConstr[[#This Row],[Dest Hom]]</f>
        <v>0</v>
      </c>
      <c r="CY67" s="142"/>
      <c r="CZ67" s="94">
        <f t="shared" ca="1" si="12"/>
        <v>90</v>
      </c>
      <c r="DA67" s="94">
        <f t="shared" ca="1" si="13"/>
        <v>20</v>
      </c>
      <c r="DB67" s="45">
        <f t="shared" ca="1" si="14"/>
        <v>0</v>
      </c>
      <c r="DC67" s="94">
        <f t="shared" ca="1" si="15"/>
        <v>0</v>
      </c>
      <c r="DD67" s="94">
        <f t="shared" ca="1" si="16"/>
        <v>0</v>
      </c>
      <c r="DE67" s="45">
        <f t="shared" ca="1" si="17"/>
        <v>0</v>
      </c>
      <c r="DF67" s="94">
        <f t="shared" ca="1" si="18"/>
        <v>0</v>
      </c>
      <c r="DG67" s="94" cm="1">
        <f t="array" aca="1" ref="DG67" ca="1">INDEX(TblConstr[[Total Plain]:[Total Water]],ROW()-ROW(TblConstr[#Headers]),MATCH("Total "&amp;home_land,TblConstr[[#Headers],[Total Plain]:[Total Water]],0))+TblConstr[[#This Row],[Homes]]</f>
        <v>90</v>
      </c>
      <c r="DH67" s="45">
        <f t="shared" ca="1" si="10"/>
        <v>0</v>
      </c>
      <c r="DI67" s="45">
        <f t="shared" ca="1" si="0"/>
        <v>0</v>
      </c>
      <c r="DJ67" s="45">
        <f t="shared" ca="1" si="1"/>
        <v>0</v>
      </c>
    </row>
    <row r="68" spans="1:114" x14ac:dyDescent="0.2">
      <c r="A68" s="175">
        <f>TblRezone[[#This Row],[Hour]]</f>
        <v>65</v>
      </c>
      <c r="B68" s="176">
        <f ca="1">SUM(TblConstr[[#This Row],[Plain]:[Water]])</f>
        <v>60</v>
      </c>
      <c r="C68" s="177">
        <f ca="1">SUM(TblConstr[[#This Row],[Tot Hom]:[Tot Doc]])</f>
        <v>50</v>
      </c>
      <c r="D68" s="177">
        <f t="shared" si="11"/>
        <v>0</v>
      </c>
      <c r="E68" s="178"/>
      <c r="F68" s="61">
        <f ca="1">TblConstr[[#This Row],[Barren]]+TblConstr[[#This Row],[Buildings]]+TblConstr[[#This Row],[Incoming]]</f>
        <v>110</v>
      </c>
      <c r="G68" s="187">
        <f ca="1">OFFSET(TblConstr[[#This Row],[Plain]],-1,0)+TblConstr[[#This Row],[Ch_Plain]]</f>
        <v>60</v>
      </c>
      <c r="H68" s="182">
        <f ca="1">OFFSET(TblConstr[[#This Row],[Forest]],-1,0)+TblConstr[[#This Row],[Ch_Forest]]</f>
        <v>0</v>
      </c>
      <c r="I68" s="359">
        <f ca="1">OFFSET(TblConstr[[#This Row],[Mountain]],-1,0)+TblConstr[[#This Row],[Ch_Mountain]]</f>
        <v>0</v>
      </c>
      <c r="J68" s="363">
        <f ca="1">OFFSET(TblConstr[[#This Row],[Hill]],-1,0)+TblConstr[[#This Row],[Ch_Hill]]</f>
        <v>0</v>
      </c>
      <c r="K68" s="367">
        <f ca="1">OFFSET(TblConstr[[#This Row],[Swamp]],-1,0)+TblConstr[[#This Row],[Ch_Swamp]]</f>
        <v>0</v>
      </c>
      <c r="L68" s="185">
        <f ca="1">OFFSET(TblConstr[[#This Row],[Cavern]],-1,0)+TblConstr[[#This Row],[Ch_Cavern]]</f>
        <v>0</v>
      </c>
      <c r="M68" s="186">
        <f ca="1">OFFSET(TblConstr[[#This Row],[Water]],-1,0)+TblConstr[[#This Row],[Ch_Water]]</f>
        <v>0</v>
      </c>
      <c r="N68" s="357">
        <f>TblRezone[[#This Row],[Hour]]</f>
        <v>65</v>
      </c>
      <c r="O68" s="179"/>
      <c r="P68" s="179"/>
      <c r="Q68" s="179"/>
      <c r="R68" s="179"/>
      <c r="S68" s="179"/>
      <c r="T68" s="179"/>
      <c r="U68" s="179"/>
      <c r="V68" s="179"/>
      <c r="W68" s="179"/>
      <c r="X68" s="179"/>
      <c r="Y68" s="179"/>
      <c r="Z68" s="179"/>
      <c r="AA68" s="179"/>
      <c r="AB68" s="179"/>
      <c r="AC68" s="179"/>
      <c r="AD68" s="179"/>
      <c r="AE68" s="179"/>
      <c r="AF68" s="179"/>
      <c r="AG68" s="179"/>
      <c r="AH68" s="53">
        <f ca="1">TblImps[[#This Row],[Time]]</f>
        <v>46049.666666666511</v>
      </c>
      <c r="AI68" s="180">
        <f ca="1">MIN(25%,(TblConstr[[#This Row],[Tot Fac]]+TblConstr[[#This Row],[Dest Fac]])/(TblConstr[[#This Row],[Land]]-TblExplore[[#This Row],[Land Bonus]]*20))</f>
        <v>0</v>
      </c>
      <c r="AJ68" s="180">
        <f ca="1">MIN(25%,(TblConstr[[#This Row],[Tot Fac]]+TblConstr[[#This Row],[Dest Fac]])/TblConstr[[#This Row],[Land]])</f>
        <v>0</v>
      </c>
      <c r="AK68" s="94">
        <f ca="1">TblProd[[#This Row],[Platinum]]</f>
        <v>157615</v>
      </c>
      <c r="AL68" s="94">
        <f ca="1">TblProd[[#This Row],[Lumber]]</f>
        <v>55322</v>
      </c>
      <c r="AM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8" s="94">
        <f ca="1">ROUNDDOWN( MAX(1 - MIN(facs_constr_factor*TblConstr[[#This Row],[Facs -DB]],facs_constr_max) + tech_1_11*TblTech[[#This Row],[11-1]] + tech_6_3_2*TblTech[[#This Row],[6-3]] + tech_5_2_3*TblTech[[#This Row],[5-2]], 1-global_constr_cap) * TblConstr[[#This Row],[RCPA Lumber]],0)</f>
        <v>48</v>
      </c>
      <c r="AO6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8" s="94">
        <f ca="1">ROUNDDOWN( MAX(1 - MIN(facs_constr_factor*TblConstr[[#This Row],[Facs DB]],facs_constr_max) + tech_1_11*TblTech[[#This Row],[1-11]] + tech_6_3_2*TblTech[[#This Row],[6-3]] + tech_5_2_3*TblTech[[#This Row],[5-2]], 1-global_constr_cap) * ROUND((TblConstr[[#This Row],[Land]]-250)*0.285 + 87.5 + 0/4.25,0),0)</f>
        <v>48</v>
      </c>
      <c r="AQ68" s="45">
        <f ca="1">TblConstr[[#This Row],[build -db]]*TblConstr[[#This Row],[CPA Platinum -DB]] + TblConstr[[#This Row],[build db]]*TblConstr[[#This Row],[CPA Platinum DB]]</f>
        <v>0</v>
      </c>
      <c r="AR68" s="45">
        <f ca="1">TblConstr[[#This Row],[build -db]]*TblConstr[[#This Row],[CPA Lumber -DB]] + TblConstr[[#This Row],[build db]]*TblConstr[[#This Row],[CPA Lumber DB]]</f>
        <v>0</v>
      </c>
      <c r="AS68" s="94">
        <f ca="1">MIN(SUM(OFFSET(TblConstr[[#This Row],[Plain]:[Water]],-1,0))+SUM(TblConstr[[#This Row],[Dest Hom]:[Dest Doc]])+IF(TblConstr[[#This Row],[Hour]]&gt;12,SUM(OFFSET(TblExplore[[#This Row],[Plains Explore]:[Water Explore]],-12,0)),0),SUM(TblConstr[[#This Row],[Hom]:[Doc]]))</f>
        <v>0</v>
      </c>
      <c r="AT6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8" s="142"/>
      <c r="AV68" s="94">
        <f ca="1">ROUND((TblConstr[[#This Row],[Land]]-250 - IF(TblExplore[[#This Row],[Land Bonus]]&lt;&gt;0,20,0))*1.25 + 850 + 0,0)</f>
        <v>675</v>
      </c>
      <c r="AW68" s="94">
        <f ca="1">ROUND((TblConstr[[#This Row],[Land]]-250 - IF(TblExplore[[#This Row],[Land Bonus]]&lt;&gt;0,20,0))*0.285 + 87.5 + 0/4.25,0)</f>
        <v>48</v>
      </c>
      <c r="AX68" s="154"/>
      <c r="AY68" s="188" cm="1">
        <f t="array" aca="1" ref="AY68" ca="1">IF(TblConstr[[#This Row],[Hour]:[Hour]]&gt;12,OFFSET(TblConstr[[#This Row],[Hom]],-12,0),0)+OFFSET(TblConstr[[#This Row],[Tot Hom]],-1,0)-TblConstr[[#This Row],[Dest Hom]]</f>
        <v>0</v>
      </c>
      <c r="AZ68" s="189" cm="1">
        <f t="array" aca="1" ref="AZ68" ca="1">IF(TblConstr[[#This Row],[Hour]:[Hour]]&gt;12,OFFSET(TblConstr[[#This Row],[Alc]],-12,0),0)+OFFSET(TblConstr[[#This Row],[Tot Alc]],-1,0)-TblConstr[[#This Row],[Dest Alc]]</f>
        <v>0</v>
      </c>
      <c r="BA68" s="189" cm="1">
        <f t="array" aca="1" ref="BA68" ca="1">IF(TblConstr[[#This Row],[Hour]:[Hour]]&gt;12,OFFSET(TblConstr[[#This Row],[Far]],-12,0),0)+OFFSET(TblConstr[[#This Row],[Tot Farm]],-1,0)-TblConstr[[#This Row],[Dest Farm]]</f>
        <v>30</v>
      </c>
      <c r="BB68" s="189" cm="1">
        <f t="array" aca="1" ref="BB68" ca="1">IF(TblConstr[[#This Row],[Hour]:[Hour]]&gt;12,OFFSET(TblConstr[[#This Row],[Smi]],-12,0),0)+OFFSET(TblConstr[[#This Row],[Tot Smi]],-1,0)-TblConstr[[#This Row],[Dest Smi]]</f>
        <v>0</v>
      </c>
      <c r="BC68" s="189" cm="1">
        <f t="array" aca="1" ref="BC68" ca="1">IF(TblConstr[[#This Row],[Hour]:[Hour]]&gt;12,OFFSET(TblConstr[[#This Row],[Mas]],-12,0),0)+OFFSET(TblConstr[[#This Row],[Tot Mas]],-1,0)-TblConstr[[#This Row],[Dest Mas]]</f>
        <v>0</v>
      </c>
      <c r="BD68" s="190" cm="1">
        <f t="array" aca="1" ref="BD68" ca="1">IF(TblConstr[[#This Row],[Hour]:[Hour]]&gt;12,OFFSET(TblConstr[[#This Row],[Ly]],-12,0),0)+OFFSET(TblConstr[[#This Row],[Tot Ly]],-1,0)-TblConstr[[#This Row],[Dest Ly]]</f>
        <v>20</v>
      </c>
      <c r="BE68" s="190" cm="1">
        <f t="array" aca="1" ref="BE68" ca="1">IF(TblConstr[[#This Row],[Hour]:[Hour]]&gt;12,OFFSET(TblConstr[[#This Row],[Hav]],-12,0),0)+OFFSET(TblConstr[[#This Row],[Tot Hav]],-1,0)-TblConstr[[#This Row],[Dest Hav]]</f>
        <v>0</v>
      </c>
      <c r="BF68" s="361" cm="1">
        <f t="array" aca="1" ref="BF68" ca="1">IF(TblConstr[[#This Row],[Hour]:[Hour]]&gt;12,OFFSET(TblConstr[[#This Row],[OM]],-12,0),0)+OFFSET(TblConstr[[#This Row],[Tot OM]],-1,0)-TblConstr[[#This Row],[Dest OM]]</f>
        <v>0</v>
      </c>
      <c r="BG68" s="361" cm="1">
        <f t="array" aca="1" ref="BG68" ca="1">IF(TblConstr[[#This Row],[Hour]:[Hour]]&gt;12,OFFSET(TblConstr[[#This Row],[GN]],-12,0),0)+OFFSET(TblConstr[[#This Row],[Tot GN]],-1,0)-TblConstr[[#This Row],[Dest GN]]</f>
        <v>0</v>
      </c>
      <c r="BH68" s="365" cm="1">
        <f t="array" aca="1" ref="BH68" ca="1">IF(TblConstr[[#This Row],[Hour]:[Hour]]&gt;12,OFFSET(TblConstr[[#This Row],[Fac]],-12,0),0)+OFFSET(TblConstr[[#This Row],[Tot Fac]],-1,0)-TblConstr[[#This Row],[Dest Fac]]</f>
        <v>0</v>
      </c>
      <c r="BI68" s="365" cm="1">
        <f t="array" aca="1" ref="BI68" ca="1">IF(TblConstr[[#This Row],[Hour]:[Hour]]&gt;12,OFFSET(TblConstr[[#This Row],[GT]],-12,0),0)+OFFSET(TblConstr[[#This Row],[Tot GT]],-1,0)-TblConstr[[#This Row],[Dest GT]]</f>
        <v>0</v>
      </c>
      <c r="BJ68" s="365" cm="1">
        <f t="array" aca="1" ref="BJ68" ca="1">IF(TblConstr[[#This Row],[Hour]:[Hour]]&gt;12,OFFSET(TblConstr[[#This Row],[Bar]],-12,0),0)+OFFSET(TblConstr[[#This Row],[Tot Bar]],-1,0)-TblConstr[[#This Row],[Dest Bar]]</f>
        <v>0</v>
      </c>
      <c r="BK68" s="365" cm="1">
        <f t="array" aca="1" ref="BK68" ca="1">IF(TblConstr[[#This Row],[Hour]:[Hour]]&gt;12,OFFSET(TblConstr[[#This Row],[Shr]],-12,0),0)+OFFSET(TblConstr[[#This Row],[Tot Shr]],-1,0)-TblConstr[[#This Row],[Dest Shr]]</f>
        <v>0</v>
      </c>
      <c r="BL68" s="369" cm="1">
        <f t="array" aca="1" ref="BL68" ca="1">IF(TblConstr[[#This Row],[Hour]:[Hour]]&gt;12,OFFSET(TblConstr[[#This Row],[Tow]],-12,0),0)+OFFSET(TblConstr[[#This Row],[Tot Tow]],-1,0)-TblConstr[[#This Row],[Dest Tow]]</f>
        <v>0</v>
      </c>
      <c r="BM68" s="369" cm="1">
        <f t="array" aca="1" ref="BM68" ca="1">IF(TblConstr[[#This Row],[Hour]:[Hour]]&gt;12,OFFSET(TblConstr[[#This Row],[Tem]],-12,0),0)+OFFSET(TblConstr[[#This Row],[Tot Tem]],-1,0)-TblConstr[[#This Row],[Dest Tem]]</f>
        <v>0</v>
      </c>
      <c r="BN68" s="369" cm="1">
        <f t="array" aca="1" ref="BN68" ca="1">IF(TblConstr[[#This Row],[Hour]:[Hour]]&gt;12,OFFSET(TblConstr[[#This Row],[WG]],-12,0),0)+OFFSET(TblConstr[[#This Row],[Tot WG]],-1,0)-TblConstr[[#This Row],[Dest WG]]</f>
        <v>0</v>
      </c>
      <c r="BO68" s="191" cm="1">
        <f t="array" aca="1" ref="BO68" ca="1">IF(TblConstr[[#This Row],[Hour]:[Hour]]&gt;12,OFFSET(TblConstr[[#This Row],[DM]],-12,0),0)+OFFSET(TblConstr[[#This Row],[Tot DM]],-1,0)-TblConstr[[#This Row],[Dest DM]]</f>
        <v>0</v>
      </c>
      <c r="BP68" s="191" cm="1">
        <f t="array" aca="1" ref="BP68" ca="1">IF(TblConstr[[#This Row],[Hour]:[Hour]]&gt;12,OFFSET(TblConstr[[#This Row],[Sch]],-12,0),0)+OFFSET(TblConstr[[#This Row],[Tot Sch]],-1,0)-TblConstr[[#This Row],[Dest Sch]]</f>
        <v>0</v>
      </c>
      <c r="BQ68" s="192" cm="1">
        <f t="array" aca="1" ref="BQ68" ca="1">IF(TblConstr[[#This Row],[Hour]:[Hour]]&gt;12,OFFSET(TblConstr[[#This Row],[Doc]],-12,0),0)+OFFSET(TblConstr[[#This Row],[Tot Doc]],-1,0)-TblConstr[[#This Row],[Dest Doc]]</f>
        <v>0</v>
      </c>
      <c r="BR68" s="142"/>
      <c r="BS68" s="154"/>
      <c r="BT68" s="94">
        <f ca="1">TblConstr[[#This Row],[Land]]</f>
        <v>110</v>
      </c>
      <c r="BU68" s="159">
        <f ca="1">TblImps[[#This Row],[Time]]</f>
        <v>46049.666666666511</v>
      </c>
      <c r="BV68" s="142"/>
      <c r="BW68" s="179"/>
      <c r="BX68" s="179"/>
      <c r="BY68" s="179"/>
      <c r="BZ68" s="179"/>
      <c r="CA68" s="179"/>
      <c r="CB68" s="179"/>
      <c r="CC68" s="179"/>
      <c r="CD68" s="179"/>
      <c r="CE68" s="179"/>
      <c r="CF68" s="179"/>
      <c r="CG68" s="179"/>
      <c r="CH68" s="179"/>
      <c r="CI68" s="179"/>
      <c r="CJ68" s="179"/>
      <c r="CK68" s="179"/>
      <c r="CL68" s="179"/>
      <c r="CM68" s="179"/>
      <c r="CN68" s="179"/>
      <c r="CO68" s="179"/>
      <c r="CP68" s="142"/>
      <c r="CQ68" s="181">
        <f ca="1">-SUM(TblConstr[[#This Row],[Alc]:[Mas]])+SUM(TblConstr[[#This Row],[Dest Alc]:[Dest Mas]])+Rezone!L68+IF("Ch_"&amp; home_land=TblConstr[[#Headers],[Ch_Plain]],TblConstr[[#This Row],[Home Land]])+IF(TblConstr[[#This Row],[Hour]:[Hour]]&gt;12,OFFSET(TblExplore[[#This Row],[Plains Explore]],-12,0),0)</f>
        <v>0</v>
      </c>
      <c r="CR68" s="182">
        <f ca="1">-SUM(TblConstr[[#This Row],[Ly]:[Hav]])+SUM(TblConstr[[#This Row],[Dest Ly]:[Dest Hav]]) +Rezone!M68 + IF("Ch_"&amp; home_land=TblConstr[[#Headers],[Ch_Forest]],TblConstr[[#This Row],[Home Land]])+IF(TblConstr[[#This Row],[Hour]:[Hour]]&gt;12,OFFSET(TblExplore[[#This Row],[Forest Explore]],-12,0),0)</f>
        <v>0</v>
      </c>
      <c r="CS68" s="359">
        <f ca="1">-SUM(TblConstr[[#This Row],[OM]:[GN]])+SUM(TblConstr[[#This Row],[Dest OM]:[Dest GN]]) +Rezone!N68 + IF("Ch_"&amp; home_land=TblConstr[[#Headers],[Ch_Mountain]],TblConstr[[#This Row],[Home Land]])+IF(TblConstr[[#This Row],[Hour]:[Hour]]&gt;12,OFFSET(TblExplore[[#This Row],[Mountain Explore]],-12,0),0)</f>
        <v>0</v>
      </c>
      <c r="CT68" s="183">
        <f ca="1">-SUM(TblConstr[[#This Row],[Fac]:[Shr]])+SUM(TblConstr[[#This Row],[Dest Fac]:[Dest Shr]]) +Rezone!O68 + IF("Ch_" &amp; home_land=TblConstr[[#Headers],[Ch_Hill]],TblConstr[[#This Row],[Home Land]])+IF(TblConstr[[#This Row],[Hour]:[Hour]]&gt;12,OFFSET(TblExplore[[#This Row],[Hill Explore]],-12,0),0)</f>
        <v>0</v>
      </c>
      <c r="CU68" s="184">
        <f ca="1">-SUM(TblConstr[[#This Row],[Tow]:[WG]])+SUM(TblConstr[[#This Row],[Dest Tow]:[Dest WG]]) +Rezone!P68 + IF("Ch_" &amp; home_land=TblConstr[[#Headers],[Ch_Swamp]],TblConstr[[#This Row],[Home Land]])+IF(TblConstr[[#This Row],[Hour]:[Hour]]&gt;12,OFFSET(TblExplore[[#This Row],[Swamp Explore]],-12,0),0)</f>
        <v>0</v>
      </c>
      <c r="CV68" s="185">
        <f ca="1" xml:space="preserve"> - SUM(TblConstr[[#This Row],[DM]:[Sch]])+SUM(TblConstr[[#This Row],[Dest DM]:[Dest Sch]]) +Rezone!Q68 + IF("Ch_" &amp; home_land=TblConstr[[#Headers],[Ch_Cavern]],TblConstr[[#This Row],[Home Land]])+IF(TblConstr[[#This Row],[Hour]:[Hour]]&gt;12,OFFSET(TblExplore[[#This Row],[Cavern Explore]],-12,0),0)</f>
        <v>0</v>
      </c>
      <c r="CW68" s="186">
        <f ca="1">-TblConstr[[#This Row],[Doc]]+TblConstr[[#This Row],[Dest Doc]] +Rezone!R68 + IF("Ch_" &amp; home_land=TblConstr[[#Headers],[Ch_Water]],TblConstr[[#This Row],[Home Land]])+IF(TblConstr[[#This Row],[Hour]:[Hour]]&gt;12,OFFSET(TblExplore[[#This Row],[Water Explore]],-12,0),0)</f>
        <v>0</v>
      </c>
      <c r="CX68" s="45">
        <f>IF(Explore!S68=1,20) - TblConstr[[#This Row],[Hom]] + TblConstr[[#This Row],[Dest Hom]]</f>
        <v>0</v>
      </c>
      <c r="CY68" s="142"/>
      <c r="CZ68" s="94">
        <f t="shared" ca="1" si="12"/>
        <v>90</v>
      </c>
      <c r="DA68" s="94">
        <f t="shared" ca="1" si="13"/>
        <v>20</v>
      </c>
      <c r="DB68" s="45">
        <f t="shared" ca="1" si="14"/>
        <v>0</v>
      </c>
      <c r="DC68" s="94">
        <f t="shared" ca="1" si="15"/>
        <v>0</v>
      </c>
      <c r="DD68" s="94">
        <f t="shared" ca="1" si="16"/>
        <v>0</v>
      </c>
      <c r="DE68" s="45">
        <f t="shared" ca="1" si="17"/>
        <v>0</v>
      </c>
      <c r="DF68" s="94">
        <f t="shared" ca="1" si="18"/>
        <v>0</v>
      </c>
      <c r="DG68" s="94" cm="1">
        <f t="array" aca="1" ref="DG68" ca="1">INDEX(TblConstr[[Total Plain]:[Total Water]],ROW()-ROW(TblConstr[#Headers]),MATCH("Total "&amp;home_land,TblConstr[[#Headers],[Total Plain]:[Total Water]],0))+TblConstr[[#This Row],[Homes]]</f>
        <v>90</v>
      </c>
      <c r="DH68" s="45">
        <f t="shared" ca="1" si="10"/>
        <v>0</v>
      </c>
      <c r="DI68" s="45">
        <f t="shared" ca="1" si="0"/>
        <v>0</v>
      </c>
      <c r="DJ68" s="45">
        <f t="shared" ca="1" si="1"/>
        <v>0</v>
      </c>
    </row>
    <row r="69" spans="1:114" x14ac:dyDescent="0.2">
      <c r="A69" s="175">
        <f>TblRezone[[#This Row],[Hour]]</f>
        <v>66</v>
      </c>
      <c r="B69" s="176">
        <f ca="1">SUM(TblConstr[[#This Row],[Plain]:[Water]])</f>
        <v>60</v>
      </c>
      <c r="C69" s="177">
        <f ca="1">SUM(TblConstr[[#This Row],[Tot Hom]:[Tot Doc]])</f>
        <v>50</v>
      </c>
      <c r="D69" s="177">
        <f t="shared" si="11"/>
        <v>0</v>
      </c>
      <c r="E69" s="178"/>
      <c r="F69" s="61">
        <f ca="1">TblConstr[[#This Row],[Barren]]+TblConstr[[#This Row],[Buildings]]+TblConstr[[#This Row],[Incoming]]</f>
        <v>110</v>
      </c>
      <c r="G69" s="187">
        <f ca="1">OFFSET(TblConstr[[#This Row],[Plain]],-1,0)+TblConstr[[#This Row],[Ch_Plain]]</f>
        <v>60</v>
      </c>
      <c r="H69" s="182">
        <f ca="1">OFFSET(TblConstr[[#This Row],[Forest]],-1,0)+TblConstr[[#This Row],[Ch_Forest]]</f>
        <v>0</v>
      </c>
      <c r="I69" s="359">
        <f ca="1">OFFSET(TblConstr[[#This Row],[Mountain]],-1,0)+TblConstr[[#This Row],[Ch_Mountain]]</f>
        <v>0</v>
      </c>
      <c r="J69" s="363">
        <f ca="1">OFFSET(TblConstr[[#This Row],[Hill]],-1,0)+TblConstr[[#This Row],[Ch_Hill]]</f>
        <v>0</v>
      </c>
      <c r="K69" s="367">
        <f ca="1">OFFSET(TblConstr[[#This Row],[Swamp]],-1,0)+TblConstr[[#This Row],[Ch_Swamp]]</f>
        <v>0</v>
      </c>
      <c r="L69" s="185">
        <f ca="1">OFFSET(TblConstr[[#This Row],[Cavern]],-1,0)+TblConstr[[#This Row],[Ch_Cavern]]</f>
        <v>0</v>
      </c>
      <c r="M69" s="186">
        <f ca="1">OFFSET(TblConstr[[#This Row],[Water]],-1,0)+TblConstr[[#This Row],[Ch_Water]]</f>
        <v>0</v>
      </c>
      <c r="N69" s="357">
        <f>TblRezone[[#This Row],[Hour]]</f>
        <v>66</v>
      </c>
      <c r="O69" s="179"/>
      <c r="P69" s="179"/>
      <c r="Q69" s="179"/>
      <c r="R69" s="179"/>
      <c r="S69" s="179"/>
      <c r="T69" s="179"/>
      <c r="U69" s="179"/>
      <c r="V69" s="179"/>
      <c r="W69" s="179"/>
      <c r="X69" s="179"/>
      <c r="Y69" s="179"/>
      <c r="Z69" s="179"/>
      <c r="AA69" s="179"/>
      <c r="AB69" s="179"/>
      <c r="AC69" s="179"/>
      <c r="AD69" s="179"/>
      <c r="AE69" s="179"/>
      <c r="AF69" s="179"/>
      <c r="AG69" s="179"/>
      <c r="AH69" s="53">
        <f ca="1">TblImps[[#This Row],[Time]]</f>
        <v>46049.708333333176</v>
      </c>
      <c r="AI69" s="180">
        <f ca="1">MIN(25%,(TblConstr[[#This Row],[Tot Fac]]+TblConstr[[#This Row],[Dest Fac]])/(TblConstr[[#This Row],[Land]]-TblExplore[[#This Row],[Land Bonus]]*20))</f>
        <v>0</v>
      </c>
      <c r="AJ69" s="180">
        <f ca="1">MIN(25%,(TblConstr[[#This Row],[Tot Fac]]+TblConstr[[#This Row],[Dest Fac]])/TblConstr[[#This Row],[Land]])</f>
        <v>0</v>
      </c>
      <c r="AK69" s="94">
        <f ca="1">TblProd[[#This Row],[Platinum]]</f>
        <v>159037</v>
      </c>
      <c r="AL69" s="94">
        <f ca="1">TblProd[[#This Row],[Lumber]]</f>
        <v>55769</v>
      </c>
      <c r="AM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69" s="94">
        <f ca="1">ROUNDDOWN( MAX(1 - MIN(facs_constr_factor*TblConstr[[#This Row],[Facs -DB]],facs_constr_max) + tech_1_11*TblTech[[#This Row],[11-1]] + tech_6_3_2*TblTech[[#This Row],[6-3]] + tech_5_2_3*TblTech[[#This Row],[5-2]], 1-global_constr_cap) * TblConstr[[#This Row],[RCPA Lumber]],0)</f>
        <v>48</v>
      </c>
      <c r="AO6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69" s="94">
        <f ca="1">ROUNDDOWN( MAX(1 - MIN(facs_constr_factor*TblConstr[[#This Row],[Facs DB]],facs_constr_max) + tech_1_11*TblTech[[#This Row],[1-11]] + tech_6_3_2*TblTech[[#This Row],[6-3]] + tech_5_2_3*TblTech[[#This Row],[5-2]], 1-global_constr_cap) * ROUND((TblConstr[[#This Row],[Land]]-250)*0.285 + 87.5 + 0/4.25,0),0)</f>
        <v>48</v>
      </c>
      <c r="AQ69" s="45">
        <f ca="1">TblConstr[[#This Row],[build -db]]*TblConstr[[#This Row],[CPA Platinum -DB]] + TblConstr[[#This Row],[build db]]*TblConstr[[#This Row],[CPA Platinum DB]]</f>
        <v>0</v>
      </c>
      <c r="AR69" s="45">
        <f ca="1">TblConstr[[#This Row],[build -db]]*TblConstr[[#This Row],[CPA Lumber -DB]] + TblConstr[[#This Row],[build db]]*TblConstr[[#This Row],[CPA Lumber DB]]</f>
        <v>0</v>
      </c>
      <c r="AS69" s="94">
        <f ca="1">MIN(SUM(OFFSET(TblConstr[[#This Row],[Plain]:[Water]],-1,0))+SUM(TblConstr[[#This Row],[Dest Hom]:[Dest Doc]])+IF(TblConstr[[#This Row],[Hour]]&gt;12,SUM(OFFSET(TblExplore[[#This Row],[Plains Explore]:[Water Explore]],-12,0)),0),SUM(TblConstr[[#This Row],[Hom]:[Doc]]))</f>
        <v>0</v>
      </c>
      <c r="AT6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69" s="142"/>
      <c r="AV69" s="94">
        <f ca="1">ROUND((TblConstr[[#This Row],[Land]]-250 - IF(TblExplore[[#This Row],[Land Bonus]]&lt;&gt;0,20,0))*1.25 + 850 + 0,0)</f>
        <v>675</v>
      </c>
      <c r="AW69" s="94">
        <f ca="1">ROUND((TblConstr[[#This Row],[Land]]-250 - IF(TblExplore[[#This Row],[Land Bonus]]&lt;&gt;0,20,0))*0.285 + 87.5 + 0/4.25,0)</f>
        <v>48</v>
      </c>
      <c r="AX69" s="154"/>
      <c r="AY69" s="188" cm="1">
        <f t="array" aca="1" ref="AY69" ca="1">IF(TblConstr[[#This Row],[Hour]:[Hour]]&gt;12,OFFSET(TblConstr[[#This Row],[Hom]],-12,0),0)+OFFSET(TblConstr[[#This Row],[Tot Hom]],-1,0)-TblConstr[[#This Row],[Dest Hom]]</f>
        <v>0</v>
      </c>
      <c r="AZ69" s="189" cm="1">
        <f t="array" aca="1" ref="AZ69" ca="1">IF(TblConstr[[#This Row],[Hour]:[Hour]]&gt;12,OFFSET(TblConstr[[#This Row],[Alc]],-12,0),0)+OFFSET(TblConstr[[#This Row],[Tot Alc]],-1,0)-TblConstr[[#This Row],[Dest Alc]]</f>
        <v>0</v>
      </c>
      <c r="BA69" s="189" cm="1">
        <f t="array" aca="1" ref="BA69" ca="1">IF(TblConstr[[#This Row],[Hour]:[Hour]]&gt;12,OFFSET(TblConstr[[#This Row],[Far]],-12,0),0)+OFFSET(TblConstr[[#This Row],[Tot Farm]],-1,0)-TblConstr[[#This Row],[Dest Farm]]</f>
        <v>30</v>
      </c>
      <c r="BB69" s="189" cm="1">
        <f t="array" aca="1" ref="BB69" ca="1">IF(TblConstr[[#This Row],[Hour]:[Hour]]&gt;12,OFFSET(TblConstr[[#This Row],[Smi]],-12,0),0)+OFFSET(TblConstr[[#This Row],[Tot Smi]],-1,0)-TblConstr[[#This Row],[Dest Smi]]</f>
        <v>0</v>
      </c>
      <c r="BC69" s="189" cm="1">
        <f t="array" aca="1" ref="BC69" ca="1">IF(TblConstr[[#This Row],[Hour]:[Hour]]&gt;12,OFFSET(TblConstr[[#This Row],[Mas]],-12,0),0)+OFFSET(TblConstr[[#This Row],[Tot Mas]],-1,0)-TblConstr[[#This Row],[Dest Mas]]</f>
        <v>0</v>
      </c>
      <c r="BD69" s="190" cm="1">
        <f t="array" aca="1" ref="BD69" ca="1">IF(TblConstr[[#This Row],[Hour]:[Hour]]&gt;12,OFFSET(TblConstr[[#This Row],[Ly]],-12,0),0)+OFFSET(TblConstr[[#This Row],[Tot Ly]],-1,0)-TblConstr[[#This Row],[Dest Ly]]</f>
        <v>20</v>
      </c>
      <c r="BE69" s="190" cm="1">
        <f t="array" aca="1" ref="BE69" ca="1">IF(TblConstr[[#This Row],[Hour]:[Hour]]&gt;12,OFFSET(TblConstr[[#This Row],[Hav]],-12,0),0)+OFFSET(TblConstr[[#This Row],[Tot Hav]],-1,0)-TblConstr[[#This Row],[Dest Hav]]</f>
        <v>0</v>
      </c>
      <c r="BF69" s="361" cm="1">
        <f t="array" aca="1" ref="BF69" ca="1">IF(TblConstr[[#This Row],[Hour]:[Hour]]&gt;12,OFFSET(TblConstr[[#This Row],[OM]],-12,0),0)+OFFSET(TblConstr[[#This Row],[Tot OM]],-1,0)-TblConstr[[#This Row],[Dest OM]]</f>
        <v>0</v>
      </c>
      <c r="BG69" s="361" cm="1">
        <f t="array" aca="1" ref="BG69" ca="1">IF(TblConstr[[#This Row],[Hour]:[Hour]]&gt;12,OFFSET(TblConstr[[#This Row],[GN]],-12,0),0)+OFFSET(TblConstr[[#This Row],[Tot GN]],-1,0)-TblConstr[[#This Row],[Dest GN]]</f>
        <v>0</v>
      </c>
      <c r="BH69" s="365" cm="1">
        <f t="array" aca="1" ref="BH69" ca="1">IF(TblConstr[[#This Row],[Hour]:[Hour]]&gt;12,OFFSET(TblConstr[[#This Row],[Fac]],-12,0),0)+OFFSET(TblConstr[[#This Row],[Tot Fac]],-1,0)-TblConstr[[#This Row],[Dest Fac]]</f>
        <v>0</v>
      </c>
      <c r="BI69" s="365" cm="1">
        <f t="array" aca="1" ref="BI69" ca="1">IF(TblConstr[[#This Row],[Hour]:[Hour]]&gt;12,OFFSET(TblConstr[[#This Row],[GT]],-12,0),0)+OFFSET(TblConstr[[#This Row],[Tot GT]],-1,0)-TblConstr[[#This Row],[Dest GT]]</f>
        <v>0</v>
      </c>
      <c r="BJ69" s="365" cm="1">
        <f t="array" aca="1" ref="BJ69" ca="1">IF(TblConstr[[#This Row],[Hour]:[Hour]]&gt;12,OFFSET(TblConstr[[#This Row],[Bar]],-12,0),0)+OFFSET(TblConstr[[#This Row],[Tot Bar]],-1,0)-TblConstr[[#This Row],[Dest Bar]]</f>
        <v>0</v>
      </c>
      <c r="BK69" s="365" cm="1">
        <f t="array" aca="1" ref="BK69" ca="1">IF(TblConstr[[#This Row],[Hour]:[Hour]]&gt;12,OFFSET(TblConstr[[#This Row],[Shr]],-12,0),0)+OFFSET(TblConstr[[#This Row],[Tot Shr]],-1,0)-TblConstr[[#This Row],[Dest Shr]]</f>
        <v>0</v>
      </c>
      <c r="BL69" s="369" cm="1">
        <f t="array" aca="1" ref="BL69" ca="1">IF(TblConstr[[#This Row],[Hour]:[Hour]]&gt;12,OFFSET(TblConstr[[#This Row],[Tow]],-12,0),0)+OFFSET(TblConstr[[#This Row],[Tot Tow]],-1,0)-TblConstr[[#This Row],[Dest Tow]]</f>
        <v>0</v>
      </c>
      <c r="BM69" s="369" cm="1">
        <f t="array" aca="1" ref="BM69" ca="1">IF(TblConstr[[#This Row],[Hour]:[Hour]]&gt;12,OFFSET(TblConstr[[#This Row],[Tem]],-12,0),0)+OFFSET(TblConstr[[#This Row],[Tot Tem]],-1,0)-TblConstr[[#This Row],[Dest Tem]]</f>
        <v>0</v>
      </c>
      <c r="BN69" s="369" cm="1">
        <f t="array" aca="1" ref="BN69" ca="1">IF(TblConstr[[#This Row],[Hour]:[Hour]]&gt;12,OFFSET(TblConstr[[#This Row],[WG]],-12,0),0)+OFFSET(TblConstr[[#This Row],[Tot WG]],-1,0)-TblConstr[[#This Row],[Dest WG]]</f>
        <v>0</v>
      </c>
      <c r="BO69" s="191" cm="1">
        <f t="array" aca="1" ref="BO69" ca="1">IF(TblConstr[[#This Row],[Hour]:[Hour]]&gt;12,OFFSET(TblConstr[[#This Row],[DM]],-12,0),0)+OFFSET(TblConstr[[#This Row],[Tot DM]],-1,0)-TblConstr[[#This Row],[Dest DM]]</f>
        <v>0</v>
      </c>
      <c r="BP69" s="191" cm="1">
        <f t="array" aca="1" ref="BP69" ca="1">IF(TblConstr[[#This Row],[Hour]:[Hour]]&gt;12,OFFSET(TblConstr[[#This Row],[Sch]],-12,0),0)+OFFSET(TblConstr[[#This Row],[Tot Sch]],-1,0)-TblConstr[[#This Row],[Dest Sch]]</f>
        <v>0</v>
      </c>
      <c r="BQ69" s="192" cm="1">
        <f t="array" aca="1" ref="BQ69" ca="1">IF(TblConstr[[#This Row],[Hour]:[Hour]]&gt;12,OFFSET(TblConstr[[#This Row],[Doc]],-12,0),0)+OFFSET(TblConstr[[#This Row],[Tot Doc]],-1,0)-TblConstr[[#This Row],[Dest Doc]]</f>
        <v>0</v>
      </c>
      <c r="BR69" s="142"/>
      <c r="BS69" s="154"/>
      <c r="BT69" s="94">
        <f ca="1">TblConstr[[#This Row],[Land]]</f>
        <v>110</v>
      </c>
      <c r="BU69" s="159">
        <f ca="1">TblImps[[#This Row],[Time]]</f>
        <v>46049.708333333176</v>
      </c>
      <c r="BV69" s="142"/>
      <c r="BW69" s="179"/>
      <c r="BX69" s="179"/>
      <c r="BY69" s="179"/>
      <c r="BZ69" s="179"/>
      <c r="CA69" s="179"/>
      <c r="CB69" s="179"/>
      <c r="CC69" s="179"/>
      <c r="CD69" s="179"/>
      <c r="CE69" s="179"/>
      <c r="CF69" s="179"/>
      <c r="CG69" s="179"/>
      <c r="CH69" s="179"/>
      <c r="CI69" s="179"/>
      <c r="CJ69" s="179"/>
      <c r="CK69" s="179"/>
      <c r="CL69" s="179"/>
      <c r="CM69" s="179"/>
      <c r="CN69" s="179"/>
      <c r="CO69" s="179"/>
      <c r="CP69" s="142"/>
      <c r="CQ69" s="181">
        <f ca="1">-SUM(TblConstr[[#This Row],[Alc]:[Mas]])+SUM(TblConstr[[#This Row],[Dest Alc]:[Dest Mas]])+Rezone!L69+IF("Ch_"&amp; home_land=TblConstr[[#Headers],[Ch_Plain]],TblConstr[[#This Row],[Home Land]])+IF(TblConstr[[#This Row],[Hour]:[Hour]]&gt;12,OFFSET(TblExplore[[#This Row],[Plains Explore]],-12,0),0)</f>
        <v>0</v>
      </c>
      <c r="CR69" s="182">
        <f ca="1">-SUM(TblConstr[[#This Row],[Ly]:[Hav]])+SUM(TblConstr[[#This Row],[Dest Ly]:[Dest Hav]]) +Rezone!M69 + IF("Ch_"&amp; home_land=TblConstr[[#Headers],[Ch_Forest]],TblConstr[[#This Row],[Home Land]])+IF(TblConstr[[#This Row],[Hour]:[Hour]]&gt;12,OFFSET(TblExplore[[#This Row],[Forest Explore]],-12,0),0)</f>
        <v>0</v>
      </c>
      <c r="CS69" s="359">
        <f ca="1">-SUM(TblConstr[[#This Row],[OM]:[GN]])+SUM(TblConstr[[#This Row],[Dest OM]:[Dest GN]]) +Rezone!N69 + IF("Ch_"&amp; home_land=TblConstr[[#Headers],[Ch_Mountain]],TblConstr[[#This Row],[Home Land]])+IF(TblConstr[[#This Row],[Hour]:[Hour]]&gt;12,OFFSET(TblExplore[[#This Row],[Mountain Explore]],-12,0),0)</f>
        <v>0</v>
      </c>
      <c r="CT69" s="183">
        <f ca="1">-SUM(TblConstr[[#This Row],[Fac]:[Shr]])+SUM(TblConstr[[#This Row],[Dest Fac]:[Dest Shr]]) +Rezone!O69 + IF("Ch_" &amp; home_land=TblConstr[[#Headers],[Ch_Hill]],TblConstr[[#This Row],[Home Land]])+IF(TblConstr[[#This Row],[Hour]:[Hour]]&gt;12,OFFSET(TblExplore[[#This Row],[Hill Explore]],-12,0),0)</f>
        <v>0</v>
      </c>
      <c r="CU69" s="184">
        <f ca="1">-SUM(TblConstr[[#This Row],[Tow]:[WG]])+SUM(TblConstr[[#This Row],[Dest Tow]:[Dest WG]]) +Rezone!P69 + IF("Ch_" &amp; home_land=TblConstr[[#Headers],[Ch_Swamp]],TblConstr[[#This Row],[Home Land]])+IF(TblConstr[[#This Row],[Hour]:[Hour]]&gt;12,OFFSET(TblExplore[[#This Row],[Swamp Explore]],-12,0),0)</f>
        <v>0</v>
      </c>
      <c r="CV69" s="185">
        <f ca="1" xml:space="preserve"> - SUM(TblConstr[[#This Row],[DM]:[Sch]])+SUM(TblConstr[[#This Row],[Dest DM]:[Dest Sch]]) +Rezone!Q69 + IF("Ch_" &amp; home_land=TblConstr[[#Headers],[Ch_Cavern]],TblConstr[[#This Row],[Home Land]])+IF(TblConstr[[#This Row],[Hour]:[Hour]]&gt;12,OFFSET(TblExplore[[#This Row],[Cavern Explore]],-12,0),0)</f>
        <v>0</v>
      </c>
      <c r="CW69" s="186">
        <f ca="1">-TblConstr[[#This Row],[Doc]]+TblConstr[[#This Row],[Dest Doc]] +Rezone!R69 + IF("Ch_" &amp; home_land=TblConstr[[#Headers],[Ch_Water]],TblConstr[[#This Row],[Home Land]])+IF(TblConstr[[#This Row],[Hour]:[Hour]]&gt;12,OFFSET(TblExplore[[#This Row],[Water Explore]],-12,0),0)</f>
        <v>0</v>
      </c>
      <c r="CX69" s="45">
        <f>IF(Explore!S69=1,20) - TblConstr[[#This Row],[Hom]] + TblConstr[[#This Row],[Dest Hom]]</f>
        <v>0</v>
      </c>
      <c r="CY69" s="142"/>
      <c r="CZ69" s="94">
        <f t="shared" ca="1" si="12"/>
        <v>90</v>
      </c>
      <c r="DA69" s="94">
        <f t="shared" ca="1" si="13"/>
        <v>20</v>
      </c>
      <c r="DB69" s="45">
        <f t="shared" ca="1" si="14"/>
        <v>0</v>
      </c>
      <c r="DC69" s="94">
        <f t="shared" ca="1" si="15"/>
        <v>0</v>
      </c>
      <c r="DD69" s="94">
        <f t="shared" ca="1" si="16"/>
        <v>0</v>
      </c>
      <c r="DE69" s="45">
        <f t="shared" ca="1" si="17"/>
        <v>0</v>
      </c>
      <c r="DF69" s="94">
        <f t="shared" ca="1" si="18"/>
        <v>0</v>
      </c>
      <c r="DG69" s="94" cm="1">
        <f t="array" aca="1" ref="DG69" ca="1">INDEX(TblConstr[[Total Plain]:[Total Water]],ROW()-ROW(TblConstr[#Headers]),MATCH("Total "&amp;home_land,TblConstr[[#Headers],[Total Plain]:[Total Water]],0))+TblConstr[[#This Row],[Homes]]</f>
        <v>90</v>
      </c>
      <c r="DH69" s="45">
        <f t="shared" ca="1" si="10"/>
        <v>0</v>
      </c>
      <c r="DI69" s="45">
        <f t="shared" ca="1" si="0"/>
        <v>0</v>
      </c>
      <c r="DJ69" s="45">
        <f t="shared" ca="1" si="1"/>
        <v>0</v>
      </c>
    </row>
    <row r="70" spans="1:114" x14ac:dyDescent="0.2">
      <c r="A70" s="175">
        <f>TblRezone[[#This Row],[Hour]]</f>
        <v>67</v>
      </c>
      <c r="B70" s="176">
        <f ca="1">SUM(TblConstr[[#This Row],[Plain]:[Water]])</f>
        <v>60</v>
      </c>
      <c r="C70" s="177">
        <f ca="1">SUM(TblConstr[[#This Row],[Tot Hom]:[Tot Doc]])</f>
        <v>50</v>
      </c>
      <c r="D70" s="177">
        <f t="shared" si="11"/>
        <v>0</v>
      </c>
      <c r="E70" s="178"/>
      <c r="F70" s="61">
        <f ca="1">TblConstr[[#This Row],[Barren]]+TblConstr[[#This Row],[Buildings]]+TblConstr[[#This Row],[Incoming]]</f>
        <v>110</v>
      </c>
      <c r="G70" s="187">
        <f ca="1">OFFSET(TblConstr[[#This Row],[Plain]],-1,0)+TblConstr[[#This Row],[Ch_Plain]]</f>
        <v>60</v>
      </c>
      <c r="H70" s="182">
        <f ca="1">OFFSET(TblConstr[[#This Row],[Forest]],-1,0)+TblConstr[[#This Row],[Ch_Forest]]</f>
        <v>0</v>
      </c>
      <c r="I70" s="359">
        <f ca="1">OFFSET(TblConstr[[#This Row],[Mountain]],-1,0)+TblConstr[[#This Row],[Ch_Mountain]]</f>
        <v>0</v>
      </c>
      <c r="J70" s="363">
        <f ca="1">OFFSET(TblConstr[[#This Row],[Hill]],-1,0)+TblConstr[[#This Row],[Ch_Hill]]</f>
        <v>0</v>
      </c>
      <c r="K70" s="367">
        <f ca="1">OFFSET(TblConstr[[#This Row],[Swamp]],-1,0)+TblConstr[[#This Row],[Ch_Swamp]]</f>
        <v>0</v>
      </c>
      <c r="L70" s="185">
        <f ca="1">OFFSET(TblConstr[[#This Row],[Cavern]],-1,0)+TblConstr[[#This Row],[Ch_Cavern]]</f>
        <v>0</v>
      </c>
      <c r="M70" s="186">
        <f ca="1">OFFSET(TblConstr[[#This Row],[Water]],-1,0)+TblConstr[[#This Row],[Ch_Water]]</f>
        <v>0</v>
      </c>
      <c r="N70" s="357">
        <f>TblRezone[[#This Row],[Hour]]</f>
        <v>67</v>
      </c>
      <c r="O70" s="179"/>
      <c r="P70" s="179"/>
      <c r="Q70" s="179"/>
      <c r="R70" s="179"/>
      <c r="S70" s="179"/>
      <c r="T70" s="179"/>
      <c r="U70" s="179"/>
      <c r="V70" s="179"/>
      <c r="W70" s="179"/>
      <c r="X70" s="179"/>
      <c r="Y70" s="179"/>
      <c r="Z70" s="179"/>
      <c r="AA70" s="179"/>
      <c r="AB70" s="179"/>
      <c r="AC70" s="179"/>
      <c r="AD70" s="179"/>
      <c r="AE70" s="179"/>
      <c r="AF70" s="179"/>
      <c r="AG70" s="179"/>
      <c r="AH70" s="53">
        <f ca="1">TblImps[[#This Row],[Time]]</f>
        <v>46049.74999999984</v>
      </c>
      <c r="AI70" s="180">
        <f ca="1">MIN(25%,(TblConstr[[#This Row],[Tot Fac]]+TblConstr[[#This Row],[Dest Fac]])/(TblConstr[[#This Row],[Land]]-TblExplore[[#This Row],[Land Bonus]]*20))</f>
        <v>0</v>
      </c>
      <c r="AJ70" s="180">
        <f ca="1">MIN(25%,(TblConstr[[#This Row],[Tot Fac]]+TblConstr[[#This Row],[Dest Fac]])/TblConstr[[#This Row],[Land]])</f>
        <v>0</v>
      </c>
      <c r="AK70" s="94">
        <f ca="1">TblProd[[#This Row],[Platinum]]</f>
        <v>160446</v>
      </c>
      <c r="AL70" s="94">
        <f ca="1">TblProd[[#This Row],[Lumber]]</f>
        <v>56211</v>
      </c>
      <c r="AM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0" s="94">
        <f ca="1">ROUNDDOWN( MAX(1 - MIN(facs_constr_factor*TblConstr[[#This Row],[Facs -DB]],facs_constr_max) + tech_1_11*TblTech[[#This Row],[11-1]] + tech_6_3_2*TblTech[[#This Row],[6-3]] + tech_5_2_3*TblTech[[#This Row],[5-2]], 1-global_constr_cap) * TblConstr[[#This Row],[RCPA Lumber]],0)</f>
        <v>48</v>
      </c>
      <c r="AO7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0" s="94">
        <f ca="1">ROUNDDOWN( MAX(1 - MIN(facs_constr_factor*TblConstr[[#This Row],[Facs DB]],facs_constr_max) + tech_1_11*TblTech[[#This Row],[1-11]] + tech_6_3_2*TblTech[[#This Row],[6-3]] + tech_5_2_3*TblTech[[#This Row],[5-2]], 1-global_constr_cap) * ROUND((TblConstr[[#This Row],[Land]]-250)*0.285 + 87.5 + 0/4.25,0),0)</f>
        <v>48</v>
      </c>
      <c r="AQ70" s="45">
        <f ca="1">TblConstr[[#This Row],[build -db]]*TblConstr[[#This Row],[CPA Platinum -DB]] + TblConstr[[#This Row],[build db]]*TblConstr[[#This Row],[CPA Platinum DB]]</f>
        <v>0</v>
      </c>
      <c r="AR70" s="45">
        <f ca="1">TblConstr[[#This Row],[build -db]]*TblConstr[[#This Row],[CPA Lumber -DB]] + TblConstr[[#This Row],[build db]]*TblConstr[[#This Row],[CPA Lumber DB]]</f>
        <v>0</v>
      </c>
      <c r="AS70" s="94">
        <f ca="1">MIN(SUM(OFFSET(TblConstr[[#This Row],[Plain]:[Water]],-1,0))+SUM(TblConstr[[#This Row],[Dest Hom]:[Dest Doc]])+IF(TblConstr[[#This Row],[Hour]]&gt;12,SUM(OFFSET(TblExplore[[#This Row],[Plains Explore]:[Water Explore]],-12,0)),0),SUM(TblConstr[[#This Row],[Hom]:[Doc]]))</f>
        <v>0</v>
      </c>
      <c r="AT7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0" s="142"/>
      <c r="AV70" s="94">
        <f ca="1">ROUND((TblConstr[[#This Row],[Land]]-250 - IF(TblExplore[[#This Row],[Land Bonus]]&lt;&gt;0,20,0))*1.25 + 850 + 0,0)</f>
        <v>675</v>
      </c>
      <c r="AW70" s="94">
        <f ca="1">ROUND((TblConstr[[#This Row],[Land]]-250 - IF(TblExplore[[#This Row],[Land Bonus]]&lt;&gt;0,20,0))*0.285 + 87.5 + 0/4.25,0)</f>
        <v>48</v>
      </c>
      <c r="AX70" s="154"/>
      <c r="AY70" s="188" cm="1">
        <f t="array" aca="1" ref="AY70" ca="1">IF(TblConstr[[#This Row],[Hour]:[Hour]]&gt;12,OFFSET(TblConstr[[#This Row],[Hom]],-12,0),0)+OFFSET(TblConstr[[#This Row],[Tot Hom]],-1,0)-TblConstr[[#This Row],[Dest Hom]]</f>
        <v>0</v>
      </c>
      <c r="AZ70" s="189" cm="1">
        <f t="array" aca="1" ref="AZ70" ca="1">IF(TblConstr[[#This Row],[Hour]:[Hour]]&gt;12,OFFSET(TblConstr[[#This Row],[Alc]],-12,0),0)+OFFSET(TblConstr[[#This Row],[Tot Alc]],-1,0)-TblConstr[[#This Row],[Dest Alc]]</f>
        <v>0</v>
      </c>
      <c r="BA70" s="189" cm="1">
        <f t="array" aca="1" ref="BA70" ca="1">IF(TblConstr[[#This Row],[Hour]:[Hour]]&gt;12,OFFSET(TblConstr[[#This Row],[Far]],-12,0),0)+OFFSET(TblConstr[[#This Row],[Tot Farm]],-1,0)-TblConstr[[#This Row],[Dest Farm]]</f>
        <v>30</v>
      </c>
      <c r="BB70" s="189" cm="1">
        <f t="array" aca="1" ref="BB70" ca="1">IF(TblConstr[[#This Row],[Hour]:[Hour]]&gt;12,OFFSET(TblConstr[[#This Row],[Smi]],-12,0),0)+OFFSET(TblConstr[[#This Row],[Tot Smi]],-1,0)-TblConstr[[#This Row],[Dest Smi]]</f>
        <v>0</v>
      </c>
      <c r="BC70" s="189" cm="1">
        <f t="array" aca="1" ref="BC70" ca="1">IF(TblConstr[[#This Row],[Hour]:[Hour]]&gt;12,OFFSET(TblConstr[[#This Row],[Mas]],-12,0),0)+OFFSET(TblConstr[[#This Row],[Tot Mas]],-1,0)-TblConstr[[#This Row],[Dest Mas]]</f>
        <v>0</v>
      </c>
      <c r="BD70" s="190" cm="1">
        <f t="array" aca="1" ref="BD70" ca="1">IF(TblConstr[[#This Row],[Hour]:[Hour]]&gt;12,OFFSET(TblConstr[[#This Row],[Ly]],-12,0),0)+OFFSET(TblConstr[[#This Row],[Tot Ly]],-1,0)-TblConstr[[#This Row],[Dest Ly]]</f>
        <v>20</v>
      </c>
      <c r="BE70" s="190" cm="1">
        <f t="array" aca="1" ref="BE70" ca="1">IF(TblConstr[[#This Row],[Hour]:[Hour]]&gt;12,OFFSET(TblConstr[[#This Row],[Hav]],-12,0),0)+OFFSET(TblConstr[[#This Row],[Tot Hav]],-1,0)-TblConstr[[#This Row],[Dest Hav]]</f>
        <v>0</v>
      </c>
      <c r="BF70" s="361" cm="1">
        <f t="array" aca="1" ref="BF70" ca="1">IF(TblConstr[[#This Row],[Hour]:[Hour]]&gt;12,OFFSET(TblConstr[[#This Row],[OM]],-12,0),0)+OFFSET(TblConstr[[#This Row],[Tot OM]],-1,0)-TblConstr[[#This Row],[Dest OM]]</f>
        <v>0</v>
      </c>
      <c r="BG70" s="361" cm="1">
        <f t="array" aca="1" ref="BG70" ca="1">IF(TblConstr[[#This Row],[Hour]:[Hour]]&gt;12,OFFSET(TblConstr[[#This Row],[GN]],-12,0),0)+OFFSET(TblConstr[[#This Row],[Tot GN]],-1,0)-TblConstr[[#This Row],[Dest GN]]</f>
        <v>0</v>
      </c>
      <c r="BH70" s="365" cm="1">
        <f t="array" aca="1" ref="BH70" ca="1">IF(TblConstr[[#This Row],[Hour]:[Hour]]&gt;12,OFFSET(TblConstr[[#This Row],[Fac]],-12,0),0)+OFFSET(TblConstr[[#This Row],[Tot Fac]],-1,0)-TblConstr[[#This Row],[Dest Fac]]</f>
        <v>0</v>
      </c>
      <c r="BI70" s="365" cm="1">
        <f t="array" aca="1" ref="BI70" ca="1">IF(TblConstr[[#This Row],[Hour]:[Hour]]&gt;12,OFFSET(TblConstr[[#This Row],[GT]],-12,0),0)+OFFSET(TblConstr[[#This Row],[Tot GT]],-1,0)-TblConstr[[#This Row],[Dest GT]]</f>
        <v>0</v>
      </c>
      <c r="BJ70" s="365" cm="1">
        <f t="array" aca="1" ref="BJ70" ca="1">IF(TblConstr[[#This Row],[Hour]:[Hour]]&gt;12,OFFSET(TblConstr[[#This Row],[Bar]],-12,0),0)+OFFSET(TblConstr[[#This Row],[Tot Bar]],-1,0)-TblConstr[[#This Row],[Dest Bar]]</f>
        <v>0</v>
      </c>
      <c r="BK70" s="365" cm="1">
        <f t="array" aca="1" ref="BK70" ca="1">IF(TblConstr[[#This Row],[Hour]:[Hour]]&gt;12,OFFSET(TblConstr[[#This Row],[Shr]],-12,0),0)+OFFSET(TblConstr[[#This Row],[Tot Shr]],-1,0)-TblConstr[[#This Row],[Dest Shr]]</f>
        <v>0</v>
      </c>
      <c r="BL70" s="369" cm="1">
        <f t="array" aca="1" ref="BL70" ca="1">IF(TblConstr[[#This Row],[Hour]:[Hour]]&gt;12,OFFSET(TblConstr[[#This Row],[Tow]],-12,0),0)+OFFSET(TblConstr[[#This Row],[Tot Tow]],-1,0)-TblConstr[[#This Row],[Dest Tow]]</f>
        <v>0</v>
      </c>
      <c r="BM70" s="369" cm="1">
        <f t="array" aca="1" ref="BM70" ca="1">IF(TblConstr[[#This Row],[Hour]:[Hour]]&gt;12,OFFSET(TblConstr[[#This Row],[Tem]],-12,0),0)+OFFSET(TblConstr[[#This Row],[Tot Tem]],-1,0)-TblConstr[[#This Row],[Dest Tem]]</f>
        <v>0</v>
      </c>
      <c r="BN70" s="369" cm="1">
        <f t="array" aca="1" ref="BN70" ca="1">IF(TblConstr[[#This Row],[Hour]:[Hour]]&gt;12,OFFSET(TblConstr[[#This Row],[WG]],-12,0),0)+OFFSET(TblConstr[[#This Row],[Tot WG]],-1,0)-TblConstr[[#This Row],[Dest WG]]</f>
        <v>0</v>
      </c>
      <c r="BO70" s="191" cm="1">
        <f t="array" aca="1" ref="BO70" ca="1">IF(TblConstr[[#This Row],[Hour]:[Hour]]&gt;12,OFFSET(TblConstr[[#This Row],[DM]],-12,0),0)+OFFSET(TblConstr[[#This Row],[Tot DM]],-1,0)-TblConstr[[#This Row],[Dest DM]]</f>
        <v>0</v>
      </c>
      <c r="BP70" s="191" cm="1">
        <f t="array" aca="1" ref="BP70" ca="1">IF(TblConstr[[#This Row],[Hour]:[Hour]]&gt;12,OFFSET(TblConstr[[#This Row],[Sch]],-12,0),0)+OFFSET(TblConstr[[#This Row],[Tot Sch]],-1,0)-TblConstr[[#This Row],[Dest Sch]]</f>
        <v>0</v>
      </c>
      <c r="BQ70" s="192" cm="1">
        <f t="array" aca="1" ref="BQ70" ca="1">IF(TblConstr[[#This Row],[Hour]:[Hour]]&gt;12,OFFSET(TblConstr[[#This Row],[Doc]],-12,0),0)+OFFSET(TblConstr[[#This Row],[Tot Doc]],-1,0)-TblConstr[[#This Row],[Dest Doc]]</f>
        <v>0</v>
      </c>
      <c r="BR70" s="142"/>
      <c r="BS70" s="154"/>
      <c r="BT70" s="94">
        <f ca="1">TblConstr[[#This Row],[Land]]</f>
        <v>110</v>
      </c>
      <c r="BU70" s="159">
        <f ca="1">TblImps[[#This Row],[Time]]</f>
        <v>46049.74999999984</v>
      </c>
      <c r="BV70" s="142"/>
      <c r="BW70" s="179"/>
      <c r="BX70" s="179"/>
      <c r="BY70" s="179"/>
      <c r="BZ70" s="179"/>
      <c r="CA70" s="179"/>
      <c r="CB70" s="179"/>
      <c r="CC70" s="179"/>
      <c r="CD70" s="179"/>
      <c r="CE70" s="179"/>
      <c r="CF70" s="179"/>
      <c r="CG70" s="179"/>
      <c r="CH70" s="179"/>
      <c r="CI70" s="179"/>
      <c r="CJ70" s="179"/>
      <c r="CK70" s="179"/>
      <c r="CL70" s="179"/>
      <c r="CM70" s="179"/>
      <c r="CN70" s="179"/>
      <c r="CO70" s="179"/>
      <c r="CP70" s="142"/>
      <c r="CQ70" s="181">
        <f ca="1">-SUM(TblConstr[[#This Row],[Alc]:[Mas]])+SUM(TblConstr[[#This Row],[Dest Alc]:[Dest Mas]])+Rezone!L70+IF("Ch_"&amp; home_land=TblConstr[[#Headers],[Ch_Plain]],TblConstr[[#This Row],[Home Land]])+IF(TblConstr[[#This Row],[Hour]:[Hour]]&gt;12,OFFSET(TblExplore[[#This Row],[Plains Explore]],-12,0),0)</f>
        <v>0</v>
      </c>
      <c r="CR70" s="182">
        <f ca="1">-SUM(TblConstr[[#This Row],[Ly]:[Hav]])+SUM(TblConstr[[#This Row],[Dest Ly]:[Dest Hav]]) +Rezone!M70 + IF("Ch_"&amp; home_land=TblConstr[[#Headers],[Ch_Forest]],TblConstr[[#This Row],[Home Land]])+IF(TblConstr[[#This Row],[Hour]:[Hour]]&gt;12,OFFSET(TblExplore[[#This Row],[Forest Explore]],-12,0),0)</f>
        <v>0</v>
      </c>
      <c r="CS70" s="359">
        <f ca="1">-SUM(TblConstr[[#This Row],[OM]:[GN]])+SUM(TblConstr[[#This Row],[Dest OM]:[Dest GN]]) +Rezone!N70 + IF("Ch_"&amp; home_land=TblConstr[[#Headers],[Ch_Mountain]],TblConstr[[#This Row],[Home Land]])+IF(TblConstr[[#This Row],[Hour]:[Hour]]&gt;12,OFFSET(TblExplore[[#This Row],[Mountain Explore]],-12,0),0)</f>
        <v>0</v>
      </c>
      <c r="CT70" s="183">
        <f ca="1">-SUM(TblConstr[[#This Row],[Fac]:[Shr]])+SUM(TblConstr[[#This Row],[Dest Fac]:[Dest Shr]]) +Rezone!O70 + IF("Ch_" &amp; home_land=TblConstr[[#Headers],[Ch_Hill]],TblConstr[[#This Row],[Home Land]])+IF(TblConstr[[#This Row],[Hour]:[Hour]]&gt;12,OFFSET(TblExplore[[#This Row],[Hill Explore]],-12,0),0)</f>
        <v>0</v>
      </c>
      <c r="CU70" s="184">
        <f ca="1">-SUM(TblConstr[[#This Row],[Tow]:[WG]])+SUM(TblConstr[[#This Row],[Dest Tow]:[Dest WG]]) +Rezone!P70 + IF("Ch_" &amp; home_land=TblConstr[[#Headers],[Ch_Swamp]],TblConstr[[#This Row],[Home Land]])+IF(TblConstr[[#This Row],[Hour]:[Hour]]&gt;12,OFFSET(TblExplore[[#This Row],[Swamp Explore]],-12,0),0)</f>
        <v>0</v>
      </c>
      <c r="CV70" s="185">
        <f ca="1" xml:space="preserve"> - SUM(TblConstr[[#This Row],[DM]:[Sch]])+SUM(TblConstr[[#This Row],[Dest DM]:[Dest Sch]]) +Rezone!Q70 + IF("Ch_" &amp; home_land=TblConstr[[#Headers],[Ch_Cavern]],TblConstr[[#This Row],[Home Land]])+IF(TblConstr[[#This Row],[Hour]:[Hour]]&gt;12,OFFSET(TblExplore[[#This Row],[Cavern Explore]],-12,0),0)</f>
        <v>0</v>
      </c>
      <c r="CW70" s="186">
        <f ca="1">-TblConstr[[#This Row],[Doc]]+TblConstr[[#This Row],[Dest Doc]] +Rezone!R70 + IF("Ch_" &amp; home_land=TblConstr[[#Headers],[Ch_Water]],TblConstr[[#This Row],[Home Land]])+IF(TblConstr[[#This Row],[Hour]:[Hour]]&gt;12,OFFSET(TblExplore[[#This Row],[Water Explore]],-12,0),0)</f>
        <v>0</v>
      </c>
      <c r="CX70" s="45">
        <f>IF(Explore!S70=1,20) - TblConstr[[#This Row],[Hom]] + TblConstr[[#This Row],[Dest Hom]]</f>
        <v>0</v>
      </c>
      <c r="CY70" s="142"/>
      <c r="CZ70" s="94">
        <f t="shared" ca="1" si="12"/>
        <v>90</v>
      </c>
      <c r="DA70" s="94">
        <f t="shared" ca="1" si="13"/>
        <v>20</v>
      </c>
      <c r="DB70" s="45">
        <f t="shared" ca="1" si="14"/>
        <v>0</v>
      </c>
      <c r="DC70" s="94">
        <f t="shared" ca="1" si="15"/>
        <v>0</v>
      </c>
      <c r="DD70" s="94">
        <f t="shared" ca="1" si="16"/>
        <v>0</v>
      </c>
      <c r="DE70" s="45">
        <f t="shared" ca="1" si="17"/>
        <v>0</v>
      </c>
      <c r="DF70" s="94">
        <f t="shared" ca="1" si="18"/>
        <v>0</v>
      </c>
      <c r="DG70" s="94" cm="1">
        <f t="array" aca="1" ref="DG70" ca="1">INDEX(TblConstr[[Total Plain]:[Total Water]],ROW()-ROW(TblConstr[#Headers]),MATCH("Total "&amp;home_land,TblConstr[[#Headers],[Total Plain]:[Total Water]],0))+TblConstr[[#This Row],[Homes]]</f>
        <v>90</v>
      </c>
      <c r="DH70" s="45">
        <f t="shared" ca="1" si="10"/>
        <v>0</v>
      </c>
      <c r="DI70" s="45">
        <f t="shared" ref="DI70:DI133" ca="1" si="19">MAX(BA70-BA69,0)</f>
        <v>0</v>
      </c>
      <c r="DJ70" s="45">
        <f t="shared" ref="DJ70:DJ133" ca="1" si="20">MAX(BQ70-BQ69,0)</f>
        <v>0</v>
      </c>
    </row>
    <row r="71" spans="1:114" x14ac:dyDescent="0.2">
      <c r="A71" s="175">
        <f>TblRezone[[#This Row],[Hour]]</f>
        <v>68</v>
      </c>
      <c r="B71" s="176">
        <f ca="1">SUM(TblConstr[[#This Row],[Plain]:[Water]])</f>
        <v>60</v>
      </c>
      <c r="C71" s="177">
        <f ca="1">SUM(TblConstr[[#This Row],[Tot Hom]:[Tot Doc]])</f>
        <v>50</v>
      </c>
      <c r="D71" s="177">
        <f t="shared" si="11"/>
        <v>0</v>
      </c>
      <c r="E71" s="178"/>
      <c r="F71" s="61">
        <f ca="1">TblConstr[[#This Row],[Barren]]+TblConstr[[#This Row],[Buildings]]+TblConstr[[#This Row],[Incoming]]</f>
        <v>110</v>
      </c>
      <c r="G71" s="187">
        <f ca="1">OFFSET(TblConstr[[#This Row],[Plain]],-1,0)+TblConstr[[#This Row],[Ch_Plain]]</f>
        <v>60</v>
      </c>
      <c r="H71" s="182">
        <f ca="1">OFFSET(TblConstr[[#This Row],[Forest]],-1,0)+TblConstr[[#This Row],[Ch_Forest]]</f>
        <v>0</v>
      </c>
      <c r="I71" s="359">
        <f ca="1">OFFSET(TblConstr[[#This Row],[Mountain]],-1,0)+TblConstr[[#This Row],[Ch_Mountain]]</f>
        <v>0</v>
      </c>
      <c r="J71" s="363">
        <f ca="1">OFFSET(TblConstr[[#This Row],[Hill]],-1,0)+TblConstr[[#This Row],[Ch_Hill]]</f>
        <v>0</v>
      </c>
      <c r="K71" s="367">
        <f ca="1">OFFSET(TblConstr[[#This Row],[Swamp]],-1,0)+TblConstr[[#This Row],[Ch_Swamp]]</f>
        <v>0</v>
      </c>
      <c r="L71" s="185">
        <f ca="1">OFFSET(TblConstr[[#This Row],[Cavern]],-1,0)+TblConstr[[#This Row],[Ch_Cavern]]</f>
        <v>0</v>
      </c>
      <c r="M71" s="186">
        <f ca="1">OFFSET(TblConstr[[#This Row],[Water]],-1,0)+TblConstr[[#This Row],[Ch_Water]]</f>
        <v>0</v>
      </c>
      <c r="N71" s="357">
        <f>TblRezone[[#This Row],[Hour]]</f>
        <v>68</v>
      </c>
      <c r="O71" s="179"/>
      <c r="P71" s="179"/>
      <c r="Q71" s="179"/>
      <c r="R71" s="158"/>
      <c r="S71" s="179"/>
      <c r="T71" s="179"/>
      <c r="U71" s="179"/>
      <c r="V71" s="179"/>
      <c r="W71" s="179"/>
      <c r="X71" s="179"/>
      <c r="Y71" s="179"/>
      <c r="Z71" s="179"/>
      <c r="AA71" s="179"/>
      <c r="AB71" s="179"/>
      <c r="AC71" s="179"/>
      <c r="AD71" s="179"/>
      <c r="AE71" s="179"/>
      <c r="AF71" s="179"/>
      <c r="AG71" s="179"/>
      <c r="AH71" s="53">
        <f ca="1">TblImps[[#This Row],[Time]]</f>
        <v>46049.791666666504</v>
      </c>
      <c r="AI71" s="180">
        <f ca="1">MIN(25%,(TblConstr[[#This Row],[Tot Fac]]+TblConstr[[#This Row],[Dest Fac]])/(TblConstr[[#This Row],[Land]]-TblExplore[[#This Row],[Land Bonus]]*20))</f>
        <v>0</v>
      </c>
      <c r="AJ71" s="180">
        <f ca="1">MIN(25%,(TblConstr[[#This Row],[Tot Fac]]+TblConstr[[#This Row],[Dest Fac]])/TblConstr[[#This Row],[Land]])</f>
        <v>0</v>
      </c>
      <c r="AK71" s="94">
        <f ca="1">TblProd[[#This Row],[Platinum]]</f>
        <v>161841</v>
      </c>
      <c r="AL71" s="94">
        <f ca="1">TblProd[[#This Row],[Lumber]]</f>
        <v>56649</v>
      </c>
      <c r="AM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1" s="94">
        <f ca="1">ROUNDDOWN( MAX(1 - MIN(facs_constr_factor*TblConstr[[#This Row],[Facs -DB]],facs_constr_max) + tech_1_11*TblTech[[#This Row],[11-1]] + tech_6_3_2*TblTech[[#This Row],[6-3]] + tech_5_2_3*TblTech[[#This Row],[5-2]], 1-global_constr_cap) * TblConstr[[#This Row],[RCPA Lumber]],0)</f>
        <v>48</v>
      </c>
      <c r="AO7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1" s="94">
        <f ca="1">ROUNDDOWN( MAX(1 - MIN(facs_constr_factor*TblConstr[[#This Row],[Facs DB]],facs_constr_max) + tech_1_11*TblTech[[#This Row],[1-11]] + tech_6_3_2*TblTech[[#This Row],[6-3]] + tech_5_2_3*TblTech[[#This Row],[5-2]], 1-global_constr_cap) * ROUND((TblConstr[[#This Row],[Land]]-250)*0.285 + 87.5 + 0/4.25,0),0)</f>
        <v>48</v>
      </c>
      <c r="AQ71" s="45">
        <f ca="1">TblConstr[[#This Row],[build -db]]*TblConstr[[#This Row],[CPA Platinum -DB]] + TblConstr[[#This Row],[build db]]*TblConstr[[#This Row],[CPA Platinum DB]]</f>
        <v>0</v>
      </c>
      <c r="AR71" s="45">
        <f ca="1">TblConstr[[#This Row],[build -db]]*TblConstr[[#This Row],[CPA Lumber -DB]] + TblConstr[[#This Row],[build db]]*TblConstr[[#This Row],[CPA Lumber DB]]</f>
        <v>0</v>
      </c>
      <c r="AS71" s="94">
        <f ca="1">MIN(SUM(OFFSET(TblConstr[[#This Row],[Plain]:[Water]],-1,0))+SUM(TblConstr[[#This Row],[Dest Hom]:[Dest Doc]])+IF(TblConstr[[#This Row],[Hour]]&gt;12,SUM(OFFSET(TblExplore[[#This Row],[Plains Explore]:[Water Explore]],-12,0)),0),SUM(TblConstr[[#This Row],[Hom]:[Doc]]))</f>
        <v>0</v>
      </c>
      <c r="AT7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1" s="142"/>
      <c r="AV71" s="94">
        <f ca="1">ROUND((TblConstr[[#This Row],[Land]]-250 - IF(TblExplore[[#This Row],[Land Bonus]]&lt;&gt;0,20,0))*1.25 + 850 + 0,0)</f>
        <v>675</v>
      </c>
      <c r="AW71" s="94">
        <f ca="1">ROUND((TblConstr[[#This Row],[Land]]-250 - IF(TblExplore[[#This Row],[Land Bonus]]&lt;&gt;0,20,0))*0.285 + 87.5 + 0/4.25,0)</f>
        <v>48</v>
      </c>
      <c r="AX71" s="154"/>
      <c r="AY71" s="188" cm="1">
        <f t="array" aca="1" ref="AY71" ca="1">IF(TblConstr[[#This Row],[Hour]:[Hour]]&gt;12,OFFSET(TblConstr[[#This Row],[Hom]],-12,0),0)+OFFSET(TblConstr[[#This Row],[Tot Hom]],-1,0)-TblConstr[[#This Row],[Dest Hom]]</f>
        <v>0</v>
      </c>
      <c r="AZ71" s="189" cm="1">
        <f t="array" aca="1" ref="AZ71" ca="1">IF(TblConstr[[#This Row],[Hour]:[Hour]]&gt;12,OFFSET(TblConstr[[#This Row],[Alc]],-12,0),0)+OFFSET(TblConstr[[#This Row],[Tot Alc]],-1,0)-TblConstr[[#This Row],[Dest Alc]]</f>
        <v>0</v>
      </c>
      <c r="BA71" s="189" cm="1">
        <f t="array" aca="1" ref="BA71" ca="1">IF(TblConstr[[#This Row],[Hour]:[Hour]]&gt;12,OFFSET(TblConstr[[#This Row],[Far]],-12,0),0)+OFFSET(TblConstr[[#This Row],[Tot Farm]],-1,0)-TblConstr[[#This Row],[Dest Farm]]</f>
        <v>30</v>
      </c>
      <c r="BB71" s="189" cm="1">
        <f t="array" aca="1" ref="BB71" ca="1">IF(TblConstr[[#This Row],[Hour]:[Hour]]&gt;12,OFFSET(TblConstr[[#This Row],[Smi]],-12,0),0)+OFFSET(TblConstr[[#This Row],[Tot Smi]],-1,0)-TblConstr[[#This Row],[Dest Smi]]</f>
        <v>0</v>
      </c>
      <c r="BC71" s="189" cm="1">
        <f t="array" aca="1" ref="BC71" ca="1">IF(TblConstr[[#This Row],[Hour]:[Hour]]&gt;12,OFFSET(TblConstr[[#This Row],[Mas]],-12,0),0)+OFFSET(TblConstr[[#This Row],[Tot Mas]],-1,0)-TblConstr[[#This Row],[Dest Mas]]</f>
        <v>0</v>
      </c>
      <c r="BD71" s="190" cm="1">
        <f t="array" aca="1" ref="BD71" ca="1">IF(TblConstr[[#This Row],[Hour]:[Hour]]&gt;12,OFFSET(TblConstr[[#This Row],[Ly]],-12,0),0)+OFFSET(TblConstr[[#This Row],[Tot Ly]],-1,0)-TblConstr[[#This Row],[Dest Ly]]</f>
        <v>20</v>
      </c>
      <c r="BE71" s="190" cm="1">
        <f t="array" aca="1" ref="BE71" ca="1">IF(TblConstr[[#This Row],[Hour]:[Hour]]&gt;12,OFFSET(TblConstr[[#This Row],[Hav]],-12,0),0)+OFFSET(TblConstr[[#This Row],[Tot Hav]],-1,0)-TblConstr[[#This Row],[Dest Hav]]</f>
        <v>0</v>
      </c>
      <c r="BF71" s="361" cm="1">
        <f t="array" aca="1" ref="BF71" ca="1">IF(TblConstr[[#This Row],[Hour]:[Hour]]&gt;12,OFFSET(TblConstr[[#This Row],[OM]],-12,0),0)+OFFSET(TblConstr[[#This Row],[Tot OM]],-1,0)-TblConstr[[#This Row],[Dest OM]]</f>
        <v>0</v>
      </c>
      <c r="BG71" s="361" cm="1">
        <f t="array" aca="1" ref="BG71" ca="1">IF(TblConstr[[#This Row],[Hour]:[Hour]]&gt;12,OFFSET(TblConstr[[#This Row],[GN]],-12,0),0)+OFFSET(TblConstr[[#This Row],[Tot GN]],-1,0)-TblConstr[[#This Row],[Dest GN]]</f>
        <v>0</v>
      </c>
      <c r="BH71" s="365" cm="1">
        <f t="array" aca="1" ref="BH71" ca="1">IF(TblConstr[[#This Row],[Hour]:[Hour]]&gt;12,OFFSET(TblConstr[[#This Row],[Fac]],-12,0),0)+OFFSET(TblConstr[[#This Row],[Tot Fac]],-1,0)-TblConstr[[#This Row],[Dest Fac]]</f>
        <v>0</v>
      </c>
      <c r="BI71" s="365" cm="1">
        <f t="array" aca="1" ref="BI71" ca="1">IF(TblConstr[[#This Row],[Hour]:[Hour]]&gt;12,OFFSET(TblConstr[[#This Row],[GT]],-12,0),0)+OFFSET(TblConstr[[#This Row],[Tot GT]],-1,0)-TblConstr[[#This Row],[Dest GT]]</f>
        <v>0</v>
      </c>
      <c r="BJ71" s="365" cm="1">
        <f t="array" aca="1" ref="BJ71" ca="1">IF(TblConstr[[#This Row],[Hour]:[Hour]]&gt;12,OFFSET(TblConstr[[#This Row],[Bar]],-12,0),0)+OFFSET(TblConstr[[#This Row],[Tot Bar]],-1,0)-TblConstr[[#This Row],[Dest Bar]]</f>
        <v>0</v>
      </c>
      <c r="BK71" s="365" cm="1">
        <f t="array" aca="1" ref="BK71" ca="1">IF(TblConstr[[#This Row],[Hour]:[Hour]]&gt;12,OFFSET(TblConstr[[#This Row],[Shr]],-12,0),0)+OFFSET(TblConstr[[#This Row],[Tot Shr]],-1,0)-TblConstr[[#This Row],[Dest Shr]]</f>
        <v>0</v>
      </c>
      <c r="BL71" s="369" cm="1">
        <f t="array" aca="1" ref="BL71" ca="1">IF(TblConstr[[#This Row],[Hour]:[Hour]]&gt;12,OFFSET(TblConstr[[#This Row],[Tow]],-12,0),0)+OFFSET(TblConstr[[#This Row],[Tot Tow]],-1,0)-TblConstr[[#This Row],[Dest Tow]]</f>
        <v>0</v>
      </c>
      <c r="BM71" s="369" cm="1">
        <f t="array" aca="1" ref="BM71" ca="1">IF(TblConstr[[#This Row],[Hour]:[Hour]]&gt;12,OFFSET(TblConstr[[#This Row],[Tem]],-12,0),0)+OFFSET(TblConstr[[#This Row],[Tot Tem]],-1,0)-TblConstr[[#This Row],[Dest Tem]]</f>
        <v>0</v>
      </c>
      <c r="BN71" s="369" cm="1">
        <f t="array" aca="1" ref="BN71" ca="1">IF(TblConstr[[#This Row],[Hour]:[Hour]]&gt;12,OFFSET(TblConstr[[#This Row],[WG]],-12,0),0)+OFFSET(TblConstr[[#This Row],[Tot WG]],-1,0)-TblConstr[[#This Row],[Dest WG]]</f>
        <v>0</v>
      </c>
      <c r="BO71" s="191" cm="1">
        <f t="array" aca="1" ref="BO71" ca="1">IF(TblConstr[[#This Row],[Hour]:[Hour]]&gt;12,OFFSET(TblConstr[[#This Row],[DM]],-12,0),0)+OFFSET(TblConstr[[#This Row],[Tot DM]],-1,0)-TblConstr[[#This Row],[Dest DM]]</f>
        <v>0</v>
      </c>
      <c r="BP71" s="191" cm="1">
        <f t="array" aca="1" ref="BP71" ca="1">IF(TblConstr[[#This Row],[Hour]:[Hour]]&gt;12,OFFSET(TblConstr[[#This Row],[Sch]],-12,0),0)+OFFSET(TblConstr[[#This Row],[Tot Sch]],-1,0)-TblConstr[[#This Row],[Dest Sch]]</f>
        <v>0</v>
      </c>
      <c r="BQ71" s="192" cm="1">
        <f t="array" aca="1" ref="BQ71" ca="1">IF(TblConstr[[#This Row],[Hour]:[Hour]]&gt;12,OFFSET(TblConstr[[#This Row],[Doc]],-12,0),0)+OFFSET(TblConstr[[#This Row],[Tot Doc]],-1,0)-TblConstr[[#This Row],[Dest Doc]]</f>
        <v>0</v>
      </c>
      <c r="BR71" s="142"/>
      <c r="BS71" s="154"/>
      <c r="BT71" s="94">
        <f ca="1">TblConstr[[#This Row],[Land]]</f>
        <v>110</v>
      </c>
      <c r="BU71" s="159">
        <f ca="1">TblImps[[#This Row],[Time]]</f>
        <v>46049.791666666504</v>
      </c>
      <c r="BV71" s="142"/>
      <c r="BW71" s="179"/>
      <c r="BX71" s="179"/>
      <c r="BY71" s="179"/>
      <c r="BZ71" s="179"/>
      <c r="CA71" s="179"/>
      <c r="CB71" s="179"/>
      <c r="CC71" s="179"/>
      <c r="CD71" s="179"/>
      <c r="CE71" s="179"/>
      <c r="CF71" s="179"/>
      <c r="CG71" s="179"/>
      <c r="CH71" s="179"/>
      <c r="CI71" s="179"/>
      <c r="CJ71" s="179"/>
      <c r="CK71" s="179"/>
      <c r="CL71" s="179"/>
      <c r="CM71" s="179"/>
      <c r="CN71" s="179"/>
      <c r="CO71" s="179"/>
      <c r="CP71" s="142"/>
      <c r="CQ71" s="181">
        <f ca="1">-SUM(TblConstr[[#This Row],[Alc]:[Mas]])+SUM(TblConstr[[#This Row],[Dest Alc]:[Dest Mas]])+Rezone!L71+IF("Ch_"&amp; home_land=TblConstr[[#Headers],[Ch_Plain]],TblConstr[[#This Row],[Home Land]])+IF(TblConstr[[#This Row],[Hour]:[Hour]]&gt;12,OFFSET(TblExplore[[#This Row],[Plains Explore]],-12,0),0)</f>
        <v>0</v>
      </c>
      <c r="CR71" s="182">
        <f ca="1">-SUM(TblConstr[[#This Row],[Ly]:[Hav]])+SUM(TblConstr[[#This Row],[Dest Ly]:[Dest Hav]]) +Rezone!M71 + IF("Ch_"&amp; home_land=TblConstr[[#Headers],[Ch_Forest]],TblConstr[[#This Row],[Home Land]])+IF(TblConstr[[#This Row],[Hour]:[Hour]]&gt;12,OFFSET(TblExplore[[#This Row],[Forest Explore]],-12,0),0)</f>
        <v>0</v>
      </c>
      <c r="CS71" s="359">
        <f ca="1">-SUM(TblConstr[[#This Row],[OM]:[GN]])+SUM(TblConstr[[#This Row],[Dest OM]:[Dest GN]]) +Rezone!N71 + IF("Ch_"&amp; home_land=TblConstr[[#Headers],[Ch_Mountain]],TblConstr[[#This Row],[Home Land]])+IF(TblConstr[[#This Row],[Hour]:[Hour]]&gt;12,OFFSET(TblExplore[[#This Row],[Mountain Explore]],-12,0),0)</f>
        <v>0</v>
      </c>
      <c r="CT71" s="183">
        <f ca="1">-SUM(TblConstr[[#This Row],[Fac]:[Shr]])+SUM(TblConstr[[#This Row],[Dest Fac]:[Dest Shr]]) +Rezone!O71 + IF("Ch_" &amp; home_land=TblConstr[[#Headers],[Ch_Hill]],TblConstr[[#This Row],[Home Land]])+IF(TblConstr[[#This Row],[Hour]:[Hour]]&gt;12,OFFSET(TblExplore[[#This Row],[Hill Explore]],-12,0),0)</f>
        <v>0</v>
      </c>
      <c r="CU71" s="184">
        <f ca="1">-SUM(TblConstr[[#This Row],[Tow]:[WG]])+SUM(TblConstr[[#This Row],[Dest Tow]:[Dest WG]]) +Rezone!P71 + IF("Ch_" &amp; home_land=TblConstr[[#Headers],[Ch_Swamp]],TblConstr[[#This Row],[Home Land]])+IF(TblConstr[[#This Row],[Hour]:[Hour]]&gt;12,OFFSET(TblExplore[[#This Row],[Swamp Explore]],-12,0),0)</f>
        <v>0</v>
      </c>
      <c r="CV71" s="185">
        <f ca="1" xml:space="preserve"> - SUM(TblConstr[[#This Row],[DM]:[Sch]])+SUM(TblConstr[[#This Row],[Dest DM]:[Dest Sch]]) +Rezone!Q71 + IF("Ch_" &amp; home_land=TblConstr[[#Headers],[Ch_Cavern]],TblConstr[[#This Row],[Home Land]])+IF(TblConstr[[#This Row],[Hour]:[Hour]]&gt;12,OFFSET(TblExplore[[#This Row],[Cavern Explore]],-12,0),0)</f>
        <v>0</v>
      </c>
      <c r="CW71" s="186">
        <f ca="1">-TblConstr[[#This Row],[Doc]]+TblConstr[[#This Row],[Dest Doc]] +Rezone!R71 + IF("Ch_" &amp; home_land=TblConstr[[#Headers],[Ch_Water]],TblConstr[[#This Row],[Home Land]])+IF(TblConstr[[#This Row],[Hour]:[Hour]]&gt;12,OFFSET(TblExplore[[#This Row],[Water Explore]],-12,0),0)</f>
        <v>0</v>
      </c>
      <c r="CX71" s="45">
        <f>IF(Explore!S71=1,20) - TblConstr[[#This Row],[Hom]] + TblConstr[[#This Row],[Dest Hom]]</f>
        <v>0</v>
      </c>
      <c r="CY71" s="142"/>
      <c r="CZ71" s="94">
        <f t="shared" ca="1" si="12"/>
        <v>90</v>
      </c>
      <c r="DA71" s="94">
        <f t="shared" ca="1" si="13"/>
        <v>20</v>
      </c>
      <c r="DB71" s="45">
        <f t="shared" ca="1" si="14"/>
        <v>0</v>
      </c>
      <c r="DC71" s="94">
        <f t="shared" ca="1" si="15"/>
        <v>0</v>
      </c>
      <c r="DD71" s="94">
        <f t="shared" ca="1" si="16"/>
        <v>0</v>
      </c>
      <c r="DE71" s="45">
        <f t="shared" ca="1" si="17"/>
        <v>0</v>
      </c>
      <c r="DF71" s="94">
        <f t="shared" ca="1" si="18"/>
        <v>0</v>
      </c>
      <c r="DG71" s="94" cm="1">
        <f t="array" aca="1" ref="DG71" ca="1">INDEX(TblConstr[[Total Plain]:[Total Water]],ROW()-ROW(TblConstr[#Headers]),MATCH("Total "&amp;home_land,TblConstr[[#Headers],[Total Plain]:[Total Water]],0))+TblConstr[[#This Row],[Homes]]</f>
        <v>90</v>
      </c>
      <c r="DH71" s="45">
        <f t="shared" ca="1" si="10"/>
        <v>0</v>
      </c>
      <c r="DI71" s="45">
        <f t="shared" ca="1" si="19"/>
        <v>0</v>
      </c>
      <c r="DJ71" s="45">
        <f t="shared" ca="1" si="20"/>
        <v>0</v>
      </c>
    </row>
    <row r="72" spans="1:114" x14ac:dyDescent="0.2">
      <c r="A72" s="175">
        <f>TblRezone[[#This Row],[Hour]]</f>
        <v>69</v>
      </c>
      <c r="B72" s="176">
        <f ca="1">SUM(TblConstr[[#This Row],[Plain]:[Water]])</f>
        <v>60</v>
      </c>
      <c r="C72" s="177">
        <f ca="1">SUM(TblConstr[[#This Row],[Tot Hom]:[Tot Doc]])</f>
        <v>50</v>
      </c>
      <c r="D72" s="177">
        <f t="shared" si="11"/>
        <v>0</v>
      </c>
      <c r="E72" s="178"/>
      <c r="F72" s="61">
        <f ca="1">TblConstr[[#This Row],[Barren]]+TblConstr[[#This Row],[Buildings]]+TblConstr[[#This Row],[Incoming]]</f>
        <v>110</v>
      </c>
      <c r="G72" s="187">
        <f ca="1">OFFSET(TblConstr[[#This Row],[Plain]],-1,0)+TblConstr[[#This Row],[Ch_Plain]]</f>
        <v>60</v>
      </c>
      <c r="H72" s="182">
        <f ca="1">OFFSET(TblConstr[[#This Row],[Forest]],-1,0)+TblConstr[[#This Row],[Ch_Forest]]</f>
        <v>0</v>
      </c>
      <c r="I72" s="359">
        <f ca="1">OFFSET(TblConstr[[#This Row],[Mountain]],-1,0)+TblConstr[[#This Row],[Ch_Mountain]]</f>
        <v>0</v>
      </c>
      <c r="J72" s="363">
        <f ca="1">OFFSET(TblConstr[[#This Row],[Hill]],-1,0)+TblConstr[[#This Row],[Ch_Hill]]</f>
        <v>0</v>
      </c>
      <c r="K72" s="367">
        <f ca="1">OFFSET(TblConstr[[#This Row],[Swamp]],-1,0)+TblConstr[[#This Row],[Ch_Swamp]]</f>
        <v>0</v>
      </c>
      <c r="L72" s="185">
        <f ca="1">OFFSET(TblConstr[[#This Row],[Cavern]],-1,0)+TblConstr[[#This Row],[Ch_Cavern]]</f>
        <v>0</v>
      </c>
      <c r="M72" s="186">
        <f ca="1">OFFSET(TblConstr[[#This Row],[Water]],-1,0)+TblConstr[[#This Row],[Ch_Water]]</f>
        <v>0</v>
      </c>
      <c r="N72" s="357">
        <f>TblRezone[[#This Row],[Hour]]</f>
        <v>69</v>
      </c>
      <c r="O72" s="179"/>
      <c r="P72" s="179"/>
      <c r="Q72" s="179"/>
      <c r="R72" s="179"/>
      <c r="S72" s="179"/>
      <c r="T72" s="179"/>
      <c r="U72" s="179"/>
      <c r="V72" s="179"/>
      <c r="W72" s="179"/>
      <c r="X72" s="179"/>
      <c r="Y72" s="179"/>
      <c r="Z72" s="179"/>
      <c r="AA72" s="179"/>
      <c r="AB72" s="179"/>
      <c r="AC72" s="179"/>
      <c r="AD72" s="179"/>
      <c r="AE72" s="179"/>
      <c r="AF72" s="179"/>
      <c r="AG72" s="179"/>
      <c r="AH72" s="53">
        <f ca="1">TblImps[[#This Row],[Time]]</f>
        <v>46049.833333333168</v>
      </c>
      <c r="AI72" s="180">
        <f ca="1">MIN(25%,(TblConstr[[#This Row],[Tot Fac]]+TblConstr[[#This Row],[Dest Fac]])/(TblConstr[[#This Row],[Land]]-TblExplore[[#This Row],[Land Bonus]]*20))</f>
        <v>0</v>
      </c>
      <c r="AJ72" s="180">
        <f ca="1">MIN(25%,(TblConstr[[#This Row],[Tot Fac]]+TblConstr[[#This Row],[Dest Fac]])/TblConstr[[#This Row],[Land]])</f>
        <v>0</v>
      </c>
      <c r="AK72" s="94">
        <f ca="1">TblProd[[#This Row],[Platinum]]</f>
        <v>163223</v>
      </c>
      <c r="AL72" s="94">
        <f ca="1">TblProd[[#This Row],[Lumber]]</f>
        <v>57083</v>
      </c>
      <c r="AM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2" s="94">
        <f ca="1">ROUNDDOWN( MAX(1 - MIN(facs_constr_factor*TblConstr[[#This Row],[Facs -DB]],facs_constr_max) + tech_1_11*TblTech[[#This Row],[11-1]] + tech_6_3_2*TblTech[[#This Row],[6-3]] + tech_5_2_3*TblTech[[#This Row],[5-2]], 1-global_constr_cap) * TblConstr[[#This Row],[RCPA Lumber]],0)</f>
        <v>48</v>
      </c>
      <c r="AO7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2" s="94">
        <f ca="1">ROUNDDOWN( MAX(1 - MIN(facs_constr_factor*TblConstr[[#This Row],[Facs DB]],facs_constr_max) + tech_1_11*TblTech[[#This Row],[1-11]] + tech_6_3_2*TblTech[[#This Row],[6-3]] + tech_5_2_3*TblTech[[#This Row],[5-2]], 1-global_constr_cap) * ROUND((TblConstr[[#This Row],[Land]]-250)*0.285 + 87.5 + 0/4.25,0),0)</f>
        <v>48</v>
      </c>
      <c r="AQ72" s="45">
        <f ca="1">TblConstr[[#This Row],[build -db]]*TblConstr[[#This Row],[CPA Platinum -DB]] + TblConstr[[#This Row],[build db]]*TblConstr[[#This Row],[CPA Platinum DB]]</f>
        <v>0</v>
      </c>
      <c r="AR72" s="45">
        <f ca="1">TblConstr[[#This Row],[build -db]]*TblConstr[[#This Row],[CPA Lumber -DB]] + TblConstr[[#This Row],[build db]]*TblConstr[[#This Row],[CPA Lumber DB]]</f>
        <v>0</v>
      </c>
      <c r="AS72" s="94">
        <f ca="1">MIN(SUM(OFFSET(TblConstr[[#This Row],[Plain]:[Water]],-1,0))+SUM(TblConstr[[#This Row],[Dest Hom]:[Dest Doc]])+IF(TblConstr[[#This Row],[Hour]]&gt;12,SUM(OFFSET(TblExplore[[#This Row],[Plains Explore]:[Water Explore]],-12,0)),0),SUM(TblConstr[[#This Row],[Hom]:[Doc]]))</f>
        <v>0</v>
      </c>
      <c r="AT7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2" s="142"/>
      <c r="AV72" s="94">
        <f ca="1">ROUND((TblConstr[[#This Row],[Land]]-250 - IF(TblExplore[[#This Row],[Land Bonus]]&lt;&gt;0,20,0))*1.25 + 850 + 0,0)</f>
        <v>675</v>
      </c>
      <c r="AW72" s="94">
        <f ca="1">ROUND((TblConstr[[#This Row],[Land]]-250 - IF(TblExplore[[#This Row],[Land Bonus]]&lt;&gt;0,20,0))*0.285 + 87.5 + 0/4.25,0)</f>
        <v>48</v>
      </c>
      <c r="AX72" s="154"/>
      <c r="AY72" s="188" cm="1">
        <f t="array" aca="1" ref="AY72" ca="1">IF(TblConstr[[#This Row],[Hour]:[Hour]]&gt;12,OFFSET(TblConstr[[#This Row],[Hom]],-12,0),0)+OFFSET(TblConstr[[#This Row],[Tot Hom]],-1,0)-TblConstr[[#This Row],[Dest Hom]]</f>
        <v>0</v>
      </c>
      <c r="AZ72" s="189" cm="1">
        <f t="array" aca="1" ref="AZ72" ca="1">IF(TblConstr[[#This Row],[Hour]:[Hour]]&gt;12,OFFSET(TblConstr[[#This Row],[Alc]],-12,0),0)+OFFSET(TblConstr[[#This Row],[Tot Alc]],-1,0)-TblConstr[[#This Row],[Dest Alc]]</f>
        <v>0</v>
      </c>
      <c r="BA72" s="189" cm="1">
        <f t="array" aca="1" ref="BA72" ca="1">IF(TblConstr[[#This Row],[Hour]:[Hour]]&gt;12,OFFSET(TblConstr[[#This Row],[Far]],-12,0),0)+OFFSET(TblConstr[[#This Row],[Tot Farm]],-1,0)-TblConstr[[#This Row],[Dest Farm]]</f>
        <v>30</v>
      </c>
      <c r="BB72" s="189" cm="1">
        <f t="array" aca="1" ref="BB72" ca="1">IF(TblConstr[[#This Row],[Hour]:[Hour]]&gt;12,OFFSET(TblConstr[[#This Row],[Smi]],-12,0),0)+OFFSET(TblConstr[[#This Row],[Tot Smi]],-1,0)-TblConstr[[#This Row],[Dest Smi]]</f>
        <v>0</v>
      </c>
      <c r="BC72" s="189" cm="1">
        <f t="array" aca="1" ref="BC72" ca="1">IF(TblConstr[[#This Row],[Hour]:[Hour]]&gt;12,OFFSET(TblConstr[[#This Row],[Mas]],-12,0),0)+OFFSET(TblConstr[[#This Row],[Tot Mas]],-1,0)-TblConstr[[#This Row],[Dest Mas]]</f>
        <v>0</v>
      </c>
      <c r="BD72" s="190" cm="1">
        <f t="array" aca="1" ref="BD72" ca="1">IF(TblConstr[[#This Row],[Hour]:[Hour]]&gt;12,OFFSET(TblConstr[[#This Row],[Ly]],-12,0),0)+OFFSET(TblConstr[[#This Row],[Tot Ly]],-1,0)-TblConstr[[#This Row],[Dest Ly]]</f>
        <v>20</v>
      </c>
      <c r="BE72" s="190" cm="1">
        <f t="array" aca="1" ref="BE72" ca="1">IF(TblConstr[[#This Row],[Hour]:[Hour]]&gt;12,OFFSET(TblConstr[[#This Row],[Hav]],-12,0),0)+OFFSET(TblConstr[[#This Row],[Tot Hav]],-1,0)-TblConstr[[#This Row],[Dest Hav]]</f>
        <v>0</v>
      </c>
      <c r="BF72" s="361" cm="1">
        <f t="array" aca="1" ref="BF72" ca="1">IF(TblConstr[[#This Row],[Hour]:[Hour]]&gt;12,OFFSET(TblConstr[[#This Row],[OM]],-12,0),0)+OFFSET(TblConstr[[#This Row],[Tot OM]],-1,0)-TblConstr[[#This Row],[Dest OM]]</f>
        <v>0</v>
      </c>
      <c r="BG72" s="361" cm="1">
        <f t="array" aca="1" ref="BG72" ca="1">IF(TblConstr[[#This Row],[Hour]:[Hour]]&gt;12,OFFSET(TblConstr[[#This Row],[GN]],-12,0),0)+OFFSET(TblConstr[[#This Row],[Tot GN]],-1,0)-TblConstr[[#This Row],[Dest GN]]</f>
        <v>0</v>
      </c>
      <c r="BH72" s="365" cm="1">
        <f t="array" aca="1" ref="BH72" ca="1">IF(TblConstr[[#This Row],[Hour]:[Hour]]&gt;12,OFFSET(TblConstr[[#This Row],[Fac]],-12,0),0)+OFFSET(TblConstr[[#This Row],[Tot Fac]],-1,0)-TblConstr[[#This Row],[Dest Fac]]</f>
        <v>0</v>
      </c>
      <c r="BI72" s="365" cm="1">
        <f t="array" aca="1" ref="BI72" ca="1">IF(TblConstr[[#This Row],[Hour]:[Hour]]&gt;12,OFFSET(TblConstr[[#This Row],[GT]],-12,0),0)+OFFSET(TblConstr[[#This Row],[Tot GT]],-1,0)-TblConstr[[#This Row],[Dest GT]]</f>
        <v>0</v>
      </c>
      <c r="BJ72" s="365" cm="1">
        <f t="array" aca="1" ref="BJ72" ca="1">IF(TblConstr[[#This Row],[Hour]:[Hour]]&gt;12,OFFSET(TblConstr[[#This Row],[Bar]],-12,0),0)+OFFSET(TblConstr[[#This Row],[Tot Bar]],-1,0)-TblConstr[[#This Row],[Dest Bar]]</f>
        <v>0</v>
      </c>
      <c r="BK72" s="365" cm="1">
        <f t="array" aca="1" ref="BK72" ca="1">IF(TblConstr[[#This Row],[Hour]:[Hour]]&gt;12,OFFSET(TblConstr[[#This Row],[Shr]],-12,0),0)+OFFSET(TblConstr[[#This Row],[Tot Shr]],-1,0)-TblConstr[[#This Row],[Dest Shr]]</f>
        <v>0</v>
      </c>
      <c r="BL72" s="369" cm="1">
        <f t="array" aca="1" ref="BL72" ca="1">IF(TblConstr[[#This Row],[Hour]:[Hour]]&gt;12,OFFSET(TblConstr[[#This Row],[Tow]],-12,0),0)+OFFSET(TblConstr[[#This Row],[Tot Tow]],-1,0)-TblConstr[[#This Row],[Dest Tow]]</f>
        <v>0</v>
      </c>
      <c r="BM72" s="369" cm="1">
        <f t="array" aca="1" ref="BM72" ca="1">IF(TblConstr[[#This Row],[Hour]:[Hour]]&gt;12,OFFSET(TblConstr[[#This Row],[Tem]],-12,0),0)+OFFSET(TblConstr[[#This Row],[Tot Tem]],-1,0)-TblConstr[[#This Row],[Dest Tem]]</f>
        <v>0</v>
      </c>
      <c r="BN72" s="369" cm="1">
        <f t="array" aca="1" ref="BN72" ca="1">IF(TblConstr[[#This Row],[Hour]:[Hour]]&gt;12,OFFSET(TblConstr[[#This Row],[WG]],-12,0),0)+OFFSET(TblConstr[[#This Row],[Tot WG]],-1,0)-TblConstr[[#This Row],[Dest WG]]</f>
        <v>0</v>
      </c>
      <c r="BO72" s="191" cm="1">
        <f t="array" aca="1" ref="BO72" ca="1">IF(TblConstr[[#This Row],[Hour]:[Hour]]&gt;12,OFFSET(TblConstr[[#This Row],[DM]],-12,0),0)+OFFSET(TblConstr[[#This Row],[Tot DM]],-1,0)-TblConstr[[#This Row],[Dest DM]]</f>
        <v>0</v>
      </c>
      <c r="BP72" s="191" cm="1">
        <f t="array" aca="1" ref="BP72" ca="1">IF(TblConstr[[#This Row],[Hour]:[Hour]]&gt;12,OFFSET(TblConstr[[#This Row],[Sch]],-12,0),0)+OFFSET(TblConstr[[#This Row],[Tot Sch]],-1,0)-TblConstr[[#This Row],[Dest Sch]]</f>
        <v>0</v>
      </c>
      <c r="BQ72" s="192" cm="1">
        <f t="array" aca="1" ref="BQ72" ca="1">IF(TblConstr[[#This Row],[Hour]:[Hour]]&gt;12,OFFSET(TblConstr[[#This Row],[Doc]],-12,0),0)+OFFSET(TblConstr[[#This Row],[Tot Doc]],-1,0)-TblConstr[[#This Row],[Dest Doc]]</f>
        <v>0</v>
      </c>
      <c r="BR72" s="142"/>
      <c r="BS72" s="154"/>
      <c r="BT72" s="94">
        <f ca="1">TblConstr[[#This Row],[Land]]</f>
        <v>110</v>
      </c>
      <c r="BU72" s="159">
        <f ca="1">TblImps[[#This Row],[Time]]</f>
        <v>46049.833333333168</v>
      </c>
      <c r="BV72" s="142"/>
      <c r="BW72" s="179"/>
      <c r="BX72" s="179"/>
      <c r="BY72" s="179"/>
      <c r="BZ72" s="179"/>
      <c r="CA72" s="179"/>
      <c r="CB72" s="179"/>
      <c r="CC72" s="179"/>
      <c r="CD72" s="179"/>
      <c r="CE72" s="179"/>
      <c r="CF72" s="179"/>
      <c r="CG72" s="179"/>
      <c r="CH72" s="179"/>
      <c r="CI72" s="179"/>
      <c r="CJ72" s="179"/>
      <c r="CK72" s="179"/>
      <c r="CL72" s="179"/>
      <c r="CM72" s="179"/>
      <c r="CN72" s="179"/>
      <c r="CO72" s="179"/>
      <c r="CP72" s="142"/>
      <c r="CQ72" s="181">
        <f ca="1">-SUM(TblConstr[[#This Row],[Alc]:[Mas]])+SUM(TblConstr[[#This Row],[Dest Alc]:[Dest Mas]])+Rezone!L72+IF("Ch_"&amp; home_land=TblConstr[[#Headers],[Ch_Plain]],TblConstr[[#This Row],[Home Land]])+IF(TblConstr[[#This Row],[Hour]:[Hour]]&gt;12,OFFSET(TblExplore[[#This Row],[Plains Explore]],-12,0),0)</f>
        <v>0</v>
      </c>
      <c r="CR72" s="182">
        <f ca="1">-SUM(TblConstr[[#This Row],[Ly]:[Hav]])+SUM(TblConstr[[#This Row],[Dest Ly]:[Dest Hav]]) +Rezone!M72 + IF("Ch_"&amp; home_land=TblConstr[[#Headers],[Ch_Forest]],TblConstr[[#This Row],[Home Land]])+IF(TblConstr[[#This Row],[Hour]:[Hour]]&gt;12,OFFSET(TblExplore[[#This Row],[Forest Explore]],-12,0),0)</f>
        <v>0</v>
      </c>
      <c r="CS72" s="359">
        <f ca="1">-SUM(TblConstr[[#This Row],[OM]:[GN]])+SUM(TblConstr[[#This Row],[Dest OM]:[Dest GN]]) +Rezone!N72 + IF("Ch_"&amp; home_land=TblConstr[[#Headers],[Ch_Mountain]],TblConstr[[#This Row],[Home Land]])+IF(TblConstr[[#This Row],[Hour]:[Hour]]&gt;12,OFFSET(TblExplore[[#This Row],[Mountain Explore]],-12,0),0)</f>
        <v>0</v>
      </c>
      <c r="CT72" s="183">
        <f ca="1">-SUM(TblConstr[[#This Row],[Fac]:[Shr]])+SUM(TblConstr[[#This Row],[Dest Fac]:[Dest Shr]]) +Rezone!O72 + IF("Ch_" &amp; home_land=TblConstr[[#Headers],[Ch_Hill]],TblConstr[[#This Row],[Home Land]])+IF(TblConstr[[#This Row],[Hour]:[Hour]]&gt;12,OFFSET(TblExplore[[#This Row],[Hill Explore]],-12,0),0)</f>
        <v>0</v>
      </c>
      <c r="CU72" s="184">
        <f ca="1">-SUM(TblConstr[[#This Row],[Tow]:[WG]])+SUM(TblConstr[[#This Row],[Dest Tow]:[Dest WG]]) +Rezone!P72 + IF("Ch_" &amp; home_land=TblConstr[[#Headers],[Ch_Swamp]],TblConstr[[#This Row],[Home Land]])+IF(TblConstr[[#This Row],[Hour]:[Hour]]&gt;12,OFFSET(TblExplore[[#This Row],[Swamp Explore]],-12,0),0)</f>
        <v>0</v>
      </c>
      <c r="CV72" s="185">
        <f ca="1" xml:space="preserve"> - SUM(TblConstr[[#This Row],[DM]:[Sch]])+SUM(TblConstr[[#This Row],[Dest DM]:[Dest Sch]]) +Rezone!Q72 + IF("Ch_" &amp; home_land=TblConstr[[#Headers],[Ch_Cavern]],TblConstr[[#This Row],[Home Land]])+IF(TblConstr[[#This Row],[Hour]:[Hour]]&gt;12,OFFSET(TblExplore[[#This Row],[Cavern Explore]],-12,0),0)</f>
        <v>0</v>
      </c>
      <c r="CW72" s="186">
        <f ca="1">-TblConstr[[#This Row],[Doc]]+TblConstr[[#This Row],[Dest Doc]] +Rezone!R72 + IF("Ch_" &amp; home_land=TblConstr[[#Headers],[Ch_Water]],TblConstr[[#This Row],[Home Land]])+IF(TblConstr[[#This Row],[Hour]:[Hour]]&gt;12,OFFSET(TblExplore[[#This Row],[Water Explore]],-12,0),0)</f>
        <v>0</v>
      </c>
      <c r="CX72" s="45">
        <f>IF(Explore!S72=1,20) - TblConstr[[#This Row],[Hom]] + TblConstr[[#This Row],[Dest Hom]]</f>
        <v>0</v>
      </c>
      <c r="CY72" s="142"/>
      <c r="CZ72" s="94">
        <f t="shared" ca="1" si="12"/>
        <v>90</v>
      </c>
      <c r="DA72" s="94">
        <f t="shared" ca="1" si="13"/>
        <v>20</v>
      </c>
      <c r="DB72" s="45">
        <f t="shared" ca="1" si="14"/>
        <v>0</v>
      </c>
      <c r="DC72" s="94">
        <f t="shared" ca="1" si="15"/>
        <v>0</v>
      </c>
      <c r="DD72" s="94">
        <f t="shared" ca="1" si="16"/>
        <v>0</v>
      </c>
      <c r="DE72" s="45">
        <f t="shared" ca="1" si="17"/>
        <v>0</v>
      </c>
      <c r="DF72" s="94">
        <f t="shared" ca="1" si="18"/>
        <v>0</v>
      </c>
      <c r="DG72" s="94" cm="1">
        <f t="array" aca="1" ref="DG72" ca="1">INDEX(TblConstr[[Total Plain]:[Total Water]],ROW()-ROW(TblConstr[#Headers]),MATCH("Total "&amp;home_land,TblConstr[[#Headers],[Total Plain]:[Total Water]],0))+TblConstr[[#This Row],[Homes]]</f>
        <v>90</v>
      </c>
      <c r="DH72" s="45">
        <f t="shared" ca="1" si="10"/>
        <v>0</v>
      </c>
      <c r="DI72" s="45">
        <f t="shared" ca="1" si="19"/>
        <v>0</v>
      </c>
      <c r="DJ72" s="45">
        <f t="shared" ca="1" si="20"/>
        <v>0</v>
      </c>
    </row>
    <row r="73" spans="1:114" x14ac:dyDescent="0.2">
      <c r="A73" s="175">
        <f>TblRezone[[#This Row],[Hour]]</f>
        <v>70</v>
      </c>
      <c r="B73" s="176">
        <f ca="1">SUM(TblConstr[[#This Row],[Plain]:[Water]])</f>
        <v>60</v>
      </c>
      <c r="C73" s="177">
        <f ca="1">SUM(TblConstr[[#This Row],[Tot Hom]:[Tot Doc]])</f>
        <v>50</v>
      </c>
      <c r="D73" s="177">
        <f t="shared" si="11"/>
        <v>0</v>
      </c>
      <c r="E73" s="178"/>
      <c r="F73" s="61">
        <f ca="1">TblConstr[[#This Row],[Barren]]+TblConstr[[#This Row],[Buildings]]+TblConstr[[#This Row],[Incoming]]</f>
        <v>110</v>
      </c>
      <c r="G73" s="187">
        <f ca="1">OFFSET(TblConstr[[#This Row],[Plain]],-1,0)+TblConstr[[#This Row],[Ch_Plain]]</f>
        <v>60</v>
      </c>
      <c r="H73" s="182">
        <f ca="1">OFFSET(TblConstr[[#This Row],[Forest]],-1,0)+TblConstr[[#This Row],[Ch_Forest]]</f>
        <v>0</v>
      </c>
      <c r="I73" s="359">
        <f ca="1">OFFSET(TblConstr[[#This Row],[Mountain]],-1,0)+TblConstr[[#This Row],[Ch_Mountain]]</f>
        <v>0</v>
      </c>
      <c r="J73" s="363">
        <f ca="1">OFFSET(TblConstr[[#This Row],[Hill]],-1,0)+TblConstr[[#This Row],[Ch_Hill]]</f>
        <v>0</v>
      </c>
      <c r="K73" s="367">
        <f ca="1">OFFSET(TblConstr[[#This Row],[Swamp]],-1,0)+TblConstr[[#This Row],[Ch_Swamp]]</f>
        <v>0</v>
      </c>
      <c r="L73" s="185">
        <f ca="1">OFFSET(TblConstr[[#This Row],[Cavern]],-1,0)+TblConstr[[#This Row],[Ch_Cavern]]</f>
        <v>0</v>
      </c>
      <c r="M73" s="186">
        <f ca="1">OFFSET(TblConstr[[#This Row],[Water]],-1,0)+TblConstr[[#This Row],[Ch_Water]]</f>
        <v>0</v>
      </c>
      <c r="N73" s="357">
        <f>TblRezone[[#This Row],[Hour]]</f>
        <v>70</v>
      </c>
      <c r="O73" s="179"/>
      <c r="P73" s="179"/>
      <c r="Q73" s="179"/>
      <c r="R73" s="179"/>
      <c r="S73" s="179"/>
      <c r="T73" s="179"/>
      <c r="U73" s="179"/>
      <c r="V73" s="179"/>
      <c r="W73" s="179"/>
      <c r="X73" s="179"/>
      <c r="Y73" s="179"/>
      <c r="Z73" s="179"/>
      <c r="AA73" s="179"/>
      <c r="AB73" s="179"/>
      <c r="AC73" s="179"/>
      <c r="AD73" s="179"/>
      <c r="AE73" s="179"/>
      <c r="AF73" s="179"/>
      <c r="AG73" s="179"/>
      <c r="AH73" s="53">
        <f ca="1">TblImps[[#This Row],[Time]]</f>
        <v>46049.874999999833</v>
      </c>
      <c r="AI73" s="180">
        <f ca="1">MIN(25%,(TblConstr[[#This Row],[Tot Fac]]+TblConstr[[#This Row],[Dest Fac]])/(TblConstr[[#This Row],[Land]]-TblExplore[[#This Row],[Land Bonus]]*20))</f>
        <v>0</v>
      </c>
      <c r="AJ73" s="180">
        <f ca="1">MIN(25%,(TblConstr[[#This Row],[Tot Fac]]+TblConstr[[#This Row],[Dest Fac]])/TblConstr[[#This Row],[Land]])</f>
        <v>0</v>
      </c>
      <c r="AK73" s="94">
        <f ca="1">TblProd[[#This Row],[Platinum]]</f>
        <v>164591</v>
      </c>
      <c r="AL73" s="94">
        <f ca="1">TblProd[[#This Row],[Lumber]]</f>
        <v>57512</v>
      </c>
      <c r="AM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3" s="94">
        <f ca="1">ROUNDDOWN( MAX(1 - MIN(facs_constr_factor*TblConstr[[#This Row],[Facs -DB]],facs_constr_max) + tech_1_11*TblTech[[#This Row],[11-1]] + tech_6_3_2*TblTech[[#This Row],[6-3]] + tech_5_2_3*TblTech[[#This Row],[5-2]], 1-global_constr_cap) * TblConstr[[#This Row],[RCPA Lumber]],0)</f>
        <v>48</v>
      </c>
      <c r="AO7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3" s="94">
        <f ca="1">ROUNDDOWN( MAX(1 - MIN(facs_constr_factor*TblConstr[[#This Row],[Facs DB]],facs_constr_max) + tech_1_11*TblTech[[#This Row],[1-11]] + tech_6_3_2*TblTech[[#This Row],[6-3]] + tech_5_2_3*TblTech[[#This Row],[5-2]], 1-global_constr_cap) * ROUND((TblConstr[[#This Row],[Land]]-250)*0.285 + 87.5 + 0/4.25,0),0)</f>
        <v>48</v>
      </c>
      <c r="AQ73" s="45">
        <f ca="1">TblConstr[[#This Row],[build -db]]*TblConstr[[#This Row],[CPA Platinum -DB]] + TblConstr[[#This Row],[build db]]*TblConstr[[#This Row],[CPA Platinum DB]]</f>
        <v>0</v>
      </c>
      <c r="AR73" s="45">
        <f ca="1">TblConstr[[#This Row],[build -db]]*TblConstr[[#This Row],[CPA Lumber -DB]] + TblConstr[[#This Row],[build db]]*TblConstr[[#This Row],[CPA Lumber DB]]</f>
        <v>0</v>
      </c>
      <c r="AS73" s="94">
        <f ca="1">MIN(SUM(OFFSET(TblConstr[[#This Row],[Plain]:[Water]],-1,0))+SUM(TblConstr[[#This Row],[Dest Hom]:[Dest Doc]])+IF(TblConstr[[#This Row],[Hour]]&gt;12,SUM(OFFSET(TblExplore[[#This Row],[Plains Explore]:[Water Explore]],-12,0)),0),SUM(TblConstr[[#This Row],[Hom]:[Doc]]))</f>
        <v>0</v>
      </c>
      <c r="AT7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3" s="142"/>
      <c r="AV73" s="94">
        <f ca="1">ROUND((TblConstr[[#This Row],[Land]]-250 - IF(TblExplore[[#This Row],[Land Bonus]]&lt;&gt;0,20,0))*1.25 + 850 + 0,0)</f>
        <v>675</v>
      </c>
      <c r="AW73" s="94">
        <f ca="1">ROUND((TblConstr[[#This Row],[Land]]-250 - IF(TblExplore[[#This Row],[Land Bonus]]&lt;&gt;0,20,0))*0.285 + 87.5 + 0/4.25,0)</f>
        <v>48</v>
      </c>
      <c r="AX73" s="154"/>
      <c r="AY73" s="188" cm="1">
        <f t="array" aca="1" ref="AY73" ca="1">IF(TblConstr[[#This Row],[Hour]:[Hour]]&gt;12,OFFSET(TblConstr[[#This Row],[Hom]],-12,0),0)+OFFSET(TblConstr[[#This Row],[Tot Hom]],-1,0)-TblConstr[[#This Row],[Dest Hom]]</f>
        <v>0</v>
      </c>
      <c r="AZ73" s="189" cm="1">
        <f t="array" aca="1" ref="AZ73" ca="1">IF(TblConstr[[#This Row],[Hour]:[Hour]]&gt;12,OFFSET(TblConstr[[#This Row],[Alc]],-12,0),0)+OFFSET(TblConstr[[#This Row],[Tot Alc]],-1,0)-TblConstr[[#This Row],[Dest Alc]]</f>
        <v>0</v>
      </c>
      <c r="BA73" s="189" cm="1">
        <f t="array" aca="1" ref="BA73" ca="1">IF(TblConstr[[#This Row],[Hour]:[Hour]]&gt;12,OFFSET(TblConstr[[#This Row],[Far]],-12,0),0)+OFFSET(TblConstr[[#This Row],[Tot Farm]],-1,0)-TblConstr[[#This Row],[Dest Farm]]</f>
        <v>30</v>
      </c>
      <c r="BB73" s="189" cm="1">
        <f t="array" aca="1" ref="BB73" ca="1">IF(TblConstr[[#This Row],[Hour]:[Hour]]&gt;12,OFFSET(TblConstr[[#This Row],[Smi]],-12,0),0)+OFFSET(TblConstr[[#This Row],[Tot Smi]],-1,0)-TblConstr[[#This Row],[Dest Smi]]</f>
        <v>0</v>
      </c>
      <c r="BC73" s="189" cm="1">
        <f t="array" aca="1" ref="BC73" ca="1">IF(TblConstr[[#This Row],[Hour]:[Hour]]&gt;12,OFFSET(TblConstr[[#This Row],[Mas]],-12,0),0)+OFFSET(TblConstr[[#This Row],[Tot Mas]],-1,0)-TblConstr[[#This Row],[Dest Mas]]</f>
        <v>0</v>
      </c>
      <c r="BD73" s="190" cm="1">
        <f t="array" aca="1" ref="BD73" ca="1">IF(TblConstr[[#This Row],[Hour]:[Hour]]&gt;12,OFFSET(TblConstr[[#This Row],[Ly]],-12,0),0)+OFFSET(TblConstr[[#This Row],[Tot Ly]],-1,0)-TblConstr[[#This Row],[Dest Ly]]</f>
        <v>20</v>
      </c>
      <c r="BE73" s="190" cm="1">
        <f t="array" aca="1" ref="BE73" ca="1">IF(TblConstr[[#This Row],[Hour]:[Hour]]&gt;12,OFFSET(TblConstr[[#This Row],[Hav]],-12,0),0)+OFFSET(TblConstr[[#This Row],[Tot Hav]],-1,0)-TblConstr[[#This Row],[Dest Hav]]</f>
        <v>0</v>
      </c>
      <c r="BF73" s="361" cm="1">
        <f t="array" aca="1" ref="BF73" ca="1">IF(TblConstr[[#This Row],[Hour]:[Hour]]&gt;12,OFFSET(TblConstr[[#This Row],[OM]],-12,0),0)+OFFSET(TblConstr[[#This Row],[Tot OM]],-1,0)-TblConstr[[#This Row],[Dest OM]]</f>
        <v>0</v>
      </c>
      <c r="BG73" s="361" cm="1">
        <f t="array" aca="1" ref="BG73" ca="1">IF(TblConstr[[#This Row],[Hour]:[Hour]]&gt;12,OFFSET(TblConstr[[#This Row],[GN]],-12,0),0)+OFFSET(TblConstr[[#This Row],[Tot GN]],-1,0)-TblConstr[[#This Row],[Dest GN]]</f>
        <v>0</v>
      </c>
      <c r="BH73" s="365" cm="1">
        <f t="array" aca="1" ref="BH73" ca="1">IF(TblConstr[[#This Row],[Hour]:[Hour]]&gt;12,OFFSET(TblConstr[[#This Row],[Fac]],-12,0),0)+OFFSET(TblConstr[[#This Row],[Tot Fac]],-1,0)-TblConstr[[#This Row],[Dest Fac]]</f>
        <v>0</v>
      </c>
      <c r="BI73" s="365" cm="1">
        <f t="array" aca="1" ref="BI73" ca="1">IF(TblConstr[[#This Row],[Hour]:[Hour]]&gt;12,OFFSET(TblConstr[[#This Row],[GT]],-12,0),0)+OFFSET(TblConstr[[#This Row],[Tot GT]],-1,0)-TblConstr[[#This Row],[Dest GT]]</f>
        <v>0</v>
      </c>
      <c r="BJ73" s="365" cm="1">
        <f t="array" aca="1" ref="BJ73" ca="1">IF(TblConstr[[#This Row],[Hour]:[Hour]]&gt;12,OFFSET(TblConstr[[#This Row],[Bar]],-12,0),0)+OFFSET(TblConstr[[#This Row],[Tot Bar]],-1,0)-TblConstr[[#This Row],[Dest Bar]]</f>
        <v>0</v>
      </c>
      <c r="BK73" s="365" cm="1">
        <f t="array" aca="1" ref="BK73" ca="1">IF(TblConstr[[#This Row],[Hour]:[Hour]]&gt;12,OFFSET(TblConstr[[#This Row],[Shr]],-12,0),0)+OFFSET(TblConstr[[#This Row],[Tot Shr]],-1,0)-TblConstr[[#This Row],[Dest Shr]]</f>
        <v>0</v>
      </c>
      <c r="BL73" s="369" cm="1">
        <f t="array" aca="1" ref="BL73" ca="1">IF(TblConstr[[#This Row],[Hour]:[Hour]]&gt;12,OFFSET(TblConstr[[#This Row],[Tow]],-12,0),0)+OFFSET(TblConstr[[#This Row],[Tot Tow]],-1,0)-TblConstr[[#This Row],[Dest Tow]]</f>
        <v>0</v>
      </c>
      <c r="BM73" s="369" cm="1">
        <f t="array" aca="1" ref="BM73" ca="1">IF(TblConstr[[#This Row],[Hour]:[Hour]]&gt;12,OFFSET(TblConstr[[#This Row],[Tem]],-12,0),0)+OFFSET(TblConstr[[#This Row],[Tot Tem]],-1,0)-TblConstr[[#This Row],[Dest Tem]]</f>
        <v>0</v>
      </c>
      <c r="BN73" s="369" cm="1">
        <f t="array" aca="1" ref="BN73" ca="1">IF(TblConstr[[#This Row],[Hour]:[Hour]]&gt;12,OFFSET(TblConstr[[#This Row],[WG]],-12,0),0)+OFFSET(TblConstr[[#This Row],[Tot WG]],-1,0)-TblConstr[[#This Row],[Dest WG]]</f>
        <v>0</v>
      </c>
      <c r="BO73" s="191" cm="1">
        <f t="array" aca="1" ref="BO73" ca="1">IF(TblConstr[[#This Row],[Hour]:[Hour]]&gt;12,OFFSET(TblConstr[[#This Row],[DM]],-12,0),0)+OFFSET(TblConstr[[#This Row],[Tot DM]],-1,0)-TblConstr[[#This Row],[Dest DM]]</f>
        <v>0</v>
      </c>
      <c r="BP73" s="191" cm="1">
        <f t="array" aca="1" ref="BP73" ca="1">IF(TblConstr[[#This Row],[Hour]:[Hour]]&gt;12,OFFSET(TblConstr[[#This Row],[Sch]],-12,0),0)+OFFSET(TblConstr[[#This Row],[Tot Sch]],-1,0)-TblConstr[[#This Row],[Dest Sch]]</f>
        <v>0</v>
      </c>
      <c r="BQ73" s="192" cm="1">
        <f t="array" aca="1" ref="BQ73" ca="1">IF(TblConstr[[#This Row],[Hour]:[Hour]]&gt;12,OFFSET(TblConstr[[#This Row],[Doc]],-12,0),0)+OFFSET(TblConstr[[#This Row],[Tot Doc]],-1,0)-TblConstr[[#This Row],[Dest Doc]]</f>
        <v>0</v>
      </c>
      <c r="BR73" s="142"/>
      <c r="BS73" s="154"/>
      <c r="BT73" s="94">
        <f ca="1">TblConstr[[#This Row],[Land]]</f>
        <v>110</v>
      </c>
      <c r="BU73" s="159">
        <f ca="1">TblImps[[#This Row],[Time]]</f>
        <v>46049.874999999833</v>
      </c>
      <c r="BV73" s="142"/>
      <c r="BW73" s="179"/>
      <c r="BX73" s="179"/>
      <c r="BY73" s="179"/>
      <c r="BZ73" s="179"/>
      <c r="CA73" s="179"/>
      <c r="CB73" s="179"/>
      <c r="CC73" s="179"/>
      <c r="CD73" s="179"/>
      <c r="CE73" s="179"/>
      <c r="CF73" s="179"/>
      <c r="CG73" s="179"/>
      <c r="CH73" s="179"/>
      <c r="CI73" s="179"/>
      <c r="CJ73" s="179"/>
      <c r="CK73" s="179"/>
      <c r="CL73" s="179"/>
      <c r="CM73" s="179"/>
      <c r="CN73" s="179"/>
      <c r="CO73" s="179"/>
      <c r="CP73" s="142"/>
      <c r="CQ73" s="181">
        <f ca="1">-SUM(TblConstr[[#This Row],[Alc]:[Mas]])+SUM(TblConstr[[#This Row],[Dest Alc]:[Dest Mas]])+Rezone!L73+IF("Ch_"&amp; home_land=TblConstr[[#Headers],[Ch_Plain]],TblConstr[[#This Row],[Home Land]])+IF(TblConstr[[#This Row],[Hour]:[Hour]]&gt;12,OFFSET(TblExplore[[#This Row],[Plains Explore]],-12,0),0)</f>
        <v>0</v>
      </c>
      <c r="CR73" s="182">
        <f ca="1">-SUM(TblConstr[[#This Row],[Ly]:[Hav]])+SUM(TblConstr[[#This Row],[Dest Ly]:[Dest Hav]]) +Rezone!M73 + IF("Ch_"&amp; home_land=TblConstr[[#Headers],[Ch_Forest]],TblConstr[[#This Row],[Home Land]])+IF(TblConstr[[#This Row],[Hour]:[Hour]]&gt;12,OFFSET(TblExplore[[#This Row],[Forest Explore]],-12,0),0)</f>
        <v>0</v>
      </c>
      <c r="CS73" s="359">
        <f ca="1">-SUM(TblConstr[[#This Row],[OM]:[GN]])+SUM(TblConstr[[#This Row],[Dest OM]:[Dest GN]]) +Rezone!N73 + IF("Ch_"&amp; home_land=TblConstr[[#Headers],[Ch_Mountain]],TblConstr[[#This Row],[Home Land]])+IF(TblConstr[[#This Row],[Hour]:[Hour]]&gt;12,OFFSET(TblExplore[[#This Row],[Mountain Explore]],-12,0),0)</f>
        <v>0</v>
      </c>
      <c r="CT73" s="183">
        <f ca="1">-SUM(TblConstr[[#This Row],[Fac]:[Shr]])+SUM(TblConstr[[#This Row],[Dest Fac]:[Dest Shr]]) +Rezone!O73 + IF("Ch_" &amp; home_land=TblConstr[[#Headers],[Ch_Hill]],TblConstr[[#This Row],[Home Land]])+IF(TblConstr[[#This Row],[Hour]:[Hour]]&gt;12,OFFSET(TblExplore[[#This Row],[Hill Explore]],-12,0),0)</f>
        <v>0</v>
      </c>
      <c r="CU73" s="184">
        <f ca="1">-SUM(TblConstr[[#This Row],[Tow]:[WG]])+SUM(TblConstr[[#This Row],[Dest Tow]:[Dest WG]]) +Rezone!P73 + IF("Ch_" &amp; home_land=TblConstr[[#Headers],[Ch_Swamp]],TblConstr[[#This Row],[Home Land]])+IF(TblConstr[[#This Row],[Hour]:[Hour]]&gt;12,OFFSET(TblExplore[[#This Row],[Swamp Explore]],-12,0),0)</f>
        <v>0</v>
      </c>
      <c r="CV73" s="185">
        <f ca="1" xml:space="preserve"> - SUM(TblConstr[[#This Row],[DM]:[Sch]])+SUM(TblConstr[[#This Row],[Dest DM]:[Dest Sch]]) +Rezone!Q73 + IF("Ch_" &amp; home_land=TblConstr[[#Headers],[Ch_Cavern]],TblConstr[[#This Row],[Home Land]])+IF(TblConstr[[#This Row],[Hour]:[Hour]]&gt;12,OFFSET(TblExplore[[#This Row],[Cavern Explore]],-12,0),0)</f>
        <v>0</v>
      </c>
      <c r="CW73" s="186">
        <f ca="1">-TblConstr[[#This Row],[Doc]]+TblConstr[[#This Row],[Dest Doc]] +Rezone!R73 + IF("Ch_" &amp; home_land=TblConstr[[#Headers],[Ch_Water]],TblConstr[[#This Row],[Home Land]])+IF(TblConstr[[#This Row],[Hour]:[Hour]]&gt;12,OFFSET(TblExplore[[#This Row],[Water Explore]],-12,0),0)</f>
        <v>0</v>
      </c>
      <c r="CX73" s="45">
        <f>IF(Explore!S73=1,20) - TblConstr[[#This Row],[Hom]] + TblConstr[[#This Row],[Dest Hom]]</f>
        <v>0</v>
      </c>
      <c r="CY73" s="142"/>
      <c r="CZ73" s="94">
        <f t="shared" ca="1" si="12"/>
        <v>90</v>
      </c>
      <c r="DA73" s="94">
        <f t="shared" ca="1" si="13"/>
        <v>20</v>
      </c>
      <c r="DB73" s="45">
        <f t="shared" ca="1" si="14"/>
        <v>0</v>
      </c>
      <c r="DC73" s="94">
        <f t="shared" ca="1" si="15"/>
        <v>0</v>
      </c>
      <c r="DD73" s="94">
        <f t="shared" ca="1" si="16"/>
        <v>0</v>
      </c>
      <c r="DE73" s="45">
        <f t="shared" ca="1" si="17"/>
        <v>0</v>
      </c>
      <c r="DF73" s="94">
        <f t="shared" ca="1" si="18"/>
        <v>0</v>
      </c>
      <c r="DG73" s="94" cm="1">
        <f t="array" aca="1" ref="DG73" ca="1">INDEX(TblConstr[[Total Plain]:[Total Water]],ROW()-ROW(TblConstr[#Headers]),MATCH("Total "&amp;home_land,TblConstr[[#Headers],[Total Plain]:[Total Water]],0))+TblConstr[[#This Row],[Homes]]</f>
        <v>90</v>
      </c>
      <c r="DH73" s="45">
        <f t="shared" ca="1" si="10"/>
        <v>0</v>
      </c>
      <c r="DI73" s="45">
        <f t="shared" ca="1" si="19"/>
        <v>0</v>
      </c>
      <c r="DJ73" s="45">
        <f t="shared" ca="1" si="20"/>
        <v>0</v>
      </c>
    </row>
    <row r="74" spans="1:114" x14ac:dyDescent="0.2">
      <c r="A74" s="175">
        <f>TblRezone[[#This Row],[Hour]]</f>
        <v>71</v>
      </c>
      <c r="B74" s="176">
        <f ca="1">SUM(TblConstr[[#This Row],[Plain]:[Water]])</f>
        <v>60</v>
      </c>
      <c r="C74" s="177">
        <f ca="1">SUM(TblConstr[[#This Row],[Tot Hom]:[Tot Doc]])</f>
        <v>50</v>
      </c>
      <c r="D74" s="177">
        <f t="shared" si="11"/>
        <v>0</v>
      </c>
      <c r="E74" s="178"/>
      <c r="F74" s="61">
        <f ca="1">TblConstr[[#This Row],[Barren]]+TblConstr[[#This Row],[Buildings]]+TblConstr[[#This Row],[Incoming]]</f>
        <v>110</v>
      </c>
      <c r="G74" s="187">
        <f ca="1">OFFSET(TblConstr[[#This Row],[Plain]],-1,0)+TblConstr[[#This Row],[Ch_Plain]]</f>
        <v>60</v>
      </c>
      <c r="H74" s="182">
        <f ca="1">OFFSET(TblConstr[[#This Row],[Forest]],-1,0)+TblConstr[[#This Row],[Ch_Forest]]</f>
        <v>0</v>
      </c>
      <c r="I74" s="359">
        <f ca="1">OFFSET(TblConstr[[#This Row],[Mountain]],-1,0)+TblConstr[[#This Row],[Ch_Mountain]]</f>
        <v>0</v>
      </c>
      <c r="J74" s="363">
        <f ca="1">OFFSET(TblConstr[[#This Row],[Hill]],-1,0)+TblConstr[[#This Row],[Ch_Hill]]</f>
        <v>0</v>
      </c>
      <c r="K74" s="367">
        <f ca="1">OFFSET(TblConstr[[#This Row],[Swamp]],-1,0)+TblConstr[[#This Row],[Ch_Swamp]]</f>
        <v>0</v>
      </c>
      <c r="L74" s="185">
        <f ca="1">OFFSET(TblConstr[[#This Row],[Cavern]],-1,0)+TblConstr[[#This Row],[Ch_Cavern]]</f>
        <v>0</v>
      </c>
      <c r="M74" s="186">
        <f ca="1">OFFSET(TblConstr[[#This Row],[Water]],-1,0)+TblConstr[[#This Row],[Ch_Water]]</f>
        <v>0</v>
      </c>
      <c r="N74" s="357">
        <f>TblRezone[[#This Row],[Hour]]</f>
        <v>71</v>
      </c>
      <c r="O74" s="179"/>
      <c r="P74" s="179"/>
      <c r="Q74" s="179"/>
      <c r="R74" s="179"/>
      <c r="S74" s="179"/>
      <c r="T74" s="179"/>
      <c r="U74" s="179"/>
      <c r="V74" s="179"/>
      <c r="W74" s="179"/>
      <c r="X74" s="179"/>
      <c r="Y74" s="179"/>
      <c r="Z74" s="179"/>
      <c r="AA74" s="179"/>
      <c r="AB74" s="179"/>
      <c r="AC74" s="179"/>
      <c r="AD74" s="179"/>
      <c r="AE74" s="179"/>
      <c r="AF74" s="179"/>
      <c r="AG74" s="179"/>
      <c r="AH74" s="53">
        <f ca="1">TblImps[[#This Row],[Time]]</f>
        <v>46049.916666666497</v>
      </c>
      <c r="AI74" s="180">
        <f ca="1">MIN(25%,(TblConstr[[#This Row],[Tot Fac]]+TblConstr[[#This Row],[Dest Fac]])/(TblConstr[[#This Row],[Land]]-TblExplore[[#This Row],[Land Bonus]]*20))</f>
        <v>0</v>
      </c>
      <c r="AJ74" s="180">
        <f ca="1">MIN(25%,(TblConstr[[#This Row],[Tot Fac]]+TblConstr[[#This Row],[Dest Fac]])/TblConstr[[#This Row],[Land]])</f>
        <v>0</v>
      </c>
      <c r="AK74" s="94">
        <f ca="1">TblProd[[#This Row],[Platinum]]</f>
        <v>165946</v>
      </c>
      <c r="AL74" s="94">
        <f ca="1">TblProd[[#This Row],[Lumber]]</f>
        <v>57937</v>
      </c>
      <c r="AM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4" s="94">
        <f ca="1">ROUNDDOWN( MAX(1 - MIN(facs_constr_factor*TblConstr[[#This Row],[Facs -DB]],facs_constr_max) + tech_1_11*TblTech[[#This Row],[11-1]] + tech_6_3_2*TblTech[[#This Row],[6-3]] + tech_5_2_3*TblTech[[#This Row],[5-2]], 1-global_constr_cap) * TblConstr[[#This Row],[RCPA Lumber]],0)</f>
        <v>48</v>
      </c>
      <c r="AO7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4" s="94">
        <f ca="1">ROUNDDOWN( MAX(1 - MIN(facs_constr_factor*TblConstr[[#This Row],[Facs DB]],facs_constr_max) + tech_1_11*TblTech[[#This Row],[1-11]] + tech_6_3_2*TblTech[[#This Row],[6-3]] + tech_5_2_3*TblTech[[#This Row],[5-2]], 1-global_constr_cap) * ROUND((TblConstr[[#This Row],[Land]]-250)*0.285 + 87.5 + 0/4.25,0),0)</f>
        <v>48</v>
      </c>
      <c r="AQ74" s="45">
        <f ca="1">TblConstr[[#This Row],[build -db]]*TblConstr[[#This Row],[CPA Platinum -DB]] + TblConstr[[#This Row],[build db]]*TblConstr[[#This Row],[CPA Platinum DB]]</f>
        <v>0</v>
      </c>
      <c r="AR74" s="45">
        <f ca="1">TblConstr[[#This Row],[build -db]]*TblConstr[[#This Row],[CPA Lumber -DB]] + TblConstr[[#This Row],[build db]]*TblConstr[[#This Row],[CPA Lumber DB]]</f>
        <v>0</v>
      </c>
      <c r="AS74" s="94">
        <f ca="1">MIN(SUM(OFFSET(TblConstr[[#This Row],[Plain]:[Water]],-1,0))+SUM(TblConstr[[#This Row],[Dest Hom]:[Dest Doc]])+IF(TblConstr[[#This Row],[Hour]]&gt;12,SUM(OFFSET(TblExplore[[#This Row],[Plains Explore]:[Water Explore]],-12,0)),0),SUM(TblConstr[[#This Row],[Hom]:[Doc]]))</f>
        <v>0</v>
      </c>
      <c r="AT7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4" s="142"/>
      <c r="AV74" s="94">
        <f ca="1">ROUND((TblConstr[[#This Row],[Land]]-250 - IF(TblExplore[[#This Row],[Land Bonus]]&lt;&gt;0,20,0))*1.25 + 850 + 0,0)</f>
        <v>675</v>
      </c>
      <c r="AW74" s="94">
        <f ca="1">ROUND((TblConstr[[#This Row],[Land]]-250 - IF(TblExplore[[#This Row],[Land Bonus]]&lt;&gt;0,20,0))*0.285 + 87.5 + 0/4.25,0)</f>
        <v>48</v>
      </c>
      <c r="AX74" s="154"/>
      <c r="AY74" s="188" cm="1">
        <f t="array" aca="1" ref="AY74" ca="1">IF(TblConstr[[#This Row],[Hour]:[Hour]]&gt;12,OFFSET(TblConstr[[#This Row],[Hom]],-12,0),0)+OFFSET(TblConstr[[#This Row],[Tot Hom]],-1,0)-TblConstr[[#This Row],[Dest Hom]]</f>
        <v>0</v>
      </c>
      <c r="AZ74" s="189" cm="1">
        <f t="array" aca="1" ref="AZ74" ca="1">IF(TblConstr[[#This Row],[Hour]:[Hour]]&gt;12,OFFSET(TblConstr[[#This Row],[Alc]],-12,0),0)+OFFSET(TblConstr[[#This Row],[Tot Alc]],-1,0)-TblConstr[[#This Row],[Dest Alc]]</f>
        <v>0</v>
      </c>
      <c r="BA74" s="189" cm="1">
        <f t="array" aca="1" ref="BA74" ca="1">IF(TblConstr[[#This Row],[Hour]:[Hour]]&gt;12,OFFSET(TblConstr[[#This Row],[Far]],-12,0),0)+OFFSET(TblConstr[[#This Row],[Tot Farm]],-1,0)-TblConstr[[#This Row],[Dest Farm]]</f>
        <v>30</v>
      </c>
      <c r="BB74" s="189" cm="1">
        <f t="array" aca="1" ref="BB74" ca="1">IF(TblConstr[[#This Row],[Hour]:[Hour]]&gt;12,OFFSET(TblConstr[[#This Row],[Smi]],-12,0),0)+OFFSET(TblConstr[[#This Row],[Tot Smi]],-1,0)-TblConstr[[#This Row],[Dest Smi]]</f>
        <v>0</v>
      </c>
      <c r="BC74" s="189" cm="1">
        <f t="array" aca="1" ref="BC74" ca="1">IF(TblConstr[[#This Row],[Hour]:[Hour]]&gt;12,OFFSET(TblConstr[[#This Row],[Mas]],-12,0),0)+OFFSET(TblConstr[[#This Row],[Tot Mas]],-1,0)-TblConstr[[#This Row],[Dest Mas]]</f>
        <v>0</v>
      </c>
      <c r="BD74" s="190" cm="1">
        <f t="array" aca="1" ref="BD74" ca="1">IF(TblConstr[[#This Row],[Hour]:[Hour]]&gt;12,OFFSET(TblConstr[[#This Row],[Ly]],-12,0),0)+OFFSET(TblConstr[[#This Row],[Tot Ly]],-1,0)-TblConstr[[#This Row],[Dest Ly]]</f>
        <v>20</v>
      </c>
      <c r="BE74" s="190" cm="1">
        <f t="array" aca="1" ref="BE74" ca="1">IF(TblConstr[[#This Row],[Hour]:[Hour]]&gt;12,OFFSET(TblConstr[[#This Row],[Hav]],-12,0),0)+OFFSET(TblConstr[[#This Row],[Tot Hav]],-1,0)-TblConstr[[#This Row],[Dest Hav]]</f>
        <v>0</v>
      </c>
      <c r="BF74" s="361" cm="1">
        <f t="array" aca="1" ref="BF74" ca="1">IF(TblConstr[[#This Row],[Hour]:[Hour]]&gt;12,OFFSET(TblConstr[[#This Row],[OM]],-12,0),0)+OFFSET(TblConstr[[#This Row],[Tot OM]],-1,0)-TblConstr[[#This Row],[Dest OM]]</f>
        <v>0</v>
      </c>
      <c r="BG74" s="361" cm="1">
        <f t="array" aca="1" ref="BG74" ca="1">IF(TblConstr[[#This Row],[Hour]:[Hour]]&gt;12,OFFSET(TblConstr[[#This Row],[GN]],-12,0),0)+OFFSET(TblConstr[[#This Row],[Tot GN]],-1,0)-TblConstr[[#This Row],[Dest GN]]</f>
        <v>0</v>
      </c>
      <c r="BH74" s="365" cm="1">
        <f t="array" aca="1" ref="BH74" ca="1">IF(TblConstr[[#This Row],[Hour]:[Hour]]&gt;12,OFFSET(TblConstr[[#This Row],[Fac]],-12,0),0)+OFFSET(TblConstr[[#This Row],[Tot Fac]],-1,0)-TblConstr[[#This Row],[Dest Fac]]</f>
        <v>0</v>
      </c>
      <c r="BI74" s="365" cm="1">
        <f t="array" aca="1" ref="BI74" ca="1">IF(TblConstr[[#This Row],[Hour]:[Hour]]&gt;12,OFFSET(TblConstr[[#This Row],[GT]],-12,0),0)+OFFSET(TblConstr[[#This Row],[Tot GT]],-1,0)-TblConstr[[#This Row],[Dest GT]]</f>
        <v>0</v>
      </c>
      <c r="BJ74" s="365" cm="1">
        <f t="array" aca="1" ref="BJ74" ca="1">IF(TblConstr[[#This Row],[Hour]:[Hour]]&gt;12,OFFSET(TblConstr[[#This Row],[Bar]],-12,0),0)+OFFSET(TblConstr[[#This Row],[Tot Bar]],-1,0)-TblConstr[[#This Row],[Dest Bar]]</f>
        <v>0</v>
      </c>
      <c r="BK74" s="365" cm="1">
        <f t="array" aca="1" ref="BK74" ca="1">IF(TblConstr[[#This Row],[Hour]:[Hour]]&gt;12,OFFSET(TblConstr[[#This Row],[Shr]],-12,0),0)+OFFSET(TblConstr[[#This Row],[Tot Shr]],-1,0)-TblConstr[[#This Row],[Dest Shr]]</f>
        <v>0</v>
      </c>
      <c r="BL74" s="369" cm="1">
        <f t="array" aca="1" ref="BL74" ca="1">IF(TblConstr[[#This Row],[Hour]:[Hour]]&gt;12,OFFSET(TblConstr[[#This Row],[Tow]],-12,0),0)+OFFSET(TblConstr[[#This Row],[Tot Tow]],-1,0)-TblConstr[[#This Row],[Dest Tow]]</f>
        <v>0</v>
      </c>
      <c r="BM74" s="369" cm="1">
        <f t="array" aca="1" ref="BM74" ca="1">IF(TblConstr[[#This Row],[Hour]:[Hour]]&gt;12,OFFSET(TblConstr[[#This Row],[Tem]],-12,0),0)+OFFSET(TblConstr[[#This Row],[Tot Tem]],-1,0)-TblConstr[[#This Row],[Dest Tem]]</f>
        <v>0</v>
      </c>
      <c r="BN74" s="369" cm="1">
        <f t="array" aca="1" ref="BN74" ca="1">IF(TblConstr[[#This Row],[Hour]:[Hour]]&gt;12,OFFSET(TblConstr[[#This Row],[WG]],-12,0),0)+OFFSET(TblConstr[[#This Row],[Tot WG]],-1,0)-TblConstr[[#This Row],[Dest WG]]</f>
        <v>0</v>
      </c>
      <c r="BO74" s="191" cm="1">
        <f t="array" aca="1" ref="BO74" ca="1">IF(TblConstr[[#This Row],[Hour]:[Hour]]&gt;12,OFFSET(TblConstr[[#This Row],[DM]],-12,0),0)+OFFSET(TblConstr[[#This Row],[Tot DM]],-1,0)-TblConstr[[#This Row],[Dest DM]]</f>
        <v>0</v>
      </c>
      <c r="BP74" s="191" cm="1">
        <f t="array" aca="1" ref="BP74" ca="1">IF(TblConstr[[#This Row],[Hour]:[Hour]]&gt;12,OFFSET(TblConstr[[#This Row],[Sch]],-12,0),0)+OFFSET(TblConstr[[#This Row],[Tot Sch]],-1,0)-TblConstr[[#This Row],[Dest Sch]]</f>
        <v>0</v>
      </c>
      <c r="BQ74" s="192" cm="1">
        <f t="array" aca="1" ref="BQ74" ca="1">IF(TblConstr[[#This Row],[Hour]:[Hour]]&gt;12,OFFSET(TblConstr[[#This Row],[Doc]],-12,0),0)+OFFSET(TblConstr[[#This Row],[Tot Doc]],-1,0)-TblConstr[[#This Row],[Dest Doc]]</f>
        <v>0</v>
      </c>
      <c r="BR74" s="142"/>
      <c r="BS74" s="154"/>
      <c r="BT74" s="94">
        <f ca="1">TblConstr[[#This Row],[Land]]</f>
        <v>110</v>
      </c>
      <c r="BU74" s="159">
        <f ca="1">TblImps[[#This Row],[Time]]</f>
        <v>46049.916666666497</v>
      </c>
      <c r="BV74" s="142"/>
      <c r="BW74" s="179"/>
      <c r="BX74" s="179"/>
      <c r="BY74" s="179"/>
      <c r="BZ74" s="179"/>
      <c r="CA74" s="179"/>
      <c r="CB74" s="179"/>
      <c r="CC74" s="179"/>
      <c r="CD74" s="179"/>
      <c r="CE74" s="179"/>
      <c r="CF74" s="179"/>
      <c r="CG74" s="179"/>
      <c r="CH74" s="179"/>
      <c r="CI74" s="179"/>
      <c r="CJ74" s="179"/>
      <c r="CK74" s="179"/>
      <c r="CL74" s="179"/>
      <c r="CM74" s="179"/>
      <c r="CN74" s="179"/>
      <c r="CO74" s="179"/>
      <c r="CP74" s="142"/>
      <c r="CQ74" s="181">
        <f ca="1">-SUM(TblConstr[[#This Row],[Alc]:[Mas]])+SUM(TblConstr[[#This Row],[Dest Alc]:[Dest Mas]])+Rezone!L74+IF("Ch_"&amp; home_land=TblConstr[[#Headers],[Ch_Plain]],TblConstr[[#This Row],[Home Land]])+IF(TblConstr[[#This Row],[Hour]:[Hour]]&gt;12,OFFSET(TblExplore[[#This Row],[Plains Explore]],-12,0),0)</f>
        <v>0</v>
      </c>
      <c r="CR74" s="182">
        <f ca="1">-SUM(TblConstr[[#This Row],[Ly]:[Hav]])+SUM(TblConstr[[#This Row],[Dest Ly]:[Dest Hav]]) +Rezone!M74 + IF("Ch_"&amp; home_land=TblConstr[[#Headers],[Ch_Forest]],TblConstr[[#This Row],[Home Land]])+IF(TblConstr[[#This Row],[Hour]:[Hour]]&gt;12,OFFSET(TblExplore[[#This Row],[Forest Explore]],-12,0),0)</f>
        <v>0</v>
      </c>
      <c r="CS74" s="359">
        <f ca="1">-SUM(TblConstr[[#This Row],[OM]:[GN]])+SUM(TblConstr[[#This Row],[Dest OM]:[Dest GN]]) +Rezone!N74 + IF("Ch_"&amp; home_land=TblConstr[[#Headers],[Ch_Mountain]],TblConstr[[#This Row],[Home Land]])+IF(TblConstr[[#This Row],[Hour]:[Hour]]&gt;12,OFFSET(TblExplore[[#This Row],[Mountain Explore]],-12,0),0)</f>
        <v>0</v>
      </c>
      <c r="CT74" s="183">
        <f ca="1">-SUM(TblConstr[[#This Row],[Fac]:[Shr]])+SUM(TblConstr[[#This Row],[Dest Fac]:[Dest Shr]]) +Rezone!O74 + IF("Ch_" &amp; home_land=TblConstr[[#Headers],[Ch_Hill]],TblConstr[[#This Row],[Home Land]])+IF(TblConstr[[#This Row],[Hour]:[Hour]]&gt;12,OFFSET(TblExplore[[#This Row],[Hill Explore]],-12,0),0)</f>
        <v>0</v>
      </c>
      <c r="CU74" s="184">
        <f ca="1">-SUM(TblConstr[[#This Row],[Tow]:[WG]])+SUM(TblConstr[[#This Row],[Dest Tow]:[Dest WG]]) +Rezone!P74 + IF("Ch_" &amp; home_land=TblConstr[[#Headers],[Ch_Swamp]],TblConstr[[#This Row],[Home Land]])+IF(TblConstr[[#This Row],[Hour]:[Hour]]&gt;12,OFFSET(TblExplore[[#This Row],[Swamp Explore]],-12,0),0)</f>
        <v>0</v>
      </c>
      <c r="CV74" s="185">
        <f ca="1" xml:space="preserve"> - SUM(TblConstr[[#This Row],[DM]:[Sch]])+SUM(TblConstr[[#This Row],[Dest DM]:[Dest Sch]]) +Rezone!Q74 + IF("Ch_" &amp; home_land=TblConstr[[#Headers],[Ch_Cavern]],TblConstr[[#This Row],[Home Land]])+IF(TblConstr[[#This Row],[Hour]:[Hour]]&gt;12,OFFSET(TblExplore[[#This Row],[Cavern Explore]],-12,0),0)</f>
        <v>0</v>
      </c>
      <c r="CW74" s="186">
        <f ca="1">-TblConstr[[#This Row],[Doc]]+TblConstr[[#This Row],[Dest Doc]] +Rezone!R74 + IF("Ch_" &amp; home_land=TblConstr[[#Headers],[Ch_Water]],TblConstr[[#This Row],[Home Land]])+IF(TblConstr[[#This Row],[Hour]:[Hour]]&gt;12,OFFSET(TblExplore[[#This Row],[Water Explore]],-12,0),0)</f>
        <v>0</v>
      </c>
      <c r="CX74" s="45">
        <f>IF(Explore!S74=1,20) - TblConstr[[#This Row],[Hom]] + TblConstr[[#This Row],[Dest Hom]]</f>
        <v>0</v>
      </c>
      <c r="CY74" s="142"/>
      <c r="CZ74" s="94">
        <f t="shared" ca="1" si="12"/>
        <v>90</v>
      </c>
      <c r="DA74" s="94">
        <f t="shared" ca="1" si="13"/>
        <v>20</v>
      </c>
      <c r="DB74" s="45">
        <f t="shared" ca="1" si="14"/>
        <v>0</v>
      </c>
      <c r="DC74" s="94">
        <f t="shared" ca="1" si="15"/>
        <v>0</v>
      </c>
      <c r="DD74" s="94">
        <f t="shared" ca="1" si="16"/>
        <v>0</v>
      </c>
      <c r="DE74" s="45">
        <f t="shared" ca="1" si="17"/>
        <v>0</v>
      </c>
      <c r="DF74" s="94">
        <f t="shared" ca="1" si="18"/>
        <v>0</v>
      </c>
      <c r="DG74" s="94" cm="1">
        <f t="array" aca="1" ref="DG74" ca="1">INDEX(TblConstr[[Total Plain]:[Total Water]],ROW()-ROW(TblConstr[#Headers]),MATCH("Total "&amp;home_land,TblConstr[[#Headers],[Total Plain]:[Total Water]],0))+TblConstr[[#This Row],[Homes]]</f>
        <v>90</v>
      </c>
      <c r="DH74" s="45">
        <f t="shared" ca="1" si="10"/>
        <v>0</v>
      </c>
      <c r="DI74" s="45">
        <f t="shared" ca="1" si="19"/>
        <v>0</v>
      </c>
      <c r="DJ74" s="45">
        <f t="shared" ca="1" si="20"/>
        <v>0</v>
      </c>
    </row>
    <row r="75" spans="1:114" x14ac:dyDescent="0.2">
      <c r="A75" s="175">
        <f>TblRezone[[#This Row],[Hour]]</f>
        <v>72</v>
      </c>
      <c r="B75" s="176">
        <f ca="1">SUM(TblConstr[[#This Row],[Plain]:[Water]])</f>
        <v>60</v>
      </c>
      <c r="C75" s="177">
        <f ca="1">SUM(TblConstr[[#This Row],[Tot Hom]:[Tot Doc]])</f>
        <v>50</v>
      </c>
      <c r="D75" s="177">
        <f t="shared" si="11"/>
        <v>0</v>
      </c>
      <c r="E75" s="178"/>
      <c r="F75" s="61">
        <f ca="1">TblConstr[[#This Row],[Barren]]+TblConstr[[#This Row],[Buildings]]+TblConstr[[#This Row],[Incoming]]</f>
        <v>110</v>
      </c>
      <c r="G75" s="187">
        <f ca="1">OFFSET(TblConstr[[#This Row],[Plain]],-1,0)+TblConstr[[#This Row],[Ch_Plain]]</f>
        <v>60</v>
      </c>
      <c r="H75" s="182">
        <f ca="1">OFFSET(TblConstr[[#This Row],[Forest]],-1,0)+TblConstr[[#This Row],[Ch_Forest]]</f>
        <v>0</v>
      </c>
      <c r="I75" s="359">
        <f ca="1">OFFSET(TblConstr[[#This Row],[Mountain]],-1,0)+TblConstr[[#This Row],[Ch_Mountain]]</f>
        <v>0</v>
      </c>
      <c r="J75" s="363">
        <f ca="1">OFFSET(TblConstr[[#This Row],[Hill]],-1,0)+TblConstr[[#This Row],[Ch_Hill]]</f>
        <v>0</v>
      </c>
      <c r="K75" s="367">
        <f ca="1">OFFSET(TblConstr[[#This Row],[Swamp]],-1,0)+TblConstr[[#This Row],[Ch_Swamp]]</f>
        <v>0</v>
      </c>
      <c r="L75" s="185">
        <f ca="1">OFFSET(TblConstr[[#This Row],[Cavern]],-1,0)+TblConstr[[#This Row],[Ch_Cavern]]</f>
        <v>0</v>
      </c>
      <c r="M75" s="186">
        <f ca="1">OFFSET(TblConstr[[#This Row],[Water]],-1,0)+TblConstr[[#This Row],[Ch_Water]]</f>
        <v>0</v>
      </c>
      <c r="N75" s="357">
        <f>TblRezone[[#This Row],[Hour]]</f>
        <v>72</v>
      </c>
      <c r="O75" s="179"/>
      <c r="P75" s="179"/>
      <c r="Q75" s="179"/>
      <c r="R75" s="179"/>
      <c r="S75" s="179"/>
      <c r="T75" s="179"/>
      <c r="U75" s="179"/>
      <c r="V75" s="179"/>
      <c r="W75" s="179"/>
      <c r="X75" s="179"/>
      <c r="Y75" s="179"/>
      <c r="Z75" s="179"/>
      <c r="AA75" s="179"/>
      <c r="AB75" s="179"/>
      <c r="AC75" s="179"/>
      <c r="AD75" s="179"/>
      <c r="AE75" s="179"/>
      <c r="AF75" s="179"/>
      <c r="AG75" s="179"/>
      <c r="AH75" s="53">
        <f ca="1">TblImps[[#This Row],[Time]]</f>
        <v>46049.958333333161</v>
      </c>
      <c r="AI75" s="180">
        <f ca="1">MIN(25%,(TblConstr[[#This Row],[Tot Fac]]+TblConstr[[#This Row],[Dest Fac]])/(TblConstr[[#This Row],[Land]]-TblExplore[[#This Row],[Land Bonus]]*20))</f>
        <v>0</v>
      </c>
      <c r="AJ75" s="180">
        <f ca="1">MIN(25%,(TblConstr[[#This Row],[Tot Fac]]+TblConstr[[#This Row],[Dest Fac]])/TblConstr[[#This Row],[Land]])</f>
        <v>0</v>
      </c>
      <c r="AK75" s="94">
        <f ca="1">TblProd[[#This Row],[Platinum]]</f>
        <v>167287</v>
      </c>
      <c r="AL75" s="94">
        <f ca="1">TblProd[[#This Row],[Lumber]]</f>
        <v>58358</v>
      </c>
      <c r="AM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5" s="94">
        <f ca="1">ROUNDDOWN( MAX(1 - MIN(facs_constr_factor*TblConstr[[#This Row],[Facs -DB]],facs_constr_max) + tech_1_11*TblTech[[#This Row],[11-1]] + tech_6_3_2*TblTech[[#This Row],[6-3]] + tech_5_2_3*TblTech[[#This Row],[5-2]], 1-global_constr_cap) * TblConstr[[#This Row],[RCPA Lumber]],0)</f>
        <v>48</v>
      </c>
      <c r="AO7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5" s="94">
        <f ca="1">ROUNDDOWN( MAX(1 - MIN(facs_constr_factor*TblConstr[[#This Row],[Facs DB]],facs_constr_max) + tech_1_11*TblTech[[#This Row],[1-11]] + tech_6_3_2*TblTech[[#This Row],[6-3]] + tech_5_2_3*TblTech[[#This Row],[5-2]], 1-global_constr_cap) * ROUND((TblConstr[[#This Row],[Land]]-250)*0.285 + 87.5 + 0/4.25,0),0)</f>
        <v>48</v>
      </c>
      <c r="AQ75" s="45">
        <f ca="1">TblConstr[[#This Row],[build -db]]*TblConstr[[#This Row],[CPA Platinum -DB]] + TblConstr[[#This Row],[build db]]*TblConstr[[#This Row],[CPA Platinum DB]]</f>
        <v>0</v>
      </c>
      <c r="AR75" s="45">
        <f ca="1">TblConstr[[#This Row],[build -db]]*TblConstr[[#This Row],[CPA Lumber -DB]] + TblConstr[[#This Row],[build db]]*TblConstr[[#This Row],[CPA Lumber DB]]</f>
        <v>0</v>
      </c>
      <c r="AS75" s="94">
        <f ca="1">MIN(SUM(OFFSET(TblConstr[[#This Row],[Plain]:[Water]],-1,0))+SUM(TblConstr[[#This Row],[Dest Hom]:[Dest Doc]])+IF(TblConstr[[#This Row],[Hour]]&gt;12,SUM(OFFSET(TblExplore[[#This Row],[Plains Explore]:[Water Explore]],-12,0)),0),SUM(TblConstr[[#This Row],[Hom]:[Doc]]))</f>
        <v>0</v>
      </c>
      <c r="AT7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5" s="142"/>
      <c r="AV75" s="94">
        <f ca="1">ROUND((TblConstr[[#This Row],[Land]]-250 - IF(TblExplore[[#This Row],[Land Bonus]]&lt;&gt;0,20,0))*1.25 + 850 + 0,0)</f>
        <v>675</v>
      </c>
      <c r="AW75" s="94">
        <f ca="1">ROUND((TblConstr[[#This Row],[Land]]-250 - IF(TblExplore[[#This Row],[Land Bonus]]&lt;&gt;0,20,0))*0.285 + 87.5 + 0/4.25,0)</f>
        <v>48</v>
      </c>
      <c r="AX75" s="154"/>
      <c r="AY75" s="188" cm="1">
        <f t="array" aca="1" ref="AY75" ca="1">IF(TblConstr[[#This Row],[Hour]:[Hour]]&gt;12,OFFSET(TblConstr[[#This Row],[Hom]],-12,0),0)+OFFSET(TblConstr[[#This Row],[Tot Hom]],-1,0)-TblConstr[[#This Row],[Dest Hom]]</f>
        <v>0</v>
      </c>
      <c r="AZ75" s="189" cm="1">
        <f t="array" aca="1" ref="AZ75" ca="1">IF(TblConstr[[#This Row],[Hour]:[Hour]]&gt;12,OFFSET(TblConstr[[#This Row],[Alc]],-12,0),0)+OFFSET(TblConstr[[#This Row],[Tot Alc]],-1,0)-TblConstr[[#This Row],[Dest Alc]]</f>
        <v>0</v>
      </c>
      <c r="BA75" s="189" cm="1">
        <f t="array" aca="1" ref="BA75" ca="1">IF(TblConstr[[#This Row],[Hour]:[Hour]]&gt;12,OFFSET(TblConstr[[#This Row],[Far]],-12,0),0)+OFFSET(TblConstr[[#This Row],[Tot Farm]],-1,0)-TblConstr[[#This Row],[Dest Farm]]</f>
        <v>30</v>
      </c>
      <c r="BB75" s="189" cm="1">
        <f t="array" aca="1" ref="BB75" ca="1">IF(TblConstr[[#This Row],[Hour]:[Hour]]&gt;12,OFFSET(TblConstr[[#This Row],[Smi]],-12,0),0)+OFFSET(TblConstr[[#This Row],[Tot Smi]],-1,0)-TblConstr[[#This Row],[Dest Smi]]</f>
        <v>0</v>
      </c>
      <c r="BC75" s="189" cm="1">
        <f t="array" aca="1" ref="BC75" ca="1">IF(TblConstr[[#This Row],[Hour]:[Hour]]&gt;12,OFFSET(TblConstr[[#This Row],[Mas]],-12,0),0)+OFFSET(TblConstr[[#This Row],[Tot Mas]],-1,0)-TblConstr[[#This Row],[Dest Mas]]</f>
        <v>0</v>
      </c>
      <c r="BD75" s="190" cm="1">
        <f t="array" aca="1" ref="BD75" ca="1">IF(TblConstr[[#This Row],[Hour]:[Hour]]&gt;12,OFFSET(TblConstr[[#This Row],[Ly]],-12,0),0)+OFFSET(TblConstr[[#This Row],[Tot Ly]],-1,0)-TblConstr[[#This Row],[Dest Ly]]</f>
        <v>20</v>
      </c>
      <c r="BE75" s="190" cm="1">
        <f t="array" aca="1" ref="BE75" ca="1">IF(TblConstr[[#This Row],[Hour]:[Hour]]&gt;12,OFFSET(TblConstr[[#This Row],[Hav]],-12,0),0)+OFFSET(TblConstr[[#This Row],[Tot Hav]],-1,0)-TblConstr[[#This Row],[Dest Hav]]</f>
        <v>0</v>
      </c>
      <c r="BF75" s="361" cm="1">
        <f t="array" aca="1" ref="BF75" ca="1">IF(TblConstr[[#This Row],[Hour]:[Hour]]&gt;12,OFFSET(TblConstr[[#This Row],[OM]],-12,0),0)+OFFSET(TblConstr[[#This Row],[Tot OM]],-1,0)-TblConstr[[#This Row],[Dest OM]]</f>
        <v>0</v>
      </c>
      <c r="BG75" s="361" cm="1">
        <f t="array" aca="1" ref="BG75" ca="1">IF(TblConstr[[#This Row],[Hour]:[Hour]]&gt;12,OFFSET(TblConstr[[#This Row],[GN]],-12,0),0)+OFFSET(TblConstr[[#This Row],[Tot GN]],-1,0)-TblConstr[[#This Row],[Dest GN]]</f>
        <v>0</v>
      </c>
      <c r="BH75" s="365" cm="1">
        <f t="array" aca="1" ref="BH75" ca="1">IF(TblConstr[[#This Row],[Hour]:[Hour]]&gt;12,OFFSET(TblConstr[[#This Row],[Fac]],-12,0),0)+OFFSET(TblConstr[[#This Row],[Tot Fac]],-1,0)-TblConstr[[#This Row],[Dest Fac]]</f>
        <v>0</v>
      </c>
      <c r="BI75" s="365" cm="1">
        <f t="array" aca="1" ref="BI75" ca="1">IF(TblConstr[[#This Row],[Hour]:[Hour]]&gt;12,OFFSET(TblConstr[[#This Row],[GT]],-12,0),0)+OFFSET(TblConstr[[#This Row],[Tot GT]],-1,0)-TblConstr[[#This Row],[Dest GT]]</f>
        <v>0</v>
      </c>
      <c r="BJ75" s="365" cm="1">
        <f t="array" aca="1" ref="BJ75" ca="1">IF(TblConstr[[#This Row],[Hour]:[Hour]]&gt;12,OFFSET(TblConstr[[#This Row],[Bar]],-12,0),0)+OFFSET(TblConstr[[#This Row],[Tot Bar]],-1,0)-TblConstr[[#This Row],[Dest Bar]]</f>
        <v>0</v>
      </c>
      <c r="BK75" s="365" cm="1">
        <f t="array" aca="1" ref="BK75" ca="1">IF(TblConstr[[#This Row],[Hour]:[Hour]]&gt;12,OFFSET(TblConstr[[#This Row],[Shr]],-12,0),0)+OFFSET(TblConstr[[#This Row],[Tot Shr]],-1,0)-TblConstr[[#This Row],[Dest Shr]]</f>
        <v>0</v>
      </c>
      <c r="BL75" s="369" cm="1">
        <f t="array" aca="1" ref="BL75" ca="1">IF(TblConstr[[#This Row],[Hour]:[Hour]]&gt;12,OFFSET(TblConstr[[#This Row],[Tow]],-12,0),0)+OFFSET(TblConstr[[#This Row],[Tot Tow]],-1,0)-TblConstr[[#This Row],[Dest Tow]]</f>
        <v>0</v>
      </c>
      <c r="BM75" s="369" cm="1">
        <f t="array" aca="1" ref="BM75" ca="1">IF(TblConstr[[#This Row],[Hour]:[Hour]]&gt;12,OFFSET(TblConstr[[#This Row],[Tem]],-12,0),0)+OFFSET(TblConstr[[#This Row],[Tot Tem]],-1,0)-TblConstr[[#This Row],[Dest Tem]]</f>
        <v>0</v>
      </c>
      <c r="BN75" s="369" cm="1">
        <f t="array" aca="1" ref="BN75" ca="1">IF(TblConstr[[#This Row],[Hour]:[Hour]]&gt;12,OFFSET(TblConstr[[#This Row],[WG]],-12,0),0)+OFFSET(TblConstr[[#This Row],[Tot WG]],-1,0)-TblConstr[[#This Row],[Dest WG]]</f>
        <v>0</v>
      </c>
      <c r="BO75" s="191" cm="1">
        <f t="array" aca="1" ref="BO75" ca="1">IF(TblConstr[[#This Row],[Hour]:[Hour]]&gt;12,OFFSET(TblConstr[[#This Row],[DM]],-12,0),0)+OFFSET(TblConstr[[#This Row],[Tot DM]],-1,0)-TblConstr[[#This Row],[Dest DM]]</f>
        <v>0</v>
      </c>
      <c r="BP75" s="191" cm="1">
        <f t="array" aca="1" ref="BP75" ca="1">IF(TblConstr[[#This Row],[Hour]:[Hour]]&gt;12,OFFSET(TblConstr[[#This Row],[Sch]],-12,0),0)+OFFSET(TblConstr[[#This Row],[Tot Sch]],-1,0)-TblConstr[[#This Row],[Dest Sch]]</f>
        <v>0</v>
      </c>
      <c r="BQ75" s="192" cm="1">
        <f t="array" aca="1" ref="BQ75" ca="1">IF(TblConstr[[#This Row],[Hour]:[Hour]]&gt;12,OFFSET(TblConstr[[#This Row],[Doc]],-12,0),0)+OFFSET(TblConstr[[#This Row],[Tot Doc]],-1,0)-TblConstr[[#This Row],[Dest Doc]]</f>
        <v>0</v>
      </c>
      <c r="BR75" s="142"/>
      <c r="BS75" s="154"/>
      <c r="BT75" s="94">
        <f ca="1">TblConstr[[#This Row],[Land]]</f>
        <v>110</v>
      </c>
      <c r="BU75" s="159">
        <f ca="1">TblImps[[#This Row],[Time]]</f>
        <v>46049.958333333161</v>
      </c>
      <c r="BV75" s="142"/>
      <c r="BW75" s="179"/>
      <c r="BX75" s="179"/>
      <c r="BY75" s="179"/>
      <c r="BZ75" s="179"/>
      <c r="CA75" s="179"/>
      <c r="CB75" s="179"/>
      <c r="CC75" s="179"/>
      <c r="CD75" s="179"/>
      <c r="CE75" s="179"/>
      <c r="CF75" s="179"/>
      <c r="CG75" s="179"/>
      <c r="CH75" s="179"/>
      <c r="CI75" s="179"/>
      <c r="CJ75" s="179"/>
      <c r="CK75" s="179"/>
      <c r="CL75" s="179"/>
      <c r="CM75" s="179"/>
      <c r="CN75" s="179"/>
      <c r="CO75" s="179"/>
      <c r="CP75" s="142"/>
      <c r="CQ75" s="181">
        <f ca="1">-SUM(TblConstr[[#This Row],[Alc]:[Mas]])+SUM(TblConstr[[#This Row],[Dest Alc]:[Dest Mas]])+Rezone!L75+IF("Ch_"&amp; home_land=TblConstr[[#Headers],[Ch_Plain]],TblConstr[[#This Row],[Home Land]])+IF(TblConstr[[#This Row],[Hour]:[Hour]]&gt;12,OFFSET(TblExplore[[#This Row],[Plains Explore]],-12,0),0)</f>
        <v>0</v>
      </c>
      <c r="CR75" s="182">
        <f ca="1">-SUM(TblConstr[[#This Row],[Ly]:[Hav]])+SUM(TblConstr[[#This Row],[Dest Ly]:[Dest Hav]]) +Rezone!M75 + IF("Ch_"&amp; home_land=TblConstr[[#Headers],[Ch_Forest]],TblConstr[[#This Row],[Home Land]])+IF(TblConstr[[#This Row],[Hour]:[Hour]]&gt;12,OFFSET(TblExplore[[#This Row],[Forest Explore]],-12,0),0)</f>
        <v>0</v>
      </c>
      <c r="CS75" s="359">
        <f ca="1">-SUM(TblConstr[[#This Row],[OM]:[GN]])+SUM(TblConstr[[#This Row],[Dest OM]:[Dest GN]]) +Rezone!N75 + IF("Ch_"&amp; home_land=TblConstr[[#Headers],[Ch_Mountain]],TblConstr[[#This Row],[Home Land]])+IF(TblConstr[[#This Row],[Hour]:[Hour]]&gt;12,OFFSET(TblExplore[[#This Row],[Mountain Explore]],-12,0),0)</f>
        <v>0</v>
      </c>
      <c r="CT75" s="183">
        <f ca="1">-SUM(TblConstr[[#This Row],[Fac]:[Shr]])+SUM(TblConstr[[#This Row],[Dest Fac]:[Dest Shr]]) +Rezone!O75 + IF("Ch_" &amp; home_land=TblConstr[[#Headers],[Ch_Hill]],TblConstr[[#This Row],[Home Land]])+IF(TblConstr[[#This Row],[Hour]:[Hour]]&gt;12,OFFSET(TblExplore[[#This Row],[Hill Explore]],-12,0),0)</f>
        <v>0</v>
      </c>
      <c r="CU75" s="184">
        <f ca="1">-SUM(TblConstr[[#This Row],[Tow]:[WG]])+SUM(TblConstr[[#This Row],[Dest Tow]:[Dest WG]]) +Rezone!P75 + IF("Ch_" &amp; home_land=TblConstr[[#Headers],[Ch_Swamp]],TblConstr[[#This Row],[Home Land]])+IF(TblConstr[[#This Row],[Hour]:[Hour]]&gt;12,OFFSET(TblExplore[[#This Row],[Swamp Explore]],-12,0),0)</f>
        <v>0</v>
      </c>
      <c r="CV75" s="185">
        <f ca="1" xml:space="preserve"> - SUM(TblConstr[[#This Row],[DM]:[Sch]])+SUM(TblConstr[[#This Row],[Dest DM]:[Dest Sch]]) +Rezone!Q75 + IF("Ch_" &amp; home_land=TblConstr[[#Headers],[Ch_Cavern]],TblConstr[[#This Row],[Home Land]])+IF(TblConstr[[#This Row],[Hour]:[Hour]]&gt;12,OFFSET(TblExplore[[#This Row],[Cavern Explore]],-12,0),0)</f>
        <v>0</v>
      </c>
      <c r="CW75" s="186">
        <f ca="1">-TblConstr[[#This Row],[Doc]]+TblConstr[[#This Row],[Dest Doc]] +Rezone!R75 + IF("Ch_" &amp; home_land=TblConstr[[#Headers],[Ch_Water]],TblConstr[[#This Row],[Home Land]])+IF(TblConstr[[#This Row],[Hour]:[Hour]]&gt;12,OFFSET(TblExplore[[#This Row],[Water Explore]],-12,0),0)</f>
        <v>0</v>
      </c>
      <c r="CX75" s="45">
        <f>IF(Explore!S75=1,20) - TblConstr[[#This Row],[Hom]] + TblConstr[[#This Row],[Dest Hom]]</f>
        <v>0</v>
      </c>
      <c r="CY75" s="142"/>
      <c r="CZ75" s="94">
        <f t="shared" ca="1" si="12"/>
        <v>90</v>
      </c>
      <c r="DA75" s="94">
        <f t="shared" ca="1" si="13"/>
        <v>20</v>
      </c>
      <c r="DB75" s="45">
        <f t="shared" ca="1" si="14"/>
        <v>0</v>
      </c>
      <c r="DC75" s="94">
        <f t="shared" ca="1" si="15"/>
        <v>0</v>
      </c>
      <c r="DD75" s="94">
        <f t="shared" ca="1" si="16"/>
        <v>0</v>
      </c>
      <c r="DE75" s="45">
        <f t="shared" ca="1" si="17"/>
        <v>0</v>
      </c>
      <c r="DF75" s="94">
        <f t="shared" ca="1" si="18"/>
        <v>0</v>
      </c>
      <c r="DG75" s="94" cm="1">
        <f t="array" aca="1" ref="DG75" ca="1">INDEX(TblConstr[[Total Plain]:[Total Water]],ROW()-ROW(TblConstr[#Headers]),MATCH("Total "&amp;home_land,TblConstr[[#Headers],[Total Plain]:[Total Water]],0))+TblConstr[[#This Row],[Homes]]</f>
        <v>90</v>
      </c>
      <c r="DH75" s="45">
        <f t="shared" ca="1" si="10"/>
        <v>0</v>
      </c>
      <c r="DI75" s="45">
        <f t="shared" ca="1" si="19"/>
        <v>0</v>
      </c>
      <c r="DJ75" s="45">
        <f t="shared" ca="1" si="20"/>
        <v>0</v>
      </c>
    </row>
    <row r="76" spans="1:114" x14ac:dyDescent="0.2">
      <c r="A76" s="175">
        <f>TblRezone[[#This Row],[Hour]]</f>
        <v>73</v>
      </c>
      <c r="B76" s="426">
        <f ca="1">SUM(TblConstr[[#This Row],[Plain]:[Water]])</f>
        <v>60</v>
      </c>
      <c r="C76" s="427">
        <f ca="1">SUM(TblConstr[[#This Row],[Tot Hom]:[Tot Doc]])</f>
        <v>50</v>
      </c>
      <c r="D76" s="427">
        <f t="shared" ref="D76:D131" si="21">SUM(O65:AG76)</f>
        <v>0</v>
      </c>
      <c r="E76" s="178"/>
      <c r="F76" s="428">
        <f ca="1">TblConstr[[#This Row],[Barren]]+TblConstr[[#This Row],[Buildings]]+TblConstr[[#This Row],[Incoming]]</f>
        <v>110</v>
      </c>
      <c r="G76" s="187">
        <f ca="1">OFFSET(TblConstr[[#This Row],[Plain]],-1,0)+TblConstr[[#This Row],[Ch_Plain]]</f>
        <v>60</v>
      </c>
      <c r="H76" s="182">
        <f ca="1">OFFSET(TblConstr[[#This Row],[Forest]],-1,0)+TblConstr[[#This Row],[Ch_Forest]]</f>
        <v>0</v>
      </c>
      <c r="I76" s="359">
        <f ca="1">OFFSET(TblConstr[[#This Row],[Mountain]],-1,0)+TblConstr[[#This Row],[Ch_Mountain]]</f>
        <v>0</v>
      </c>
      <c r="J76" s="363">
        <f ca="1">OFFSET(TblConstr[[#This Row],[Hill]],-1,0)+TblConstr[[#This Row],[Ch_Hill]]</f>
        <v>0</v>
      </c>
      <c r="K76" s="367">
        <f ca="1">OFFSET(TblConstr[[#This Row],[Swamp]],-1,0)+TblConstr[[#This Row],[Ch_Swamp]]</f>
        <v>0</v>
      </c>
      <c r="L76" s="185">
        <f ca="1">OFFSET(TblConstr[[#This Row],[Cavern]],-1,0)+TblConstr[[#This Row],[Ch_Cavern]]</f>
        <v>0</v>
      </c>
      <c r="M76" s="186">
        <f ca="1">OFFSET(TblConstr[[#This Row],[Water]],-1,0)+TblConstr[[#This Row],[Ch_Water]]</f>
        <v>0</v>
      </c>
      <c r="N76" s="357">
        <f>TblRezone[[#This Row],[Hour]]</f>
        <v>73</v>
      </c>
      <c r="O76" s="179"/>
      <c r="P76" s="179"/>
      <c r="Q76" s="179"/>
      <c r="R76" s="179"/>
      <c r="S76" s="179"/>
      <c r="T76" s="179"/>
      <c r="U76" s="179"/>
      <c r="V76" s="179"/>
      <c r="W76" s="179"/>
      <c r="X76" s="179"/>
      <c r="Y76" s="179"/>
      <c r="Z76" s="179"/>
      <c r="AA76" s="179"/>
      <c r="AB76" s="179"/>
      <c r="AC76" s="179"/>
      <c r="AD76" s="179"/>
      <c r="AE76" s="179"/>
      <c r="AF76" s="179"/>
      <c r="AG76" s="179"/>
      <c r="AH76" s="202">
        <f ca="1">TblImps[[#This Row],[Time]]</f>
        <v>46049.999999999825</v>
      </c>
      <c r="AI76" s="429">
        <f ca="1">MIN(25%,(TblConstr[[#This Row],[Tot Fac]]+TblConstr[[#This Row],[Dest Fac]])/(TblConstr[[#This Row],[Land]]-TblExplore[[#This Row],[Land Bonus]]*20))</f>
        <v>0</v>
      </c>
      <c r="AJ76" s="429">
        <f ca="1">MIN(25%,(TblConstr[[#This Row],[Tot Fac]]+TblConstr[[#This Row],[Dest Fac]])/TblConstr[[#This Row],[Land]])</f>
        <v>0</v>
      </c>
      <c r="AK76" s="430">
        <f ca="1">TblProd[[#This Row],[Platinum]]</f>
        <v>168615</v>
      </c>
      <c r="AL76" s="430">
        <f ca="1">TblProd[[#This Row],[Lumber]]</f>
        <v>58774</v>
      </c>
      <c r="AM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6" s="430">
        <f ca="1">ROUNDDOWN( MAX(1 - MIN(facs_constr_factor*TblConstr[[#This Row],[Facs -DB]],facs_constr_max) + tech_1_11*TblTech[[#This Row],[11-1]] + tech_6_3_2*TblTech[[#This Row],[6-3]] + tech_5_2_3*TblTech[[#This Row],[5-2]], 1-global_constr_cap) * TblConstr[[#This Row],[RCPA Lumber]],0)</f>
        <v>48</v>
      </c>
      <c r="AO76" s="430">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6" s="430">
        <f ca="1">ROUNDDOWN( MAX(1 - MIN(facs_constr_factor*TblConstr[[#This Row],[Facs DB]],facs_constr_max) + tech_1_11*TblTech[[#This Row],[1-11]] + tech_6_3_2*TblTech[[#This Row],[6-3]] + tech_5_2_3*TblTech[[#This Row],[5-2]], 1-global_constr_cap) * ROUND((TblConstr[[#This Row],[Land]]-250)*0.285 + 87.5 + 0/4.25,0),0)</f>
        <v>48</v>
      </c>
      <c r="AQ76" s="45">
        <f ca="1">TblConstr[[#This Row],[build -db]]*TblConstr[[#This Row],[CPA Platinum -DB]] + TblConstr[[#This Row],[build db]]*TblConstr[[#This Row],[CPA Platinum DB]]</f>
        <v>0</v>
      </c>
      <c r="AR76" s="45">
        <f ca="1">TblConstr[[#This Row],[build -db]]*TblConstr[[#This Row],[CPA Lumber -DB]] + TblConstr[[#This Row],[build db]]*TblConstr[[#This Row],[CPA Lumber DB]]</f>
        <v>0</v>
      </c>
      <c r="AS76" s="430">
        <f ca="1">MIN(SUM(OFFSET(TblConstr[[#This Row],[Plain]:[Water]],-1,0))+SUM(TblConstr[[#This Row],[Dest Hom]:[Dest Doc]])+IF(TblConstr[[#This Row],[Hour]]&gt;12,SUM(OFFSET(TblExplore[[#This Row],[Plains Explore]:[Water Explore]],-12,0)),0),SUM(TblConstr[[#This Row],[Hom]:[Doc]]))</f>
        <v>0</v>
      </c>
      <c r="AT7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6" s="142"/>
      <c r="AV76" s="430">
        <f ca="1">ROUND((TblConstr[[#This Row],[Land]]-250 - IF(TblExplore[[#This Row],[Land Bonus]]&lt;&gt;0,20,0))*1.25 + 850 + 0,0)</f>
        <v>675</v>
      </c>
      <c r="AW76" s="430">
        <f ca="1">ROUND((TblConstr[[#This Row],[Land]]-250 - IF(TblExplore[[#This Row],[Land Bonus]]&lt;&gt;0,20,0))*0.285 + 87.5 + 0/4.25,0)</f>
        <v>48</v>
      </c>
      <c r="AX76" s="154"/>
      <c r="AY76" s="431" cm="1">
        <f t="array" aca="1" ref="AY76" ca="1">IF(TblConstr[[#This Row],[Hour]:[Hour]]&gt;12,OFFSET(TblConstr[[#This Row],[Hom]],-12,0),0)+OFFSET(TblConstr[[#This Row],[Tot Hom]],-1,0)-TblConstr[[#This Row],[Dest Hom]]</f>
        <v>0</v>
      </c>
      <c r="AZ76" s="189" cm="1">
        <f t="array" aca="1" ref="AZ76" ca="1">IF(TblConstr[[#This Row],[Hour]:[Hour]]&gt;12,OFFSET(TblConstr[[#This Row],[Alc]],-12,0),0)+OFFSET(TblConstr[[#This Row],[Tot Alc]],-1,0)-TblConstr[[#This Row],[Dest Alc]]</f>
        <v>0</v>
      </c>
      <c r="BA76" s="189" cm="1">
        <f t="array" aca="1" ref="BA76" ca="1">IF(TblConstr[[#This Row],[Hour]:[Hour]]&gt;12,OFFSET(TblConstr[[#This Row],[Far]],-12,0),0)+OFFSET(TblConstr[[#This Row],[Tot Farm]],-1,0)-TblConstr[[#This Row],[Dest Farm]]</f>
        <v>30</v>
      </c>
      <c r="BB76" s="189" cm="1">
        <f t="array" aca="1" ref="BB76" ca="1">IF(TblConstr[[#This Row],[Hour]:[Hour]]&gt;12,OFFSET(TblConstr[[#This Row],[Smi]],-12,0),0)+OFFSET(TblConstr[[#This Row],[Tot Smi]],-1,0)-TblConstr[[#This Row],[Dest Smi]]</f>
        <v>0</v>
      </c>
      <c r="BC76" s="189" cm="1">
        <f t="array" aca="1" ref="BC76" ca="1">IF(TblConstr[[#This Row],[Hour]:[Hour]]&gt;12,OFFSET(TblConstr[[#This Row],[Mas]],-12,0),0)+OFFSET(TblConstr[[#This Row],[Tot Mas]],-1,0)-TblConstr[[#This Row],[Dest Mas]]</f>
        <v>0</v>
      </c>
      <c r="BD76" s="190" cm="1">
        <f t="array" aca="1" ref="BD76" ca="1">IF(TblConstr[[#This Row],[Hour]:[Hour]]&gt;12,OFFSET(TblConstr[[#This Row],[Ly]],-12,0),0)+OFFSET(TblConstr[[#This Row],[Tot Ly]],-1,0)-TblConstr[[#This Row],[Dest Ly]]</f>
        <v>20</v>
      </c>
      <c r="BE76" s="190" cm="1">
        <f t="array" aca="1" ref="BE76" ca="1">IF(TblConstr[[#This Row],[Hour]:[Hour]]&gt;12,OFFSET(TblConstr[[#This Row],[Hav]],-12,0),0)+OFFSET(TblConstr[[#This Row],[Tot Hav]],-1,0)-TblConstr[[#This Row],[Dest Hav]]</f>
        <v>0</v>
      </c>
      <c r="BF76" s="361" cm="1">
        <f t="array" aca="1" ref="BF76" ca="1">IF(TblConstr[[#This Row],[Hour]:[Hour]]&gt;12,OFFSET(TblConstr[[#This Row],[OM]],-12,0),0)+OFFSET(TblConstr[[#This Row],[Tot OM]],-1,0)-TblConstr[[#This Row],[Dest OM]]</f>
        <v>0</v>
      </c>
      <c r="BG76" s="361" cm="1">
        <f t="array" aca="1" ref="BG76" ca="1">IF(TblConstr[[#This Row],[Hour]:[Hour]]&gt;12,OFFSET(TblConstr[[#This Row],[GN]],-12,0),0)+OFFSET(TblConstr[[#This Row],[Tot GN]],-1,0)-TblConstr[[#This Row],[Dest GN]]</f>
        <v>0</v>
      </c>
      <c r="BH76" s="365" cm="1">
        <f t="array" aca="1" ref="BH76" ca="1">IF(TblConstr[[#This Row],[Hour]:[Hour]]&gt;12,OFFSET(TblConstr[[#This Row],[Fac]],-12,0),0)+OFFSET(TblConstr[[#This Row],[Tot Fac]],-1,0)-TblConstr[[#This Row],[Dest Fac]]</f>
        <v>0</v>
      </c>
      <c r="BI76" s="365" cm="1">
        <f t="array" aca="1" ref="BI76" ca="1">IF(TblConstr[[#This Row],[Hour]:[Hour]]&gt;12,OFFSET(TblConstr[[#This Row],[GT]],-12,0),0)+OFFSET(TblConstr[[#This Row],[Tot GT]],-1,0)-TblConstr[[#This Row],[Dest GT]]</f>
        <v>0</v>
      </c>
      <c r="BJ76" s="365" cm="1">
        <f t="array" aca="1" ref="BJ76" ca="1">IF(TblConstr[[#This Row],[Hour]:[Hour]]&gt;12,OFFSET(TblConstr[[#This Row],[Bar]],-12,0),0)+OFFSET(TblConstr[[#This Row],[Tot Bar]],-1,0)-TblConstr[[#This Row],[Dest Bar]]</f>
        <v>0</v>
      </c>
      <c r="BK76" s="365" cm="1">
        <f t="array" aca="1" ref="BK76" ca="1">IF(TblConstr[[#This Row],[Hour]:[Hour]]&gt;12,OFFSET(TblConstr[[#This Row],[Shr]],-12,0),0)+OFFSET(TblConstr[[#This Row],[Tot Shr]],-1,0)-TblConstr[[#This Row],[Dest Shr]]</f>
        <v>0</v>
      </c>
      <c r="BL76" s="369" cm="1">
        <f t="array" aca="1" ref="BL76" ca="1">IF(TblConstr[[#This Row],[Hour]:[Hour]]&gt;12,OFFSET(TblConstr[[#This Row],[Tow]],-12,0),0)+OFFSET(TblConstr[[#This Row],[Tot Tow]],-1,0)-TblConstr[[#This Row],[Dest Tow]]</f>
        <v>0</v>
      </c>
      <c r="BM76" s="369" cm="1">
        <f t="array" aca="1" ref="BM76" ca="1">IF(TblConstr[[#This Row],[Hour]:[Hour]]&gt;12,OFFSET(TblConstr[[#This Row],[Tem]],-12,0),0)+OFFSET(TblConstr[[#This Row],[Tot Tem]],-1,0)-TblConstr[[#This Row],[Dest Tem]]</f>
        <v>0</v>
      </c>
      <c r="BN76" s="369" cm="1">
        <f t="array" aca="1" ref="BN76" ca="1">IF(TblConstr[[#This Row],[Hour]:[Hour]]&gt;12,OFFSET(TblConstr[[#This Row],[WG]],-12,0),0)+OFFSET(TblConstr[[#This Row],[Tot WG]],-1,0)-TblConstr[[#This Row],[Dest WG]]</f>
        <v>0</v>
      </c>
      <c r="BO76" s="191" cm="1">
        <f t="array" aca="1" ref="BO76" ca="1">IF(TblConstr[[#This Row],[Hour]:[Hour]]&gt;12,OFFSET(TblConstr[[#This Row],[DM]],-12,0),0)+OFFSET(TblConstr[[#This Row],[Tot DM]],-1,0)-TblConstr[[#This Row],[Dest DM]]</f>
        <v>0</v>
      </c>
      <c r="BP76" s="191" cm="1">
        <f t="array" aca="1" ref="BP76" ca="1">IF(TblConstr[[#This Row],[Hour]:[Hour]]&gt;12,OFFSET(TblConstr[[#This Row],[Sch]],-12,0),0)+OFFSET(TblConstr[[#This Row],[Tot Sch]],-1,0)-TblConstr[[#This Row],[Dest Sch]]</f>
        <v>0</v>
      </c>
      <c r="BQ76" s="192" cm="1">
        <f t="array" aca="1" ref="BQ76" ca="1">IF(TblConstr[[#This Row],[Hour]:[Hour]]&gt;12,OFFSET(TblConstr[[#This Row],[Doc]],-12,0),0)+OFFSET(TblConstr[[#This Row],[Tot Doc]],-1,0)-TblConstr[[#This Row],[Dest Doc]]</f>
        <v>0</v>
      </c>
      <c r="BR76" s="142"/>
      <c r="BS76" s="154"/>
      <c r="BT76" s="430">
        <f ca="1">TblConstr[[#This Row],[Land]]</f>
        <v>110</v>
      </c>
      <c r="BU76" s="432">
        <f ca="1">TblImps[[#This Row],[Time]]</f>
        <v>46049.999999999825</v>
      </c>
      <c r="BV76" s="142"/>
      <c r="BW76" s="179"/>
      <c r="BX76" s="179"/>
      <c r="BY76" s="179"/>
      <c r="BZ76" s="179"/>
      <c r="CA76" s="179"/>
      <c r="CB76" s="179"/>
      <c r="CC76" s="179"/>
      <c r="CD76" s="179"/>
      <c r="CE76" s="179"/>
      <c r="CF76" s="179"/>
      <c r="CG76" s="179"/>
      <c r="CH76" s="179"/>
      <c r="CI76" s="179"/>
      <c r="CJ76" s="179"/>
      <c r="CK76" s="179"/>
      <c r="CL76" s="179"/>
      <c r="CM76" s="179"/>
      <c r="CN76" s="179"/>
      <c r="CO76" s="179"/>
      <c r="CP76" s="142"/>
      <c r="CQ76" s="181">
        <f ca="1">-SUM(TblConstr[[#This Row],[Alc]:[Mas]])+SUM(TblConstr[[#This Row],[Dest Alc]:[Dest Mas]])+Rezone!L76+IF("Ch_"&amp; home_land=TblConstr[[#Headers],[Ch_Plain]],TblConstr[[#This Row],[Home Land]])+IF(TblConstr[[#This Row],[Hour]:[Hour]]&gt;12,OFFSET(TblExplore[[#This Row],[Plains Explore]],-12,0),0)</f>
        <v>0</v>
      </c>
      <c r="CR76" s="182">
        <f ca="1">-SUM(TblConstr[[#This Row],[Ly]:[Hav]])+SUM(TblConstr[[#This Row],[Dest Ly]:[Dest Hav]]) +Rezone!M76 + IF("Ch_"&amp; home_land=TblConstr[[#Headers],[Ch_Forest]],TblConstr[[#This Row],[Home Land]])+IF(TblConstr[[#This Row],[Hour]:[Hour]]&gt;12,OFFSET(TblExplore[[#This Row],[Forest Explore]],-12,0),0)</f>
        <v>0</v>
      </c>
      <c r="CS76" s="359">
        <f ca="1">-SUM(TblConstr[[#This Row],[OM]:[GN]])+SUM(TblConstr[[#This Row],[Dest OM]:[Dest GN]]) +Rezone!N76 + IF("Ch_"&amp; home_land=TblConstr[[#Headers],[Ch_Mountain]],TblConstr[[#This Row],[Home Land]])+IF(TblConstr[[#This Row],[Hour]:[Hour]]&gt;12,OFFSET(TblExplore[[#This Row],[Mountain Explore]],-12,0),0)</f>
        <v>0</v>
      </c>
      <c r="CT76" s="183">
        <f ca="1">-SUM(TblConstr[[#This Row],[Fac]:[Shr]])+SUM(TblConstr[[#This Row],[Dest Fac]:[Dest Shr]]) +Rezone!O76 + IF("Ch_" &amp; home_land=TblConstr[[#Headers],[Ch_Hill]],TblConstr[[#This Row],[Home Land]])+IF(TblConstr[[#This Row],[Hour]:[Hour]]&gt;12,OFFSET(TblExplore[[#This Row],[Hill Explore]],-12,0),0)</f>
        <v>0</v>
      </c>
      <c r="CU76" s="184">
        <f ca="1">-SUM(TblConstr[[#This Row],[Tow]:[WG]])+SUM(TblConstr[[#This Row],[Dest Tow]:[Dest WG]]) +Rezone!P76 + IF("Ch_" &amp; home_land=TblConstr[[#Headers],[Ch_Swamp]],TblConstr[[#This Row],[Home Land]])+IF(TblConstr[[#This Row],[Hour]:[Hour]]&gt;12,OFFSET(TblExplore[[#This Row],[Swamp Explore]],-12,0),0)</f>
        <v>0</v>
      </c>
      <c r="CV76" s="185">
        <f ca="1" xml:space="preserve"> - SUM(TblConstr[[#This Row],[DM]:[Sch]])+SUM(TblConstr[[#This Row],[Dest DM]:[Dest Sch]]) +Rezone!Q76 + IF("Ch_" &amp; home_land=TblConstr[[#Headers],[Ch_Cavern]],TblConstr[[#This Row],[Home Land]])+IF(TblConstr[[#This Row],[Hour]:[Hour]]&gt;12,OFFSET(TblExplore[[#This Row],[Cavern Explore]],-12,0),0)</f>
        <v>0</v>
      </c>
      <c r="CW76" s="186">
        <f ca="1">-TblConstr[[#This Row],[Doc]]+TblConstr[[#This Row],[Dest Doc]] +Rezone!R76 + IF("Ch_" &amp; home_land=TblConstr[[#Headers],[Ch_Water]],TblConstr[[#This Row],[Home Land]])+IF(TblConstr[[#This Row],[Hour]:[Hour]]&gt;12,OFFSET(TblExplore[[#This Row],[Water Explore]],-12,0),0)</f>
        <v>0</v>
      </c>
      <c r="CX76" s="433">
        <f>IF(Explore!S76=1,20) - TblConstr[[#This Row],[Hom]] + TblConstr[[#This Row],[Dest Hom]]</f>
        <v>0</v>
      </c>
      <c r="CY76" s="142"/>
      <c r="CZ76" s="430">
        <f t="shared" ca="1" si="12"/>
        <v>90</v>
      </c>
      <c r="DA76" s="430">
        <f t="shared" ca="1" si="13"/>
        <v>20</v>
      </c>
      <c r="DB76" s="433">
        <f t="shared" ca="1" si="14"/>
        <v>0</v>
      </c>
      <c r="DC76" s="430">
        <f t="shared" ca="1" si="15"/>
        <v>0</v>
      </c>
      <c r="DD76" s="430">
        <f t="shared" ca="1" si="16"/>
        <v>0</v>
      </c>
      <c r="DE76" s="433">
        <f t="shared" ca="1" si="17"/>
        <v>0</v>
      </c>
      <c r="DF76" s="430">
        <f t="shared" ca="1" si="18"/>
        <v>0</v>
      </c>
      <c r="DG76" s="430" cm="1">
        <f t="array" aca="1" ref="DG76" ca="1">INDEX(TblConstr[[Total Plain]:[Total Water]],ROW()-ROW(TblConstr[#Headers]),MATCH("Total "&amp;home_land,TblConstr[[#Headers],[Total Plain]:[Total Water]],0))+TblConstr[[#This Row],[Homes]]</f>
        <v>90</v>
      </c>
      <c r="DH76" s="433">
        <f t="shared" ref="DH76:DH131" ca="1" si="22">SUM(O65:O76)+AY76</f>
        <v>0</v>
      </c>
      <c r="DI76" s="433">
        <f t="shared" ca="1" si="19"/>
        <v>0</v>
      </c>
      <c r="DJ76" s="433">
        <f t="shared" ca="1" si="20"/>
        <v>0</v>
      </c>
    </row>
    <row r="77" spans="1:114" x14ac:dyDescent="0.2">
      <c r="A77" s="175">
        <f>TblRezone[[#This Row],[Hour]]</f>
        <v>74</v>
      </c>
      <c r="B77" s="176">
        <f ca="1">SUM(TblConstr[[#This Row],[Plain]:[Water]])</f>
        <v>60</v>
      </c>
      <c r="C77" s="177">
        <f ca="1">SUM(TblConstr[[#This Row],[Tot Hom]:[Tot Doc]])</f>
        <v>50</v>
      </c>
      <c r="D77" s="177">
        <f t="shared" si="21"/>
        <v>0</v>
      </c>
      <c r="E77" s="178"/>
      <c r="F77" s="61">
        <f ca="1">TblConstr[[#This Row],[Barren]]+TblConstr[[#This Row],[Buildings]]+TblConstr[[#This Row],[Incoming]]</f>
        <v>110</v>
      </c>
      <c r="G77" s="187">
        <f ca="1">OFFSET(TblConstr[[#This Row],[Plain]],-1,0)+TblConstr[[#This Row],[Ch_Plain]]</f>
        <v>60</v>
      </c>
      <c r="H77" s="182">
        <f ca="1">OFFSET(TblConstr[[#This Row],[Forest]],-1,0)+TblConstr[[#This Row],[Ch_Forest]]</f>
        <v>0</v>
      </c>
      <c r="I77" s="359">
        <f ca="1">OFFSET(TblConstr[[#This Row],[Mountain]],-1,0)+TblConstr[[#This Row],[Ch_Mountain]]</f>
        <v>0</v>
      </c>
      <c r="J77" s="363">
        <f ca="1">OFFSET(TblConstr[[#This Row],[Hill]],-1,0)+TblConstr[[#This Row],[Ch_Hill]]</f>
        <v>0</v>
      </c>
      <c r="K77" s="367">
        <f ca="1">OFFSET(TblConstr[[#This Row],[Swamp]],-1,0)+TblConstr[[#This Row],[Ch_Swamp]]</f>
        <v>0</v>
      </c>
      <c r="L77" s="185">
        <f ca="1">OFFSET(TblConstr[[#This Row],[Cavern]],-1,0)+TblConstr[[#This Row],[Ch_Cavern]]</f>
        <v>0</v>
      </c>
      <c r="M77" s="186">
        <f ca="1">OFFSET(TblConstr[[#This Row],[Water]],-1,0)+TblConstr[[#This Row],[Ch_Water]]</f>
        <v>0</v>
      </c>
      <c r="N77" s="357">
        <f>TblRezone[[#This Row],[Hour]]</f>
        <v>74</v>
      </c>
      <c r="O77" s="179"/>
      <c r="P77" s="179"/>
      <c r="Q77" s="179"/>
      <c r="R77" s="179"/>
      <c r="S77" s="179"/>
      <c r="T77" s="179"/>
      <c r="U77" s="179"/>
      <c r="V77" s="179"/>
      <c r="W77" s="179"/>
      <c r="X77" s="179"/>
      <c r="Y77" s="179"/>
      <c r="Z77" s="179"/>
      <c r="AA77" s="179"/>
      <c r="AB77" s="179"/>
      <c r="AC77" s="179"/>
      <c r="AD77" s="179"/>
      <c r="AE77" s="179"/>
      <c r="AF77" s="179"/>
      <c r="AG77" s="179"/>
      <c r="AH77" s="53">
        <f ca="1">TblImps[[#This Row],[Time]]</f>
        <v>46050.04166666649</v>
      </c>
      <c r="AI77" s="180">
        <f ca="1">MIN(25%,(TblConstr[[#This Row],[Tot Fac]]+TblConstr[[#This Row],[Dest Fac]])/(TblConstr[[#This Row],[Land]]-TblExplore[[#This Row],[Land Bonus]]*20))</f>
        <v>0</v>
      </c>
      <c r="AJ77" s="180">
        <f ca="1">MIN(25%,(TblConstr[[#This Row],[Tot Fac]]+TblConstr[[#This Row],[Dest Fac]])/TblConstr[[#This Row],[Land]])</f>
        <v>0</v>
      </c>
      <c r="AK77" s="94">
        <f ca="1">TblProd[[#This Row],[Platinum]]</f>
        <v>169929</v>
      </c>
      <c r="AL77" s="94">
        <f ca="1">TblProd[[#This Row],[Lumber]]</f>
        <v>59186</v>
      </c>
      <c r="AM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7" s="94">
        <f ca="1">ROUNDDOWN( MAX(1 - MIN(facs_constr_factor*TblConstr[[#This Row],[Facs -DB]],facs_constr_max) + tech_1_11*TblTech[[#This Row],[11-1]] + tech_6_3_2*TblTech[[#This Row],[6-3]] + tech_5_2_3*TblTech[[#This Row],[5-2]], 1-global_constr_cap) * TblConstr[[#This Row],[RCPA Lumber]],0)</f>
        <v>48</v>
      </c>
      <c r="AO7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7" s="94">
        <f ca="1">ROUNDDOWN( MAX(1 - MIN(facs_constr_factor*TblConstr[[#This Row],[Facs DB]],facs_constr_max) + tech_1_11*TblTech[[#This Row],[1-11]] + tech_6_3_2*TblTech[[#This Row],[6-3]] + tech_5_2_3*TblTech[[#This Row],[5-2]], 1-global_constr_cap) * ROUND((TblConstr[[#This Row],[Land]]-250)*0.285 + 87.5 + 0/4.25,0),0)</f>
        <v>48</v>
      </c>
      <c r="AQ77" s="45">
        <f ca="1">TblConstr[[#This Row],[build -db]]*TblConstr[[#This Row],[CPA Platinum -DB]] + TblConstr[[#This Row],[build db]]*TblConstr[[#This Row],[CPA Platinum DB]]</f>
        <v>0</v>
      </c>
      <c r="AR77" s="45">
        <f ca="1">TblConstr[[#This Row],[build -db]]*TblConstr[[#This Row],[CPA Lumber -DB]] + TblConstr[[#This Row],[build db]]*TblConstr[[#This Row],[CPA Lumber DB]]</f>
        <v>0</v>
      </c>
      <c r="AS77" s="94">
        <f ca="1">MIN(SUM(OFFSET(TblConstr[[#This Row],[Plain]:[Water]],-1,0))+SUM(TblConstr[[#This Row],[Dest Hom]:[Dest Doc]])+IF(TblConstr[[#This Row],[Hour]]&gt;12,SUM(OFFSET(TblExplore[[#This Row],[Plains Explore]:[Water Explore]],-12,0)),0),SUM(TblConstr[[#This Row],[Hom]:[Doc]]))</f>
        <v>0</v>
      </c>
      <c r="AT7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7" s="142"/>
      <c r="AV77" s="94">
        <f ca="1">ROUND((TblConstr[[#This Row],[Land]]-250 - IF(TblExplore[[#This Row],[Land Bonus]]&lt;&gt;0,20,0))*1.25 + 850 + 0,0)</f>
        <v>675</v>
      </c>
      <c r="AW77" s="94">
        <f ca="1">ROUND((TblConstr[[#This Row],[Land]]-250 - IF(TblExplore[[#This Row],[Land Bonus]]&lt;&gt;0,20,0))*0.285 + 87.5 + 0/4.25,0)</f>
        <v>48</v>
      </c>
      <c r="AX77" s="154"/>
      <c r="AY77" s="188" cm="1">
        <f t="array" aca="1" ref="AY77" ca="1">IF(TblConstr[[#This Row],[Hour]:[Hour]]&gt;12,OFFSET(TblConstr[[#This Row],[Hom]],-12,0),0)+OFFSET(TblConstr[[#This Row],[Tot Hom]],-1,0)-TblConstr[[#This Row],[Dest Hom]]</f>
        <v>0</v>
      </c>
      <c r="AZ77" s="189" cm="1">
        <f t="array" aca="1" ref="AZ77" ca="1">IF(TblConstr[[#This Row],[Hour]:[Hour]]&gt;12,OFFSET(TblConstr[[#This Row],[Alc]],-12,0),0)+OFFSET(TblConstr[[#This Row],[Tot Alc]],-1,0)-TblConstr[[#This Row],[Dest Alc]]</f>
        <v>0</v>
      </c>
      <c r="BA77" s="189" cm="1">
        <f t="array" aca="1" ref="BA77" ca="1">IF(TblConstr[[#This Row],[Hour]:[Hour]]&gt;12,OFFSET(TblConstr[[#This Row],[Far]],-12,0),0)+OFFSET(TblConstr[[#This Row],[Tot Farm]],-1,0)-TblConstr[[#This Row],[Dest Farm]]</f>
        <v>30</v>
      </c>
      <c r="BB77" s="189" cm="1">
        <f t="array" aca="1" ref="BB77" ca="1">IF(TblConstr[[#This Row],[Hour]:[Hour]]&gt;12,OFFSET(TblConstr[[#This Row],[Smi]],-12,0),0)+OFFSET(TblConstr[[#This Row],[Tot Smi]],-1,0)-TblConstr[[#This Row],[Dest Smi]]</f>
        <v>0</v>
      </c>
      <c r="BC77" s="189" cm="1">
        <f t="array" aca="1" ref="BC77" ca="1">IF(TblConstr[[#This Row],[Hour]:[Hour]]&gt;12,OFFSET(TblConstr[[#This Row],[Mas]],-12,0),0)+OFFSET(TblConstr[[#This Row],[Tot Mas]],-1,0)-TblConstr[[#This Row],[Dest Mas]]</f>
        <v>0</v>
      </c>
      <c r="BD77" s="190" cm="1">
        <f t="array" aca="1" ref="BD77" ca="1">IF(TblConstr[[#This Row],[Hour]:[Hour]]&gt;12,OFFSET(TblConstr[[#This Row],[Ly]],-12,0),0)+OFFSET(TblConstr[[#This Row],[Tot Ly]],-1,0)-TblConstr[[#This Row],[Dest Ly]]</f>
        <v>20</v>
      </c>
      <c r="BE77" s="190" cm="1">
        <f t="array" aca="1" ref="BE77" ca="1">IF(TblConstr[[#This Row],[Hour]:[Hour]]&gt;12,OFFSET(TblConstr[[#This Row],[Hav]],-12,0),0)+OFFSET(TblConstr[[#This Row],[Tot Hav]],-1,0)-TblConstr[[#This Row],[Dest Hav]]</f>
        <v>0</v>
      </c>
      <c r="BF77" s="361" cm="1">
        <f t="array" aca="1" ref="BF77" ca="1">IF(TblConstr[[#This Row],[Hour]:[Hour]]&gt;12,OFFSET(TblConstr[[#This Row],[OM]],-12,0),0)+OFFSET(TblConstr[[#This Row],[Tot OM]],-1,0)-TblConstr[[#This Row],[Dest OM]]</f>
        <v>0</v>
      </c>
      <c r="BG77" s="361" cm="1">
        <f t="array" aca="1" ref="BG77" ca="1">IF(TblConstr[[#This Row],[Hour]:[Hour]]&gt;12,OFFSET(TblConstr[[#This Row],[GN]],-12,0),0)+OFFSET(TblConstr[[#This Row],[Tot GN]],-1,0)-TblConstr[[#This Row],[Dest GN]]</f>
        <v>0</v>
      </c>
      <c r="BH77" s="365" cm="1">
        <f t="array" aca="1" ref="BH77" ca="1">IF(TblConstr[[#This Row],[Hour]:[Hour]]&gt;12,OFFSET(TblConstr[[#This Row],[Fac]],-12,0),0)+OFFSET(TblConstr[[#This Row],[Tot Fac]],-1,0)-TblConstr[[#This Row],[Dest Fac]]</f>
        <v>0</v>
      </c>
      <c r="BI77" s="365" cm="1">
        <f t="array" aca="1" ref="BI77" ca="1">IF(TblConstr[[#This Row],[Hour]:[Hour]]&gt;12,OFFSET(TblConstr[[#This Row],[GT]],-12,0),0)+OFFSET(TblConstr[[#This Row],[Tot GT]],-1,0)-TblConstr[[#This Row],[Dest GT]]</f>
        <v>0</v>
      </c>
      <c r="BJ77" s="365" cm="1">
        <f t="array" aca="1" ref="BJ77" ca="1">IF(TblConstr[[#This Row],[Hour]:[Hour]]&gt;12,OFFSET(TblConstr[[#This Row],[Bar]],-12,0),0)+OFFSET(TblConstr[[#This Row],[Tot Bar]],-1,0)-TblConstr[[#This Row],[Dest Bar]]</f>
        <v>0</v>
      </c>
      <c r="BK77" s="365" cm="1">
        <f t="array" aca="1" ref="BK77" ca="1">IF(TblConstr[[#This Row],[Hour]:[Hour]]&gt;12,OFFSET(TblConstr[[#This Row],[Shr]],-12,0),0)+OFFSET(TblConstr[[#This Row],[Tot Shr]],-1,0)-TblConstr[[#This Row],[Dest Shr]]</f>
        <v>0</v>
      </c>
      <c r="BL77" s="369" cm="1">
        <f t="array" aca="1" ref="BL77" ca="1">IF(TblConstr[[#This Row],[Hour]:[Hour]]&gt;12,OFFSET(TblConstr[[#This Row],[Tow]],-12,0),0)+OFFSET(TblConstr[[#This Row],[Tot Tow]],-1,0)-TblConstr[[#This Row],[Dest Tow]]</f>
        <v>0</v>
      </c>
      <c r="BM77" s="369" cm="1">
        <f t="array" aca="1" ref="BM77" ca="1">IF(TblConstr[[#This Row],[Hour]:[Hour]]&gt;12,OFFSET(TblConstr[[#This Row],[Tem]],-12,0),0)+OFFSET(TblConstr[[#This Row],[Tot Tem]],-1,0)-TblConstr[[#This Row],[Dest Tem]]</f>
        <v>0</v>
      </c>
      <c r="BN77" s="369" cm="1">
        <f t="array" aca="1" ref="BN77" ca="1">IF(TblConstr[[#This Row],[Hour]:[Hour]]&gt;12,OFFSET(TblConstr[[#This Row],[WG]],-12,0),0)+OFFSET(TblConstr[[#This Row],[Tot WG]],-1,0)-TblConstr[[#This Row],[Dest WG]]</f>
        <v>0</v>
      </c>
      <c r="BO77" s="191" cm="1">
        <f t="array" aca="1" ref="BO77" ca="1">IF(TblConstr[[#This Row],[Hour]:[Hour]]&gt;12,OFFSET(TblConstr[[#This Row],[DM]],-12,0),0)+OFFSET(TblConstr[[#This Row],[Tot DM]],-1,0)-TblConstr[[#This Row],[Dest DM]]</f>
        <v>0</v>
      </c>
      <c r="BP77" s="191" cm="1">
        <f t="array" aca="1" ref="BP77" ca="1">IF(TblConstr[[#This Row],[Hour]:[Hour]]&gt;12,OFFSET(TblConstr[[#This Row],[Sch]],-12,0),0)+OFFSET(TblConstr[[#This Row],[Tot Sch]],-1,0)-TblConstr[[#This Row],[Dest Sch]]</f>
        <v>0</v>
      </c>
      <c r="BQ77" s="192" cm="1">
        <f t="array" aca="1" ref="BQ77" ca="1">IF(TblConstr[[#This Row],[Hour]:[Hour]]&gt;12,OFFSET(TblConstr[[#This Row],[Doc]],-12,0),0)+OFFSET(TblConstr[[#This Row],[Tot Doc]],-1,0)-TblConstr[[#This Row],[Dest Doc]]</f>
        <v>0</v>
      </c>
      <c r="BR77" s="142"/>
      <c r="BS77" s="154"/>
      <c r="BT77" s="94">
        <f ca="1">TblConstr[[#This Row],[Land]]</f>
        <v>110</v>
      </c>
      <c r="BU77" s="159">
        <f ca="1">TblImps[[#This Row],[Time]]</f>
        <v>46050.04166666649</v>
      </c>
      <c r="BV77" s="142"/>
      <c r="BW77" s="179"/>
      <c r="BX77" s="179"/>
      <c r="BY77" s="179"/>
      <c r="BZ77" s="179"/>
      <c r="CA77" s="179"/>
      <c r="CB77" s="179"/>
      <c r="CC77" s="179"/>
      <c r="CD77" s="179"/>
      <c r="CE77" s="179"/>
      <c r="CF77" s="179"/>
      <c r="CG77" s="179"/>
      <c r="CH77" s="179"/>
      <c r="CI77" s="179"/>
      <c r="CJ77" s="179"/>
      <c r="CK77" s="179"/>
      <c r="CL77" s="179"/>
      <c r="CM77" s="179"/>
      <c r="CN77" s="179"/>
      <c r="CO77" s="179"/>
      <c r="CP77" s="142"/>
      <c r="CQ77" s="181">
        <f ca="1">-SUM(TblConstr[[#This Row],[Alc]:[Mas]])+SUM(TblConstr[[#This Row],[Dest Alc]:[Dest Mas]])+Rezone!L77+IF("Ch_"&amp; home_land=TblConstr[[#Headers],[Ch_Plain]],TblConstr[[#This Row],[Home Land]])+IF(TblConstr[[#This Row],[Hour]:[Hour]]&gt;12,OFFSET(TblExplore[[#This Row],[Plains Explore]],-12,0),0)</f>
        <v>0</v>
      </c>
      <c r="CR77" s="182">
        <f ca="1">-SUM(TblConstr[[#This Row],[Ly]:[Hav]])+SUM(TblConstr[[#This Row],[Dest Ly]:[Dest Hav]]) +Rezone!M77 + IF("Ch_"&amp; home_land=TblConstr[[#Headers],[Ch_Forest]],TblConstr[[#This Row],[Home Land]])+IF(TblConstr[[#This Row],[Hour]:[Hour]]&gt;12,OFFSET(TblExplore[[#This Row],[Forest Explore]],-12,0),0)</f>
        <v>0</v>
      </c>
      <c r="CS77" s="359">
        <f ca="1">-SUM(TblConstr[[#This Row],[OM]:[GN]])+SUM(TblConstr[[#This Row],[Dest OM]:[Dest GN]]) +Rezone!N77 + IF("Ch_"&amp; home_land=TblConstr[[#Headers],[Ch_Mountain]],TblConstr[[#This Row],[Home Land]])+IF(TblConstr[[#This Row],[Hour]:[Hour]]&gt;12,OFFSET(TblExplore[[#This Row],[Mountain Explore]],-12,0),0)</f>
        <v>0</v>
      </c>
      <c r="CT77" s="183">
        <f ca="1">-SUM(TblConstr[[#This Row],[Fac]:[Shr]])+SUM(TblConstr[[#This Row],[Dest Fac]:[Dest Shr]]) +Rezone!O77 + IF("Ch_" &amp; home_land=TblConstr[[#Headers],[Ch_Hill]],TblConstr[[#This Row],[Home Land]])+IF(TblConstr[[#This Row],[Hour]:[Hour]]&gt;12,OFFSET(TblExplore[[#This Row],[Hill Explore]],-12,0),0)</f>
        <v>0</v>
      </c>
      <c r="CU77" s="184">
        <f ca="1">-SUM(TblConstr[[#This Row],[Tow]:[WG]])+SUM(TblConstr[[#This Row],[Dest Tow]:[Dest WG]]) +Rezone!P77 + IF("Ch_" &amp; home_land=TblConstr[[#Headers],[Ch_Swamp]],TblConstr[[#This Row],[Home Land]])+IF(TblConstr[[#This Row],[Hour]:[Hour]]&gt;12,OFFSET(TblExplore[[#This Row],[Swamp Explore]],-12,0),0)</f>
        <v>0</v>
      </c>
      <c r="CV77" s="185">
        <f ca="1" xml:space="preserve"> - SUM(TblConstr[[#This Row],[DM]:[Sch]])+SUM(TblConstr[[#This Row],[Dest DM]:[Dest Sch]]) +Rezone!Q77 + IF("Ch_" &amp; home_land=TblConstr[[#Headers],[Ch_Cavern]],TblConstr[[#This Row],[Home Land]])+IF(TblConstr[[#This Row],[Hour]:[Hour]]&gt;12,OFFSET(TblExplore[[#This Row],[Cavern Explore]],-12,0),0)</f>
        <v>0</v>
      </c>
      <c r="CW77" s="186">
        <f ca="1">-TblConstr[[#This Row],[Doc]]+TblConstr[[#This Row],[Dest Doc]] +Rezone!R77 + IF("Ch_" &amp; home_land=TblConstr[[#Headers],[Ch_Water]],TblConstr[[#This Row],[Home Land]])+IF(TblConstr[[#This Row],[Hour]:[Hour]]&gt;12,OFFSET(TblExplore[[#This Row],[Water Explore]],-12,0),0)</f>
        <v>0</v>
      </c>
      <c r="CX77" s="45">
        <f>IF(Explore!S77=1,20) - TblConstr[[#This Row],[Hom]] + TblConstr[[#This Row],[Dest Hom]]</f>
        <v>0</v>
      </c>
      <c r="CY77" s="142"/>
      <c r="CZ77" s="94">
        <f t="shared" ca="1" si="12"/>
        <v>90</v>
      </c>
      <c r="DA77" s="94">
        <f t="shared" ca="1" si="13"/>
        <v>20</v>
      </c>
      <c r="DB77" s="45">
        <f t="shared" ca="1" si="14"/>
        <v>0</v>
      </c>
      <c r="DC77" s="94">
        <f t="shared" ca="1" si="15"/>
        <v>0</v>
      </c>
      <c r="DD77" s="94">
        <f t="shared" ca="1" si="16"/>
        <v>0</v>
      </c>
      <c r="DE77" s="45">
        <f t="shared" ca="1" si="17"/>
        <v>0</v>
      </c>
      <c r="DF77" s="94">
        <f t="shared" ca="1" si="18"/>
        <v>0</v>
      </c>
      <c r="DG77" s="94" cm="1">
        <f t="array" aca="1" ref="DG77" ca="1">INDEX(TblConstr[[Total Plain]:[Total Water]],ROW()-ROW(TblConstr[#Headers]),MATCH("Total "&amp;home_land,TblConstr[[#Headers],[Total Plain]:[Total Water]],0))+TblConstr[[#This Row],[Homes]]</f>
        <v>90</v>
      </c>
      <c r="DH77" s="45">
        <f t="shared" ca="1" si="22"/>
        <v>0</v>
      </c>
      <c r="DI77" s="94">
        <f t="shared" ca="1" si="19"/>
        <v>0</v>
      </c>
      <c r="DJ77" s="45">
        <f t="shared" ca="1" si="20"/>
        <v>0</v>
      </c>
    </row>
    <row r="78" spans="1:114" x14ac:dyDescent="0.2">
      <c r="A78" s="175">
        <f>TblRezone[[#This Row],[Hour]]</f>
        <v>75</v>
      </c>
      <c r="B78" s="176">
        <f ca="1">SUM(TblConstr[[#This Row],[Plain]:[Water]])</f>
        <v>60</v>
      </c>
      <c r="C78" s="177">
        <f ca="1">SUM(TblConstr[[#This Row],[Tot Hom]:[Tot Doc]])</f>
        <v>50</v>
      </c>
      <c r="D78" s="177">
        <f t="shared" si="21"/>
        <v>0</v>
      </c>
      <c r="E78" s="178"/>
      <c r="F78" s="61">
        <f ca="1">TblConstr[[#This Row],[Barren]]+TblConstr[[#This Row],[Buildings]]+TblConstr[[#This Row],[Incoming]]</f>
        <v>110</v>
      </c>
      <c r="G78" s="187">
        <f ca="1">OFFSET(TblConstr[[#This Row],[Plain]],-1,0)+TblConstr[[#This Row],[Ch_Plain]]</f>
        <v>60</v>
      </c>
      <c r="H78" s="182">
        <f ca="1">OFFSET(TblConstr[[#This Row],[Forest]],-1,0)+TblConstr[[#This Row],[Ch_Forest]]</f>
        <v>0</v>
      </c>
      <c r="I78" s="359">
        <f ca="1">OFFSET(TblConstr[[#This Row],[Mountain]],-1,0)+TblConstr[[#This Row],[Ch_Mountain]]</f>
        <v>0</v>
      </c>
      <c r="J78" s="363">
        <f ca="1">OFFSET(TblConstr[[#This Row],[Hill]],-1,0)+TblConstr[[#This Row],[Ch_Hill]]</f>
        <v>0</v>
      </c>
      <c r="K78" s="367">
        <f ca="1">OFFSET(TblConstr[[#This Row],[Swamp]],-1,0)+TblConstr[[#This Row],[Ch_Swamp]]</f>
        <v>0</v>
      </c>
      <c r="L78" s="185">
        <f ca="1">OFFSET(TblConstr[[#This Row],[Cavern]],-1,0)+TblConstr[[#This Row],[Ch_Cavern]]</f>
        <v>0</v>
      </c>
      <c r="M78" s="186">
        <f ca="1">OFFSET(TblConstr[[#This Row],[Water]],-1,0)+TblConstr[[#This Row],[Ch_Water]]</f>
        <v>0</v>
      </c>
      <c r="N78" s="357">
        <f>TblRezone[[#This Row],[Hour]]</f>
        <v>75</v>
      </c>
      <c r="O78" s="179"/>
      <c r="P78" s="179"/>
      <c r="Q78" s="179"/>
      <c r="R78" s="179"/>
      <c r="S78" s="179"/>
      <c r="T78" s="179"/>
      <c r="U78" s="179"/>
      <c r="V78" s="179"/>
      <c r="W78" s="179"/>
      <c r="X78" s="179"/>
      <c r="Y78" s="179"/>
      <c r="Z78" s="179"/>
      <c r="AA78" s="179"/>
      <c r="AB78" s="179"/>
      <c r="AC78" s="179"/>
      <c r="AD78" s="179"/>
      <c r="AE78" s="179"/>
      <c r="AF78" s="179"/>
      <c r="AG78" s="179"/>
      <c r="AH78" s="53">
        <f ca="1">TblImps[[#This Row],[Time]]</f>
        <v>46050.083333333154</v>
      </c>
      <c r="AI78" s="180">
        <f ca="1">MIN(25%,(TblConstr[[#This Row],[Tot Fac]]+TblConstr[[#This Row],[Dest Fac]])/(TblConstr[[#This Row],[Land]]-TblExplore[[#This Row],[Land Bonus]]*20))</f>
        <v>0</v>
      </c>
      <c r="AJ78" s="180">
        <f ca="1">MIN(25%,(TblConstr[[#This Row],[Tot Fac]]+TblConstr[[#This Row],[Dest Fac]])/TblConstr[[#This Row],[Land]])</f>
        <v>0</v>
      </c>
      <c r="AK78" s="94">
        <f ca="1">TblProd[[#This Row],[Platinum]]</f>
        <v>171230</v>
      </c>
      <c r="AL78" s="94">
        <f ca="1">TblProd[[#This Row],[Lumber]]</f>
        <v>59594</v>
      </c>
      <c r="AM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8" s="94">
        <f ca="1">ROUNDDOWN( MAX(1 - MIN(facs_constr_factor*TblConstr[[#This Row],[Facs -DB]],facs_constr_max) + tech_1_11*TblTech[[#This Row],[11-1]] + tech_6_3_2*TblTech[[#This Row],[6-3]] + tech_5_2_3*TblTech[[#This Row],[5-2]], 1-global_constr_cap) * TblConstr[[#This Row],[RCPA Lumber]],0)</f>
        <v>48</v>
      </c>
      <c r="AO7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8" s="94">
        <f ca="1">ROUNDDOWN( MAX(1 - MIN(facs_constr_factor*TblConstr[[#This Row],[Facs DB]],facs_constr_max) + tech_1_11*TblTech[[#This Row],[1-11]] + tech_6_3_2*TblTech[[#This Row],[6-3]] + tech_5_2_3*TblTech[[#This Row],[5-2]], 1-global_constr_cap) * ROUND((TblConstr[[#This Row],[Land]]-250)*0.285 + 87.5 + 0/4.25,0),0)</f>
        <v>48</v>
      </c>
      <c r="AQ78" s="45">
        <f ca="1">TblConstr[[#This Row],[build -db]]*TblConstr[[#This Row],[CPA Platinum -DB]] + TblConstr[[#This Row],[build db]]*TblConstr[[#This Row],[CPA Platinum DB]]</f>
        <v>0</v>
      </c>
      <c r="AR78" s="45">
        <f ca="1">TblConstr[[#This Row],[build -db]]*TblConstr[[#This Row],[CPA Lumber -DB]] + TblConstr[[#This Row],[build db]]*TblConstr[[#This Row],[CPA Lumber DB]]</f>
        <v>0</v>
      </c>
      <c r="AS78" s="94">
        <f ca="1">MIN(SUM(OFFSET(TblConstr[[#This Row],[Plain]:[Water]],-1,0))+SUM(TblConstr[[#This Row],[Dest Hom]:[Dest Doc]])+IF(TblConstr[[#This Row],[Hour]]&gt;12,SUM(OFFSET(TblExplore[[#This Row],[Plains Explore]:[Water Explore]],-12,0)),0),SUM(TblConstr[[#This Row],[Hom]:[Doc]]))</f>
        <v>0</v>
      </c>
      <c r="AT7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8" s="142"/>
      <c r="AV78" s="94">
        <f ca="1">ROUND((TblConstr[[#This Row],[Land]]-250 - IF(TblExplore[[#This Row],[Land Bonus]]&lt;&gt;0,20,0))*1.25 + 850 + 0,0)</f>
        <v>675</v>
      </c>
      <c r="AW78" s="94">
        <f ca="1">ROUND((TblConstr[[#This Row],[Land]]-250 - IF(TblExplore[[#This Row],[Land Bonus]]&lt;&gt;0,20,0))*0.285 + 87.5 + 0/4.25,0)</f>
        <v>48</v>
      </c>
      <c r="AX78" s="154"/>
      <c r="AY78" s="188" cm="1">
        <f t="array" aca="1" ref="AY78" ca="1">IF(TblConstr[[#This Row],[Hour]:[Hour]]&gt;12,OFFSET(TblConstr[[#This Row],[Hom]],-12,0),0)+OFFSET(TblConstr[[#This Row],[Tot Hom]],-1,0)-TblConstr[[#This Row],[Dest Hom]]</f>
        <v>0</v>
      </c>
      <c r="AZ78" s="189" cm="1">
        <f t="array" aca="1" ref="AZ78" ca="1">IF(TblConstr[[#This Row],[Hour]:[Hour]]&gt;12,OFFSET(TblConstr[[#This Row],[Alc]],-12,0),0)+OFFSET(TblConstr[[#This Row],[Tot Alc]],-1,0)-TblConstr[[#This Row],[Dest Alc]]</f>
        <v>0</v>
      </c>
      <c r="BA78" s="189" cm="1">
        <f t="array" aca="1" ref="BA78" ca="1">IF(TblConstr[[#This Row],[Hour]:[Hour]]&gt;12,OFFSET(TblConstr[[#This Row],[Far]],-12,0),0)+OFFSET(TblConstr[[#This Row],[Tot Farm]],-1,0)-TblConstr[[#This Row],[Dest Farm]]</f>
        <v>30</v>
      </c>
      <c r="BB78" s="189" cm="1">
        <f t="array" aca="1" ref="BB78" ca="1">IF(TblConstr[[#This Row],[Hour]:[Hour]]&gt;12,OFFSET(TblConstr[[#This Row],[Smi]],-12,0),0)+OFFSET(TblConstr[[#This Row],[Tot Smi]],-1,0)-TblConstr[[#This Row],[Dest Smi]]</f>
        <v>0</v>
      </c>
      <c r="BC78" s="189" cm="1">
        <f t="array" aca="1" ref="BC78" ca="1">IF(TblConstr[[#This Row],[Hour]:[Hour]]&gt;12,OFFSET(TblConstr[[#This Row],[Mas]],-12,0),0)+OFFSET(TblConstr[[#This Row],[Tot Mas]],-1,0)-TblConstr[[#This Row],[Dest Mas]]</f>
        <v>0</v>
      </c>
      <c r="BD78" s="190" cm="1">
        <f t="array" aca="1" ref="BD78" ca="1">IF(TblConstr[[#This Row],[Hour]:[Hour]]&gt;12,OFFSET(TblConstr[[#This Row],[Ly]],-12,0),0)+OFFSET(TblConstr[[#This Row],[Tot Ly]],-1,0)-TblConstr[[#This Row],[Dest Ly]]</f>
        <v>20</v>
      </c>
      <c r="BE78" s="190" cm="1">
        <f t="array" aca="1" ref="BE78" ca="1">IF(TblConstr[[#This Row],[Hour]:[Hour]]&gt;12,OFFSET(TblConstr[[#This Row],[Hav]],-12,0),0)+OFFSET(TblConstr[[#This Row],[Tot Hav]],-1,0)-TblConstr[[#This Row],[Dest Hav]]</f>
        <v>0</v>
      </c>
      <c r="BF78" s="361" cm="1">
        <f t="array" aca="1" ref="BF78" ca="1">IF(TblConstr[[#This Row],[Hour]:[Hour]]&gt;12,OFFSET(TblConstr[[#This Row],[OM]],-12,0),0)+OFFSET(TblConstr[[#This Row],[Tot OM]],-1,0)-TblConstr[[#This Row],[Dest OM]]</f>
        <v>0</v>
      </c>
      <c r="BG78" s="361" cm="1">
        <f t="array" aca="1" ref="BG78" ca="1">IF(TblConstr[[#This Row],[Hour]:[Hour]]&gt;12,OFFSET(TblConstr[[#This Row],[GN]],-12,0),0)+OFFSET(TblConstr[[#This Row],[Tot GN]],-1,0)-TblConstr[[#This Row],[Dest GN]]</f>
        <v>0</v>
      </c>
      <c r="BH78" s="365" cm="1">
        <f t="array" aca="1" ref="BH78" ca="1">IF(TblConstr[[#This Row],[Hour]:[Hour]]&gt;12,OFFSET(TblConstr[[#This Row],[Fac]],-12,0),0)+OFFSET(TblConstr[[#This Row],[Tot Fac]],-1,0)-TblConstr[[#This Row],[Dest Fac]]</f>
        <v>0</v>
      </c>
      <c r="BI78" s="365" cm="1">
        <f t="array" aca="1" ref="BI78" ca="1">IF(TblConstr[[#This Row],[Hour]:[Hour]]&gt;12,OFFSET(TblConstr[[#This Row],[GT]],-12,0),0)+OFFSET(TblConstr[[#This Row],[Tot GT]],-1,0)-TblConstr[[#This Row],[Dest GT]]</f>
        <v>0</v>
      </c>
      <c r="BJ78" s="365" cm="1">
        <f t="array" aca="1" ref="BJ78" ca="1">IF(TblConstr[[#This Row],[Hour]:[Hour]]&gt;12,OFFSET(TblConstr[[#This Row],[Bar]],-12,0),0)+OFFSET(TblConstr[[#This Row],[Tot Bar]],-1,0)-TblConstr[[#This Row],[Dest Bar]]</f>
        <v>0</v>
      </c>
      <c r="BK78" s="365" cm="1">
        <f t="array" aca="1" ref="BK78" ca="1">IF(TblConstr[[#This Row],[Hour]:[Hour]]&gt;12,OFFSET(TblConstr[[#This Row],[Shr]],-12,0),0)+OFFSET(TblConstr[[#This Row],[Tot Shr]],-1,0)-TblConstr[[#This Row],[Dest Shr]]</f>
        <v>0</v>
      </c>
      <c r="BL78" s="369" cm="1">
        <f t="array" aca="1" ref="BL78" ca="1">IF(TblConstr[[#This Row],[Hour]:[Hour]]&gt;12,OFFSET(TblConstr[[#This Row],[Tow]],-12,0),0)+OFFSET(TblConstr[[#This Row],[Tot Tow]],-1,0)-TblConstr[[#This Row],[Dest Tow]]</f>
        <v>0</v>
      </c>
      <c r="BM78" s="369" cm="1">
        <f t="array" aca="1" ref="BM78" ca="1">IF(TblConstr[[#This Row],[Hour]:[Hour]]&gt;12,OFFSET(TblConstr[[#This Row],[Tem]],-12,0),0)+OFFSET(TblConstr[[#This Row],[Tot Tem]],-1,0)-TblConstr[[#This Row],[Dest Tem]]</f>
        <v>0</v>
      </c>
      <c r="BN78" s="369" cm="1">
        <f t="array" aca="1" ref="BN78" ca="1">IF(TblConstr[[#This Row],[Hour]:[Hour]]&gt;12,OFFSET(TblConstr[[#This Row],[WG]],-12,0),0)+OFFSET(TblConstr[[#This Row],[Tot WG]],-1,0)-TblConstr[[#This Row],[Dest WG]]</f>
        <v>0</v>
      </c>
      <c r="BO78" s="191" cm="1">
        <f t="array" aca="1" ref="BO78" ca="1">IF(TblConstr[[#This Row],[Hour]:[Hour]]&gt;12,OFFSET(TblConstr[[#This Row],[DM]],-12,0),0)+OFFSET(TblConstr[[#This Row],[Tot DM]],-1,0)-TblConstr[[#This Row],[Dest DM]]</f>
        <v>0</v>
      </c>
      <c r="BP78" s="191" cm="1">
        <f t="array" aca="1" ref="BP78" ca="1">IF(TblConstr[[#This Row],[Hour]:[Hour]]&gt;12,OFFSET(TblConstr[[#This Row],[Sch]],-12,0),0)+OFFSET(TblConstr[[#This Row],[Tot Sch]],-1,0)-TblConstr[[#This Row],[Dest Sch]]</f>
        <v>0</v>
      </c>
      <c r="BQ78" s="192" cm="1">
        <f t="array" aca="1" ref="BQ78" ca="1">IF(TblConstr[[#This Row],[Hour]:[Hour]]&gt;12,OFFSET(TblConstr[[#This Row],[Doc]],-12,0),0)+OFFSET(TblConstr[[#This Row],[Tot Doc]],-1,0)-TblConstr[[#This Row],[Dest Doc]]</f>
        <v>0</v>
      </c>
      <c r="BR78" s="142"/>
      <c r="BS78" s="154"/>
      <c r="BT78" s="94">
        <f ca="1">TblConstr[[#This Row],[Land]]</f>
        <v>110</v>
      </c>
      <c r="BU78" s="159">
        <f ca="1">TblImps[[#This Row],[Time]]</f>
        <v>46050.083333333154</v>
      </c>
      <c r="BV78" s="142"/>
      <c r="BW78" s="179"/>
      <c r="BX78" s="179"/>
      <c r="BY78" s="179"/>
      <c r="BZ78" s="179"/>
      <c r="CA78" s="179"/>
      <c r="CB78" s="179"/>
      <c r="CC78" s="179"/>
      <c r="CD78" s="179"/>
      <c r="CE78" s="179"/>
      <c r="CF78" s="179"/>
      <c r="CG78" s="179"/>
      <c r="CH78" s="179"/>
      <c r="CI78" s="179"/>
      <c r="CJ78" s="179"/>
      <c r="CK78" s="179"/>
      <c r="CL78" s="179"/>
      <c r="CM78" s="179"/>
      <c r="CN78" s="179"/>
      <c r="CO78" s="179"/>
      <c r="CP78" s="142"/>
      <c r="CQ78" s="181">
        <f ca="1">-SUM(TblConstr[[#This Row],[Alc]:[Mas]])+SUM(TblConstr[[#This Row],[Dest Alc]:[Dest Mas]])+Rezone!L78+IF("Ch_"&amp; home_land=TblConstr[[#Headers],[Ch_Plain]],TblConstr[[#This Row],[Home Land]])+IF(TblConstr[[#This Row],[Hour]:[Hour]]&gt;12,OFFSET(TblExplore[[#This Row],[Plains Explore]],-12,0),0)</f>
        <v>0</v>
      </c>
      <c r="CR78" s="182">
        <f ca="1">-SUM(TblConstr[[#This Row],[Ly]:[Hav]])+SUM(TblConstr[[#This Row],[Dest Ly]:[Dest Hav]]) +Rezone!M78 + IF("Ch_"&amp; home_land=TblConstr[[#Headers],[Ch_Forest]],TblConstr[[#This Row],[Home Land]])+IF(TblConstr[[#This Row],[Hour]:[Hour]]&gt;12,OFFSET(TblExplore[[#This Row],[Forest Explore]],-12,0),0)</f>
        <v>0</v>
      </c>
      <c r="CS78" s="359">
        <f ca="1">-SUM(TblConstr[[#This Row],[OM]:[GN]])+SUM(TblConstr[[#This Row],[Dest OM]:[Dest GN]]) +Rezone!N78 + IF("Ch_"&amp; home_land=TblConstr[[#Headers],[Ch_Mountain]],TblConstr[[#This Row],[Home Land]])+IF(TblConstr[[#This Row],[Hour]:[Hour]]&gt;12,OFFSET(TblExplore[[#This Row],[Mountain Explore]],-12,0),0)</f>
        <v>0</v>
      </c>
      <c r="CT78" s="183">
        <f ca="1">-SUM(TblConstr[[#This Row],[Fac]:[Shr]])+SUM(TblConstr[[#This Row],[Dest Fac]:[Dest Shr]]) +Rezone!O78 + IF("Ch_" &amp; home_land=TblConstr[[#Headers],[Ch_Hill]],TblConstr[[#This Row],[Home Land]])+IF(TblConstr[[#This Row],[Hour]:[Hour]]&gt;12,OFFSET(TblExplore[[#This Row],[Hill Explore]],-12,0),0)</f>
        <v>0</v>
      </c>
      <c r="CU78" s="184">
        <f ca="1">-SUM(TblConstr[[#This Row],[Tow]:[WG]])+SUM(TblConstr[[#This Row],[Dest Tow]:[Dest WG]]) +Rezone!P78 + IF("Ch_" &amp; home_land=TblConstr[[#Headers],[Ch_Swamp]],TblConstr[[#This Row],[Home Land]])+IF(TblConstr[[#This Row],[Hour]:[Hour]]&gt;12,OFFSET(TblExplore[[#This Row],[Swamp Explore]],-12,0),0)</f>
        <v>0</v>
      </c>
      <c r="CV78" s="185">
        <f ca="1" xml:space="preserve"> - SUM(TblConstr[[#This Row],[DM]:[Sch]])+SUM(TblConstr[[#This Row],[Dest DM]:[Dest Sch]]) +Rezone!Q78 + IF("Ch_" &amp; home_land=TblConstr[[#Headers],[Ch_Cavern]],TblConstr[[#This Row],[Home Land]])+IF(TblConstr[[#This Row],[Hour]:[Hour]]&gt;12,OFFSET(TblExplore[[#This Row],[Cavern Explore]],-12,0),0)</f>
        <v>0</v>
      </c>
      <c r="CW78" s="186">
        <f ca="1">-TblConstr[[#This Row],[Doc]]+TblConstr[[#This Row],[Dest Doc]] +Rezone!R78 + IF("Ch_" &amp; home_land=TblConstr[[#Headers],[Ch_Water]],TblConstr[[#This Row],[Home Land]])+IF(TblConstr[[#This Row],[Hour]:[Hour]]&gt;12,OFFSET(TblExplore[[#This Row],[Water Explore]],-12,0),0)</f>
        <v>0</v>
      </c>
      <c r="CX78" s="45">
        <f>IF(Explore!S78=1,20) - TblConstr[[#This Row],[Hom]] + TblConstr[[#This Row],[Dest Hom]]</f>
        <v>0</v>
      </c>
      <c r="CY78" s="142"/>
      <c r="CZ78" s="94">
        <f t="shared" ca="1" si="12"/>
        <v>90</v>
      </c>
      <c r="DA78" s="94">
        <f t="shared" ca="1" si="13"/>
        <v>20</v>
      </c>
      <c r="DB78" s="45">
        <f t="shared" ca="1" si="14"/>
        <v>0</v>
      </c>
      <c r="DC78" s="94">
        <f t="shared" ca="1" si="15"/>
        <v>0</v>
      </c>
      <c r="DD78" s="94">
        <f t="shared" ca="1" si="16"/>
        <v>0</v>
      </c>
      <c r="DE78" s="45">
        <f t="shared" ca="1" si="17"/>
        <v>0</v>
      </c>
      <c r="DF78" s="94">
        <f t="shared" ca="1" si="18"/>
        <v>0</v>
      </c>
      <c r="DG78" s="94" cm="1">
        <f t="array" aca="1" ref="DG78" ca="1">INDEX(TblConstr[[Total Plain]:[Total Water]],ROW()-ROW(TblConstr[#Headers]),MATCH("Total "&amp;home_land,TblConstr[[#Headers],[Total Plain]:[Total Water]],0))+TblConstr[[#This Row],[Homes]]</f>
        <v>90</v>
      </c>
      <c r="DH78" s="45">
        <f t="shared" ca="1" si="22"/>
        <v>0</v>
      </c>
      <c r="DI78" s="45">
        <f t="shared" ca="1" si="19"/>
        <v>0</v>
      </c>
      <c r="DJ78" s="45">
        <f t="shared" ca="1" si="20"/>
        <v>0</v>
      </c>
    </row>
    <row r="79" spans="1:114" x14ac:dyDescent="0.2">
      <c r="A79" s="175">
        <f>TblRezone[[#This Row],[Hour]]</f>
        <v>76</v>
      </c>
      <c r="B79" s="176">
        <f ca="1">SUM(TblConstr[[#This Row],[Plain]:[Water]])</f>
        <v>60</v>
      </c>
      <c r="C79" s="177">
        <f ca="1">SUM(TblConstr[[#This Row],[Tot Hom]:[Tot Doc]])</f>
        <v>50</v>
      </c>
      <c r="D79" s="177">
        <f t="shared" si="21"/>
        <v>0</v>
      </c>
      <c r="E79" s="178"/>
      <c r="F79" s="61">
        <f ca="1">TblConstr[[#This Row],[Barren]]+TblConstr[[#This Row],[Buildings]]+TblConstr[[#This Row],[Incoming]]</f>
        <v>110</v>
      </c>
      <c r="G79" s="187">
        <f ca="1">OFFSET(TblConstr[[#This Row],[Plain]],-1,0)+TblConstr[[#This Row],[Ch_Plain]]</f>
        <v>60</v>
      </c>
      <c r="H79" s="182">
        <f ca="1">OFFSET(TblConstr[[#This Row],[Forest]],-1,0)+TblConstr[[#This Row],[Ch_Forest]]</f>
        <v>0</v>
      </c>
      <c r="I79" s="359">
        <f ca="1">OFFSET(TblConstr[[#This Row],[Mountain]],-1,0)+TblConstr[[#This Row],[Ch_Mountain]]</f>
        <v>0</v>
      </c>
      <c r="J79" s="363">
        <f ca="1">OFFSET(TblConstr[[#This Row],[Hill]],-1,0)+TblConstr[[#This Row],[Ch_Hill]]</f>
        <v>0</v>
      </c>
      <c r="K79" s="367">
        <f ca="1">OFFSET(TblConstr[[#This Row],[Swamp]],-1,0)+TblConstr[[#This Row],[Ch_Swamp]]</f>
        <v>0</v>
      </c>
      <c r="L79" s="185">
        <f ca="1">OFFSET(TblConstr[[#This Row],[Cavern]],-1,0)+TblConstr[[#This Row],[Ch_Cavern]]</f>
        <v>0</v>
      </c>
      <c r="M79" s="186">
        <f ca="1">OFFSET(TblConstr[[#This Row],[Water]],-1,0)+TblConstr[[#This Row],[Ch_Water]]</f>
        <v>0</v>
      </c>
      <c r="N79" s="357">
        <f>TblRezone[[#This Row],[Hour]]</f>
        <v>76</v>
      </c>
      <c r="O79" s="179"/>
      <c r="P79" s="179"/>
      <c r="Q79" s="179"/>
      <c r="R79" s="179"/>
      <c r="S79" s="179"/>
      <c r="T79" s="179"/>
      <c r="U79" s="179"/>
      <c r="V79" s="179"/>
      <c r="W79" s="179"/>
      <c r="X79" s="179"/>
      <c r="Y79" s="179"/>
      <c r="Z79" s="179"/>
      <c r="AA79" s="179"/>
      <c r="AB79" s="179"/>
      <c r="AC79" s="179"/>
      <c r="AD79" s="179"/>
      <c r="AE79" s="179"/>
      <c r="AF79" s="179"/>
      <c r="AG79" s="179"/>
      <c r="AH79" s="53">
        <f ca="1">TblImps[[#This Row],[Time]]</f>
        <v>46050.124999999818</v>
      </c>
      <c r="AI79" s="180">
        <f ca="1">MIN(25%,(TblConstr[[#This Row],[Tot Fac]]+TblConstr[[#This Row],[Dest Fac]])/(TblConstr[[#This Row],[Land]]-TblExplore[[#This Row],[Land Bonus]]*20))</f>
        <v>0</v>
      </c>
      <c r="AJ79" s="180">
        <f ca="1">MIN(25%,(TblConstr[[#This Row],[Tot Fac]]+TblConstr[[#This Row],[Dest Fac]])/TblConstr[[#This Row],[Land]])</f>
        <v>0</v>
      </c>
      <c r="AK79" s="94">
        <f ca="1">TblProd[[#This Row],[Platinum]]</f>
        <v>172517</v>
      </c>
      <c r="AL79" s="94">
        <f ca="1">TblProd[[#This Row],[Lumber]]</f>
        <v>59998</v>
      </c>
      <c r="AM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79" s="94">
        <f ca="1">ROUNDDOWN( MAX(1 - MIN(facs_constr_factor*TblConstr[[#This Row],[Facs -DB]],facs_constr_max) + tech_1_11*TblTech[[#This Row],[11-1]] + tech_6_3_2*TblTech[[#This Row],[6-3]] + tech_5_2_3*TblTech[[#This Row],[5-2]], 1-global_constr_cap) * TblConstr[[#This Row],[RCPA Lumber]],0)</f>
        <v>48</v>
      </c>
      <c r="AO7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79" s="94">
        <f ca="1">ROUNDDOWN( MAX(1 - MIN(facs_constr_factor*TblConstr[[#This Row],[Facs DB]],facs_constr_max) + tech_1_11*TblTech[[#This Row],[1-11]] + tech_6_3_2*TblTech[[#This Row],[6-3]] + tech_5_2_3*TblTech[[#This Row],[5-2]], 1-global_constr_cap) * ROUND((TblConstr[[#This Row],[Land]]-250)*0.285 + 87.5 + 0/4.25,0),0)</f>
        <v>48</v>
      </c>
      <c r="AQ79" s="45">
        <f ca="1">TblConstr[[#This Row],[build -db]]*TblConstr[[#This Row],[CPA Platinum -DB]] + TblConstr[[#This Row],[build db]]*TblConstr[[#This Row],[CPA Platinum DB]]</f>
        <v>0</v>
      </c>
      <c r="AR79" s="45">
        <f ca="1">TblConstr[[#This Row],[build -db]]*TblConstr[[#This Row],[CPA Lumber -DB]] + TblConstr[[#This Row],[build db]]*TblConstr[[#This Row],[CPA Lumber DB]]</f>
        <v>0</v>
      </c>
      <c r="AS79" s="94">
        <f ca="1">MIN(SUM(OFFSET(TblConstr[[#This Row],[Plain]:[Water]],-1,0))+SUM(TblConstr[[#This Row],[Dest Hom]:[Dest Doc]])+IF(TblConstr[[#This Row],[Hour]]&gt;12,SUM(OFFSET(TblExplore[[#This Row],[Plains Explore]:[Water Explore]],-12,0)),0),SUM(TblConstr[[#This Row],[Hom]:[Doc]]))</f>
        <v>0</v>
      </c>
      <c r="AT7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79" s="142"/>
      <c r="AV79" s="94">
        <f ca="1">ROUND((TblConstr[[#This Row],[Land]]-250 - IF(TblExplore[[#This Row],[Land Bonus]]&lt;&gt;0,20,0))*1.25 + 850 + 0,0)</f>
        <v>675</v>
      </c>
      <c r="AW79" s="94">
        <f ca="1">ROUND((TblConstr[[#This Row],[Land]]-250 - IF(TblExplore[[#This Row],[Land Bonus]]&lt;&gt;0,20,0))*0.285 + 87.5 + 0/4.25,0)</f>
        <v>48</v>
      </c>
      <c r="AX79" s="154"/>
      <c r="AY79" s="188" cm="1">
        <f t="array" aca="1" ref="AY79" ca="1">IF(TblConstr[[#This Row],[Hour]:[Hour]]&gt;12,OFFSET(TblConstr[[#This Row],[Hom]],-12,0),0)+OFFSET(TblConstr[[#This Row],[Tot Hom]],-1,0)-TblConstr[[#This Row],[Dest Hom]]</f>
        <v>0</v>
      </c>
      <c r="AZ79" s="189" cm="1">
        <f t="array" aca="1" ref="AZ79" ca="1">IF(TblConstr[[#This Row],[Hour]:[Hour]]&gt;12,OFFSET(TblConstr[[#This Row],[Alc]],-12,0),0)+OFFSET(TblConstr[[#This Row],[Tot Alc]],-1,0)-TblConstr[[#This Row],[Dest Alc]]</f>
        <v>0</v>
      </c>
      <c r="BA79" s="189" cm="1">
        <f t="array" aca="1" ref="BA79" ca="1">IF(TblConstr[[#This Row],[Hour]:[Hour]]&gt;12,OFFSET(TblConstr[[#This Row],[Far]],-12,0),0)+OFFSET(TblConstr[[#This Row],[Tot Farm]],-1,0)-TblConstr[[#This Row],[Dest Farm]]</f>
        <v>30</v>
      </c>
      <c r="BB79" s="189" cm="1">
        <f t="array" aca="1" ref="BB79" ca="1">IF(TblConstr[[#This Row],[Hour]:[Hour]]&gt;12,OFFSET(TblConstr[[#This Row],[Smi]],-12,0),0)+OFFSET(TblConstr[[#This Row],[Tot Smi]],-1,0)-TblConstr[[#This Row],[Dest Smi]]</f>
        <v>0</v>
      </c>
      <c r="BC79" s="189" cm="1">
        <f t="array" aca="1" ref="BC79" ca="1">IF(TblConstr[[#This Row],[Hour]:[Hour]]&gt;12,OFFSET(TblConstr[[#This Row],[Mas]],-12,0),0)+OFFSET(TblConstr[[#This Row],[Tot Mas]],-1,0)-TblConstr[[#This Row],[Dest Mas]]</f>
        <v>0</v>
      </c>
      <c r="BD79" s="190" cm="1">
        <f t="array" aca="1" ref="BD79" ca="1">IF(TblConstr[[#This Row],[Hour]:[Hour]]&gt;12,OFFSET(TblConstr[[#This Row],[Ly]],-12,0),0)+OFFSET(TblConstr[[#This Row],[Tot Ly]],-1,0)-TblConstr[[#This Row],[Dest Ly]]</f>
        <v>20</v>
      </c>
      <c r="BE79" s="190" cm="1">
        <f t="array" aca="1" ref="BE79" ca="1">IF(TblConstr[[#This Row],[Hour]:[Hour]]&gt;12,OFFSET(TblConstr[[#This Row],[Hav]],-12,0),0)+OFFSET(TblConstr[[#This Row],[Tot Hav]],-1,0)-TblConstr[[#This Row],[Dest Hav]]</f>
        <v>0</v>
      </c>
      <c r="BF79" s="361" cm="1">
        <f t="array" aca="1" ref="BF79" ca="1">IF(TblConstr[[#This Row],[Hour]:[Hour]]&gt;12,OFFSET(TblConstr[[#This Row],[OM]],-12,0),0)+OFFSET(TblConstr[[#This Row],[Tot OM]],-1,0)-TblConstr[[#This Row],[Dest OM]]</f>
        <v>0</v>
      </c>
      <c r="BG79" s="361" cm="1">
        <f t="array" aca="1" ref="BG79" ca="1">IF(TblConstr[[#This Row],[Hour]:[Hour]]&gt;12,OFFSET(TblConstr[[#This Row],[GN]],-12,0),0)+OFFSET(TblConstr[[#This Row],[Tot GN]],-1,0)-TblConstr[[#This Row],[Dest GN]]</f>
        <v>0</v>
      </c>
      <c r="BH79" s="365" cm="1">
        <f t="array" aca="1" ref="BH79" ca="1">IF(TblConstr[[#This Row],[Hour]:[Hour]]&gt;12,OFFSET(TblConstr[[#This Row],[Fac]],-12,0),0)+OFFSET(TblConstr[[#This Row],[Tot Fac]],-1,0)-TblConstr[[#This Row],[Dest Fac]]</f>
        <v>0</v>
      </c>
      <c r="BI79" s="365" cm="1">
        <f t="array" aca="1" ref="BI79" ca="1">IF(TblConstr[[#This Row],[Hour]:[Hour]]&gt;12,OFFSET(TblConstr[[#This Row],[GT]],-12,0),0)+OFFSET(TblConstr[[#This Row],[Tot GT]],-1,0)-TblConstr[[#This Row],[Dest GT]]</f>
        <v>0</v>
      </c>
      <c r="BJ79" s="365" cm="1">
        <f t="array" aca="1" ref="BJ79" ca="1">IF(TblConstr[[#This Row],[Hour]:[Hour]]&gt;12,OFFSET(TblConstr[[#This Row],[Bar]],-12,0),0)+OFFSET(TblConstr[[#This Row],[Tot Bar]],-1,0)-TblConstr[[#This Row],[Dest Bar]]</f>
        <v>0</v>
      </c>
      <c r="BK79" s="365" cm="1">
        <f t="array" aca="1" ref="BK79" ca="1">IF(TblConstr[[#This Row],[Hour]:[Hour]]&gt;12,OFFSET(TblConstr[[#This Row],[Shr]],-12,0),0)+OFFSET(TblConstr[[#This Row],[Tot Shr]],-1,0)-TblConstr[[#This Row],[Dest Shr]]</f>
        <v>0</v>
      </c>
      <c r="BL79" s="369" cm="1">
        <f t="array" aca="1" ref="BL79" ca="1">IF(TblConstr[[#This Row],[Hour]:[Hour]]&gt;12,OFFSET(TblConstr[[#This Row],[Tow]],-12,0),0)+OFFSET(TblConstr[[#This Row],[Tot Tow]],-1,0)-TblConstr[[#This Row],[Dest Tow]]</f>
        <v>0</v>
      </c>
      <c r="BM79" s="369" cm="1">
        <f t="array" aca="1" ref="BM79" ca="1">IF(TblConstr[[#This Row],[Hour]:[Hour]]&gt;12,OFFSET(TblConstr[[#This Row],[Tem]],-12,0),0)+OFFSET(TblConstr[[#This Row],[Tot Tem]],-1,0)-TblConstr[[#This Row],[Dest Tem]]</f>
        <v>0</v>
      </c>
      <c r="BN79" s="369" cm="1">
        <f t="array" aca="1" ref="BN79" ca="1">IF(TblConstr[[#This Row],[Hour]:[Hour]]&gt;12,OFFSET(TblConstr[[#This Row],[WG]],-12,0),0)+OFFSET(TblConstr[[#This Row],[Tot WG]],-1,0)-TblConstr[[#This Row],[Dest WG]]</f>
        <v>0</v>
      </c>
      <c r="BO79" s="191" cm="1">
        <f t="array" aca="1" ref="BO79" ca="1">IF(TblConstr[[#This Row],[Hour]:[Hour]]&gt;12,OFFSET(TblConstr[[#This Row],[DM]],-12,0),0)+OFFSET(TblConstr[[#This Row],[Tot DM]],-1,0)-TblConstr[[#This Row],[Dest DM]]</f>
        <v>0</v>
      </c>
      <c r="BP79" s="191" cm="1">
        <f t="array" aca="1" ref="BP79" ca="1">IF(TblConstr[[#This Row],[Hour]:[Hour]]&gt;12,OFFSET(TblConstr[[#This Row],[Sch]],-12,0),0)+OFFSET(TblConstr[[#This Row],[Tot Sch]],-1,0)-TblConstr[[#This Row],[Dest Sch]]</f>
        <v>0</v>
      </c>
      <c r="BQ79" s="192" cm="1">
        <f t="array" aca="1" ref="BQ79" ca="1">IF(TblConstr[[#This Row],[Hour]:[Hour]]&gt;12,OFFSET(TblConstr[[#This Row],[Doc]],-12,0),0)+OFFSET(TblConstr[[#This Row],[Tot Doc]],-1,0)-TblConstr[[#This Row],[Dest Doc]]</f>
        <v>0</v>
      </c>
      <c r="BR79" s="142"/>
      <c r="BS79" s="154"/>
      <c r="BT79" s="94">
        <f ca="1">TblConstr[[#This Row],[Land]]</f>
        <v>110</v>
      </c>
      <c r="BU79" s="159">
        <f ca="1">TblImps[[#This Row],[Time]]</f>
        <v>46050.124999999818</v>
      </c>
      <c r="BV79" s="142"/>
      <c r="BW79" s="179"/>
      <c r="BX79" s="179"/>
      <c r="BY79" s="179"/>
      <c r="BZ79" s="179"/>
      <c r="CA79" s="179"/>
      <c r="CB79" s="179"/>
      <c r="CC79" s="179"/>
      <c r="CD79" s="179"/>
      <c r="CE79" s="179"/>
      <c r="CF79" s="179"/>
      <c r="CG79" s="179"/>
      <c r="CH79" s="179"/>
      <c r="CI79" s="179"/>
      <c r="CJ79" s="179"/>
      <c r="CK79" s="179"/>
      <c r="CL79" s="179"/>
      <c r="CM79" s="179"/>
      <c r="CN79" s="179"/>
      <c r="CO79" s="179"/>
      <c r="CP79" s="142"/>
      <c r="CQ79" s="181">
        <f ca="1">-SUM(TblConstr[[#This Row],[Alc]:[Mas]])+SUM(TblConstr[[#This Row],[Dest Alc]:[Dest Mas]])+Rezone!L79+IF("Ch_"&amp; home_land=TblConstr[[#Headers],[Ch_Plain]],TblConstr[[#This Row],[Home Land]])+IF(TblConstr[[#This Row],[Hour]:[Hour]]&gt;12,OFFSET(TblExplore[[#This Row],[Plains Explore]],-12,0),0)</f>
        <v>0</v>
      </c>
      <c r="CR79" s="182">
        <f ca="1">-SUM(TblConstr[[#This Row],[Ly]:[Hav]])+SUM(TblConstr[[#This Row],[Dest Ly]:[Dest Hav]]) +Rezone!M79 + IF("Ch_"&amp; home_land=TblConstr[[#Headers],[Ch_Forest]],TblConstr[[#This Row],[Home Land]])+IF(TblConstr[[#This Row],[Hour]:[Hour]]&gt;12,OFFSET(TblExplore[[#This Row],[Forest Explore]],-12,0),0)</f>
        <v>0</v>
      </c>
      <c r="CS79" s="359">
        <f ca="1">-SUM(TblConstr[[#This Row],[OM]:[GN]])+SUM(TblConstr[[#This Row],[Dest OM]:[Dest GN]]) +Rezone!N79 + IF("Ch_"&amp; home_land=TblConstr[[#Headers],[Ch_Mountain]],TblConstr[[#This Row],[Home Land]])+IF(TblConstr[[#This Row],[Hour]:[Hour]]&gt;12,OFFSET(TblExplore[[#This Row],[Mountain Explore]],-12,0),0)</f>
        <v>0</v>
      </c>
      <c r="CT79" s="183">
        <f ca="1">-SUM(TblConstr[[#This Row],[Fac]:[Shr]])+SUM(TblConstr[[#This Row],[Dest Fac]:[Dest Shr]]) +Rezone!O79 + IF("Ch_" &amp; home_land=TblConstr[[#Headers],[Ch_Hill]],TblConstr[[#This Row],[Home Land]])+IF(TblConstr[[#This Row],[Hour]:[Hour]]&gt;12,OFFSET(TblExplore[[#This Row],[Hill Explore]],-12,0),0)</f>
        <v>0</v>
      </c>
      <c r="CU79" s="184">
        <f ca="1">-SUM(TblConstr[[#This Row],[Tow]:[WG]])+SUM(TblConstr[[#This Row],[Dest Tow]:[Dest WG]]) +Rezone!P79 + IF("Ch_" &amp; home_land=TblConstr[[#Headers],[Ch_Swamp]],TblConstr[[#This Row],[Home Land]])+IF(TblConstr[[#This Row],[Hour]:[Hour]]&gt;12,OFFSET(TblExplore[[#This Row],[Swamp Explore]],-12,0),0)</f>
        <v>0</v>
      </c>
      <c r="CV79" s="185">
        <f ca="1" xml:space="preserve"> - SUM(TblConstr[[#This Row],[DM]:[Sch]])+SUM(TblConstr[[#This Row],[Dest DM]:[Dest Sch]]) +Rezone!Q79 + IF("Ch_" &amp; home_land=TblConstr[[#Headers],[Ch_Cavern]],TblConstr[[#This Row],[Home Land]])+IF(TblConstr[[#This Row],[Hour]:[Hour]]&gt;12,OFFSET(TblExplore[[#This Row],[Cavern Explore]],-12,0),0)</f>
        <v>0</v>
      </c>
      <c r="CW79" s="186">
        <f ca="1">-TblConstr[[#This Row],[Doc]]+TblConstr[[#This Row],[Dest Doc]] +Rezone!R79 + IF("Ch_" &amp; home_land=TblConstr[[#Headers],[Ch_Water]],TblConstr[[#This Row],[Home Land]])+IF(TblConstr[[#This Row],[Hour]:[Hour]]&gt;12,OFFSET(TblExplore[[#This Row],[Water Explore]],-12,0),0)</f>
        <v>0</v>
      </c>
      <c r="CX79" s="45">
        <f>IF(Explore!S79=1,20) - TblConstr[[#This Row],[Hom]] + TblConstr[[#This Row],[Dest Hom]]</f>
        <v>0</v>
      </c>
      <c r="CY79" s="142"/>
      <c r="CZ79" s="94">
        <f t="shared" ca="1" si="12"/>
        <v>90</v>
      </c>
      <c r="DA79" s="94">
        <f t="shared" ca="1" si="13"/>
        <v>20</v>
      </c>
      <c r="DB79" s="45">
        <f t="shared" ca="1" si="14"/>
        <v>0</v>
      </c>
      <c r="DC79" s="94">
        <f t="shared" ca="1" si="15"/>
        <v>0</v>
      </c>
      <c r="DD79" s="94">
        <f t="shared" ca="1" si="16"/>
        <v>0</v>
      </c>
      <c r="DE79" s="45">
        <f t="shared" ca="1" si="17"/>
        <v>0</v>
      </c>
      <c r="DF79" s="94">
        <f t="shared" ca="1" si="18"/>
        <v>0</v>
      </c>
      <c r="DG79" s="94" cm="1">
        <f t="array" aca="1" ref="DG79" ca="1">INDEX(TblConstr[[Total Plain]:[Total Water]],ROW()-ROW(TblConstr[#Headers]),MATCH("Total "&amp;home_land,TblConstr[[#Headers],[Total Plain]:[Total Water]],0))+TblConstr[[#This Row],[Homes]]</f>
        <v>90</v>
      </c>
      <c r="DH79" s="45">
        <f t="shared" ca="1" si="22"/>
        <v>0</v>
      </c>
      <c r="DI79" s="45">
        <f t="shared" ca="1" si="19"/>
        <v>0</v>
      </c>
      <c r="DJ79" s="45">
        <f t="shared" ca="1" si="20"/>
        <v>0</v>
      </c>
    </row>
    <row r="80" spans="1:114" x14ac:dyDescent="0.2">
      <c r="A80" s="175">
        <f>TblRezone[[#This Row],[Hour]]</f>
        <v>77</v>
      </c>
      <c r="B80" s="176">
        <f ca="1">SUM(TblConstr[[#This Row],[Plain]:[Water]])</f>
        <v>60</v>
      </c>
      <c r="C80" s="177">
        <f ca="1">SUM(TblConstr[[#This Row],[Tot Hom]:[Tot Doc]])</f>
        <v>50</v>
      </c>
      <c r="D80" s="177">
        <f t="shared" si="21"/>
        <v>0</v>
      </c>
      <c r="E80" s="178"/>
      <c r="F80" s="61">
        <f ca="1">TblConstr[[#This Row],[Barren]]+TblConstr[[#This Row],[Buildings]]+TblConstr[[#This Row],[Incoming]]</f>
        <v>110</v>
      </c>
      <c r="G80" s="187">
        <f ca="1">OFFSET(TblConstr[[#This Row],[Plain]],-1,0)+TblConstr[[#This Row],[Ch_Plain]]</f>
        <v>60</v>
      </c>
      <c r="H80" s="182">
        <f ca="1">OFFSET(TblConstr[[#This Row],[Forest]],-1,0)+TblConstr[[#This Row],[Ch_Forest]]</f>
        <v>0</v>
      </c>
      <c r="I80" s="359">
        <f ca="1">OFFSET(TblConstr[[#This Row],[Mountain]],-1,0)+TblConstr[[#This Row],[Ch_Mountain]]</f>
        <v>0</v>
      </c>
      <c r="J80" s="363">
        <f ca="1">OFFSET(TblConstr[[#This Row],[Hill]],-1,0)+TblConstr[[#This Row],[Ch_Hill]]</f>
        <v>0</v>
      </c>
      <c r="K80" s="367">
        <f ca="1">OFFSET(TblConstr[[#This Row],[Swamp]],-1,0)+TblConstr[[#This Row],[Ch_Swamp]]</f>
        <v>0</v>
      </c>
      <c r="L80" s="185">
        <f ca="1">OFFSET(TblConstr[[#This Row],[Cavern]],-1,0)+TblConstr[[#This Row],[Ch_Cavern]]</f>
        <v>0</v>
      </c>
      <c r="M80" s="186">
        <f ca="1">OFFSET(TblConstr[[#This Row],[Water]],-1,0)+TblConstr[[#This Row],[Ch_Water]]</f>
        <v>0</v>
      </c>
      <c r="N80" s="357">
        <f>TblRezone[[#This Row],[Hour]]</f>
        <v>77</v>
      </c>
      <c r="O80" s="179"/>
      <c r="P80" s="179"/>
      <c r="Q80" s="179"/>
      <c r="R80" s="179"/>
      <c r="S80" s="179"/>
      <c r="T80" s="179"/>
      <c r="U80" s="179"/>
      <c r="V80" s="179"/>
      <c r="W80" s="179"/>
      <c r="X80" s="179"/>
      <c r="Y80" s="179"/>
      <c r="Z80" s="179"/>
      <c r="AA80" s="179"/>
      <c r="AB80" s="179"/>
      <c r="AC80" s="179"/>
      <c r="AD80" s="179"/>
      <c r="AE80" s="179"/>
      <c r="AF80" s="179"/>
      <c r="AG80" s="179"/>
      <c r="AH80" s="53">
        <f ca="1">TblImps[[#This Row],[Time]]</f>
        <v>46050.166666666482</v>
      </c>
      <c r="AI80" s="180">
        <f ca="1">MIN(25%,(TblConstr[[#This Row],[Tot Fac]]+TblConstr[[#This Row],[Dest Fac]])/(TblConstr[[#This Row],[Land]]-TblExplore[[#This Row],[Land Bonus]]*20))</f>
        <v>0</v>
      </c>
      <c r="AJ80" s="180">
        <f ca="1">MIN(25%,(TblConstr[[#This Row],[Tot Fac]]+TblConstr[[#This Row],[Dest Fac]])/TblConstr[[#This Row],[Land]])</f>
        <v>0</v>
      </c>
      <c r="AK80" s="94">
        <f ca="1">TblProd[[#This Row],[Platinum]]</f>
        <v>173791</v>
      </c>
      <c r="AL80" s="94">
        <f ca="1">TblProd[[#This Row],[Lumber]]</f>
        <v>60398</v>
      </c>
      <c r="AM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0" s="94">
        <f ca="1">ROUNDDOWN( MAX(1 - MIN(facs_constr_factor*TblConstr[[#This Row],[Facs -DB]],facs_constr_max) + tech_1_11*TblTech[[#This Row],[11-1]] + tech_6_3_2*TblTech[[#This Row],[6-3]] + tech_5_2_3*TblTech[[#This Row],[5-2]], 1-global_constr_cap) * TblConstr[[#This Row],[RCPA Lumber]],0)</f>
        <v>48</v>
      </c>
      <c r="AO8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0" s="94">
        <f ca="1">ROUNDDOWN( MAX(1 - MIN(facs_constr_factor*TblConstr[[#This Row],[Facs DB]],facs_constr_max) + tech_1_11*TblTech[[#This Row],[1-11]] + tech_6_3_2*TblTech[[#This Row],[6-3]] + tech_5_2_3*TblTech[[#This Row],[5-2]], 1-global_constr_cap) * ROUND((TblConstr[[#This Row],[Land]]-250)*0.285 + 87.5 + 0/4.25,0),0)</f>
        <v>48</v>
      </c>
      <c r="AQ80" s="45">
        <f ca="1">TblConstr[[#This Row],[build -db]]*TblConstr[[#This Row],[CPA Platinum -DB]] + TblConstr[[#This Row],[build db]]*TblConstr[[#This Row],[CPA Platinum DB]]</f>
        <v>0</v>
      </c>
      <c r="AR80" s="45">
        <f ca="1">TblConstr[[#This Row],[build -db]]*TblConstr[[#This Row],[CPA Lumber -DB]] + TblConstr[[#This Row],[build db]]*TblConstr[[#This Row],[CPA Lumber DB]]</f>
        <v>0</v>
      </c>
      <c r="AS80" s="94">
        <f ca="1">MIN(SUM(OFFSET(TblConstr[[#This Row],[Plain]:[Water]],-1,0))+SUM(TblConstr[[#This Row],[Dest Hom]:[Dest Doc]])+IF(TblConstr[[#This Row],[Hour]]&gt;12,SUM(OFFSET(TblExplore[[#This Row],[Plains Explore]:[Water Explore]],-12,0)),0),SUM(TblConstr[[#This Row],[Hom]:[Doc]]))</f>
        <v>0</v>
      </c>
      <c r="AT8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0" s="142"/>
      <c r="AV80" s="94">
        <f ca="1">ROUND((TblConstr[[#This Row],[Land]]-250 - IF(TblExplore[[#This Row],[Land Bonus]]&lt;&gt;0,20,0))*1.25 + 850 + 0,0)</f>
        <v>675</v>
      </c>
      <c r="AW80" s="94">
        <f ca="1">ROUND((TblConstr[[#This Row],[Land]]-250 - IF(TblExplore[[#This Row],[Land Bonus]]&lt;&gt;0,20,0))*0.285 + 87.5 + 0/4.25,0)</f>
        <v>48</v>
      </c>
      <c r="AX80" s="154"/>
      <c r="AY80" s="188" cm="1">
        <f t="array" aca="1" ref="AY80" ca="1">IF(TblConstr[[#This Row],[Hour]:[Hour]]&gt;12,OFFSET(TblConstr[[#This Row],[Hom]],-12,0),0)+OFFSET(TblConstr[[#This Row],[Tot Hom]],-1,0)-TblConstr[[#This Row],[Dest Hom]]</f>
        <v>0</v>
      </c>
      <c r="AZ80" s="189" cm="1">
        <f t="array" aca="1" ref="AZ80" ca="1">IF(TblConstr[[#This Row],[Hour]:[Hour]]&gt;12,OFFSET(TblConstr[[#This Row],[Alc]],-12,0),0)+OFFSET(TblConstr[[#This Row],[Tot Alc]],-1,0)-TblConstr[[#This Row],[Dest Alc]]</f>
        <v>0</v>
      </c>
      <c r="BA80" s="189" cm="1">
        <f t="array" aca="1" ref="BA80" ca="1">IF(TblConstr[[#This Row],[Hour]:[Hour]]&gt;12,OFFSET(TblConstr[[#This Row],[Far]],-12,0),0)+OFFSET(TblConstr[[#This Row],[Tot Farm]],-1,0)-TblConstr[[#This Row],[Dest Farm]]</f>
        <v>30</v>
      </c>
      <c r="BB80" s="189" cm="1">
        <f t="array" aca="1" ref="BB80" ca="1">IF(TblConstr[[#This Row],[Hour]:[Hour]]&gt;12,OFFSET(TblConstr[[#This Row],[Smi]],-12,0),0)+OFFSET(TblConstr[[#This Row],[Tot Smi]],-1,0)-TblConstr[[#This Row],[Dest Smi]]</f>
        <v>0</v>
      </c>
      <c r="BC80" s="189" cm="1">
        <f t="array" aca="1" ref="BC80" ca="1">IF(TblConstr[[#This Row],[Hour]:[Hour]]&gt;12,OFFSET(TblConstr[[#This Row],[Mas]],-12,0),0)+OFFSET(TblConstr[[#This Row],[Tot Mas]],-1,0)-TblConstr[[#This Row],[Dest Mas]]</f>
        <v>0</v>
      </c>
      <c r="BD80" s="190" cm="1">
        <f t="array" aca="1" ref="BD80" ca="1">IF(TblConstr[[#This Row],[Hour]:[Hour]]&gt;12,OFFSET(TblConstr[[#This Row],[Ly]],-12,0),0)+OFFSET(TblConstr[[#This Row],[Tot Ly]],-1,0)-TblConstr[[#This Row],[Dest Ly]]</f>
        <v>20</v>
      </c>
      <c r="BE80" s="190" cm="1">
        <f t="array" aca="1" ref="BE80" ca="1">IF(TblConstr[[#This Row],[Hour]:[Hour]]&gt;12,OFFSET(TblConstr[[#This Row],[Hav]],-12,0),0)+OFFSET(TblConstr[[#This Row],[Tot Hav]],-1,0)-TblConstr[[#This Row],[Dest Hav]]</f>
        <v>0</v>
      </c>
      <c r="BF80" s="361" cm="1">
        <f t="array" aca="1" ref="BF80" ca="1">IF(TblConstr[[#This Row],[Hour]:[Hour]]&gt;12,OFFSET(TblConstr[[#This Row],[OM]],-12,0),0)+OFFSET(TblConstr[[#This Row],[Tot OM]],-1,0)-TblConstr[[#This Row],[Dest OM]]</f>
        <v>0</v>
      </c>
      <c r="BG80" s="361" cm="1">
        <f t="array" aca="1" ref="BG80" ca="1">IF(TblConstr[[#This Row],[Hour]:[Hour]]&gt;12,OFFSET(TblConstr[[#This Row],[GN]],-12,0),0)+OFFSET(TblConstr[[#This Row],[Tot GN]],-1,0)-TblConstr[[#This Row],[Dest GN]]</f>
        <v>0</v>
      </c>
      <c r="BH80" s="365" cm="1">
        <f t="array" aca="1" ref="BH80" ca="1">IF(TblConstr[[#This Row],[Hour]:[Hour]]&gt;12,OFFSET(TblConstr[[#This Row],[Fac]],-12,0),0)+OFFSET(TblConstr[[#This Row],[Tot Fac]],-1,0)-TblConstr[[#This Row],[Dest Fac]]</f>
        <v>0</v>
      </c>
      <c r="BI80" s="365" cm="1">
        <f t="array" aca="1" ref="BI80" ca="1">IF(TblConstr[[#This Row],[Hour]:[Hour]]&gt;12,OFFSET(TblConstr[[#This Row],[GT]],-12,0),0)+OFFSET(TblConstr[[#This Row],[Tot GT]],-1,0)-TblConstr[[#This Row],[Dest GT]]</f>
        <v>0</v>
      </c>
      <c r="BJ80" s="365" cm="1">
        <f t="array" aca="1" ref="BJ80" ca="1">IF(TblConstr[[#This Row],[Hour]:[Hour]]&gt;12,OFFSET(TblConstr[[#This Row],[Bar]],-12,0),0)+OFFSET(TblConstr[[#This Row],[Tot Bar]],-1,0)-TblConstr[[#This Row],[Dest Bar]]</f>
        <v>0</v>
      </c>
      <c r="BK80" s="365" cm="1">
        <f t="array" aca="1" ref="BK80" ca="1">IF(TblConstr[[#This Row],[Hour]:[Hour]]&gt;12,OFFSET(TblConstr[[#This Row],[Shr]],-12,0),0)+OFFSET(TblConstr[[#This Row],[Tot Shr]],-1,0)-TblConstr[[#This Row],[Dest Shr]]</f>
        <v>0</v>
      </c>
      <c r="BL80" s="369" cm="1">
        <f t="array" aca="1" ref="BL80" ca="1">IF(TblConstr[[#This Row],[Hour]:[Hour]]&gt;12,OFFSET(TblConstr[[#This Row],[Tow]],-12,0),0)+OFFSET(TblConstr[[#This Row],[Tot Tow]],-1,0)-TblConstr[[#This Row],[Dest Tow]]</f>
        <v>0</v>
      </c>
      <c r="BM80" s="369" cm="1">
        <f t="array" aca="1" ref="BM80" ca="1">IF(TblConstr[[#This Row],[Hour]:[Hour]]&gt;12,OFFSET(TblConstr[[#This Row],[Tem]],-12,0),0)+OFFSET(TblConstr[[#This Row],[Tot Tem]],-1,0)-TblConstr[[#This Row],[Dest Tem]]</f>
        <v>0</v>
      </c>
      <c r="BN80" s="369" cm="1">
        <f t="array" aca="1" ref="BN80" ca="1">IF(TblConstr[[#This Row],[Hour]:[Hour]]&gt;12,OFFSET(TblConstr[[#This Row],[WG]],-12,0),0)+OFFSET(TblConstr[[#This Row],[Tot WG]],-1,0)-TblConstr[[#This Row],[Dest WG]]</f>
        <v>0</v>
      </c>
      <c r="BO80" s="191" cm="1">
        <f t="array" aca="1" ref="BO80" ca="1">IF(TblConstr[[#This Row],[Hour]:[Hour]]&gt;12,OFFSET(TblConstr[[#This Row],[DM]],-12,0),0)+OFFSET(TblConstr[[#This Row],[Tot DM]],-1,0)-TblConstr[[#This Row],[Dest DM]]</f>
        <v>0</v>
      </c>
      <c r="BP80" s="191" cm="1">
        <f t="array" aca="1" ref="BP80" ca="1">IF(TblConstr[[#This Row],[Hour]:[Hour]]&gt;12,OFFSET(TblConstr[[#This Row],[Sch]],-12,0),0)+OFFSET(TblConstr[[#This Row],[Tot Sch]],-1,0)-TblConstr[[#This Row],[Dest Sch]]</f>
        <v>0</v>
      </c>
      <c r="BQ80" s="192" cm="1">
        <f t="array" aca="1" ref="BQ80" ca="1">IF(TblConstr[[#This Row],[Hour]:[Hour]]&gt;12,OFFSET(TblConstr[[#This Row],[Doc]],-12,0),0)+OFFSET(TblConstr[[#This Row],[Tot Doc]],-1,0)-TblConstr[[#This Row],[Dest Doc]]</f>
        <v>0</v>
      </c>
      <c r="BR80" s="142"/>
      <c r="BS80" s="154"/>
      <c r="BT80" s="94">
        <f ca="1">TblConstr[[#This Row],[Land]]</f>
        <v>110</v>
      </c>
      <c r="BU80" s="159">
        <f ca="1">TblImps[[#This Row],[Time]]</f>
        <v>46050.166666666482</v>
      </c>
      <c r="BV80" s="142"/>
      <c r="BW80" s="179"/>
      <c r="BX80" s="179"/>
      <c r="BY80" s="179"/>
      <c r="BZ80" s="179"/>
      <c r="CA80" s="179"/>
      <c r="CB80" s="179"/>
      <c r="CC80" s="179"/>
      <c r="CD80" s="179"/>
      <c r="CE80" s="179"/>
      <c r="CF80" s="179"/>
      <c r="CG80" s="179"/>
      <c r="CH80" s="179"/>
      <c r="CI80" s="179"/>
      <c r="CJ80" s="179"/>
      <c r="CK80" s="179"/>
      <c r="CL80" s="179"/>
      <c r="CM80" s="179"/>
      <c r="CN80" s="179"/>
      <c r="CO80" s="179"/>
      <c r="CP80" s="142"/>
      <c r="CQ80" s="181">
        <f ca="1">-SUM(TblConstr[[#This Row],[Alc]:[Mas]])+SUM(TblConstr[[#This Row],[Dest Alc]:[Dest Mas]])+Rezone!L80+IF("Ch_"&amp; home_land=TblConstr[[#Headers],[Ch_Plain]],TblConstr[[#This Row],[Home Land]])+IF(TblConstr[[#This Row],[Hour]:[Hour]]&gt;12,OFFSET(TblExplore[[#This Row],[Plains Explore]],-12,0),0)</f>
        <v>0</v>
      </c>
      <c r="CR80" s="182">
        <f ca="1">-SUM(TblConstr[[#This Row],[Ly]:[Hav]])+SUM(TblConstr[[#This Row],[Dest Ly]:[Dest Hav]]) +Rezone!M80 + IF("Ch_"&amp; home_land=TblConstr[[#Headers],[Ch_Forest]],TblConstr[[#This Row],[Home Land]])+IF(TblConstr[[#This Row],[Hour]:[Hour]]&gt;12,OFFSET(TblExplore[[#This Row],[Forest Explore]],-12,0),0)</f>
        <v>0</v>
      </c>
      <c r="CS80" s="359">
        <f ca="1">-SUM(TblConstr[[#This Row],[OM]:[GN]])+SUM(TblConstr[[#This Row],[Dest OM]:[Dest GN]]) +Rezone!N80 + IF("Ch_"&amp; home_land=TblConstr[[#Headers],[Ch_Mountain]],TblConstr[[#This Row],[Home Land]])+IF(TblConstr[[#This Row],[Hour]:[Hour]]&gt;12,OFFSET(TblExplore[[#This Row],[Mountain Explore]],-12,0),0)</f>
        <v>0</v>
      </c>
      <c r="CT80" s="183">
        <f ca="1">-SUM(TblConstr[[#This Row],[Fac]:[Shr]])+SUM(TblConstr[[#This Row],[Dest Fac]:[Dest Shr]]) +Rezone!O80 + IF("Ch_" &amp; home_land=TblConstr[[#Headers],[Ch_Hill]],TblConstr[[#This Row],[Home Land]])+IF(TblConstr[[#This Row],[Hour]:[Hour]]&gt;12,OFFSET(TblExplore[[#This Row],[Hill Explore]],-12,0),0)</f>
        <v>0</v>
      </c>
      <c r="CU80" s="184">
        <f ca="1">-SUM(TblConstr[[#This Row],[Tow]:[WG]])+SUM(TblConstr[[#This Row],[Dest Tow]:[Dest WG]]) +Rezone!P80 + IF("Ch_" &amp; home_land=TblConstr[[#Headers],[Ch_Swamp]],TblConstr[[#This Row],[Home Land]])+IF(TblConstr[[#This Row],[Hour]:[Hour]]&gt;12,OFFSET(TblExplore[[#This Row],[Swamp Explore]],-12,0),0)</f>
        <v>0</v>
      </c>
      <c r="CV80" s="185">
        <f ca="1" xml:space="preserve"> - SUM(TblConstr[[#This Row],[DM]:[Sch]])+SUM(TblConstr[[#This Row],[Dest DM]:[Dest Sch]]) +Rezone!Q80 + IF("Ch_" &amp; home_land=TblConstr[[#Headers],[Ch_Cavern]],TblConstr[[#This Row],[Home Land]])+IF(TblConstr[[#This Row],[Hour]:[Hour]]&gt;12,OFFSET(TblExplore[[#This Row],[Cavern Explore]],-12,0),0)</f>
        <v>0</v>
      </c>
      <c r="CW80" s="186">
        <f ca="1">-TblConstr[[#This Row],[Doc]]+TblConstr[[#This Row],[Dest Doc]] +Rezone!R80 + IF("Ch_" &amp; home_land=TblConstr[[#Headers],[Ch_Water]],TblConstr[[#This Row],[Home Land]])+IF(TblConstr[[#This Row],[Hour]:[Hour]]&gt;12,OFFSET(TblExplore[[#This Row],[Water Explore]],-12,0),0)</f>
        <v>0</v>
      </c>
      <c r="CX80" s="45">
        <f>IF(Explore!S80=1,20) - TblConstr[[#This Row],[Hom]] + TblConstr[[#This Row],[Dest Hom]]</f>
        <v>0</v>
      </c>
      <c r="CY80" s="142"/>
      <c r="CZ80" s="94">
        <f t="shared" ref="CZ80:CZ111" ca="1" si="23">G80+SUM(P69:S80)+SUM(AZ80:BC80)</f>
        <v>90</v>
      </c>
      <c r="DA80" s="94">
        <f t="shared" ref="DA80:DA111" ca="1" si="24">H80+SUM(T69:U80)+SUM(BD80:BE80)</f>
        <v>20</v>
      </c>
      <c r="DB80" s="45">
        <f t="shared" ref="DB80:DB111" ca="1" si="25">I80+SUM(V69:W80)+SUM(BF80:BG80)</f>
        <v>0</v>
      </c>
      <c r="DC80" s="94">
        <f t="shared" ref="DC80:DC111" ca="1" si="26">J80+SUM(X69:Y80)+SUM(BH80:BI80)</f>
        <v>0</v>
      </c>
      <c r="DD80" s="94">
        <f t="shared" ref="DD80:DD111" ca="1" si="27">K80+SUM(AB69:AD80)+SUM(BL80:BN80)</f>
        <v>0</v>
      </c>
      <c r="DE80" s="45">
        <f t="shared" ref="DE80:DE111" ca="1" si="28">L80+SUM(AE69:AE80)+BO80</f>
        <v>0</v>
      </c>
      <c r="DF80" s="94">
        <f t="shared" ref="DF80:DF111" ca="1" si="29">M80+SUM(AG69:AG80)+BQ80</f>
        <v>0</v>
      </c>
      <c r="DG80" s="94" cm="1">
        <f t="array" aca="1" ref="DG80" ca="1">INDEX(TblConstr[[Total Plain]:[Total Water]],ROW()-ROW(TblConstr[#Headers]),MATCH("Total "&amp;home_land,TblConstr[[#Headers],[Total Plain]:[Total Water]],0))+TblConstr[[#This Row],[Homes]]</f>
        <v>90</v>
      </c>
      <c r="DH80" s="45">
        <f t="shared" ca="1" si="22"/>
        <v>0</v>
      </c>
      <c r="DI80" s="45">
        <f t="shared" ca="1" si="19"/>
        <v>0</v>
      </c>
      <c r="DJ80" s="45">
        <f t="shared" ca="1" si="20"/>
        <v>0</v>
      </c>
    </row>
    <row r="81" spans="1:114" x14ac:dyDescent="0.2">
      <c r="A81" s="175">
        <f>TblRezone[[#This Row],[Hour]]</f>
        <v>78</v>
      </c>
      <c r="B81" s="176">
        <f ca="1">SUM(TblConstr[[#This Row],[Plain]:[Water]])</f>
        <v>60</v>
      </c>
      <c r="C81" s="177">
        <f ca="1">SUM(TblConstr[[#This Row],[Tot Hom]:[Tot Doc]])</f>
        <v>50</v>
      </c>
      <c r="D81" s="177">
        <f t="shared" si="21"/>
        <v>0</v>
      </c>
      <c r="E81" s="178"/>
      <c r="F81" s="61">
        <f ca="1">TblConstr[[#This Row],[Barren]]+TblConstr[[#This Row],[Buildings]]+TblConstr[[#This Row],[Incoming]]</f>
        <v>110</v>
      </c>
      <c r="G81" s="187">
        <f ca="1">OFFSET(TblConstr[[#This Row],[Plain]],-1,0)+TblConstr[[#This Row],[Ch_Plain]]</f>
        <v>60</v>
      </c>
      <c r="H81" s="182">
        <f ca="1">OFFSET(TblConstr[[#This Row],[Forest]],-1,0)+TblConstr[[#This Row],[Ch_Forest]]</f>
        <v>0</v>
      </c>
      <c r="I81" s="359">
        <f ca="1">OFFSET(TblConstr[[#This Row],[Mountain]],-1,0)+TblConstr[[#This Row],[Ch_Mountain]]</f>
        <v>0</v>
      </c>
      <c r="J81" s="363">
        <f ca="1">OFFSET(TblConstr[[#This Row],[Hill]],-1,0)+TblConstr[[#This Row],[Ch_Hill]]</f>
        <v>0</v>
      </c>
      <c r="K81" s="367">
        <f ca="1">OFFSET(TblConstr[[#This Row],[Swamp]],-1,0)+TblConstr[[#This Row],[Ch_Swamp]]</f>
        <v>0</v>
      </c>
      <c r="L81" s="185">
        <f ca="1">OFFSET(TblConstr[[#This Row],[Cavern]],-1,0)+TblConstr[[#This Row],[Ch_Cavern]]</f>
        <v>0</v>
      </c>
      <c r="M81" s="186">
        <f ca="1">OFFSET(TblConstr[[#This Row],[Water]],-1,0)+TblConstr[[#This Row],[Ch_Water]]</f>
        <v>0</v>
      </c>
      <c r="N81" s="357">
        <f>TblRezone[[#This Row],[Hour]]</f>
        <v>78</v>
      </c>
      <c r="O81" s="179"/>
      <c r="P81" s="179"/>
      <c r="Q81" s="179"/>
      <c r="R81" s="179"/>
      <c r="S81" s="179"/>
      <c r="T81" s="179"/>
      <c r="U81" s="179"/>
      <c r="V81" s="179"/>
      <c r="W81" s="179"/>
      <c r="X81" s="179"/>
      <c r="Y81" s="179"/>
      <c r="Z81" s="179"/>
      <c r="AA81" s="179"/>
      <c r="AB81" s="179"/>
      <c r="AC81" s="179"/>
      <c r="AD81" s="179"/>
      <c r="AE81" s="179"/>
      <c r="AF81" s="179"/>
      <c r="AG81" s="179"/>
      <c r="AH81" s="53">
        <f ca="1">TblImps[[#This Row],[Time]]</f>
        <v>46050.208333333147</v>
      </c>
      <c r="AI81" s="180">
        <f ca="1">MIN(25%,(TblConstr[[#This Row],[Tot Fac]]+TblConstr[[#This Row],[Dest Fac]])/(TblConstr[[#This Row],[Land]]-TblExplore[[#This Row],[Land Bonus]]*20))</f>
        <v>0</v>
      </c>
      <c r="AJ81" s="180">
        <f ca="1">MIN(25%,(TblConstr[[#This Row],[Tot Fac]]+TblConstr[[#This Row],[Dest Fac]])/TblConstr[[#This Row],[Land]])</f>
        <v>0</v>
      </c>
      <c r="AK81" s="94">
        <f ca="1">TblProd[[#This Row],[Platinum]]</f>
        <v>175051</v>
      </c>
      <c r="AL81" s="94">
        <f ca="1">TblProd[[#This Row],[Lumber]]</f>
        <v>60794</v>
      </c>
      <c r="AM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1" s="94">
        <f ca="1">ROUNDDOWN( MAX(1 - MIN(facs_constr_factor*TblConstr[[#This Row],[Facs -DB]],facs_constr_max) + tech_1_11*TblTech[[#This Row],[11-1]] + tech_6_3_2*TblTech[[#This Row],[6-3]] + tech_5_2_3*TblTech[[#This Row],[5-2]], 1-global_constr_cap) * TblConstr[[#This Row],[RCPA Lumber]],0)</f>
        <v>48</v>
      </c>
      <c r="AO8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1" s="94">
        <f ca="1">ROUNDDOWN( MAX(1 - MIN(facs_constr_factor*TblConstr[[#This Row],[Facs DB]],facs_constr_max) + tech_1_11*TblTech[[#This Row],[1-11]] + tech_6_3_2*TblTech[[#This Row],[6-3]] + tech_5_2_3*TblTech[[#This Row],[5-2]], 1-global_constr_cap) * ROUND((TblConstr[[#This Row],[Land]]-250)*0.285 + 87.5 + 0/4.25,0),0)</f>
        <v>48</v>
      </c>
      <c r="AQ81" s="45">
        <f ca="1">TblConstr[[#This Row],[build -db]]*TblConstr[[#This Row],[CPA Platinum -DB]] + TblConstr[[#This Row],[build db]]*TblConstr[[#This Row],[CPA Platinum DB]]</f>
        <v>0</v>
      </c>
      <c r="AR81" s="45">
        <f ca="1">TblConstr[[#This Row],[build -db]]*TblConstr[[#This Row],[CPA Lumber -DB]] + TblConstr[[#This Row],[build db]]*TblConstr[[#This Row],[CPA Lumber DB]]</f>
        <v>0</v>
      </c>
      <c r="AS81" s="94">
        <f ca="1">MIN(SUM(OFFSET(TblConstr[[#This Row],[Plain]:[Water]],-1,0))+SUM(TblConstr[[#This Row],[Dest Hom]:[Dest Doc]])+IF(TblConstr[[#This Row],[Hour]]&gt;12,SUM(OFFSET(TblExplore[[#This Row],[Plains Explore]:[Water Explore]],-12,0)),0),SUM(TblConstr[[#This Row],[Hom]:[Doc]]))</f>
        <v>0</v>
      </c>
      <c r="AT8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1" s="142"/>
      <c r="AV81" s="94">
        <f ca="1">ROUND((TblConstr[[#This Row],[Land]]-250 - IF(TblExplore[[#This Row],[Land Bonus]]&lt;&gt;0,20,0))*1.25 + 850 + 0,0)</f>
        <v>675</v>
      </c>
      <c r="AW81" s="94">
        <f ca="1">ROUND((TblConstr[[#This Row],[Land]]-250 - IF(TblExplore[[#This Row],[Land Bonus]]&lt;&gt;0,20,0))*0.285 + 87.5 + 0/4.25,0)</f>
        <v>48</v>
      </c>
      <c r="AX81" s="154"/>
      <c r="AY81" s="188" cm="1">
        <f t="array" aca="1" ref="AY81" ca="1">IF(TblConstr[[#This Row],[Hour]:[Hour]]&gt;12,OFFSET(TblConstr[[#This Row],[Hom]],-12,0),0)+OFFSET(TblConstr[[#This Row],[Tot Hom]],-1,0)-TblConstr[[#This Row],[Dest Hom]]</f>
        <v>0</v>
      </c>
      <c r="AZ81" s="189" cm="1">
        <f t="array" aca="1" ref="AZ81" ca="1">IF(TblConstr[[#This Row],[Hour]:[Hour]]&gt;12,OFFSET(TblConstr[[#This Row],[Alc]],-12,0),0)+OFFSET(TblConstr[[#This Row],[Tot Alc]],-1,0)-TblConstr[[#This Row],[Dest Alc]]</f>
        <v>0</v>
      </c>
      <c r="BA81" s="189" cm="1">
        <f t="array" aca="1" ref="BA81" ca="1">IF(TblConstr[[#This Row],[Hour]:[Hour]]&gt;12,OFFSET(TblConstr[[#This Row],[Far]],-12,0),0)+OFFSET(TblConstr[[#This Row],[Tot Farm]],-1,0)-TblConstr[[#This Row],[Dest Farm]]</f>
        <v>30</v>
      </c>
      <c r="BB81" s="189" cm="1">
        <f t="array" aca="1" ref="BB81" ca="1">IF(TblConstr[[#This Row],[Hour]:[Hour]]&gt;12,OFFSET(TblConstr[[#This Row],[Smi]],-12,0),0)+OFFSET(TblConstr[[#This Row],[Tot Smi]],-1,0)-TblConstr[[#This Row],[Dest Smi]]</f>
        <v>0</v>
      </c>
      <c r="BC81" s="189" cm="1">
        <f t="array" aca="1" ref="BC81" ca="1">IF(TblConstr[[#This Row],[Hour]:[Hour]]&gt;12,OFFSET(TblConstr[[#This Row],[Mas]],-12,0),0)+OFFSET(TblConstr[[#This Row],[Tot Mas]],-1,0)-TblConstr[[#This Row],[Dest Mas]]</f>
        <v>0</v>
      </c>
      <c r="BD81" s="190" cm="1">
        <f t="array" aca="1" ref="BD81" ca="1">IF(TblConstr[[#This Row],[Hour]:[Hour]]&gt;12,OFFSET(TblConstr[[#This Row],[Ly]],-12,0),0)+OFFSET(TblConstr[[#This Row],[Tot Ly]],-1,0)-TblConstr[[#This Row],[Dest Ly]]</f>
        <v>20</v>
      </c>
      <c r="BE81" s="190" cm="1">
        <f t="array" aca="1" ref="BE81" ca="1">IF(TblConstr[[#This Row],[Hour]:[Hour]]&gt;12,OFFSET(TblConstr[[#This Row],[Hav]],-12,0),0)+OFFSET(TblConstr[[#This Row],[Tot Hav]],-1,0)-TblConstr[[#This Row],[Dest Hav]]</f>
        <v>0</v>
      </c>
      <c r="BF81" s="361" cm="1">
        <f t="array" aca="1" ref="BF81" ca="1">IF(TblConstr[[#This Row],[Hour]:[Hour]]&gt;12,OFFSET(TblConstr[[#This Row],[OM]],-12,0),0)+OFFSET(TblConstr[[#This Row],[Tot OM]],-1,0)-TblConstr[[#This Row],[Dest OM]]</f>
        <v>0</v>
      </c>
      <c r="BG81" s="361" cm="1">
        <f t="array" aca="1" ref="BG81" ca="1">IF(TblConstr[[#This Row],[Hour]:[Hour]]&gt;12,OFFSET(TblConstr[[#This Row],[GN]],-12,0),0)+OFFSET(TblConstr[[#This Row],[Tot GN]],-1,0)-TblConstr[[#This Row],[Dest GN]]</f>
        <v>0</v>
      </c>
      <c r="BH81" s="365" cm="1">
        <f t="array" aca="1" ref="BH81" ca="1">IF(TblConstr[[#This Row],[Hour]:[Hour]]&gt;12,OFFSET(TblConstr[[#This Row],[Fac]],-12,0),0)+OFFSET(TblConstr[[#This Row],[Tot Fac]],-1,0)-TblConstr[[#This Row],[Dest Fac]]</f>
        <v>0</v>
      </c>
      <c r="BI81" s="365" cm="1">
        <f t="array" aca="1" ref="BI81" ca="1">IF(TblConstr[[#This Row],[Hour]:[Hour]]&gt;12,OFFSET(TblConstr[[#This Row],[GT]],-12,0),0)+OFFSET(TblConstr[[#This Row],[Tot GT]],-1,0)-TblConstr[[#This Row],[Dest GT]]</f>
        <v>0</v>
      </c>
      <c r="BJ81" s="365" cm="1">
        <f t="array" aca="1" ref="BJ81" ca="1">IF(TblConstr[[#This Row],[Hour]:[Hour]]&gt;12,OFFSET(TblConstr[[#This Row],[Bar]],-12,0),0)+OFFSET(TblConstr[[#This Row],[Tot Bar]],-1,0)-TblConstr[[#This Row],[Dest Bar]]</f>
        <v>0</v>
      </c>
      <c r="BK81" s="365" cm="1">
        <f t="array" aca="1" ref="BK81" ca="1">IF(TblConstr[[#This Row],[Hour]:[Hour]]&gt;12,OFFSET(TblConstr[[#This Row],[Shr]],-12,0),0)+OFFSET(TblConstr[[#This Row],[Tot Shr]],-1,0)-TblConstr[[#This Row],[Dest Shr]]</f>
        <v>0</v>
      </c>
      <c r="BL81" s="369" cm="1">
        <f t="array" aca="1" ref="BL81" ca="1">IF(TblConstr[[#This Row],[Hour]:[Hour]]&gt;12,OFFSET(TblConstr[[#This Row],[Tow]],-12,0),0)+OFFSET(TblConstr[[#This Row],[Tot Tow]],-1,0)-TblConstr[[#This Row],[Dest Tow]]</f>
        <v>0</v>
      </c>
      <c r="BM81" s="369" cm="1">
        <f t="array" aca="1" ref="BM81" ca="1">IF(TblConstr[[#This Row],[Hour]:[Hour]]&gt;12,OFFSET(TblConstr[[#This Row],[Tem]],-12,0),0)+OFFSET(TblConstr[[#This Row],[Tot Tem]],-1,0)-TblConstr[[#This Row],[Dest Tem]]</f>
        <v>0</v>
      </c>
      <c r="BN81" s="369" cm="1">
        <f t="array" aca="1" ref="BN81" ca="1">IF(TblConstr[[#This Row],[Hour]:[Hour]]&gt;12,OFFSET(TblConstr[[#This Row],[WG]],-12,0),0)+OFFSET(TblConstr[[#This Row],[Tot WG]],-1,0)-TblConstr[[#This Row],[Dest WG]]</f>
        <v>0</v>
      </c>
      <c r="BO81" s="191" cm="1">
        <f t="array" aca="1" ref="BO81" ca="1">IF(TblConstr[[#This Row],[Hour]:[Hour]]&gt;12,OFFSET(TblConstr[[#This Row],[DM]],-12,0),0)+OFFSET(TblConstr[[#This Row],[Tot DM]],-1,0)-TblConstr[[#This Row],[Dest DM]]</f>
        <v>0</v>
      </c>
      <c r="BP81" s="191" cm="1">
        <f t="array" aca="1" ref="BP81" ca="1">IF(TblConstr[[#This Row],[Hour]:[Hour]]&gt;12,OFFSET(TblConstr[[#This Row],[Sch]],-12,0),0)+OFFSET(TblConstr[[#This Row],[Tot Sch]],-1,0)-TblConstr[[#This Row],[Dest Sch]]</f>
        <v>0</v>
      </c>
      <c r="BQ81" s="192" cm="1">
        <f t="array" aca="1" ref="BQ81" ca="1">IF(TblConstr[[#This Row],[Hour]:[Hour]]&gt;12,OFFSET(TblConstr[[#This Row],[Doc]],-12,0),0)+OFFSET(TblConstr[[#This Row],[Tot Doc]],-1,0)-TblConstr[[#This Row],[Dest Doc]]</f>
        <v>0</v>
      </c>
      <c r="BR81" s="142"/>
      <c r="BS81" s="154"/>
      <c r="BT81" s="94">
        <f ca="1">TblConstr[[#This Row],[Land]]</f>
        <v>110</v>
      </c>
      <c r="BU81" s="159">
        <f ca="1">TblImps[[#This Row],[Time]]</f>
        <v>46050.208333333147</v>
      </c>
      <c r="BV81" s="142"/>
      <c r="BW81" s="179"/>
      <c r="BX81" s="179"/>
      <c r="BY81" s="179"/>
      <c r="BZ81" s="179"/>
      <c r="CA81" s="179"/>
      <c r="CB81" s="179"/>
      <c r="CC81" s="179"/>
      <c r="CD81" s="179"/>
      <c r="CE81" s="179"/>
      <c r="CF81" s="179"/>
      <c r="CG81" s="179"/>
      <c r="CH81" s="179"/>
      <c r="CI81" s="179"/>
      <c r="CJ81" s="179"/>
      <c r="CK81" s="179"/>
      <c r="CL81" s="179"/>
      <c r="CM81" s="179"/>
      <c r="CN81" s="179"/>
      <c r="CO81" s="179"/>
      <c r="CP81" s="142"/>
      <c r="CQ81" s="181">
        <f ca="1">-SUM(TblConstr[[#This Row],[Alc]:[Mas]])+SUM(TblConstr[[#This Row],[Dest Alc]:[Dest Mas]])+Rezone!L81+IF("Ch_"&amp; home_land=TblConstr[[#Headers],[Ch_Plain]],TblConstr[[#This Row],[Home Land]])+IF(TblConstr[[#This Row],[Hour]:[Hour]]&gt;12,OFFSET(TblExplore[[#This Row],[Plains Explore]],-12,0),0)</f>
        <v>0</v>
      </c>
      <c r="CR81" s="182">
        <f ca="1">-SUM(TblConstr[[#This Row],[Ly]:[Hav]])+SUM(TblConstr[[#This Row],[Dest Ly]:[Dest Hav]]) +Rezone!M81 + IF("Ch_"&amp; home_land=TblConstr[[#Headers],[Ch_Forest]],TblConstr[[#This Row],[Home Land]])+IF(TblConstr[[#This Row],[Hour]:[Hour]]&gt;12,OFFSET(TblExplore[[#This Row],[Forest Explore]],-12,0),0)</f>
        <v>0</v>
      </c>
      <c r="CS81" s="359">
        <f ca="1">-SUM(TblConstr[[#This Row],[OM]:[GN]])+SUM(TblConstr[[#This Row],[Dest OM]:[Dest GN]]) +Rezone!N81 + IF("Ch_"&amp; home_land=TblConstr[[#Headers],[Ch_Mountain]],TblConstr[[#This Row],[Home Land]])+IF(TblConstr[[#This Row],[Hour]:[Hour]]&gt;12,OFFSET(TblExplore[[#This Row],[Mountain Explore]],-12,0),0)</f>
        <v>0</v>
      </c>
      <c r="CT81" s="183">
        <f ca="1">-SUM(TblConstr[[#This Row],[Fac]:[Shr]])+SUM(TblConstr[[#This Row],[Dest Fac]:[Dest Shr]]) +Rezone!O81 + IF("Ch_" &amp; home_land=TblConstr[[#Headers],[Ch_Hill]],TblConstr[[#This Row],[Home Land]])+IF(TblConstr[[#This Row],[Hour]:[Hour]]&gt;12,OFFSET(TblExplore[[#This Row],[Hill Explore]],-12,0),0)</f>
        <v>0</v>
      </c>
      <c r="CU81" s="184">
        <f ca="1">-SUM(TblConstr[[#This Row],[Tow]:[WG]])+SUM(TblConstr[[#This Row],[Dest Tow]:[Dest WG]]) +Rezone!P81 + IF("Ch_" &amp; home_land=TblConstr[[#Headers],[Ch_Swamp]],TblConstr[[#This Row],[Home Land]])+IF(TblConstr[[#This Row],[Hour]:[Hour]]&gt;12,OFFSET(TblExplore[[#This Row],[Swamp Explore]],-12,0),0)</f>
        <v>0</v>
      </c>
      <c r="CV81" s="185">
        <f ca="1" xml:space="preserve"> - SUM(TblConstr[[#This Row],[DM]:[Sch]])+SUM(TblConstr[[#This Row],[Dest DM]:[Dest Sch]]) +Rezone!Q81 + IF("Ch_" &amp; home_land=TblConstr[[#Headers],[Ch_Cavern]],TblConstr[[#This Row],[Home Land]])+IF(TblConstr[[#This Row],[Hour]:[Hour]]&gt;12,OFFSET(TblExplore[[#This Row],[Cavern Explore]],-12,0),0)</f>
        <v>0</v>
      </c>
      <c r="CW81" s="186">
        <f ca="1">-TblConstr[[#This Row],[Doc]]+TblConstr[[#This Row],[Dest Doc]] +Rezone!R81 + IF("Ch_" &amp; home_land=TblConstr[[#Headers],[Ch_Water]],TblConstr[[#This Row],[Home Land]])+IF(TblConstr[[#This Row],[Hour]:[Hour]]&gt;12,OFFSET(TblExplore[[#This Row],[Water Explore]],-12,0),0)</f>
        <v>0</v>
      </c>
      <c r="CX81" s="45">
        <f>IF(Explore!S81=1,20) - TblConstr[[#This Row],[Hom]] + TblConstr[[#This Row],[Dest Hom]]</f>
        <v>0</v>
      </c>
      <c r="CY81" s="142"/>
      <c r="CZ81" s="94">
        <f t="shared" ca="1" si="23"/>
        <v>90</v>
      </c>
      <c r="DA81" s="94">
        <f t="shared" ca="1" si="24"/>
        <v>20</v>
      </c>
      <c r="DB81" s="45">
        <f t="shared" ca="1" si="25"/>
        <v>0</v>
      </c>
      <c r="DC81" s="94">
        <f t="shared" ca="1" si="26"/>
        <v>0</v>
      </c>
      <c r="DD81" s="94">
        <f t="shared" ca="1" si="27"/>
        <v>0</v>
      </c>
      <c r="DE81" s="45">
        <f t="shared" ca="1" si="28"/>
        <v>0</v>
      </c>
      <c r="DF81" s="94">
        <f t="shared" ca="1" si="29"/>
        <v>0</v>
      </c>
      <c r="DG81" s="94" cm="1">
        <f t="array" aca="1" ref="DG81" ca="1">INDEX(TblConstr[[Total Plain]:[Total Water]],ROW()-ROW(TblConstr[#Headers]),MATCH("Total "&amp;home_land,TblConstr[[#Headers],[Total Plain]:[Total Water]],0))+TblConstr[[#This Row],[Homes]]</f>
        <v>90</v>
      </c>
      <c r="DH81" s="45">
        <f t="shared" ca="1" si="22"/>
        <v>0</v>
      </c>
      <c r="DI81" s="45">
        <f t="shared" ca="1" si="19"/>
        <v>0</v>
      </c>
      <c r="DJ81" s="45">
        <f t="shared" ca="1" si="20"/>
        <v>0</v>
      </c>
    </row>
    <row r="82" spans="1:114" x14ac:dyDescent="0.2">
      <c r="A82" s="175">
        <f>TblRezone[[#This Row],[Hour]]</f>
        <v>79</v>
      </c>
      <c r="B82" s="176">
        <f ca="1">SUM(TblConstr[[#This Row],[Plain]:[Water]])</f>
        <v>60</v>
      </c>
      <c r="C82" s="177">
        <f ca="1">SUM(TblConstr[[#This Row],[Tot Hom]:[Tot Doc]])</f>
        <v>50</v>
      </c>
      <c r="D82" s="177">
        <f t="shared" si="21"/>
        <v>0</v>
      </c>
      <c r="E82" s="178"/>
      <c r="F82" s="61">
        <f ca="1">TblConstr[[#This Row],[Barren]]+TblConstr[[#This Row],[Buildings]]+TblConstr[[#This Row],[Incoming]]</f>
        <v>110</v>
      </c>
      <c r="G82" s="187">
        <f ca="1">OFFSET(TblConstr[[#This Row],[Plain]],-1,0)+TblConstr[[#This Row],[Ch_Plain]]</f>
        <v>60</v>
      </c>
      <c r="H82" s="182">
        <f ca="1">OFFSET(TblConstr[[#This Row],[Forest]],-1,0)+TblConstr[[#This Row],[Ch_Forest]]</f>
        <v>0</v>
      </c>
      <c r="I82" s="359">
        <f ca="1">OFFSET(TblConstr[[#This Row],[Mountain]],-1,0)+TblConstr[[#This Row],[Ch_Mountain]]</f>
        <v>0</v>
      </c>
      <c r="J82" s="363">
        <f ca="1">OFFSET(TblConstr[[#This Row],[Hill]],-1,0)+TblConstr[[#This Row],[Ch_Hill]]</f>
        <v>0</v>
      </c>
      <c r="K82" s="367">
        <f ca="1">OFFSET(TblConstr[[#This Row],[Swamp]],-1,0)+TblConstr[[#This Row],[Ch_Swamp]]</f>
        <v>0</v>
      </c>
      <c r="L82" s="185">
        <f ca="1">OFFSET(TblConstr[[#This Row],[Cavern]],-1,0)+TblConstr[[#This Row],[Ch_Cavern]]</f>
        <v>0</v>
      </c>
      <c r="M82" s="186">
        <f ca="1">OFFSET(TblConstr[[#This Row],[Water]],-1,0)+TblConstr[[#This Row],[Ch_Water]]</f>
        <v>0</v>
      </c>
      <c r="N82" s="357">
        <f>TblRezone[[#This Row],[Hour]]</f>
        <v>79</v>
      </c>
      <c r="O82" s="179"/>
      <c r="P82" s="179"/>
      <c r="Q82" s="179"/>
      <c r="R82" s="179"/>
      <c r="S82" s="179"/>
      <c r="T82" s="179"/>
      <c r="U82" s="179"/>
      <c r="V82" s="179"/>
      <c r="W82" s="179"/>
      <c r="X82" s="179"/>
      <c r="Y82" s="179"/>
      <c r="Z82" s="179"/>
      <c r="AA82" s="179"/>
      <c r="AB82" s="179"/>
      <c r="AC82" s="179"/>
      <c r="AD82" s="179"/>
      <c r="AE82" s="179"/>
      <c r="AF82" s="179"/>
      <c r="AG82" s="179"/>
      <c r="AH82" s="53">
        <f ca="1">TblImps[[#This Row],[Time]]</f>
        <v>46050.249999999811</v>
      </c>
      <c r="AI82" s="180">
        <f ca="1">MIN(25%,(TblConstr[[#This Row],[Tot Fac]]+TblConstr[[#This Row],[Dest Fac]])/(TblConstr[[#This Row],[Land]]-TblExplore[[#This Row],[Land Bonus]]*20))</f>
        <v>0</v>
      </c>
      <c r="AJ82" s="180">
        <f ca="1">MIN(25%,(TblConstr[[#This Row],[Tot Fac]]+TblConstr[[#This Row],[Dest Fac]])/TblConstr[[#This Row],[Land]])</f>
        <v>0</v>
      </c>
      <c r="AK82" s="94">
        <f ca="1">TblProd[[#This Row],[Platinum]]</f>
        <v>176298</v>
      </c>
      <c r="AL82" s="94">
        <f ca="1">TblProd[[#This Row],[Lumber]]</f>
        <v>61186</v>
      </c>
      <c r="AM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2" s="94">
        <f ca="1">ROUNDDOWN( MAX(1 - MIN(facs_constr_factor*TblConstr[[#This Row],[Facs -DB]],facs_constr_max) + tech_1_11*TblTech[[#This Row],[11-1]] + tech_6_3_2*TblTech[[#This Row],[6-3]] + tech_5_2_3*TblTech[[#This Row],[5-2]], 1-global_constr_cap) * TblConstr[[#This Row],[RCPA Lumber]],0)</f>
        <v>48</v>
      </c>
      <c r="AO8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2" s="94">
        <f ca="1">ROUNDDOWN( MAX(1 - MIN(facs_constr_factor*TblConstr[[#This Row],[Facs DB]],facs_constr_max) + tech_1_11*TblTech[[#This Row],[1-11]] + tech_6_3_2*TblTech[[#This Row],[6-3]] + tech_5_2_3*TblTech[[#This Row],[5-2]], 1-global_constr_cap) * ROUND((TblConstr[[#This Row],[Land]]-250)*0.285 + 87.5 + 0/4.25,0),0)</f>
        <v>48</v>
      </c>
      <c r="AQ82" s="45">
        <f ca="1">TblConstr[[#This Row],[build -db]]*TblConstr[[#This Row],[CPA Platinum -DB]] + TblConstr[[#This Row],[build db]]*TblConstr[[#This Row],[CPA Platinum DB]]</f>
        <v>0</v>
      </c>
      <c r="AR82" s="45">
        <f ca="1">TblConstr[[#This Row],[build -db]]*TblConstr[[#This Row],[CPA Lumber -DB]] + TblConstr[[#This Row],[build db]]*TblConstr[[#This Row],[CPA Lumber DB]]</f>
        <v>0</v>
      </c>
      <c r="AS82" s="94">
        <f ca="1">MIN(SUM(OFFSET(TblConstr[[#This Row],[Plain]:[Water]],-1,0))+SUM(TblConstr[[#This Row],[Dest Hom]:[Dest Doc]])+IF(TblConstr[[#This Row],[Hour]]&gt;12,SUM(OFFSET(TblExplore[[#This Row],[Plains Explore]:[Water Explore]],-12,0)),0),SUM(TblConstr[[#This Row],[Hom]:[Doc]]))</f>
        <v>0</v>
      </c>
      <c r="AT8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2" s="142"/>
      <c r="AV82" s="94">
        <f ca="1">ROUND((TblConstr[[#This Row],[Land]]-250 - IF(TblExplore[[#This Row],[Land Bonus]]&lt;&gt;0,20,0))*1.25 + 850 + 0,0)</f>
        <v>675</v>
      </c>
      <c r="AW82" s="94">
        <f ca="1">ROUND((TblConstr[[#This Row],[Land]]-250 - IF(TblExplore[[#This Row],[Land Bonus]]&lt;&gt;0,20,0))*0.285 + 87.5 + 0/4.25,0)</f>
        <v>48</v>
      </c>
      <c r="AX82" s="154"/>
      <c r="AY82" s="188" cm="1">
        <f t="array" aca="1" ref="AY82" ca="1">IF(TblConstr[[#This Row],[Hour]:[Hour]]&gt;12,OFFSET(TblConstr[[#This Row],[Hom]],-12,0),0)+OFFSET(TblConstr[[#This Row],[Tot Hom]],-1,0)-TblConstr[[#This Row],[Dest Hom]]</f>
        <v>0</v>
      </c>
      <c r="AZ82" s="189" cm="1">
        <f t="array" aca="1" ref="AZ82" ca="1">IF(TblConstr[[#This Row],[Hour]:[Hour]]&gt;12,OFFSET(TblConstr[[#This Row],[Alc]],-12,0),0)+OFFSET(TblConstr[[#This Row],[Tot Alc]],-1,0)-TblConstr[[#This Row],[Dest Alc]]</f>
        <v>0</v>
      </c>
      <c r="BA82" s="189" cm="1">
        <f t="array" aca="1" ref="BA82" ca="1">IF(TblConstr[[#This Row],[Hour]:[Hour]]&gt;12,OFFSET(TblConstr[[#This Row],[Far]],-12,0),0)+OFFSET(TblConstr[[#This Row],[Tot Farm]],-1,0)-TblConstr[[#This Row],[Dest Farm]]</f>
        <v>30</v>
      </c>
      <c r="BB82" s="189" cm="1">
        <f t="array" aca="1" ref="BB82" ca="1">IF(TblConstr[[#This Row],[Hour]:[Hour]]&gt;12,OFFSET(TblConstr[[#This Row],[Smi]],-12,0),0)+OFFSET(TblConstr[[#This Row],[Tot Smi]],-1,0)-TblConstr[[#This Row],[Dest Smi]]</f>
        <v>0</v>
      </c>
      <c r="BC82" s="189" cm="1">
        <f t="array" aca="1" ref="BC82" ca="1">IF(TblConstr[[#This Row],[Hour]:[Hour]]&gt;12,OFFSET(TblConstr[[#This Row],[Mas]],-12,0),0)+OFFSET(TblConstr[[#This Row],[Tot Mas]],-1,0)-TblConstr[[#This Row],[Dest Mas]]</f>
        <v>0</v>
      </c>
      <c r="BD82" s="190" cm="1">
        <f t="array" aca="1" ref="BD82" ca="1">IF(TblConstr[[#This Row],[Hour]:[Hour]]&gt;12,OFFSET(TblConstr[[#This Row],[Ly]],-12,0),0)+OFFSET(TblConstr[[#This Row],[Tot Ly]],-1,0)-TblConstr[[#This Row],[Dest Ly]]</f>
        <v>20</v>
      </c>
      <c r="BE82" s="190" cm="1">
        <f t="array" aca="1" ref="BE82" ca="1">IF(TblConstr[[#This Row],[Hour]:[Hour]]&gt;12,OFFSET(TblConstr[[#This Row],[Hav]],-12,0),0)+OFFSET(TblConstr[[#This Row],[Tot Hav]],-1,0)-TblConstr[[#This Row],[Dest Hav]]</f>
        <v>0</v>
      </c>
      <c r="BF82" s="361" cm="1">
        <f t="array" aca="1" ref="BF82" ca="1">IF(TblConstr[[#This Row],[Hour]:[Hour]]&gt;12,OFFSET(TblConstr[[#This Row],[OM]],-12,0),0)+OFFSET(TblConstr[[#This Row],[Tot OM]],-1,0)-TblConstr[[#This Row],[Dest OM]]</f>
        <v>0</v>
      </c>
      <c r="BG82" s="361" cm="1">
        <f t="array" aca="1" ref="BG82" ca="1">IF(TblConstr[[#This Row],[Hour]:[Hour]]&gt;12,OFFSET(TblConstr[[#This Row],[GN]],-12,0),0)+OFFSET(TblConstr[[#This Row],[Tot GN]],-1,0)-TblConstr[[#This Row],[Dest GN]]</f>
        <v>0</v>
      </c>
      <c r="BH82" s="365" cm="1">
        <f t="array" aca="1" ref="BH82" ca="1">IF(TblConstr[[#This Row],[Hour]:[Hour]]&gt;12,OFFSET(TblConstr[[#This Row],[Fac]],-12,0),0)+OFFSET(TblConstr[[#This Row],[Tot Fac]],-1,0)-TblConstr[[#This Row],[Dest Fac]]</f>
        <v>0</v>
      </c>
      <c r="BI82" s="365" cm="1">
        <f t="array" aca="1" ref="BI82" ca="1">IF(TblConstr[[#This Row],[Hour]:[Hour]]&gt;12,OFFSET(TblConstr[[#This Row],[GT]],-12,0),0)+OFFSET(TblConstr[[#This Row],[Tot GT]],-1,0)-TblConstr[[#This Row],[Dest GT]]</f>
        <v>0</v>
      </c>
      <c r="BJ82" s="365" cm="1">
        <f t="array" aca="1" ref="BJ82" ca="1">IF(TblConstr[[#This Row],[Hour]:[Hour]]&gt;12,OFFSET(TblConstr[[#This Row],[Bar]],-12,0),0)+OFFSET(TblConstr[[#This Row],[Tot Bar]],-1,0)-TblConstr[[#This Row],[Dest Bar]]</f>
        <v>0</v>
      </c>
      <c r="BK82" s="365" cm="1">
        <f t="array" aca="1" ref="BK82" ca="1">IF(TblConstr[[#This Row],[Hour]:[Hour]]&gt;12,OFFSET(TblConstr[[#This Row],[Shr]],-12,0),0)+OFFSET(TblConstr[[#This Row],[Tot Shr]],-1,0)-TblConstr[[#This Row],[Dest Shr]]</f>
        <v>0</v>
      </c>
      <c r="BL82" s="369" cm="1">
        <f t="array" aca="1" ref="BL82" ca="1">IF(TblConstr[[#This Row],[Hour]:[Hour]]&gt;12,OFFSET(TblConstr[[#This Row],[Tow]],-12,0),0)+OFFSET(TblConstr[[#This Row],[Tot Tow]],-1,0)-TblConstr[[#This Row],[Dest Tow]]</f>
        <v>0</v>
      </c>
      <c r="BM82" s="369" cm="1">
        <f t="array" aca="1" ref="BM82" ca="1">IF(TblConstr[[#This Row],[Hour]:[Hour]]&gt;12,OFFSET(TblConstr[[#This Row],[Tem]],-12,0),0)+OFFSET(TblConstr[[#This Row],[Tot Tem]],-1,0)-TblConstr[[#This Row],[Dest Tem]]</f>
        <v>0</v>
      </c>
      <c r="BN82" s="369" cm="1">
        <f t="array" aca="1" ref="BN82" ca="1">IF(TblConstr[[#This Row],[Hour]:[Hour]]&gt;12,OFFSET(TblConstr[[#This Row],[WG]],-12,0),0)+OFFSET(TblConstr[[#This Row],[Tot WG]],-1,0)-TblConstr[[#This Row],[Dest WG]]</f>
        <v>0</v>
      </c>
      <c r="BO82" s="191" cm="1">
        <f t="array" aca="1" ref="BO82" ca="1">IF(TblConstr[[#This Row],[Hour]:[Hour]]&gt;12,OFFSET(TblConstr[[#This Row],[DM]],-12,0),0)+OFFSET(TblConstr[[#This Row],[Tot DM]],-1,0)-TblConstr[[#This Row],[Dest DM]]</f>
        <v>0</v>
      </c>
      <c r="BP82" s="191" cm="1">
        <f t="array" aca="1" ref="BP82" ca="1">IF(TblConstr[[#This Row],[Hour]:[Hour]]&gt;12,OFFSET(TblConstr[[#This Row],[Sch]],-12,0),0)+OFFSET(TblConstr[[#This Row],[Tot Sch]],-1,0)-TblConstr[[#This Row],[Dest Sch]]</f>
        <v>0</v>
      </c>
      <c r="BQ82" s="192" cm="1">
        <f t="array" aca="1" ref="BQ82" ca="1">IF(TblConstr[[#This Row],[Hour]:[Hour]]&gt;12,OFFSET(TblConstr[[#This Row],[Doc]],-12,0),0)+OFFSET(TblConstr[[#This Row],[Tot Doc]],-1,0)-TblConstr[[#This Row],[Dest Doc]]</f>
        <v>0</v>
      </c>
      <c r="BR82" s="142"/>
      <c r="BS82" s="154"/>
      <c r="BT82" s="94">
        <f ca="1">TblConstr[[#This Row],[Land]]</f>
        <v>110</v>
      </c>
      <c r="BU82" s="159">
        <f ca="1">TblImps[[#This Row],[Time]]</f>
        <v>46050.249999999811</v>
      </c>
      <c r="BV82" s="142"/>
      <c r="BW82" s="179"/>
      <c r="BX82" s="179"/>
      <c r="BY82" s="179"/>
      <c r="BZ82" s="179"/>
      <c r="CA82" s="179"/>
      <c r="CB82" s="179"/>
      <c r="CC82" s="179"/>
      <c r="CD82" s="179"/>
      <c r="CE82" s="179"/>
      <c r="CF82" s="179"/>
      <c r="CG82" s="179"/>
      <c r="CH82" s="179"/>
      <c r="CI82" s="179"/>
      <c r="CJ82" s="179"/>
      <c r="CK82" s="179"/>
      <c r="CL82" s="179"/>
      <c r="CM82" s="179"/>
      <c r="CN82" s="179"/>
      <c r="CO82" s="179"/>
      <c r="CP82" s="142"/>
      <c r="CQ82" s="181">
        <f ca="1">-SUM(TblConstr[[#This Row],[Alc]:[Mas]])+SUM(TblConstr[[#This Row],[Dest Alc]:[Dest Mas]])+Rezone!L82+IF("Ch_"&amp; home_land=TblConstr[[#Headers],[Ch_Plain]],TblConstr[[#This Row],[Home Land]])+IF(TblConstr[[#This Row],[Hour]:[Hour]]&gt;12,OFFSET(TblExplore[[#This Row],[Plains Explore]],-12,0),0)</f>
        <v>0</v>
      </c>
      <c r="CR82" s="182">
        <f ca="1">-SUM(TblConstr[[#This Row],[Ly]:[Hav]])+SUM(TblConstr[[#This Row],[Dest Ly]:[Dest Hav]]) +Rezone!M82 + IF("Ch_"&amp; home_land=TblConstr[[#Headers],[Ch_Forest]],TblConstr[[#This Row],[Home Land]])+IF(TblConstr[[#This Row],[Hour]:[Hour]]&gt;12,OFFSET(TblExplore[[#This Row],[Forest Explore]],-12,0),0)</f>
        <v>0</v>
      </c>
      <c r="CS82" s="359">
        <f ca="1">-SUM(TblConstr[[#This Row],[OM]:[GN]])+SUM(TblConstr[[#This Row],[Dest OM]:[Dest GN]]) +Rezone!N82 + IF("Ch_"&amp; home_land=TblConstr[[#Headers],[Ch_Mountain]],TblConstr[[#This Row],[Home Land]])+IF(TblConstr[[#This Row],[Hour]:[Hour]]&gt;12,OFFSET(TblExplore[[#This Row],[Mountain Explore]],-12,0),0)</f>
        <v>0</v>
      </c>
      <c r="CT82" s="183">
        <f ca="1">-SUM(TblConstr[[#This Row],[Fac]:[Shr]])+SUM(TblConstr[[#This Row],[Dest Fac]:[Dest Shr]]) +Rezone!O82 + IF("Ch_" &amp; home_land=TblConstr[[#Headers],[Ch_Hill]],TblConstr[[#This Row],[Home Land]])+IF(TblConstr[[#This Row],[Hour]:[Hour]]&gt;12,OFFSET(TblExplore[[#This Row],[Hill Explore]],-12,0),0)</f>
        <v>0</v>
      </c>
      <c r="CU82" s="184">
        <f ca="1">-SUM(TblConstr[[#This Row],[Tow]:[WG]])+SUM(TblConstr[[#This Row],[Dest Tow]:[Dest WG]]) +Rezone!P82 + IF("Ch_" &amp; home_land=TblConstr[[#Headers],[Ch_Swamp]],TblConstr[[#This Row],[Home Land]])+IF(TblConstr[[#This Row],[Hour]:[Hour]]&gt;12,OFFSET(TblExplore[[#This Row],[Swamp Explore]],-12,0),0)</f>
        <v>0</v>
      </c>
      <c r="CV82" s="185">
        <f ca="1" xml:space="preserve"> - SUM(TblConstr[[#This Row],[DM]:[Sch]])+SUM(TblConstr[[#This Row],[Dest DM]:[Dest Sch]]) +Rezone!Q82 + IF("Ch_" &amp; home_land=TblConstr[[#Headers],[Ch_Cavern]],TblConstr[[#This Row],[Home Land]])+IF(TblConstr[[#This Row],[Hour]:[Hour]]&gt;12,OFFSET(TblExplore[[#This Row],[Cavern Explore]],-12,0),0)</f>
        <v>0</v>
      </c>
      <c r="CW82" s="186">
        <f ca="1">-TblConstr[[#This Row],[Doc]]+TblConstr[[#This Row],[Dest Doc]] +Rezone!R82 + IF("Ch_" &amp; home_land=TblConstr[[#Headers],[Ch_Water]],TblConstr[[#This Row],[Home Land]])+IF(TblConstr[[#This Row],[Hour]:[Hour]]&gt;12,OFFSET(TblExplore[[#This Row],[Water Explore]],-12,0),0)</f>
        <v>0</v>
      </c>
      <c r="CX82" s="45">
        <f>IF(Explore!S82=1,20) - TblConstr[[#This Row],[Hom]] + TblConstr[[#This Row],[Dest Hom]]</f>
        <v>0</v>
      </c>
      <c r="CY82" s="142"/>
      <c r="CZ82" s="94">
        <f t="shared" ca="1" si="23"/>
        <v>90</v>
      </c>
      <c r="DA82" s="94">
        <f t="shared" ca="1" si="24"/>
        <v>20</v>
      </c>
      <c r="DB82" s="45">
        <f t="shared" ca="1" si="25"/>
        <v>0</v>
      </c>
      <c r="DC82" s="94">
        <f t="shared" ca="1" si="26"/>
        <v>0</v>
      </c>
      <c r="DD82" s="94">
        <f t="shared" ca="1" si="27"/>
        <v>0</v>
      </c>
      <c r="DE82" s="45">
        <f t="shared" ca="1" si="28"/>
        <v>0</v>
      </c>
      <c r="DF82" s="94">
        <f t="shared" ca="1" si="29"/>
        <v>0</v>
      </c>
      <c r="DG82" s="94" cm="1">
        <f t="array" aca="1" ref="DG82" ca="1">INDEX(TblConstr[[Total Plain]:[Total Water]],ROW()-ROW(TblConstr[#Headers]),MATCH("Total "&amp;home_land,TblConstr[[#Headers],[Total Plain]:[Total Water]],0))+TblConstr[[#This Row],[Homes]]</f>
        <v>90</v>
      </c>
      <c r="DH82" s="45">
        <f t="shared" ca="1" si="22"/>
        <v>0</v>
      </c>
      <c r="DI82" s="45">
        <f t="shared" ca="1" si="19"/>
        <v>0</v>
      </c>
      <c r="DJ82" s="45">
        <f t="shared" ca="1" si="20"/>
        <v>0</v>
      </c>
    </row>
    <row r="83" spans="1:114" x14ac:dyDescent="0.2">
      <c r="A83" s="175">
        <f>TblRezone[[#This Row],[Hour]]</f>
        <v>80</v>
      </c>
      <c r="B83" s="176">
        <f ca="1">SUM(TblConstr[[#This Row],[Plain]:[Water]])</f>
        <v>60</v>
      </c>
      <c r="C83" s="177">
        <f ca="1">SUM(TblConstr[[#This Row],[Tot Hom]:[Tot Doc]])</f>
        <v>50</v>
      </c>
      <c r="D83" s="177">
        <f t="shared" si="21"/>
        <v>0</v>
      </c>
      <c r="E83" s="178"/>
      <c r="F83" s="61">
        <f ca="1">TblConstr[[#This Row],[Barren]]+TblConstr[[#This Row],[Buildings]]+TblConstr[[#This Row],[Incoming]]</f>
        <v>110</v>
      </c>
      <c r="G83" s="187">
        <f ca="1">OFFSET(TblConstr[[#This Row],[Plain]],-1,0)+TblConstr[[#This Row],[Ch_Plain]]</f>
        <v>60</v>
      </c>
      <c r="H83" s="182">
        <f ca="1">OFFSET(TblConstr[[#This Row],[Forest]],-1,0)+TblConstr[[#This Row],[Ch_Forest]]</f>
        <v>0</v>
      </c>
      <c r="I83" s="359">
        <f ca="1">OFFSET(TblConstr[[#This Row],[Mountain]],-1,0)+TblConstr[[#This Row],[Ch_Mountain]]</f>
        <v>0</v>
      </c>
      <c r="J83" s="363">
        <f ca="1">OFFSET(TblConstr[[#This Row],[Hill]],-1,0)+TblConstr[[#This Row],[Ch_Hill]]</f>
        <v>0</v>
      </c>
      <c r="K83" s="367">
        <f ca="1">OFFSET(TblConstr[[#This Row],[Swamp]],-1,0)+TblConstr[[#This Row],[Ch_Swamp]]</f>
        <v>0</v>
      </c>
      <c r="L83" s="185">
        <f ca="1">OFFSET(TblConstr[[#This Row],[Cavern]],-1,0)+TblConstr[[#This Row],[Ch_Cavern]]</f>
        <v>0</v>
      </c>
      <c r="M83" s="186">
        <f ca="1">OFFSET(TblConstr[[#This Row],[Water]],-1,0)+TblConstr[[#This Row],[Ch_Water]]</f>
        <v>0</v>
      </c>
      <c r="N83" s="357">
        <f>TblRezone[[#This Row],[Hour]]</f>
        <v>80</v>
      </c>
      <c r="O83" s="179"/>
      <c r="P83" s="179"/>
      <c r="Q83" s="179"/>
      <c r="R83" s="179"/>
      <c r="S83" s="179"/>
      <c r="T83" s="179"/>
      <c r="U83" s="179"/>
      <c r="V83" s="179"/>
      <c r="W83" s="179"/>
      <c r="X83" s="179"/>
      <c r="Y83" s="179"/>
      <c r="Z83" s="179"/>
      <c r="AA83" s="179"/>
      <c r="AB83" s="179"/>
      <c r="AC83" s="179"/>
      <c r="AD83" s="179"/>
      <c r="AE83" s="179"/>
      <c r="AF83" s="179"/>
      <c r="AG83" s="179"/>
      <c r="AH83" s="53">
        <f ca="1">TblImps[[#This Row],[Time]]</f>
        <v>46050.291666666475</v>
      </c>
      <c r="AI83" s="180">
        <f ca="1">MIN(25%,(TblConstr[[#This Row],[Tot Fac]]+TblConstr[[#This Row],[Dest Fac]])/(TblConstr[[#This Row],[Land]]-TblExplore[[#This Row],[Land Bonus]]*20))</f>
        <v>0</v>
      </c>
      <c r="AJ83" s="180">
        <f ca="1">MIN(25%,(TblConstr[[#This Row],[Tot Fac]]+TblConstr[[#This Row],[Dest Fac]])/TblConstr[[#This Row],[Land]])</f>
        <v>0</v>
      </c>
      <c r="AK83" s="94">
        <f ca="1">TblProd[[#This Row],[Platinum]]</f>
        <v>177531</v>
      </c>
      <c r="AL83" s="94">
        <f ca="1">TblProd[[#This Row],[Lumber]]</f>
        <v>61574</v>
      </c>
      <c r="AM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3" s="94">
        <f ca="1">ROUNDDOWN( MAX(1 - MIN(facs_constr_factor*TblConstr[[#This Row],[Facs -DB]],facs_constr_max) + tech_1_11*TblTech[[#This Row],[11-1]] + tech_6_3_2*TblTech[[#This Row],[6-3]] + tech_5_2_3*TblTech[[#This Row],[5-2]], 1-global_constr_cap) * TblConstr[[#This Row],[RCPA Lumber]],0)</f>
        <v>48</v>
      </c>
      <c r="AO8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3" s="94">
        <f ca="1">ROUNDDOWN( MAX(1 - MIN(facs_constr_factor*TblConstr[[#This Row],[Facs DB]],facs_constr_max) + tech_1_11*TblTech[[#This Row],[1-11]] + tech_6_3_2*TblTech[[#This Row],[6-3]] + tech_5_2_3*TblTech[[#This Row],[5-2]], 1-global_constr_cap) * ROUND((TblConstr[[#This Row],[Land]]-250)*0.285 + 87.5 + 0/4.25,0),0)</f>
        <v>48</v>
      </c>
      <c r="AQ83" s="45">
        <f ca="1">TblConstr[[#This Row],[build -db]]*TblConstr[[#This Row],[CPA Platinum -DB]] + TblConstr[[#This Row],[build db]]*TblConstr[[#This Row],[CPA Platinum DB]]</f>
        <v>0</v>
      </c>
      <c r="AR83" s="45">
        <f ca="1">TblConstr[[#This Row],[build -db]]*TblConstr[[#This Row],[CPA Lumber -DB]] + TblConstr[[#This Row],[build db]]*TblConstr[[#This Row],[CPA Lumber DB]]</f>
        <v>0</v>
      </c>
      <c r="AS83" s="94">
        <f ca="1">MIN(SUM(OFFSET(TblConstr[[#This Row],[Plain]:[Water]],-1,0))+SUM(TblConstr[[#This Row],[Dest Hom]:[Dest Doc]])+IF(TblConstr[[#This Row],[Hour]]&gt;12,SUM(OFFSET(TblExplore[[#This Row],[Plains Explore]:[Water Explore]],-12,0)),0),SUM(TblConstr[[#This Row],[Hom]:[Doc]]))</f>
        <v>0</v>
      </c>
      <c r="AT8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3" s="142"/>
      <c r="AV83" s="94">
        <f ca="1">ROUND((TblConstr[[#This Row],[Land]]-250 - IF(TblExplore[[#This Row],[Land Bonus]]&lt;&gt;0,20,0))*1.25 + 850 + 0,0)</f>
        <v>675</v>
      </c>
      <c r="AW83" s="94">
        <f ca="1">ROUND((TblConstr[[#This Row],[Land]]-250 - IF(TblExplore[[#This Row],[Land Bonus]]&lt;&gt;0,20,0))*0.285 + 87.5 + 0/4.25,0)</f>
        <v>48</v>
      </c>
      <c r="AX83" s="154"/>
      <c r="AY83" s="188" cm="1">
        <f t="array" aca="1" ref="AY83" ca="1">IF(TblConstr[[#This Row],[Hour]:[Hour]]&gt;12,OFFSET(TblConstr[[#This Row],[Hom]],-12,0),0)+OFFSET(TblConstr[[#This Row],[Tot Hom]],-1,0)-TblConstr[[#This Row],[Dest Hom]]</f>
        <v>0</v>
      </c>
      <c r="AZ83" s="189" cm="1">
        <f t="array" aca="1" ref="AZ83" ca="1">IF(TblConstr[[#This Row],[Hour]:[Hour]]&gt;12,OFFSET(TblConstr[[#This Row],[Alc]],-12,0),0)+OFFSET(TblConstr[[#This Row],[Tot Alc]],-1,0)-TblConstr[[#This Row],[Dest Alc]]</f>
        <v>0</v>
      </c>
      <c r="BA83" s="189" cm="1">
        <f t="array" aca="1" ref="BA83" ca="1">IF(TblConstr[[#This Row],[Hour]:[Hour]]&gt;12,OFFSET(TblConstr[[#This Row],[Far]],-12,0),0)+OFFSET(TblConstr[[#This Row],[Tot Farm]],-1,0)-TblConstr[[#This Row],[Dest Farm]]</f>
        <v>30</v>
      </c>
      <c r="BB83" s="189" cm="1">
        <f t="array" aca="1" ref="BB83" ca="1">IF(TblConstr[[#This Row],[Hour]:[Hour]]&gt;12,OFFSET(TblConstr[[#This Row],[Smi]],-12,0),0)+OFFSET(TblConstr[[#This Row],[Tot Smi]],-1,0)-TblConstr[[#This Row],[Dest Smi]]</f>
        <v>0</v>
      </c>
      <c r="BC83" s="189" cm="1">
        <f t="array" aca="1" ref="BC83" ca="1">IF(TblConstr[[#This Row],[Hour]:[Hour]]&gt;12,OFFSET(TblConstr[[#This Row],[Mas]],-12,0),0)+OFFSET(TblConstr[[#This Row],[Tot Mas]],-1,0)-TblConstr[[#This Row],[Dest Mas]]</f>
        <v>0</v>
      </c>
      <c r="BD83" s="190" cm="1">
        <f t="array" aca="1" ref="BD83" ca="1">IF(TblConstr[[#This Row],[Hour]:[Hour]]&gt;12,OFFSET(TblConstr[[#This Row],[Ly]],-12,0),0)+OFFSET(TblConstr[[#This Row],[Tot Ly]],-1,0)-TblConstr[[#This Row],[Dest Ly]]</f>
        <v>20</v>
      </c>
      <c r="BE83" s="190" cm="1">
        <f t="array" aca="1" ref="BE83" ca="1">IF(TblConstr[[#This Row],[Hour]:[Hour]]&gt;12,OFFSET(TblConstr[[#This Row],[Hav]],-12,0),0)+OFFSET(TblConstr[[#This Row],[Tot Hav]],-1,0)-TblConstr[[#This Row],[Dest Hav]]</f>
        <v>0</v>
      </c>
      <c r="BF83" s="361" cm="1">
        <f t="array" aca="1" ref="BF83" ca="1">IF(TblConstr[[#This Row],[Hour]:[Hour]]&gt;12,OFFSET(TblConstr[[#This Row],[OM]],-12,0),0)+OFFSET(TblConstr[[#This Row],[Tot OM]],-1,0)-TblConstr[[#This Row],[Dest OM]]</f>
        <v>0</v>
      </c>
      <c r="BG83" s="361" cm="1">
        <f t="array" aca="1" ref="BG83" ca="1">IF(TblConstr[[#This Row],[Hour]:[Hour]]&gt;12,OFFSET(TblConstr[[#This Row],[GN]],-12,0),0)+OFFSET(TblConstr[[#This Row],[Tot GN]],-1,0)-TblConstr[[#This Row],[Dest GN]]</f>
        <v>0</v>
      </c>
      <c r="BH83" s="365" cm="1">
        <f t="array" aca="1" ref="BH83" ca="1">IF(TblConstr[[#This Row],[Hour]:[Hour]]&gt;12,OFFSET(TblConstr[[#This Row],[Fac]],-12,0),0)+OFFSET(TblConstr[[#This Row],[Tot Fac]],-1,0)-TblConstr[[#This Row],[Dest Fac]]</f>
        <v>0</v>
      </c>
      <c r="BI83" s="365" cm="1">
        <f t="array" aca="1" ref="BI83" ca="1">IF(TblConstr[[#This Row],[Hour]:[Hour]]&gt;12,OFFSET(TblConstr[[#This Row],[GT]],-12,0),0)+OFFSET(TblConstr[[#This Row],[Tot GT]],-1,0)-TblConstr[[#This Row],[Dest GT]]</f>
        <v>0</v>
      </c>
      <c r="BJ83" s="365" cm="1">
        <f t="array" aca="1" ref="BJ83" ca="1">IF(TblConstr[[#This Row],[Hour]:[Hour]]&gt;12,OFFSET(TblConstr[[#This Row],[Bar]],-12,0),0)+OFFSET(TblConstr[[#This Row],[Tot Bar]],-1,0)-TblConstr[[#This Row],[Dest Bar]]</f>
        <v>0</v>
      </c>
      <c r="BK83" s="365" cm="1">
        <f t="array" aca="1" ref="BK83" ca="1">IF(TblConstr[[#This Row],[Hour]:[Hour]]&gt;12,OFFSET(TblConstr[[#This Row],[Shr]],-12,0),0)+OFFSET(TblConstr[[#This Row],[Tot Shr]],-1,0)-TblConstr[[#This Row],[Dest Shr]]</f>
        <v>0</v>
      </c>
      <c r="BL83" s="369" cm="1">
        <f t="array" aca="1" ref="BL83" ca="1">IF(TblConstr[[#This Row],[Hour]:[Hour]]&gt;12,OFFSET(TblConstr[[#This Row],[Tow]],-12,0),0)+OFFSET(TblConstr[[#This Row],[Tot Tow]],-1,0)-TblConstr[[#This Row],[Dest Tow]]</f>
        <v>0</v>
      </c>
      <c r="BM83" s="369" cm="1">
        <f t="array" aca="1" ref="BM83" ca="1">IF(TblConstr[[#This Row],[Hour]:[Hour]]&gt;12,OFFSET(TblConstr[[#This Row],[Tem]],-12,0),0)+OFFSET(TblConstr[[#This Row],[Tot Tem]],-1,0)-TblConstr[[#This Row],[Dest Tem]]</f>
        <v>0</v>
      </c>
      <c r="BN83" s="369" cm="1">
        <f t="array" aca="1" ref="BN83" ca="1">IF(TblConstr[[#This Row],[Hour]:[Hour]]&gt;12,OFFSET(TblConstr[[#This Row],[WG]],-12,0),0)+OFFSET(TblConstr[[#This Row],[Tot WG]],-1,0)-TblConstr[[#This Row],[Dest WG]]</f>
        <v>0</v>
      </c>
      <c r="BO83" s="191" cm="1">
        <f t="array" aca="1" ref="BO83" ca="1">IF(TblConstr[[#This Row],[Hour]:[Hour]]&gt;12,OFFSET(TblConstr[[#This Row],[DM]],-12,0),0)+OFFSET(TblConstr[[#This Row],[Tot DM]],-1,0)-TblConstr[[#This Row],[Dest DM]]</f>
        <v>0</v>
      </c>
      <c r="BP83" s="191" cm="1">
        <f t="array" aca="1" ref="BP83" ca="1">IF(TblConstr[[#This Row],[Hour]:[Hour]]&gt;12,OFFSET(TblConstr[[#This Row],[Sch]],-12,0),0)+OFFSET(TblConstr[[#This Row],[Tot Sch]],-1,0)-TblConstr[[#This Row],[Dest Sch]]</f>
        <v>0</v>
      </c>
      <c r="BQ83" s="192" cm="1">
        <f t="array" aca="1" ref="BQ83" ca="1">IF(TblConstr[[#This Row],[Hour]:[Hour]]&gt;12,OFFSET(TblConstr[[#This Row],[Doc]],-12,0),0)+OFFSET(TblConstr[[#This Row],[Tot Doc]],-1,0)-TblConstr[[#This Row],[Dest Doc]]</f>
        <v>0</v>
      </c>
      <c r="BR83" s="142"/>
      <c r="BS83" s="154"/>
      <c r="BT83" s="94">
        <f ca="1">TblConstr[[#This Row],[Land]]</f>
        <v>110</v>
      </c>
      <c r="BU83" s="159">
        <f ca="1">TblImps[[#This Row],[Time]]</f>
        <v>46050.291666666475</v>
      </c>
      <c r="BV83" s="142"/>
      <c r="BW83" s="179"/>
      <c r="BX83" s="179"/>
      <c r="BY83" s="179"/>
      <c r="BZ83" s="179"/>
      <c r="CA83" s="179"/>
      <c r="CB83" s="179"/>
      <c r="CC83" s="179"/>
      <c r="CD83" s="179"/>
      <c r="CE83" s="179"/>
      <c r="CF83" s="179"/>
      <c r="CG83" s="179"/>
      <c r="CH83" s="179"/>
      <c r="CI83" s="179"/>
      <c r="CJ83" s="179"/>
      <c r="CK83" s="179"/>
      <c r="CL83" s="179"/>
      <c r="CM83" s="179"/>
      <c r="CN83" s="179"/>
      <c r="CO83" s="179"/>
      <c r="CP83" s="142"/>
      <c r="CQ83" s="181">
        <f ca="1">-SUM(TblConstr[[#This Row],[Alc]:[Mas]])+SUM(TblConstr[[#This Row],[Dest Alc]:[Dest Mas]])+Rezone!L83+IF("Ch_"&amp; home_land=TblConstr[[#Headers],[Ch_Plain]],TblConstr[[#This Row],[Home Land]])+IF(TblConstr[[#This Row],[Hour]:[Hour]]&gt;12,OFFSET(TblExplore[[#This Row],[Plains Explore]],-12,0),0)</f>
        <v>0</v>
      </c>
      <c r="CR83" s="182">
        <f ca="1">-SUM(TblConstr[[#This Row],[Ly]:[Hav]])+SUM(TblConstr[[#This Row],[Dest Ly]:[Dest Hav]]) +Rezone!M83 + IF("Ch_"&amp; home_land=TblConstr[[#Headers],[Ch_Forest]],TblConstr[[#This Row],[Home Land]])+IF(TblConstr[[#This Row],[Hour]:[Hour]]&gt;12,OFFSET(TblExplore[[#This Row],[Forest Explore]],-12,0),0)</f>
        <v>0</v>
      </c>
      <c r="CS83" s="359">
        <f ca="1">-SUM(TblConstr[[#This Row],[OM]:[GN]])+SUM(TblConstr[[#This Row],[Dest OM]:[Dest GN]]) +Rezone!N83 + IF("Ch_"&amp; home_land=TblConstr[[#Headers],[Ch_Mountain]],TblConstr[[#This Row],[Home Land]])+IF(TblConstr[[#This Row],[Hour]:[Hour]]&gt;12,OFFSET(TblExplore[[#This Row],[Mountain Explore]],-12,0),0)</f>
        <v>0</v>
      </c>
      <c r="CT83" s="183">
        <f ca="1">-SUM(TblConstr[[#This Row],[Fac]:[Shr]])+SUM(TblConstr[[#This Row],[Dest Fac]:[Dest Shr]]) +Rezone!O83 + IF("Ch_" &amp; home_land=TblConstr[[#Headers],[Ch_Hill]],TblConstr[[#This Row],[Home Land]])+IF(TblConstr[[#This Row],[Hour]:[Hour]]&gt;12,OFFSET(TblExplore[[#This Row],[Hill Explore]],-12,0),0)</f>
        <v>0</v>
      </c>
      <c r="CU83" s="184">
        <f ca="1">-SUM(TblConstr[[#This Row],[Tow]:[WG]])+SUM(TblConstr[[#This Row],[Dest Tow]:[Dest WG]]) +Rezone!P83 + IF("Ch_" &amp; home_land=TblConstr[[#Headers],[Ch_Swamp]],TblConstr[[#This Row],[Home Land]])+IF(TblConstr[[#This Row],[Hour]:[Hour]]&gt;12,OFFSET(TblExplore[[#This Row],[Swamp Explore]],-12,0),0)</f>
        <v>0</v>
      </c>
      <c r="CV83" s="185">
        <f ca="1" xml:space="preserve"> - SUM(TblConstr[[#This Row],[DM]:[Sch]])+SUM(TblConstr[[#This Row],[Dest DM]:[Dest Sch]]) +Rezone!Q83 + IF("Ch_" &amp; home_land=TblConstr[[#Headers],[Ch_Cavern]],TblConstr[[#This Row],[Home Land]])+IF(TblConstr[[#This Row],[Hour]:[Hour]]&gt;12,OFFSET(TblExplore[[#This Row],[Cavern Explore]],-12,0),0)</f>
        <v>0</v>
      </c>
      <c r="CW83" s="186">
        <f ca="1">-TblConstr[[#This Row],[Doc]]+TblConstr[[#This Row],[Dest Doc]] +Rezone!R83 + IF("Ch_" &amp; home_land=TblConstr[[#Headers],[Ch_Water]],TblConstr[[#This Row],[Home Land]])+IF(TblConstr[[#This Row],[Hour]:[Hour]]&gt;12,OFFSET(TblExplore[[#This Row],[Water Explore]],-12,0),0)</f>
        <v>0</v>
      </c>
      <c r="CX83" s="45">
        <f>IF(Explore!S83=1,20) - TblConstr[[#This Row],[Hom]] + TblConstr[[#This Row],[Dest Hom]]</f>
        <v>0</v>
      </c>
      <c r="CY83" s="142"/>
      <c r="CZ83" s="94">
        <f t="shared" ca="1" si="23"/>
        <v>90</v>
      </c>
      <c r="DA83" s="94">
        <f t="shared" ca="1" si="24"/>
        <v>20</v>
      </c>
      <c r="DB83" s="45">
        <f t="shared" ca="1" si="25"/>
        <v>0</v>
      </c>
      <c r="DC83" s="94">
        <f t="shared" ca="1" si="26"/>
        <v>0</v>
      </c>
      <c r="DD83" s="94">
        <f t="shared" ca="1" si="27"/>
        <v>0</v>
      </c>
      <c r="DE83" s="45">
        <f t="shared" ca="1" si="28"/>
        <v>0</v>
      </c>
      <c r="DF83" s="94">
        <f t="shared" ca="1" si="29"/>
        <v>0</v>
      </c>
      <c r="DG83" s="94" cm="1">
        <f t="array" aca="1" ref="DG83" ca="1">INDEX(TblConstr[[Total Plain]:[Total Water]],ROW()-ROW(TblConstr[#Headers]),MATCH("Total "&amp;home_land,TblConstr[[#Headers],[Total Plain]:[Total Water]],0))+TblConstr[[#This Row],[Homes]]</f>
        <v>90</v>
      </c>
      <c r="DH83" s="45">
        <f t="shared" ca="1" si="22"/>
        <v>0</v>
      </c>
      <c r="DI83" s="45">
        <f t="shared" ca="1" si="19"/>
        <v>0</v>
      </c>
      <c r="DJ83" s="45">
        <f t="shared" ca="1" si="20"/>
        <v>0</v>
      </c>
    </row>
    <row r="84" spans="1:114" x14ac:dyDescent="0.2">
      <c r="A84" s="175">
        <f>TblRezone[[#This Row],[Hour]]</f>
        <v>81</v>
      </c>
      <c r="B84" s="176">
        <f ca="1">SUM(TblConstr[[#This Row],[Plain]:[Water]])</f>
        <v>60</v>
      </c>
      <c r="C84" s="177">
        <f ca="1">SUM(TblConstr[[#This Row],[Tot Hom]:[Tot Doc]])</f>
        <v>50</v>
      </c>
      <c r="D84" s="177">
        <f t="shared" si="21"/>
        <v>0</v>
      </c>
      <c r="E84" s="178"/>
      <c r="F84" s="61">
        <f ca="1">TblConstr[[#This Row],[Barren]]+TblConstr[[#This Row],[Buildings]]+TblConstr[[#This Row],[Incoming]]</f>
        <v>110</v>
      </c>
      <c r="G84" s="187">
        <f ca="1">OFFSET(TblConstr[[#This Row],[Plain]],-1,0)+TblConstr[[#This Row],[Ch_Plain]]</f>
        <v>60</v>
      </c>
      <c r="H84" s="182">
        <f ca="1">OFFSET(TblConstr[[#This Row],[Forest]],-1,0)+TblConstr[[#This Row],[Ch_Forest]]</f>
        <v>0</v>
      </c>
      <c r="I84" s="359">
        <f ca="1">OFFSET(TblConstr[[#This Row],[Mountain]],-1,0)+TblConstr[[#This Row],[Ch_Mountain]]</f>
        <v>0</v>
      </c>
      <c r="J84" s="363">
        <f ca="1">OFFSET(TblConstr[[#This Row],[Hill]],-1,0)+TblConstr[[#This Row],[Ch_Hill]]</f>
        <v>0</v>
      </c>
      <c r="K84" s="367">
        <f ca="1">OFFSET(TblConstr[[#This Row],[Swamp]],-1,0)+TblConstr[[#This Row],[Ch_Swamp]]</f>
        <v>0</v>
      </c>
      <c r="L84" s="185">
        <f ca="1">OFFSET(TblConstr[[#This Row],[Cavern]],-1,0)+TblConstr[[#This Row],[Ch_Cavern]]</f>
        <v>0</v>
      </c>
      <c r="M84" s="186">
        <f ca="1">OFFSET(TblConstr[[#This Row],[Water]],-1,0)+TblConstr[[#This Row],[Ch_Water]]</f>
        <v>0</v>
      </c>
      <c r="N84" s="357">
        <f>TblRezone[[#This Row],[Hour]]</f>
        <v>81</v>
      </c>
      <c r="O84" s="179"/>
      <c r="P84" s="179"/>
      <c r="Q84" s="179"/>
      <c r="R84" s="158"/>
      <c r="S84" s="179"/>
      <c r="T84" s="179"/>
      <c r="U84" s="179"/>
      <c r="V84" s="179"/>
      <c r="W84" s="179"/>
      <c r="X84" s="179"/>
      <c r="Y84" s="179"/>
      <c r="Z84" s="179"/>
      <c r="AA84" s="179"/>
      <c r="AB84" s="179"/>
      <c r="AC84" s="179"/>
      <c r="AD84" s="179"/>
      <c r="AE84" s="179"/>
      <c r="AF84" s="179"/>
      <c r="AG84" s="179"/>
      <c r="AH84" s="53">
        <f ca="1">TblImps[[#This Row],[Time]]</f>
        <v>46050.333333333139</v>
      </c>
      <c r="AI84" s="180">
        <f ca="1">MIN(25%,(TblConstr[[#This Row],[Tot Fac]]+TblConstr[[#This Row],[Dest Fac]])/(TblConstr[[#This Row],[Land]]-TblExplore[[#This Row],[Land Bonus]]*20))</f>
        <v>0</v>
      </c>
      <c r="AJ84" s="180">
        <f ca="1">MIN(25%,(TblConstr[[#This Row],[Tot Fac]]+TblConstr[[#This Row],[Dest Fac]])/TblConstr[[#This Row],[Land]])</f>
        <v>0</v>
      </c>
      <c r="AK84" s="94">
        <f ca="1">TblProd[[#This Row],[Platinum]]</f>
        <v>178751</v>
      </c>
      <c r="AL84" s="94">
        <f ca="1">TblProd[[#This Row],[Lumber]]</f>
        <v>61958</v>
      </c>
      <c r="AM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4" s="94">
        <f ca="1">ROUNDDOWN( MAX(1 - MIN(facs_constr_factor*TblConstr[[#This Row],[Facs -DB]],facs_constr_max) + tech_1_11*TblTech[[#This Row],[11-1]] + tech_6_3_2*TblTech[[#This Row],[6-3]] + tech_5_2_3*TblTech[[#This Row],[5-2]], 1-global_constr_cap) * TblConstr[[#This Row],[RCPA Lumber]],0)</f>
        <v>48</v>
      </c>
      <c r="AO8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4" s="94">
        <f ca="1">ROUNDDOWN( MAX(1 - MIN(facs_constr_factor*TblConstr[[#This Row],[Facs DB]],facs_constr_max) + tech_1_11*TblTech[[#This Row],[1-11]] + tech_6_3_2*TblTech[[#This Row],[6-3]] + tech_5_2_3*TblTech[[#This Row],[5-2]], 1-global_constr_cap) * ROUND((TblConstr[[#This Row],[Land]]-250)*0.285 + 87.5 + 0/4.25,0),0)</f>
        <v>48</v>
      </c>
      <c r="AQ84" s="45">
        <f ca="1">TblConstr[[#This Row],[build -db]]*TblConstr[[#This Row],[CPA Platinum -DB]] + TblConstr[[#This Row],[build db]]*TblConstr[[#This Row],[CPA Platinum DB]]</f>
        <v>0</v>
      </c>
      <c r="AR84" s="45">
        <f ca="1">TblConstr[[#This Row],[build -db]]*TblConstr[[#This Row],[CPA Lumber -DB]] + TblConstr[[#This Row],[build db]]*TblConstr[[#This Row],[CPA Lumber DB]]</f>
        <v>0</v>
      </c>
      <c r="AS84" s="94">
        <f ca="1">MIN(SUM(OFFSET(TblConstr[[#This Row],[Plain]:[Water]],-1,0))+SUM(TblConstr[[#This Row],[Dest Hom]:[Dest Doc]])+IF(TblConstr[[#This Row],[Hour]]&gt;12,SUM(OFFSET(TblExplore[[#This Row],[Plains Explore]:[Water Explore]],-12,0)),0),SUM(TblConstr[[#This Row],[Hom]:[Doc]]))</f>
        <v>0</v>
      </c>
      <c r="AT8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4" s="142"/>
      <c r="AV84" s="94">
        <f ca="1">ROUND((TblConstr[[#This Row],[Land]]-250 - IF(TblExplore[[#This Row],[Land Bonus]]&lt;&gt;0,20,0))*1.25 + 850 + 0,0)</f>
        <v>675</v>
      </c>
      <c r="AW84" s="94">
        <f ca="1">ROUND((TblConstr[[#This Row],[Land]]-250 - IF(TblExplore[[#This Row],[Land Bonus]]&lt;&gt;0,20,0))*0.285 + 87.5 + 0/4.25,0)</f>
        <v>48</v>
      </c>
      <c r="AX84" s="154"/>
      <c r="AY84" s="188" cm="1">
        <f t="array" aca="1" ref="AY84" ca="1">IF(TblConstr[[#This Row],[Hour]:[Hour]]&gt;12,OFFSET(TblConstr[[#This Row],[Hom]],-12,0),0)+OFFSET(TblConstr[[#This Row],[Tot Hom]],-1,0)-TblConstr[[#This Row],[Dest Hom]]</f>
        <v>0</v>
      </c>
      <c r="AZ84" s="189" cm="1">
        <f t="array" aca="1" ref="AZ84" ca="1">IF(TblConstr[[#This Row],[Hour]:[Hour]]&gt;12,OFFSET(TblConstr[[#This Row],[Alc]],-12,0),0)+OFFSET(TblConstr[[#This Row],[Tot Alc]],-1,0)-TblConstr[[#This Row],[Dest Alc]]</f>
        <v>0</v>
      </c>
      <c r="BA84" s="189" cm="1">
        <f t="array" aca="1" ref="BA84" ca="1">IF(TblConstr[[#This Row],[Hour]:[Hour]]&gt;12,OFFSET(TblConstr[[#This Row],[Far]],-12,0),0)+OFFSET(TblConstr[[#This Row],[Tot Farm]],-1,0)-TblConstr[[#This Row],[Dest Farm]]</f>
        <v>30</v>
      </c>
      <c r="BB84" s="189" cm="1">
        <f t="array" aca="1" ref="BB84" ca="1">IF(TblConstr[[#This Row],[Hour]:[Hour]]&gt;12,OFFSET(TblConstr[[#This Row],[Smi]],-12,0),0)+OFFSET(TblConstr[[#This Row],[Tot Smi]],-1,0)-TblConstr[[#This Row],[Dest Smi]]</f>
        <v>0</v>
      </c>
      <c r="BC84" s="189" cm="1">
        <f t="array" aca="1" ref="BC84" ca="1">IF(TblConstr[[#This Row],[Hour]:[Hour]]&gt;12,OFFSET(TblConstr[[#This Row],[Mas]],-12,0),0)+OFFSET(TblConstr[[#This Row],[Tot Mas]],-1,0)-TblConstr[[#This Row],[Dest Mas]]</f>
        <v>0</v>
      </c>
      <c r="BD84" s="190" cm="1">
        <f t="array" aca="1" ref="BD84" ca="1">IF(TblConstr[[#This Row],[Hour]:[Hour]]&gt;12,OFFSET(TblConstr[[#This Row],[Ly]],-12,0),0)+OFFSET(TblConstr[[#This Row],[Tot Ly]],-1,0)-TblConstr[[#This Row],[Dest Ly]]</f>
        <v>20</v>
      </c>
      <c r="BE84" s="190" cm="1">
        <f t="array" aca="1" ref="BE84" ca="1">IF(TblConstr[[#This Row],[Hour]:[Hour]]&gt;12,OFFSET(TblConstr[[#This Row],[Hav]],-12,0),0)+OFFSET(TblConstr[[#This Row],[Tot Hav]],-1,0)-TblConstr[[#This Row],[Dest Hav]]</f>
        <v>0</v>
      </c>
      <c r="BF84" s="361" cm="1">
        <f t="array" aca="1" ref="BF84" ca="1">IF(TblConstr[[#This Row],[Hour]:[Hour]]&gt;12,OFFSET(TblConstr[[#This Row],[OM]],-12,0),0)+OFFSET(TblConstr[[#This Row],[Tot OM]],-1,0)-TblConstr[[#This Row],[Dest OM]]</f>
        <v>0</v>
      </c>
      <c r="BG84" s="361" cm="1">
        <f t="array" aca="1" ref="BG84" ca="1">IF(TblConstr[[#This Row],[Hour]:[Hour]]&gt;12,OFFSET(TblConstr[[#This Row],[GN]],-12,0),0)+OFFSET(TblConstr[[#This Row],[Tot GN]],-1,0)-TblConstr[[#This Row],[Dest GN]]</f>
        <v>0</v>
      </c>
      <c r="BH84" s="365" cm="1">
        <f t="array" aca="1" ref="BH84" ca="1">IF(TblConstr[[#This Row],[Hour]:[Hour]]&gt;12,OFFSET(TblConstr[[#This Row],[Fac]],-12,0),0)+OFFSET(TblConstr[[#This Row],[Tot Fac]],-1,0)-TblConstr[[#This Row],[Dest Fac]]</f>
        <v>0</v>
      </c>
      <c r="BI84" s="365" cm="1">
        <f t="array" aca="1" ref="BI84" ca="1">IF(TblConstr[[#This Row],[Hour]:[Hour]]&gt;12,OFFSET(TblConstr[[#This Row],[GT]],-12,0),0)+OFFSET(TblConstr[[#This Row],[Tot GT]],-1,0)-TblConstr[[#This Row],[Dest GT]]</f>
        <v>0</v>
      </c>
      <c r="BJ84" s="365" cm="1">
        <f t="array" aca="1" ref="BJ84" ca="1">IF(TblConstr[[#This Row],[Hour]:[Hour]]&gt;12,OFFSET(TblConstr[[#This Row],[Bar]],-12,0),0)+OFFSET(TblConstr[[#This Row],[Tot Bar]],-1,0)-TblConstr[[#This Row],[Dest Bar]]</f>
        <v>0</v>
      </c>
      <c r="BK84" s="365" cm="1">
        <f t="array" aca="1" ref="BK84" ca="1">IF(TblConstr[[#This Row],[Hour]:[Hour]]&gt;12,OFFSET(TblConstr[[#This Row],[Shr]],-12,0),0)+OFFSET(TblConstr[[#This Row],[Tot Shr]],-1,0)-TblConstr[[#This Row],[Dest Shr]]</f>
        <v>0</v>
      </c>
      <c r="BL84" s="369" cm="1">
        <f t="array" aca="1" ref="BL84" ca="1">IF(TblConstr[[#This Row],[Hour]:[Hour]]&gt;12,OFFSET(TblConstr[[#This Row],[Tow]],-12,0),0)+OFFSET(TblConstr[[#This Row],[Tot Tow]],-1,0)-TblConstr[[#This Row],[Dest Tow]]</f>
        <v>0</v>
      </c>
      <c r="BM84" s="369" cm="1">
        <f t="array" aca="1" ref="BM84" ca="1">IF(TblConstr[[#This Row],[Hour]:[Hour]]&gt;12,OFFSET(TblConstr[[#This Row],[Tem]],-12,0),0)+OFFSET(TblConstr[[#This Row],[Tot Tem]],-1,0)-TblConstr[[#This Row],[Dest Tem]]</f>
        <v>0</v>
      </c>
      <c r="BN84" s="369" cm="1">
        <f t="array" aca="1" ref="BN84" ca="1">IF(TblConstr[[#This Row],[Hour]:[Hour]]&gt;12,OFFSET(TblConstr[[#This Row],[WG]],-12,0),0)+OFFSET(TblConstr[[#This Row],[Tot WG]],-1,0)-TblConstr[[#This Row],[Dest WG]]</f>
        <v>0</v>
      </c>
      <c r="BO84" s="191" cm="1">
        <f t="array" aca="1" ref="BO84" ca="1">IF(TblConstr[[#This Row],[Hour]:[Hour]]&gt;12,OFFSET(TblConstr[[#This Row],[DM]],-12,0),0)+OFFSET(TblConstr[[#This Row],[Tot DM]],-1,0)-TblConstr[[#This Row],[Dest DM]]</f>
        <v>0</v>
      </c>
      <c r="BP84" s="191" cm="1">
        <f t="array" aca="1" ref="BP84" ca="1">IF(TblConstr[[#This Row],[Hour]:[Hour]]&gt;12,OFFSET(TblConstr[[#This Row],[Sch]],-12,0),0)+OFFSET(TblConstr[[#This Row],[Tot Sch]],-1,0)-TblConstr[[#This Row],[Dest Sch]]</f>
        <v>0</v>
      </c>
      <c r="BQ84" s="192" cm="1">
        <f t="array" aca="1" ref="BQ84" ca="1">IF(TblConstr[[#This Row],[Hour]:[Hour]]&gt;12,OFFSET(TblConstr[[#This Row],[Doc]],-12,0),0)+OFFSET(TblConstr[[#This Row],[Tot Doc]],-1,0)-TblConstr[[#This Row],[Dest Doc]]</f>
        <v>0</v>
      </c>
      <c r="BR84" s="142"/>
      <c r="BS84" s="154"/>
      <c r="BT84" s="94">
        <f ca="1">TblConstr[[#This Row],[Land]]</f>
        <v>110</v>
      </c>
      <c r="BU84" s="159">
        <f ca="1">TblImps[[#This Row],[Time]]</f>
        <v>46050.333333333139</v>
      </c>
      <c r="BV84" s="142"/>
      <c r="BW84" s="179"/>
      <c r="BX84" s="179"/>
      <c r="BY84" s="179"/>
      <c r="BZ84" s="179"/>
      <c r="CA84" s="179"/>
      <c r="CB84" s="179"/>
      <c r="CC84" s="179"/>
      <c r="CD84" s="179"/>
      <c r="CE84" s="179"/>
      <c r="CF84" s="179"/>
      <c r="CG84" s="179"/>
      <c r="CH84" s="179"/>
      <c r="CI84" s="179"/>
      <c r="CJ84" s="179"/>
      <c r="CK84" s="179"/>
      <c r="CL84" s="179"/>
      <c r="CM84" s="179"/>
      <c r="CN84" s="179"/>
      <c r="CO84" s="179"/>
      <c r="CP84" s="142"/>
      <c r="CQ84" s="181">
        <f ca="1">-SUM(TblConstr[[#This Row],[Alc]:[Mas]])+SUM(TblConstr[[#This Row],[Dest Alc]:[Dest Mas]])+Rezone!L84+IF("Ch_"&amp; home_land=TblConstr[[#Headers],[Ch_Plain]],TblConstr[[#This Row],[Home Land]])+IF(TblConstr[[#This Row],[Hour]:[Hour]]&gt;12,OFFSET(TblExplore[[#This Row],[Plains Explore]],-12,0),0)</f>
        <v>0</v>
      </c>
      <c r="CR84" s="182">
        <f ca="1">-SUM(TblConstr[[#This Row],[Ly]:[Hav]])+SUM(TblConstr[[#This Row],[Dest Ly]:[Dest Hav]]) +Rezone!M84 + IF("Ch_"&amp; home_land=TblConstr[[#Headers],[Ch_Forest]],TblConstr[[#This Row],[Home Land]])+IF(TblConstr[[#This Row],[Hour]:[Hour]]&gt;12,OFFSET(TblExplore[[#This Row],[Forest Explore]],-12,0),0)</f>
        <v>0</v>
      </c>
      <c r="CS84" s="359">
        <f ca="1">-SUM(TblConstr[[#This Row],[OM]:[GN]])+SUM(TblConstr[[#This Row],[Dest OM]:[Dest GN]]) +Rezone!N84 + IF("Ch_"&amp; home_land=TblConstr[[#Headers],[Ch_Mountain]],TblConstr[[#This Row],[Home Land]])+IF(TblConstr[[#This Row],[Hour]:[Hour]]&gt;12,OFFSET(TblExplore[[#This Row],[Mountain Explore]],-12,0),0)</f>
        <v>0</v>
      </c>
      <c r="CT84" s="183">
        <f ca="1">-SUM(TblConstr[[#This Row],[Fac]:[Shr]])+SUM(TblConstr[[#This Row],[Dest Fac]:[Dest Shr]]) +Rezone!O84 + IF("Ch_" &amp; home_land=TblConstr[[#Headers],[Ch_Hill]],TblConstr[[#This Row],[Home Land]])+IF(TblConstr[[#This Row],[Hour]:[Hour]]&gt;12,OFFSET(TblExplore[[#This Row],[Hill Explore]],-12,0),0)</f>
        <v>0</v>
      </c>
      <c r="CU84" s="184">
        <f ca="1">-SUM(TblConstr[[#This Row],[Tow]:[WG]])+SUM(TblConstr[[#This Row],[Dest Tow]:[Dest WG]]) +Rezone!P84 + IF("Ch_" &amp; home_land=TblConstr[[#Headers],[Ch_Swamp]],TblConstr[[#This Row],[Home Land]])+IF(TblConstr[[#This Row],[Hour]:[Hour]]&gt;12,OFFSET(TblExplore[[#This Row],[Swamp Explore]],-12,0),0)</f>
        <v>0</v>
      </c>
      <c r="CV84" s="185">
        <f ca="1" xml:space="preserve"> - SUM(TblConstr[[#This Row],[DM]:[Sch]])+SUM(TblConstr[[#This Row],[Dest DM]:[Dest Sch]]) +Rezone!Q84 + IF("Ch_" &amp; home_land=TblConstr[[#Headers],[Ch_Cavern]],TblConstr[[#This Row],[Home Land]])+IF(TblConstr[[#This Row],[Hour]:[Hour]]&gt;12,OFFSET(TblExplore[[#This Row],[Cavern Explore]],-12,0),0)</f>
        <v>0</v>
      </c>
      <c r="CW84" s="186">
        <f ca="1">-TblConstr[[#This Row],[Doc]]+TblConstr[[#This Row],[Dest Doc]] +Rezone!R84 + IF("Ch_" &amp; home_land=TblConstr[[#Headers],[Ch_Water]],TblConstr[[#This Row],[Home Land]])+IF(TblConstr[[#This Row],[Hour]:[Hour]]&gt;12,OFFSET(TblExplore[[#This Row],[Water Explore]],-12,0),0)</f>
        <v>0</v>
      </c>
      <c r="CX84" s="45">
        <f>IF(Explore!S84=1,20) - TblConstr[[#This Row],[Hom]] + TblConstr[[#This Row],[Dest Hom]]</f>
        <v>0</v>
      </c>
      <c r="CY84" s="142"/>
      <c r="CZ84" s="94">
        <f t="shared" ca="1" si="23"/>
        <v>90</v>
      </c>
      <c r="DA84" s="94">
        <f t="shared" ca="1" si="24"/>
        <v>20</v>
      </c>
      <c r="DB84" s="45">
        <f t="shared" ca="1" si="25"/>
        <v>0</v>
      </c>
      <c r="DC84" s="94">
        <f t="shared" ca="1" si="26"/>
        <v>0</v>
      </c>
      <c r="DD84" s="94">
        <f t="shared" ca="1" si="27"/>
        <v>0</v>
      </c>
      <c r="DE84" s="45">
        <f t="shared" ca="1" si="28"/>
        <v>0</v>
      </c>
      <c r="DF84" s="94">
        <f t="shared" ca="1" si="29"/>
        <v>0</v>
      </c>
      <c r="DG84" s="94" cm="1">
        <f t="array" aca="1" ref="DG84" ca="1">INDEX(TblConstr[[Total Plain]:[Total Water]],ROW()-ROW(TblConstr[#Headers]),MATCH("Total "&amp;home_land,TblConstr[[#Headers],[Total Plain]:[Total Water]],0))+TblConstr[[#This Row],[Homes]]</f>
        <v>90</v>
      </c>
      <c r="DH84" s="45">
        <f t="shared" ca="1" si="22"/>
        <v>0</v>
      </c>
      <c r="DI84" s="45">
        <f t="shared" ca="1" si="19"/>
        <v>0</v>
      </c>
      <c r="DJ84" s="45">
        <f t="shared" ca="1" si="20"/>
        <v>0</v>
      </c>
    </row>
    <row r="85" spans="1:114" x14ac:dyDescent="0.2">
      <c r="A85" s="175">
        <f>TblRezone[[#This Row],[Hour]]</f>
        <v>82</v>
      </c>
      <c r="B85" s="176">
        <f ca="1">SUM(TblConstr[[#This Row],[Plain]:[Water]])</f>
        <v>60</v>
      </c>
      <c r="C85" s="177">
        <f ca="1">SUM(TblConstr[[#This Row],[Tot Hom]:[Tot Doc]])</f>
        <v>50</v>
      </c>
      <c r="D85" s="177">
        <f t="shared" si="21"/>
        <v>0</v>
      </c>
      <c r="E85" s="178"/>
      <c r="F85" s="61">
        <f ca="1">TblConstr[[#This Row],[Barren]]+TblConstr[[#This Row],[Buildings]]+TblConstr[[#This Row],[Incoming]]</f>
        <v>110</v>
      </c>
      <c r="G85" s="187">
        <f ca="1">OFFSET(TblConstr[[#This Row],[Plain]],-1,0)+TblConstr[[#This Row],[Ch_Plain]]</f>
        <v>60</v>
      </c>
      <c r="H85" s="182">
        <f ca="1">OFFSET(TblConstr[[#This Row],[Forest]],-1,0)+TblConstr[[#This Row],[Ch_Forest]]</f>
        <v>0</v>
      </c>
      <c r="I85" s="359">
        <f ca="1">OFFSET(TblConstr[[#This Row],[Mountain]],-1,0)+TblConstr[[#This Row],[Ch_Mountain]]</f>
        <v>0</v>
      </c>
      <c r="J85" s="363">
        <f ca="1">OFFSET(TblConstr[[#This Row],[Hill]],-1,0)+TblConstr[[#This Row],[Ch_Hill]]</f>
        <v>0</v>
      </c>
      <c r="K85" s="367">
        <f ca="1">OFFSET(TblConstr[[#This Row],[Swamp]],-1,0)+TblConstr[[#This Row],[Ch_Swamp]]</f>
        <v>0</v>
      </c>
      <c r="L85" s="185">
        <f ca="1">OFFSET(TblConstr[[#This Row],[Cavern]],-1,0)+TblConstr[[#This Row],[Ch_Cavern]]</f>
        <v>0</v>
      </c>
      <c r="M85" s="186">
        <f ca="1">OFFSET(TblConstr[[#This Row],[Water]],-1,0)+TblConstr[[#This Row],[Ch_Water]]</f>
        <v>0</v>
      </c>
      <c r="N85" s="357">
        <f>TblRezone[[#This Row],[Hour]]</f>
        <v>82</v>
      </c>
      <c r="O85" s="179"/>
      <c r="P85" s="179"/>
      <c r="Q85" s="179"/>
      <c r="R85" s="158"/>
      <c r="S85" s="179"/>
      <c r="T85" s="179"/>
      <c r="U85" s="179"/>
      <c r="V85" s="179"/>
      <c r="W85" s="179"/>
      <c r="X85" s="179"/>
      <c r="Y85" s="179"/>
      <c r="Z85" s="179"/>
      <c r="AA85" s="179"/>
      <c r="AB85" s="179"/>
      <c r="AC85" s="179"/>
      <c r="AD85" s="179"/>
      <c r="AE85" s="179"/>
      <c r="AF85" s="179"/>
      <c r="AG85" s="179"/>
      <c r="AH85" s="53">
        <f ca="1">TblImps[[#This Row],[Time]]</f>
        <v>46050.374999999804</v>
      </c>
      <c r="AI85" s="180">
        <f ca="1">MIN(25%,(TblConstr[[#This Row],[Tot Fac]]+TblConstr[[#This Row],[Dest Fac]])/(TblConstr[[#This Row],[Land]]-TblExplore[[#This Row],[Land Bonus]]*20))</f>
        <v>0</v>
      </c>
      <c r="AJ85" s="180">
        <f ca="1">MIN(25%,(TblConstr[[#This Row],[Tot Fac]]+TblConstr[[#This Row],[Dest Fac]])/TblConstr[[#This Row],[Land]])</f>
        <v>0</v>
      </c>
      <c r="AK85" s="94">
        <f ca="1">TblProd[[#This Row],[Platinum]]</f>
        <v>179957</v>
      </c>
      <c r="AL85" s="94">
        <f ca="1">TblProd[[#This Row],[Lumber]]</f>
        <v>62338</v>
      </c>
      <c r="AM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5" s="94">
        <f ca="1">ROUNDDOWN( MAX(1 - MIN(facs_constr_factor*TblConstr[[#This Row],[Facs -DB]],facs_constr_max) + tech_1_11*TblTech[[#This Row],[11-1]] + tech_6_3_2*TblTech[[#This Row],[6-3]] + tech_5_2_3*TblTech[[#This Row],[5-2]], 1-global_constr_cap) * TblConstr[[#This Row],[RCPA Lumber]],0)</f>
        <v>48</v>
      </c>
      <c r="AO8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5" s="94">
        <f ca="1">ROUNDDOWN( MAX(1 - MIN(facs_constr_factor*TblConstr[[#This Row],[Facs DB]],facs_constr_max) + tech_1_11*TblTech[[#This Row],[1-11]] + tech_6_3_2*TblTech[[#This Row],[6-3]] + tech_5_2_3*TblTech[[#This Row],[5-2]], 1-global_constr_cap) * ROUND((TblConstr[[#This Row],[Land]]-250)*0.285 + 87.5 + 0/4.25,0),0)</f>
        <v>48</v>
      </c>
      <c r="AQ85" s="45">
        <f ca="1">TblConstr[[#This Row],[build -db]]*TblConstr[[#This Row],[CPA Platinum -DB]] + TblConstr[[#This Row],[build db]]*TblConstr[[#This Row],[CPA Platinum DB]]</f>
        <v>0</v>
      </c>
      <c r="AR85" s="45">
        <f ca="1">TblConstr[[#This Row],[build -db]]*TblConstr[[#This Row],[CPA Lumber -DB]] + TblConstr[[#This Row],[build db]]*TblConstr[[#This Row],[CPA Lumber DB]]</f>
        <v>0</v>
      </c>
      <c r="AS85" s="94">
        <f ca="1">MIN(SUM(OFFSET(TblConstr[[#This Row],[Plain]:[Water]],-1,0))+SUM(TblConstr[[#This Row],[Dest Hom]:[Dest Doc]])+IF(TblConstr[[#This Row],[Hour]]&gt;12,SUM(OFFSET(TblExplore[[#This Row],[Plains Explore]:[Water Explore]],-12,0)),0),SUM(TblConstr[[#This Row],[Hom]:[Doc]]))</f>
        <v>0</v>
      </c>
      <c r="AT8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5" s="142"/>
      <c r="AV85" s="94">
        <f ca="1">ROUND((TblConstr[[#This Row],[Land]]-250 - IF(TblExplore[[#This Row],[Land Bonus]]&lt;&gt;0,20,0))*1.25 + 850 + 0,0)</f>
        <v>675</v>
      </c>
      <c r="AW85" s="94">
        <f ca="1">ROUND((TblConstr[[#This Row],[Land]]-250 - IF(TblExplore[[#This Row],[Land Bonus]]&lt;&gt;0,20,0))*0.285 + 87.5 + 0/4.25,0)</f>
        <v>48</v>
      </c>
      <c r="AX85" s="154"/>
      <c r="AY85" s="188" cm="1">
        <f t="array" aca="1" ref="AY85" ca="1">IF(TblConstr[[#This Row],[Hour]:[Hour]]&gt;12,OFFSET(TblConstr[[#This Row],[Hom]],-12,0),0)+OFFSET(TblConstr[[#This Row],[Tot Hom]],-1,0)-TblConstr[[#This Row],[Dest Hom]]</f>
        <v>0</v>
      </c>
      <c r="AZ85" s="189" cm="1">
        <f t="array" aca="1" ref="AZ85" ca="1">IF(TblConstr[[#This Row],[Hour]:[Hour]]&gt;12,OFFSET(TblConstr[[#This Row],[Alc]],-12,0),0)+OFFSET(TblConstr[[#This Row],[Tot Alc]],-1,0)-TblConstr[[#This Row],[Dest Alc]]</f>
        <v>0</v>
      </c>
      <c r="BA85" s="189" cm="1">
        <f t="array" aca="1" ref="BA85" ca="1">IF(TblConstr[[#This Row],[Hour]:[Hour]]&gt;12,OFFSET(TblConstr[[#This Row],[Far]],-12,0),0)+OFFSET(TblConstr[[#This Row],[Tot Farm]],-1,0)-TblConstr[[#This Row],[Dest Farm]]</f>
        <v>30</v>
      </c>
      <c r="BB85" s="189" cm="1">
        <f t="array" aca="1" ref="BB85" ca="1">IF(TblConstr[[#This Row],[Hour]:[Hour]]&gt;12,OFFSET(TblConstr[[#This Row],[Smi]],-12,0),0)+OFFSET(TblConstr[[#This Row],[Tot Smi]],-1,0)-TblConstr[[#This Row],[Dest Smi]]</f>
        <v>0</v>
      </c>
      <c r="BC85" s="189" cm="1">
        <f t="array" aca="1" ref="BC85" ca="1">IF(TblConstr[[#This Row],[Hour]:[Hour]]&gt;12,OFFSET(TblConstr[[#This Row],[Mas]],-12,0),0)+OFFSET(TblConstr[[#This Row],[Tot Mas]],-1,0)-TblConstr[[#This Row],[Dest Mas]]</f>
        <v>0</v>
      </c>
      <c r="BD85" s="190" cm="1">
        <f t="array" aca="1" ref="BD85" ca="1">IF(TblConstr[[#This Row],[Hour]:[Hour]]&gt;12,OFFSET(TblConstr[[#This Row],[Ly]],-12,0),0)+OFFSET(TblConstr[[#This Row],[Tot Ly]],-1,0)-TblConstr[[#This Row],[Dest Ly]]</f>
        <v>20</v>
      </c>
      <c r="BE85" s="190" cm="1">
        <f t="array" aca="1" ref="BE85" ca="1">IF(TblConstr[[#This Row],[Hour]:[Hour]]&gt;12,OFFSET(TblConstr[[#This Row],[Hav]],-12,0),0)+OFFSET(TblConstr[[#This Row],[Tot Hav]],-1,0)-TblConstr[[#This Row],[Dest Hav]]</f>
        <v>0</v>
      </c>
      <c r="BF85" s="361" cm="1">
        <f t="array" aca="1" ref="BF85" ca="1">IF(TblConstr[[#This Row],[Hour]:[Hour]]&gt;12,OFFSET(TblConstr[[#This Row],[OM]],-12,0),0)+OFFSET(TblConstr[[#This Row],[Tot OM]],-1,0)-TblConstr[[#This Row],[Dest OM]]</f>
        <v>0</v>
      </c>
      <c r="BG85" s="361" cm="1">
        <f t="array" aca="1" ref="BG85" ca="1">IF(TblConstr[[#This Row],[Hour]:[Hour]]&gt;12,OFFSET(TblConstr[[#This Row],[GN]],-12,0),0)+OFFSET(TblConstr[[#This Row],[Tot GN]],-1,0)-TblConstr[[#This Row],[Dest GN]]</f>
        <v>0</v>
      </c>
      <c r="BH85" s="365" cm="1">
        <f t="array" aca="1" ref="BH85" ca="1">IF(TblConstr[[#This Row],[Hour]:[Hour]]&gt;12,OFFSET(TblConstr[[#This Row],[Fac]],-12,0),0)+OFFSET(TblConstr[[#This Row],[Tot Fac]],-1,0)-TblConstr[[#This Row],[Dest Fac]]</f>
        <v>0</v>
      </c>
      <c r="BI85" s="365" cm="1">
        <f t="array" aca="1" ref="BI85" ca="1">IF(TblConstr[[#This Row],[Hour]:[Hour]]&gt;12,OFFSET(TblConstr[[#This Row],[GT]],-12,0),0)+OFFSET(TblConstr[[#This Row],[Tot GT]],-1,0)-TblConstr[[#This Row],[Dest GT]]</f>
        <v>0</v>
      </c>
      <c r="BJ85" s="365" cm="1">
        <f t="array" aca="1" ref="BJ85" ca="1">IF(TblConstr[[#This Row],[Hour]:[Hour]]&gt;12,OFFSET(TblConstr[[#This Row],[Bar]],-12,0),0)+OFFSET(TblConstr[[#This Row],[Tot Bar]],-1,0)-TblConstr[[#This Row],[Dest Bar]]</f>
        <v>0</v>
      </c>
      <c r="BK85" s="365" cm="1">
        <f t="array" aca="1" ref="BK85" ca="1">IF(TblConstr[[#This Row],[Hour]:[Hour]]&gt;12,OFFSET(TblConstr[[#This Row],[Shr]],-12,0),0)+OFFSET(TblConstr[[#This Row],[Tot Shr]],-1,0)-TblConstr[[#This Row],[Dest Shr]]</f>
        <v>0</v>
      </c>
      <c r="BL85" s="369" cm="1">
        <f t="array" aca="1" ref="BL85" ca="1">IF(TblConstr[[#This Row],[Hour]:[Hour]]&gt;12,OFFSET(TblConstr[[#This Row],[Tow]],-12,0),0)+OFFSET(TblConstr[[#This Row],[Tot Tow]],-1,0)-TblConstr[[#This Row],[Dest Tow]]</f>
        <v>0</v>
      </c>
      <c r="BM85" s="369" cm="1">
        <f t="array" aca="1" ref="BM85" ca="1">IF(TblConstr[[#This Row],[Hour]:[Hour]]&gt;12,OFFSET(TblConstr[[#This Row],[Tem]],-12,0),0)+OFFSET(TblConstr[[#This Row],[Tot Tem]],-1,0)-TblConstr[[#This Row],[Dest Tem]]</f>
        <v>0</v>
      </c>
      <c r="BN85" s="369" cm="1">
        <f t="array" aca="1" ref="BN85" ca="1">IF(TblConstr[[#This Row],[Hour]:[Hour]]&gt;12,OFFSET(TblConstr[[#This Row],[WG]],-12,0),0)+OFFSET(TblConstr[[#This Row],[Tot WG]],-1,0)-TblConstr[[#This Row],[Dest WG]]</f>
        <v>0</v>
      </c>
      <c r="BO85" s="191" cm="1">
        <f t="array" aca="1" ref="BO85" ca="1">IF(TblConstr[[#This Row],[Hour]:[Hour]]&gt;12,OFFSET(TblConstr[[#This Row],[DM]],-12,0),0)+OFFSET(TblConstr[[#This Row],[Tot DM]],-1,0)-TblConstr[[#This Row],[Dest DM]]</f>
        <v>0</v>
      </c>
      <c r="BP85" s="191" cm="1">
        <f t="array" aca="1" ref="BP85" ca="1">IF(TblConstr[[#This Row],[Hour]:[Hour]]&gt;12,OFFSET(TblConstr[[#This Row],[Sch]],-12,0),0)+OFFSET(TblConstr[[#This Row],[Tot Sch]],-1,0)-TblConstr[[#This Row],[Dest Sch]]</f>
        <v>0</v>
      </c>
      <c r="BQ85" s="192" cm="1">
        <f t="array" aca="1" ref="BQ85" ca="1">IF(TblConstr[[#This Row],[Hour]:[Hour]]&gt;12,OFFSET(TblConstr[[#This Row],[Doc]],-12,0),0)+OFFSET(TblConstr[[#This Row],[Tot Doc]],-1,0)-TblConstr[[#This Row],[Dest Doc]]</f>
        <v>0</v>
      </c>
      <c r="BR85" s="142"/>
      <c r="BS85" s="154"/>
      <c r="BT85" s="94">
        <f ca="1">TblConstr[[#This Row],[Land]]</f>
        <v>110</v>
      </c>
      <c r="BU85" s="159">
        <f ca="1">TblImps[[#This Row],[Time]]</f>
        <v>46050.374999999804</v>
      </c>
      <c r="BV85" s="142"/>
      <c r="BW85" s="179"/>
      <c r="BX85" s="179"/>
      <c r="BY85" s="179"/>
      <c r="BZ85" s="179"/>
      <c r="CA85" s="179"/>
      <c r="CB85" s="179"/>
      <c r="CC85" s="179"/>
      <c r="CD85" s="179"/>
      <c r="CE85" s="179"/>
      <c r="CF85" s="179"/>
      <c r="CG85" s="179"/>
      <c r="CH85" s="179"/>
      <c r="CI85" s="179"/>
      <c r="CJ85" s="179"/>
      <c r="CK85" s="179"/>
      <c r="CL85" s="179"/>
      <c r="CM85" s="179"/>
      <c r="CN85" s="179"/>
      <c r="CO85" s="179"/>
      <c r="CP85" s="142"/>
      <c r="CQ85" s="181">
        <f ca="1">-SUM(TblConstr[[#This Row],[Alc]:[Mas]])+SUM(TblConstr[[#This Row],[Dest Alc]:[Dest Mas]])+Rezone!L85+IF("Ch_"&amp; home_land=TblConstr[[#Headers],[Ch_Plain]],TblConstr[[#This Row],[Home Land]])+IF(TblConstr[[#This Row],[Hour]:[Hour]]&gt;12,OFFSET(TblExplore[[#This Row],[Plains Explore]],-12,0),0)</f>
        <v>0</v>
      </c>
      <c r="CR85" s="182">
        <f ca="1">-SUM(TblConstr[[#This Row],[Ly]:[Hav]])+SUM(TblConstr[[#This Row],[Dest Ly]:[Dest Hav]]) +Rezone!M85 + IF("Ch_"&amp; home_land=TblConstr[[#Headers],[Ch_Forest]],TblConstr[[#This Row],[Home Land]])+IF(TblConstr[[#This Row],[Hour]:[Hour]]&gt;12,OFFSET(TblExplore[[#This Row],[Forest Explore]],-12,0),0)</f>
        <v>0</v>
      </c>
      <c r="CS85" s="359">
        <f ca="1">-SUM(TblConstr[[#This Row],[OM]:[GN]])+SUM(TblConstr[[#This Row],[Dest OM]:[Dest GN]]) +Rezone!N85 + IF("Ch_"&amp; home_land=TblConstr[[#Headers],[Ch_Mountain]],TblConstr[[#This Row],[Home Land]])+IF(TblConstr[[#This Row],[Hour]:[Hour]]&gt;12,OFFSET(TblExplore[[#This Row],[Mountain Explore]],-12,0),0)</f>
        <v>0</v>
      </c>
      <c r="CT85" s="183">
        <f ca="1">-SUM(TblConstr[[#This Row],[Fac]:[Shr]])+SUM(TblConstr[[#This Row],[Dest Fac]:[Dest Shr]]) +Rezone!O85 + IF("Ch_" &amp; home_land=TblConstr[[#Headers],[Ch_Hill]],TblConstr[[#This Row],[Home Land]])+IF(TblConstr[[#This Row],[Hour]:[Hour]]&gt;12,OFFSET(TblExplore[[#This Row],[Hill Explore]],-12,0),0)</f>
        <v>0</v>
      </c>
      <c r="CU85" s="184">
        <f ca="1">-SUM(TblConstr[[#This Row],[Tow]:[WG]])+SUM(TblConstr[[#This Row],[Dest Tow]:[Dest WG]]) +Rezone!P85 + IF("Ch_" &amp; home_land=TblConstr[[#Headers],[Ch_Swamp]],TblConstr[[#This Row],[Home Land]])+IF(TblConstr[[#This Row],[Hour]:[Hour]]&gt;12,OFFSET(TblExplore[[#This Row],[Swamp Explore]],-12,0),0)</f>
        <v>0</v>
      </c>
      <c r="CV85" s="185">
        <f ca="1" xml:space="preserve"> - SUM(TblConstr[[#This Row],[DM]:[Sch]])+SUM(TblConstr[[#This Row],[Dest DM]:[Dest Sch]]) +Rezone!Q85 + IF("Ch_" &amp; home_land=TblConstr[[#Headers],[Ch_Cavern]],TblConstr[[#This Row],[Home Land]])+IF(TblConstr[[#This Row],[Hour]:[Hour]]&gt;12,OFFSET(TblExplore[[#This Row],[Cavern Explore]],-12,0),0)</f>
        <v>0</v>
      </c>
      <c r="CW85" s="186">
        <f ca="1">-TblConstr[[#This Row],[Doc]]+TblConstr[[#This Row],[Dest Doc]] +Rezone!R85 + IF("Ch_" &amp; home_land=TblConstr[[#Headers],[Ch_Water]],TblConstr[[#This Row],[Home Land]])+IF(TblConstr[[#This Row],[Hour]:[Hour]]&gt;12,OFFSET(TblExplore[[#This Row],[Water Explore]],-12,0),0)</f>
        <v>0</v>
      </c>
      <c r="CX85" s="45">
        <f>IF(Explore!S85=1,20) - TblConstr[[#This Row],[Hom]] + TblConstr[[#This Row],[Dest Hom]]</f>
        <v>0</v>
      </c>
      <c r="CY85" s="142"/>
      <c r="CZ85" s="94">
        <f t="shared" ca="1" si="23"/>
        <v>90</v>
      </c>
      <c r="DA85" s="94">
        <f t="shared" ca="1" si="24"/>
        <v>20</v>
      </c>
      <c r="DB85" s="45">
        <f t="shared" ca="1" si="25"/>
        <v>0</v>
      </c>
      <c r="DC85" s="94">
        <f t="shared" ca="1" si="26"/>
        <v>0</v>
      </c>
      <c r="DD85" s="94">
        <f t="shared" ca="1" si="27"/>
        <v>0</v>
      </c>
      <c r="DE85" s="45">
        <f t="shared" ca="1" si="28"/>
        <v>0</v>
      </c>
      <c r="DF85" s="94">
        <f t="shared" ca="1" si="29"/>
        <v>0</v>
      </c>
      <c r="DG85" s="94" cm="1">
        <f t="array" aca="1" ref="DG85" ca="1">INDEX(TblConstr[[Total Plain]:[Total Water]],ROW()-ROW(TblConstr[#Headers]),MATCH("Total "&amp;home_land,TblConstr[[#Headers],[Total Plain]:[Total Water]],0))+TblConstr[[#This Row],[Homes]]</f>
        <v>90</v>
      </c>
      <c r="DH85" s="45">
        <f t="shared" ca="1" si="22"/>
        <v>0</v>
      </c>
      <c r="DI85" s="45">
        <f t="shared" ca="1" si="19"/>
        <v>0</v>
      </c>
      <c r="DJ85" s="45">
        <f t="shared" ca="1" si="20"/>
        <v>0</v>
      </c>
    </row>
    <row r="86" spans="1:114" x14ac:dyDescent="0.2">
      <c r="A86" s="175">
        <f>TblRezone[[#This Row],[Hour]]</f>
        <v>83</v>
      </c>
      <c r="B86" s="176">
        <f ca="1">SUM(TblConstr[[#This Row],[Plain]:[Water]])</f>
        <v>60</v>
      </c>
      <c r="C86" s="177">
        <f ca="1">SUM(TblConstr[[#This Row],[Tot Hom]:[Tot Doc]])</f>
        <v>50</v>
      </c>
      <c r="D86" s="177">
        <f t="shared" si="21"/>
        <v>0</v>
      </c>
      <c r="E86" s="178"/>
      <c r="F86" s="61">
        <f ca="1">TblConstr[[#This Row],[Barren]]+TblConstr[[#This Row],[Buildings]]+TblConstr[[#This Row],[Incoming]]</f>
        <v>110</v>
      </c>
      <c r="G86" s="187">
        <f ca="1">OFFSET(TblConstr[[#This Row],[Plain]],-1,0)+TblConstr[[#This Row],[Ch_Plain]]</f>
        <v>60</v>
      </c>
      <c r="H86" s="182">
        <f ca="1">OFFSET(TblConstr[[#This Row],[Forest]],-1,0)+TblConstr[[#This Row],[Ch_Forest]]</f>
        <v>0</v>
      </c>
      <c r="I86" s="359">
        <f ca="1">OFFSET(TblConstr[[#This Row],[Mountain]],-1,0)+TblConstr[[#This Row],[Ch_Mountain]]</f>
        <v>0</v>
      </c>
      <c r="J86" s="363">
        <f ca="1">OFFSET(TblConstr[[#This Row],[Hill]],-1,0)+TblConstr[[#This Row],[Ch_Hill]]</f>
        <v>0</v>
      </c>
      <c r="K86" s="367">
        <f ca="1">OFFSET(TblConstr[[#This Row],[Swamp]],-1,0)+TblConstr[[#This Row],[Ch_Swamp]]</f>
        <v>0</v>
      </c>
      <c r="L86" s="185">
        <f ca="1">OFFSET(TblConstr[[#This Row],[Cavern]],-1,0)+TblConstr[[#This Row],[Ch_Cavern]]</f>
        <v>0</v>
      </c>
      <c r="M86" s="186">
        <f ca="1">OFFSET(TblConstr[[#This Row],[Water]],-1,0)+TblConstr[[#This Row],[Ch_Water]]</f>
        <v>0</v>
      </c>
      <c r="N86" s="357">
        <f>TblRezone[[#This Row],[Hour]]</f>
        <v>83</v>
      </c>
      <c r="O86" s="179"/>
      <c r="P86" s="179"/>
      <c r="Q86" s="179"/>
      <c r="R86" s="158"/>
      <c r="S86" s="179"/>
      <c r="T86" s="179"/>
      <c r="U86" s="179"/>
      <c r="V86" s="179"/>
      <c r="W86" s="179"/>
      <c r="X86" s="179"/>
      <c r="Y86" s="179"/>
      <c r="Z86" s="179"/>
      <c r="AA86" s="179"/>
      <c r="AB86" s="179"/>
      <c r="AC86" s="179"/>
      <c r="AD86" s="179"/>
      <c r="AE86" s="179"/>
      <c r="AF86" s="179"/>
      <c r="AG86" s="179"/>
      <c r="AH86" s="53">
        <f ca="1">TblImps[[#This Row],[Time]]</f>
        <v>46050.416666666468</v>
      </c>
      <c r="AI86" s="180">
        <f ca="1">MIN(25%,(TblConstr[[#This Row],[Tot Fac]]+TblConstr[[#This Row],[Dest Fac]])/(TblConstr[[#This Row],[Land]]-TblExplore[[#This Row],[Land Bonus]]*20))</f>
        <v>0</v>
      </c>
      <c r="AJ86" s="180">
        <f ca="1">MIN(25%,(TblConstr[[#This Row],[Tot Fac]]+TblConstr[[#This Row],[Dest Fac]])/TblConstr[[#This Row],[Land]])</f>
        <v>0</v>
      </c>
      <c r="AK86" s="94">
        <f ca="1">TblProd[[#This Row],[Platinum]]</f>
        <v>181153</v>
      </c>
      <c r="AL86" s="94">
        <f ca="1">TblProd[[#This Row],[Lumber]]</f>
        <v>62715</v>
      </c>
      <c r="AM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6" s="94">
        <f ca="1">ROUNDDOWN( MAX(1 - MIN(facs_constr_factor*TblConstr[[#This Row],[Facs -DB]],facs_constr_max) + tech_1_11*TblTech[[#This Row],[11-1]] + tech_6_3_2*TblTech[[#This Row],[6-3]] + tech_5_2_3*TblTech[[#This Row],[5-2]], 1-global_constr_cap) * TblConstr[[#This Row],[RCPA Lumber]],0)</f>
        <v>48</v>
      </c>
      <c r="AO8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6" s="94">
        <f ca="1">ROUNDDOWN( MAX(1 - MIN(facs_constr_factor*TblConstr[[#This Row],[Facs DB]],facs_constr_max) + tech_1_11*TblTech[[#This Row],[1-11]] + tech_6_3_2*TblTech[[#This Row],[6-3]] + tech_5_2_3*TblTech[[#This Row],[5-2]], 1-global_constr_cap) * ROUND((TblConstr[[#This Row],[Land]]-250)*0.285 + 87.5 + 0/4.25,0),0)</f>
        <v>48</v>
      </c>
      <c r="AQ86" s="45">
        <f ca="1">TblConstr[[#This Row],[build -db]]*TblConstr[[#This Row],[CPA Platinum -DB]] + TblConstr[[#This Row],[build db]]*TblConstr[[#This Row],[CPA Platinum DB]]</f>
        <v>0</v>
      </c>
      <c r="AR86" s="45">
        <f ca="1">TblConstr[[#This Row],[build -db]]*TblConstr[[#This Row],[CPA Lumber -DB]] + TblConstr[[#This Row],[build db]]*TblConstr[[#This Row],[CPA Lumber DB]]</f>
        <v>0</v>
      </c>
      <c r="AS86" s="94">
        <f ca="1">MIN(SUM(OFFSET(TblConstr[[#This Row],[Plain]:[Water]],-1,0))+SUM(TblConstr[[#This Row],[Dest Hom]:[Dest Doc]])+IF(TblConstr[[#This Row],[Hour]]&gt;12,SUM(OFFSET(TblExplore[[#This Row],[Plains Explore]:[Water Explore]],-12,0)),0),SUM(TblConstr[[#This Row],[Hom]:[Doc]]))</f>
        <v>0</v>
      </c>
      <c r="AT8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6" s="142"/>
      <c r="AV86" s="94">
        <f ca="1">ROUND((TblConstr[[#This Row],[Land]]-250 - IF(TblExplore[[#This Row],[Land Bonus]]&lt;&gt;0,20,0))*1.25 + 850 + 0,0)</f>
        <v>675</v>
      </c>
      <c r="AW86" s="94">
        <f ca="1">ROUND((TblConstr[[#This Row],[Land]]-250 - IF(TblExplore[[#This Row],[Land Bonus]]&lt;&gt;0,20,0))*0.285 + 87.5 + 0/4.25,0)</f>
        <v>48</v>
      </c>
      <c r="AX86" s="154"/>
      <c r="AY86" s="188" cm="1">
        <f t="array" aca="1" ref="AY86" ca="1">IF(TblConstr[[#This Row],[Hour]:[Hour]]&gt;12,OFFSET(TblConstr[[#This Row],[Hom]],-12,0),0)+OFFSET(TblConstr[[#This Row],[Tot Hom]],-1,0)-TblConstr[[#This Row],[Dest Hom]]</f>
        <v>0</v>
      </c>
      <c r="AZ86" s="189" cm="1">
        <f t="array" aca="1" ref="AZ86" ca="1">IF(TblConstr[[#This Row],[Hour]:[Hour]]&gt;12,OFFSET(TblConstr[[#This Row],[Alc]],-12,0),0)+OFFSET(TblConstr[[#This Row],[Tot Alc]],-1,0)-TblConstr[[#This Row],[Dest Alc]]</f>
        <v>0</v>
      </c>
      <c r="BA86" s="189" cm="1">
        <f t="array" aca="1" ref="BA86" ca="1">IF(TblConstr[[#This Row],[Hour]:[Hour]]&gt;12,OFFSET(TblConstr[[#This Row],[Far]],-12,0),0)+OFFSET(TblConstr[[#This Row],[Tot Farm]],-1,0)-TblConstr[[#This Row],[Dest Farm]]</f>
        <v>30</v>
      </c>
      <c r="BB86" s="189" cm="1">
        <f t="array" aca="1" ref="BB86" ca="1">IF(TblConstr[[#This Row],[Hour]:[Hour]]&gt;12,OFFSET(TblConstr[[#This Row],[Smi]],-12,0),0)+OFFSET(TblConstr[[#This Row],[Tot Smi]],-1,0)-TblConstr[[#This Row],[Dest Smi]]</f>
        <v>0</v>
      </c>
      <c r="BC86" s="189" cm="1">
        <f t="array" aca="1" ref="BC86" ca="1">IF(TblConstr[[#This Row],[Hour]:[Hour]]&gt;12,OFFSET(TblConstr[[#This Row],[Mas]],-12,0),0)+OFFSET(TblConstr[[#This Row],[Tot Mas]],-1,0)-TblConstr[[#This Row],[Dest Mas]]</f>
        <v>0</v>
      </c>
      <c r="BD86" s="190" cm="1">
        <f t="array" aca="1" ref="BD86" ca="1">IF(TblConstr[[#This Row],[Hour]:[Hour]]&gt;12,OFFSET(TblConstr[[#This Row],[Ly]],-12,0),0)+OFFSET(TblConstr[[#This Row],[Tot Ly]],-1,0)-TblConstr[[#This Row],[Dest Ly]]</f>
        <v>20</v>
      </c>
      <c r="BE86" s="190" cm="1">
        <f t="array" aca="1" ref="BE86" ca="1">IF(TblConstr[[#This Row],[Hour]:[Hour]]&gt;12,OFFSET(TblConstr[[#This Row],[Hav]],-12,0),0)+OFFSET(TblConstr[[#This Row],[Tot Hav]],-1,0)-TblConstr[[#This Row],[Dest Hav]]</f>
        <v>0</v>
      </c>
      <c r="BF86" s="361" cm="1">
        <f t="array" aca="1" ref="BF86" ca="1">IF(TblConstr[[#This Row],[Hour]:[Hour]]&gt;12,OFFSET(TblConstr[[#This Row],[OM]],-12,0),0)+OFFSET(TblConstr[[#This Row],[Tot OM]],-1,0)-TblConstr[[#This Row],[Dest OM]]</f>
        <v>0</v>
      </c>
      <c r="BG86" s="361" cm="1">
        <f t="array" aca="1" ref="BG86" ca="1">IF(TblConstr[[#This Row],[Hour]:[Hour]]&gt;12,OFFSET(TblConstr[[#This Row],[GN]],-12,0),0)+OFFSET(TblConstr[[#This Row],[Tot GN]],-1,0)-TblConstr[[#This Row],[Dest GN]]</f>
        <v>0</v>
      </c>
      <c r="BH86" s="365" cm="1">
        <f t="array" aca="1" ref="BH86" ca="1">IF(TblConstr[[#This Row],[Hour]:[Hour]]&gt;12,OFFSET(TblConstr[[#This Row],[Fac]],-12,0),0)+OFFSET(TblConstr[[#This Row],[Tot Fac]],-1,0)-TblConstr[[#This Row],[Dest Fac]]</f>
        <v>0</v>
      </c>
      <c r="BI86" s="365" cm="1">
        <f t="array" aca="1" ref="BI86" ca="1">IF(TblConstr[[#This Row],[Hour]:[Hour]]&gt;12,OFFSET(TblConstr[[#This Row],[GT]],-12,0),0)+OFFSET(TblConstr[[#This Row],[Tot GT]],-1,0)-TblConstr[[#This Row],[Dest GT]]</f>
        <v>0</v>
      </c>
      <c r="BJ86" s="365" cm="1">
        <f t="array" aca="1" ref="BJ86" ca="1">IF(TblConstr[[#This Row],[Hour]:[Hour]]&gt;12,OFFSET(TblConstr[[#This Row],[Bar]],-12,0),0)+OFFSET(TblConstr[[#This Row],[Tot Bar]],-1,0)-TblConstr[[#This Row],[Dest Bar]]</f>
        <v>0</v>
      </c>
      <c r="BK86" s="365" cm="1">
        <f t="array" aca="1" ref="BK86" ca="1">IF(TblConstr[[#This Row],[Hour]:[Hour]]&gt;12,OFFSET(TblConstr[[#This Row],[Shr]],-12,0),0)+OFFSET(TblConstr[[#This Row],[Tot Shr]],-1,0)-TblConstr[[#This Row],[Dest Shr]]</f>
        <v>0</v>
      </c>
      <c r="BL86" s="369" cm="1">
        <f t="array" aca="1" ref="BL86" ca="1">IF(TblConstr[[#This Row],[Hour]:[Hour]]&gt;12,OFFSET(TblConstr[[#This Row],[Tow]],-12,0),0)+OFFSET(TblConstr[[#This Row],[Tot Tow]],-1,0)-TblConstr[[#This Row],[Dest Tow]]</f>
        <v>0</v>
      </c>
      <c r="BM86" s="369" cm="1">
        <f t="array" aca="1" ref="BM86" ca="1">IF(TblConstr[[#This Row],[Hour]:[Hour]]&gt;12,OFFSET(TblConstr[[#This Row],[Tem]],-12,0),0)+OFFSET(TblConstr[[#This Row],[Tot Tem]],-1,0)-TblConstr[[#This Row],[Dest Tem]]</f>
        <v>0</v>
      </c>
      <c r="BN86" s="369" cm="1">
        <f t="array" aca="1" ref="BN86" ca="1">IF(TblConstr[[#This Row],[Hour]:[Hour]]&gt;12,OFFSET(TblConstr[[#This Row],[WG]],-12,0),0)+OFFSET(TblConstr[[#This Row],[Tot WG]],-1,0)-TblConstr[[#This Row],[Dest WG]]</f>
        <v>0</v>
      </c>
      <c r="BO86" s="191" cm="1">
        <f t="array" aca="1" ref="BO86" ca="1">IF(TblConstr[[#This Row],[Hour]:[Hour]]&gt;12,OFFSET(TblConstr[[#This Row],[DM]],-12,0),0)+OFFSET(TblConstr[[#This Row],[Tot DM]],-1,0)-TblConstr[[#This Row],[Dest DM]]</f>
        <v>0</v>
      </c>
      <c r="BP86" s="191" cm="1">
        <f t="array" aca="1" ref="BP86" ca="1">IF(TblConstr[[#This Row],[Hour]:[Hour]]&gt;12,OFFSET(TblConstr[[#This Row],[Sch]],-12,0),0)+OFFSET(TblConstr[[#This Row],[Tot Sch]],-1,0)-TblConstr[[#This Row],[Dest Sch]]</f>
        <v>0</v>
      </c>
      <c r="BQ86" s="192" cm="1">
        <f t="array" aca="1" ref="BQ86" ca="1">IF(TblConstr[[#This Row],[Hour]:[Hour]]&gt;12,OFFSET(TblConstr[[#This Row],[Doc]],-12,0),0)+OFFSET(TblConstr[[#This Row],[Tot Doc]],-1,0)-TblConstr[[#This Row],[Dest Doc]]</f>
        <v>0</v>
      </c>
      <c r="BR86" s="142"/>
      <c r="BS86" s="154"/>
      <c r="BT86" s="94">
        <f ca="1">TblConstr[[#This Row],[Land]]</f>
        <v>110</v>
      </c>
      <c r="BU86" s="159">
        <f ca="1">TblImps[[#This Row],[Time]]</f>
        <v>46050.416666666468</v>
      </c>
      <c r="BV86" s="142"/>
      <c r="BW86" s="179"/>
      <c r="BX86" s="179"/>
      <c r="BY86" s="179"/>
      <c r="BZ86" s="179"/>
      <c r="CA86" s="179"/>
      <c r="CB86" s="179"/>
      <c r="CC86" s="179"/>
      <c r="CD86" s="179"/>
      <c r="CE86" s="179"/>
      <c r="CF86" s="179"/>
      <c r="CG86" s="179"/>
      <c r="CH86" s="179"/>
      <c r="CI86" s="179"/>
      <c r="CJ86" s="179"/>
      <c r="CK86" s="179"/>
      <c r="CL86" s="179"/>
      <c r="CM86" s="179"/>
      <c r="CN86" s="179"/>
      <c r="CO86" s="179"/>
      <c r="CP86" s="142"/>
      <c r="CQ86" s="181">
        <f ca="1">-SUM(TblConstr[[#This Row],[Alc]:[Mas]])+SUM(TblConstr[[#This Row],[Dest Alc]:[Dest Mas]])+Rezone!L86+IF("Ch_"&amp; home_land=TblConstr[[#Headers],[Ch_Plain]],TblConstr[[#This Row],[Home Land]])+IF(TblConstr[[#This Row],[Hour]:[Hour]]&gt;12,OFFSET(TblExplore[[#This Row],[Plains Explore]],-12,0),0)</f>
        <v>0</v>
      </c>
      <c r="CR86" s="182">
        <f ca="1">-SUM(TblConstr[[#This Row],[Ly]:[Hav]])+SUM(TblConstr[[#This Row],[Dest Ly]:[Dest Hav]]) +Rezone!M86 + IF("Ch_"&amp; home_land=TblConstr[[#Headers],[Ch_Forest]],TblConstr[[#This Row],[Home Land]])+IF(TblConstr[[#This Row],[Hour]:[Hour]]&gt;12,OFFSET(TblExplore[[#This Row],[Forest Explore]],-12,0),0)</f>
        <v>0</v>
      </c>
      <c r="CS86" s="359">
        <f ca="1">-SUM(TblConstr[[#This Row],[OM]:[GN]])+SUM(TblConstr[[#This Row],[Dest OM]:[Dest GN]]) +Rezone!N86 + IF("Ch_"&amp; home_land=TblConstr[[#Headers],[Ch_Mountain]],TblConstr[[#This Row],[Home Land]])+IF(TblConstr[[#This Row],[Hour]:[Hour]]&gt;12,OFFSET(TblExplore[[#This Row],[Mountain Explore]],-12,0),0)</f>
        <v>0</v>
      </c>
      <c r="CT86" s="183">
        <f ca="1">-SUM(TblConstr[[#This Row],[Fac]:[Shr]])+SUM(TblConstr[[#This Row],[Dest Fac]:[Dest Shr]]) +Rezone!O86 + IF("Ch_" &amp; home_land=TblConstr[[#Headers],[Ch_Hill]],TblConstr[[#This Row],[Home Land]])+IF(TblConstr[[#This Row],[Hour]:[Hour]]&gt;12,OFFSET(TblExplore[[#This Row],[Hill Explore]],-12,0),0)</f>
        <v>0</v>
      </c>
      <c r="CU86" s="184">
        <f ca="1">-SUM(TblConstr[[#This Row],[Tow]:[WG]])+SUM(TblConstr[[#This Row],[Dest Tow]:[Dest WG]]) +Rezone!P86 + IF("Ch_" &amp; home_land=TblConstr[[#Headers],[Ch_Swamp]],TblConstr[[#This Row],[Home Land]])+IF(TblConstr[[#This Row],[Hour]:[Hour]]&gt;12,OFFSET(TblExplore[[#This Row],[Swamp Explore]],-12,0),0)</f>
        <v>0</v>
      </c>
      <c r="CV86" s="185">
        <f ca="1" xml:space="preserve"> - SUM(TblConstr[[#This Row],[DM]:[Sch]])+SUM(TblConstr[[#This Row],[Dest DM]:[Dest Sch]]) +Rezone!Q86 + IF("Ch_" &amp; home_land=TblConstr[[#Headers],[Ch_Cavern]],TblConstr[[#This Row],[Home Land]])+IF(TblConstr[[#This Row],[Hour]:[Hour]]&gt;12,OFFSET(TblExplore[[#This Row],[Cavern Explore]],-12,0),0)</f>
        <v>0</v>
      </c>
      <c r="CW86" s="186">
        <f ca="1">-TblConstr[[#This Row],[Doc]]+TblConstr[[#This Row],[Dest Doc]] +Rezone!R86 + IF("Ch_" &amp; home_land=TblConstr[[#Headers],[Ch_Water]],TblConstr[[#This Row],[Home Land]])+IF(TblConstr[[#This Row],[Hour]:[Hour]]&gt;12,OFFSET(TblExplore[[#This Row],[Water Explore]],-12,0),0)</f>
        <v>0</v>
      </c>
      <c r="CX86" s="45">
        <f>IF(Explore!S86=1,20) - TblConstr[[#This Row],[Hom]] + TblConstr[[#This Row],[Dest Hom]]</f>
        <v>0</v>
      </c>
      <c r="CY86" s="142"/>
      <c r="CZ86" s="94">
        <f t="shared" ca="1" si="23"/>
        <v>90</v>
      </c>
      <c r="DA86" s="94">
        <f t="shared" ca="1" si="24"/>
        <v>20</v>
      </c>
      <c r="DB86" s="45">
        <f t="shared" ca="1" si="25"/>
        <v>0</v>
      </c>
      <c r="DC86" s="94">
        <f t="shared" ca="1" si="26"/>
        <v>0</v>
      </c>
      <c r="DD86" s="94">
        <f t="shared" ca="1" si="27"/>
        <v>0</v>
      </c>
      <c r="DE86" s="45">
        <f t="shared" ca="1" si="28"/>
        <v>0</v>
      </c>
      <c r="DF86" s="94">
        <f t="shared" ca="1" si="29"/>
        <v>0</v>
      </c>
      <c r="DG86" s="94" cm="1">
        <f t="array" aca="1" ref="DG86" ca="1">INDEX(TblConstr[[Total Plain]:[Total Water]],ROW()-ROW(TblConstr[#Headers]),MATCH("Total "&amp;home_land,TblConstr[[#Headers],[Total Plain]:[Total Water]],0))+TblConstr[[#This Row],[Homes]]</f>
        <v>90</v>
      </c>
      <c r="DH86" s="45">
        <f t="shared" ca="1" si="22"/>
        <v>0</v>
      </c>
      <c r="DI86" s="45">
        <f t="shared" ca="1" si="19"/>
        <v>0</v>
      </c>
      <c r="DJ86" s="45">
        <f t="shared" ca="1" si="20"/>
        <v>0</v>
      </c>
    </row>
    <row r="87" spans="1:114" x14ac:dyDescent="0.2">
      <c r="A87" s="175">
        <f>TblRezone[[#This Row],[Hour]]</f>
        <v>84</v>
      </c>
      <c r="B87" s="176">
        <f ca="1">SUM(TblConstr[[#This Row],[Plain]:[Water]])</f>
        <v>60</v>
      </c>
      <c r="C87" s="177">
        <f ca="1">SUM(TblConstr[[#This Row],[Tot Hom]:[Tot Doc]])</f>
        <v>50</v>
      </c>
      <c r="D87" s="177">
        <f t="shared" si="21"/>
        <v>0</v>
      </c>
      <c r="E87" s="178"/>
      <c r="F87" s="61">
        <f ca="1">TblConstr[[#This Row],[Barren]]+TblConstr[[#This Row],[Buildings]]+TblConstr[[#This Row],[Incoming]]</f>
        <v>110</v>
      </c>
      <c r="G87" s="187">
        <f ca="1">OFFSET(TblConstr[[#This Row],[Plain]],-1,0)+TblConstr[[#This Row],[Ch_Plain]]</f>
        <v>60</v>
      </c>
      <c r="H87" s="182">
        <f ca="1">OFFSET(TblConstr[[#This Row],[Forest]],-1,0)+TblConstr[[#This Row],[Ch_Forest]]</f>
        <v>0</v>
      </c>
      <c r="I87" s="359">
        <f ca="1">OFFSET(TblConstr[[#This Row],[Mountain]],-1,0)+TblConstr[[#This Row],[Ch_Mountain]]</f>
        <v>0</v>
      </c>
      <c r="J87" s="363">
        <f ca="1">OFFSET(TblConstr[[#This Row],[Hill]],-1,0)+TblConstr[[#This Row],[Ch_Hill]]</f>
        <v>0</v>
      </c>
      <c r="K87" s="367">
        <f ca="1">OFFSET(TblConstr[[#This Row],[Swamp]],-1,0)+TblConstr[[#This Row],[Ch_Swamp]]</f>
        <v>0</v>
      </c>
      <c r="L87" s="185">
        <f ca="1">OFFSET(TblConstr[[#This Row],[Cavern]],-1,0)+TblConstr[[#This Row],[Ch_Cavern]]</f>
        <v>0</v>
      </c>
      <c r="M87" s="186">
        <f ca="1">OFFSET(TblConstr[[#This Row],[Water]],-1,0)+TblConstr[[#This Row],[Ch_Water]]</f>
        <v>0</v>
      </c>
      <c r="N87" s="357">
        <f>TblRezone[[#This Row],[Hour]]</f>
        <v>84</v>
      </c>
      <c r="O87" s="179"/>
      <c r="P87" s="179"/>
      <c r="Q87" s="179"/>
      <c r="R87" s="179"/>
      <c r="S87" s="179"/>
      <c r="T87" s="179"/>
      <c r="U87" s="179"/>
      <c r="V87" s="179"/>
      <c r="W87" s="179"/>
      <c r="X87" s="179"/>
      <c r="Y87" s="179"/>
      <c r="Z87" s="179"/>
      <c r="AA87" s="179"/>
      <c r="AB87" s="179"/>
      <c r="AC87" s="179"/>
      <c r="AD87" s="179"/>
      <c r="AE87" s="179"/>
      <c r="AF87" s="179"/>
      <c r="AG87" s="179"/>
      <c r="AH87" s="53">
        <f ca="1">TblImps[[#This Row],[Time]]</f>
        <v>46050.458333333132</v>
      </c>
      <c r="AI87" s="180">
        <f ca="1">MIN(25%,(TblConstr[[#This Row],[Tot Fac]]+TblConstr[[#This Row],[Dest Fac]])/(TblConstr[[#This Row],[Land]]-TblExplore[[#This Row],[Land Bonus]]*20))</f>
        <v>0</v>
      </c>
      <c r="AJ87" s="180">
        <f ca="1">MIN(25%,(TblConstr[[#This Row],[Tot Fac]]+TblConstr[[#This Row],[Dest Fac]])/TblConstr[[#This Row],[Land]])</f>
        <v>0</v>
      </c>
      <c r="AK87" s="94">
        <f ca="1">TblProd[[#This Row],[Platinum]]</f>
        <v>182338</v>
      </c>
      <c r="AL87" s="94">
        <f ca="1">TblProd[[#This Row],[Lumber]]</f>
        <v>63088</v>
      </c>
      <c r="AM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7" s="94">
        <f ca="1">ROUNDDOWN( MAX(1 - MIN(facs_constr_factor*TblConstr[[#This Row],[Facs -DB]],facs_constr_max) + tech_1_11*TblTech[[#This Row],[11-1]] + tech_6_3_2*TblTech[[#This Row],[6-3]] + tech_5_2_3*TblTech[[#This Row],[5-2]], 1-global_constr_cap) * TblConstr[[#This Row],[RCPA Lumber]],0)</f>
        <v>48</v>
      </c>
      <c r="AO8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7" s="94">
        <f ca="1">ROUNDDOWN( MAX(1 - MIN(facs_constr_factor*TblConstr[[#This Row],[Facs DB]],facs_constr_max) + tech_1_11*TblTech[[#This Row],[1-11]] + tech_6_3_2*TblTech[[#This Row],[6-3]] + tech_5_2_3*TblTech[[#This Row],[5-2]], 1-global_constr_cap) * ROUND((TblConstr[[#This Row],[Land]]-250)*0.285 + 87.5 + 0/4.25,0),0)</f>
        <v>48</v>
      </c>
      <c r="AQ87" s="45">
        <f ca="1">TblConstr[[#This Row],[build -db]]*TblConstr[[#This Row],[CPA Platinum -DB]] + TblConstr[[#This Row],[build db]]*TblConstr[[#This Row],[CPA Platinum DB]]</f>
        <v>0</v>
      </c>
      <c r="AR87" s="45">
        <f ca="1">TblConstr[[#This Row],[build -db]]*TblConstr[[#This Row],[CPA Lumber -DB]] + TblConstr[[#This Row],[build db]]*TblConstr[[#This Row],[CPA Lumber DB]]</f>
        <v>0</v>
      </c>
      <c r="AS87" s="94">
        <f ca="1">MIN(SUM(OFFSET(TblConstr[[#This Row],[Plain]:[Water]],-1,0))+SUM(TblConstr[[#This Row],[Dest Hom]:[Dest Doc]])+IF(TblConstr[[#This Row],[Hour]]&gt;12,SUM(OFFSET(TblExplore[[#This Row],[Plains Explore]:[Water Explore]],-12,0)),0),SUM(TblConstr[[#This Row],[Hom]:[Doc]]))</f>
        <v>0</v>
      </c>
      <c r="AT8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7" s="142"/>
      <c r="AV87" s="94">
        <f ca="1">ROUND((TblConstr[[#This Row],[Land]]-250 - IF(TblExplore[[#This Row],[Land Bonus]]&lt;&gt;0,20,0))*1.25 + 850 + 0,0)</f>
        <v>675</v>
      </c>
      <c r="AW87" s="94">
        <f ca="1">ROUND((TblConstr[[#This Row],[Land]]-250 - IF(TblExplore[[#This Row],[Land Bonus]]&lt;&gt;0,20,0))*0.285 + 87.5 + 0/4.25,0)</f>
        <v>48</v>
      </c>
      <c r="AX87" s="154"/>
      <c r="AY87" s="188" cm="1">
        <f t="array" aca="1" ref="AY87" ca="1">IF(TblConstr[[#This Row],[Hour]:[Hour]]&gt;12,OFFSET(TblConstr[[#This Row],[Hom]],-12,0),0)+OFFSET(TblConstr[[#This Row],[Tot Hom]],-1,0)-TblConstr[[#This Row],[Dest Hom]]</f>
        <v>0</v>
      </c>
      <c r="AZ87" s="189" cm="1">
        <f t="array" aca="1" ref="AZ87" ca="1">IF(TblConstr[[#This Row],[Hour]:[Hour]]&gt;12,OFFSET(TblConstr[[#This Row],[Alc]],-12,0),0)+OFFSET(TblConstr[[#This Row],[Tot Alc]],-1,0)-TblConstr[[#This Row],[Dest Alc]]</f>
        <v>0</v>
      </c>
      <c r="BA87" s="189" cm="1">
        <f t="array" aca="1" ref="BA87" ca="1">IF(TblConstr[[#This Row],[Hour]:[Hour]]&gt;12,OFFSET(TblConstr[[#This Row],[Far]],-12,0),0)+OFFSET(TblConstr[[#This Row],[Tot Farm]],-1,0)-TblConstr[[#This Row],[Dest Farm]]</f>
        <v>30</v>
      </c>
      <c r="BB87" s="189" cm="1">
        <f t="array" aca="1" ref="BB87" ca="1">IF(TblConstr[[#This Row],[Hour]:[Hour]]&gt;12,OFFSET(TblConstr[[#This Row],[Smi]],-12,0),0)+OFFSET(TblConstr[[#This Row],[Tot Smi]],-1,0)-TblConstr[[#This Row],[Dest Smi]]</f>
        <v>0</v>
      </c>
      <c r="BC87" s="189" cm="1">
        <f t="array" aca="1" ref="BC87" ca="1">IF(TblConstr[[#This Row],[Hour]:[Hour]]&gt;12,OFFSET(TblConstr[[#This Row],[Mas]],-12,0),0)+OFFSET(TblConstr[[#This Row],[Tot Mas]],-1,0)-TblConstr[[#This Row],[Dest Mas]]</f>
        <v>0</v>
      </c>
      <c r="BD87" s="190" cm="1">
        <f t="array" aca="1" ref="BD87" ca="1">IF(TblConstr[[#This Row],[Hour]:[Hour]]&gt;12,OFFSET(TblConstr[[#This Row],[Ly]],-12,0),0)+OFFSET(TblConstr[[#This Row],[Tot Ly]],-1,0)-TblConstr[[#This Row],[Dest Ly]]</f>
        <v>20</v>
      </c>
      <c r="BE87" s="190" cm="1">
        <f t="array" aca="1" ref="BE87" ca="1">IF(TblConstr[[#This Row],[Hour]:[Hour]]&gt;12,OFFSET(TblConstr[[#This Row],[Hav]],-12,0),0)+OFFSET(TblConstr[[#This Row],[Tot Hav]],-1,0)-TblConstr[[#This Row],[Dest Hav]]</f>
        <v>0</v>
      </c>
      <c r="BF87" s="361" cm="1">
        <f t="array" aca="1" ref="BF87" ca="1">IF(TblConstr[[#This Row],[Hour]:[Hour]]&gt;12,OFFSET(TblConstr[[#This Row],[OM]],-12,0),0)+OFFSET(TblConstr[[#This Row],[Tot OM]],-1,0)-TblConstr[[#This Row],[Dest OM]]</f>
        <v>0</v>
      </c>
      <c r="BG87" s="361" cm="1">
        <f t="array" aca="1" ref="BG87" ca="1">IF(TblConstr[[#This Row],[Hour]:[Hour]]&gt;12,OFFSET(TblConstr[[#This Row],[GN]],-12,0),0)+OFFSET(TblConstr[[#This Row],[Tot GN]],-1,0)-TblConstr[[#This Row],[Dest GN]]</f>
        <v>0</v>
      </c>
      <c r="BH87" s="365" cm="1">
        <f t="array" aca="1" ref="BH87" ca="1">IF(TblConstr[[#This Row],[Hour]:[Hour]]&gt;12,OFFSET(TblConstr[[#This Row],[Fac]],-12,0),0)+OFFSET(TblConstr[[#This Row],[Tot Fac]],-1,0)-TblConstr[[#This Row],[Dest Fac]]</f>
        <v>0</v>
      </c>
      <c r="BI87" s="365" cm="1">
        <f t="array" aca="1" ref="BI87" ca="1">IF(TblConstr[[#This Row],[Hour]:[Hour]]&gt;12,OFFSET(TblConstr[[#This Row],[GT]],-12,0),0)+OFFSET(TblConstr[[#This Row],[Tot GT]],-1,0)-TblConstr[[#This Row],[Dest GT]]</f>
        <v>0</v>
      </c>
      <c r="BJ87" s="365" cm="1">
        <f t="array" aca="1" ref="BJ87" ca="1">IF(TblConstr[[#This Row],[Hour]:[Hour]]&gt;12,OFFSET(TblConstr[[#This Row],[Bar]],-12,0),0)+OFFSET(TblConstr[[#This Row],[Tot Bar]],-1,0)-TblConstr[[#This Row],[Dest Bar]]</f>
        <v>0</v>
      </c>
      <c r="BK87" s="365" cm="1">
        <f t="array" aca="1" ref="BK87" ca="1">IF(TblConstr[[#This Row],[Hour]:[Hour]]&gt;12,OFFSET(TblConstr[[#This Row],[Shr]],-12,0),0)+OFFSET(TblConstr[[#This Row],[Tot Shr]],-1,0)-TblConstr[[#This Row],[Dest Shr]]</f>
        <v>0</v>
      </c>
      <c r="BL87" s="369" cm="1">
        <f t="array" aca="1" ref="BL87" ca="1">IF(TblConstr[[#This Row],[Hour]:[Hour]]&gt;12,OFFSET(TblConstr[[#This Row],[Tow]],-12,0),0)+OFFSET(TblConstr[[#This Row],[Tot Tow]],-1,0)-TblConstr[[#This Row],[Dest Tow]]</f>
        <v>0</v>
      </c>
      <c r="BM87" s="369" cm="1">
        <f t="array" aca="1" ref="BM87" ca="1">IF(TblConstr[[#This Row],[Hour]:[Hour]]&gt;12,OFFSET(TblConstr[[#This Row],[Tem]],-12,0),0)+OFFSET(TblConstr[[#This Row],[Tot Tem]],-1,0)-TblConstr[[#This Row],[Dest Tem]]</f>
        <v>0</v>
      </c>
      <c r="BN87" s="369" cm="1">
        <f t="array" aca="1" ref="BN87" ca="1">IF(TblConstr[[#This Row],[Hour]:[Hour]]&gt;12,OFFSET(TblConstr[[#This Row],[WG]],-12,0),0)+OFFSET(TblConstr[[#This Row],[Tot WG]],-1,0)-TblConstr[[#This Row],[Dest WG]]</f>
        <v>0</v>
      </c>
      <c r="BO87" s="191" cm="1">
        <f t="array" aca="1" ref="BO87" ca="1">IF(TblConstr[[#This Row],[Hour]:[Hour]]&gt;12,OFFSET(TblConstr[[#This Row],[DM]],-12,0),0)+OFFSET(TblConstr[[#This Row],[Tot DM]],-1,0)-TblConstr[[#This Row],[Dest DM]]</f>
        <v>0</v>
      </c>
      <c r="BP87" s="191" cm="1">
        <f t="array" aca="1" ref="BP87" ca="1">IF(TblConstr[[#This Row],[Hour]:[Hour]]&gt;12,OFFSET(TblConstr[[#This Row],[Sch]],-12,0),0)+OFFSET(TblConstr[[#This Row],[Tot Sch]],-1,0)-TblConstr[[#This Row],[Dest Sch]]</f>
        <v>0</v>
      </c>
      <c r="BQ87" s="192" cm="1">
        <f t="array" aca="1" ref="BQ87" ca="1">IF(TblConstr[[#This Row],[Hour]:[Hour]]&gt;12,OFFSET(TblConstr[[#This Row],[Doc]],-12,0),0)+OFFSET(TblConstr[[#This Row],[Tot Doc]],-1,0)-TblConstr[[#This Row],[Dest Doc]]</f>
        <v>0</v>
      </c>
      <c r="BR87" s="142"/>
      <c r="BS87" s="154"/>
      <c r="BT87" s="94">
        <f ca="1">TblConstr[[#This Row],[Land]]</f>
        <v>110</v>
      </c>
      <c r="BU87" s="159">
        <f ca="1">TblImps[[#This Row],[Time]]</f>
        <v>46050.458333333132</v>
      </c>
      <c r="BV87" s="142"/>
      <c r="BW87" s="179"/>
      <c r="BX87" s="179"/>
      <c r="BY87" s="179"/>
      <c r="BZ87" s="179"/>
      <c r="CA87" s="179"/>
      <c r="CB87" s="179"/>
      <c r="CC87" s="179"/>
      <c r="CD87" s="179"/>
      <c r="CE87" s="179"/>
      <c r="CF87" s="179"/>
      <c r="CG87" s="179"/>
      <c r="CH87" s="179"/>
      <c r="CI87" s="179"/>
      <c r="CJ87" s="179"/>
      <c r="CK87" s="179"/>
      <c r="CL87" s="179"/>
      <c r="CM87" s="179"/>
      <c r="CN87" s="179"/>
      <c r="CO87" s="179"/>
      <c r="CP87" s="142"/>
      <c r="CQ87" s="181">
        <f ca="1">-SUM(TblConstr[[#This Row],[Alc]:[Mas]])+SUM(TblConstr[[#This Row],[Dest Alc]:[Dest Mas]])+Rezone!L87+IF("Ch_"&amp; home_land=TblConstr[[#Headers],[Ch_Plain]],TblConstr[[#This Row],[Home Land]])+IF(TblConstr[[#This Row],[Hour]:[Hour]]&gt;12,OFFSET(TblExplore[[#This Row],[Plains Explore]],-12,0),0)</f>
        <v>0</v>
      </c>
      <c r="CR87" s="182">
        <f ca="1">-SUM(TblConstr[[#This Row],[Ly]:[Hav]])+SUM(TblConstr[[#This Row],[Dest Ly]:[Dest Hav]]) +Rezone!M87 + IF("Ch_"&amp; home_land=TblConstr[[#Headers],[Ch_Forest]],TblConstr[[#This Row],[Home Land]])+IF(TblConstr[[#This Row],[Hour]:[Hour]]&gt;12,OFFSET(TblExplore[[#This Row],[Forest Explore]],-12,0),0)</f>
        <v>0</v>
      </c>
      <c r="CS87" s="359">
        <f ca="1">-SUM(TblConstr[[#This Row],[OM]:[GN]])+SUM(TblConstr[[#This Row],[Dest OM]:[Dest GN]]) +Rezone!N87 + IF("Ch_"&amp; home_land=TblConstr[[#Headers],[Ch_Mountain]],TblConstr[[#This Row],[Home Land]])+IF(TblConstr[[#This Row],[Hour]:[Hour]]&gt;12,OFFSET(TblExplore[[#This Row],[Mountain Explore]],-12,0),0)</f>
        <v>0</v>
      </c>
      <c r="CT87" s="183">
        <f ca="1">-SUM(TblConstr[[#This Row],[Fac]:[Shr]])+SUM(TblConstr[[#This Row],[Dest Fac]:[Dest Shr]]) +Rezone!O87 + IF("Ch_" &amp; home_land=TblConstr[[#Headers],[Ch_Hill]],TblConstr[[#This Row],[Home Land]])+IF(TblConstr[[#This Row],[Hour]:[Hour]]&gt;12,OFFSET(TblExplore[[#This Row],[Hill Explore]],-12,0),0)</f>
        <v>0</v>
      </c>
      <c r="CU87" s="184">
        <f ca="1">-SUM(TblConstr[[#This Row],[Tow]:[WG]])+SUM(TblConstr[[#This Row],[Dest Tow]:[Dest WG]]) +Rezone!P87 + IF("Ch_" &amp; home_land=TblConstr[[#Headers],[Ch_Swamp]],TblConstr[[#This Row],[Home Land]])+IF(TblConstr[[#This Row],[Hour]:[Hour]]&gt;12,OFFSET(TblExplore[[#This Row],[Swamp Explore]],-12,0),0)</f>
        <v>0</v>
      </c>
      <c r="CV87" s="185">
        <f ca="1" xml:space="preserve"> - SUM(TblConstr[[#This Row],[DM]:[Sch]])+SUM(TblConstr[[#This Row],[Dest DM]:[Dest Sch]]) +Rezone!Q87 + IF("Ch_" &amp; home_land=TblConstr[[#Headers],[Ch_Cavern]],TblConstr[[#This Row],[Home Land]])+IF(TblConstr[[#This Row],[Hour]:[Hour]]&gt;12,OFFSET(TblExplore[[#This Row],[Cavern Explore]],-12,0),0)</f>
        <v>0</v>
      </c>
      <c r="CW87" s="186">
        <f ca="1">-TblConstr[[#This Row],[Doc]]+TblConstr[[#This Row],[Dest Doc]] +Rezone!R87 + IF("Ch_" &amp; home_land=TblConstr[[#Headers],[Ch_Water]],TblConstr[[#This Row],[Home Land]])+IF(TblConstr[[#This Row],[Hour]:[Hour]]&gt;12,OFFSET(TblExplore[[#This Row],[Water Explore]],-12,0),0)</f>
        <v>0</v>
      </c>
      <c r="CX87" s="45">
        <f>IF(Explore!S87=1,20) - TblConstr[[#This Row],[Hom]] + TblConstr[[#This Row],[Dest Hom]]</f>
        <v>0</v>
      </c>
      <c r="CY87" s="142"/>
      <c r="CZ87" s="94">
        <f t="shared" ca="1" si="23"/>
        <v>90</v>
      </c>
      <c r="DA87" s="94">
        <f t="shared" ca="1" si="24"/>
        <v>20</v>
      </c>
      <c r="DB87" s="45">
        <f t="shared" ca="1" si="25"/>
        <v>0</v>
      </c>
      <c r="DC87" s="94">
        <f t="shared" ca="1" si="26"/>
        <v>0</v>
      </c>
      <c r="DD87" s="94">
        <f t="shared" ca="1" si="27"/>
        <v>0</v>
      </c>
      <c r="DE87" s="45">
        <f t="shared" ca="1" si="28"/>
        <v>0</v>
      </c>
      <c r="DF87" s="94">
        <f t="shared" ca="1" si="29"/>
        <v>0</v>
      </c>
      <c r="DG87" s="94" cm="1">
        <f t="array" aca="1" ref="DG87" ca="1">INDEX(TblConstr[[Total Plain]:[Total Water]],ROW()-ROW(TblConstr[#Headers]),MATCH("Total "&amp;home_land,TblConstr[[#Headers],[Total Plain]:[Total Water]],0))+TblConstr[[#This Row],[Homes]]</f>
        <v>90</v>
      </c>
      <c r="DH87" s="45">
        <f t="shared" ca="1" si="22"/>
        <v>0</v>
      </c>
      <c r="DI87" s="45">
        <f t="shared" ca="1" si="19"/>
        <v>0</v>
      </c>
      <c r="DJ87" s="45">
        <f t="shared" ca="1" si="20"/>
        <v>0</v>
      </c>
    </row>
    <row r="88" spans="1:114" x14ac:dyDescent="0.2">
      <c r="A88" s="175">
        <f>TblRezone[[#This Row],[Hour]]</f>
        <v>85</v>
      </c>
      <c r="B88" s="176">
        <f ca="1">SUM(TblConstr[[#This Row],[Plain]:[Water]])</f>
        <v>60</v>
      </c>
      <c r="C88" s="177">
        <f ca="1">SUM(TblConstr[[#This Row],[Tot Hom]:[Tot Doc]])</f>
        <v>50</v>
      </c>
      <c r="D88" s="177">
        <f t="shared" si="21"/>
        <v>0</v>
      </c>
      <c r="E88" s="178"/>
      <c r="F88" s="61">
        <f ca="1">TblConstr[[#This Row],[Barren]]+TblConstr[[#This Row],[Buildings]]+TblConstr[[#This Row],[Incoming]]</f>
        <v>110</v>
      </c>
      <c r="G88" s="187">
        <f ca="1">OFFSET(TblConstr[[#This Row],[Plain]],-1,0)+TblConstr[[#This Row],[Ch_Plain]]</f>
        <v>60</v>
      </c>
      <c r="H88" s="182">
        <f ca="1">OFFSET(TblConstr[[#This Row],[Forest]],-1,0)+TblConstr[[#This Row],[Ch_Forest]]</f>
        <v>0</v>
      </c>
      <c r="I88" s="359">
        <f ca="1">OFFSET(TblConstr[[#This Row],[Mountain]],-1,0)+TblConstr[[#This Row],[Ch_Mountain]]</f>
        <v>0</v>
      </c>
      <c r="J88" s="363">
        <f ca="1">OFFSET(TblConstr[[#This Row],[Hill]],-1,0)+TblConstr[[#This Row],[Ch_Hill]]</f>
        <v>0</v>
      </c>
      <c r="K88" s="367">
        <f ca="1">OFFSET(TblConstr[[#This Row],[Swamp]],-1,0)+TblConstr[[#This Row],[Ch_Swamp]]</f>
        <v>0</v>
      </c>
      <c r="L88" s="185">
        <f ca="1">OFFSET(TblConstr[[#This Row],[Cavern]],-1,0)+TblConstr[[#This Row],[Ch_Cavern]]</f>
        <v>0</v>
      </c>
      <c r="M88" s="186">
        <f ca="1">OFFSET(TblConstr[[#This Row],[Water]],-1,0)+TblConstr[[#This Row],[Ch_Water]]</f>
        <v>0</v>
      </c>
      <c r="N88" s="357">
        <f>TblRezone[[#This Row],[Hour]]</f>
        <v>85</v>
      </c>
      <c r="O88" s="179"/>
      <c r="P88" s="158"/>
      <c r="Q88" s="179"/>
      <c r="R88" s="179"/>
      <c r="S88" s="179"/>
      <c r="T88" s="179"/>
      <c r="U88" s="179"/>
      <c r="V88" s="179"/>
      <c r="W88" s="179"/>
      <c r="X88" s="179"/>
      <c r="Y88" s="179"/>
      <c r="Z88" s="179"/>
      <c r="AA88" s="179"/>
      <c r="AB88" s="179"/>
      <c r="AC88" s="179"/>
      <c r="AD88" s="179"/>
      <c r="AE88" s="179"/>
      <c r="AF88" s="179"/>
      <c r="AG88" s="158"/>
      <c r="AH88" s="53">
        <f ca="1">TblImps[[#This Row],[Time]]</f>
        <v>46050.499999999796</v>
      </c>
      <c r="AI88" s="180">
        <f ca="1">MIN(25%,(TblConstr[[#This Row],[Tot Fac]]+TblConstr[[#This Row],[Dest Fac]])/(TblConstr[[#This Row],[Land]]-TblExplore[[#This Row],[Land Bonus]]*20))</f>
        <v>0</v>
      </c>
      <c r="AJ88" s="180">
        <f ca="1">MIN(25%,(TblConstr[[#This Row],[Tot Fac]]+TblConstr[[#This Row],[Dest Fac]])/TblConstr[[#This Row],[Land]])</f>
        <v>0</v>
      </c>
      <c r="AK88" s="94">
        <f ca="1">TblProd[[#This Row],[Platinum]]</f>
        <v>183512</v>
      </c>
      <c r="AL88" s="94">
        <f ca="1">TblProd[[#This Row],[Lumber]]</f>
        <v>63457</v>
      </c>
      <c r="AM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8" s="94">
        <f ca="1">ROUNDDOWN( MAX(1 - MIN(facs_constr_factor*TblConstr[[#This Row],[Facs -DB]],facs_constr_max) + tech_1_11*TblTech[[#This Row],[11-1]] + tech_6_3_2*TblTech[[#This Row],[6-3]] + tech_5_2_3*TblTech[[#This Row],[5-2]], 1-global_constr_cap) * TblConstr[[#This Row],[RCPA Lumber]],0)</f>
        <v>48</v>
      </c>
      <c r="AO8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8" s="94">
        <f ca="1">ROUNDDOWN( MAX(1 - MIN(facs_constr_factor*TblConstr[[#This Row],[Facs DB]],facs_constr_max) + tech_1_11*TblTech[[#This Row],[1-11]] + tech_6_3_2*TblTech[[#This Row],[6-3]] + tech_5_2_3*TblTech[[#This Row],[5-2]], 1-global_constr_cap) * ROUND((TblConstr[[#This Row],[Land]]-250)*0.285 + 87.5 + 0/4.25,0),0)</f>
        <v>48</v>
      </c>
      <c r="AQ88" s="45">
        <f ca="1">TblConstr[[#This Row],[build -db]]*TblConstr[[#This Row],[CPA Platinum -DB]] + TblConstr[[#This Row],[build db]]*TblConstr[[#This Row],[CPA Platinum DB]]</f>
        <v>0</v>
      </c>
      <c r="AR88" s="45">
        <f ca="1">TblConstr[[#This Row],[build -db]]*TblConstr[[#This Row],[CPA Lumber -DB]] + TblConstr[[#This Row],[build db]]*TblConstr[[#This Row],[CPA Lumber DB]]</f>
        <v>0</v>
      </c>
      <c r="AS88" s="94">
        <f ca="1">MIN(SUM(OFFSET(TblConstr[[#This Row],[Plain]:[Water]],-1,0))+SUM(TblConstr[[#This Row],[Dest Hom]:[Dest Doc]])+IF(TblConstr[[#This Row],[Hour]]&gt;12,SUM(OFFSET(TblExplore[[#This Row],[Plains Explore]:[Water Explore]],-12,0)),0),SUM(TblConstr[[#This Row],[Hom]:[Doc]]))</f>
        <v>0</v>
      </c>
      <c r="AT8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8" s="142"/>
      <c r="AV88" s="94">
        <f ca="1">ROUND((TblConstr[[#This Row],[Land]]-250 - IF(TblExplore[[#This Row],[Land Bonus]]&lt;&gt;0,20,0))*1.25 + 850 + 0,0)</f>
        <v>675</v>
      </c>
      <c r="AW88" s="94">
        <f ca="1">ROUND((TblConstr[[#This Row],[Land]]-250 - IF(TblExplore[[#This Row],[Land Bonus]]&lt;&gt;0,20,0))*0.285 + 87.5 + 0/4.25,0)</f>
        <v>48</v>
      </c>
      <c r="AX88" s="154"/>
      <c r="AY88" s="188" cm="1">
        <f t="array" aca="1" ref="AY88" ca="1">IF(TblConstr[[#This Row],[Hour]:[Hour]]&gt;12,OFFSET(TblConstr[[#This Row],[Hom]],-12,0),0)+OFFSET(TblConstr[[#This Row],[Tot Hom]],-1,0)-TblConstr[[#This Row],[Dest Hom]]</f>
        <v>0</v>
      </c>
      <c r="AZ88" s="189" cm="1">
        <f t="array" aca="1" ref="AZ88" ca="1">IF(TblConstr[[#This Row],[Hour]:[Hour]]&gt;12,OFFSET(TblConstr[[#This Row],[Alc]],-12,0),0)+OFFSET(TblConstr[[#This Row],[Tot Alc]],-1,0)-TblConstr[[#This Row],[Dest Alc]]</f>
        <v>0</v>
      </c>
      <c r="BA88" s="189" cm="1">
        <f t="array" aca="1" ref="BA88" ca="1">IF(TblConstr[[#This Row],[Hour]:[Hour]]&gt;12,OFFSET(TblConstr[[#This Row],[Far]],-12,0),0)+OFFSET(TblConstr[[#This Row],[Tot Farm]],-1,0)-TblConstr[[#This Row],[Dest Farm]]</f>
        <v>30</v>
      </c>
      <c r="BB88" s="189" cm="1">
        <f t="array" aca="1" ref="BB88" ca="1">IF(TblConstr[[#This Row],[Hour]:[Hour]]&gt;12,OFFSET(TblConstr[[#This Row],[Smi]],-12,0),0)+OFFSET(TblConstr[[#This Row],[Tot Smi]],-1,0)-TblConstr[[#This Row],[Dest Smi]]</f>
        <v>0</v>
      </c>
      <c r="BC88" s="189" cm="1">
        <f t="array" aca="1" ref="BC88" ca="1">IF(TblConstr[[#This Row],[Hour]:[Hour]]&gt;12,OFFSET(TblConstr[[#This Row],[Mas]],-12,0),0)+OFFSET(TblConstr[[#This Row],[Tot Mas]],-1,0)-TblConstr[[#This Row],[Dest Mas]]</f>
        <v>0</v>
      </c>
      <c r="BD88" s="190" cm="1">
        <f t="array" aca="1" ref="BD88" ca="1">IF(TblConstr[[#This Row],[Hour]:[Hour]]&gt;12,OFFSET(TblConstr[[#This Row],[Ly]],-12,0),0)+OFFSET(TblConstr[[#This Row],[Tot Ly]],-1,0)-TblConstr[[#This Row],[Dest Ly]]</f>
        <v>20</v>
      </c>
      <c r="BE88" s="190" cm="1">
        <f t="array" aca="1" ref="BE88" ca="1">IF(TblConstr[[#This Row],[Hour]:[Hour]]&gt;12,OFFSET(TblConstr[[#This Row],[Hav]],-12,0),0)+OFFSET(TblConstr[[#This Row],[Tot Hav]],-1,0)-TblConstr[[#This Row],[Dest Hav]]</f>
        <v>0</v>
      </c>
      <c r="BF88" s="361" cm="1">
        <f t="array" aca="1" ref="BF88" ca="1">IF(TblConstr[[#This Row],[Hour]:[Hour]]&gt;12,OFFSET(TblConstr[[#This Row],[OM]],-12,0),0)+OFFSET(TblConstr[[#This Row],[Tot OM]],-1,0)-TblConstr[[#This Row],[Dest OM]]</f>
        <v>0</v>
      </c>
      <c r="BG88" s="361" cm="1">
        <f t="array" aca="1" ref="BG88" ca="1">IF(TblConstr[[#This Row],[Hour]:[Hour]]&gt;12,OFFSET(TblConstr[[#This Row],[GN]],-12,0),0)+OFFSET(TblConstr[[#This Row],[Tot GN]],-1,0)-TblConstr[[#This Row],[Dest GN]]</f>
        <v>0</v>
      </c>
      <c r="BH88" s="365" cm="1">
        <f t="array" aca="1" ref="BH88" ca="1">IF(TblConstr[[#This Row],[Hour]:[Hour]]&gt;12,OFFSET(TblConstr[[#This Row],[Fac]],-12,0),0)+OFFSET(TblConstr[[#This Row],[Tot Fac]],-1,0)-TblConstr[[#This Row],[Dest Fac]]</f>
        <v>0</v>
      </c>
      <c r="BI88" s="365" cm="1">
        <f t="array" aca="1" ref="BI88" ca="1">IF(TblConstr[[#This Row],[Hour]:[Hour]]&gt;12,OFFSET(TblConstr[[#This Row],[GT]],-12,0),0)+OFFSET(TblConstr[[#This Row],[Tot GT]],-1,0)-TblConstr[[#This Row],[Dest GT]]</f>
        <v>0</v>
      </c>
      <c r="BJ88" s="365" cm="1">
        <f t="array" aca="1" ref="BJ88" ca="1">IF(TblConstr[[#This Row],[Hour]:[Hour]]&gt;12,OFFSET(TblConstr[[#This Row],[Bar]],-12,0),0)+OFFSET(TblConstr[[#This Row],[Tot Bar]],-1,0)-TblConstr[[#This Row],[Dest Bar]]</f>
        <v>0</v>
      </c>
      <c r="BK88" s="365" cm="1">
        <f t="array" aca="1" ref="BK88" ca="1">IF(TblConstr[[#This Row],[Hour]:[Hour]]&gt;12,OFFSET(TblConstr[[#This Row],[Shr]],-12,0),0)+OFFSET(TblConstr[[#This Row],[Tot Shr]],-1,0)-TblConstr[[#This Row],[Dest Shr]]</f>
        <v>0</v>
      </c>
      <c r="BL88" s="369" cm="1">
        <f t="array" aca="1" ref="BL88" ca="1">IF(TblConstr[[#This Row],[Hour]:[Hour]]&gt;12,OFFSET(TblConstr[[#This Row],[Tow]],-12,0),0)+OFFSET(TblConstr[[#This Row],[Tot Tow]],-1,0)-TblConstr[[#This Row],[Dest Tow]]</f>
        <v>0</v>
      </c>
      <c r="BM88" s="369" cm="1">
        <f t="array" aca="1" ref="BM88" ca="1">IF(TblConstr[[#This Row],[Hour]:[Hour]]&gt;12,OFFSET(TblConstr[[#This Row],[Tem]],-12,0),0)+OFFSET(TblConstr[[#This Row],[Tot Tem]],-1,0)-TblConstr[[#This Row],[Dest Tem]]</f>
        <v>0</v>
      </c>
      <c r="BN88" s="369" cm="1">
        <f t="array" aca="1" ref="BN88" ca="1">IF(TblConstr[[#This Row],[Hour]:[Hour]]&gt;12,OFFSET(TblConstr[[#This Row],[WG]],-12,0),0)+OFFSET(TblConstr[[#This Row],[Tot WG]],-1,0)-TblConstr[[#This Row],[Dest WG]]</f>
        <v>0</v>
      </c>
      <c r="BO88" s="191" cm="1">
        <f t="array" aca="1" ref="BO88" ca="1">IF(TblConstr[[#This Row],[Hour]:[Hour]]&gt;12,OFFSET(TblConstr[[#This Row],[DM]],-12,0),0)+OFFSET(TblConstr[[#This Row],[Tot DM]],-1,0)-TblConstr[[#This Row],[Dest DM]]</f>
        <v>0</v>
      </c>
      <c r="BP88" s="191" cm="1">
        <f t="array" aca="1" ref="BP88" ca="1">IF(TblConstr[[#This Row],[Hour]:[Hour]]&gt;12,OFFSET(TblConstr[[#This Row],[Sch]],-12,0),0)+OFFSET(TblConstr[[#This Row],[Tot Sch]],-1,0)-TblConstr[[#This Row],[Dest Sch]]</f>
        <v>0</v>
      </c>
      <c r="BQ88" s="192" cm="1">
        <f t="array" aca="1" ref="BQ88" ca="1">IF(TblConstr[[#This Row],[Hour]:[Hour]]&gt;12,OFFSET(TblConstr[[#This Row],[Doc]],-12,0),0)+OFFSET(TblConstr[[#This Row],[Tot Doc]],-1,0)-TblConstr[[#This Row],[Dest Doc]]</f>
        <v>0</v>
      </c>
      <c r="BR88" s="142"/>
      <c r="BS88" s="154"/>
      <c r="BT88" s="94">
        <f ca="1">TblConstr[[#This Row],[Land]]</f>
        <v>110</v>
      </c>
      <c r="BU88" s="159">
        <f ca="1">TblImps[[#This Row],[Time]]</f>
        <v>46050.499999999796</v>
      </c>
      <c r="BV88" s="142"/>
      <c r="BW88" s="179"/>
      <c r="BX88" s="179"/>
      <c r="BY88" s="179"/>
      <c r="BZ88" s="179"/>
      <c r="CA88" s="179"/>
      <c r="CB88" s="179"/>
      <c r="CC88" s="179"/>
      <c r="CD88" s="179"/>
      <c r="CE88" s="179"/>
      <c r="CF88" s="179"/>
      <c r="CG88" s="179"/>
      <c r="CH88" s="179"/>
      <c r="CI88" s="179"/>
      <c r="CJ88" s="179"/>
      <c r="CK88" s="179"/>
      <c r="CL88" s="179"/>
      <c r="CM88" s="179"/>
      <c r="CN88" s="179"/>
      <c r="CO88" s="179"/>
      <c r="CP88" s="142"/>
      <c r="CQ88" s="181">
        <f ca="1">-SUM(TblConstr[[#This Row],[Alc]:[Mas]])+SUM(TblConstr[[#This Row],[Dest Alc]:[Dest Mas]])+Rezone!L88+IF("Ch_"&amp; home_land=TblConstr[[#Headers],[Ch_Plain]],TblConstr[[#This Row],[Home Land]])+IF(TblConstr[[#This Row],[Hour]:[Hour]]&gt;12,OFFSET(TblExplore[[#This Row],[Plains Explore]],-12,0),0)</f>
        <v>0</v>
      </c>
      <c r="CR88" s="182">
        <f ca="1">-SUM(TblConstr[[#This Row],[Ly]:[Hav]])+SUM(TblConstr[[#This Row],[Dest Ly]:[Dest Hav]]) +Rezone!M88 + IF("Ch_"&amp; home_land=TblConstr[[#Headers],[Ch_Forest]],TblConstr[[#This Row],[Home Land]])+IF(TblConstr[[#This Row],[Hour]:[Hour]]&gt;12,OFFSET(TblExplore[[#This Row],[Forest Explore]],-12,0),0)</f>
        <v>0</v>
      </c>
      <c r="CS88" s="359">
        <f ca="1">-SUM(TblConstr[[#This Row],[OM]:[GN]])+SUM(TblConstr[[#This Row],[Dest OM]:[Dest GN]]) +Rezone!N88 + IF("Ch_"&amp; home_land=TblConstr[[#Headers],[Ch_Mountain]],TblConstr[[#This Row],[Home Land]])+IF(TblConstr[[#This Row],[Hour]:[Hour]]&gt;12,OFFSET(TblExplore[[#This Row],[Mountain Explore]],-12,0),0)</f>
        <v>0</v>
      </c>
      <c r="CT88" s="183">
        <f ca="1">-SUM(TblConstr[[#This Row],[Fac]:[Shr]])+SUM(TblConstr[[#This Row],[Dest Fac]:[Dest Shr]]) +Rezone!O88 + IF("Ch_" &amp; home_land=TblConstr[[#Headers],[Ch_Hill]],TblConstr[[#This Row],[Home Land]])+IF(TblConstr[[#This Row],[Hour]:[Hour]]&gt;12,OFFSET(TblExplore[[#This Row],[Hill Explore]],-12,0),0)</f>
        <v>0</v>
      </c>
      <c r="CU88" s="184">
        <f ca="1">-SUM(TblConstr[[#This Row],[Tow]:[WG]])+SUM(TblConstr[[#This Row],[Dest Tow]:[Dest WG]]) +Rezone!P88 + IF("Ch_" &amp; home_land=TblConstr[[#Headers],[Ch_Swamp]],TblConstr[[#This Row],[Home Land]])+IF(TblConstr[[#This Row],[Hour]:[Hour]]&gt;12,OFFSET(TblExplore[[#This Row],[Swamp Explore]],-12,0),0)</f>
        <v>0</v>
      </c>
      <c r="CV88" s="185">
        <f ca="1" xml:space="preserve"> - SUM(TblConstr[[#This Row],[DM]:[Sch]])+SUM(TblConstr[[#This Row],[Dest DM]:[Dest Sch]]) +Rezone!Q88 + IF("Ch_" &amp; home_land=TblConstr[[#Headers],[Ch_Cavern]],TblConstr[[#This Row],[Home Land]])+IF(TblConstr[[#This Row],[Hour]:[Hour]]&gt;12,OFFSET(TblExplore[[#This Row],[Cavern Explore]],-12,0),0)</f>
        <v>0</v>
      </c>
      <c r="CW88" s="186">
        <f ca="1">-TblConstr[[#This Row],[Doc]]+TblConstr[[#This Row],[Dest Doc]] +Rezone!R88 + IF("Ch_" &amp; home_land=TblConstr[[#Headers],[Ch_Water]],TblConstr[[#This Row],[Home Land]])+IF(TblConstr[[#This Row],[Hour]:[Hour]]&gt;12,OFFSET(TblExplore[[#This Row],[Water Explore]],-12,0),0)</f>
        <v>0</v>
      </c>
      <c r="CX88" s="45">
        <f>IF(Explore!S88=1,20) - TblConstr[[#This Row],[Hom]] + TblConstr[[#This Row],[Dest Hom]]</f>
        <v>0</v>
      </c>
      <c r="CY88" s="142"/>
      <c r="CZ88" s="94">
        <f t="shared" ca="1" si="23"/>
        <v>90</v>
      </c>
      <c r="DA88" s="94">
        <f t="shared" ca="1" si="24"/>
        <v>20</v>
      </c>
      <c r="DB88" s="45">
        <f t="shared" ca="1" si="25"/>
        <v>0</v>
      </c>
      <c r="DC88" s="94">
        <f t="shared" ca="1" si="26"/>
        <v>0</v>
      </c>
      <c r="DD88" s="94">
        <f t="shared" ca="1" si="27"/>
        <v>0</v>
      </c>
      <c r="DE88" s="45">
        <f t="shared" ca="1" si="28"/>
        <v>0</v>
      </c>
      <c r="DF88" s="94">
        <f t="shared" ca="1" si="29"/>
        <v>0</v>
      </c>
      <c r="DG88" s="94" cm="1">
        <f t="array" aca="1" ref="DG88" ca="1">INDEX(TblConstr[[Total Plain]:[Total Water]],ROW()-ROW(TblConstr[#Headers]),MATCH("Total "&amp;home_land,TblConstr[[#Headers],[Total Plain]:[Total Water]],0))+TblConstr[[#This Row],[Homes]]</f>
        <v>90</v>
      </c>
      <c r="DH88" s="45">
        <f t="shared" ca="1" si="22"/>
        <v>0</v>
      </c>
      <c r="DI88" s="45">
        <f t="shared" ca="1" si="19"/>
        <v>0</v>
      </c>
      <c r="DJ88" s="45">
        <f t="shared" ca="1" si="20"/>
        <v>0</v>
      </c>
    </row>
    <row r="89" spans="1:114" x14ac:dyDescent="0.2">
      <c r="A89" s="175">
        <f>TblRezone[[#This Row],[Hour]]</f>
        <v>86</v>
      </c>
      <c r="B89" s="176">
        <f ca="1">SUM(TblConstr[[#This Row],[Plain]:[Water]])</f>
        <v>60</v>
      </c>
      <c r="C89" s="177">
        <f ca="1">SUM(TblConstr[[#This Row],[Tot Hom]:[Tot Doc]])</f>
        <v>50</v>
      </c>
      <c r="D89" s="177">
        <f t="shared" si="21"/>
        <v>0</v>
      </c>
      <c r="E89" s="178"/>
      <c r="F89" s="61">
        <f ca="1">TblConstr[[#This Row],[Barren]]+TblConstr[[#This Row],[Buildings]]+TblConstr[[#This Row],[Incoming]]</f>
        <v>110</v>
      </c>
      <c r="G89" s="187">
        <f ca="1">OFFSET(TblConstr[[#This Row],[Plain]],-1,0)+TblConstr[[#This Row],[Ch_Plain]]</f>
        <v>60</v>
      </c>
      <c r="H89" s="182">
        <f ca="1">OFFSET(TblConstr[[#This Row],[Forest]],-1,0)+TblConstr[[#This Row],[Ch_Forest]]</f>
        <v>0</v>
      </c>
      <c r="I89" s="359">
        <f ca="1">OFFSET(TblConstr[[#This Row],[Mountain]],-1,0)+TblConstr[[#This Row],[Ch_Mountain]]</f>
        <v>0</v>
      </c>
      <c r="J89" s="363">
        <f ca="1">OFFSET(TblConstr[[#This Row],[Hill]],-1,0)+TblConstr[[#This Row],[Ch_Hill]]</f>
        <v>0</v>
      </c>
      <c r="K89" s="367">
        <f ca="1">OFFSET(TblConstr[[#This Row],[Swamp]],-1,0)+TblConstr[[#This Row],[Ch_Swamp]]</f>
        <v>0</v>
      </c>
      <c r="L89" s="185">
        <f ca="1">OFFSET(TblConstr[[#This Row],[Cavern]],-1,0)+TblConstr[[#This Row],[Ch_Cavern]]</f>
        <v>0</v>
      </c>
      <c r="M89" s="186">
        <f ca="1">OFFSET(TblConstr[[#This Row],[Water]],-1,0)+TblConstr[[#This Row],[Ch_Water]]</f>
        <v>0</v>
      </c>
      <c r="N89" s="357">
        <f>TblRezone[[#This Row],[Hour]]</f>
        <v>86</v>
      </c>
      <c r="O89" s="179"/>
      <c r="P89" s="179"/>
      <c r="Q89" s="179"/>
      <c r="R89" s="179"/>
      <c r="S89" s="179"/>
      <c r="T89" s="179"/>
      <c r="U89" s="179"/>
      <c r="V89" s="179"/>
      <c r="W89" s="179"/>
      <c r="X89" s="158"/>
      <c r="Y89" s="179"/>
      <c r="Z89" s="179"/>
      <c r="AA89" s="179"/>
      <c r="AB89" s="179"/>
      <c r="AC89" s="179"/>
      <c r="AD89" s="179"/>
      <c r="AE89" s="179"/>
      <c r="AF89" s="179"/>
      <c r="AG89" s="179"/>
      <c r="AH89" s="53">
        <f ca="1">TblImps[[#This Row],[Time]]</f>
        <v>46050.541666666461</v>
      </c>
      <c r="AI89" s="180">
        <f ca="1">MIN(25%,(TblConstr[[#This Row],[Tot Fac]]+TblConstr[[#This Row],[Dest Fac]])/(TblConstr[[#This Row],[Land]]-TblExplore[[#This Row],[Land Bonus]]*20))</f>
        <v>0</v>
      </c>
      <c r="AJ89" s="180">
        <f ca="1">MIN(25%,(TblConstr[[#This Row],[Tot Fac]]+TblConstr[[#This Row],[Dest Fac]])/TblConstr[[#This Row],[Land]])</f>
        <v>0</v>
      </c>
      <c r="AK89" s="94">
        <f ca="1">TblProd[[#This Row],[Platinum]]</f>
        <v>184675</v>
      </c>
      <c r="AL89" s="94">
        <f ca="1">TblProd[[#This Row],[Lumber]]</f>
        <v>63822</v>
      </c>
      <c r="AM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89" s="94">
        <f ca="1">ROUNDDOWN( MAX(1 - MIN(facs_constr_factor*TblConstr[[#This Row],[Facs -DB]],facs_constr_max) + tech_1_11*TblTech[[#This Row],[11-1]] + tech_6_3_2*TblTech[[#This Row],[6-3]] + tech_5_2_3*TblTech[[#This Row],[5-2]], 1-global_constr_cap) * TblConstr[[#This Row],[RCPA Lumber]],0)</f>
        <v>48</v>
      </c>
      <c r="AO8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89" s="94">
        <f ca="1">ROUNDDOWN( MAX(1 - MIN(facs_constr_factor*TblConstr[[#This Row],[Facs DB]],facs_constr_max) + tech_1_11*TblTech[[#This Row],[1-11]] + tech_6_3_2*TblTech[[#This Row],[6-3]] + tech_5_2_3*TblTech[[#This Row],[5-2]], 1-global_constr_cap) * ROUND((TblConstr[[#This Row],[Land]]-250)*0.285 + 87.5 + 0/4.25,0),0)</f>
        <v>48</v>
      </c>
      <c r="AQ89" s="45">
        <f ca="1">TblConstr[[#This Row],[build -db]]*TblConstr[[#This Row],[CPA Platinum -DB]] + TblConstr[[#This Row],[build db]]*TblConstr[[#This Row],[CPA Platinum DB]]</f>
        <v>0</v>
      </c>
      <c r="AR89" s="45">
        <f ca="1">TblConstr[[#This Row],[build -db]]*TblConstr[[#This Row],[CPA Lumber -DB]] + TblConstr[[#This Row],[build db]]*TblConstr[[#This Row],[CPA Lumber DB]]</f>
        <v>0</v>
      </c>
      <c r="AS89" s="94">
        <f ca="1">MIN(SUM(OFFSET(TblConstr[[#This Row],[Plain]:[Water]],-1,0))+SUM(TblConstr[[#This Row],[Dest Hom]:[Dest Doc]])+IF(TblConstr[[#This Row],[Hour]]&gt;12,SUM(OFFSET(TblExplore[[#This Row],[Plains Explore]:[Water Explore]],-12,0)),0),SUM(TblConstr[[#This Row],[Hom]:[Doc]]))</f>
        <v>0</v>
      </c>
      <c r="AT8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89" s="142"/>
      <c r="AV89" s="94">
        <f ca="1">ROUND((TblConstr[[#This Row],[Land]]-250 - IF(TblExplore[[#This Row],[Land Bonus]]&lt;&gt;0,20,0))*1.25 + 850 + 0,0)</f>
        <v>675</v>
      </c>
      <c r="AW89" s="94">
        <f ca="1">ROUND((TblConstr[[#This Row],[Land]]-250 - IF(TblExplore[[#This Row],[Land Bonus]]&lt;&gt;0,20,0))*0.285 + 87.5 + 0/4.25,0)</f>
        <v>48</v>
      </c>
      <c r="AX89" s="154"/>
      <c r="AY89" s="188" cm="1">
        <f t="array" aca="1" ref="AY89" ca="1">IF(TblConstr[[#This Row],[Hour]:[Hour]]&gt;12,OFFSET(TblConstr[[#This Row],[Hom]],-12,0),0)+OFFSET(TblConstr[[#This Row],[Tot Hom]],-1,0)-TblConstr[[#This Row],[Dest Hom]]</f>
        <v>0</v>
      </c>
      <c r="AZ89" s="189" cm="1">
        <f t="array" aca="1" ref="AZ89" ca="1">IF(TblConstr[[#This Row],[Hour]:[Hour]]&gt;12,OFFSET(TblConstr[[#This Row],[Alc]],-12,0),0)+OFFSET(TblConstr[[#This Row],[Tot Alc]],-1,0)-TblConstr[[#This Row],[Dest Alc]]</f>
        <v>0</v>
      </c>
      <c r="BA89" s="189" cm="1">
        <f t="array" aca="1" ref="BA89" ca="1">IF(TblConstr[[#This Row],[Hour]:[Hour]]&gt;12,OFFSET(TblConstr[[#This Row],[Far]],-12,0),0)+OFFSET(TblConstr[[#This Row],[Tot Farm]],-1,0)-TblConstr[[#This Row],[Dest Farm]]</f>
        <v>30</v>
      </c>
      <c r="BB89" s="189" cm="1">
        <f t="array" aca="1" ref="BB89" ca="1">IF(TblConstr[[#This Row],[Hour]:[Hour]]&gt;12,OFFSET(TblConstr[[#This Row],[Smi]],-12,0),0)+OFFSET(TblConstr[[#This Row],[Tot Smi]],-1,0)-TblConstr[[#This Row],[Dest Smi]]</f>
        <v>0</v>
      </c>
      <c r="BC89" s="189" cm="1">
        <f t="array" aca="1" ref="BC89" ca="1">IF(TblConstr[[#This Row],[Hour]:[Hour]]&gt;12,OFFSET(TblConstr[[#This Row],[Mas]],-12,0),0)+OFFSET(TblConstr[[#This Row],[Tot Mas]],-1,0)-TblConstr[[#This Row],[Dest Mas]]</f>
        <v>0</v>
      </c>
      <c r="BD89" s="190" cm="1">
        <f t="array" aca="1" ref="BD89" ca="1">IF(TblConstr[[#This Row],[Hour]:[Hour]]&gt;12,OFFSET(TblConstr[[#This Row],[Ly]],-12,0),0)+OFFSET(TblConstr[[#This Row],[Tot Ly]],-1,0)-TblConstr[[#This Row],[Dest Ly]]</f>
        <v>20</v>
      </c>
      <c r="BE89" s="190" cm="1">
        <f t="array" aca="1" ref="BE89" ca="1">IF(TblConstr[[#This Row],[Hour]:[Hour]]&gt;12,OFFSET(TblConstr[[#This Row],[Hav]],-12,0),0)+OFFSET(TblConstr[[#This Row],[Tot Hav]],-1,0)-TblConstr[[#This Row],[Dest Hav]]</f>
        <v>0</v>
      </c>
      <c r="BF89" s="361" cm="1">
        <f t="array" aca="1" ref="BF89" ca="1">IF(TblConstr[[#This Row],[Hour]:[Hour]]&gt;12,OFFSET(TblConstr[[#This Row],[OM]],-12,0),0)+OFFSET(TblConstr[[#This Row],[Tot OM]],-1,0)-TblConstr[[#This Row],[Dest OM]]</f>
        <v>0</v>
      </c>
      <c r="BG89" s="361" cm="1">
        <f t="array" aca="1" ref="BG89" ca="1">IF(TblConstr[[#This Row],[Hour]:[Hour]]&gt;12,OFFSET(TblConstr[[#This Row],[GN]],-12,0),0)+OFFSET(TblConstr[[#This Row],[Tot GN]],-1,0)-TblConstr[[#This Row],[Dest GN]]</f>
        <v>0</v>
      </c>
      <c r="BH89" s="365" cm="1">
        <f t="array" aca="1" ref="BH89" ca="1">IF(TblConstr[[#This Row],[Hour]:[Hour]]&gt;12,OFFSET(TblConstr[[#This Row],[Fac]],-12,0),0)+OFFSET(TblConstr[[#This Row],[Tot Fac]],-1,0)-TblConstr[[#This Row],[Dest Fac]]</f>
        <v>0</v>
      </c>
      <c r="BI89" s="365" cm="1">
        <f t="array" aca="1" ref="BI89" ca="1">IF(TblConstr[[#This Row],[Hour]:[Hour]]&gt;12,OFFSET(TblConstr[[#This Row],[GT]],-12,0),0)+OFFSET(TblConstr[[#This Row],[Tot GT]],-1,0)-TblConstr[[#This Row],[Dest GT]]</f>
        <v>0</v>
      </c>
      <c r="BJ89" s="365" cm="1">
        <f t="array" aca="1" ref="BJ89" ca="1">IF(TblConstr[[#This Row],[Hour]:[Hour]]&gt;12,OFFSET(TblConstr[[#This Row],[Bar]],-12,0),0)+OFFSET(TblConstr[[#This Row],[Tot Bar]],-1,0)-TblConstr[[#This Row],[Dest Bar]]</f>
        <v>0</v>
      </c>
      <c r="BK89" s="365" cm="1">
        <f t="array" aca="1" ref="BK89" ca="1">IF(TblConstr[[#This Row],[Hour]:[Hour]]&gt;12,OFFSET(TblConstr[[#This Row],[Shr]],-12,0),0)+OFFSET(TblConstr[[#This Row],[Tot Shr]],-1,0)-TblConstr[[#This Row],[Dest Shr]]</f>
        <v>0</v>
      </c>
      <c r="BL89" s="369" cm="1">
        <f t="array" aca="1" ref="BL89" ca="1">IF(TblConstr[[#This Row],[Hour]:[Hour]]&gt;12,OFFSET(TblConstr[[#This Row],[Tow]],-12,0),0)+OFFSET(TblConstr[[#This Row],[Tot Tow]],-1,0)-TblConstr[[#This Row],[Dest Tow]]</f>
        <v>0</v>
      </c>
      <c r="BM89" s="369" cm="1">
        <f t="array" aca="1" ref="BM89" ca="1">IF(TblConstr[[#This Row],[Hour]:[Hour]]&gt;12,OFFSET(TblConstr[[#This Row],[Tem]],-12,0),0)+OFFSET(TblConstr[[#This Row],[Tot Tem]],-1,0)-TblConstr[[#This Row],[Dest Tem]]</f>
        <v>0</v>
      </c>
      <c r="BN89" s="369" cm="1">
        <f t="array" aca="1" ref="BN89" ca="1">IF(TblConstr[[#This Row],[Hour]:[Hour]]&gt;12,OFFSET(TblConstr[[#This Row],[WG]],-12,0),0)+OFFSET(TblConstr[[#This Row],[Tot WG]],-1,0)-TblConstr[[#This Row],[Dest WG]]</f>
        <v>0</v>
      </c>
      <c r="BO89" s="191" cm="1">
        <f t="array" aca="1" ref="BO89" ca="1">IF(TblConstr[[#This Row],[Hour]:[Hour]]&gt;12,OFFSET(TblConstr[[#This Row],[DM]],-12,0),0)+OFFSET(TblConstr[[#This Row],[Tot DM]],-1,0)-TblConstr[[#This Row],[Dest DM]]</f>
        <v>0</v>
      </c>
      <c r="BP89" s="191" cm="1">
        <f t="array" aca="1" ref="BP89" ca="1">IF(TblConstr[[#This Row],[Hour]:[Hour]]&gt;12,OFFSET(TblConstr[[#This Row],[Sch]],-12,0),0)+OFFSET(TblConstr[[#This Row],[Tot Sch]],-1,0)-TblConstr[[#This Row],[Dest Sch]]</f>
        <v>0</v>
      </c>
      <c r="BQ89" s="192" cm="1">
        <f t="array" aca="1" ref="BQ89" ca="1">IF(TblConstr[[#This Row],[Hour]:[Hour]]&gt;12,OFFSET(TblConstr[[#This Row],[Doc]],-12,0),0)+OFFSET(TblConstr[[#This Row],[Tot Doc]],-1,0)-TblConstr[[#This Row],[Dest Doc]]</f>
        <v>0</v>
      </c>
      <c r="BR89" s="142"/>
      <c r="BS89" s="154"/>
      <c r="BT89" s="94">
        <f ca="1">TblConstr[[#This Row],[Land]]</f>
        <v>110</v>
      </c>
      <c r="BU89" s="159">
        <f ca="1">TblImps[[#This Row],[Time]]</f>
        <v>46050.541666666461</v>
      </c>
      <c r="BV89" s="142"/>
      <c r="BW89" s="179"/>
      <c r="BX89" s="179"/>
      <c r="BY89" s="179"/>
      <c r="BZ89" s="179"/>
      <c r="CA89" s="179"/>
      <c r="CB89" s="179"/>
      <c r="CC89" s="179"/>
      <c r="CD89" s="179"/>
      <c r="CE89" s="179"/>
      <c r="CF89" s="179"/>
      <c r="CG89" s="179"/>
      <c r="CH89" s="179"/>
      <c r="CI89" s="179"/>
      <c r="CJ89" s="179"/>
      <c r="CK89" s="179"/>
      <c r="CL89" s="179"/>
      <c r="CM89" s="179"/>
      <c r="CN89" s="179"/>
      <c r="CO89" s="179"/>
      <c r="CP89" s="142"/>
      <c r="CQ89" s="181">
        <f ca="1">-SUM(TblConstr[[#This Row],[Alc]:[Mas]])+SUM(TblConstr[[#This Row],[Dest Alc]:[Dest Mas]])+Rezone!L89+IF("Ch_"&amp; home_land=TblConstr[[#Headers],[Ch_Plain]],TblConstr[[#This Row],[Home Land]])+IF(TblConstr[[#This Row],[Hour]:[Hour]]&gt;12,OFFSET(TblExplore[[#This Row],[Plains Explore]],-12,0),0)</f>
        <v>0</v>
      </c>
      <c r="CR89" s="182">
        <f ca="1">-SUM(TblConstr[[#This Row],[Ly]:[Hav]])+SUM(TblConstr[[#This Row],[Dest Ly]:[Dest Hav]]) +Rezone!M89 + IF("Ch_"&amp; home_land=TblConstr[[#Headers],[Ch_Forest]],TblConstr[[#This Row],[Home Land]])+IF(TblConstr[[#This Row],[Hour]:[Hour]]&gt;12,OFFSET(TblExplore[[#This Row],[Forest Explore]],-12,0),0)</f>
        <v>0</v>
      </c>
      <c r="CS89" s="359">
        <f ca="1">-SUM(TblConstr[[#This Row],[OM]:[GN]])+SUM(TblConstr[[#This Row],[Dest OM]:[Dest GN]]) +Rezone!N89 + IF("Ch_"&amp; home_land=TblConstr[[#Headers],[Ch_Mountain]],TblConstr[[#This Row],[Home Land]])+IF(TblConstr[[#This Row],[Hour]:[Hour]]&gt;12,OFFSET(TblExplore[[#This Row],[Mountain Explore]],-12,0),0)</f>
        <v>0</v>
      </c>
      <c r="CT89" s="183">
        <f ca="1">-SUM(TblConstr[[#This Row],[Fac]:[Shr]])+SUM(TblConstr[[#This Row],[Dest Fac]:[Dest Shr]]) +Rezone!O89 + IF("Ch_" &amp; home_land=TblConstr[[#Headers],[Ch_Hill]],TblConstr[[#This Row],[Home Land]])+IF(TblConstr[[#This Row],[Hour]:[Hour]]&gt;12,OFFSET(TblExplore[[#This Row],[Hill Explore]],-12,0),0)</f>
        <v>0</v>
      </c>
      <c r="CU89" s="184">
        <f ca="1">-SUM(TblConstr[[#This Row],[Tow]:[WG]])+SUM(TblConstr[[#This Row],[Dest Tow]:[Dest WG]]) +Rezone!P89 + IF("Ch_" &amp; home_land=TblConstr[[#Headers],[Ch_Swamp]],TblConstr[[#This Row],[Home Land]])+IF(TblConstr[[#This Row],[Hour]:[Hour]]&gt;12,OFFSET(TblExplore[[#This Row],[Swamp Explore]],-12,0),0)</f>
        <v>0</v>
      </c>
      <c r="CV89" s="185">
        <f ca="1" xml:space="preserve"> - SUM(TblConstr[[#This Row],[DM]:[Sch]])+SUM(TblConstr[[#This Row],[Dest DM]:[Dest Sch]]) +Rezone!Q89 + IF("Ch_" &amp; home_land=TblConstr[[#Headers],[Ch_Cavern]],TblConstr[[#This Row],[Home Land]])+IF(TblConstr[[#This Row],[Hour]:[Hour]]&gt;12,OFFSET(TblExplore[[#This Row],[Cavern Explore]],-12,0),0)</f>
        <v>0</v>
      </c>
      <c r="CW89" s="186">
        <f ca="1">-TblConstr[[#This Row],[Doc]]+TblConstr[[#This Row],[Dest Doc]] +Rezone!R89 + IF("Ch_" &amp; home_land=TblConstr[[#Headers],[Ch_Water]],TblConstr[[#This Row],[Home Land]])+IF(TblConstr[[#This Row],[Hour]:[Hour]]&gt;12,OFFSET(TblExplore[[#This Row],[Water Explore]],-12,0),0)</f>
        <v>0</v>
      </c>
      <c r="CX89" s="45">
        <f>IF(Explore!S89=1,20) - TblConstr[[#This Row],[Hom]] + TblConstr[[#This Row],[Dest Hom]]</f>
        <v>0</v>
      </c>
      <c r="CY89" s="142"/>
      <c r="CZ89" s="94">
        <f t="shared" ca="1" si="23"/>
        <v>90</v>
      </c>
      <c r="DA89" s="94">
        <f t="shared" ca="1" si="24"/>
        <v>20</v>
      </c>
      <c r="DB89" s="45">
        <f t="shared" ca="1" si="25"/>
        <v>0</v>
      </c>
      <c r="DC89" s="94">
        <f t="shared" ca="1" si="26"/>
        <v>0</v>
      </c>
      <c r="DD89" s="94">
        <f t="shared" ca="1" si="27"/>
        <v>0</v>
      </c>
      <c r="DE89" s="45">
        <f t="shared" ca="1" si="28"/>
        <v>0</v>
      </c>
      <c r="DF89" s="94">
        <f t="shared" ca="1" si="29"/>
        <v>0</v>
      </c>
      <c r="DG89" s="94" cm="1">
        <f t="array" aca="1" ref="DG89" ca="1">INDEX(TblConstr[[Total Plain]:[Total Water]],ROW()-ROW(TblConstr[#Headers]),MATCH("Total "&amp;home_land,TblConstr[[#Headers],[Total Plain]:[Total Water]],0))+TblConstr[[#This Row],[Homes]]</f>
        <v>90</v>
      </c>
      <c r="DH89" s="45">
        <f t="shared" ca="1" si="22"/>
        <v>0</v>
      </c>
      <c r="DI89" s="45">
        <f t="shared" ca="1" si="19"/>
        <v>0</v>
      </c>
      <c r="DJ89" s="45">
        <f t="shared" ca="1" si="20"/>
        <v>0</v>
      </c>
    </row>
    <row r="90" spans="1:114" x14ac:dyDescent="0.2">
      <c r="A90" s="175">
        <f>TblRezone[[#This Row],[Hour]]</f>
        <v>87</v>
      </c>
      <c r="B90" s="176">
        <f ca="1">SUM(TblConstr[[#This Row],[Plain]:[Water]])</f>
        <v>60</v>
      </c>
      <c r="C90" s="177">
        <f ca="1">SUM(TblConstr[[#This Row],[Tot Hom]:[Tot Doc]])</f>
        <v>50</v>
      </c>
      <c r="D90" s="177">
        <f t="shared" si="21"/>
        <v>0</v>
      </c>
      <c r="E90" s="178"/>
      <c r="F90" s="61">
        <f ca="1">TblConstr[[#This Row],[Barren]]+TblConstr[[#This Row],[Buildings]]+TblConstr[[#This Row],[Incoming]]</f>
        <v>110</v>
      </c>
      <c r="G90" s="187">
        <f ca="1">OFFSET(TblConstr[[#This Row],[Plain]],-1,0)+TblConstr[[#This Row],[Ch_Plain]]</f>
        <v>60</v>
      </c>
      <c r="H90" s="182">
        <f ca="1">OFFSET(TblConstr[[#This Row],[Forest]],-1,0)+TblConstr[[#This Row],[Ch_Forest]]</f>
        <v>0</v>
      </c>
      <c r="I90" s="359">
        <f ca="1">OFFSET(TblConstr[[#This Row],[Mountain]],-1,0)+TblConstr[[#This Row],[Ch_Mountain]]</f>
        <v>0</v>
      </c>
      <c r="J90" s="363">
        <f ca="1">OFFSET(TblConstr[[#This Row],[Hill]],-1,0)+TblConstr[[#This Row],[Ch_Hill]]</f>
        <v>0</v>
      </c>
      <c r="K90" s="367">
        <f ca="1">OFFSET(TblConstr[[#This Row],[Swamp]],-1,0)+TblConstr[[#This Row],[Ch_Swamp]]</f>
        <v>0</v>
      </c>
      <c r="L90" s="185">
        <f ca="1">OFFSET(TblConstr[[#This Row],[Cavern]],-1,0)+TblConstr[[#This Row],[Ch_Cavern]]</f>
        <v>0</v>
      </c>
      <c r="M90" s="186">
        <f ca="1">OFFSET(TblConstr[[#This Row],[Water]],-1,0)+TblConstr[[#This Row],[Ch_Water]]</f>
        <v>0</v>
      </c>
      <c r="N90" s="357">
        <f>TblRezone[[#This Row],[Hour]]</f>
        <v>87</v>
      </c>
      <c r="O90" s="179"/>
      <c r="P90" s="179"/>
      <c r="Q90" s="179"/>
      <c r="R90" s="179"/>
      <c r="S90" s="179"/>
      <c r="T90" s="179"/>
      <c r="U90" s="179"/>
      <c r="V90" s="179"/>
      <c r="W90" s="179"/>
      <c r="X90" s="179"/>
      <c r="Y90" s="179"/>
      <c r="Z90" s="179"/>
      <c r="AA90" s="179"/>
      <c r="AB90" s="179"/>
      <c r="AC90" s="179"/>
      <c r="AD90" s="179"/>
      <c r="AE90" s="179"/>
      <c r="AF90" s="179"/>
      <c r="AG90" s="179"/>
      <c r="AH90" s="53">
        <f ca="1">TblImps[[#This Row],[Time]]</f>
        <v>46050.583333333125</v>
      </c>
      <c r="AI90" s="180">
        <f ca="1">MIN(25%,(TblConstr[[#This Row],[Tot Fac]]+TblConstr[[#This Row],[Dest Fac]])/(TblConstr[[#This Row],[Land]]-TblExplore[[#This Row],[Land Bonus]]*20))</f>
        <v>0</v>
      </c>
      <c r="AJ90" s="180">
        <f ca="1">MIN(25%,(TblConstr[[#This Row],[Tot Fac]]+TblConstr[[#This Row],[Dest Fac]])/TblConstr[[#This Row],[Land]])</f>
        <v>0</v>
      </c>
      <c r="AK90" s="94">
        <f ca="1">TblProd[[#This Row],[Platinum]]</f>
        <v>185827</v>
      </c>
      <c r="AL90" s="94">
        <f ca="1">TblProd[[#This Row],[Lumber]]</f>
        <v>64184</v>
      </c>
      <c r="AM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0" s="94">
        <f ca="1">ROUNDDOWN( MAX(1 - MIN(facs_constr_factor*TblConstr[[#This Row],[Facs -DB]],facs_constr_max) + tech_1_11*TblTech[[#This Row],[11-1]] + tech_6_3_2*TblTech[[#This Row],[6-3]] + tech_5_2_3*TblTech[[#This Row],[5-2]], 1-global_constr_cap) * TblConstr[[#This Row],[RCPA Lumber]],0)</f>
        <v>48</v>
      </c>
      <c r="AO9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0" s="94">
        <f ca="1">ROUNDDOWN( MAX(1 - MIN(facs_constr_factor*TblConstr[[#This Row],[Facs DB]],facs_constr_max) + tech_1_11*TblTech[[#This Row],[1-11]] + tech_6_3_2*TblTech[[#This Row],[6-3]] + tech_5_2_3*TblTech[[#This Row],[5-2]], 1-global_constr_cap) * ROUND((TblConstr[[#This Row],[Land]]-250)*0.285 + 87.5 + 0/4.25,0),0)</f>
        <v>48</v>
      </c>
      <c r="AQ90" s="45">
        <f ca="1">TblConstr[[#This Row],[build -db]]*TblConstr[[#This Row],[CPA Platinum -DB]] + TblConstr[[#This Row],[build db]]*TblConstr[[#This Row],[CPA Platinum DB]]</f>
        <v>0</v>
      </c>
      <c r="AR90" s="45">
        <f ca="1">TblConstr[[#This Row],[build -db]]*TblConstr[[#This Row],[CPA Lumber -DB]] + TblConstr[[#This Row],[build db]]*TblConstr[[#This Row],[CPA Lumber DB]]</f>
        <v>0</v>
      </c>
      <c r="AS90" s="94">
        <f ca="1">MIN(SUM(OFFSET(TblConstr[[#This Row],[Plain]:[Water]],-1,0))+SUM(TblConstr[[#This Row],[Dest Hom]:[Dest Doc]])+IF(TblConstr[[#This Row],[Hour]]&gt;12,SUM(OFFSET(TblExplore[[#This Row],[Plains Explore]:[Water Explore]],-12,0)),0),SUM(TblConstr[[#This Row],[Hom]:[Doc]]))</f>
        <v>0</v>
      </c>
      <c r="AT9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0" s="142"/>
      <c r="AV90" s="94">
        <f ca="1">ROUND((TblConstr[[#This Row],[Land]]-250 - IF(TblExplore[[#This Row],[Land Bonus]]&lt;&gt;0,20,0))*1.25 + 850 + 0,0)</f>
        <v>675</v>
      </c>
      <c r="AW90" s="94">
        <f ca="1">ROUND((TblConstr[[#This Row],[Land]]-250 - IF(TblExplore[[#This Row],[Land Bonus]]&lt;&gt;0,20,0))*0.285 + 87.5 + 0/4.25,0)</f>
        <v>48</v>
      </c>
      <c r="AX90" s="154"/>
      <c r="AY90" s="188" cm="1">
        <f t="array" aca="1" ref="AY90" ca="1">IF(TblConstr[[#This Row],[Hour]:[Hour]]&gt;12,OFFSET(TblConstr[[#This Row],[Hom]],-12,0),0)+OFFSET(TblConstr[[#This Row],[Tot Hom]],-1,0)-TblConstr[[#This Row],[Dest Hom]]</f>
        <v>0</v>
      </c>
      <c r="AZ90" s="189" cm="1">
        <f t="array" aca="1" ref="AZ90" ca="1">IF(TblConstr[[#This Row],[Hour]:[Hour]]&gt;12,OFFSET(TblConstr[[#This Row],[Alc]],-12,0),0)+OFFSET(TblConstr[[#This Row],[Tot Alc]],-1,0)-TblConstr[[#This Row],[Dest Alc]]</f>
        <v>0</v>
      </c>
      <c r="BA90" s="189" cm="1">
        <f t="array" aca="1" ref="BA90" ca="1">IF(TblConstr[[#This Row],[Hour]:[Hour]]&gt;12,OFFSET(TblConstr[[#This Row],[Far]],-12,0),0)+OFFSET(TblConstr[[#This Row],[Tot Farm]],-1,0)-TblConstr[[#This Row],[Dest Farm]]</f>
        <v>30</v>
      </c>
      <c r="BB90" s="189" cm="1">
        <f t="array" aca="1" ref="BB90" ca="1">IF(TblConstr[[#This Row],[Hour]:[Hour]]&gt;12,OFFSET(TblConstr[[#This Row],[Smi]],-12,0),0)+OFFSET(TblConstr[[#This Row],[Tot Smi]],-1,0)-TblConstr[[#This Row],[Dest Smi]]</f>
        <v>0</v>
      </c>
      <c r="BC90" s="189" cm="1">
        <f t="array" aca="1" ref="BC90" ca="1">IF(TblConstr[[#This Row],[Hour]:[Hour]]&gt;12,OFFSET(TblConstr[[#This Row],[Mas]],-12,0),0)+OFFSET(TblConstr[[#This Row],[Tot Mas]],-1,0)-TblConstr[[#This Row],[Dest Mas]]</f>
        <v>0</v>
      </c>
      <c r="BD90" s="190" cm="1">
        <f t="array" aca="1" ref="BD90" ca="1">IF(TblConstr[[#This Row],[Hour]:[Hour]]&gt;12,OFFSET(TblConstr[[#This Row],[Ly]],-12,0),0)+OFFSET(TblConstr[[#This Row],[Tot Ly]],-1,0)-TblConstr[[#This Row],[Dest Ly]]</f>
        <v>20</v>
      </c>
      <c r="BE90" s="190" cm="1">
        <f t="array" aca="1" ref="BE90" ca="1">IF(TblConstr[[#This Row],[Hour]:[Hour]]&gt;12,OFFSET(TblConstr[[#This Row],[Hav]],-12,0),0)+OFFSET(TblConstr[[#This Row],[Tot Hav]],-1,0)-TblConstr[[#This Row],[Dest Hav]]</f>
        <v>0</v>
      </c>
      <c r="BF90" s="361" cm="1">
        <f t="array" aca="1" ref="BF90" ca="1">IF(TblConstr[[#This Row],[Hour]:[Hour]]&gt;12,OFFSET(TblConstr[[#This Row],[OM]],-12,0),0)+OFFSET(TblConstr[[#This Row],[Tot OM]],-1,0)-TblConstr[[#This Row],[Dest OM]]</f>
        <v>0</v>
      </c>
      <c r="BG90" s="361" cm="1">
        <f t="array" aca="1" ref="BG90" ca="1">IF(TblConstr[[#This Row],[Hour]:[Hour]]&gt;12,OFFSET(TblConstr[[#This Row],[GN]],-12,0),0)+OFFSET(TblConstr[[#This Row],[Tot GN]],-1,0)-TblConstr[[#This Row],[Dest GN]]</f>
        <v>0</v>
      </c>
      <c r="BH90" s="365" cm="1">
        <f t="array" aca="1" ref="BH90" ca="1">IF(TblConstr[[#This Row],[Hour]:[Hour]]&gt;12,OFFSET(TblConstr[[#This Row],[Fac]],-12,0),0)+OFFSET(TblConstr[[#This Row],[Tot Fac]],-1,0)-TblConstr[[#This Row],[Dest Fac]]</f>
        <v>0</v>
      </c>
      <c r="BI90" s="365" cm="1">
        <f t="array" aca="1" ref="BI90" ca="1">IF(TblConstr[[#This Row],[Hour]:[Hour]]&gt;12,OFFSET(TblConstr[[#This Row],[GT]],-12,0),0)+OFFSET(TblConstr[[#This Row],[Tot GT]],-1,0)-TblConstr[[#This Row],[Dest GT]]</f>
        <v>0</v>
      </c>
      <c r="BJ90" s="365" cm="1">
        <f t="array" aca="1" ref="BJ90" ca="1">IF(TblConstr[[#This Row],[Hour]:[Hour]]&gt;12,OFFSET(TblConstr[[#This Row],[Bar]],-12,0),0)+OFFSET(TblConstr[[#This Row],[Tot Bar]],-1,0)-TblConstr[[#This Row],[Dest Bar]]</f>
        <v>0</v>
      </c>
      <c r="BK90" s="365" cm="1">
        <f t="array" aca="1" ref="BK90" ca="1">IF(TblConstr[[#This Row],[Hour]:[Hour]]&gt;12,OFFSET(TblConstr[[#This Row],[Shr]],-12,0),0)+OFFSET(TblConstr[[#This Row],[Tot Shr]],-1,0)-TblConstr[[#This Row],[Dest Shr]]</f>
        <v>0</v>
      </c>
      <c r="BL90" s="369" cm="1">
        <f t="array" aca="1" ref="BL90" ca="1">IF(TblConstr[[#This Row],[Hour]:[Hour]]&gt;12,OFFSET(TblConstr[[#This Row],[Tow]],-12,0),0)+OFFSET(TblConstr[[#This Row],[Tot Tow]],-1,0)-TblConstr[[#This Row],[Dest Tow]]</f>
        <v>0</v>
      </c>
      <c r="BM90" s="369" cm="1">
        <f t="array" aca="1" ref="BM90" ca="1">IF(TblConstr[[#This Row],[Hour]:[Hour]]&gt;12,OFFSET(TblConstr[[#This Row],[Tem]],-12,0),0)+OFFSET(TblConstr[[#This Row],[Tot Tem]],-1,0)-TblConstr[[#This Row],[Dest Tem]]</f>
        <v>0</v>
      </c>
      <c r="BN90" s="369" cm="1">
        <f t="array" aca="1" ref="BN90" ca="1">IF(TblConstr[[#This Row],[Hour]:[Hour]]&gt;12,OFFSET(TblConstr[[#This Row],[WG]],-12,0),0)+OFFSET(TblConstr[[#This Row],[Tot WG]],-1,0)-TblConstr[[#This Row],[Dest WG]]</f>
        <v>0</v>
      </c>
      <c r="BO90" s="191" cm="1">
        <f t="array" aca="1" ref="BO90" ca="1">IF(TblConstr[[#This Row],[Hour]:[Hour]]&gt;12,OFFSET(TblConstr[[#This Row],[DM]],-12,0),0)+OFFSET(TblConstr[[#This Row],[Tot DM]],-1,0)-TblConstr[[#This Row],[Dest DM]]</f>
        <v>0</v>
      </c>
      <c r="BP90" s="191" cm="1">
        <f t="array" aca="1" ref="BP90" ca="1">IF(TblConstr[[#This Row],[Hour]:[Hour]]&gt;12,OFFSET(TblConstr[[#This Row],[Sch]],-12,0),0)+OFFSET(TblConstr[[#This Row],[Tot Sch]],-1,0)-TblConstr[[#This Row],[Dest Sch]]</f>
        <v>0</v>
      </c>
      <c r="BQ90" s="192" cm="1">
        <f t="array" aca="1" ref="BQ90" ca="1">IF(TblConstr[[#This Row],[Hour]:[Hour]]&gt;12,OFFSET(TblConstr[[#This Row],[Doc]],-12,0),0)+OFFSET(TblConstr[[#This Row],[Tot Doc]],-1,0)-TblConstr[[#This Row],[Dest Doc]]</f>
        <v>0</v>
      </c>
      <c r="BR90" s="142"/>
      <c r="BS90" s="154"/>
      <c r="BT90" s="94">
        <f ca="1">TblConstr[[#This Row],[Land]]</f>
        <v>110</v>
      </c>
      <c r="BU90" s="159">
        <f ca="1">TblImps[[#This Row],[Time]]</f>
        <v>46050.583333333125</v>
      </c>
      <c r="BV90" s="142"/>
      <c r="BW90" s="179"/>
      <c r="BX90" s="179"/>
      <c r="BY90" s="179"/>
      <c r="BZ90" s="179"/>
      <c r="CA90" s="179"/>
      <c r="CB90" s="179"/>
      <c r="CC90" s="179"/>
      <c r="CD90" s="179"/>
      <c r="CE90" s="179"/>
      <c r="CF90" s="179"/>
      <c r="CG90" s="179"/>
      <c r="CH90" s="179"/>
      <c r="CI90" s="179"/>
      <c r="CJ90" s="179"/>
      <c r="CK90" s="179"/>
      <c r="CL90" s="179"/>
      <c r="CM90" s="179"/>
      <c r="CN90" s="179"/>
      <c r="CO90" s="179"/>
      <c r="CP90" s="142"/>
      <c r="CQ90" s="181">
        <f ca="1">-SUM(TblConstr[[#This Row],[Alc]:[Mas]])+SUM(TblConstr[[#This Row],[Dest Alc]:[Dest Mas]])+Rezone!L90+IF("Ch_"&amp; home_land=TblConstr[[#Headers],[Ch_Plain]],TblConstr[[#This Row],[Home Land]])+IF(TblConstr[[#This Row],[Hour]:[Hour]]&gt;12,OFFSET(TblExplore[[#This Row],[Plains Explore]],-12,0),0)</f>
        <v>0</v>
      </c>
      <c r="CR90" s="182">
        <f ca="1">-SUM(TblConstr[[#This Row],[Ly]:[Hav]])+SUM(TblConstr[[#This Row],[Dest Ly]:[Dest Hav]]) +Rezone!M90 + IF("Ch_"&amp; home_land=TblConstr[[#Headers],[Ch_Forest]],TblConstr[[#This Row],[Home Land]])+IF(TblConstr[[#This Row],[Hour]:[Hour]]&gt;12,OFFSET(TblExplore[[#This Row],[Forest Explore]],-12,0),0)</f>
        <v>0</v>
      </c>
      <c r="CS90" s="359">
        <f ca="1">-SUM(TblConstr[[#This Row],[OM]:[GN]])+SUM(TblConstr[[#This Row],[Dest OM]:[Dest GN]]) +Rezone!N90 + IF("Ch_"&amp; home_land=TblConstr[[#Headers],[Ch_Mountain]],TblConstr[[#This Row],[Home Land]])+IF(TblConstr[[#This Row],[Hour]:[Hour]]&gt;12,OFFSET(TblExplore[[#This Row],[Mountain Explore]],-12,0),0)</f>
        <v>0</v>
      </c>
      <c r="CT90" s="183">
        <f ca="1">-SUM(TblConstr[[#This Row],[Fac]:[Shr]])+SUM(TblConstr[[#This Row],[Dest Fac]:[Dest Shr]]) +Rezone!O90 + IF("Ch_" &amp; home_land=TblConstr[[#Headers],[Ch_Hill]],TblConstr[[#This Row],[Home Land]])+IF(TblConstr[[#This Row],[Hour]:[Hour]]&gt;12,OFFSET(TblExplore[[#This Row],[Hill Explore]],-12,0),0)</f>
        <v>0</v>
      </c>
      <c r="CU90" s="184">
        <f ca="1">-SUM(TblConstr[[#This Row],[Tow]:[WG]])+SUM(TblConstr[[#This Row],[Dest Tow]:[Dest WG]]) +Rezone!P90 + IF("Ch_" &amp; home_land=TblConstr[[#Headers],[Ch_Swamp]],TblConstr[[#This Row],[Home Land]])+IF(TblConstr[[#This Row],[Hour]:[Hour]]&gt;12,OFFSET(TblExplore[[#This Row],[Swamp Explore]],-12,0),0)</f>
        <v>0</v>
      </c>
      <c r="CV90" s="185">
        <f ca="1" xml:space="preserve"> - SUM(TblConstr[[#This Row],[DM]:[Sch]])+SUM(TblConstr[[#This Row],[Dest DM]:[Dest Sch]]) +Rezone!Q90 + IF("Ch_" &amp; home_land=TblConstr[[#Headers],[Ch_Cavern]],TblConstr[[#This Row],[Home Land]])+IF(TblConstr[[#This Row],[Hour]:[Hour]]&gt;12,OFFSET(TblExplore[[#This Row],[Cavern Explore]],-12,0),0)</f>
        <v>0</v>
      </c>
      <c r="CW90" s="186">
        <f ca="1">-TblConstr[[#This Row],[Doc]]+TblConstr[[#This Row],[Dest Doc]] +Rezone!R90 + IF("Ch_" &amp; home_land=TblConstr[[#Headers],[Ch_Water]],TblConstr[[#This Row],[Home Land]])+IF(TblConstr[[#This Row],[Hour]:[Hour]]&gt;12,OFFSET(TblExplore[[#This Row],[Water Explore]],-12,0),0)</f>
        <v>0</v>
      </c>
      <c r="CX90" s="45">
        <f>IF(Explore!S90=1,20) - TblConstr[[#This Row],[Hom]] + TblConstr[[#This Row],[Dest Hom]]</f>
        <v>0</v>
      </c>
      <c r="CY90" s="142"/>
      <c r="CZ90" s="94">
        <f t="shared" ca="1" si="23"/>
        <v>90</v>
      </c>
      <c r="DA90" s="94">
        <f t="shared" ca="1" si="24"/>
        <v>20</v>
      </c>
      <c r="DB90" s="45">
        <f t="shared" ca="1" si="25"/>
        <v>0</v>
      </c>
      <c r="DC90" s="94">
        <f t="shared" ca="1" si="26"/>
        <v>0</v>
      </c>
      <c r="DD90" s="94">
        <f t="shared" ca="1" si="27"/>
        <v>0</v>
      </c>
      <c r="DE90" s="45">
        <f t="shared" ca="1" si="28"/>
        <v>0</v>
      </c>
      <c r="DF90" s="94">
        <f t="shared" ca="1" si="29"/>
        <v>0</v>
      </c>
      <c r="DG90" s="94" cm="1">
        <f t="array" aca="1" ref="DG90" ca="1">INDEX(TblConstr[[Total Plain]:[Total Water]],ROW()-ROW(TblConstr[#Headers]),MATCH("Total "&amp;home_land,TblConstr[[#Headers],[Total Plain]:[Total Water]],0))+TblConstr[[#This Row],[Homes]]</f>
        <v>90</v>
      </c>
      <c r="DH90" s="45">
        <f t="shared" ca="1" si="22"/>
        <v>0</v>
      </c>
      <c r="DI90" s="45">
        <f t="shared" ca="1" si="19"/>
        <v>0</v>
      </c>
      <c r="DJ90" s="45">
        <f t="shared" ca="1" si="20"/>
        <v>0</v>
      </c>
    </row>
    <row r="91" spans="1:114" x14ac:dyDescent="0.2">
      <c r="A91" s="175">
        <f>TblRezone[[#This Row],[Hour]]</f>
        <v>88</v>
      </c>
      <c r="B91" s="176">
        <f ca="1">SUM(TblConstr[[#This Row],[Plain]:[Water]])</f>
        <v>60</v>
      </c>
      <c r="C91" s="177">
        <f ca="1">SUM(TblConstr[[#This Row],[Tot Hom]:[Tot Doc]])</f>
        <v>50</v>
      </c>
      <c r="D91" s="177">
        <f t="shared" si="21"/>
        <v>0</v>
      </c>
      <c r="E91" s="178"/>
      <c r="F91" s="61">
        <f ca="1">TblConstr[[#This Row],[Barren]]+TblConstr[[#This Row],[Buildings]]+TblConstr[[#This Row],[Incoming]]</f>
        <v>110</v>
      </c>
      <c r="G91" s="187">
        <f ca="1">OFFSET(TblConstr[[#This Row],[Plain]],-1,0)+TblConstr[[#This Row],[Ch_Plain]]</f>
        <v>60</v>
      </c>
      <c r="H91" s="182">
        <f ca="1">OFFSET(TblConstr[[#This Row],[Forest]],-1,0)+TblConstr[[#This Row],[Ch_Forest]]</f>
        <v>0</v>
      </c>
      <c r="I91" s="359">
        <f ca="1">OFFSET(TblConstr[[#This Row],[Mountain]],-1,0)+TblConstr[[#This Row],[Ch_Mountain]]</f>
        <v>0</v>
      </c>
      <c r="J91" s="363">
        <f ca="1">OFFSET(TblConstr[[#This Row],[Hill]],-1,0)+TblConstr[[#This Row],[Ch_Hill]]</f>
        <v>0</v>
      </c>
      <c r="K91" s="367">
        <f ca="1">OFFSET(TblConstr[[#This Row],[Swamp]],-1,0)+TblConstr[[#This Row],[Ch_Swamp]]</f>
        <v>0</v>
      </c>
      <c r="L91" s="185">
        <f ca="1">OFFSET(TblConstr[[#This Row],[Cavern]],-1,0)+TblConstr[[#This Row],[Ch_Cavern]]</f>
        <v>0</v>
      </c>
      <c r="M91" s="186">
        <f ca="1">OFFSET(TblConstr[[#This Row],[Water]],-1,0)+TblConstr[[#This Row],[Ch_Water]]</f>
        <v>0</v>
      </c>
      <c r="N91" s="357">
        <f>TblRezone[[#This Row],[Hour]]</f>
        <v>88</v>
      </c>
      <c r="O91" s="179"/>
      <c r="P91" s="179"/>
      <c r="Q91" s="179"/>
      <c r="R91" s="179"/>
      <c r="S91" s="179"/>
      <c r="T91" s="179"/>
      <c r="U91" s="179"/>
      <c r="V91" s="179"/>
      <c r="W91" s="179"/>
      <c r="X91" s="179"/>
      <c r="Y91" s="179"/>
      <c r="Z91" s="179"/>
      <c r="AA91" s="179"/>
      <c r="AB91" s="179"/>
      <c r="AC91" s="179"/>
      <c r="AD91" s="179"/>
      <c r="AE91" s="179"/>
      <c r="AF91" s="179"/>
      <c r="AG91" s="179"/>
      <c r="AH91" s="53">
        <f ca="1">TblImps[[#This Row],[Time]]</f>
        <v>46050.624999999789</v>
      </c>
      <c r="AI91" s="180">
        <f ca="1">MIN(25%,(TblConstr[[#This Row],[Tot Fac]]+TblConstr[[#This Row],[Dest Fac]])/(TblConstr[[#This Row],[Land]]-TblExplore[[#This Row],[Land Bonus]]*20))</f>
        <v>0</v>
      </c>
      <c r="AJ91" s="180">
        <f ca="1">MIN(25%,(TblConstr[[#This Row],[Tot Fac]]+TblConstr[[#This Row],[Dest Fac]])/TblConstr[[#This Row],[Land]])</f>
        <v>0</v>
      </c>
      <c r="AK91" s="94">
        <f ca="1">TblProd[[#This Row],[Platinum]]</f>
        <v>186969</v>
      </c>
      <c r="AL91" s="94">
        <f ca="1">TblProd[[#This Row],[Lumber]]</f>
        <v>64542</v>
      </c>
      <c r="AM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1" s="94">
        <f ca="1">ROUNDDOWN( MAX(1 - MIN(facs_constr_factor*TblConstr[[#This Row],[Facs -DB]],facs_constr_max) + tech_1_11*TblTech[[#This Row],[11-1]] + tech_6_3_2*TblTech[[#This Row],[6-3]] + tech_5_2_3*TblTech[[#This Row],[5-2]], 1-global_constr_cap) * TblConstr[[#This Row],[RCPA Lumber]],0)</f>
        <v>48</v>
      </c>
      <c r="AO9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1" s="94">
        <f ca="1">ROUNDDOWN( MAX(1 - MIN(facs_constr_factor*TblConstr[[#This Row],[Facs DB]],facs_constr_max) + tech_1_11*TblTech[[#This Row],[1-11]] + tech_6_3_2*TblTech[[#This Row],[6-3]] + tech_5_2_3*TblTech[[#This Row],[5-2]], 1-global_constr_cap) * ROUND((TblConstr[[#This Row],[Land]]-250)*0.285 + 87.5 + 0/4.25,0),0)</f>
        <v>48</v>
      </c>
      <c r="AQ91" s="45">
        <f ca="1">TblConstr[[#This Row],[build -db]]*TblConstr[[#This Row],[CPA Platinum -DB]] + TblConstr[[#This Row],[build db]]*TblConstr[[#This Row],[CPA Platinum DB]]</f>
        <v>0</v>
      </c>
      <c r="AR91" s="45">
        <f ca="1">TblConstr[[#This Row],[build -db]]*TblConstr[[#This Row],[CPA Lumber -DB]] + TblConstr[[#This Row],[build db]]*TblConstr[[#This Row],[CPA Lumber DB]]</f>
        <v>0</v>
      </c>
      <c r="AS91" s="94">
        <f ca="1">MIN(SUM(OFFSET(TblConstr[[#This Row],[Plain]:[Water]],-1,0))+SUM(TblConstr[[#This Row],[Dest Hom]:[Dest Doc]])+IF(TblConstr[[#This Row],[Hour]]&gt;12,SUM(OFFSET(TblExplore[[#This Row],[Plains Explore]:[Water Explore]],-12,0)),0),SUM(TblConstr[[#This Row],[Hom]:[Doc]]))</f>
        <v>0</v>
      </c>
      <c r="AT9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1" s="142"/>
      <c r="AV91" s="94">
        <f ca="1">ROUND((TblConstr[[#This Row],[Land]]-250 - IF(TblExplore[[#This Row],[Land Bonus]]&lt;&gt;0,20,0))*1.25 + 850 + 0,0)</f>
        <v>675</v>
      </c>
      <c r="AW91" s="94">
        <f ca="1">ROUND((TblConstr[[#This Row],[Land]]-250 - IF(TblExplore[[#This Row],[Land Bonus]]&lt;&gt;0,20,0))*0.285 + 87.5 + 0/4.25,0)</f>
        <v>48</v>
      </c>
      <c r="AX91" s="154"/>
      <c r="AY91" s="188" cm="1">
        <f t="array" aca="1" ref="AY91" ca="1">IF(TblConstr[[#This Row],[Hour]:[Hour]]&gt;12,OFFSET(TblConstr[[#This Row],[Hom]],-12,0),0)+OFFSET(TblConstr[[#This Row],[Tot Hom]],-1,0)-TblConstr[[#This Row],[Dest Hom]]</f>
        <v>0</v>
      </c>
      <c r="AZ91" s="189" cm="1">
        <f t="array" aca="1" ref="AZ91" ca="1">IF(TblConstr[[#This Row],[Hour]:[Hour]]&gt;12,OFFSET(TblConstr[[#This Row],[Alc]],-12,0),0)+OFFSET(TblConstr[[#This Row],[Tot Alc]],-1,0)-TblConstr[[#This Row],[Dest Alc]]</f>
        <v>0</v>
      </c>
      <c r="BA91" s="189" cm="1">
        <f t="array" aca="1" ref="BA91" ca="1">IF(TblConstr[[#This Row],[Hour]:[Hour]]&gt;12,OFFSET(TblConstr[[#This Row],[Far]],-12,0),0)+OFFSET(TblConstr[[#This Row],[Tot Farm]],-1,0)-TblConstr[[#This Row],[Dest Farm]]</f>
        <v>30</v>
      </c>
      <c r="BB91" s="189" cm="1">
        <f t="array" aca="1" ref="BB91" ca="1">IF(TblConstr[[#This Row],[Hour]:[Hour]]&gt;12,OFFSET(TblConstr[[#This Row],[Smi]],-12,0),0)+OFFSET(TblConstr[[#This Row],[Tot Smi]],-1,0)-TblConstr[[#This Row],[Dest Smi]]</f>
        <v>0</v>
      </c>
      <c r="BC91" s="189" cm="1">
        <f t="array" aca="1" ref="BC91" ca="1">IF(TblConstr[[#This Row],[Hour]:[Hour]]&gt;12,OFFSET(TblConstr[[#This Row],[Mas]],-12,0),0)+OFFSET(TblConstr[[#This Row],[Tot Mas]],-1,0)-TblConstr[[#This Row],[Dest Mas]]</f>
        <v>0</v>
      </c>
      <c r="BD91" s="190" cm="1">
        <f t="array" aca="1" ref="BD91" ca="1">IF(TblConstr[[#This Row],[Hour]:[Hour]]&gt;12,OFFSET(TblConstr[[#This Row],[Ly]],-12,0),0)+OFFSET(TblConstr[[#This Row],[Tot Ly]],-1,0)-TblConstr[[#This Row],[Dest Ly]]</f>
        <v>20</v>
      </c>
      <c r="BE91" s="190" cm="1">
        <f t="array" aca="1" ref="BE91" ca="1">IF(TblConstr[[#This Row],[Hour]:[Hour]]&gt;12,OFFSET(TblConstr[[#This Row],[Hav]],-12,0),0)+OFFSET(TblConstr[[#This Row],[Tot Hav]],-1,0)-TblConstr[[#This Row],[Dest Hav]]</f>
        <v>0</v>
      </c>
      <c r="BF91" s="361" cm="1">
        <f t="array" aca="1" ref="BF91" ca="1">IF(TblConstr[[#This Row],[Hour]:[Hour]]&gt;12,OFFSET(TblConstr[[#This Row],[OM]],-12,0),0)+OFFSET(TblConstr[[#This Row],[Tot OM]],-1,0)-TblConstr[[#This Row],[Dest OM]]</f>
        <v>0</v>
      </c>
      <c r="BG91" s="361" cm="1">
        <f t="array" aca="1" ref="BG91" ca="1">IF(TblConstr[[#This Row],[Hour]:[Hour]]&gt;12,OFFSET(TblConstr[[#This Row],[GN]],-12,0),0)+OFFSET(TblConstr[[#This Row],[Tot GN]],-1,0)-TblConstr[[#This Row],[Dest GN]]</f>
        <v>0</v>
      </c>
      <c r="BH91" s="365" cm="1">
        <f t="array" aca="1" ref="BH91" ca="1">IF(TblConstr[[#This Row],[Hour]:[Hour]]&gt;12,OFFSET(TblConstr[[#This Row],[Fac]],-12,0),0)+OFFSET(TblConstr[[#This Row],[Tot Fac]],-1,0)-TblConstr[[#This Row],[Dest Fac]]</f>
        <v>0</v>
      </c>
      <c r="BI91" s="365" cm="1">
        <f t="array" aca="1" ref="BI91" ca="1">IF(TblConstr[[#This Row],[Hour]:[Hour]]&gt;12,OFFSET(TblConstr[[#This Row],[GT]],-12,0),0)+OFFSET(TblConstr[[#This Row],[Tot GT]],-1,0)-TblConstr[[#This Row],[Dest GT]]</f>
        <v>0</v>
      </c>
      <c r="BJ91" s="365" cm="1">
        <f t="array" aca="1" ref="BJ91" ca="1">IF(TblConstr[[#This Row],[Hour]:[Hour]]&gt;12,OFFSET(TblConstr[[#This Row],[Bar]],-12,0),0)+OFFSET(TblConstr[[#This Row],[Tot Bar]],-1,0)-TblConstr[[#This Row],[Dest Bar]]</f>
        <v>0</v>
      </c>
      <c r="BK91" s="365" cm="1">
        <f t="array" aca="1" ref="BK91" ca="1">IF(TblConstr[[#This Row],[Hour]:[Hour]]&gt;12,OFFSET(TblConstr[[#This Row],[Shr]],-12,0),0)+OFFSET(TblConstr[[#This Row],[Tot Shr]],-1,0)-TblConstr[[#This Row],[Dest Shr]]</f>
        <v>0</v>
      </c>
      <c r="BL91" s="369" cm="1">
        <f t="array" aca="1" ref="BL91" ca="1">IF(TblConstr[[#This Row],[Hour]:[Hour]]&gt;12,OFFSET(TblConstr[[#This Row],[Tow]],-12,0),0)+OFFSET(TblConstr[[#This Row],[Tot Tow]],-1,0)-TblConstr[[#This Row],[Dest Tow]]</f>
        <v>0</v>
      </c>
      <c r="BM91" s="369" cm="1">
        <f t="array" aca="1" ref="BM91" ca="1">IF(TblConstr[[#This Row],[Hour]:[Hour]]&gt;12,OFFSET(TblConstr[[#This Row],[Tem]],-12,0),0)+OFFSET(TblConstr[[#This Row],[Tot Tem]],-1,0)-TblConstr[[#This Row],[Dest Tem]]</f>
        <v>0</v>
      </c>
      <c r="BN91" s="369" cm="1">
        <f t="array" aca="1" ref="BN91" ca="1">IF(TblConstr[[#This Row],[Hour]:[Hour]]&gt;12,OFFSET(TblConstr[[#This Row],[WG]],-12,0),0)+OFFSET(TblConstr[[#This Row],[Tot WG]],-1,0)-TblConstr[[#This Row],[Dest WG]]</f>
        <v>0</v>
      </c>
      <c r="BO91" s="191" cm="1">
        <f t="array" aca="1" ref="BO91" ca="1">IF(TblConstr[[#This Row],[Hour]:[Hour]]&gt;12,OFFSET(TblConstr[[#This Row],[DM]],-12,0),0)+OFFSET(TblConstr[[#This Row],[Tot DM]],-1,0)-TblConstr[[#This Row],[Dest DM]]</f>
        <v>0</v>
      </c>
      <c r="BP91" s="191" cm="1">
        <f t="array" aca="1" ref="BP91" ca="1">IF(TblConstr[[#This Row],[Hour]:[Hour]]&gt;12,OFFSET(TblConstr[[#This Row],[Sch]],-12,0),0)+OFFSET(TblConstr[[#This Row],[Tot Sch]],-1,0)-TblConstr[[#This Row],[Dest Sch]]</f>
        <v>0</v>
      </c>
      <c r="BQ91" s="192" cm="1">
        <f t="array" aca="1" ref="BQ91" ca="1">IF(TblConstr[[#This Row],[Hour]:[Hour]]&gt;12,OFFSET(TblConstr[[#This Row],[Doc]],-12,0),0)+OFFSET(TblConstr[[#This Row],[Tot Doc]],-1,0)-TblConstr[[#This Row],[Dest Doc]]</f>
        <v>0</v>
      </c>
      <c r="BR91" s="142"/>
      <c r="BS91" s="154"/>
      <c r="BT91" s="94">
        <f ca="1">TblConstr[[#This Row],[Land]]</f>
        <v>110</v>
      </c>
      <c r="BU91" s="159">
        <f ca="1">TblImps[[#This Row],[Time]]</f>
        <v>46050.624999999789</v>
      </c>
      <c r="BV91" s="142"/>
      <c r="BW91" s="179"/>
      <c r="BX91" s="179"/>
      <c r="BY91" s="179"/>
      <c r="BZ91" s="179"/>
      <c r="CA91" s="179"/>
      <c r="CB91" s="179"/>
      <c r="CC91" s="179"/>
      <c r="CD91" s="179"/>
      <c r="CE91" s="179"/>
      <c r="CF91" s="179"/>
      <c r="CG91" s="179"/>
      <c r="CH91" s="179"/>
      <c r="CI91" s="179"/>
      <c r="CJ91" s="179"/>
      <c r="CK91" s="179"/>
      <c r="CL91" s="179"/>
      <c r="CM91" s="179"/>
      <c r="CN91" s="179"/>
      <c r="CO91" s="179"/>
      <c r="CP91" s="142"/>
      <c r="CQ91" s="181">
        <f ca="1">-SUM(TblConstr[[#This Row],[Alc]:[Mas]])+SUM(TblConstr[[#This Row],[Dest Alc]:[Dest Mas]])+Rezone!L91+IF("Ch_"&amp; home_land=TblConstr[[#Headers],[Ch_Plain]],TblConstr[[#This Row],[Home Land]])+IF(TblConstr[[#This Row],[Hour]:[Hour]]&gt;12,OFFSET(TblExplore[[#This Row],[Plains Explore]],-12,0),0)</f>
        <v>0</v>
      </c>
      <c r="CR91" s="182">
        <f ca="1">-SUM(TblConstr[[#This Row],[Ly]:[Hav]])+SUM(TblConstr[[#This Row],[Dest Ly]:[Dest Hav]]) +Rezone!M91 + IF("Ch_"&amp; home_land=TblConstr[[#Headers],[Ch_Forest]],TblConstr[[#This Row],[Home Land]])+IF(TblConstr[[#This Row],[Hour]:[Hour]]&gt;12,OFFSET(TblExplore[[#This Row],[Forest Explore]],-12,0),0)</f>
        <v>0</v>
      </c>
      <c r="CS91" s="359">
        <f ca="1">-SUM(TblConstr[[#This Row],[OM]:[GN]])+SUM(TblConstr[[#This Row],[Dest OM]:[Dest GN]]) +Rezone!N91 + IF("Ch_"&amp; home_land=TblConstr[[#Headers],[Ch_Mountain]],TblConstr[[#This Row],[Home Land]])+IF(TblConstr[[#This Row],[Hour]:[Hour]]&gt;12,OFFSET(TblExplore[[#This Row],[Mountain Explore]],-12,0),0)</f>
        <v>0</v>
      </c>
      <c r="CT91" s="183">
        <f ca="1">-SUM(TblConstr[[#This Row],[Fac]:[Shr]])+SUM(TblConstr[[#This Row],[Dest Fac]:[Dest Shr]]) +Rezone!O91 + IF("Ch_" &amp; home_land=TblConstr[[#Headers],[Ch_Hill]],TblConstr[[#This Row],[Home Land]])+IF(TblConstr[[#This Row],[Hour]:[Hour]]&gt;12,OFFSET(TblExplore[[#This Row],[Hill Explore]],-12,0),0)</f>
        <v>0</v>
      </c>
      <c r="CU91" s="184">
        <f ca="1">-SUM(TblConstr[[#This Row],[Tow]:[WG]])+SUM(TblConstr[[#This Row],[Dest Tow]:[Dest WG]]) +Rezone!P91 + IF("Ch_" &amp; home_land=TblConstr[[#Headers],[Ch_Swamp]],TblConstr[[#This Row],[Home Land]])+IF(TblConstr[[#This Row],[Hour]:[Hour]]&gt;12,OFFSET(TblExplore[[#This Row],[Swamp Explore]],-12,0),0)</f>
        <v>0</v>
      </c>
      <c r="CV91" s="185">
        <f ca="1" xml:space="preserve"> - SUM(TblConstr[[#This Row],[DM]:[Sch]])+SUM(TblConstr[[#This Row],[Dest DM]:[Dest Sch]]) +Rezone!Q91 + IF("Ch_" &amp; home_land=TblConstr[[#Headers],[Ch_Cavern]],TblConstr[[#This Row],[Home Land]])+IF(TblConstr[[#This Row],[Hour]:[Hour]]&gt;12,OFFSET(TblExplore[[#This Row],[Cavern Explore]],-12,0),0)</f>
        <v>0</v>
      </c>
      <c r="CW91" s="186">
        <f ca="1">-TblConstr[[#This Row],[Doc]]+TblConstr[[#This Row],[Dest Doc]] +Rezone!R91 + IF("Ch_" &amp; home_land=TblConstr[[#Headers],[Ch_Water]],TblConstr[[#This Row],[Home Land]])+IF(TblConstr[[#This Row],[Hour]:[Hour]]&gt;12,OFFSET(TblExplore[[#This Row],[Water Explore]],-12,0),0)</f>
        <v>0</v>
      </c>
      <c r="CX91" s="45">
        <f>IF(Explore!S91=1,20) - TblConstr[[#This Row],[Hom]] + TblConstr[[#This Row],[Dest Hom]]</f>
        <v>0</v>
      </c>
      <c r="CY91" s="142"/>
      <c r="CZ91" s="94">
        <f t="shared" ca="1" si="23"/>
        <v>90</v>
      </c>
      <c r="DA91" s="94">
        <f t="shared" ca="1" si="24"/>
        <v>20</v>
      </c>
      <c r="DB91" s="45">
        <f t="shared" ca="1" si="25"/>
        <v>0</v>
      </c>
      <c r="DC91" s="94">
        <f t="shared" ca="1" si="26"/>
        <v>0</v>
      </c>
      <c r="DD91" s="94">
        <f t="shared" ca="1" si="27"/>
        <v>0</v>
      </c>
      <c r="DE91" s="45">
        <f t="shared" ca="1" si="28"/>
        <v>0</v>
      </c>
      <c r="DF91" s="94">
        <f t="shared" ca="1" si="29"/>
        <v>0</v>
      </c>
      <c r="DG91" s="94" cm="1">
        <f t="array" aca="1" ref="DG91" ca="1">INDEX(TblConstr[[Total Plain]:[Total Water]],ROW()-ROW(TblConstr[#Headers]),MATCH("Total "&amp;home_land,TblConstr[[#Headers],[Total Plain]:[Total Water]],0))+TblConstr[[#This Row],[Homes]]</f>
        <v>90</v>
      </c>
      <c r="DH91" s="45">
        <f t="shared" ca="1" si="22"/>
        <v>0</v>
      </c>
      <c r="DI91" s="45">
        <f t="shared" ca="1" si="19"/>
        <v>0</v>
      </c>
      <c r="DJ91" s="45">
        <f t="shared" ca="1" si="20"/>
        <v>0</v>
      </c>
    </row>
    <row r="92" spans="1:114" x14ac:dyDescent="0.2">
      <c r="A92" s="175">
        <f>TblRezone[[#This Row],[Hour]]</f>
        <v>89</v>
      </c>
      <c r="B92" s="176">
        <f ca="1">SUM(TblConstr[[#This Row],[Plain]:[Water]])</f>
        <v>60</v>
      </c>
      <c r="C92" s="177">
        <f ca="1">SUM(TblConstr[[#This Row],[Tot Hom]:[Tot Doc]])</f>
        <v>50</v>
      </c>
      <c r="D92" s="177">
        <f t="shared" si="21"/>
        <v>0</v>
      </c>
      <c r="E92" s="178"/>
      <c r="F92" s="61">
        <f ca="1">TblConstr[[#This Row],[Barren]]+TblConstr[[#This Row],[Buildings]]+TblConstr[[#This Row],[Incoming]]</f>
        <v>110</v>
      </c>
      <c r="G92" s="187">
        <f ca="1">OFFSET(TblConstr[[#This Row],[Plain]],-1,0)+TblConstr[[#This Row],[Ch_Plain]]</f>
        <v>60</v>
      </c>
      <c r="H92" s="182">
        <f ca="1">OFFSET(TblConstr[[#This Row],[Forest]],-1,0)+TblConstr[[#This Row],[Ch_Forest]]</f>
        <v>0</v>
      </c>
      <c r="I92" s="359">
        <f ca="1">OFFSET(TblConstr[[#This Row],[Mountain]],-1,0)+TblConstr[[#This Row],[Ch_Mountain]]</f>
        <v>0</v>
      </c>
      <c r="J92" s="363">
        <f ca="1">OFFSET(TblConstr[[#This Row],[Hill]],-1,0)+TblConstr[[#This Row],[Ch_Hill]]</f>
        <v>0</v>
      </c>
      <c r="K92" s="367">
        <f ca="1">OFFSET(TblConstr[[#This Row],[Swamp]],-1,0)+TblConstr[[#This Row],[Ch_Swamp]]</f>
        <v>0</v>
      </c>
      <c r="L92" s="185">
        <f ca="1">OFFSET(TblConstr[[#This Row],[Cavern]],-1,0)+TblConstr[[#This Row],[Ch_Cavern]]</f>
        <v>0</v>
      </c>
      <c r="M92" s="186">
        <f ca="1">OFFSET(TblConstr[[#This Row],[Water]],-1,0)+TblConstr[[#This Row],[Ch_Water]]</f>
        <v>0</v>
      </c>
      <c r="N92" s="357">
        <f>TblRezone[[#This Row],[Hour]]</f>
        <v>89</v>
      </c>
      <c r="O92" s="179"/>
      <c r="P92" s="179"/>
      <c r="Q92" s="179"/>
      <c r="R92" s="179"/>
      <c r="S92" s="179"/>
      <c r="T92" s="179"/>
      <c r="U92" s="179"/>
      <c r="V92" s="179"/>
      <c r="W92" s="179"/>
      <c r="X92" s="179"/>
      <c r="Y92" s="179"/>
      <c r="Z92" s="179"/>
      <c r="AA92" s="179"/>
      <c r="AB92" s="179"/>
      <c r="AC92" s="179"/>
      <c r="AD92" s="179"/>
      <c r="AE92" s="179"/>
      <c r="AF92" s="179"/>
      <c r="AG92" s="179"/>
      <c r="AH92" s="53">
        <f ca="1">TblImps[[#This Row],[Time]]</f>
        <v>46050.666666666453</v>
      </c>
      <c r="AI92" s="180">
        <f ca="1">MIN(25%,(TblConstr[[#This Row],[Tot Fac]]+TblConstr[[#This Row],[Dest Fac]])/(TblConstr[[#This Row],[Land]]-TblExplore[[#This Row],[Land Bonus]]*20))</f>
        <v>0</v>
      </c>
      <c r="AJ92" s="180">
        <f ca="1">MIN(25%,(TblConstr[[#This Row],[Tot Fac]]+TblConstr[[#This Row],[Dest Fac]])/TblConstr[[#This Row],[Land]])</f>
        <v>0</v>
      </c>
      <c r="AK92" s="94">
        <f ca="1">TblProd[[#This Row],[Platinum]]</f>
        <v>188100</v>
      </c>
      <c r="AL92" s="94">
        <f ca="1">TblProd[[#This Row],[Lumber]]</f>
        <v>64897</v>
      </c>
      <c r="AM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2" s="94">
        <f ca="1">ROUNDDOWN( MAX(1 - MIN(facs_constr_factor*TblConstr[[#This Row],[Facs -DB]],facs_constr_max) + tech_1_11*TblTech[[#This Row],[11-1]] + tech_6_3_2*TblTech[[#This Row],[6-3]] + tech_5_2_3*TblTech[[#This Row],[5-2]], 1-global_constr_cap) * TblConstr[[#This Row],[RCPA Lumber]],0)</f>
        <v>48</v>
      </c>
      <c r="AO9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2" s="94">
        <f ca="1">ROUNDDOWN( MAX(1 - MIN(facs_constr_factor*TblConstr[[#This Row],[Facs DB]],facs_constr_max) + tech_1_11*TblTech[[#This Row],[1-11]] + tech_6_3_2*TblTech[[#This Row],[6-3]] + tech_5_2_3*TblTech[[#This Row],[5-2]], 1-global_constr_cap) * ROUND((TblConstr[[#This Row],[Land]]-250)*0.285 + 87.5 + 0/4.25,0),0)</f>
        <v>48</v>
      </c>
      <c r="AQ92" s="45">
        <f ca="1">TblConstr[[#This Row],[build -db]]*TblConstr[[#This Row],[CPA Platinum -DB]] + TblConstr[[#This Row],[build db]]*TblConstr[[#This Row],[CPA Platinum DB]]</f>
        <v>0</v>
      </c>
      <c r="AR92" s="45">
        <f ca="1">TblConstr[[#This Row],[build -db]]*TblConstr[[#This Row],[CPA Lumber -DB]] + TblConstr[[#This Row],[build db]]*TblConstr[[#This Row],[CPA Lumber DB]]</f>
        <v>0</v>
      </c>
      <c r="AS92" s="94">
        <f ca="1">MIN(SUM(OFFSET(TblConstr[[#This Row],[Plain]:[Water]],-1,0))+SUM(TblConstr[[#This Row],[Dest Hom]:[Dest Doc]])+IF(TblConstr[[#This Row],[Hour]]&gt;12,SUM(OFFSET(TblExplore[[#This Row],[Plains Explore]:[Water Explore]],-12,0)),0),SUM(TblConstr[[#This Row],[Hom]:[Doc]]))</f>
        <v>0</v>
      </c>
      <c r="AT9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2" s="142"/>
      <c r="AV92" s="94">
        <f ca="1">ROUND((TblConstr[[#This Row],[Land]]-250 - IF(TblExplore[[#This Row],[Land Bonus]]&lt;&gt;0,20,0))*1.25 + 850 + 0,0)</f>
        <v>675</v>
      </c>
      <c r="AW92" s="94">
        <f ca="1">ROUND((TblConstr[[#This Row],[Land]]-250 - IF(TblExplore[[#This Row],[Land Bonus]]&lt;&gt;0,20,0))*0.285 + 87.5 + 0/4.25,0)</f>
        <v>48</v>
      </c>
      <c r="AX92" s="154"/>
      <c r="AY92" s="188" cm="1">
        <f t="array" aca="1" ref="AY92" ca="1">IF(TblConstr[[#This Row],[Hour]:[Hour]]&gt;12,OFFSET(TblConstr[[#This Row],[Hom]],-12,0),0)+OFFSET(TblConstr[[#This Row],[Tot Hom]],-1,0)-TblConstr[[#This Row],[Dest Hom]]</f>
        <v>0</v>
      </c>
      <c r="AZ92" s="189" cm="1">
        <f t="array" aca="1" ref="AZ92" ca="1">IF(TblConstr[[#This Row],[Hour]:[Hour]]&gt;12,OFFSET(TblConstr[[#This Row],[Alc]],-12,0),0)+OFFSET(TblConstr[[#This Row],[Tot Alc]],-1,0)-TblConstr[[#This Row],[Dest Alc]]</f>
        <v>0</v>
      </c>
      <c r="BA92" s="189" cm="1">
        <f t="array" aca="1" ref="BA92" ca="1">IF(TblConstr[[#This Row],[Hour]:[Hour]]&gt;12,OFFSET(TblConstr[[#This Row],[Far]],-12,0),0)+OFFSET(TblConstr[[#This Row],[Tot Farm]],-1,0)-TblConstr[[#This Row],[Dest Farm]]</f>
        <v>30</v>
      </c>
      <c r="BB92" s="189" cm="1">
        <f t="array" aca="1" ref="BB92" ca="1">IF(TblConstr[[#This Row],[Hour]:[Hour]]&gt;12,OFFSET(TblConstr[[#This Row],[Smi]],-12,0),0)+OFFSET(TblConstr[[#This Row],[Tot Smi]],-1,0)-TblConstr[[#This Row],[Dest Smi]]</f>
        <v>0</v>
      </c>
      <c r="BC92" s="189" cm="1">
        <f t="array" aca="1" ref="BC92" ca="1">IF(TblConstr[[#This Row],[Hour]:[Hour]]&gt;12,OFFSET(TblConstr[[#This Row],[Mas]],-12,0),0)+OFFSET(TblConstr[[#This Row],[Tot Mas]],-1,0)-TblConstr[[#This Row],[Dest Mas]]</f>
        <v>0</v>
      </c>
      <c r="BD92" s="190" cm="1">
        <f t="array" aca="1" ref="BD92" ca="1">IF(TblConstr[[#This Row],[Hour]:[Hour]]&gt;12,OFFSET(TblConstr[[#This Row],[Ly]],-12,0),0)+OFFSET(TblConstr[[#This Row],[Tot Ly]],-1,0)-TblConstr[[#This Row],[Dest Ly]]</f>
        <v>20</v>
      </c>
      <c r="BE92" s="190" cm="1">
        <f t="array" aca="1" ref="BE92" ca="1">IF(TblConstr[[#This Row],[Hour]:[Hour]]&gt;12,OFFSET(TblConstr[[#This Row],[Hav]],-12,0),0)+OFFSET(TblConstr[[#This Row],[Tot Hav]],-1,0)-TblConstr[[#This Row],[Dest Hav]]</f>
        <v>0</v>
      </c>
      <c r="BF92" s="361" cm="1">
        <f t="array" aca="1" ref="BF92" ca="1">IF(TblConstr[[#This Row],[Hour]:[Hour]]&gt;12,OFFSET(TblConstr[[#This Row],[OM]],-12,0),0)+OFFSET(TblConstr[[#This Row],[Tot OM]],-1,0)-TblConstr[[#This Row],[Dest OM]]</f>
        <v>0</v>
      </c>
      <c r="BG92" s="361" cm="1">
        <f t="array" aca="1" ref="BG92" ca="1">IF(TblConstr[[#This Row],[Hour]:[Hour]]&gt;12,OFFSET(TblConstr[[#This Row],[GN]],-12,0),0)+OFFSET(TblConstr[[#This Row],[Tot GN]],-1,0)-TblConstr[[#This Row],[Dest GN]]</f>
        <v>0</v>
      </c>
      <c r="BH92" s="365" cm="1">
        <f t="array" aca="1" ref="BH92" ca="1">IF(TblConstr[[#This Row],[Hour]:[Hour]]&gt;12,OFFSET(TblConstr[[#This Row],[Fac]],-12,0),0)+OFFSET(TblConstr[[#This Row],[Tot Fac]],-1,0)-TblConstr[[#This Row],[Dest Fac]]</f>
        <v>0</v>
      </c>
      <c r="BI92" s="365" cm="1">
        <f t="array" aca="1" ref="BI92" ca="1">IF(TblConstr[[#This Row],[Hour]:[Hour]]&gt;12,OFFSET(TblConstr[[#This Row],[GT]],-12,0),0)+OFFSET(TblConstr[[#This Row],[Tot GT]],-1,0)-TblConstr[[#This Row],[Dest GT]]</f>
        <v>0</v>
      </c>
      <c r="BJ92" s="365" cm="1">
        <f t="array" aca="1" ref="BJ92" ca="1">IF(TblConstr[[#This Row],[Hour]:[Hour]]&gt;12,OFFSET(TblConstr[[#This Row],[Bar]],-12,0),0)+OFFSET(TblConstr[[#This Row],[Tot Bar]],-1,0)-TblConstr[[#This Row],[Dest Bar]]</f>
        <v>0</v>
      </c>
      <c r="BK92" s="365" cm="1">
        <f t="array" aca="1" ref="BK92" ca="1">IF(TblConstr[[#This Row],[Hour]:[Hour]]&gt;12,OFFSET(TblConstr[[#This Row],[Shr]],-12,0),0)+OFFSET(TblConstr[[#This Row],[Tot Shr]],-1,0)-TblConstr[[#This Row],[Dest Shr]]</f>
        <v>0</v>
      </c>
      <c r="BL92" s="369" cm="1">
        <f t="array" aca="1" ref="BL92" ca="1">IF(TblConstr[[#This Row],[Hour]:[Hour]]&gt;12,OFFSET(TblConstr[[#This Row],[Tow]],-12,0),0)+OFFSET(TblConstr[[#This Row],[Tot Tow]],-1,0)-TblConstr[[#This Row],[Dest Tow]]</f>
        <v>0</v>
      </c>
      <c r="BM92" s="369" cm="1">
        <f t="array" aca="1" ref="BM92" ca="1">IF(TblConstr[[#This Row],[Hour]:[Hour]]&gt;12,OFFSET(TblConstr[[#This Row],[Tem]],-12,0),0)+OFFSET(TblConstr[[#This Row],[Tot Tem]],-1,0)-TblConstr[[#This Row],[Dest Tem]]</f>
        <v>0</v>
      </c>
      <c r="BN92" s="369" cm="1">
        <f t="array" aca="1" ref="BN92" ca="1">IF(TblConstr[[#This Row],[Hour]:[Hour]]&gt;12,OFFSET(TblConstr[[#This Row],[WG]],-12,0),0)+OFFSET(TblConstr[[#This Row],[Tot WG]],-1,0)-TblConstr[[#This Row],[Dest WG]]</f>
        <v>0</v>
      </c>
      <c r="BO92" s="191" cm="1">
        <f t="array" aca="1" ref="BO92" ca="1">IF(TblConstr[[#This Row],[Hour]:[Hour]]&gt;12,OFFSET(TblConstr[[#This Row],[DM]],-12,0),0)+OFFSET(TblConstr[[#This Row],[Tot DM]],-1,0)-TblConstr[[#This Row],[Dest DM]]</f>
        <v>0</v>
      </c>
      <c r="BP92" s="191" cm="1">
        <f t="array" aca="1" ref="BP92" ca="1">IF(TblConstr[[#This Row],[Hour]:[Hour]]&gt;12,OFFSET(TblConstr[[#This Row],[Sch]],-12,0),0)+OFFSET(TblConstr[[#This Row],[Tot Sch]],-1,0)-TblConstr[[#This Row],[Dest Sch]]</f>
        <v>0</v>
      </c>
      <c r="BQ92" s="192" cm="1">
        <f t="array" aca="1" ref="BQ92" ca="1">IF(TblConstr[[#This Row],[Hour]:[Hour]]&gt;12,OFFSET(TblConstr[[#This Row],[Doc]],-12,0),0)+OFFSET(TblConstr[[#This Row],[Tot Doc]],-1,0)-TblConstr[[#This Row],[Dest Doc]]</f>
        <v>0</v>
      </c>
      <c r="BR92" s="142"/>
      <c r="BS92" s="154"/>
      <c r="BT92" s="94">
        <f ca="1">TblConstr[[#This Row],[Land]]</f>
        <v>110</v>
      </c>
      <c r="BU92" s="159">
        <f ca="1">TblImps[[#This Row],[Time]]</f>
        <v>46050.666666666453</v>
      </c>
      <c r="BV92" s="142"/>
      <c r="BW92" s="179"/>
      <c r="BX92" s="179"/>
      <c r="BY92" s="179"/>
      <c r="BZ92" s="179"/>
      <c r="CA92" s="179"/>
      <c r="CB92" s="179"/>
      <c r="CC92" s="179"/>
      <c r="CD92" s="179"/>
      <c r="CE92" s="179"/>
      <c r="CF92" s="179"/>
      <c r="CG92" s="179"/>
      <c r="CH92" s="179"/>
      <c r="CI92" s="179"/>
      <c r="CJ92" s="179"/>
      <c r="CK92" s="179"/>
      <c r="CL92" s="179"/>
      <c r="CM92" s="179"/>
      <c r="CN92" s="179"/>
      <c r="CO92" s="179"/>
      <c r="CP92" s="142"/>
      <c r="CQ92" s="181">
        <f ca="1">-SUM(TblConstr[[#This Row],[Alc]:[Mas]])+SUM(TblConstr[[#This Row],[Dest Alc]:[Dest Mas]])+Rezone!L92+IF("Ch_"&amp; home_land=TblConstr[[#Headers],[Ch_Plain]],TblConstr[[#This Row],[Home Land]])+IF(TblConstr[[#This Row],[Hour]:[Hour]]&gt;12,OFFSET(TblExplore[[#This Row],[Plains Explore]],-12,0),0)</f>
        <v>0</v>
      </c>
      <c r="CR92" s="182">
        <f ca="1">-SUM(TblConstr[[#This Row],[Ly]:[Hav]])+SUM(TblConstr[[#This Row],[Dest Ly]:[Dest Hav]]) +Rezone!M92 + IF("Ch_"&amp; home_land=TblConstr[[#Headers],[Ch_Forest]],TblConstr[[#This Row],[Home Land]])+IF(TblConstr[[#This Row],[Hour]:[Hour]]&gt;12,OFFSET(TblExplore[[#This Row],[Forest Explore]],-12,0),0)</f>
        <v>0</v>
      </c>
      <c r="CS92" s="359">
        <f ca="1">-SUM(TblConstr[[#This Row],[OM]:[GN]])+SUM(TblConstr[[#This Row],[Dest OM]:[Dest GN]]) +Rezone!N92 + IF("Ch_"&amp; home_land=TblConstr[[#Headers],[Ch_Mountain]],TblConstr[[#This Row],[Home Land]])+IF(TblConstr[[#This Row],[Hour]:[Hour]]&gt;12,OFFSET(TblExplore[[#This Row],[Mountain Explore]],-12,0),0)</f>
        <v>0</v>
      </c>
      <c r="CT92" s="183">
        <f ca="1">-SUM(TblConstr[[#This Row],[Fac]:[Shr]])+SUM(TblConstr[[#This Row],[Dest Fac]:[Dest Shr]]) +Rezone!O92 + IF("Ch_" &amp; home_land=TblConstr[[#Headers],[Ch_Hill]],TblConstr[[#This Row],[Home Land]])+IF(TblConstr[[#This Row],[Hour]:[Hour]]&gt;12,OFFSET(TblExplore[[#This Row],[Hill Explore]],-12,0),0)</f>
        <v>0</v>
      </c>
      <c r="CU92" s="184">
        <f ca="1">-SUM(TblConstr[[#This Row],[Tow]:[WG]])+SUM(TblConstr[[#This Row],[Dest Tow]:[Dest WG]]) +Rezone!P92 + IF("Ch_" &amp; home_land=TblConstr[[#Headers],[Ch_Swamp]],TblConstr[[#This Row],[Home Land]])+IF(TblConstr[[#This Row],[Hour]:[Hour]]&gt;12,OFFSET(TblExplore[[#This Row],[Swamp Explore]],-12,0),0)</f>
        <v>0</v>
      </c>
      <c r="CV92" s="185">
        <f ca="1" xml:space="preserve"> - SUM(TblConstr[[#This Row],[DM]:[Sch]])+SUM(TblConstr[[#This Row],[Dest DM]:[Dest Sch]]) +Rezone!Q92 + IF("Ch_" &amp; home_land=TblConstr[[#Headers],[Ch_Cavern]],TblConstr[[#This Row],[Home Land]])+IF(TblConstr[[#This Row],[Hour]:[Hour]]&gt;12,OFFSET(TblExplore[[#This Row],[Cavern Explore]],-12,0),0)</f>
        <v>0</v>
      </c>
      <c r="CW92" s="186">
        <f ca="1">-TblConstr[[#This Row],[Doc]]+TblConstr[[#This Row],[Dest Doc]] +Rezone!R92 + IF("Ch_" &amp; home_land=TblConstr[[#Headers],[Ch_Water]],TblConstr[[#This Row],[Home Land]])+IF(TblConstr[[#This Row],[Hour]:[Hour]]&gt;12,OFFSET(TblExplore[[#This Row],[Water Explore]],-12,0),0)</f>
        <v>0</v>
      </c>
      <c r="CX92" s="45">
        <f>IF(Explore!S92=1,20) - TblConstr[[#This Row],[Hom]] + TblConstr[[#This Row],[Dest Hom]]</f>
        <v>0</v>
      </c>
      <c r="CY92" s="142"/>
      <c r="CZ92" s="94">
        <f t="shared" ca="1" si="23"/>
        <v>90</v>
      </c>
      <c r="DA92" s="94">
        <f t="shared" ca="1" si="24"/>
        <v>20</v>
      </c>
      <c r="DB92" s="45">
        <f t="shared" ca="1" si="25"/>
        <v>0</v>
      </c>
      <c r="DC92" s="94">
        <f t="shared" ca="1" si="26"/>
        <v>0</v>
      </c>
      <c r="DD92" s="94">
        <f t="shared" ca="1" si="27"/>
        <v>0</v>
      </c>
      <c r="DE92" s="45">
        <f t="shared" ca="1" si="28"/>
        <v>0</v>
      </c>
      <c r="DF92" s="94">
        <f t="shared" ca="1" si="29"/>
        <v>0</v>
      </c>
      <c r="DG92" s="94" cm="1">
        <f t="array" aca="1" ref="DG92" ca="1">INDEX(TblConstr[[Total Plain]:[Total Water]],ROW()-ROW(TblConstr[#Headers]),MATCH("Total "&amp;home_land,TblConstr[[#Headers],[Total Plain]:[Total Water]],0))+TblConstr[[#This Row],[Homes]]</f>
        <v>90</v>
      </c>
      <c r="DH92" s="45">
        <f t="shared" ca="1" si="22"/>
        <v>0</v>
      </c>
      <c r="DI92" s="45">
        <f t="shared" ca="1" si="19"/>
        <v>0</v>
      </c>
      <c r="DJ92" s="45">
        <f t="shared" ca="1" si="20"/>
        <v>0</v>
      </c>
    </row>
    <row r="93" spans="1:114" x14ac:dyDescent="0.2">
      <c r="A93" s="175">
        <f>TblRezone[[#This Row],[Hour]]</f>
        <v>90</v>
      </c>
      <c r="B93" s="176">
        <f ca="1">SUM(TblConstr[[#This Row],[Plain]:[Water]])</f>
        <v>60</v>
      </c>
      <c r="C93" s="177">
        <f ca="1">SUM(TblConstr[[#This Row],[Tot Hom]:[Tot Doc]])</f>
        <v>50</v>
      </c>
      <c r="D93" s="177">
        <f t="shared" si="21"/>
        <v>0</v>
      </c>
      <c r="E93" s="178"/>
      <c r="F93" s="61">
        <f ca="1">TblConstr[[#This Row],[Barren]]+TblConstr[[#This Row],[Buildings]]+TblConstr[[#This Row],[Incoming]]</f>
        <v>110</v>
      </c>
      <c r="G93" s="187">
        <f ca="1">OFFSET(TblConstr[[#This Row],[Plain]],-1,0)+TblConstr[[#This Row],[Ch_Plain]]</f>
        <v>60</v>
      </c>
      <c r="H93" s="182">
        <f ca="1">OFFSET(TblConstr[[#This Row],[Forest]],-1,0)+TblConstr[[#This Row],[Ch_Forest]]</f>
        <v>0</v>
      </c>
      <c r="I93" s="359">
        <f ca="1">OFFSET(TblConstr[[#This Row],[Mountain]],-1,0)+TblConstr[[#This Row],[Ch_Mountain]]</f>
        <v>0</v>
      </c>
      <c r="J93" s="363">
        <f ca="1">OFFSET(TblConstr[[#This Row],[Hill]],-1,0)+TblConstr[[#This Row],[Ch_Hill]]</f>
        <v>0</v>
      </c>
      <c r="K93" s="367">
        <f ca="1">OFFSET(TblConstr[[#This Row],[Swamp]],-1,0)+TblConstr[[#This Row],[Ch_Swamp]]</f>
        <v>0</v>
      </c>
      <c r="L93" s="185">
        <f ca="1">OFFSET(TblConstr[[#This Row],[Cavern]],-1,0)+TblConstr[[#This Row],[Ch_Cavern]]</f>
        <v>0</v>
      </c>
      <c r="M93" s="186">
        <f ca="1">OFFSET(TblConstr[[#This Row],[Water]],-1,0)+TblConstr[[#This Row],[Ch_Water]]</f>
        <v>0</v>
      </c>
      <c r="N93" s="357">
        <f>TblRezone[[#This Row],[Hour]]</f>
        <v>90</v>
      </c>
      <c r="O93" s="179"/>
      <c r="P93" s="179"/>
      <c r="Q93" s="179"/>
      <c r="R93" s="179"/>
      <c r="S93" s="179"/>
      <c r="T93" s="179"/>
      <c r="U93" s="179"/>
      <c r="V93" s="179"/>
      <c r="W93" s="179"/>
      <c r="X93" s="179"/>
      <c r="Y93" s="179"/>
      <c r="Z93" s="179"/>
      <c r="AA93" s="179"/>
      <c r="AB93" s="179"/>
      <c r="AC93" s="179"/>
      <c r="AD93" s="179"/>
      <c r="AE93" s="179"/>
      <c r="AF93" s="179"/>
      <c r="AG93" s="179"/>
      <c r="AH93" s="53">
        <f ca="1">TblImps[[#This Row],[Time]]</f>
        <v>46050.708333333117</v>
      </c>
      <c r="AI93" s="180">
        <f ca="1">MIN(25%,(TblConstr[[#This Row],[Tot Fac]]+TblConstr[[#This Row],[Dest Fac]])/(TblConstr[[#This Row],[Land]]-TblExplore[[#This Row],[Land Bonus]]*20))</f>
        <v>0</v>
      </c>
      <c r="AJ93" s="180">
        <f ca="1">MIN(25%,(TblConstr[[#This Row],[Tot Fac]]+TblConstr[[#This Row],[Dest Fac]])/TblConstr[[#This Row],[Land]])</f>
        <v>0</v>
      </c>
      <c r="AK93" s="94">
        <f ca="1">TblProd[[#This Row],[Platinum]]</f>
        <v>189220</v>
      </c>
      <c r="AL93" s="94">
        <f ca="1">TblProd[[#This Row],[Lumber]]</f>
        <v>65248</v>
      </c>
      <c r="AM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3" s="94">
        <f ca="1">ROUNDDOWN( MAX(1 - MIN(facs_constr_factor*TblConstr[[#This Row],[Facs -DB]],facs_constr_max) + tech_1_11*TblTech[[#This Row],[11-1]] + tech_6_3_2*TblTech[[#This Row],[6-3]] + tech_5_2_3*TblTech[[#This Row],[5-2]], 1-global_constr_cap) * TblConstr[[#This Row],[RCPA Lumber]],0)</f>
        <v>48</v>
      </c>
      <c r="AO9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3" s="94">
        <f ca="1">ROUNDDOWN( MAX(1 - MIN(facs_constr_factor*TblConstr[[#This Row],[Facs DB]],facs_constr_max) + tech_1_11*TblTech[[#This Row],[1-11]] + tech_6_3_2*TblTech[[#This Row],[6-3]] + tech_5_2_3*TblTech[[#This Row],[5-2]], 1-global_constr_cap) * ROUND((TblConstr[[#This Row],[Land]]-250)*0.285 + 87.5 + 0/4.25,0),0)</f>
        <v>48</v>
      </c>
      <c r="AQ93" s="45">
        <f ca="1">TblConstr[[#This Row],[build -db]]*TblConstr[[#This Row],[CPA Platinum -DB]] + TblConstr[[#This Row],[build db]]*TblConstr[[#This Row],[CPA Platinum DB]]</f>
        <v>0</v>
      </c>
      <c r="AR93" s="45">
        <f ca="1">TblConstr[[#This Row],[build -db]]*TblConstr[[#This Row],[CPA Lumber -DB]] + TblConstr[[#This Row],[build db]]*TblConstr[[#This Row],[CPA Lumber DB]]</f>
        <v>0</v>
      </c>
      <c r="AS93" s="94">
        <f ca="1">MIN(SUM(OFFSET(TblConstr[[#This Row],[Plain]:[Water]],-1,0))+SUM(TblConstr[[#This Row],[Dest Hom]:[Dest Doc]])+IF(TblConstr[[#This Row],[Hour]]&gt;12,SUM(OFFSET(TblExplore[[#This Row],[Plains Explore]:[Water Explore]],-12,0)),0),SUM(TblConstr[[#This Row],[Hom]:[Doc]]))</f>
        <v>0</v>
      </c>
      <c r="AT9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3" s="142"/>
      <c r="AV93" s="94">
        <f ca="1">ROUND((TblConstr[[#This Row],[Land]]-250 - IF(TblExplore[[#This Row],[Land Bonus]]&lt;&gt;0,20,0))*1.25 + 850 + 0,0)</f>
        <v>675</v>
      </c>
      <c r="AW93" s="94">
        <f ca="1">ROUND((TblConstr[[#This Row],[Land]]-250 - IF(TblExplore[[#This Row],[Land Bonus]]&lt;&gt;0,20,0))*0.285 + 87.5 + 0/4.25,0)</f>
        <v>48</v>
      </c>
      <c r="AX93" s="154"/>
      <c r="AY93" s="188" cm="1">
        <f t="array" aca="1" ref="AY93" ca="1">IF(TblConstr[[#This Row],[Hour]:[Hour]]&gt;12,OFFSET(TblConstr[[#This Row],[Hom]],-12,0),0)+OFFSET(TblConstr[[#This Row],[Tot Hom]],-1,0)-TblConstr[[#This Row],[Dest Hom]]</f>
        <v>0</v>
      </c>
      <c r="AZ93" s="189" cm="1">
        <f t="array" aca="1" ref="AZ93" ca="1">IF(TblConstr[[#This Row],[Hour]:[Hour]]&gt;12,OFFSET(TblConstr[[#This Row],[Alc]],-12,0),0)+OFFSET(TblConstr[[#This Row],[Tot Alc]],-1,0)-TblConstr[[#This Row],[Dest Alc]]</f>
        <v>0</v>
      </c>
      <c r="BA93" s="189" cm="1">
        <f t="array" aca="1" ref="BA93" ca="1">IF(TblConstr[[#This Row],[Hour]:[Hour]]&gt;12,OFFSET(TblConstr[[#This Row],[Far]],-12,0),0)+OFFSET(TblConstr[[#This Row],[Tot Farm]],-1,0)-TblConstr[[#This Row],[Dest Farm]]</f>
        <v>30</v>
      </c>
      <c r="BB93" s="189" cm="1">
        <f t="array" aca="1" ref="BB93" ca="1">IF(TblConstr[[#This Row],[Hour]:[Hour]]&gt;12,OFFSET(TblConstr[[#This Row],[Smi]],-12,0),0)+OFFSET(TblConstr[[#This Row],[Tot Smi]],-1,0)-TblConstr[[#This Row],[Dest Smi]]</f>
        <v>0</v>
      </c>
      <c r="BC93" s="189" cm="1">
        <f t="array" aca="1" ref="BC93" ca="1">IF(TblConstr[[#This Row],[Hour]:[Hour]]&gt;12,OFFSET(TblConstr[[#This Row],[Mas]],-12,0),0)+OFFSET(TblConstr[[#This Row],[Tot Mas]],-1,0)-TblConstr[[#This Row],[Dest Mas]]</f>
        <v>0</v>
      </c>
      <c r="BD93" s="190" cm="1">
        <f t="array" aca="1" ref="BD93" ca="1">IF(TblConstr[[#This Row],[Hour]:[Hour]]&gt;12,OFFSET(TblConstr[[#This Row],[Ly]],-12,0),0)+OFFSET(TblConstr[[#This Row],[Tot Ly]],-1,0)-TblConstr[[#This Row],[Dest Ly]]</f>
        <v>20</v>
      </c>
      <c r="BE93" s="190" cm="1">
        <f t="array" aca="1" ref="BE93" ca="1">IF(TblConstr[[#This Row],[Hour]:[Hour]]&gt;12,OFFSET(TblConstr[[#This Row],[Hav]],-12,0),0)+OFFSET(TblConstr[[#This Row],[Tot Hav]],-1,0)-TblConstr[[#This Row],[Dest Hav]]</f>
        <v>0</v>
      </c>
      <c r="BF93" s="361" cm="1">
        <f t="array" aca="1" ref="BF93" ca="1">IF(TblConstr[[#This Row],[Hour]:[Hour]]&gt;12,OFFSET(TblConstr[[#This Row],[OM]],-12,0),0)+OFFSET(TblConstr[[#This Row],[Tot OM]],-1,0)-TblConstr[[#This Row],[Dest OM]]</f>
        <v>0</v>
      </c>
      <c r="BG93" s="361" cm="1">
        <f t="array" aca="1" ref="BG93" ca="1">IF(TblConstr[[#This Row],[Hour]:[Hour]]&gt;12,OFFSET(TblConstr[[#This Row],[GN]],-12,0),0)+OFFSET(TblConstr[[#This Row],[Tot GN]],-1,0)-TblConstr[[#This Row],[Dest GN]]</f>
        <v>0</v>
      </c>
      <c r="BH93" s="365" cm="1">
        <f t="array" aca="1" ref="BH93" ca="1">IF(TblConstr[[#This Row],[Hour]:[Hour]]&gt;12,OFFSET(TblConstr[[#This Row],[Fac]],-12,0),0)+OFFSET(TblConstr[[#This Row],[Tot Fac]],-1,0)-TblConstr[[#This Row],[Dest Fac]]</f>
        <v>0</v>
      </c>
      <c r="BI93" s="365" cm="1">
        <f t="array" aca="1" ref="BI93" ca="1">IF(TblConstr[[#This Row],[Hour]:[Hour]]&gt;12,OFFSET(TblConstr[[#This Row],[GT]],-12,0),0)+OFFSET(TblConstr[[#This Row],[Tot GT]],-1,0)-TblConstr[[#This Row],[Dest GT]]</f>
        <v>0</v>
      </c>
      <c r="BJ93" s="365" cm="1">
        <f t="array" aca="1" ref="BJ93" ca="1">IF(TblConstr[[#This Row],[Hour]:[Hour]]&gt;12,OFFSET(TblConstr[[#This Row],[Bar]],-12,0),0)+OFFSET(TblConstr[[#This Row],[Tot Bar]],-1,0)-TblConstr[[#This Row],[Dest Bar]]</f>
        <v>0</v>
      </c>
      <c r="BK93" s="365" cm="1">
        <f t="array" aca="1" ref="BK93" ca="1">IF(TblConstr[[#This Row],[Hour]:[Hour]]&gt;12,OFFSET(TblConstr[[#This Row],[Shr]],-12,0),0)+OFFSET(TblConstr[[#This Row],[Tot Shr]],-1,0)-TblConstr[[#This Row],[Dest Shr]]</f>
        <v>0</v>
      </c>
      <c r="BL93" s="369" cm="1">
        <f t="array" aca="1" ref="BL93" ca="1">IF(TblConstr[[#This Row],[Hour]:[Hour]]&gt;12,OFFSET(TblConstr[[#This Row],[Tow]],-12,0),0)+OFFSET(TblConstr[[#This Row],[Tot Tow]],-1,0)-TblConstr[[#This Row],[Dest Tow]]</f>
        <v>0</v>
      </c>
      <c r="BM93" s="369" cm="1">
        <f t="array" aca="1" ref="BM93" ca="1">IF(TblConstr[[#This Row],[Hour]:[Hour]]&gt;12,OFFSET(TblConstr[[#This Row],[Tem]],-12,0),0)+OFFSET(TblConstr[[#This Row],[Tot Tem]],-1,0)-TblConstr[[#This Row],[Dest Tem]]</f>
        <v>0</v>
      </c>
      <c r="BN93" s="369" cm="1">
        <f t="array" aca="1" ref="BN93" ca="1">IF(TblConstr[[#This Row],[Hour]:[Hour]]&gt;12,OFFSET(TblConstr[[#This Row],[WG]],-12,0),0)+OFFSET(TblConstr[[#This Row],[Tot WG]],-1,0)-TblConstr[[#This Row],[Dest WG]]</f>
        <v>0</v>
      </c>
      <c r="BO93" s="191" cm="1">
        <f t="array" aca="1" ref="BO93" ca="1">IF(TblConstr[[#This Row],[Hour]:[Hour]]&gt;12,OFFSET(TblConstr[[#This Row],[DM]],-12,0),0)+OFFSET(TblConstr[[#This Row],[Tot DM]],-1,0)-TblConstr[[#This Row],[Dest DM]]</f>
        <v>0</v>
      </c>
      <c r="BP93" s="191" cm="1">
        <f t="array" aca="1" ref="BP93" ca="1">IF(TblConstr[[#This Row],[Hour]:[Hour]]&gt;12,OFFSET(TblConstr[[#This Row],[Sch]],-12,0),0)+OFFSET(TblConstr[[#This Row],[Tot Sch]],-1,0)-TblConstr[[#This Row],[Dest Sch]]</f>
        <v>0</v>
      </c>
      <c r="BQ93" s="192" cm="1">
        <f t="array" aca="1" ref="BQ93" ca="1">IF(TblConstr[[#This Row],[Hour]:[Hour]]&gt;12,OFFSET(TblConstr[[#This Row],[Doc]],-12,0),0)+OFFSET(TblConstr[[#This Row],[Tot Doc]],-1,0)-TblConstr[[#This Row],[Dest Doc]]</f>
        <v>0</v>
      </c>
      <c r="BR93" s="142"/>
      <c r="BS93" s="154"/>
      <c r="BT93" s="94">
        <f ca="1">TblConstr[[#This Row],[Land]]</f>
        <v>110</v>
      </c>
      <c r="BU93" s="159">
        <f ca="1">TblImps[[#This Row],[Time]]</f>
        <v>46050.708333333117</v>
      </c>
      <c r="BV93" s="142"/>
      <c r="BW93" s="179"/>
      <c r="BX93" s="179"/>
      <c r="BY93" s="179"/>
      <c r="BZ93" s="179"/>
      <c r="CA93" s="179"/>
      <c r="CB93" s="179"/>
      <c r="CC93" s="179"/>
      <c r="CD93" s="179"/>
      <c r="CE93" s="179"/>
      <c r="CF93" s="179"/>
      <c r="CG93" s="179"/>
      <c r="CH93" s="179"/>
      <c r="CI93" s="179"/>
      <c r="CJ93" s="179"/>
      <c r="CK93" s="179"/>
      <c r="CL93" s="179"/>
      <c r="CM93" s="179"/>
      <c r="CN93" s="179"/>
      <c r="CO93" s="179"/>
      <c r="CP93" s="142"/>
      <c r="CQ93" s="181">
        <f ca="1">-SUM(TblConstr[[#This Row],[Alc]:[Mas]])+SUM(TblConstr[[#This Row],[Dest Alc]:[Dest Mas]])+Rezone!L93+IF("Ch_"&amp; home_land=TblConstr[[#Headers],[Ch_Plain]],TblConstr[[#This Row],[Home Land]])+IF(TblConstr[[#This Row],[Hour]:[Hour]]&gt;12,OFFSET(TblExplore[[#This Row],[Plains Explore]],-12,0),0)</f>
        <v>0</v>
      </c>
      <c r="CR93" s="182">
        <f ca="1">-SUM(TblConstr[[#This Row],[Ly]:[Hav]])+SUM(TblConstr[[#This Row],[Dest Ly]:[Dest Hav]]) +Rezone!M93 + IF("Ch_"&amp; home_land=TblConstr[[#Headers],[Ch_Forest]],TblConstr[[#This Row],[Home Land]])+IF(TblConstr[[#This Row],[Hour]:[Hour]]&gt;12,OFFSET(TblExplore[[#This Row],[Forest Explore]],-12,0),0)</f>
        <v>0</v>
      </c>
      <c r="CS93" s="359">
        <f ca="1">-SUM(TblConstr[[#This Row],[OM]:[GN]])+SUM(TblConstr[[#This Row],[Dest OM]:[Dest GN]]) +Rezone!N93 + IF("Ch_"&amp; home_land=TblConstr[[#Headers],[Ch_Mountain]],TblConstr[[#This Row],[Home Land]])+IF(TblConstr[[#This Row],[Hour]:[Hour]]&gt;12,OFFSET(TblExplore[[#This Row],[Mountain Explore]],-12,0),0)</f>
        <v>0</v>
      </c>
      <c r="CT93" s="183">
        <f ca="1">-SUM(TblConstr[[#This Row],[Fac]:[Shr]])+SUM(TblConstr[[#This Row],[Dest Fac]:[Dest Shr]]) +Rezone!O93 + IF("Ch_" &amp; home_land=TblConstr[[#Headers],[Ch_Hill]],TblConstr[[#This Row],[Home Land]])+IF(TblConstr[[#This Row],[Hour]:[Hour]]&gt;12,OFFSET(TblExplore[[#This Row],[Hill Explore]],-12,0),0)</f>
        <v>0</v>
      </c>
      <c r="CU93" s="184">
        <f ca="1">-SUM(TblConstr[[#This Row],[Tow]:[WG]])+SUM(TblConstr[[#This Row],[Dest Tow]:[Dest WG]]) +Rezone!P93 + IF("Ch_" &amp; home_land=TblConstr[[#Headers],[Ch_Swamp]],TblConstr[[#This Row],[Home Land]])+IF(TblConstr[[#This Row],[Hour]:[Hour]]&gt;12,OFFSET(TblExplore[[#This Row],[Swamp Explore]],-12,0),0)</f>
        <v>0</v>
      </c>
      <c r="CV93" s="185">
        <f ca="1" xml:space="preserve"> - SUM(TblConstr[[#This Row],[DM]:[Sch]])+SUM(TblConstr[[#This Row],[Dest DM]:[Dest Sch]]) +Rezone!Q93 + IF("Ch_" &amp; home_land=TblConstr[[#Headers],[Ch_Cavern]],TblConstr[[#This Row],[Home Land]])+IF(TblConstr[[#This Row],[Hour]:[Hour]]&gt;12,OFFSET(TblExplore[[#This Row],[Cavern Explore]],-12,0),0)</f>
        <v>0</v>
      </c>
      <c r="CW93" s="186">
        <f ca="1">-TblConstr[[#This Row],[Doc]]+TblConstr[[#This Row],[Dest Doc]] +Rezone!R93 + IF("Ch_" &amp; home_land=TblConstr[[#Headers],[Ch_Water]],TblConstr[[#This Row],[Home Land]])+IF(TblConstr[[#This Row],[Hour]:[Hour]]&gt;12,OFFSET(TblExplore[[#This Row],[Water Explore]],-12,0),0)</f>
        <v>0</v>
      </c>
      <c r="CX93" s="45">
        <f>IF(Explore!S93=1,20) - TblConstr[[#This Row],[Hom]] + TblConstr[[#This Row],[Dest Hom]]</f>
        <v>0</v>
      </c>
      <c r="CY93" s="142"/>
      <c r="CZ93" s="94">
        <f t="shared" ca="1" si="23"/>
        <v>90</v>
      </c>
      <c r="DA93" s="94">
        <f t="shared" ca="1" si="24"/>
        <v>20</v>
      </c>
      <c r="DB93" s="45">
        <f t="shared" ca="1" si="25"/>
        <v>0</v>
      </c>
      <c r="DC93" s="94">
        <f t="shared" ca="1" si="26"/>
        <v>0</v>
      </c>
      <c r="DD93" s="94">
        <f t="shared" ca="1" si="27"/>
        <v>0</v>
      </c>
      <c r="DE93" s="45">
        <f t="shared" ca="1" si="28"/>
        <v>0</v>
      </c>
      <c r="DF93" s="94">
        <f t="shared" ca="1" si="29"/>
        <v>0</v>
      </c>
      <c r="DG93" s="94" cm="1">
        <f t="array" aca="1" ref="DG93" ca="1">INDEX(TblConstr[[Total Plain]:[Total Water]],ROW()-ROW(TblConstr[#Headers]),MATCH("Total "&amp;home_land,TblConstr[[#Headers],[Total Plain]:[Total Water]],0))+TblConstr[[#This Row],[Homes]]</f>
        <v>90</v>
      </c>
      <c r="DH93" s="45">
        <f t="shared" ca="1" si="22"/>
        <v>0</v>
      </c>
      <c r="DI93" s="45">
        <f t="shared" ca="1" si="19"/>
        <v>0</v>
      </c>
      <c r="DJ93" s="45">
        <f t="shared" ca="1" si="20"/>
        <v>0</v>
      </c>
    </row>
    <row r="94" spans="1:114" x14ac:dyDescent="0.2">
      <c r="A94" s="175">
        <f>TblRezone[[#This Row],[Hour]]</f>
        <v>91</v>
      </c>
      <c r="B94" s="176">
        <f ca="1">SUM(TblConstr[[#This Row],[Plain]:[Water]])</f>
        <v>60</v>
      </c>
      <c r="C94" s="177">
        <f ca="1">SUM(TblConstr[[#This Row],[Tot Hom]:[Tot Doc]])</f>
        <v>50</v>
      </c>
      <c r="D94" s="177">
        <f t="shared" si="21"/>
        <v>0</v>
      </c>
      <c r="E94" s="178"/>
      <c r="F94" s="61">
        <f ca="1">TblConstr[[#This Row],[Barren]]+TblConstr[[#This Row],[Buildings]]+TblConstr[[#This Row],[Incoming]]</f>
        <v>110</v>
      </c>
      <c r="G94" s="187">
        <f ca="1">OFFSET(TblConstr[[#This Row],[Plain]],-1,0)+TblConstr[[#This Row],[Ch_Plain]]</f>
        <v>60</v>
      </c>
      <c r="H94" s="182">
        <f ca="1">OFFSET(TblConstr[[#This Row],[Forest]],-1,0)+TblConstr[[#This Row],[Ch_Forest]]</f>
        <v>0</v>
      </c>
      <c r="I94" s="359">
        <f ca="1">OFFSET(TblConstr[[#This Row],[Mountain]],-1,0)+TblConstr[[#This Row],[Ch_Mountain]]</f>
        <v>0</v>
      </c>
      <c r="J94" s="363">
        <f ca="1">OFFSET(TblConstr[[#This Row],[Hill]],-1,0)+TblConstr[[#This Row],[Ch_Hill]]</f>
        <v>0</v>
      </c>
      <c r="K94" s="367">
        <f ca="1">OFFSET(TblConstr[[#This Row],[Swamp]],-1,0)+TblConstr[[#This Row],[Ch_Swamp]]</f>
        <v>0</v>
      </c>
      <c r="L94" s="185">
        <f ca="1">OFFSET(TblConstr[[#This Row],[Cavern]],-1,0)+TblConstr[[#This Row],[Ch_Cavern]]</f>
        <v>0</v>
      </c>
      <c r="M94" s="186">
        <f ca="1">OFFSET(TblConstr[[#This Row],[Water]],-1,0)+TblConstr[[#This Row],[Ch_Water]]</f>
        <v>0</v>
      </c>
      <c r="N94" s="357">
        <f>TblRezone[[#This Row],[Hour]]</f>
        <v>91</v>
      </c>
      <c r="O94" s="179"/>
      <c r="P94" s="179"/>
      <c r="Q94" s="179"/>
      <c r="R94" s="179"/>
      <c r="S94" s="179"/>
      <c r="T94" s="179"/>
      <c r="U94" s="179"/>
      <c r="V94" s="179"/>
      <c r="W94" s="179"/>
      <c r="X94" s="179"/>
      <c r="Y94" s="179"/>
      <c r="Z94" s="179"/>
      <c r="AA94" s="179"/>
      <c r="AB94" s="179"/>
      <c r="AC94" s="179"/>
      <c r="AD94" s="179"/>
      <c r="AE94" s="179"/>
      <c r="AF94" s="179"/>
      <c r="AG94" s="179"/>
      <c r="AH94" s="53">
        <f ca="1">TblImps[[#This Row],[Time]]</f>
        <v>46050.749999999782</v>
      </c>
      <c r="AI94" s="180">
        <f ca="1">MIN(25%,(TblConstr[[#This Row],[Tot Fac]]+TblConstr[[#This Row],[Dest Fac]])/(TblConstr[[#This Row],[Land]]-TblExplore[[#This Row],[Land Bonus]]*20))</f>
        <v>0</v>
      </c>
      <c r="AJ94" s="180">
        <f ca="1">MIN(25%,(TblConstr[[#This Row],[Tot Fac]]+TblConstr[[#This Row],[Dest Fac]])/TblConstr[[#This Row],[Land]])</f>
        <v>0</v>
      </c>
      <c r="AK94" s="94">
        <f ca="1">TblProd[[#This Row],[Platinum]]</f>
        <v>190329</v>
      </c>
      <c r="AL94" s="94">
        <f ca="1">TblProd[[#This Row],[Lumber]]</f>
        <v>65596</v>
      </c>
      <c r="AM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4" s="94">
        <f ca="1">ROUNDDOWN( MAX(1 - MIN(facs_constr_factor*TblConstr[[#This Row],[Facs -DB]],facs_constr_max) + tech_1_11*TblTech[[#This Row],[11-1]] + tech_6_3_2*TblTech[[#This Row],[6-3]] + tech_5_2_3*TblTech[[#This Row],[5-2]], 1-global_constr_cap) * TblConstr[[#This Row],[RCPA Lumber]],0)</f>
        <v>48</v>
      </c>
      <c r="AO9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4" s="94">
        <f ca="1">ROUNDDOWN( MAX(1 - MIN(facs_constr_factor*TblConstr[[#This Row],[Facs DB]],facs_constr_max) + tech_1_11*TblTech[[#This Row],[1-11]] + tech_6_3_2*TblTech[[#This Row],[6-3]] + tech_5_2_3*TblTech[[#This Row],[5-2]], 1-global_constr_cap) * ROUND((TblConstr[[#This Row],[Land]]-250)*0.285 + 87.5 + 0/4.25,0),0)</f>
        <v>48</v>
      </c>
      <c r="AQ94" s="45">
        <f ca="1">TblConstr[[#This Row],[build -db]]*TblConstr[[#This Row],[CPA Platinum -DB]] + TblConstr[[#This Row],[build db]]*TblConstr[[#This Row],[CPA Platinum DB]]</f>
        <v>0</v>
      </c>
      <c r="AR94" s="45">
        <f ca="1">TblConstr[[#This Row],[build -db]]*TblConstr[[#This Row],[CPA Lumber -DB]] + TblConstr[[#This Row],[build db]]*TblConstr[[#This Row],[CPA Lumber DB]]</f>
        <v>0</v>
      </c>
      <c r="AS94" s="94">
        <f ca="1">MIN(SUM(OFFSET(TblConstr[[#This Row],[Plain]:[Water]],-1,0))+SUM(TblConstr[[#This Row],[Dest Hom]:[Dest Doc]])+IF(TblConstr[[#This Row],[Hour]]&gt;12,SUM(OFFSET(TblExplore[[#This Row],[Plains Explore]:[Water Explore]],-12,0)),0),SUM(TblConstr[[#This Row],[Hom]:[Doc]]))</f>
        <v>0</v>
      </c>
      <c r="AT9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4" s="142"/>
      <c r="AV94" s="94">
        <f ca="1">ROUND((TblConstr[[#This Row],[Land]]-250 - IF(TblExplore[[#This Row],[Land Bonus]]&lt;&gt;0,20,0))*1.25 + 850 + 0,0)</f>
        <v>675</v>
      </c>
      <c r="AW94" s="94">
        <f ca="1">ROUND((TblConstr[[#This Row],[Land]]-250 - IF(TblExplore[[#This Row],[Land Bonus]]&lt;&gt;0,20,0))*0.285 + 87.5 + 0/4.25,0)</f>
        <v>48</v>
      </c>
      <c r="AX94" s="154"/>
      <c r="AY94" s="188" cm="1">
        <f t="array" aca="1" ref="AY94" ca="1">IF(TblConstr[[#This Row],[Hour]:[Hour]]&gt;12,OFFSET(TblConstr[[#This Row],[Hom]],-12,0),0)+OFFSET(TblConstr[[#This Row],[Tot Hom]],-1,0)-TblConstr[[#This Row],[Dest Hom]]</f>
        <v>0</v>
      </c>
      <c r="AZ94" s="189" cm="1">
        <f t="array" aca="1" ref="AZ94" ca="1">IF(TblConstr[[#This Row],[Hour]:[Hour]]&gt;12,OFFSET(TblConstr[[#This Row],[Alc]],-12,0),0)+OFFSET(TblConstr[[#This Row],[Tot Alc]],-1,0)-TblConstr[[#This Row],[Dest Alc]]</f>
        <v>0</v>
      </c>
      <c r="BA94" s="189" cm="1">
        <f t="array" aca="1" ref="BA94" ca="1">IF(TblConstr[[#This Row],[Hour]:[Hour]]&gt;12,OFFSET(TblConstr[[#This Row],[Far]],-12,0),0)+OFFSET(TblConstr[[#This Row],[Tot Farm]],-1,0)-TblConstr[[#This Row],[Dest Farm]]</f>
        <v>30</v>
      </c>
      <c r="BB94" s="189" cm="1">
        <f t="array" aca="1" ref="BB94" ca="1">IF(TblConstr[[#This Row],[Hour]:[Hour]]&gt;12,OFFSET(TblConstr[[#This Row],[Smi]],-12,0),0)+OFFSET(TblConstr[[#This Row],[Tot Smi]],-1,0)-TblConstr[[#This Row],[Dest Smi]]</f>
        <v>0</v>
      </c>
      <c r="BC94" s="189" cm="1">
        <f t="array" aca="1" ref="BC94" ca="1">IF(TblConstr[[#This Row],[Hour]:[Hour]]&gt;12,OFFSET(TblConstr[[#This Row],[Mas]],-12,0),0)+OFFSET(TblConstr[[#This Row],[Tot Mas]],-1,0)-TblConstr[[#This Row],[Dest Mas]]</f>
        <v>0</v>
      </c>
      <c r="BD94" s="190" cm="1">
        <f t="array" aca="1" ref="BD94" ca="1">IF(TblConstr[[#This Row],[Hour]:[Hour]]&gt;12,OFFSET(TblConstr[[#This Row],[Ly]],-12,0),0)+OFFSET(TblConstr[[#This Row],[Tot Ly]],-1,0)-TblConstr[[#This Row],[Dest Ly]]</f>
        <v>20</v>
      </c>
      <c r="BE94" s="190" cm="1">
        <f t="array" aca="1" ref="BE94" ca="1">IF(TblConstr[[#This Row],[Hour]:[Hour]]&gt;12,OFFSET(TblConstr[[#This Row],[Hav]],-12,0),0)+OFFSET(TblConstr[[#This Row],[Tot Hav]],-1,0)-TblConstr[[#This Row],[Dest Hav]]</f>
        <v>0</v>
      </c>
      <c r="BF94" s="361" cm="1">
        <f t="array" aca="1" ref="BF94" ca="1">IF(TblConstr[[#This Row],[Hour]:[Hour]]&gt;12,OFFSET(TblConstr[[#This Row],[OM]],-12,0),0)+OFFSET(TblConstr[[#This Row],[Tot OM]],-1,0)-TblConstr[[#This Row],[Dest OM]]</f>
        <v>0</v>
      </c>
      <c r="BG94" s="361" cm="1">
        <f t="array" aca="1" ref="BG94" ca="1">IF(TblConstr[[#This Row],[Hour]:[Hour]]&gt;12,OFFSET(TblConstr[[#This Row],[GN]],-12,0),0)+OFFSET(TblConstr[[#This Row],[Tot GN]],-1,0)-TblConstr[[#This Row],[Dest GN]]</f>
        <v>0</v>
      </c>
      <c r="BH94" s="365" cm="1">
        <f t="array" aca="1" ref="BH94" ca="1">IF(TblConstr[[#This Row],[Hour]:[Hour]]&gt;12,OFFSET(TblConstr[[#This Row],[Fac]],-12,0),0)+OFFSET(TblConstr[[#This Row],[Tot Fac]],-1,0)-TblConstr[[#This Row],[Dest Fac]]</f>
        <v>0</v>
      </c>
      <c r="BI94" s="365" cm="1">
        <f t="array" aca="1" ref="BI94" ca="1">IF(TblConstr[[#This Row],[Hour]:[Hour]]&gt;12,OFFSET(TblConstr[[#This Row],[GT]],-12,0),0)+OFFSET(TblConstr[[#This Row],[Tot GT]],-1,0)-TblConstr[[#This Row],[Dest GT]]</f>
        <v>0</v>
      </c>
      <c r="BJ94" s="365" cm="1">
        <f t="array" aca="1" ref="BJ94" ca="1">IF(TblConstr[[#This Row],[Hour]:[Hour]]&gt;12,OFFSET(TblConstr[[#This Row],[Bar]],-12,0),0)+OFFSET(TblConstr[[#This Row],[Tot Bar]],-1,0)-TblConstr[[#This Row],[Dest Bar]]</f>
        <v>0</v>
      </c>
      <c r="BK94" s="365" cm="1">
        <f t="array" aca="1" ref="BK94" ca="1">IF(TblConstr[[#This Row],[Hour]:[Hour]]&gt;12,OFFSET(TblConstr[[#This Row],[Shr]],-12,0),0)+OFFSET(TblConstr[[#This Row],[Tot Shr]],-1,0)-TblConstr[[#This Row],[Dest Shr]]</f>
        <v>0</v>
      </c>
      <c r="BL94" s="369" cm="1">
        <f t="array" aca="1" ref="BL94" ca="1">IF(TblConstr[[#This Row],[Hour]:[Hour]]&gt;12,OFFSET(TblConstr[[#This Row],[Tow]],-12,0),0)+OFFSET(TblConstr[[#This Row],[Tot Tow]],-1,0)-TblConstr[[#This Row],[Dest Tow]]</f>
        <v>0</v>
      </c>
      <c r="BM94" s="369" cm="1">
        <f t="array" aca="1" ref="BM94" ca="1">IF(TblConstr[[#This Row],[Hour]:[Hour]]&gt;12,OFFSET(TblConstr[[#This Row],[Tem]],-12,0),0)+OFFSET(TblConstr[[#This Row],[Tot Tem]],-1,0)-TblConstr[[#This Row],[Dest Tem]]</f>
        <v>0</v>
      </c>
      <c r="BN94" s="369" cm="1">
        <f t="array" aca="1" ref="BN94" ca="1">IF(TblConstr[[#This Row],[Hour]:[Hour]]&gt;12,OFFSET(TblConstr[[#This Row],[WG]],-12,0),0)+OFFSET(TblConstr[[#This Row],[Tot WG]],-1,0)-TblConstr[[#This Row],[Dest WG]]</f>
        <v>0</v>
      </c>
      <c r="BO94" s="191" cm="1">
        <f t="array" aca="1" ref="BO94" ca="1">IF(TblConstr[[#This Row],[Hour]:[Hour]]&gt;12,OFFSET(TblConstr[[#This Row],[DM]],-12,0),0)+OFFSET(TblConstr[[#This Row],[Tot DM]],-1,0)-TblConstr[[#This Row],[Dest DM]]</f>
        <v>0</v>
      </c>
      <c r="BP94" s="191" cm="1">
        <f t="array" aca="1" ref="BP94" ca="1">IF(TblConstr[[#This Row],[Hour]:[Hour]]&gt;12,OFFSET(TblConstr[[#This Row],[Sch]],-12,0),0)+OFFSET(TblConstr[[#This Row],[Tot Sch]],-1,0)-TblConstr[[#This Row],[Dest Sch]]</f>
        <v>0</v>
      </c>
      <c r="BQ94" s="192" cm="1">
        <f t="array" aca="1" ref="BQ94" ca="1">IF(TblConstr[[#This Row],[Hour]:[Hour]]&gt;12,OFFSET(TblConstr[[#This Row],[Doc]],-12,0),0)+OFFSET(TblConstr[[#This Row],[Tot Doc]],-1,0)-TblConstr[[#This Row],[Dest Doc]]</f>
        <v>0</v>
      </c>
      <c r="BR94" s="142"/>
      <c r="BS94" s="154"/>
      <c r="BT94" s="94">
        <f ca="1">TblConstr[[#This Row],[Land]]</f>
        <v>110</v>
      </c>
      <c r="BU94" s="159">
        <f ca="1">TblImps[[#This Row],[Time]]</f>
        <v>46050.749999999782</v>
      </c>
      <c r="BV94" s="142"/>
      <c r="BW94" s="179"/>
      <c r="BX94" s="179"/>
      <c r="BY94" s="179"/>
      <c r="BZ94" s="179"/>
      <c r="CA94" s="179"/>
      <c r="CB94" s="179"/>
      <c r="CC94" s="179"/>
      <c r="CD94" s="179"/>
      <c r="CE94" s="179"/>
      <c r="CF94" s="179"/>
      <c r="CG94" s="179"/>
      <c r="CH94" s="179"/>
      <c r="CI94" s="179"/>
      <c r="CJ94" s="179"/>
      <c r="CK94" s="179"/>
      <c r="CL94" s="179"/>
      <c r="CM94" s="179"/>
      <c r="CN94" s="179"/>
      <c r="CO94" s="179"/>
      <c r="CP94" s="142"/>
      <c r="CQ94" s="181">
        <f ca="1">-SUM(TblConstr[[#This Row],[Alc]:[Mas]])+SUM(TblConstr[[#This Row],[Dest Alc]:[Dest Mas]])+Rezone!L94+IF("Ch_"&amp; home_land=TblConstr[[#Headers],[Ch_Plain]],TblConstr[[#This Row],[Home Land]])+IF(TblConstr[[#This Row],[Hour]:[Hour]]&gt;12,OFFSET(TblExplore[[#This Row],[Plains Explore]],-12,0),0)</f>
        <v>0</v>
      </c>
      <c r="CR94" s="182">
        <f ca="1">-SUM(TblConstr[[#This Row],[Ly]:[Hav]])+SUM(TblConstr[[#This Row],[Dest Ly]:[Dest Hav]]) +Rezone!M94 + IF("Ch_"&amp; home_land=TblConstr[[#Headers],[Ch_Forest]],TblConstr[[#This Row],[Home Land]])+IF(TblConstr[[#This Row],[Hour]:[Hour]]&gt;12,OFFSET(TblExplore[[#This Row],[Forest Explore]],-12,0),0)</f>
        <v>0</v>
      </c>
      <c r="CS94" s="359">
        <f ca="1">-SUM(TblConstr[[#This Row],[OM]:[GN]])+SUM(TblConstr[[#This Row],[Dest OM]:[Dest GN]]) +Rezone!N94 + IF("Ch_"&amp; home_land=TblConstr[[#Headers],[Ch_Mountain]],TblConstr[[#This Row],[Home Land]])+IF(TblConstr[[#This Row],[Hour]:[Hour]]&gt;12,OFFSET(TblExplore[[#This Row],[Mountain Explore]],-12,0),0)</f>
        <v>0</v>
      </c>
      <c r="CT94" s="183">
        <f ca="1">-SUM(TblConstr[[#This Row],[Fac]:[Shr]])+SUM(TblConstr[[#This Row],[Dest Fac]:[Dest Shr]]) +Rezone!O94 + IF("Ch_" &amp; home_land=TblConstr[[#Headers],[Ch_Hill]],TblConstr[[#This Row],[Home Land]])+IF(TblConstr[[#This Row],[Hour]:[Hour]]&gt;12,OFFSET(TblExplore[[#This Row],[Hill Explore]],-12,0),0)</f>
        <v>0</v>
      </c>
      <c r="CU94" s="184">
        <f ca="1">-SUM(TblConstr[[#This Row],[Tow]:[WG]])+SUM(TblConstr[[#This Row],[Dest Tow]:[Dest WG]]) +Rezone!P94 + IF("Ch_" &amp; home_land=TblConstr[[#Headers],[Ch_Swamp]],TblConstr[[#This Row],[Home Land]])+IF(TblConstr[[#This Row],[Hour]:[Hour]]&gt;12,OFFSET(TblExplore[[#This Row],[Swamp Explore]],-12,0),0)</f>
        <v>0</v>
      </c>
      <c r="CV94" s="185">
        <f ca="1" xml:space="preserve"> - SUM(TblConstr[[#This Row],[DM]:[Sch]])+SUM(TblConstr[[#This Row],[Dest DM]:[Dest Sch]]) +Rezone!Q94 + IF("Ch_" &amp; home_land=TblConstr[[#Headers],[Ch_Cavern]],TblConstr[[#This Row],[Home Land]])+IF(TblConstr[[#This Row],[Hour]:[Hour]]&gt;12,OFFSET(TblExplore[[#This Row],[Cavern Explore]],-12,0),0)</f>
        <v>0</v>
      </c>
      <c r="CW94" s="186">
        <f ca="1">-TblConstr[[#This Row],[Doc]]+TblConstr[[#This Row],[Dest Doc]] +Rezone!R94 + IF("Ch_" &amp; home_land=TblConstr[[#Headers],[Ch_Water]],TblConstr[[#This Row],[Home Land]])+IF(TblConstr[[#This Row],[Hour]:[Hour]]&gt;12,OFFSET(TblExplore[[#This Row],[Water Explore]],-12,0),0)</f>
        <v>0</v>
      </c>
      <c r="CX94" s="45">
        <f>IF(Explore!S94=1,20) - TblConstr[[#This Row],[Hom]] + TblConstr[[#This Row],[Dest Hom]]</f>
        <v>0</v>
      </c>
      <c r="CY94" s="142"/>
      <c r="CZ94" s="94">
        <f t="shared" ca="1" si="23"/>
        <v>90</v>
      </c>
      <c r="DA94" s="94">
        <f t="shared" ca="1" si="24"/>
        <v>20</v>
      </c>
      <c r="DB94" s="45">
        <f t="shared" ca="1" si="25"/>
        <v>0</v>
      </c>
      <c r="DC94" s="94">
        <f t="shared" ca="1" si="26"/>
        <v>0</v>
      </c>
      <c r="DD94" s="94">
        <f t="shared" ca="1" si="27"/>
        <v>0</v>
      </c>
      <c r="DE94" s="45">
        <f t="shared" ca="1" si="28"/>
        <v>0</v>
      </c>
      <c r="DF94" s="94">
        <f t="shared" ca="1" si="29"/>
        <v>0</v>
      </c>
      <c r="DG94" s="94" cm="1">
        <f t="array" aca="1" ref="DG94" ca="1">INDEX(TblConstr[[Total Plain]:[Total Water]],ROW()-ROW(TblConstr[#Headers]),MATCH("Total "&amp;home_land,TblConstr[[#Headers],[Total Plain]:[Total Water]],0))+TblConstr[[#This Row],[Homes]]</f>
        <v>90</v>
      </c>
      <c r="DH94" s="45">
        <f t="shared" ca="1" si="22"/>
        <v>0</v>
      </c>
      <c r="DI94" s="45">
        <f t="shared" ca="1" si="19"/>
        <v>0</v>
      </c>
      <c r="DJ94" s="45">
        <f t="shared" ca="1" si="20"/>
        <v>0</v>
      </c>
    </row>
    <row r="95" spans="1:114" x14ac:dyDescent="0.2">
      <c r="A95" s="175">
        <f>TblRezone[[#This Row],[Hour]]</f>
        <v>92</v>
      </c>
      <c r="B95" s="176">
        <f ca="1">SUM(TblConstr[[#This Row],[Plain]:[Water]])</f>
        <v>60</v>
      </c>
      <c r="C95" s="177">
        <f ca="1">SUM(TblConstr[[#This Row],[Tot Hom]:[Tot Doc]])</f>
        <v>50</v>
      </c>
      <c r="D95" s="177">
        <f t="shared" si="21"/>
        <v>0</v>
      </c>
      <c r="E95" s="178"/>
      <c r="F95" s="61">
        <f ca="1">TblConstr[[#This Row],[Barren]]+TblConstr[[#This Row],[Buildings]]+TblConstr[[#This Row],[Incoming]]</f>
        <v>110</v>
      </c>
      <c r="G95" s="187">
        <f ca="1">OFFSET(TblConstr[[#This Row],[Plain]],-1,0)+TblConstr[[#This Row],[Ch_Plain]]</f>
        <v>60</v>
      </c>
      <c r="H95" s="182">
        <f ca="1">OFFSET(TblConstr[[#This Row],[Forest]],-1,0)+TblConstr[[#This Row],[Ch_Forest]]</f>
        <v>0</v>
      </c>
      <c r="I95" s="359">
        <f ca="1">OFFSET(TblConstr[[#This Row],[Mountain]],-1,0)+TblConstr[[#This Row],[Ch_Mountain]]</f>
        <v>0</v>
      </c>
      <c r="J95" s="363">
        <f ca="1">OFFSET(TblConstr[[#This Row],[Hill]],-1,0)+TblConstr[[#This Row],[Ch_Hill]]</f>
        <v>0</v>
      </c>
      <c r="K95" s="367">
        <f ca="1">OFFSET(TblConstr[[#This Row],[Swamp]],-1,0)+TblConstr[[#This Row],[Ch_Swamp]]</f>
        <v>0</v>
      </c>
      <c r="L95" s="185">
        <f ca="1">OFFSET(TblConstr[[#This Row],[Cavern]],-1,0)+TblConstr[[#This Row],[Ch_Cavern]]</f>
        <v>0</v>
      </c>
      <c r="M95" s="186">
        <f ca="1">OFFSET(TblConstr[[#This Row],[Water]],-1,0)+TblConstr[[#This Row],[Ch_Water]]</f>
        <v>0</v>
      </c>
      <c r="N95" s="357">
        <f>TblRezone[[#This Row],[Hour]]</f>
        <v>92</v>
      </c>
      <c r="O95" s="179"/>
      <c r="P95" s="179"/>
      <c r="Q95" s="179"/>
      <c r="R95" s="179"/>
      <c r="S95" s="179"/>
      <c r="T95" s="179"/>
      <c r="U95" s="179"/>
      <c r="V95" s="179"/>
      <c r="W95" s="179"/>
      <c r="X95" s="179"/>
      <c r="Y95" s="179"/>
      <c r="Z95" s="179"/>
      <c r="AA95" s="179"/>
      <c r="AB95" s="179"/>
      <c r="AC95" s="179"/>
      <c r="AD95" s="179"/>
      <c r="AE95" s="179"/>
      <c r="AF95" s="179"/>
      <c r="AG95" s="179"/>
      <c r="AH95" s="53">
        <f ca="1">TblImps[[#This Row],[Time]]</f>
        <v>46050.791666666446</v>
      </c>
      <c r="AI95" s="180">
        <f ca="1">MIN(25%,(TblConstr[[#This Row],[Tot Fac]]+TblConstr[[#This Row],[Dest Fac]])/(TblConstr[[#This Row],[Land]]-TblExplore[[#This Row],[Land Bonus]]*20))</f>
        <v>0</v>
      </c>
      <c r="AJ95" s="180">
        <f ca="1">MIN(25%,(TblConstr[[#This Row],[Tot Fac]]+TblConstr[[#This Row],[Dest Fac]])/TblConstr[[#This Row],[Land]])</f>
        <v>0</v>
      </c>
      <c r="AK95" s="94">
        <f ca="1">TblProd[[#This Row],[Platinum]]</f>
        <v>191427</v>
      </c>
      <c r="AL95" s="94">
        <f ca="1">TblProd[[#This Row],[Lumber]]</f>
        <v>65940</v>
      </c>
      <c r="AM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5" s="94">
        <f ca="1">ROUNDDOWN( MAX(1 - MIN(facs_constr_factor*TblConstr[[#This Row],[Facs -DB]],facs_constr_max) + tech_1_11*TblTech[[#This Row],[11-1]] + tech_6_3_2*TblTech[[#This Row],[6-3]] + tech_5_2_3*TblTech[[#This Row],[5-2]], 1-global_constr_cap) * TblConstr[[#This Row],[RCPA Lumber]],0)</f>
        <v>48</v>
      </c>
      <c r="AO9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5" s="94">
        <f ca="1">ROUNDDOWN( MAX(1 - MIN(facs_constr_factor*TblConstr[[#This Row],[Facs DB]],facs_constr_max) + tech_1_11*TblTech[[#This Row],[1-11]] + tech_6_3_2*TblTech[[#This Row],[6-3]] + tech_5_2_3*TblTech[[#This Row],[5-2]], 1-global_constr_cap) * ROUND((TblConstr[[#This Row],[Land]]-250)*0.285 + 87.5 + 0/4.25,0),0)</f>
        <v>48</v>
      </c>
      <c r="AQ95" s="45">
        <f ca="1">TblConstr[[#This Row],[build -db]]*TblConstr[[#This Row],[CPA Platinum -DB]] + TblConstr[[#This Row],[build db]]*TblConstr[[#This Row],[CPA Platinum DB]]</f>
        <v>0</v>
      </c>
      <c r="AR95" s="45">
        <f ca="1">TblConstr[[#This Row],[build -db]]*TblConstr[[#This Row],[CPA Lumber -DB]] + TblConstr[[#This Row],[build db]]*TblConstr[[#This Row],[CPA Lumber DB]]</f>
        <v>0</v>
      </c>
      <c r="AS95" s="94">
        <f ca="1">MIN(SUM(OFFSET(TblConstr[[#This Row],[Plain]:[Water]],-1,0))+SUM(TblConstr[[#This Row],[Dest Hom]:[Dest Doc]])+IF(TblConstr[[#This Row],[Hour]]&gt;12,SUM(OFFSET(TblExplore[[#This Row],[Plains Explore]:[Water Explore]],-12,0)),0),SUM(TblConstr[[#This Row],[Hom]:[Doc]]))</f>
        <v>0</v>
      </c>
      <c r="AT9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5" s="142"/>
      <c r="AV95" s="94">
        <f ca="1">ROUND((TblConstr[[#This Row],[Land]]-250 - IF(TblExplore[[#This Row],[Land Bonus]]&lt;&gt;0,20,0))*1.25 + 850 + 0,0)</f>
        <v>675</v>
      </c>
      <c r="AW95" s="94">
        <f ca="1">ROUND((TblConstr[[#This Row],[Land]]-250 - IF(TblExplore[[#This Row],[Land Bonus]]&lt;&gt;0,20,0))*0.285 + 87.5 + 0/4.25,0)</f>
        <v>48</v>
      </c>
      <c r="AX95" s="154"/>
      <c r="AY95" s="188" cm="1">
        <f t="array" aca="1" ref="AY95" ca="1">IF(TblConstr[[#This Row],[Hour]:[Hour]]&gt;12,OFFSET(TblConstr[[#This Row],[Hom]],-12,0),0)+OFFSET(TblConstr[[#This Row],[Tot Hom]],-1,0)-TblConstr[[#This Row],[Dest Hom]]</f>
        <v>0</v>
      </c>
      <c r="AZ95" s="189" cm="1">
        <f t="array" aca="1" ref="AZ95" ca="1">IF(TblConstr[[#This Row],[Hour]:[Hour]]&gt;12,OFFSET(TblConstr[[#This Row],[Alc]],-12,0),0)+OFFSET(TblConstr[[#This Row],[Tot Alc]],-1,0)-TblConstr[[#This Row],[Dest Alc]]</f>
        <v>0</v>
      </c>
      <c r="BA95" s="189" cm="1">
        <f t="array" aca="1" ref="BA95" ca="1">IF(TblConstr[[#This Row],[Hour]:[Hour]]&gt;12,OFFSET(TblConstr[[#This Row],[Far]],-12,0),0)+OFFSET(TblConstr[[#This Row],[Tot Farm]],-1,0)-TblConstr[[#This Row],[Dest Farm]]</f>
        <v>30</v>
      </c>
      <c r="BB95" s="189" cm="1">
        <f t="array" aca="1" ref="BB95" ca="1">IF(TblConstr[[#This Row],[Hour]:[Hour]]&gt;12,OFFSET(TblConstr[[#This Row],[Smi]],-12,0),0)+OFFSET(TblConstr[[#This Row],[Tot Smi]],-1,0)-TblConstr[[#This Row],[Dest Smi]]</f>
        <v>0</v>
      </c>
      <c r="BC95" s="189" cm="1">
        <f t="array" aca="1" ref="BC95" ca="1">IF(TblConstr[[#This Row],[Hour]:[Hour]]&gt;12,OFFSET(TblConstr[[#This Row],[Mas]],-12,0),0)+OFFSET(TblConstr[[#This Row],[Tot Mas]],-1,0)-TblConstr[[#This Row],[Dest Mas]]</f>
        <v>0</v>
      </c>
      <c r="BD95" s="190" cm="1">
        <f t="array" aca="1" ref="BD95" ca="1">IF(TblConstr[[#This Row],[Hour]:[Hour]]&gt;12,OFFSET(TblConstr[[#This Row],[Ly]],-12,0),0)+OFFSET(TblConstr[[#This Row],[Tot Ly]],-1,0)-TblConstr[[#This Row],[Dest Ly]]</f>
        <v>20</v>
      </c>
      <c r="BE95" s="190" cm="1">
        <f t="array" aca="1" ref="BE95" ca="1">IF(TblConstr[[#This Row],[Hour]:[Hour]]&gt;12,OFFSET(TblConstr[[#This Row],[Hav]],-12,0),0)+OFFSET(TblConstr[[#This Row],[Tot Hav]],-1,0)-TblConstr[[#This Row],[Dest Hav]]</f>
        <v>0</v>
      </c>
      <c r="BF95" s="361" cm="1">
        <f t="array" aca="1" ref="BF95" ca="1">IF(TblConstr[[#This Row],[Hour]:[Hour]]&gt;12,OFFSET(TblConstr[[#This Row],[OM]],-12,0),0)+OFFSET(TblConstr[[#This Row],[Tot OM]],-1,0)-TblConstr[[#This Row],[Dest OM]]</f>
        <v>0</v>
      </c>
      <c r="BG95" s="361" cm="1">
        <f t="array" aca="1" ref="BG95" ca="1">IF(TblConstr[[#This Row],[Hour]:[Hour]]&gt;12,OFFSET(TblConstr[[#This Row],[GN]],-12,0),0)+OFFSET(TblConstr[[#This Row],[Tot GN]],-1,0)-TblConstr[[#This Row],[Dest GN]]</f>
        <v>0</v>
      </c>
      <c r="BH95" s="365" cm="1">
        <f t="array" aca="1" ref="BH95" ca="1">IF(TblConstr[[#This Row],[Hour]:[Hour]]&gt;12,OFFSET(TblConstr[[#This Row],[Fac]],-12,0),0)+OFFSET(TblConstr[[#This Row],[Tot Fac]],-1,0)-TblConstr[[#This Row],[Dest Fac]]</f>
        <v>0</v>
      </c>
      <c r="BI95" s="365" cm="1">
        <f t="array" aca="1" ref="BI95" ca="1">IF(TblConstr[[#This Row],[Hour]:[Hour]]&gt;12,OFFSET(TblConstr[[#This Row],[GT]],-12,0),0)+OFFSET(TblConstr[[#This Row],[Tot GT]],-1,0)-TblConstr[[#This Row],[Dest GT]]</f>
        <v>0</v>
      </c>
      <c r="BJ95" s="365" cm="1">
        <f t="array" aca="1" ref="BJ95" ca="1">IF(TblConstr[[#This Row],[Hour]:[Hour]]&gt;12,OFFSET(TblConstr[[#This Row],[Bar]],-12,0),0)+OFFSET(TblConstr[[#This Row],[Tot Bar]],-1,0)-TblConstr[[#This Row],[Dest Bar]]</f>
        <v>0</v>
      </c>
      <c r="BK95" s="365" cm="1">
        <f t="array" aca="1" ref="BK95" ca="1">IF(TblConstr[[#This Row],[Hour]:[Hour]]&gt;12,OFFSET(TblConstr[[#This Row],[Shr]],-12,0),0)+OFFSET(TblConstr[[#This Row],[Tot Shr]],-1,0)-TblConstr[[#This Row],[Dest Shr]]</f>
        <v>0</v>
      </c>
      <c r="BL95" s="369" cm="1">
        <f t="array" aca="1" ref="BL95" ca="1">IF(TblConstr[[#This Row],[Hour]:[Hour]]&gt;12,OFFSET(TblConstr[[#This Row],[Tow]],-12,0),0)+OFFSET(TblConstr[[#This Row],[Tot Tow]],-1,0)-TblConstr[[#This Row],[Dest Tow]]</f>
        <v>0</v>
      </c>
      <c r="BM95" s="369" cm="1">
        <f t="array" aca="1" ref="BM95" ca="1">IF(TblConstr[[#This Row],[Hour]:[Hour]]&gt;12,OFFSET(TblConstr[[#This Row],[Tem]],-12,0),0)+OFFSET(TblConstr[[#This Row],[Tot Tem]],-1,0)-TblConstr[[#This Row],[Dest Tem]]</f>
        <v>0</v>
      </c>
      <c r="BN95" s="369" cm="1">
        <f t="array" aca="1" ref="BN95" ca="1">IF(TblConstr[[#This Row],[Hour]:[Hour]]&gt;12,OFFSET(TblConstr[[#This Row],[WG]],-12,0),0)+OFFSET(TblConstr[[#This Row],[Tot WG]],-1,0)-TblConstr[[#This Row],[Dest WG]]</f>
        <v>0</v>
      </c>
      <c r="BO95" s="191" cm="1">
        <f t="array" aca="1" ref="BO95" ca="1">IF(TblConstr[[#This Row],[Hour]:[Hour]]&gt;12,OFFSET(TblConstr[[#This Row],[DM]],-12,0),0)+OFFSET(TblConstr[[#This Row],[Tot DM]],-1,0)-TblConstr[[#This Row],[Dest DM]]</f>
        <v>0</v>
      </c>
      <c r="BP95" s="191" cm="1">
        <f t="array" aca="1" ref="BP95" ca="1">IF(TblConstr[[#This Row],[Hour]:[Hour]]&gt;12,OFFSET(TblConstr[[#This Row],[Sch]],-12,0),0)+OFFSET(TblConstr[[#This Row],[Tot Sch]],-1,0)-TblConstr[[#This Row],[Dest Sch]]</f>
        <v>0</v>
      </c>
      <c r="BQ95" s="192" cm="1">
        <f t="array" aca="1" ref="BQ95" ca="1">IF(TblConstr[[#This Row],[Hour]:[Hour]]&gt;12,OFFSET(TblConstr[[#This Row],[Doc]],-12,0),0)+OFFSET(TblConstr[[#This Row],[Tot Doc]],-1,0)-TblConstr[[#This Row],[Dest Doc]]</f>
        <v>0</v>
      </c>
      <c r="BR95" s="142"/>
      <c r="BS95" s="154"/>
      <c r="BT95" s="94">
        <f ca="1">TblConstr[[#This Row],[Land]]</f>
        <v>110</v>
      </c>
      <c r="BU95" s="159">
        <f ca="1">TblImps[[#This Row],[Time]]</f>
        <v>46050.791666666446</v>
      </c>
      <c r="BV95" s="142"/>
      <c r="BW95" s="179"/>
      <c r="BX95" s="179"/>
      <c r="BY95" s="179"/>
      <c r="BZ95" s="179"/>
      <c r="CA95" s="179"/>
      <c r="CB95" s="179"/>
      <c r="CC95" s="179"/>
      <c r="CD95" s="179"/>
      <c r="CE95" s="179"/>
      <c r="CF95" s="179"/>
      <c r="CG95" s="179"/>
      <c r="CH95" s="179"/>
      <c r="CI95" s="179"/>
      <c r="CJ95" s="179"/>
      <c r="CK95" s="179"/>
      <c r="CL95" s="179"/>
      <c r="CM95" s="179"/>
      <c r="CN95" s="179"/>
      <c r="CO95" s="179"/>
      <c r="CP95" s="142"/>
      <c r="CQ95" s="181">
        <f ca="1">-SUM(TblConstr[[#This Row],[Alc]:[Mas]])+SUM(TblConstr[[#This Row],[Dest Alc]:[Dest Mas]])+Rezone!L95+IF("Ch_"&amp; home_land=TblConstr[[#Headers],[Ch_Plain]],TblConstr[[#This Row],[Home Land]])+IF(TblConstr[[#This Row],[Hour]:[Hour]]&gt;12,OFFSET(TblExplore[[#This Row],[Plains Explore]],-12,0),0)</f>
        <v>0</v>
      </c>
      <c r="CR95" s="182">
        <f ca="1">-SUM(TblConstr[[#This Row],[Ly]:[Hav]])+SUM(TblConstr[[#This Row],[Dest Ly]:[Dest Hav]]) +Rezone!M95 + IF("Ch_"&amp; home_land=TblConstr[[#Headers],[Ch_Forest]],TblConstr[[#This Row],[Home Land]])+IF(TblConstr[[#This Row],[Hour]:[Hour]]&gt;12,OFFSET(TblExplore[[#This Row],[Forest Explore]],-12,0),0)</f>
        <v>0</v>
      </c>
      <c r="CS95" s="359">
        <f ca="1">-SUM(TblConstr[[#This Row],[OM]:[GN]])+SUM(TblConstr[[#This Row],[Dest OM]:[Dest GN]]) +Rezone!N95 + IF("Ch_"&amp; home_land=TblConstr[[#Headers],[Ch_Mountain]],TblConstr[[#This Row],[Home Land]])+IF(TblConstr[[#This Row],[Hour]:[Hour]]&gt;12,OFFSET(TblExplore[[#This Row],[Mountain Explore]],-12,0),0)</f>
        <v>0</v>
      </c>
      <c r="CT95" s="183">
        <f ca="1">-SUM(TblConstr[[#This Row],[Fac]:[Shr]])+SUM(TblConstr[[#This Row],[Dest Fac]:[Dest Shr]]) +Rezone!O95 + IF("Ch_" &amp; home_land=TblConstr[[#Headers],[Ch_Hill]],TblConstr[[#This Row],[Home Land]])+IF(TblConstr[[#This Row],[Hour]:[Hour]]&gt;12,OFFSET(TblExplore[[#This Row],[Hill Explore]],-12,0),0)</f>
        <v>0</v>
      </c>
      <c r="CU95" s="184">
        <f ca="1">-SUM(TblConstr[[#This Row],[Tow]:[WG]])+SUM(TblConstr[[#This Row],[Dest Tow]:[Dest WG]]) +Rezone!P95 + IF("Ch_" &amp; home_land=TblConstr[[#Headers],[Ch_Swamp]],TblConstr[[#This Row],[Home Land]])+IF(TblConstr[[#This Row],[Hour]:[Hour]]&gt;12,OFFSET(TblExplore[[#This Row],[Swamp Explore]],-12,0),0)</f>
        <v>0</v>
      </c>
      <c r="CV95" s="185">
        <f ca="1" xml:space="preserve"> - SUM(TblConstr[[#This Row],[DM]:[Sch]])+SUM(TblConstr[[#This Row],[Dest DM]:[Dest Sch]]) +Rezone!Q95 + IF("Ch_" &amp; home_land=TblConstr[[#Headers],[Ch_Cavern]],TblConstr[[#This Row],[Home Land]])+IF(TblConstr[[#This Row],[Hour]:[Hour]]&gt;12,OFFSET(TblExplore[[#This Row],[Cavern Explore]],-12,0),0)</f>
        <v>0</v>
      </c>
      <c r="CW95" s="186">
        <f ca="1">-TblConstr[[#This Row],[Doc]]+TblConstr[[#This Row],[Dest Doc]] +Rezone!R95 + IF("Ch_" &amp; home_land=TblConstr[[#Headers],[Ch_Water]],TblConstr[[#This Row],[Home Land]])+IF(TblConstr[[#This Row],[Hour]:[Hour]]&gt;12,OFFSET(TblExplore[[#This Row],[Water Explore]],-12,0),0)</f>
        <v>0</v>
      </c>
      <c r="CX95" s="45">
        <f>IF(Explore!S95=1,20) - TblConstr[[#This Row],[Hom]] + TblConstr[[#This Row],[Dest Hom]]</f>
        <v>0</v>
      </c>
      <c r="CY95" s="142"/>
      <c r="CZ95" s="94">
        <f t="shared" ca="1" si="23"/>
        <v>90</v>
      </c>
      <c r="DA95" s="94">
        <f t="shared" ca="1" si="24"/>
        <v>20</v>
      </c>
      <c r="DB95" s="45">
        <f t="shared" ca="1" si="25"/>
        <v>0</v>
      </c>
      <c r="DC95" s="94">
        <f t="shared" ca="1" si="26"/>
        <v>0</v>
      </c>
      <c r="DD95" s="94">
        <f t="shared" ca="1" si="27"/>
        <v>0</v>
      </c>
      <c r="DE95" s="45">
        <f t="shared" ca="1" si="28"/>
        <v>0</v>
      </c>
      <c r="DF95" s="94">
        <f t="shared" ca="1" si="29"/>
        <v>0</v>
      </c>
      <c r="DG95" s="94" cm="1">
        <f t="array" aca="1" ref="DG95" ca="1">INDEX(TblConstr[[Total Plain]:[Total Water]],ROW()-ROW(TblConstr[#Headers]),MATCH("Total "&amp;home_land,TblConstr[[#Headers],[Total Plain]:[Total Water]],0))+TblConstr[[#This Row],[Homes]]</f>
        <v>90</v>
      </c>
      <c r="DH95" s="45">
        <f t="shared" ca="1" si="22"/>
        <v>0</v>
      </c>
      <c r="DI95" s="45">
        <f t="shared" ca="1" si="19"/>
        <v>0</v>
      </c>
      <c r="DJ95" s="45">
        <f t="shared" ca="1" si="20"/>
        <v>0</v>
      </c>
    </row>
    <row r="96" spans="1:114" x14ac:dyDescent="0.2">
      <c r="A96" s="175">
        <f>TblRezone[[#This Row],[Hour]]</f>
        <v>93</v>
      </c>
      <c r="B96" s="176">
        <f ca="1">SUM(TblConstr[[#This Row],[Plain]:[Water]])</f>
        <v>60</v>
      </c>
      <c r="C96" s="177">
        <f ca="1">SUM(TblConstr[[#This Row],[Tot Hom]:[Tot Doc]])</f>
        <v>50</v>
      </c>
      <c r="D96" s="177">
        <f t="shared" si="21"/>
        <v>0</v>
      </c>
      <c r="E96" s="178"/>
      <c r="F96" s="61">
        <f ca="1">TblConstr[[#This Row],[Barren]]+TblConstr[[#This Row],[Buildings]]+TblConstr[[#This Row],[Incoming]]</f>
        <v>110</v>
      </c>
      <c r="G96" s="187">
        <f ca="1">OFFSET(TblConstr[[#This Row],[Plain]],-1,0)+TblConstr[[#This Row],[Ch_Plain]]</f>
        <v>60</v>
      </c>
      <c r="H96" s="182">
        <f ca="1">OFFSET(TblConstr[[#This Row],[Forest]],-1,0)+TblConstr[[#This Row],[Ch_Forest]]</f>
        <v>0</v>
      </c>
      <c r="I96" s="359">
        <f ca="1">OFFSET(TblConstr[[#This Row],[Mountain]],-1,0)+TblConstr[[#This Row],[Ch_Mountain]]</f>
        <v>0</v>
      </c>
      <c r="J96" s="363">
        <f ca="1">OFFSET(TblConstr[[#This Row],[Hill]],-1,0)+TblConstr[[#This Row],[Ch_Hill]]</f>
        <v>0</v>
      </c>
      <c r="K96" s="367">
        <f ca="1">OFFSET(TblConstr[[#This Row],[Swamp]],-1,0)+TblConstr[[#This Row],[Ch_Swamp]]</f>
        <v>0</v>
      </c>
      <c r="L96" s="185">
        <f ca="1">OFFSET(TblConstr[[#This Row],[Cavern]],-1,0)+TblConstr[[#This Row],[Ch_Cavern]]</f>
        <v>0</v>
      </c>
      <c r="M96" s="186">
        <f ca="1">OFFSET(TblConstr[[#This Row],[Water]],-1,0)+TblConstr[[#This Row],[Ch_Water]]</f>
        <v>0</v>
      </c>
      <c r="N96" s="357">
        <f>TblRezone[[#This Row],[Hour]]</f>
        <v>93</v>
      </c>
      <c r="O96" s="179"/>
      <c r="P96" s="179"/>
      <c r="Q96" s="179"/>
      <c r="R96" s="158"/>
      <c r="S96" s="179"/>
      <c r="T96" s="179"/>
      <c r="U96" s="179"/>
      <c r="V96" s="179"/>
      <c r="W96" s="179"/>
      <c r="X96" s="179"/>
      <c r="Y96" s="179"/>
      <c r="Z96" s="179"/>
      <c r="AA96" s="179"/>
      <c r="AB96" s="179"/>
      <c r="AC96" s="179"/>
      <c r="AD96" s="179"/>
      <c r="AE96" s="179"/>
      <c r="AF96" s="179"/>
      <c r="AG96" s="179"/>
      <c r="AH96" s="53">
        <f ca="1">TblImps[[#This Row],[Time]]</f>
        <v>46050.83333333311</v>
      </c>
      <c r="AI96" s="180">
        <f ca="1">MIN(25%,(TblConstr[[#This Row],[Tot Fac]]+TblConstr[[#This Row],[Dest Fac]])/(TblConstr[[#This Row],[Land]]-TblExplore[[#This Row],[Land Bonus]]*20))</f>
        <v>0</v>
      </c>
      <c r="AJ96" s="180">
        <f ca="1">MIN(25%,(TblConstr[[#This Row],[Tot Fac]]+TblConstr[[#This Row],[Dest Fac]])/TblConstr[[#This Row],[Land]])</f>
        <v>0</v>
      </c>
      <c r="AK96" s="94">
        <f ca="1">TblProd[[#This Row],[Platinum]]</f>
        <v>192515</v>
      </c>
      <c r="AL96" s="94">
        <f ca="1">TblProd[[#This Row],[Lumber]]</f>
        <v>66281</v>
      </c>
      <c r="AM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6" s="94">
        <f ca="1">ROUNDDOWN( MAX(1 - MIN(facs_constr_factor*TblConstr[[#This Row],[Facs -DB]],facs_constr_max) + tech_1_11*TblTech[[#This Row],[11-1]] + tech_6_3_2*TblTech[[#This Row],[6-3]] + tech_5_2_3*TblTech[[#This Row],[5-2]], 1-global_constr_cap) * TblConstr[[#This Row],[RCPA Lumber]],0)</f>
        <v>48</v>
      </c>
      <c r="AO9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6" s="94">
        <f ca="1">ROUNDDOWN( MAX(1 - MIN(facs_constr_factor*TblConstr[[#This Row],[Facs DB]],facs_constr_max) + tech_1_11*TblTech[[#This Row],[1-11]] + tech_6_3_2*TblTech[[#This Row],[6-3]] + tech_5_2_3*TblTech[[#This Row],[5-2]], 1-global_constr_cap) * ROUND((TblConstr[[#This Row],[Land]]-250)*0.285 + 87.5 + 0/4.25,0),0)</f>
        <v>48</v>
      </c>
      <c r="AQ96" s="45">
        <f ca="1">TblConstr[[#This Row],[build -db]]*TblConstr[[#This Row],[CPA Platinum -DB]] + TblConstr[[#This Row],[build db]]*TblConstr[[#This Row],[CPA Platinum DB]]</f>
        <v>0</v>
      </c>
      <c r="AR96" s="45">
        <f ca="1">TblConstr[[#This Row],[build -db]]*TblConstr[[#This Row],[CPA Lumber -DB]] + TblConstr[[#This Row],[build db]]*TblConstr[[#This Row],[CPA Lumber DB]]</f>
        <v>0</v>
      </c>
      <c r="AS96" s="94">
        <f ca="1">MIN(SUM(OFFSET(TblConstr[[#This Row],[Plain]:[Water]],-1,0))+SUM(TblConstr[[#This Row],[Dest Hom]:[Dest Doc]])+IF(TblConstr[[#This Row],[Hour]]&gt;12,SUM(OFFSET(TblExplore[[#This Row],[Plains Explore]:[Water Explore]],-12,0)),0),SUM(TblConstr[[#This Row],[Hom]:[Doc]]))</f>
        <v>0</v>
      </c>
      <c r="AT9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6" s="142"/>
      <c r="AV96" s="94">
        <f ca="1">ROUND((TblConstr[[#This Row],[Land]]-250 - IF(TblExplore[[#This Row],[Land Bonus]]&lt;&gt;0,20,0))*1.25 + 850 + 0,0)</f>
        <v>675</v>
      </c>
      <c r="AW96" s="94">
        <f ca="1">ROUND((TblConstr[[#This Row],[Land]]-250 - IF(TblExplore[[#This Row],[Land Bonus]]&lt;&gt;0,20,0))*0.285 + 87.5 + 0/4.25,0)</f>
        <v>48</v>
      </c>
      <c r="AX96" s="154"/>
      <c r="AY96" s="188" cm="1">
        <f t="array" aca="1" ref="AY96" ca="1">IF(TblConstr[[#This Row],[Hour]:[Hour]]&gt;12,OFFSET(TblConstr[[#This Row],[Hom]],-12,0),0)+OFFSET(TblConstr[[#This Row],[Tot Hom]],-1,0)-TblConstr[[#This Row],[Dest Hom]]</f>
        <v>0</v>
      </c>
      <c r="AZ96" s="189" cm="1">
        <f t="array" aca="1" ref="AZ96" ca="1">IF(TblConstr[[#This Row],[Hour]:[Hour]]&gt;12,OFFSET(TblConstr[[#This Row],[Alc]],-12,0),0)+OFFSET(TblConstr[[#This Row],[Tot Alc]],-1,0)-TblConstr[[#This Row],[Dest Alc]]</f>
        <v>0</v>
      </c>
      <c r="BA96" s="189" cm="1">
        <f t="array" aca="1" ref="BA96" ca="1">IF(TblConstr[[#This Row],[Hour]:[Hour]]&gt;12,OFFSET(TblConstr[[#This Row],[Far]],-12,0),0)+OFFSET(TblConstr[[#This Row],[Tot Farm]],-1,0)-TblConstr[[#This Row],[Dest Farm]]</f>
        <v>30</v>
      </c>
      <c r="BB96" s="189" cm="1">
        <f t="array" aca="1" ref="BB96" ca="1">IF(TblConstr[[#This Row],[Hour]:[Hour]]&gt;12,OFFSET(TblConstr[[#This Row],[Smi]],-12,0),0)+OFFSET(TblConstr[[#This Row],[Tot Smi]],-1,0)-TblConstr[[#This Row],[Dest Smi]]</f>
        <v>0</v>
      </c>
      <c r="BC96" s="189" cm="1">
        <f t="array" aca="1" ref="BC96" ca="1">IF(TblConstr[[#This Row],[Hour]:[Hour]]&gt;12,OFFSET(TblConstr[[#This Row],[Mas]],-12,0),0)+OFFSET(TblConstr[[#This Row],[Tot Mas]],-1,0)-TblConstr[[#This Row],[Dest Mas]]</f>
        <v>0</v>
      </c>
      <c r="BD96" s="190" cm="1">
        <f t="array" aca="1" ref="BD96" ca="1">IF(TblConstr[[#This Row],[Hour]:[Hour]]&gt;12,OFFSET(TblConstr[[#This Row],[Ly]],-12,0),0)+OFFSET(TblConstr[[#This Row],[Tot Ly]],-1,0)-TblConstr[[#This Row],[Dest Ly]]</f>
        <v>20</v>
      </c>
      <c r="BE96" s="190" cm="1">
        <f t="array" aca="1" ref="BE96" ca="1">IF(TblConstr[[#This Row],[Hour]:[Hour]]&gt;12,OFFSET(TblConstr[[#This Row],[Hav]],-12,0),0)+OFFSET(TblConstr[[#This Row],[Tot Hav]],-1,0)-TblConstr[[#This Row],[Dest Hav]]</f>
        <v>0</v>
      </c>
      <c r="BF96" s="361" cm="1">
        <f t="array" aca="1" ref="BF96" ca="1">IF(TblConstr[[#This Row],[Hour]:[Hour]]&gt;12,OFFSET(TblConstr[[#This Row],[OM]],-12,0),0)+OFFSET(TblConstr[[#This Row],[Tot OM]],-1,0)-TblConstr[[#This Row],[Dest OM]]</f>
        <v>0</v>
      </c>
      <c r="BG96" s="361" cm="1">
        <f t="array" aca="1" ref="BG96" ca="1">IF(TblConstr[[#This Row],[Hour]:[Hour]]&gt;12,OFFSET(TblConstr[[#This Row],[GN]],-12,0),0)+OFFSET(TblConstr[[#This Row],[Tot GN]],-1,0)-TblConstr[[#This Row],[Dest GN]]</f>
        <v>0</v>
      </c>
      <c r="BH96" s="365" cm="1">
        <f t="array" aca="1" ref="BH96" ca="1">IF(TblConstr[[#This Row],[Hour]:[Hour]]&gt;12,OFFSET(TblConstr[[#This Row],[Fac]],-12,0),0)+OFFSET(TblConstr[[#This Row],[Tot Fac]],-1,0)-TblConstr[[#This Row],[Dest Fac]]</f>
        <v>0</v>
      </c>
      <c r="BI96" s="365" cm="1">
        <f t="array" aca="1" ref="BI96" ca="1">IF(TblConstr[[#This Row],[Hour]:[Hour]]&gt;12,OFFSET(TblConstr[[#This Row],[GT]],-12,0),0)+OFFSET(TblConstr[[#This Row],[Tot GT]],-1,0)-TblConstr[[#This Row],[Dest GT]]</f>
        <v>0</v>
      </c>
      <c r="BJ96" s="365" cm="1">
        <f t="array" aca="1" ref="BJ96" ca="1">IF(TblConstr[[#This Row],[Hour]:[Hour]]&gt;12,OFFSET(TblConstr[[#This Row],[Bar]],-12,0),0)+OFFSET(TblConstr[[#This Row],[Tot Bar]],-1,0)-TblConstr[[#This Row],[Dest Bar]]</f>
        <v>0</v>
      </c>
      <c r="BK96" s="365" cm="1">
        <f t="array" aca="1" ref="BK96" ca="1">IF(TblConstr[[#This Row],[Hour]:[Hour]]&gt;12,OFFSET(TblConstr[[#This Row],[Shr]],-12,0),0)+OFFSET(TblConstr[[#This Row],[Tot Shr]],-1,0)-TblConstr[[#This Row],[Dest Shr]]</f>
        <v>0</v>
      </c>
      <c r="BL96" s="369" cm="1">
        <f t="array" aca="1" ref="BL96" ca="1">IF(TblConstr[[#This Row],[Hour]:[Hour]]&gt;12,OFFSET(TblConstr[[#This Row],[Tow]],-12,0),0)+OFFSET(TblConstr[[#This Row],[Tot Tow]],-1,0)-TblConstr[[#This Row],[Dest Tow]]</f>
        <v>0</v>
      </c>
      <c r="BM96" s="369" cm="1">
        <f t="array" aca="1" ref="BM96" ca="1">IF(TblConstr[[#This Row],[Hour]:[Hour]]&gt;12,OFFSET(TblConstr[[#This Row],[Tem]],-12,0),0)+OFFSET(TblConstr[[#This Row],[Tot Tem]],-1,0)-TblConstr[[#This Row],[Dest Tem]]</f>
        <v>0</v>
      </c>
      <c r="BN96" s="369" cm="1">
        <f t="array" aca="1" ref="BN96" ca="1">IF(TblConstr[[#This Row],[Hour]:[Hour]]&gt;12,OFFSET(TblConstr[[#This Row],[WG]],-12,0),0)+OFFSET(TblConstr[[#This Row],[Tot WG]],-1,0)-TblConstr[[#This Row],[Dest WG]]</f>
        <v>0</v>
      </c>
      <c r="BO96" s="191" cm="1">
        <f t="array" aca="1" ref="BO96" ca="1">IF(TblConstr[[#This Row],[Hour]:[Hour]]&gt;12,OFFSET(TblConstr[[#This Row],[DM]],-12,0),0)+OFFSET(TblConstr[[#This Row],[Tot DM]],-1,0)-TblConstr[[#This Row],[Dest DM]]</f>
        <v>0</v>
      </c>
      <c r="BP96" s="191" cm="1">
        <f t="array" aca="1" ref="BP96" ca="1">IF(TblConstr[[#This Row],[Hour]:[Hour]]&gt;12,OFFSET(TblConstr[[#This Row],[Sch]],-12,0),0)+OFFSET(TblConstr[[#This Row],[Tot Sch]],-1,0)-TblConstr[[#This Row],[Dest Sch]]</f>
        <v>0</v>
      </c>
      <c r="BQ96" s="192" cm="1">
        <f t="array" aca="1" ref="BQ96" ca="1">IF(TblConstr[[#This Row],[Hour]:[Hour]]&gt;12,OFFSET(TblConstr[[#This Row],[Doc]],-12,0),0)+OFFSET(TblConstr[[#This Row],[Tot Doc]],-1,0)-TblConstr[[#This Row],[Dest Doc]]</f>
        <v>0</v>
      </c>
      <c r="BR96" s="142"/>
      <c r="BS96" s="154"/>
      <c r="BT96" s="94">
        <f ca="1">TblConstr[[#This Row],[Land]]</f>
        <v>110</v>
      </c>
      <c r="BU96" s="159">
        <f ca="1">TblImps[[#This Row],[Time]]</f>
        <v>46050.83333333311</v>
      </c>
      <c r="BV96" s="142"/>
      <c r="BW96" s="179"/>
      <c r="BX96" s="179"/>
      <c r="BY96" s="179"/>
      <c r="BZ96" s="179"/>
      <c r="CA96" s="179"/>
      <c r="CB96" s="179"/>
      <c r="CC96" s="179"/>
      <c r="CD96" s="179"/>
      <c r="CE96" s="179"/>
      <c r="CF96" s="179"/>
      <c r="CG96" s="179"/>
      <c r="CH96" s="179"/>
      <c r="CI96" s="179"/>
      <c r="CJ96" s="179"/>
      <c r="CK96" s="179"/>
      <c r="CL96" s="179"/>
      <c r="CM96" s="179"/>
      <c r="CN96" s="179"/>
      <c r="CO96" s="179"/>
      <c r="CP96" s="142"/>
      <c r="CQ96" s="181">
        <f ca="1">-SUM(TblConstr[[#This Row],[Alc]:[Mas]])+SUM(TblConstr[[#This Row],[Dest Alc]:[Dest Mas]])+Rezone!L96+IF("Ch_"&amp; home_land=TblConstr[[#Headers],[Ch_Plain]],TblConstr[[#This Row],[Home Land]])+IF(TblConstr[[#This Row],[Hour]:[Hour]]&gt;12,OFFSET(TblExplore[[#This Row],[Plains Explore]],-12,0),0)</f>
        <v>0</v>
      </c>
      <c r="CR96" s="182">
        <f ca="1">-SUM(TblConstr[[#This Row],[Ly]:[Hav]])+SUM(TblConstr[[#This Row],[Dest Ly]:[Dest Hav]]) +Rezone!M96 + IF("Ch_"&amp; home_land=TblConstr[[#Headers],[Ch_Forest]],TblConstr[[#This Row],[Home Land]])+IF(TblConstr[[#This Row],[Hour]:[Hour]]&gt;12,OFFSET(TblExplore[[#This Row],[Forest Explore]],-12,0),0)</f>
        <v>0</v>
      </c>
      <c r="CS96" s="359">
        <f ca="1">-SUM(TblConstr[[#This Row],[OM]:[GN]])+SUM(TblConstr[[#This Row],[Dest OM]:[Dest GN]]) +Rezone!N96 + IF("Ch_"&amp; home_land=TblConstr[[#Headers],[Ch_Mountain]],TblConstr[[#This Row],[Home Land]])+IF(TblConstr[[#This Row],[Hour]:[Hour]]&gt;12,OFFSET(TblExplore[[#This Row],[Mountain Explore]],-12,0),0)</f>
        <v>0</v>
      </c>
      <c r="CT96" s="183">
        <f ca="1">-SUM(TblConstr[[#This Row],[Fac]:[Shr]])+SUM(TblConstr[[#This Row],[Dest Fac]:[Dest Shr]]) +Rezone!O96 + IF("Ch_" &amp; home_land=TblConstr[[#Headers],[Ch_Hill]],TblConstr[[#This Row],[Home Land]])+IF(TblConstr[[#This Row],[Hour]:[Hour]]&gt;12,OFFSET(TblExplore[[#This Row],[Hill Explore]],-12,0),0)</f>
        <v>0</v>
      </c>
      <c r="CU96" s="184">
        <f ca="1">-SUM(TblConstr[[#This Row],[Tow]:[WG]])+SUM(TblConstr[[#This Row],[Dest Tow]:[Dest WG]]) +Rezone!P96 + IF("Ch_" &amp; home_land=TblConstr[[#Headers],[Ch_Swamp]],TblConstr[[#This Row],[Home Land]])+IF(TblConstr[[#This Row],[Hour]:[Hour]]&gt;12,OFFSET(TblExplore[[#This Row],[Swamp Explore]],-12,0),0)</f>
        <v>0</v>
      </c>
      <c r="CV96" s="185">
        <f ca="1" xml:space="preserve"> - SUM(TblConstr[[#This Row],[DM]:[Sch]])+SUM(TblConstr[[#This Row],[Dest DM]:[Dest Sch]]) +Rezone!Q96 + IF("Ch_" &amp; home_land=TblConstr[[#Headers],[Ch_Cavern]],TblConstr[[#This Row],[Home Land]])+IF(TblConstr[[#This Row],[Hour]:[Hour]]&gt;12,OFFSET(TblExplore[[#This Row],[Cavern Explore]],-12,0),0)</f>
        <v>0</v>
      </c>
      <c r="CW96" s="186">
        <f ca="1">-TblConstr[[#This Row],[Doc]]+TblConstr[[#This Row],[Dest Doc]] +Rezone!R96 + IF("Ch_" &amp; home_land=TblConstr[[#Headers],[Ch_Water]],TblConstr[[#This Row],[Home Land]])+IF(TblConstr[[#This Row],[Hour]:[Hour]]&gt;12,OFFSET(TblExplore[[#This Row],[Water Explore]],-12,0),0)</f>
        <v>0</v>
      </c>
      <c r="CX96" s="45">
        <f>IF(Explore!S96=1,20) - TblConstr[[#This Row],[Hom]] + TblConstr[[#This Row],[Dest Hom]]</f>
        <v>0</v>
      </c>
      <c r="CY96" s="142"/>
      <c r="CZ96" s="94">
        <f t="shared" ca="1" si="23"/>
        <v>90</v>
      </c>
      <c r="DA96" s="94">
        <f t="shared" ca="1" si="24"/>
        <v>20</v>
      </c>
      <c r="DB96" s="45">
        <f t="shared" ca="1" si="25"/>
        <v>0</v>
      </c>
      <c r="DC96" s="94">
        <f t="shared" ca="1" si="26"/>
        <v>0</v>
      </c>
      <c r="DD96" s="94">
        <f t="shared" ca="1" si="27"/>
        <v>0</v>
      </c>
      <c r="DE96" s="45">
        <f t="shared" ca="1" si="28"/>
        <v>0</v>
      </c>
      <c r="DF96" s="94">
        <f t="shared" ca="1" si="29"/>
        <v>0</v>
      </c>
      <c r="DG96" s="94" cm="1">
        <f t="array" aca="1" ref="DG96" ca="1">INDEX(TblConstr[[Total Plain]:[Total Water]],ROW()-ROW(TblConstr[#Headers]),MATCH("Total "&amp;home_land,TblConstr[[#Headers],[Total Plain]:[Total Water]],0))+TblConstr[[#This Row],[Homes]]</f>
        <v>90</v>
      </c>
      <c r="DH96" s="45">
        <f t="shared" ca="1" si="22"/>
        <v>0</v>
      </c>
      <c r="DI96" s="45">
        <f t="shared" ca="1" si="19"/>
        <v>0</v>
      </c>
      <c r="DJ96" s="45">
        <f t="shared" ca="1" si="20"/>
        <v>0</v>
      </c>
    </row>
    <row r="97" spans="1:114" x14ac:dyDescent="0.2">
      <c r="A97" s="175">
        <f>TblRezone[[#This Row],[Hour]]</f>
        <v>94</v>
      </c>
      <c r="B97" s="176">
        <f ca="1">SUM(TblConstr[[#This Row],[Plain]:[Water]])</f>
        <v>60</v>
      </c>
      <c r="C97" s="177">
        <f ca="1">SUM(TblConstr[[#This Row],[Tot Hom]:[Tot Doc]])</f>
        <v>50</v>
      </c>
      <c r="D97" s="177">
        <f t="shared" si="21"/>
        <v>0</v>
      </c>
      <c r="E97" s="178"/>
      <c r="F97" s="61">
        <f ca="1">TblConstr[[#This Row],[Barren]]+TblConstr[[#This Row],[Buildings]]+TblConstr[[#This Row],[Incoming]]</f>
        <v>110</v>
      </c>
      <c r="G97" s="187">
        <f ca="1">OFFSET(TblConstr[[#This Row],[Plain]],-1,0)+TblConstr[[#This Row],[Ch_Plain]]</f>
        <v>60</v>
      </c>
      <c r="H97" s="182">
        <f ca="1">OFFSET(TblConstr[[#This Row],[Forest]],-1,0)+TblConstr[[#This Row],[Ch_Forest]]</f>
        <v>0</v>
      </c>
      <c r="I97" s="359">
        <f ca="1">OFFSET(TblConstr[[#This Row],[Mountain]],-1,0)+TblConstr[[#This Row],[Ch_Mountain]]</f>
        <v>0</v>
      </c>
      <c r="J97" s="363">
        <f ca="1">OFFSET(TblConstr[[#This Row],[Hill]],-1,0)+TblConstr[[#This Row],[Ch_Hill]]</f>
        <v>0</v>
      </c>
      <c r="K97" s="367">
        <f ca="1">OFFSET(TblConstr[[#This Row],[Swamp]],-1,0)+TblConstr[[#This Row],[Ch_Swamp]]</f>
        <v>0</v>
      </c>
      <c r="L97" s="185">
        <f ca="1">OFFSET(TblConstr[[#This Row],[Cavern]],-1,0)+TblConstr[[#This Row],[Ch_Cavern]]</f>
        <v>0</v>
      </c>
      <c r="M97" s="186">
        <f ca="1">OFFSET(TblConstr[[#This Row],[Water]],-1,0)+TblConstr[[#This Row],[Ch_Water]]</f>
        <v>0</v>
      </c>
      <c r="N97" s="357">
        <f>TblRezone[[#This Row],[Hour]]</f>
        <v>94</v>
      </c>
      <c r="O97" s="179"/>
      <c r="P97" s="179"/>
      <c r="Q97" s="179"/>
      <c r="R97" s="158"/>
      <c r="S97" s="179"/>
      <c r="T97" s="179"/>
      <c r="U97" s="179"/>
      <c r="V97" s="179"/>
      <c r="W97" s="179"/>
      <c r="X97" s="179"/>
      <c r="Y97" s="179"/>
      <c r="Z97" s="179"/>
      <c r="AA97" s="179"/>
      <c r="AB97" s="179"/>
      <c r="AC97" s="179"/>
      <c r="AD97" s="179"/>
      <c r="AE97" s="179"/>
      <c r="AF97" s="179"/>
      <c r="AG97" s="179"/>
      <c r="AH97" s="53">
        <f ca="1">TblImps[[#This Row],[Time]]</f>
        <v>46050.874999999774</v>
      </c>
      <c r="AI97" s="180">
        <f ca="1">MIN(25%,(TblConstr[[#This Row],[Tot Fac]]+TblConstr[[#This Row],[Dest Fac]])/(TblConstr[[#This Row],[Land]]-TblExplore[[#This Row],[Land Bonus]]*20))</f>
        <v>0</v>
      </c>
      <c r="AJ97" s="180">
        <f ca="1">MIN(25%,(TblConstr[[#This Row],[Tot Fac]]+TblConstr[[#This Row],[Dest Fac]])/TblConstr[[#This Row],[Land]])</f>
        <v>0</v>
      </c>
      <c r="AK97" s="94">
        <f ca="1">TblProd[[#This Row],[Platinum]]</f>
        <v>193592</v>
      </c>
      <c r="AL97" s="94">
        <f ca="1">TblProd[[#This Row],[Lumber]]</f>
        <v>66618</v>
      </c>
      <c r="AM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7" s="94">
        <f ca="1">ROUNDDOWN( MAX(1 - MIN(facs_constr_factor*TblConstr[[#This Row],[Facs -DB]],facs_constr_max) + tech_1_11*TblTech[[#This Row],[11-1]] + tech_6_3_2*TblTech[[#This Row],[6-3]] + tech_5_2_3*TblTech[[#This Row],[5-2]], 1-global_constr_cap) * TblConstr[[#This Row],[RCPA Lumber]],0)</f>
        <v>48</v>
      </c>
      <c r="AO9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7" s="94">
        <f ca="1">ROUNDDOWN( MAX(1 - MIN(facs_constr_factor*TblConstr[[#This Row],[Facs DB]],facs_constr_max) + tech_1_11*TblTech[[#This Row],[1-11]] + tech_6_3_2*TblTech[[#This Row],[6-3]] + tech_5_2_3*TblTech[[#This Row],[5-2]], 1-global_constr_cap) * ROUND((TblConstr[[#This Row],[Land]]-250)*0.285 + 87.5 + 0/4.25,0),0)</f>
        <v>48</v>
      </c>
      <c r="AQ97" s="45">
        <f ca="1">TblConstr[[#This Row],[build -db]]*TblConstr[[#This Row],[CPA Platinum -DB]] + TblConstr[[#This Row],[build db]]*TblConstr[[#This Row],[CPA Platinum DB]]</f>
        <v>0</v>
      </c>
      <c r="AR97" s="45">
        <f ca="1">TblConstr[[#This Row],[build -db]]*TblConstr[[#This Row],[CPA Lumber -DB]] + TblConstr[[#This Row],[build db]]*TblConstr[[#This Row],[CPA Lumber DB]]</f>
        <v>0</v>
      </c>
      <c r="AS97" s="94">
        <f ca="1">MIN(SUM(OFFSET(TblConstr[[#This Row],[Plain]:[Water]],-1,0))+SUM(TblConstr[[#This Row],[Dest Hom]:[Dest Doc]])+IF(TblConstr[[#This Row],[Hour]]&gt;12,SUM(OFFSET(TblExplore[[#This Row],[Plains Explore]:[Water Explore]],-12,0)),0),SUM(TblConstr[[#This Row],[Hom]:[Doc]]))</f>
        <v>0</v>
      </c>
      <c r="AT9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7" s="142"/>
      <c r="AV97" s="94">
        <f ca="1">ROUND((TblConstr[[#This Row],[Land]]-250 - IF(TblExplore[[#This Row],[Land Bonus]]&lt;&gt;0,20,0))*1.25 + 850 + 0,0)</f>
        <v>675</v>
      </c>
      <c r="AW97" s="94">
        <f ca="1">ROUND((TblConstr[[#This Row],[Land]]-250 - IF(TblExplore[[#This Row],[Land Bonus]]&lt;&gt;0,20,0))*0.285 + 87.5 + 0/4.25,0)</f>
        <v>48</v>
      </c>
      <c r="AX97" s="154"/>
      <c r="AY97" s="188" cm="1">
        <f t="array" aca="1" ref="AY97" ca="1">IF(TblConstr[[#This Row],[Hour]:[Hour]]&gt;12,OFFSET(TblConstr[[#This Row],[Hom]],-12,0),0)+OFFSET(TblConstr[[#This Row],[Tot Hom]],-1,0)-TblConstr[[#This Row],[Dest Hom]]</f>
        <v>0</v>
      </c>
      <c r="AZ97" s="189" cm="1">
        <f t="array" aca="1" ref="AZ97" ca="1">IF(TblConstr[[#This Row],[Hour]:[Hour]]&gt;12,OFFSET(TblConstr[[#This Row],[Alc]],-12,0),0)+OFFSET(TblConstr[[#This Row],[Tot Alc]],-1,0)-TblConstr[[#This Row],[Dest Alc]]</f>
        <v>0</v>
      </c>
      <c r="BA97" s="189" cm="1">
        <f t="array" aca="1" ref="BA97" ca="1">IF(TblConstr[[#This Row],[Hour]:[Hour]]&gt;12,OFFSET(TblConstr[[#This Row],[Far]],-12,0),0)+OFFSET(TblConstr[[#This Row],[Tot Farm]],-1,0)-TblConstr[[#This Row],[Dest Farm]]</f>
        <v>30</v>
      </c>
      <c r="BB97" s="189" cm="1">
        <f t="array" aca="1" ref="BB97" ca="1">IF(TblConstr[[#This Row],[Hour]:[Hour]]&gt;12,OFFSET(TblConstr[[#This Row],[Smi]],-12,0),0)+OFFSET(TblConstr[[#This Row],[Tot Smi]],-1,0)-TblConstr[[#This Row],[Dest Smi]]</f>
        <v>0</v>
      </c>
      <c r="BC97" s="189" cm="1">
        <f t="array" aca="1" ref="BC97" ca="1">IF(TblConstr[[#This Row],[Hour]:[Hour]]&gt;12,OFFSET(TblConstr[[#This Row],[Mas]],-12,0),0)+OFFSET(TblConstr[[#This Row],[Tot Mas]],-1,0)-TblConstr[[#This Row],[Dest Mas]]</f>
        <v>0</v>
      </c>
      <c r="BD97" s="190" cm="1">
        <f t="array" aca="1" ref="BD97" ca="1">IF(TblConstr[[#This Row],[Hour]:[Hour]]&gt;12,OFFSET(TblConstr[[#This Row],[Ly]],-12,0),0)+OFFSET(TblConstr[[#This Row],[Tot Ly]],-1,0)-TblConstr[[#This Row],[Dest Ly]]</f>
        <v>20</v>
      </c>
      <c r="BE97" s="190" cm="1">
        <f t="array" aca="1" ref="BE97" ca="1">IF(TblConstr[[#This Row],[Hour]:[Hour]]&gt;12,OFFSET(TblConstr[[#This Row],[Hav]],-12,0),0)+OFFSET(TblConstr[[#This Row],[Tot Hav]],-1,0)-TblConstr[[#This Row],[Dest Hav]]</f>
        <v>0</v>
      </c>
      <c r="BF97" s="361" cm="1">
        <f t="array" aca="1" ref="BF97" ca="1">IF(TblConstr[[#This Row],[Hour]:[Hour]]&gt;12,OFFSET(TblConstr[[#This Row],[OM]],-12,0),0)+OFFSET(TblConstr[[#This Row],[Tot OM]],-1,0)-TblConstr[[#This Row],[Dest OM]]</f>
        <v>0</v>
      </c>
      <c r="BG97" s="361" cm="1">
        <f t="array" aca="1" ref="BG97" ca="1">IF(TblConstr[[#This Row],[Hour]:[Hour]]&gt;12,OFFSET(TblConstr[[#This Row],[GN]],-12,0),0)+OFFSET(TblConstr[[#This Row],[Tot GN]],-1,0)-TblConstr[[#This Row],[Dest GN]]</f>
        <v>0</v>
      </c>
      <c r="BH97" s="365" cm="1">
        <f t="array" aca="1" ref="BH97" ca="1">IF(TblConstr[[#This Row],[Hour]:[Hour]]&gt;12,OFFSET(TblConstr[[#This Row],[Fac]],-12,0),0)+OFFSET(TblConstr[[#This Row],[Tot Fac]],-1,0)-TblConstr[[#This Row],[Dest Fac]]</f>
        <v>0</v>
      </c>
      <c r="BI97" s="365" cm="1">
        <f t="array" aca="1" ref="BI97" ca="1">IF(TblConstr[[#This Row],[Hour]:[Hour]]&gt;12,OFFSET(TblConstr[[#This Row],[GT]],-12,0),0)+OFFSET(TblConstr[[#This Row],[Tot GT]],-1,0)-TblConstr[[#This Row],[Dest GT]]</f>
        <v>0</v>
      </c>
      <c r="BJ97" s="365" cm="1">
        <f t="array" aca="1" ref="BJ97" ca="1">IF(TblConstr[[#This Row],[Hour]:[Hour]]&gt;12,OFFSET(TblConstr[[#This Row],[Bar]],-12,0),0)+OFFSET(TblConstr[[#This Row],[Tot Bar]],-1,0)-TblConstr[[#This Row],[Dest Bar]]</f>
        <v>0</v>
      </c>
      <c r="BK97" s="365" cm="1">
        <f t="array" aca="1" ref="BK97" ca="1">IF(TblConstr[[#This Row],[Hour]:[Hour]]&gt;12,OFFSET(TblConstr[[#This Row],[Shr]],-12,0),0)+OFFSET(TblConstr[[#This Row],[Tot Shr]],-1,0)-TblConstr[[#This Row],[Dest Shr]]</f>
        <v>0</v>
      </c>
      <c r="BL97" s="369" cm="1">
        <f t="array" aca="1" ref="BL97" ca="1">IF(TblConstr[[#This Row],[Hour]:[Hour]]&gt;12,OFFSET(TblConstr[[#This Row],[Tow]],-12,0),0)+OFFSET(TblConstr[[#This Row],[Tot Tow]],-1,0)-TblConstr[[#This Row],[Dest Tow]]</f>
        <v>0</v>
      </c>
      <c r="BM97" s="369" cm="1">
        <f t="array" aca="1" ref="BM97" ca="1">IF(TblConstr[[#This Row],[Hour]:[Hour]]&gt;12,OFFSET(TblConstr[[#This Row],[Tem]],-12,0),0)+OFFSET(TblConstr[[#This Row],[Tot Tem]],-1,0)-TblConstr[[#This Row],[Dest Tem]]</f>
        <v>0</v>
      </c>
      <c r="BN97" s="369" cm="1">
        <f t="array" aca="1" ref="BN97" ca="1">IF(TblConstr[[#This Row],[Hour]:[Hour]]&gt;12,OFFSET(TblConstr[[#This Row],[WG]],-12,0),0)+OFFSET(TblConstr[[#This Row],[Tot WG]],-1,0)-TblConstr[[#This Row],[Dest WG]]</f>
        <v>0</v>
      </c>
      <c r="BO97" s="191" cm="1">
        <f t="array" aca="1" ref="BO97" ca="1">IF(TblConstr[[#This Row],[Hour]:[Hour]]&gt;12,OFFSET(TblConstr[[#This Row],[DM]],-12,0),0)+OFFSET(TblConstr[[#This Row],[Tot DM]],-1,0)-TblConstr[[#This Row],[Dest DM]]</f>
        <v>0</v>
      </c>
      <c r="BP97" s="191" cm="1">
        <f t="array" aca="1" ref="BP97" ca="1">IF(TblConstr[[#This Row],[Hour]:[Hour]]&gt;12,OFFSET(TblConstr[[#This Row],[Sch]],-12,0),0)+OFFSET(TblConstr[[#This Row],[Tot Sch]],-1,0)-TblConstr[[#This Row],[Dest Sch]]</f>
        <v>0</v>
      </c>
      <c r="BQ97" s="192" cm="1">
        <f t="array" aca="1" ref="BQ97" ca="1">IF(TblConstr[[#This Row],[Hour]:[Hour]]&gt;12,OFFSET(TblConstr[[#This Row],[Doc]],-12,0),0)+OFFSET(TblConstr[[#This Row],[Tot Doc]],-1,0)-TblConstr[[#This Row],[Dest Doc]]</f>
        <v>0</v>
      </c>
      <c r="BR97" s="142"/>
      <c r="BS97" s="154"/>
      <c r="BT97" s="94">
        <f ca="1">TblConstr[[#This Row],[Land]]</f>
        <v>110</v>
      </c>
      <c r="BU97" s="159">
        <f ca="1">TblImps[[#This Row],[Time]]</f>
        <v>46050.874999999774</v>
      </c>
      <c r="BV97" s="142"/>
      <c r="BW97" s="179"/>
      <c r="BX97" s="179"/>
      <c r="BY97" s="179"/>
      <c r="BZ97" s="179"/>
      <c r="CA97" s="179"/>
      <c r="CB97" s="179"/>
      <c r="CC97" s="179"/>
      <c r="CD97" s="179"/>
      <c r="CE97" s="179"/>
      <c r="CF97" s="179"/>
      <c r="CG97" s="179"/>
      <c r="CH97" s="179"/>
      <c r="CI97" s="179"/>
      <c r="CJ97" s="179"/>
      <c r="CK97" s="179"/>
      <c r="CL97" s="179"/>
      <c r="CM97" s="179"/>
      <c r="CN97" s="179"/>
      <c r="CO97" s="179"/>
      <c r="CP97" s="142"/>
      <c r="CQ97" s="181">
        <f ca="1">-SUM(TblConstr[[#This Row],[Alc]:[Mas]])+SUM(TblConstr[[#This Row],[Dest Alc]:[Dest Mas]])+Rezone!L97+IF("Ch_"&amp; home_land=TblConstr[[#Headers],[Ch_Plain]],TblConstr[[#This Row],[Home Land]])+IF(TblConstr[[#This Row],[Hour]:[Hour]]&gt;12,OFFSET(TblExplore[[#This Row],[Plains Explore]],-12,0),0)</f>
        <v>0</v>
      </c>
      <c r="CR97" s="182">
        <f ca="1">-SUM(TblConstr[[#This Row],[Ly]:[Hav]])+SUM(TblConstr[[#This Row],[Dest Ly]:[Dest Hav]]) +Rezone!M97 + IF("Ch_"&amp; home_land=TblConstr[[#Headers],[Ch_Forest]],TblConstr[[#This Row],[Home Land]])+IF(TblConstr[[#This Row],[Hour]:[Hour]]&gt;12,OFFSET(TblExplore[[#This Row],[Forest Explore]],-12,0),0)</f>
        <v>0</v>
      </c>
      <c r="CS97" s="359">
        <f ca="1">-SUM(TblConstr[[#This Row],[OM]:[GN]])+SUM(TblConstr[[#This Row],[Dest OM]:[Dest GN]]) +Rezone!N97 + IF("Ch_"&amp; home_land=TblConstr[[#Headers],[Ch_Mountain]],TblConstr[[#This Row],[Home Land]])+IF(TblConstr[[#This Row],[Hour]:[Hour]]&gt;12,OFFSET(TblExplore[[#This Row],[Mountain Explore]],-12,0),0)</f>
        <v>0</v>
      </c>
      <c r="CT97" s="183">
        <f ca="1">-SUM(TblConstr[[#This Row],[Fac]:[Shr]])+SUM(TblConstr[[#This Row],[Dest Fac]:[Dest Shr]]) +Rezone!O97 + IF("Ch_" &amp; home_land=TblConstr[[#Headers],[Ch_Hill]],TblConstr[[#This Row],[Home Land]])+IF(TblConstr[[#This Row],[Hour]:[Hour]]&gt;12,OFFSET(TblExplore[[#This Row],[Hill Explore]],-12,0),0)</f>
        <v>0</v>
      </c>
      <c r="CU97" s="184">
        <f ca="1">-SUM(TblConstr[[#This Row],[Tow]:[WG]])+SUM(TblConstr[[#This Row],[Dest Tow]:[Dest WG]]) +Rezone!P97 + IF("Ch_" &amp; home_land=TblConstr[[#Headers],[Ch_Swamp]],TblConstr[[#This Row],[Home Land]])+IF(TblConstr[[#This Row],[Hour]:[Hour]]&gt;12,OFFSET(TblExplore[[#This Row],[Swamp Explore]],-12,0),0)</f>
        <v>0</v>
      </c>
      <c r="CV97" s="185">
        <f ca="1" xml:space="preserve"> - SUM(TblConstr[[#This Row],[DM]:[Sch]])+SUM(TblConstr[[#This Row],[Dest DM]:[Dest Sch]]) +Rezone!Q97 + IF("Ch_" &amp; home_land=TblConstr[[#Headers],[Ch_Cavern]],TblConstr[[#This Row],[Home Land]])+IF(TblConstr[[#This Row],[Hour]:[Hour]]&gt;12,OFFSET(TblExplore[[#This Row],[Cavern Explore]],-12,0),0)</f>
        <v>0</v>
      </c>
      <c r="CW97" s="186">
        <f ca="1">-TblConstr[[#This Row],[Doc]]+TblConstr[[#This Row],[Dest Doc]] +Rezone!R97 + IF("Ch_" &amp; home_land=TblConstr[[#Headers],[Ch_Water]],TblConstr[[#This Row],[Home Land]])+IF(TblConstr[[#This Row],[Hour]:[Hour]]&gt;12,OFFSET(TblExplore[[#This Row],[Water Explore]],-12,0),0)</f>
        <v>0</v>
      </c>
      <c r="CX97" s="45">
        <f>IF(Explore!S97=1,20) - TblConstr[[#This Row],[Hom]] + TblConstr[[#This Row],[Dest Hom]]</f>
        <v>0</v>
      </c>
      <c r="CY97" s="142"/>
      <c r="CZ97" s="94">
        <f t="shared" ca="1" si="23"/>
        <v>90</v>
      </c>
      <c r="DA97" s="94">
        <f t="shared" ca="1" si="24"/>
        <v>20</v>
      </c>
      <c r="DB97" s="45">
        <f t="shared" ca="1" si="25"/>
        <v>0</v>
      </c>
      <c r="DC97" s="94">
        <f t="shared" ca="1" si="26"/>
        <v>0</v>
      </c>
      <c r="DD97" s="94">
        <f t="shared" ca="1" si="27"/>
        <v>0</v>
      </c>
      <c r="DE97" s="45">
        <f t="shared" ca="1" si="28"/>
        <v>0</v>
      </c>
      <c r="DF97" s="94">
        <f t="shared" ca="1" si="29"/>
        <v>0</v>
      </c>
      <c r="DG97" s="94" cm="1">
        <f t="array" aca="1" ref="DG97" ca="1">INDEX(TblConstr[[Total Plain]:[Total Water]],ROW()-ROW(TblConstr[#Headers]),MATCH("Total "&amp;home_land,TblConstr[[#Headers],[Total Plain]:[Total Water]],0))+TblConstr[[#This Row],[Homes]]</f>
        <v>90</v>
      </c>
      <c r="DH97" s="45">
        <f t="shared" ca="1" si="22"/>
        <v>0</v>
      </c>
      <c r="DI97" s="45">
        <f t="shared" ca="1" si="19"/>
        <v>0</v>
      </c>
      <c r="DJ97" s="45">
        <f t="shared" ca="1" si="20"/>
        <v>0</v>
      </c>
    </row>
    <row r="98" spans="1:114" x14ac:dyDescent="0.2">
      <c r="A98" s="175">
        <f>TblRezone[[#This Row],[Hour]]</f>
        <v>95</v>
      </c>
      <c r="B98" s="176">
        <f ca="1">SUM(TblConstr[[#This Row],[Plain]:[Water]])</f>
        <v>60</v>
      </c>
      <c r="C98" s="177">
        <f ca="1">SUM(TblConstr[[#This Row],[Tot Hom]:[Tot Doc]])</f>
        <v>50</v>
      </c>
      <c r="D98" s="177">
        <f t="shared" si="21"/>
        <v>0</v>
      </c>
      <c r="E98" s="178"/>
      <c r="F98" s="61">
        <f ca="1">TblConstr[[#This Row],[Barren]]+TblConstr[[#This Row],[Buildings]]+TblConstr[[#This Row],[Incoming]]</f>
        <v>110</v>
      </c>
      <c r="G98" s="187">
        <f ca="1">OFFSET(TblConstr[[#This Row],[Plain]],-1,0)+TblConstr[[#This Row],[Ch_Plain]]</f>
        <v>60</v>
      </c>
      <c r="H98" s="182">
        <f ca="1">OFFSET(TblConstr[[#This Row],[Forest]],-1,0)+TblConstr[[#This Row],[Ch_Forest]]</f>
        <v>0</v>
      </c>
      <c r="I98" s="359">
        <f ca="1">OFFSET(TblConstr[[#This Row],[Mountain]],-1,0)+TblConstr[[#This Row],[Ch_Mountain]]</f>
        <v>0</v>
      </c>
      <c r="J98" s="363">
        <f ca="1">OFFSET(TblConstr[[#This Row],[Hill]],-1,0)+TblConstr[[#This Row],[Ch_Hill]]</f>
        <v>0</v>
      </c>
      <c r="K98" s="367">
        <f ca="1">OFFSET(TblConstr[[#This Row],[Swamp]],-1,0)+TblConstr[[#This Row],[Ch_Swamp]]</f>
        <v>0</v>
      </c>
      <c r="L98" s="185">
        <f ca="1">OFFSET(TblConstr[[#This Row],[Cavern]],-1,0)+TblConstr[[#This Row],[Ch_Cavern]]</f>
        <v>0</v>
      </c>
      <c r="M98" s="186">
        <f ca="1">OFFSET(TblConstr[[#This Row],[Water]],-1,0)+TblConstr[[#This Row],[Ch_Water]]</f>
        <v>0</v>
      </c>
      <c r="N98" s="357">
        <f>TblRezone[[#This Row],[Hour]]</f>
        <v>95</v>
      </c>
      <c r="O98" s="179"/>
      <c r="P98" s="179"/>
      <c r="Q98" s="179"/>
      <c r="R98" s="158"/>
      <c r="S98" s="179"/>
      <c r="T98" s="179"/>
      <c r="U98" s="179"/>
      <c r="V98" s="179"/>
      <c r="W98" s="179"/>
      <c r="X98" s="179"/>
      <c r="Y98" s="179"/>
      <c r="Z98" s="179"/>
      <c r="AA98" s="179"/>
      <c r="AB98" s="179"/>
      <c r="AC98" s="179"/>
      <c r="AD98" s="179"/>
      <c r="AE98" s="179"/>
      <c r="AF98" s="179"/>
      <c r="AG98" s="179"/>
      <c r="AH98" s="53">
        <f ca="1">TblImps[[#This Row],[Time]]</f>
        <v>46050.916666666439</v>
      </c>
      <c r="AI98" s="180">
        <f ca="1">MIN(25%,(TblConstr[[#This Row],[Tot Fac]]+TblConstr[[#This Row],[Dest Fac]])/(TblConstr[[#This Row],[Land]]-TblExplore[[#This Row],[Land Bonus]]*20))</f>
        <v>0</v>
      </c>
      <c r="AJ98" s="180">
        <f ca="1">MIN(25%,(TblConstr[[#This Row],[Tot Fac]]+TblConstr[[#This Row],[Dest Fac]])/TblConstr[[#This Row],[Land]])</f>
        <v>0</v>
      </c>
      <c r="AK98" s="94">
        <f ca="1">TblProd[[#This Row],[Platinum]]</f>
        <v>194658</v>
      </c>
      <c r="AL98" s="94">
        <f ca="1">TblProd[[#This Row],[Lumber]]</f>
        <v>66952</v>
      </c>
      <c r="AM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8" s="94">
        <f ca="1">ROUNDDOWN( MAX(1 - MIN(facs_constr_factor*TblConstr[[#This Row],[Facs -DB]],facs_constr_max) + tech_1_11*TblTech[[#This Row],[11-1]] + tech_6_3_2*TblTech[[#This Row],[6-3]] + tech_5_2_3*TblTech[[#This Row],[5-2]], 1-global_constr_cap) * TblConstr[[#This Row],[RCPA Lumber]],0)</f>
        <v>48</v>
      </c>
      <c r="AO9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8" s="94">
        <f ca="1">ROUNDDOWN( MAX(1 - MIN(facs_constr_factor*TblConstr[[#This Row],[Facs DB]],facs_constr_max) + tech_1_11*TblTech[[#This Row],[1-11]] + tech_6_3_2*TblTech[[#This Row],[6-3]] + tech_5_2_3*TblTech[[#This Row],[5-2]], 1-global_constr_cap) * ROUND((TblConstr[[#This Row],[Land]]-250)*0.285 + 87.5 + 0/4.25,0),0)</f>
        <v>48</v>
      </c>
      <c r="AQ98" s="45">
        <f ca="1">TblConstr[[#This Row],[build -db]]*TblConstr[[#This Row],[CPA Platinum -DB]] + TblConstr[[#This Row],[build db]]*TblConstr[[#This Row],[CPA Platinum DB]]</f>
        <v>0</v>
      </c>
      <c r="AR98" s="45">
        <f ca="1">TblConstr[[#This Row],[build -db]]*TblConstr[[#This Row],[CPA Lumber -DB]] + TblConstr[[#This Row],[build db]]*TblConstr[[#This Row],[CPA Lumber DB]]</f>
        <v>0</v>
      </c>
      <c r="AS98" s="94">
        <f ca="1">MIN(SUM(OFFSET(TblConstr[[#This Row],[Plain]:[Water]],-1,0))+SUM(TblConstr[[#This Row],[Dest Hom]:[Dest Doc]])+IF(TblConstr[[#This Row],[Hour]]&gt;12,SUM(OFFSET(TblExplore[[#This Row],[Plains Explore]:[Water Explore]],-12,0)),0),SUM(TblConstr[[#This Row],[Hom]:[Doc]]))</f>
        <v>0</v>
      </c>
      <c r="AT9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8" s="142"/>
      <c r="AV98" s="94">
        <f ca="1">ROUND((TblConstr[[#This Row],[Land]]-250 - IF(TblExplore[[#This Row],[Land Bonus]]&lt;&gt;0,20,0))*1.25 + 850 + 0,0)</f>
        <v>675</v>
      </c>
      <c r="AW98" s="94">
        <f ca="1">ROUND((TblConstr[[#This Row],[Land]]-250 - IF(TblExplore[[#This Row],[Land Bonus]]&lt;&gt;0,20,0))*0.285 + 87.5 + 0/4.25,0)</f>
        <v>48</v>
      </c>
      <c r="AX98" s="154"/>
      <c r="AY98" s="188" cm="1">
        <f t="array" aca="1" ref="AY98" ca="1">IF(TblConstr[[#This Row],[Hour]:[Hour]]&gt;12,OFFSET(TblConstr[[#This Row],[Hom]],-12,0),0)+OFFSET(TblConstr[[#This Row],[Tot Hom]],-1,0)-TblConstr[[#This Row],[Dest Hom]]</f>
        <v>0</v>
      </c>
      <c r="AZ98" s="189" cm="1">
        <f t="array" aca="1" ref="AZ98" ca="1">IF(TblConstr[[#This Row],[Hour]:[Hour]]&gt;12,OFFSET(TblConstr[[#This Row],[Alc]],-12,0),0)+OFFSET(TblConstr[[#This Row],[Tot Alc]],-1,0)-TblConstr[[#This Row],[Dest Alc]]</f>
        <v>0</v>
      </c>
      <c r="BA98" s="189" cm="1">
        <f t="array" aca="1" ref="BA98" ca="1">IF(TblConstr[[#This Row],[Hour]:[Hour]]&gt;12,OFFSET(TblConstr[[#This Row],[Far]],-12,0),0)+OFFSET(TblConstr[[#This Row],[Tot Farm]],-1,0)-TblConstr[[#This Row],[Dest Farm]]</f>
        <v>30</v>
      </c>
      <c r="BB98" s="189" cm="1">
        <f t="array" aca="1" ref="BB98" ca="1">IF(TblConstr[[#This Row],[Hour]:[Hour]]&gt;12,OFFSET(TblConstr[[#This Row],[Smi]],-12,0),0)+OFFSET(TblConstr[[#This Row],[Tot Smi]],-1,0)-TblConstr[[#This Row],[Dest Smi]]</f>
        <v>0</v>
      </c>
      <c r="BC98" s="189" cm="1">
        <f t="array" aca="1" ref="BC98" ca="1">IF(TblConstr[[#This Row],[Hour]:[Hour]]&gt;12,OFFSET(TblConstr[[#This Row],[Mas]],-12,0),0)+OFFSET(TblConstr[[#This Row],[Tot Mas]],-1,0)-TblConstr[[#This Row],[Dest Mas]]</f>
        <v>0</v>
      </c>
      <c r="BD98" s="190" cm="1">
        <f t="array" aca="1" ref="BD98" ca="1">IF(TblConstr[[#This Row],[Hour]:[Hour]]&gt;12,OFFSET(TblConstr[[#This Row],[Ly]],-12,0),0)+OFFSET(TblConstr[[#This Row],[Tot Ly]],-1,0)-TblConstr[[#This Row],[Dest Ly]]</f>
        <v>20</v>
      </c>
      <c r="BE98" s="190" cm="1">
        <f t="array" aca="1" ref="BE98" ca="1">IF(TblConstr[[#This Row],[Hour]:[Hour]]&gt;12,OFFSET(TblConstr[[#This Row],[Hav]],-12,0),0)+OFFSET(TblConstr[[#This Row],[Tot Hav]],-1,0)-TblConstr[[#This Row],[Dest Hav]]</f>
        <v>0</v>
      </c>
      <c r="BF98" s="361" cm="1">
        <f t="array" aca="1" ref="BF98" ca="1">IF(TblConstr[[#This Row],[Hour]:[Hour]]&gt;12,OFFSET(TblConstr[[#This Row],[OM]],-12,0),0)+OFFSET(TblConstr[[#This Row],[Tot OM]],-1,0)-TblConstr[[#This Row],[Dest OM]]</f>
        <v>0</v>
      </c>
      <c r="BG98" s="361" cm="1">
        <f t="array" aca="1" ref="BG98" ca="1">IF(TblConstr[[#This Row],[Hour]:[Hour]]&gt;12,OFFSET(TblConstr[[#This Row],[GN]],-12,0),0)+OFFSET(TblConstr[[#This Row],[Tot GN]],-1,0)-TblConstr[[#This Row],[Dest GN]]</f>
        <v>0</v>
      </c>
      <c r="BH98" s="365" cm="1">
        <f t="array" aca="1" ref="BH98" ca="1">IF(TblConstr[[#This Row],[Hour]:[Hour]]&gt;12,OFFSET(TblConstr[[#This Row],[Fac]],-12,0),0)+OFFSET(TblConstr[[#This Row],[Tot Fac]],-1,0)-TblConstr[[#This Row],[Dest Fac]]</f>
        <v>0</v>
      </c>
      <c r="BI98" s="365" cm="1">
        <f t="array" aca="1" ref="BI98" ca="1">IF(TblConstr[[#This Row],[Hour]:[Hour]]&gt;12,OFFSET(TblConstr[[#This Row],[GT]],-12,0),0)+OFFSET(TblConstr[[#This Row],[Tot GT]],-1,0)-TblConstr[[#This Row],[Dest GT]]</f>
        <v>0</v>
      </c>
      <c r="BJ98" s="365" cm="1">
        <f t="array" aca="1" ref="BJ98" ca="1">IF(TblConstr[[#This Row],[Hour]:[Hour]]&gt;12,OFFSET(TblConstr[[#This Row],[Bar]],-12,0),0)+OFFSET(TblConstr[[#This Row],[Tot Bar]],-1,0)-TblConstr[[#This Row],[Dest Bar]]</f>
        <v>0</v>
      </c>
      <c r="BK98" s="365" cm="1">
        <f t="array" aca="1" ref="BK98" ca="1">IF(TblConstr[[#This Row],[Hour]:[Hour]]&gt;12,OFFSET(TblConstr[[#This Row],[Shr]],-12,0),0)+OFFSET(TblConstr[[#This Row],[Tot Shr]],-1,0)-TblConstr[[#This Row],[Dest Shr]]</f>
        <v>0</v>
      </c>
      <c r="BL98" s="369" cm="1">
        <f t="array" aca="1" ref="BL98" ca="1">IF(TblConstr[[#This Row],[Hour]:[Hour]]&gt;12,OFFSET(TblConstr[[#This Row],[Tow]],-12,0),0)+OFFSET(TblConstr[[#This Row],[Tot Tow]],-1,0)-TblConstr[[#This Row],[Dest Tow]]</f>
        <v>0</v>
      </c>
      <c r="BM98" s="369" cm="1">
        <f t="array" aca="1" ref="BM98" ca="1">IF(TblConstr[[#This Row],[Hour]:[Hour]]&gt;12,OFFSET(TblConstr[[#This Row],[Tem]],-12,0),0)+OFFSET(TblConstr[[#This Row],[Tot Tem]],-1,0)-TblConstr[[#This Row],[Dest Tem]]</f>
        <v>0</v>
      </c>
      <c r="BN98" s="369" cm="1">
        <f t="array" aca="1" ref="BN98" ca="1">IF(TblConstr[[#This Row],[Hour]:[Hour]]&gt;12,OFFSET(TblConstr[[#This Row],[WG]],-12,0),0)+OFFSET(TblConstr[[#This Row],[Tot WG]],-1,0)-TblConstr[[#This Row],[Dest WG]]</f>
        <v>0</v>
      </c>
      <c r="BO98" s="191" cm="1">
        <f t="array" aca="1" ref="BO98" ca="1">IF(TblConstr[[#This Row],[Hour]:[Hour]]&gt;12,OFFSET(TblConstr[[#This Row],[DM]],-12,0),0)+OFFSET(TblConstr[[#This Row],[Tot DM]],-1,0)-TblConstr[[#This Row],[Dest DM]]</f>
        <v>0</v>
      </c>
      <c r="BP98" s="191" cm="1">
        <f t="array" aca="1" ref="BP98" ca="1">IF(TblConstr[[#This Row],[Hour]:[Hour]]&gt;12,OFFSET(TblConstr[[#This Row],[Sch]],-12,0),0)+OFFSET(TblConstr[[#This Row],[Tot Sch]],-1,0)-TblConstr[[#This Row],[Dest Sch]]</f>
        <v>0</v>
      </c>
      <c r="BQ98" s="192" cm="1">
        <f t="array" aca="1" ref="BQ98" ca="1">IF(TblConstr[[#This Row],[Hour]:[Hour]]&gt;12,OFFSET(TblConstr[[#This Row],[Doc]],-12,0),0)+OFFSET(TblConstr[[#This Row],[Tot Doc]],-1,0)-TblConstr[[#This Row],[Dest Doc]]</f>
        <v>0</v>
      </c>
      <c r="BR98" s="142"/>
      <c r="BS98" s="154"/>
      <c r="BT98" s="94">
        <f ca="1">TblConstr[[#This Row],[Land]]</f>
        <v>110</v>
      </c>
      <c r="BU98" s="159">
        <f ca="1">TblImps[[#This Row],[Time]]</f>
        <v>46050.916666666439</v>
      </c>
      <c r="BV98" s="142"/>
      <c r="BW98" s="179"/>
      <c r="BX98" s="179"/>
      <c r="BY98" s="179"/>
      <c r="BZ98" s="179"/>
      <c r="CA98" s="179"/>
      <c r="CB98" s="179"/>
      <c r="CC98" s="179"/>
      <c r="CD98" s="179"/>
      <c r="CE98" s="179"/>
      <c r="CF98" s="179"/>
      <c r="CG98" s="179"/>
      <c r="CH98" s="179"/>
      <c r="CI98" s="179"/>
      <c r="CJ98" s="179"/>
      <c r="CK98" s="179"/>
      <c r="CL98" s="179"/>
      <c r="CM98" s="179"/>
      <c r="CN98" s="179"/>
      <c r="CO98" s="179"/>
      <c r="CP98" s="142"/>
      <c r="CQ98" s="181">
        <f ca="1">-SUM(TblConstr[[#This Row],[Alc]:[Mas]])+SUM(TblConstr[[#This Row],[Dest Alc]:[Dest Mas]])+Rezone!L98+IF("Ch_"&amp; home_land=TblConstr[[#Headers],[Ch_Plain]],TblConstr[[#This Row],[Home Land]])+IF(TblConstr[[#This Row],[Hour]:[Hour]]&gt;12,OFFSET(TblExplore[[#This Row],[Plains Explore]],-12,0),0)</f>
        <v>0</v>
      </c>
      <c r="CR98" s="182">
        <f ca="1">-SUM(TblConstr[[#This Row],[Ly]:[Hav]])+SUM(TblConstr[[#This Row],[Dest Ly]:[Dest Hav]]) +Rezone!M98 + IF("Ch_"&amp; home_land=TblConstr[[#Headers],[Ch_Forest]],TblConstr[[#This Row],[Home Land]])+IF(TblConstr[[#This Row],[Hour]:[Hour]]&gt;12,OFFSET(TblExplore[[#This Row],[Forest Explore]],-12,0),0)</f>
        <v>0</v>
      </c>
      <c r="CS98" s="359">
        <f ca="1">-SUM(TblConstr[[#This Row],[OM]:[GN]])+SUM(TblConstr[[#This Row],[Dest OM]:[Dest GN]]) +Rezone!N98 + IF("Ch_"&amp; home_land=TblConstr[[#Headers],[Ch_Mountain]],TblConstr[[#This Row],[Home Land]])+IF(TblConstr[[#This Row],[Hour]:[Hour]]&gt;12,OFFSET(TblExplore[[#This Row],[Mountain Explore]],-12,0),0)</f>
        <v>0</v>
      </c>
      <c r="CT98" s="183">
        <f ca="1">-SUM(TblConstr[[#This Row],[Fac]:[Shr]])+SUM(TblConstr[[#This Row],[Dest Fac]:[Dest Shr]]) +Rezone!O98 + IF("Ch_" &amp; home_land=TblConstr[[#Headers],[Ch_Hill]],TblConstr[[#This Row],[Home Land]])+IF(TblConstr[[#This Row],[Hour]:[Hour]]&gt;12,OFFSET(TblExplore[[#This Row],[Hill Explore]],-12,0),0)</f>
        <v>0</v>
      </c>
      <c r="CU98" s="184">
        <f ca="1">-SUM(TblConstr[[#This Row],[Tow]:[WG]])+SUM(TblConstr[[#This Row],[Dest Tow]:[Dest WG]]) +Rezone!P98 + IF("Ch_" &amp; home_land=TblConstr[[#Headers],[Ch_Swamp]],TblConstr[[#This Row],[Home Land]])+IF(TblConstr[[#This Row],[Hour]:[Hour]]&gt;12,OFFSET(TblExplore[[#This Row],[Swamp Explore]],-12,0),0)</f>
        <v>0</v>
      </c>
      <c r="CV98" s="185">
        <f ca="1" xml:space="preserve"> - SUM(TblConstr[[#This Row],[DM]:[Sch]])+SUM(TblConstr[[#This Row],[Dest DM]:[Dest Sch]]) +Rezone!Q98 + IF("Ch_" &amp; home_land=TblConstr[[#Headers],[Ch_Cavern]],TblConstr[[#This Row],[Home Land]])+IF(TblConstr[[#This Row],[Hour]:[Hour]]&gt;12,OFFSET(TblExplore[[#This Row],[Cavern Explore]],-12,0),0)</f>
        <v>0</v>
      </c>
      <c r="CW98" s="186">
        <f ca="1">-TblConstr[[#This Row],[Doc]]+TblConstr[[#This Row],[Dest Doc]] +Rezone!R98 + IF("Ch_" &amp; home_land=TblConstr[[#Headers],[Ch_Water]],TblConstr[[#This Row],[Home Land]])+IF(TblConstr[[#This Row],[Hour]:[Hour]]&gt;12,OFFSET(TblExplore[[#This Row],[Water Explore]],-12,0),0)</f>
        <v>0</v>
      </c>
      <c r="CX98" s="45">
        <f>IF(Explore!S98=1,20) - TblConstr[[#This Row],[Hom]] + TblConstr[[#This Row],[Dest Hom]]</f>
        <v>0</v>
      </c>
      <c r="CY98" s="142"/>
      <c r="CZ98" s="94">
        <f t="shared" ca="1" si="23"/>
        <v>90</v>
      </c>
      <c r="DA98" s="94">
        <f t="shared" ca="1" si="24"/>
        <v>20</v>
      </c>
      <c r="DB98" s="45">
        <f t="shared" ca="1" si="25"/>
        <v>0</v>
      </c>
      <c r="DC98" s="94">
        <f t="shared" ca="1" si="26"/>
        <v>0</v>
      </c>
      <c r="DD98" s="94">
        <f t="shared" ca="1" si="27"/>
        <v>0</v>
      </c>
      <c r="DE98" s="45">
        <f t="shared" ca="1" si="28"/>
        <v>0</v>
      </c>
      <c r="DF98" s="94">
        <f t="shared" ca="1" si="29"/>
        <v>0</v>
      </c>
      <c r="DG98" s="94" cm="1">
        <f t="array" aca="1" ref="DG98" ca="1">INDEX(TblConstr[[Total Plain]:[Total Water]],ROW()-ROW(TblConstr[#Headers]),MATCH("Total "&amp;home_land,TblConstr[[#Headers],[Total Plain]:[Total Water]],0))+TblConstr[[#This Row],[Homes]]</f>
        <v>90</v>
      </c>
      <c r="DH98" s="45">
        <f t="shared" ca="1" si="22"/>
        <v>0</v>
      </c>
      <c r="DI98" s="45">
        <f t="shared" ca="1" si="19"/>
        <v>0</v>
      </c>
      <c r="DJ98" s="45">
        <f t="shared" ca="1" si="20"/>
        <v>0</v>
      </c>
    </row>
    <row r="99" spans="1:114" x14ac:dyDescent="0.2">
      <c r="A99" s="175">
        <f>TblRezone[[#This Row],[Hour]]</f>
        <v>96</v>
      </c>
      <c r="B99" s="176">
        <f ca="1">SUM(TblConstr[[#This Row],[Plain]:[Water]])</f>
        <v>60</v>
      </c>
      <c r="C99" s="177">
        <f ca="1">SUM(TblConstr[[#This Row],[Tot Hom]:[Tot Doc]])</f>
        <v>50</v>
      </c>
      <c r="D99" s="177">
        <f t="shared" si="21"/>
        <v>0</v>
      </c>
      <c r="E99" s="178"/>
      <c r="F99" s="61">
        <f ca="1">TblConstr[[#This Row],[Barren]]+TblConstr[[#This Row],[Buildings]]+TblConstr[[#This Row],[Incoming]]</f>
        <v>110</v>
      </c>
      <c r="G99" s="187">
        <f ca="1">OFFSET(TblConstr[[#This Row],[Plain]],-1,0)+TblConstr[[#This Row],[Ch_Plain]]</f>
        <v>60</v>
      </c>
      <c r="H99" s="182">
        <f ca="1">OFFSET(TblConstr[[#This Row],[Forest]],-1,0)+TblConstr[[#This Row],[Ch_Forest]]</f>
        <v>0</v>
      </c>
      <c r="I99" s="359">
        <f ca="1">OFFSET(TblConstr[[#This Row],[Mountain]],-1,0)+TblConstr[[#This Row],[Ch_Mountain]]</f>
        <v>0</v>
      </c>
      <c r="J99" s="363">
        <f ca="1">OFFSET(TblConstr[[#This Row],[Hill]],-1,0)+TblConstr[[#This Row],[Ch_Hill]]</f>
        <v>0</v>
      </c>
      <c r="K99" s="367">
        <f ca="1">OFFSET(TblConstr[[#This Row],[Swamp]],-1,0)+TblConstr[[#This Row],[Ch_Swamp]]</f>
        <v>0</v>
      </c>
      <c r="L99" s="185">
        <f ca="1">OFFSET(TblConstr[[#This Row],[Cavern]],-1,0)+TblConstr[[#This Row],[Ch_Cavern]]</f>
        <v>0</v>
      </c>
      <c r="M99" s="186">
        <f ca="1">OFFSET(TblConstr[[#This Row],[Water]],-1,0)+TblConstr[[#This Row],[Ch_Water]]</f>
        <v>0</v>
      </c>
      <c r="N99" s="357">
        <f>TblRezone[[#This Row],[Hour]]</f>
        <v>96</v>
      </c>
      <c r="O99" s="179"/>
      <c r="P99" s="158"/>
      <c r="Q99" s="179"/>
      <c r="R99" s="179"/>
      <c r="S99" s="179"/>
      <c r="T99" s="179"/>
      <c r="U99" s="179"/>
      <c r="V99" s="179"/>
      <c r="W99" s="179"/>
      <c r="X99" s="179"/>
      <c r="Y99" s="179"/>
      <c r="Z99" s="179"/>
      <c r="AA99" s="179"/>
      <c r="AB99" s="179"/>
      <c r="AC99" s="179"/>
      <c r="AD99" s="179"/>
      <c r="AE99" s="179"/>
      <c r="AF99" s="179"/>
      <c r="AG99" s="179"/>
      <c r="AH99" s="53">
        <f ca="1">TblImps[[#This Row],[Time]]</f>
        <v>46050.958333333103</v>
      </c>
      <c r="AI99" s="180">
        <f ca="1">MIN(25%,(TblConstr[[#This Row],[Tot Fac]]+TblConstr[[#This Row],[Dest Fac]])/(TblConstr[[#This Row],[Land]]-TblExplore[[#This Row],[Land Bonus]]*20))</f>
        <v>0</v>
      </c>
      <c r="AJ99" s="180">
        <f ca="1">MIN(25%,(TblConstr[[#This Row],[Tot Fac]]+TblConstr[[#This Row],[Dest Fac]])/TblConstr[[#This Row],[Land]])</f>
        <v>0</v>
      </c>
      <c r="AK99" s="94">
        <f ca="1">TblProd[[#This Row],[Platinum]]</f>
        <v>195713</v>
      </c>
      <c r="AL99" s="94">
        <f ca="1">TblProd[[#This Row],[Lumber]]</f>
        <v>67282</v>
      </c>
      <c r="AM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99" s="94">
        <f ca="1">ROUNDDOWN( MAX(1 - MIN(facs_constr_factor*TblConstr[[#This Row],[Facs -DB]],facs_constr_max) + tech_1_11*TblTech[[#This Row],[11-1]] + tech_6_3_2*TblTech[[#This Row],[6-3]] + tech_5_2_3*TblTech[[#This Row],[5-2]], 1-global_constr_cap) * TblConstr[[#This Row],[RCPA Lumber]],0)</f>
        <v>48</v>
      </c>
      <c r="AO9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99" s="94">
        <f ca="1">ROUNDDOWN( MAX(1 - MIN(facs_constr_factor*TblConstr[[#This Row],[Facs DB]],facs_constr_max) + tech_1_11*TblTech[[#This Row],[1-11]] + tech_6_3_2*TblTech[[#This Row],[6-3]] + tech_5_2_3*TblTech[[#This Row],[5-2]], 1-global_constr_cap) * ROUND((TblConstr[[#This Row],[Land]]-250)*0.285 + 87.5 + 0/4.25,0),0)</f>
        <v>48</v>
      </c>
      <c r="AQ99" s="45">
        <f ca="1">TblConstr[[#This Row],[build -db]]*TblConstr[[#This Row],[CPA Platinum -DB]] + TblConstr[[#This Row],[build db]]*TblConstr[[#This Row],[CPA Platinum DB]]</f>
        <v>0</v>
      </c>
      <c r="AR99" s="45">
        <f ca="1">TblConstr[[#This Row],[build -db]]*TblConstr[[#This Row],[CPA Lumber -DB]] + TblConstr[[#This Row],[build db]]*TblConstr[[#This Row],[CPA Lumber DB]]</f>
        <v>0</v>
      </c>
      <c r="AS99" s="94">
        <f ca="1">MIN(SUM(OFFSET(TblConstr[[#This Row],[Plain]:[Water]],-1,0))+SUM(TblConstr[[#This Row],[Dest Hom]:[Dest Doc]])+IF(TblConstr[[#This Row],[Hour]]&gt;12,SUM(OFFSET(TblExplore[[#This Row],[Plains Explore]:[Water Explore]],-12,0)),0),SUM(TblConstr[[#This Row],[Hom]:[Doc]]))</f>
        <v>0</v>
      </c>
      <c r="AT9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99" s="142"/>
      <c r="AV99" s="94">
        <f ca="1">ROUND((TblConstr[[#This Row],[Land]]-250 - IF(TblExplore[[#This Row],[Land Bonus]]&lt;&gt;0,20,0))*1.25 + 850 + 0,0)</f>
        <v>675</v>
      </c>
      <c r="AW99" s="94">
        <f ca="1">ROUND((TblConstr[[#This Row],[Land]]-250 - IF(TblExplore[[#This Row],[Land Bonus]]&lt;&gt;0,20,0))*0.285 + 87.5 + 0/4.25,0)</f>
        <v>48</v>
      </c>
      <c r="AX99" s="154"/>
      <c r="AY99" s="188" cm="1">
        <f t="array" aca="1" ref="AY99" ca="1">IF(TblConstr[[#This Row],[Hour]:[Hour]]&gt;12,OFFSET(TblConstr[[#This Row],[Hom]],-12,0),0)+OFFSET(TblConstr[[#This Row],[Tot Hom]],-1,0)-TblConstr[[#This Row],[Dest Hom]]</f>
        <v>0</v>
      </c>
      <c r="AZ99" s="189" cm="1">
        <f t="array" aca="1" ref="AZ99" ca="1">IF(TblConstr[[#This Row],[Hour]:[Hour]]&gt;12,OFFSET(TblConstr[[#This Row],[Alc]],-12,0),0)+OFFSET(TblConstr[[#This Row],[Tot Alc]],-1,0)-TblConstr[[#This Row],[Dest Alc]]</f>
        <v>0</v>
      </c>
      <c r="BA99" s="189" cm="1">
        <f t="array" aca="1" ref="BA99" ca="1">IF(TblConstr[[#This Row],[Hour]:[Hour]]&gt;12,OFFSET(TblConstr[[#This Row],[Far]],-12,0),0)+OFFSET(TblConstr[[#This Row],[Tot Farm]],-1,0)-TblConstr[[#This Row],[Dest Farm]]</f>
        <v>30</v>
      </c>
      <c r="BB99" s="189" cm="1">
        <f t="array" aca="1" ref="BB99" ca="1">IF(TblConstr[[#This Row],[Hour]:[Hour]]&gt;12,OFFSET(TblConstr[[#This Row],[Smi]],-12,0),0)+OFFSET(TblConstr[[#This Row],[Tot Smi]],-1,0)-TblConstr[[#This Row],[Dest Smi]]</f>
        <v>0</v>
      </c>
      <c r="BC99" s="189" cm="1">
        <f t="array" aca="1" ref="BC99" ca="1">IF(TblConstr[[#This Row],[Hour]:[Hour]]&gt;12,OFFSET(TblConstr[[#This Row],[Mas]],-12,0),0)+OFFSET(TblConstr[[#This Row],[Tot Mas]],-1,0)-TblConstr[[#This Row],[Dest Mas]]</f>
        <v>0</v>
      </c>
      <c r="BD99" s="190" cm="1">
        <f t="array" aca="1" ref="BD99" ca="1">IF(TblConstr[[#This Row],[Hour]:[Hour]]&gt;12,OFFSET(TblConstr[[#This Row],[Ly]],-12,0),0)+OFFSET(TblConstr[[#This Row],[Tot Ly]],-1,0)-TblConstr[[#This Row],[Dest Ly]]</f>
        <v>20</v>
      </c>
      <c r="BE99" s="190" cm="1">
        <f t="array" aca="1" ref="BE99" ca="1">IF(TblConstr[[#This Row],[Hour]:[Hour]]&gt;12,OFFSET(TblConstr[[#This Row],[Hav]],-12,0),0)+OFFSET(TblConstr[[#This Row],[Tot Hav]],-1,0)-TblConstr[[#This Row],[Dest Hav]]</f>
        <v>0</v>
      </c>
      <c r="BF99" s="361" cm="1">
        <f t="array" aca="1" ref="BF99" ca="1">IF(TblConstr[[#This Row],[Hour]:[Hour]]&gt;12,OFFSET(TblConstr[[#This Row],[OM]],-12,0),0)+OFFSET(TblConstr[[#This Row],[Tot OM]],-1,0)-TblConstr[[#This Row],[Dest OM]]</f>
        <v>0</v>
      </c>
      <c r="BG99" s="361" cm="1">
        <f t="array" aca="1" ref="BG99" ca="1">IF(TblConstr[[#This Row],[Hour]:[Hour]]&gt;12,OFFSET(TblConstr[[#This Row],[GN]],-12,0),0)+OFFSET(TblConstr[[#This Row],[Tot GN]],-1,0)-TblConstr[[#This Row],[Dest GN]]</f>
        <v>0</v>
      </c>
      <c r="BH99" s="365" cm="1">
        <f t="array" aca="1" ref="BH99" ca="1">IF(TblConstr[[#This Row],[Hour]:[Hour]]&gt;12,OFFSET(TblConstr[[#This Row],[Fac]],-12,0),0)+OFFSET(TblConstr[[#This Row],[Tot Fac]],-1,0)-TblConstr[[#This Row],[Dest Fac]]</f>
        <v>0</v>
      </c>
      <c r="BI99" s="365" cm="1">
        <f t="array" aca="1" ref="BI99" ca="1">IF(TblConstr[[#This Row],[Hour]:[Hour]]&gt;12,OFFSET(TblConstr[[#This Row],[GT]],-12,0),0)+OFFSET(TblConstr[[#This Row],[Tot GT]],-1,0)-TblConstr[[#This Row],[Dest GT]]</f>
        <v>0</v>
      </c>
      <c r="BJ99" s="365" cm="1">
        <f t="array" aca="1" ref="BJ99" ca="1">IF(TblConstr[[#This Row],[Hour]:[Hour]]&gt;12,OFFSET(TblConstr[[#This Row],[Bar]],-12,0),0)+OFFSET(TblConstr[[#This Row],[Tot Bar]],-1,0)-TblConstr[[#This Row],[Dest Bar]]</f>
        <v>0</v>
      </c>
      <c r="BK99" s="365" cm="1">
        <f t="array" aca="1" ref="BK99" ca="1">IF(TblConstr[[#This Row],[Hour]:[Hour]]&gt;12,OFFSET(TblConstr[[#This Row],[Shr]],-12,0),0)+OFFSET(TblConstr[[#This Row],[Tot Shr]],-1,0)-TblConstr[[#This Row],[Dest Shr]]</f>
        <v>0</v>
      </c>
      <c r="BL99" s="369" cm="1">
        <f t="array" aca="1" ref="BL99" ca="1">IF(TblConstr[[#This Row],[Hour]:[Hour]]&gt;12,OFFSET(TblConstr[[#This Row],[Tow]],-12,0),0)+OFFSET(TblConstr[[#This Row],[Tot Tow]],-1,0)-TblConstr[[#This Row],[Dest Tow]]</f>
        <v>0</v>
      </c>
      <c r="BM99" s="369" cm="1">
        <f t="array" aca="1" ref="BM99" ca="1">IF(TblConstr[[#This Row],[Hour]:[Hour]]&gt;12,OFFSET(TblConstr[[#This Row],[Tem]],-12,0),0)+OFFSET(TblConstr[[#This Row],[Tot Tem]],-1,0)-TblConstr[[#This Row],[Dest Tem]]</f>
        <v>0</v>
      </c>
      <c r="BN99" s="369" cm="1">
        <f t="array" aca="1" ref="BN99" ca="1">IF(TblConstr[[#This Row],[Hour]:[Hour]]&gt;12,OFFSET(TblConstr[[#This Row],[WG]],-12,0),0)+OFFSET(TblConstr[[#This Row],[Tot WG]],-1,0)-TblConstr[[#This Row],[Dest WG]]</f>
        <v>0</v>
      </c>
      <c r="BO99" s="191" cm="1">
        <f t="array" aca="1" ref="BO99" ca="1">IF(TblConstr[[#This Row],[Hour]:[Hour]]&gt;12,OFFSET(TblConstr[[#This Row],[DM]],-12,0),0)+OFFSET(TblConstr[[#This Row],[Tot DM]],-1,0)-TblConstr[[#This Row],[Dest DM]]</f>
        <v>0</v>
      </c>
      <c r="BP99" s="191" cm="1">
        <f t="array" aca="1" ref="BP99" ca="1">IF(TblConstr[[#This Row],[Hour]:[Hour]]&gt;12,OFFSET(TblConstr[[#This Row],[Sch]],-12,0),0)+OFFSET(TblConstr[[#This Row],[Tot Sch]],-1,0)-TblConstr[[#This Row],[Dest Sch]]</f>
        <v>0</v>
      </c>
      <c r="BQ99" s="192" cm="1">
        <f t="array" aca="1" ref="BQ99" ca="1">IF(TblConstr[[#This Row],[Hour]:[Hour]]&gt;12,OFFSET(TblConstr[[#This Row],[Doc]],-12,0),0)+OFFSET(TblConstr[[#This Row],[Tot Doc]],-1,0)-TblConstr[[#This Row],[Dest Doc]]</f>
        <v>0</v>
      </c>
      <c r="BR99" s="142"/>
      <c r="BS99" s="154"/>
      <c r="BT99" s="94">
        <f ca="1">TblConstr[[#This Row],[Land]]</f>
        <v>110</v>
      </c>
      <c r="BU99" s="159">
        <f ca="1">TblImps[[#This Row],[Time]]</f>
        <v>46050.958333333103</v>
      </c>
      <c r="BV99" s="142"/>
      <c r="BW99" s="179"/>
      <c r="BX99" s="179"/>
      <c r="BY99" s="179"/>
      <c r="BZ99" s="179"/>
      <c r="CA99" s="179"/>
      <c r="CB99" s="179"/>
      <c r="CC99" s="179"/>
      <c r="CD99" s="179"/>
      <c r="CE99" s="179"/>
      <c r="CF99" s="179"/>
      <c r="CG99" s="179"/>
      <c r="CH99" s="179"/>
      <c r="CI99" s="179"/>
      <c r="CJ99" s="179"/>
      <c r="CK99" s="179"/>
      <c r="CL99" s="179"/>
      <c r="CM99" s="179"/>
      <c r="CN99" s="179"/>
      <c r="CO99" s="179"/>
      <c r="CP99" s="142"/>
      <c r="CQ99" s="181">
        <f ca="1">-SUM(TblConstr[[#This Row],[Alc]:[Mas]])+SUM(TblConstr[[#This Row],[Dest Alc]:[Dest Mas]])+Rezone!L99+IF("Ch_"&amp; home_land=TblConstr[[#Headers],[Ch_Plain]],TblConstr[[#This Row],[Home Land]])+IF(TblConstr[[#This Row],[Hour]:[Hour]]&gt;12,OFFSET(TblExplore[[#This Row],[Plains Explore]],-12,0),0)</f>
        <v>0</v>
      </c>
      <c r="CR99" s="182">
        <f ca="1">-SUM(TblConstr[[#This Row],[Ly]:[Hav]])+SUM(TblConstr[[#This Row],[Dest Ly]:[Dest Hav]]) +Rezone!M99 + IF("Ch_"&amp; home_land=TblConstr[[#Headers],[Ch_Forest]],TblConstr[[#This Row],[Home Land]])+IF(TblConstr[[#This Row],[Hour]:[Hour]]&gt;12,OFFSET(TblExplore[[#This Row],[Forest Explore]],-12,0),0)</f>
        <v>0</v>
      </c>
      <c r="CS99" s="359">
        <f ca="1">-SUM(TblConstr[[#This Row],[OM]:[GN]])+SUM(TblConstr[[#This Row],[Dest OM]:[Dest GN]]) +Rezone!N99 + IF("Ch_"&amp; home_land=TblConstr[[#Headers],[Ch_Mountain]],TblConstr[[#This Row],[Home Land]])+IF(TblConstr[[#This Row],[Hour]:[Hour]]&gt;12,OFFSET(TblExplore[[#This Row],[Mountain Explore]],-12,0),0)</f>
        <v>0</v>
      </c>
      <c r="CT99" s="183">
        <f ca="1">-SUM(TblConstr[[#This Row],[Fac]:[Shr]])+SUM(TblConstr[[#This Row],[Dest Fac]:[Dest Shr]]) +Rezone!O99 + IF("Ch_" &amp; home_land=TblConstr[[#Headers],[Ch_Hill]],TblConstr[[#This Row],[Home Land]])+IF(TblConstr[[#This Row],[Hour]:[Hour]]&gt;12,OFFSET(TblExplore[[#This Row],[Hill Explore]],-12,0),0)</f>
        <v>0</v>
      </c>
      <c r="CU99" s="184">
        <f ca="1">-SUM(TblConstr[[#This Row],[Tow]:[WG]])+SUM(TblConstr[[#This Row],[Dest Tow]:[Dest WG]]) +Rezone!P99 + IF("Ch_" &amp; home_land=TblConstr[[#Headers],[Ch_Swamp]],TblConstr[[#This Row],[Home Land]])+IF(TblConstr[[#This Row],[Hour]:[Hour]]&gt;12,OFFSET(TblExplore[[#This Row],[Swamp Explore]],-12,0),0)</f>
        <v>0</v>
      </c>
      <c r="CV99" s="185">
        <f ca="1" xml:space="preserve"> - SUM(TblConstr[[#This Row],[DM]:[Sch]])+SUM(TblConstr[[#This Row],[Dest DM]:[Dest Sch]]) +Rezone!Q99 + IF("Ch_" &amp; home_land=TblConstr[[#Headers],[Ch_Cavern]],TblConstr[[#This Row],[Home Land]])+IF(TblConstr[[#This Row],[Hour]:[Hour]]&gt;12,OFFSET(TblExplore[[#This Row],[Cavern Explore]],-12,0),0)</f>
        <v>0</v>
      </c>
      <c r="CW99" s="186">
        <f ca="1">-TblConstr[[#This Row],[Doc]]+TblConstr[[#This Row],[Dest Doc]] +Rezone!R99 + IF("Ch_" &amp; home_land=TblConstr[[#Headers],[Ch_Water]],TblConstr[[#This Row],[Home Land]])+IF(TblConstr[[#This Row],[Hour]:[Hour]]&gt;12,OFFSET(TblExplore[[#This Row],[Water Explore]],-12,0),0)</f>
        <v>0</v>
      </c>
      <c r="CX99" s="45">
        <f>IF(Explore!S99=1,20) - TblConstr[[#This Row],[Hom]] + TblConstr[[#This Row],[Dest Hom]]</f>
        <v>0</v>
      </c>
      <c r="CY99" s="142"/>
      <c r="CZ99" s="94">
        <f t="shared" ca="1" si="23"/>
        <v>90</v>
      </c>
      <c r="DA99" s="94">
        <f t="shared" ca="1" si="24"/>
        <v>20</v>
      </c>
      <c r="DB99" s="45">
        <f t="shared" ca="1" si="25"/>
        <v>0</v>
      </c>
      <c r="DC99" s="94">
        <f t="shared" ca="1" si="26"/>
        <v>0</v>
      </c>
      <c r="DD99" s="94">
        <f t="shared" ca="1" si="27"/>
        <v>0</v>
      </c>
      <c r="DE99" s="45">
        <f t="shared" ca="1" si="28"/>
        <v>0</v>
      </c>
      <c r="DF99" s="94">
        <f t="shared" ca="1" si="29"/>
        <v>0</v>
      </c>
      <c r="DG99" s="94" cm="1">
        <f t="array" aca="1" ref="DG99" ca="1">INDEX(TblConstr[[Total Plain]:[Total Water]],ROW()-ROW(TblConstr[#Headers]),MATCH("Total "&amp;home_land,TblConstr[[#Headers],[Total Plain]:[Total Water]],0))+TblConstr[[#This Row],[Homes]]</f>
        <v>90</v>
      </c>
      <c r="DH99" s="45">
        <f t="shared" ca="1" si="22"/>
        <v>0</v>
      </c>
      <c r="DI99" s="45">
        <f t="shared" ca="1" si="19"/>
        <v>0</v>
      </c>
      <c r="DJ99" s="45">
        <f t="shared" ca="1" si="20"/>
        <v>0</v>
      </c>
    </row>
    <row r="100" spans="1:114" x14ac:dyDescent="0.2">
      <c r="A100" s="175">
        <f>TblRezone[[#This Row],[Hour]]</f>
        <v>97</v>
      </c>
      <c r="B100" s="176">
        <f ca="1">SUM(TblConstr[[#This Row],[Plain]:[Water]])</f>
        <v>60</v>
      </c>
      <c r="C100" s="177">
        <f ca="1">SUM(TblConstr[[#This Row],[Tot Hom]:[Tot Doc]])</f>
        <v>50</v>
      </c>
      <c r="D100" s="177">
        <f t="shared" si="21"/>
        <v>0</v>
      </c>
      <c r="E100" s="178"/>
      <c r="F100" s="61">
        <f ca="1">TblConstr[[#This Row],[Barren]]+TblConstr[[#This Row],[Buildings]]+TblConstr[[#This Row],[Incoming]]</f>
        <v>110</v>
      </c>
      <c r="G100" s="187">
        <f ca="1">OFFSET(TblConstr[[#This Row],[Plain]],-1,0)+TblConstr[[#This Row],[Ch_Plain]]</f>
        <v>60</v>
      </c>
      <c r="H100" s="182">
        <f ca="1">OFFSET(TblConstr[[#This Row],[Forest]],-1,0)+TblConstr[[#This Row],[Ch_Forest]]</f>
        <v>0</v>
      </c>
      <c r="I100" s="359">
        <f ca="1">OFFSET(TblConstr[[#This Row],[Mountain]],-1,0)+TblConstr[[#This Row],[Ch_Mountain]]</f>
        <v>0</v>
      </c>
      <c r="J100" s="363">
        <f ca="1">OFFSET(TblConstr[[#This Row],[Hill]],-1,0)+TblConstr[[#This Row],[Ch_Hill]]</f>
        <v>0</v>
      </c>
      <c r="K100" s="367">
        <f ca="1">OFFSET(TblConstr[[#This Row],[Swamp]],-1,0)+TblConstr[[#This Row],[Ch_Swamp]]</f>
        <v>0</v>
      </c>
      <c r="L100" s="185">
        <f ca="1">OFFSET(TblConstr[[#This Row],[Cavern]],-1,0)+TblConstr[[#This Row],[Ch_Cavern]]</f>
        <v>0</v>
      </c>
      <c r="M100" s="186">
        <f ca="1">OFFSET(TblConstr[[#This Row],[Water]],-1,0)+TblConstr[[#This Row],[Ch_Water]]</f>
        <v>0</v>
      </c>
      <c r="N100" s="357">
        <f>TblRezone[[#This Row],[Hour]]</f>
        <v>97</v>
      </c>
      <c r="O100" s="179"/>
      <c r="P100" s="179"/>
      <c r="Q100" s="179"/>
      <c r="R100" s="179"/>
      <c r="S100" s="179"/>
      <c r="T100" s="179"/>
      <c r="U100" s="179"/>
      <c r="V100" s="179"/>
      <c r="W100" s="179"/>
      <c r="X100" s="179"/>
      <c r="Y100" s="179"/>
      <c r="Z100" s="179"/>
      <c r="AA100" s="179"/>
      <c r="AB100" s="179"/>
      <c r="AC100" s="179"/>
      <c r="AD100" s="179"/>
      <c r="AE100" s="179"/>
      <c r="AF100" s="179"/>
      <c r="AG100" s="179"/>
      <c r="AH100" s="53">
        <f ca="1">TblImps[[#This Row],[Time]]</f>
        <v>46050.999999999767</v>
      </c>
      <c r="AI100" s="180">
        <f ca="1">MIN(25%,(TblConstr[[#This Row],[Tot Fac]]+TblConstr[[#This Row],[Dest Fac]])/(TblConstr[[#This Row],[Land]]-TblExplore[[#This Row],[Land Bonus]]*20))</f>
        <v>0</v>
      </c>
      <c r="AJ100" s="180">
        <f ca="1">MIN(25%,(TblConstr[[#This Row],[Tot Fac]]+TblConstr[[#This Row],[Dest Fac]])/TblConstr[[#This Row],[Land]])</f>
        <v>0</v>
      </c>
      <c r="AK100" s="94">
        <f ca="1">TblProd[[#This Row],[Platinum]]</f>
        <v>196757</v>
      </c>
      <c r="AL100" s="94">
        <f ca="1">TblProd[[#This Row],[Lumber]]</f>
        <v>67609</v>
      </c>
      <c r="AM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0" s="94">
        <f ca="1">ROUNDDOWN( MAX(1 - MIN(facs_constr_factor*TblConstr[[#This Row],[Facs -DB]],facs_constr_max) + tech_1_11*TblTech[[#This Row],[11-1]] + tech_6_3_2*TblTech[[#This Row],[6-3]] + tech_5_2_3*TblTech[[#This Row],[5-2]], 1-global_constr_cap) * TblConstr[[#This Row],[RCPA Lumber]],0)</f>
        <v>48</v>
      </c>
      <c r="AO10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0" s="94">
        <f ca="1">ROUNDDOWN( MAX(1 - MIN(facs_constr_factor*TblConstr[[#This Row],[Facs DB]],facs_constr_max) + tech_1_11*TblTech[[#This Row],[1-11]] + tech_6_3_2*TblTech[[#This Row],[6-3]] + tech_5_2_3*TblTech[[#This Row],[5-2]], 1-global_constr_cap) * ROUND((TblConstr[[#This Row],[Land]]-250)*0.285 + 87.5 + 0/4.25,0),0)</f>
        <v>48</v>
      </c>
      <c r="AQ100" s="45">
        <f ca="1">TblConstr[[#This Row],[build -db]]*TblConstr[[#This Row],[CPA Platinum -DB]] + TblConstr[[#This Row],[build db]]*TblConstr[[#This Row],[CPA Platinum DB]]</f>
        <v>0</v>
      </c>
      <c r="AR100" s="45">
        <f ca="1">TblConstr[[#This Row],[build -db]]*TblConstr[[#This Row],[CPA Lumber -DB]] + TblConstr[[#This Row],[build db]]*TblConstr[[#This Row],[CPA Lumber DB]]</f>
        <v>0</v>
      </c>
      <c r="AS100" s="94">
        <f ca="1">MIN(SUM(OFFSET(TblConstr[[#This Row],[Plain]:[Water]],-1,0))+SUM(TblConstr[[#This Row],[Dest Hom]:[Dest Doc]])+IF(TblConstr[[#This Row],[Hour]]&gt;12,SUM(OFFSET(TblExplore[[#This Row],[Plains Explore]:[Water Explore]],-12,0)),0),SUM(TblConstr[[#This Row],[Hom]:[Doc]]))</f>
        <v>0</v>
      </c>
      <c r="AT10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0" s="142"/>
      <c r="AV100" s="94">
        <f ca="1">ROUND((TblConstr[[#This Row],[Land]]-250 - IF(TblExplore[[#This Row],[Land Bonus]]&lt;&gt;0,20,0))*1.25 + 850 + 0,0)</f>
        <v>675</v>
      </c>
      <c r="AW100" s="94">
        <f ca="1">ROUND((TblConstr[[#This Row],[Land]]-250 - IF(TblExplore[[#This Row],[Land Bonus]]&lt;&gt;0,20,0))*0.285 + 87.5 + 0/4.25,0)</f>
        <v>48</v>
      </c>
      <c r="AX100" s="154"/>
      <c r="AY100" s="188" cm="1">
        <f t="array" aca="1" ref="AY100" ca="1">IF(TblConstr[[#This Row],[Hour]:[Hour]]&gt;12,OFFSET(TblConstr[[#This Row],[Hom]],-12,0),0)+OFFSET(TblConstr[[#This Row],[Tot Hom]],-1,0)-TblConstr[[#This Row],[Dest Hom]]</f>
        <v>0</v>
      </c>
      <c r="AZ100" s="189" cm="1">
        <f t="array" aca="1" ref="AZ100" ca="1">IF(TblConstr[[#This Row],[Hour]:[Hour]]&gt;12,OFFSET(TblConstr[[#This Row],[Alc]],-12,0),0)+OFFSET(TblConstr[[#This Row],[Tot Alc]],-1,0)-TblConstr[[#This Row],[Dest Alc]]</f>
        <v>0</v>
      </c>
      <c r="BA100" s="189" cm="1">
        <f t="array" aca="1" ref="BA100" ca="1">IF(TblConstr[[#This Row],[Hour]:[Hour]]&gt;12,OFFSET(TblConstr[[#This Row],[Far]],-12,0),0)+OFFSET(TblConstr[[#This Row],[Tot Farm]],-1,0)-TblConstr[[#This Row],[Dest Farm]]</f>
        <v>30</v>
      </c>
      <c r="BB100" s="189" cm="1">
        <f t="array" aca="1" ref="BB100" ca="1">IF(TblConstr[[#This Row],[Hour]:[Hour]]&gt;12,OFFSET(TblConstr[[#This Row],[Smi]],-12,0),0)+OFFSET(TblConstr[[#This Row],[Tot Smi]],-1,0)-TblConstr[[#This Row],[Dest Smi]]</f>
        <v>0</v>
      </c>
      <c r="BC100" s="189" cm="1">
        <f t="array" aca="1" ref="BC100" ca="1">IF(TblConstr[[#This Row],[Hour]:[Hour]]&gt;12,OFFSET(TblConstr[[#This Row],[Mas]],-12,0),0)+OFFSET(TblConstr[[#This Row],[Tot Mas]],-1,0)-TblConstr[[#This Row],[Dest Mas]]</f>
        <v>0</v>
      </c>
      <c r="BD100" s="190" cm="1">
        <f t="array" aca="1" ref="BD100" ca="1">IF(TblConstr[[#This Row],[Hour]:[Hour]]&gt;12,OFFSET(TblConstr[[#This Row],[Ly]],-12,0),0)+OFFSET(TblConstr[[#This Row],[Tot Ly]],-1,0)-TblConstr[[#This Row],[Dest Ly]]</f>
        <v>20</v>
      </c>
      <c r="BE100" s="190" cm="1">
        <f t="array" aca="1" ref="BE100" ca="1">IF(TblConstr[[#This Row],[Hour]:[Hour]]&gt;12,OFFSET(TblConstr[[#This Row],[Hav]],-12,0),0)+OFFSET(TblConstr[[#This Row],[Tot Hav]],-1,0)-TblConstr[[#This Row],[Dest Hav]]</f>
        <v>0</v>
      </c>
      <c r="BF100" s="361" cm="1">
        <f t="array" aca="1" ref="BF100" ca="1">IF(TblConstr[[#This Row],[Hour]:[Hour]]&gt;12,OFFSET(TblConstr[[#This Row],[OM]],-12,0),0)+OFFSET(TblConstr[[#This Row],[Tot OM]],-1,0)-TblConstr[[#This Row],[Dest OM]]</f>
        <v>0</v>
      </c>
      <c r="BG100" s="361" cm="1">
        <f t="array" aca="1" ref="BG100" ca="1">IF(TblConstr[[#This Row],[Hour]:[Hour]]&gt;12,OFFSET(TblConstr[[#This Row],[GN]],-12,0),0)+OFFSET(TblConstr[[#This Row],[Tot GN]],-1,0)-TblConstr[[#This Row],[Dest GN]]</f>
        <v>0</v>
      </c>
      <c r="BH100" s="365" cm="1">
        <f t="array" aca="1" ref="BH100" ca="1">IF(TblConstr[[#This Row],[Hour]:[Hour]]&gt;12,OFFSET(TblConstr[[#This Row],[Fac]],-12,0),0)+OFFSET(TblConstr[[#This Row],[Tot Fac]],-1,0)-TblConstr[[#This Row],[Dest Fac]]</f>
        <v>0</v>
      </c>
      <c r="BI100" s="365" cm="1">
        <f t="array" aca="1" ref="BI100" ca="1">IF(TblConstr[[#This Row],[Hour]:[Hour]]&gt;12,OFFSET(TblConstr[[#This Row],[GT]],-12,0),0)+OFFSET(TblConstr[[#This Row],[Tot GT]],-1,0)-TblConstr[[#This Row],[Dest GT]]</f>
        <v>0</v>
      </c>
      <c r="BJ100" s="365" cm="1">
        <f t="array" aca="1" ref="BJ100" ca="1">IF(TblConstr[[#This Row],[Hour]:[Hour]]&gt;12,OFFSET(TblConstr[[#This Row],[Bar]],-12,0),0)+OFFSET(TblConstr[[#This Row],[Tot Bar]],-1,0)-TblConstr[[#This Row],[Dest Bar]]</f>
        <v>0</v>
      </c>
      <c r="BK100" s="365" cm="1">
        <f t="array" aca="1" ref="BK100" ca="1">IF(TblConstr[[#This Row],[Hour]:[Hour]]&gt;12,OFFSET(TblConstr[[#This Row],[Shr]],-12,0),0)+OFFSET(TblConstr[[#This Row],[Tot Shr]],-1,0)-TblConstr[[#This Row],[Dest Shr]]</f>
        <v>0</v>
      </c>
      <c r="BL100" s="369" cm="1">
        <f t="array" aca="1" ref="BL100" ca="1">IF(TblConstr[[#This Row],[Hour]:[Hour]]&gt;12,OFFSET(TblConstr[[#This Row],[Tow]],-12,0),0)+OFFSET(TblConstr[[#This Row],[Tot Tow]],-1,0)-TblConstr[[#This Row],[Dest Tow]]</f>
        <v>0</v>
      </c>
      <c r="BM100" s="369" cm="1">
        <f t="array" aca="1" ref="BM100" ca="1">IF(TblConstr[[#This Row],[Hour]:[Hour]]&gt;12,OFFSET(TblConstr[[#This Row],[Tem]],-12,0),0)+OFFSET(TblConstr[[#This Row],[Tot Tem]],-1,0)-TblConstr[[#This Row],[Dest Tem]]</f>
        <v>0</v>
      </c>
      <c r="BN100" s="369" cm="1">
        <f t="array" aca="1" ref="BN100" ca="1">IF(TblConstr[[#This Row],[Hour]:[Hour]]&gt;12,OFFSET(TblConstr[[#This Row],[WG]],-12,0),0)+OFFSET(TblConstr[[#This Row],[Tot WG]],-1,0)-TblConstr[[#This Row],[Dest WG]]</f>
        <v>0</v>
      </c>
      <c r="BO100" s="191" cm="1">
        <f t="array" aca="1" ref="BO100" ca="1">IF(TblConstr[[#This Row],[Hour]:[Hour]]&gt;12,OFFSET(TblConstr[[#This Row],[DM]],-12,0),0)+OFFSET(TblConstr[[#This Row],[Tot DM]],-1,0)-TblConstr[[#This Row],[Dest DM]]</f>
        <v>0</v>
      </c>
      <c r="BP100" s="191" cm="1">
        <f t="array" aca="1" ref="BP100" ca="1">IF(TblConstr[[#This Row],[Hour]:[Hour]]&gt;12,OFFSET(TblConstr[[#This Row],[Sch]],-12,0),0)+OFFSET(TblConstr[[#This Row],[Tot Sch]],-1,0)-TblConstr[[#This Row],[Dest Sch]]</f>
        <v>0</v>
      </c>
      <c r="BQ100" s="192" cm="1">
        <f t="array" aca="1" ref="BQ100" ca="1">IF(TblConstr[[#This Row],[Hour]:[Hour]]&gt;12,OFFSET(TblConstr[[#This Row],[Doc]],-12,0),0)+OFFSET(TblConstr[[#This Row],[Tot Doc]],-1,0)-TblConstr[[#This Row],[Dest Doc]]</f>
        <v>0</v>
      </c>
      <c r="BR100" s="142"/>
      <c r="BS100" s="154"/>
      <c r="BT100" s="94">
        <f ca="1">TblConstr[[#This Row],[Land]]</f>
        <v>110</v>
      </c>
      <c r="BU100" s="159">
        <f ca="1">TblImps[[#This Row],[Time]]</f>
        <v>46050.999999999767</v>
      </c>
      <c r="BV100" s="142"/>
      <c r="BW100" s="179"/>
      <c r="BX100" s="179"/>
      <c r="BY100" s="179"/>
      <c r="BZ100" s="179"/>
      <c r="CA100" s="179"/>
      <c r="CB100" s="179"/>
      <c r="CC100" s="179"/>
      <c r="CD100" s="179"/>
      <c r="CE100" s="179"/>
      <c r="CF100" s="179"/>
      <c r="CG100" s="179"/>
      <c r="CH100" s="179"/>
      <c r="CI100" s="179"/>
      <c r="CJ100" s="179"/>
      <c r="CK100" s="179"/>
      <c r="CL100" s="179"/>
      <c r="CM100" s="179"/>
      <c r="CN100" s="179"/>
      <c r="CO100" s="179"/>
      <c r="CP100" s="142"/>
      <c r="CQ100" s="181">
        <f ca="1">-SUM(TblConstr[[#This Row],[Alc]:[Mas]])+SUM(TblConstr[[#This Row],[Dest Alc]:[Dest Mas]])+Rezone!L100+IF("Ch_"&amp; home_land=TblConstr[[#Headers],[Ch_Plain]],TblConstr[[#This Row],[Home Land]])+IF(TblConstr[[#This Row],[Hour]:[Hour]]&gt;12,OFFSET(TblExplore[[#This Row],[Plains Explore]],-12,0),0)</f>
        <v>0</v>
      </c>
      <c r="CR100" s="182">
        <f ca="1">-SUM(TblConstr[[#This Row],[Ly]:[Hav]])+SUM(TblConstr[[#This Row],[Dest Ly]:[Dest Hav]]) +Rezone!M100 + IF("Ch_"&amp; home_land=TblConstr[[#Headers],[Ch_Forest]],TblConstr[[#This Row],[Home Land]])+IF(TblConstr[[#This Row],[Hour]:[Hour]]&gt;12,OFFSET(TblExplore[[#This Row],[Forest Explore]],-12,0),0)</f>
        <v>0</v>
      </c>
      <c r="CS100" s="359">
        <f ca="1">-SUM(TblConstr[[#This Row],[OM]:[GN]])+SUM(TblConstr[[#This Row],[Dest OM]:[Dest GN]]) +Rezone!N100 + IF("Ch_"&amp; home_land=TblConstr[[#Headers],[Ch_Mountain]],TblConstr[[#This Row],[Home Land]])+IF(TblConstr[[#This Row],[Hour]:[Hour]]&gt;12,OFFSET(TblExplore[[#This Row],[Mountain Explore]],-12,0),0)</f>
        <v>0</v>
      </c>
      <c r="CT100" s="183">
        <f ca="1">-SUM(TblConstr[[#This Row],[Fac]:[Shr]])+SUM(TblConstr[[#This Row],[Dest Fac]:[Dest Shr]]) +Rezone!O100 + IF("Ch_" &amp; home_land=TblConstr[[#Headers],[Ch_Hill]],TblConstr[[#This Row],[Home Land]])+IF(TblConstr[[#This Row],[Hour]:[Hour]]&gt;12,OFFSET(TblExplore[[#This Row],[Hill Explore]],-12,0),0)</f>
        <v>0</v>
      </c>
      <c r="CU100" s="184">
        <f ca="1">-SUM(TblConstr[[#This Row],[Tow]:[WG]])+SUM(TblConstr[[#This Row],[Dest Tow]:[Dest WG]]) +Rezone!P100 + IF("Ch_" &amp; home_land=TblConstr[[#Headers],[Ch_Swamp]],TblConstr[[#This Row],[Home Land]])+IF(TblConstr[[#This Row],[Hour]:[Hour]]&gt;12,OFFSET(TblExplore[[#This Row],[Swamp Explore]],-12,0),0)</f>
        <v>0</v>
      </c>
      <c r="CV100" s="185">
        <f ca="1" xml:space="preserve"> - SUM(TblConstr[[#This Row],[DM]:[Sch]])+SUM(TblConstr[[#This Row],[Dest DM]:[Dest Sch]]) +Rezone!Q100 + IF("Ch_" &amp; home_land=TblConstr[[#Headers],[Ch_Cavern]],TblConstr[[#This Row],[Home Land]])+IF(TblConstr[[#This Row],[Hour]:[Hour]]&gt;12,OFFSET(TblExplore[[#This Row],[Cavern Explore]],-12,0),0)</f>
        <v>0</v>
      </c>
      <c r="CW100" s="186">
        <f ca="1">-TblConstr[[#This Row],[Doc]]+TblConstr[[#This Row],[Dest Doc]] +Rezone!R100 + IF("Ch_" &amp; home_land=TblConstr[[#Headers],[Ch_Water]],TblConstr[[#This Row],[Home Land]])+IF(TblConstr[[#This Row],[Hour]:[Hour]]&gt;12,OFFSET(TblExplore[[#This Row],[Water Explore]],-12,0),0)</f>
        <v>0</v>
      </c>
      <c r="CX100" s="45">
        <f>IF(Explore!S100=1,20) - TblConstr[[#This Row],[Hom]] + TblConstr[[#This Row],[Dest Hom]]</f>
        <v>0</v>
      </c>
      <c r="CY100" s="142"/>
      <c r="CZ100" s="94">
        <f t="shared" ca="1" si="23"/>
        <v>90</v>
      </c>
      <c r="DA100" s="94">
        <f t="shared" ca="1" si="24"/>
        <v>20</v>
      </c>
      <c r="DB100" s="45">
        <f t="shared" ca="1" si="25"/>
        <v>0</v>
      </c>
      <c r="DC100" s="94">
        <f t="shared" ca="1" si="26"/>
        <v>0</v>
      </c>
      <c r="DD100" s="94">
        <f t="shared" ca="1" si="27"/>
        <v>0</v>
      </c>
      <c r="DE100" s="45">
        <f t="shared" ca="1" si="28"/>
        <v>0</v>
      </c>
      <c r="DF100" s="94">
        <f t="shared" ca="1" si="29"/>
        <v>0</v>
      </c>
      <c r="DG100" s="94" cm="1">
        <f t="array" aca="1" ref="DG100" ca="1">INDEX(TblConstr[[Total Plain]:[Total Water]],ROW()-ROW(TblConstr[#Headers]),MATCH("Total "&amp;home_land,TblConstr[[#Headers],[Total Plain]:[Total Water]],0))+TblConstr[[#This Row],[Homes]]</f>
        <v>90</v>
      </c>
      <c r="DH100" s="45">
        <f t="shared" ca="1" si="22"/>
        <v>0</v>
      </c>
      <c r="DI100" s="45">
        <f t="shared" ca="1" si="19"/>
        <v>0</v>
      </c>
      <c r="DJ100" s="45">
        <f t="shared" ca="1" si="20"/>
        <v>0</v>
      </c>
    </row>
    <row r="101" spans="1:114" x14ac:dyDescent="0.2">
      <c r="A101" s="175">
        <f>TblRezone[[#This Row],[Hour]]</f>
        <v>98</v>
      </c>
      <c r="B101" s="176">
        <f ca="1">SUM(TblConstr[[#This Row],[Plain]:[Water]])</f>
        <v>60</v>
      </c>
      <c r="C101" s="177">
        <f ca="1">SUM(TblConstr[[#This Row],[Tot Hom]:[Tot Doc]])</f>
        <v>50</v>
      </c>
      <c r="D101" s="177">
        <f t="shared" si="21"/>
        <v>0</v>
      </c>
      <c r="E101" s="178"/>
      <c r="F101" s="61">
        <f ca="1">TblConstr[[#This Row],[Barren]]+TblConstr[[#This Row],[Buildings]]+TblConstr[[#This Row],[Incoming]]</f>
        <v>110</v>
      </c>
      <c r="G101" s="187">
        <f ca="1">OFFSET(TblConstr[[#This Row],[Plain]],-1,0)+TblConstr[[#This Row],[Ch_Plain]]</f>
        <v>60</v>
      </c>
      <c r="H101" s="182">
        <f ca="1">OFFSET(TblConstr[[#This Row],[Forest]],-1,0)+TblConstr[[#This Row],[Ch_Forest]]</f>
        <v>0</v>
      </c>
      <c r="I101" s="359">
        <f ca="1">OFFSET(TblConstr[[#This Row],[Mountain]],-1,0)+TblConstr[[#This Row],[Ch_Mountain]]</f>
        <v>0</v>
      </c>
      <c r="J101" s="363">
        <f ca="1">OFFSET(TblConstr[[#This Row],[Hill]],-1,0)+TblConstr[[#This Row],[Ch_Hill]]</f>
        <v>0</v>
      </c>
      <c r="K101" s="367">
        <f ca="1">OFFSET(TblConstr[[#This Row],[Swamp]],-1,0)+TblConstr[[#This Row],[Ch_Swamp]]</f>
        <v>0</v>
      </c>
      <c r="L101" s="185">
        <f ca="1">OFFSET(TblConstr[[#This Row],[Cavern]],-1,0)+TblConstr[[#This Row],[Ch_Cavern]]</f>
        <v>0</v>
      </c>
      <c r="M101" s="186">
        <f ca="1">OFFSET(TblConstr[[#This Row],[Water]],-1,0)+TblConstr[[#This Row],[Ch_Water]]</f>
        <v>0</v>
      </c>
      <c r="N101" s="357">
        <f>TblRezone[[#This Row],[Hour]]</f>
        <v>98</v>
      </c>
      <c r="O101" s="179"/>
      <c r="P101" s="179"/>
      <c r="Q101" s="179"/>
      <c r="R101" s="179"/>
      <c r="S101" s="179"/>
      <c r="T101" s="179"/>
      <c r="U101" s="179"/>
      <c r="V101" s="179"/>
      <c r="W101" s="179"/>
      <c r="X101" s="179"/>
      <c r="Y101" s="179"/>
      <c r="Z101" s="179"/>
      <c r="AA101" s="179"/>
      <c r="AB101" s="179"/>
      <c r="AC101" s="179"/>
      <c r="AD101" s="179"/>
      <c r="AE101" s="179"/>
      <c r="AF101" s="179"/>
      <c r="AG101" s="179"/>
      <c r="AH101" s="53">
        <f ca="1">TblImps[[#This Row],[Time]]</f>
        <v>46051.041666666431</v>
      </c>
      <c r="AI101" s="180">
        <f ca="1">MIN(25%,(TblConstr[[#This Row],[Tot Fac]]+TblConstr[[#This Row],[Dest Fac]])/(TblConstr[[#This Row],[Land]]-TblExplore[[#This Row],[Land Bonus]]*20))</f>
        <v>0</v>
      </c>
      <c r="AJ101" s="180">
        <f ca="1">MIN(25%,(TblConstr[[#This Row],[Tot Fac]]+TblConstr[[#This Row],[Dest Fac]])/TblConstr[[#This Row],[Land]])</f>
        <v>0</v>
      </c>
      <c r="AK101" s="94">
        <f ca="1">TblProd[[#This Row],[Platinum]]</f>
        <v>197791</v>
      </c>
      <c r="AL101" s="94">
        <f ca="1">TblProd[[#This Row],[Lumber]]</f>
        <v>67933</v>
      </c>
      <c r="AM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1" s="94">
        <f ca="1">ROUNDDOWN( MAX(1 - MIN(facs_constr_factor*TblConstr[[#This Row],[Facs -DB]],facs_constr_max) + tech_1_11*TblTech[[#This Row],[11-1]] + tech_6_3_2*TblTech[[#This Row],[6-3]] + tech_5_2_3*TblTech[[#This Row],[5-2]], 1-global_constr_cap) * TblConstr[[#This Row],[RCPA Lumber]],0)</f>
        <v>48</v>
      </c>
      <c r="AO10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1" s="94">
        <f ca="1">ROUNDDOWN( MAX(1 - MIN(facs_constr_factor*TblConstr[[#This Row],[Facs DB]],facs_constr_max) + tech_1_11*TblTech[[#This Row],[1-11]] + tech_6_3_2*TblTech[[#This Row],[6-3]] + tech_5_2_3*TblTech[[#This Row],[5-2]], 1-global_constr_cap) * ROUND((TblConstr[[#This Row],[Land]]-250)*0.285 + 87.5 + 0/4.25,0),0)</f>
        <v>48</v>
      </c>
      <c r="AQ101" s="45">
        <f ca="1">TblConstr[[#This Row],[build -db]]*TblConstr[[#This Row],[CPA Platinum -DB]] + TblConstr[[#This Row],[build db]]*TblConstr[[#This Row],[CPA Platinum DB]]</f>
        <v>0</v>
      </c>
      <c r="AR101" s="45">
        <f ca="1">TblConstr[[#This Row],[build -db]]*TblConstr[[#This Row],[CPA Lumber -DB]] + TblConstr[[#This Row],[build db]]*TblConstr[[#This Row],[CPA Lumber DB]]</f>
        <v>0</v>
      </c>
      <c r="AS101" s="94">
        <f ca="1">MIN(SUM(OFFSET(TblConstr[[#This Row],[Plain]:[Water]],-1,0))+SUM(TblConstr[[#This Row],[Dest Hom]:[Dest Doc]])+IF(TblConstr[[#This Row],[Hour]]&gt;12,SUM(OFFSET(TblExplore[[#This Row],[Plains Explore]:[Water Explore]],-12,0)),0),SUM(TblConstr[[#This Row],[Hom]:[Doc]]))</f>
        <v>0</v>
      </c>
      <c r="AT10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1" s="142"/>
      <c r="AV101" s="94">
        <f ca="1">ROUND((TblConstr[[#This Row],[Land]]-250 - IF(TblExplore[[#This Row],[Land Bonus]]&lt;&gt;0,20,0))*1.25 + 850 + 0,0)</f>
        <v>675</v>
      </c>
      <c r="AW101" s="94">
        <f ca="1">ROUND((TblConstr[[#This Row],[Land]]-250 - IF(TblExplore[[#This Row],[Land Bonus]]&lt;&gt;0,20,0))*0.285 + 87.5 + 0/4.25,0)</f>
        <v>48</v>
      </c>
      <c r="AX101" s="154"/>
      <c r="AY101" s="188" cm="1">
        <f t="array" aca="1" ref="AY101" ca="1">IF(TblConstr[[#This Row],[Hour]:[Hour]]&gt;12,OFFSET(TblConstr[[#This Row],[Hom]],-12,0),0)+OFFSET(TblConstr[[#This Row],[Tot Hom]],-1,0)-TblConstr[[#This Row],[Dest Hom]]</f>
        <v>0</v>
      </c>
      <c r="AZ101" s="189" cm="1">
        <f t="array" aca="1" ref="AZ101" ca="1">IF(TblConstr[[#This Row],[Hour]:[Hour]]&gt;12,OFFSET(TblConstr[[#This Row],[Alc]],-12,0),0)+OFFSET(TblConstr[[#This Row],[Tot Alc]],-1,0)-TblConstr[[#This Row],[Dest Alc]]</f>
        <v>0</v>
      </c>
      <c r="BA101" s="189" cm="1">
        <f t="array" aca="1" ref="BA101" ca="1">IF(TblConstr[[#This Row],[Hour]:[Hour]]&gt;12,OFFSET(TblConstr[[#This Row],[Far]],-12,0),0)+OFFSET(TblConstr[[#This Row],[Tot Farm]],-1,0)-TblConstr[[#This Row],[Dest Farm]]</f>
        <v>30</v>
      </c>
      <c r="BB101" s="189" cm="1">
        <f t="array" aca="1" ref="BB101" ca="1">IF(TblConstr[[#This Row],[Hour]:[Hour]]&gt;12,OFFSET(TblConstr[[#This Row],[Smi]],-12,0),0)+OFFSET(TblConstr[[#This Row],[Tot Smi]],-1,0)-TblConstr[[#This Row],[Dest Smi]]</f>
        <v>0</v>
      </c>
      <c r="BC101" s="189" cm="1">
        <f t="array" aca="1" ref="BC101" ca="1">IF(TblConstr[[#This Row],[Hour]:[Hour]]&gt;12,OFFSET(TblConstr[[#This Row],[Mas]],-12,0),0)+OFFSET(TblConstr[[#This Row],[Tot Mas]],-1,0)-TblConstr[[#This Row],[Dest Mas]]</f>
        <v>0</v>
      </c>
      <c r="BD101" s="190" cm="1">
        <f t="array" aca="1" ref="BD101" ca="1">IF(TblConstr[[#This Row],[Hour]:[Hour]]&gt;12,OFFSET(TblConstr[[#This Row],[Ly]],-12,0),0)+OFFSET(TblConstr[[#This Row],[Tot Ly]],-1,0)-TblConstr[[#This Row],[Dest Ly]]</f>
        <v>20</v>
      </c>
      <c r="BE101" s="190" cm="1">
        <f t="array" aca="1" ref="BE101" ca="1">IF(TblConstr[[#This Row],[Hour]:[Hour]]&gt;12,OFFSET(TblConstr[[#This Row],[Hav]],-12,0),0)+OFFSET(TblConstr[[#This Row],[Tot Hav]],-1,0)-TblConstr[[#This Row],[Dest Hav]]</f>
        <v>0</v>
      </c>
      <c r="BF101" s="361" cm="1">
        <f t="array" aca="1" ref="BF101" ca="1">IF(TblConstr[[#This Row],[Hour]:[Hour]]&gt;12,OFFSET(TblConstr[[#This Row],[OM]],-12,0),0)+OFFSET(TblConstr[[#This Row],[Tot OM]],-1,0)-TblConstr[[#This Row],[Dest OM]]</f>
        <v>0</v>
      </c>
      <c r="BG101" s="361" cm="1">
        <f t="array" aca="1" ref="BG101" ca="1">IF(TblConstr[[#This Row],[Hour]:[Hour]]&gt;12,OFFSET(TblConstr[[#This Row],[GN]],-12,0),0)+OFFSET(TblConstr[[#This Row],[Tot GN]],-1,0)-TblConstr[[#This Row],[Dest GN]]</f>
        <v>0</v>
      </c>
      <c r="BH101" s="365" cm="1">
        <f t="array" aca="1" ref="BH101" ca="1">IF(TblConstr[[#This Row],[Hour]:[Hour]]&gt;12,OFFSET(TblConstr[[#This Row],[Fac]],-12,0),0)+OFFSET(TblConstr[[#This Row],[Tot Fac]],-1,0)-TblConstr[[#This Row],[Dest Fac]]</f>
        <v>0</v>
      </c>
      <c r="BI101" s="365" cm="1">
        <f t="array" aca="1" ref="BI101" ca="1">IF(TblConstr[[#This Row],[Hour]:[Hour]]&gt;12,OFFSET(TblConstr[[#This Row],[GT]],-12,0),0)+OFFSET(TblConstr[[#This Row],[Tot GT]],-1,0)-TblConstr[[#This Row],[Dest GT]]</f>
        <v>0</v>
      </c>
      <c r="BJ101" s="365" cm="1">
        <f t="array" aca="1" ref="BJ101" ca="1">IF(TblConstr[[#This Row],[Hour]:[Hour]]&gt;12,OFFSET(TblConstr[[#This Row],[Bar]],-12,0),0)+OFFSET(TblConstr[[#This Row],[Tot Bar]],-1,0)-TblConstr[[#This Row],[Dest Bar]]</f>
        <v>0</v>
      </c>
      <c r="BK101" s="365" cm="1">
        <f t="array" aca="1" ref="BK101" ca="1">IF(TblConstr[[#This Row],[Hour]:[Hour]]&gt;12,OFFSET(TblConstr[[#This Row],[Shr]],-12,0),0)+OFFSET(TblConstr[[#This Row],[Tot Shr]],-1,0)-TblConstr[[#This Row],[Dest Shr]]</f>
        <v>0</v>
      </c>
      <c r="BL101" s="369" cm="1">
        <f t="array" aca="1" ref="BL101" ca="1">IF(TblConstr[[#This Row],[Hour]:[Hour]]&gt;12,OFFSET(TblConstr[[#This Row],[Tow]],-12,0),0)+OFFSET(TblConstr[[#This Row],[Tot Tow]],-1,0)-TblConstr[[#This Row],[Dest Tow]]</f>
        <v>0</v>
      </c>
      <c r="BM101" s="369" cm="1">
        <f t="array" aca="1" ref="BM101" ca="1">IF(TblConstr[[#This Row],[Hour]:[Hour]]&gt;12,OFFSET(TblConstr[[#This Row],[Tem]],-12,0),0)+OFFSET(TblConstr[[#This Row],[Tot Tem]],-1,0)-TblConstr[[#This Row],[Dest Tem]]</f>
        <v>0</v>
      </c>
      <c r="BN101" s="369" cm="1">
        <f t="array" aca="1" ref="BN101" ca="1">IF(TblConstr[[#This Row],[Hour]:[Hour]]&gt;12,OFFSET(TblConstr[[#This Row],[WG]],-12,0),0)+OFFSET(TblConstr[[#This Row],[Tot WG]],-1,0)-TblConstr[[#This Row],[Dest WG]]</f>
        <v>0</v>
      </c>
      <c r="BO101" s="191" cm="1">
        <f t="array" aca="1" ref="BO101" ca="1">IF(TblConstr[[#This Row],[Hour]:[Hour]]&gt;12,OFFSET(TblConstr[[#This Row],[DM]],-12,0),0)+OFFSET(TblConstr[[#This Row],[Tot DM]],-1,0)-TblConstr[[#This Row],[Dest DM]]</f>
        <v>0</v>
      </c>
      <c r="BP101" s="191" cm="1">
        <f t="array" aca="1" ref="BP101" ca="1">IF(TblConstr[[#This Row],[Hour]:[Hour]]&gt;12,OFFSET(TblConstr[[#This Row],[Sch]],-12,0),0)+OFFSET(TblConstr[[#This Row],[Tot Sch]],-1,0)-TblConstr[[#This Row],[Dest Sch]]</f>
        <v>0</v>
      </c>
      <c r="BQ101" s="192" cm="1">
        <f t="array" aca="1" ref="BQ101" ca="1">IF(TblConstr[[#This Row],[Hour]:[Hour]]&gt;12,OFFSET(TblConstr[[#This Row],[Doc]],-12,0),0)+OFFSET(TblConstr[[#This Row],[Tot Doc]],-1,0)-TblConstr[[#This Row],[Dest Doc]]</f>
        <v>0</v>
      </c>
      <c r="BR101" s="142"/>
      <c r="BS101" s="154"/>
      <c r="BT101" s="94">
        <f ca="1">TblConstr[[#This Row],[Land]]</f>
        <v>110</v>
      </c>
      <c r="BU101" s="159">
        <f ca="1">TblImps[[#This Row],[Time]]</f>
        <v>46051.041666666431</v>
      </c>
      <c r="BV101" s="142"/>
      <c r="BW101" s="179"/>
      <c r="BX101" s="179"/>
      <c r="BY101" s="179"/>
      <c r="BZ101" s="179"/>
      <c r="CA101" s="179"/>
      <c r="CB101" s="179"/>
      <c r="CC101" s="179"/>
      <c r="CD101" s="179"/>
      <c r="CE101" s="179"/>
      <c r="CF101" s="179"/>
      <c r="CG101" s="179"/>
      <c r="CH101" s="179"/>
      <c r="CI101" s="179"/>
      <c r="CJ101" s="179"/>
      <c r="CK101" s="179"/>
      <c r="CL101" s="179"/>
      <c r="CM101" s="179"/>
      <c r="CN101" s="179"/>
      <c r="CO101" s="179"/>
      <c r="CP101" s="142"/>
      <c r="CQ101" s="181">
        <f ca="1">-SUM(TblConstr[[#This Row],[Alc]:[Mas]])+SUM(TblConstr[[#This Row],[Dest Alc]:[Dest Mas]])+Rezone!L101+IF("Ch_"&amp; home_land=TblConstr[[#Headers],[Ch_Plain]],TblConstr[[#This Row],[Home Land]])+IF(TblConstr[[#This Row],[Hour]:[Hour]]&gt;12,OFFSET(TblExplore[[#This Row],[Plains Explore]],-12,0),0)</f>
        <v>0</v>
      </c>
      <c r="CR101" s="182">
        <f ca="1">-SUM(TblConstr[[#This Row],[Ly]:[Hav]])+SUM(TblConstr[[#This Row],[Dest Ly]:[Dest Hav]]) +Rezone!M101 + IF("Ch_"&amp; home_land=TblConstr[[#Headers],[Ch_Forest]],TblConstr[[#This Row],[Home Land]])+IF(TblConstr[[#This Row],[Hour]:[Hour]]&gt;12,OFFSET(TblExplore[[#This Row],[Forest Explore]],-12,0),0)</f>
        <v>0</v>
      </c>
      <c r="CS101" s="359">
        <f ca="1">-SUM(TblConstr[[#This Row],[OM]:[GN]])+SUM(TblConstr[[#This Row],[Dest OM]:[Dest GN]]) +Rezone!N101 + IF("Ch_"&amp; home_land=TblConstr[[#Headers],[Ch_Mountain]],TblConstr[[#This Row],[Home Land]])+IF(TblConstr[[#This Row],[Hour]:[Hour]]&gt;12,OFFSET(TblExplore[[#This Row],[Mountain Explore]],-12,0),0)</f>
        <v>0</v>
      </c>
      <c r="CT101" s="183">
        <f ca="1">-SUM(TblConstr[[#This Row],[Fac]:[Shr]])+SUM(TblConstr[[#This Row],[Dest Fac]:[Dest Shr]]) +Rezone!O101 + IF("Ch_" &amp; home_land=TblConstr[[#Headers],[Ch_Hill]],TblConstr[[#This Row],[Home Land]])+IF(TblConstr[[#This Row],[Hour]:[Hour]]&gt;12,OFFSET(TblExplore[[#This Row],[Hill Explore]],-12,0),0)</f>
        <v>0</v>
      </c>
      <c r="CU101" s="184">
        <f ca="1">-SUM(TblConstr[[#This Row],[Tow]:[WG]])+SUM(TblConstr[[#This Row],[Dest Tow]:[Dest WG]]) +Rezone!P101 + IF("Ch_" &amp; home_land=TblConstr[[#Headers],[Ch_Swamp]],TblConstr[[#This Row],[Home Land]])+IF(TblConstr[[#This Row],[Hour]:[Hour]]&gt;12,OFFSET(TblExplore[[#This Row],[Swamp Explore]],-12,0),0)</f>
        <v>0</v>
      </c>
      <c r="CV101" s="185">
        <f ca="1" xml:space="preserve"> - SUM(TblConstr[[#This Row],[DM]:[Sch]])+SUM(TblConstr[[#This Row],[Dest DM]:[Dest Sch]]) +Rezone!Q101 + IF("Ch_" &amp; home_land=TblConstr[[#Headers],[Ch_Cavern]],TblConstr[[#This Row],[Home Land]])+IF(TblConstr[[#This Row],[Hour]:[Hour]]&gt;12,OFFSET(TblExplore[[#This Row],[Cavern Explore]],-12,0),0)</f>
        <v>0</v>
      </c>
      <c r="CW101" s="186">
        <f ca="1">-TblConstr[[#This Row],[Doc]]+TblConstr[[#This Row],[Dest Doc]] +Rezone!R101 + IF("Ch_" &amp; home_land=TblConstr[[#Headers],[Ch_Water]],TblConstr[[#This Row],[Home Land]])+IF(TblConstr[[#This Row],[Hour]:[Hour]]&gt;12,OFFSET(TblExplore[[#This Row],[Water Explore]],-12,0),0)</f>
        <v>0</v>
      </c>
      <c r="CX101" s="45">
        <f>IF(Explore!S101=1,20) - TblConstr[[#This Row],[Hom]] + TblConstr[[#This Row],[Dest Hom]]</f>
        <v>0</v>
      </c>
      <c r="CY101" s="142"/>
      <c r="CZ101" s="94">
        <f t="shared" ca="1" si="23"/>
        <v>90</v>
      </c>
      <c r="DA101" s="94">
        <f t="shared" ca="1" si="24"/>
        <v>20</v>
      </c>
      <c r="DB101" s="45">
        <f t="shared" ca="1" si="25"/>
        <v>0</v>
      </c>
      <c r="DC101" s="94">
        <f t="shared" ca="1" si="26"/>
        <v>0</v>
      </c>
      <c r="DD101" s="94">
        <f t="shared" ca="1" si="27"/>
        <v>0</v>
      </c>
      <c r="DE101" s="45">
        <f t="shared" ca="1" si="28"/>
        <v>0</v>
      </c>
      <c r="DF101" s="94">
        <f t="shared" ca="1" si="29"/>
        <v>0</v>
      </c>
      <c r="DG101" s="94" cm="1">
        <f t="array" aca="1" ref="DG101" ca="1">INDEX(TblConstr[[Total Plain]:[Total Water]],ROW()-ROW(TblConstr[#Headers]),MATCH("Total "&amp;home_land,TblConstr[[#Headers],[Total Plain]:[Total Water]],0))+TblConstr[[#This Row],[Homes]]</f>
        <v>90</v>
      </c>
      <c r="DH101" s="45">
        <f t="shared" ca="1" si="22"/>
        <v>0</v>
      </c>
      <c r="DI101" s="45">
        <f t="shared" ca="1" si="19"/>
        <v>0</v>
      </c>
      <c r="DJ101" s="45">
        <f t="shared" ca="1" si="20"/>
        <v>0</v>
      </c>
    </row>
    <row r="102" spans="1:114" x14ac:dyDescent="0.2">
      <c r="A102" s="175">
        <f>TblRezone[[#This Row],[Hour]]</f>
        <v>99</v>
      </c>
      <c r="B102" s="176">
        <f ca="1">SUM(TblConstr[[#This Row],[Plain]:[Water]])</f>
        <v>60</v>
      </c>
      <c r="C102" s="177">
        <f ca="1">SUM(TblConstr[[#This Row],[Tot Hom]:[Tot Doc]])</f>
        <v>50</v>
      </c>
      <c r="D102" s="177">
        <f t="shared" si="21"/>
        <v>0</v>
      </c>
      <c r="E102" s="178"/>
      <c r="F102" s="61">
        <f ca="1">TblConstr[[#This Row],[Barren]]+TblConstr[[#This Row],[Buildings]]+TblConstr[[#This Row],[Incoming]]</f>
        <v>110</v>
      </c>
      <c r="G102" s="187">
        <f ca="1">OFFSET(TblConstr[[#This Row],[Plain]],-1,0)+TblConstr[[#This Row],[Ch_Plain]]</f>
        <v>60</v>
      </c>
      <c r="H102" s="182">
        <f ca="1">OFFSET(TblConstr[[#This Row],[Forest]],-1,0)+TblConstr[[#This Row],[Ch_Forest]]</f>
        <v>0</v>
      </c>
      <c r="I102" s="359">
        <f ca="1">OFFSET(TblConstr[[#This Row],[Mountain]],-1,0)+TblConstr[[#This Row],[Ch_Mountain]]</f>
        <v>0</v>
      </c>
      <c r="J102" s="363">
        <f ca="1">OFFSET(TblConstr[[#This Row],[Hill]],-1,0)+TblConstr[[#This Row],[Ch_Hill]]</f>
        <v>0</v>
      </c>
      <c r="K102" s="367">
        <f ca="1">OFFSET(TblConstr[[#This Row],[Swamp]],-1,0)+TblConstr[[#This Row],[Ch_Swamp]]</f>
        <v>0</v>
      </c>
      <c r="L102" s="185">
        <f ca="1">OFFSET(TblConstr[[#This Row],[Cavern]],-1,0)+TblConstr[[#This Row],[Ch_Cavern]]</f>
        <v>0</v>
      </c>
      <c r="M102" s="186">
        <f ca="1">OFFSET(TblConstr[[#This Row],[Water]],-1,0)+TblConstr[[#This Row],[Ch_Water]]</f>
        <v>0</v>
      </c>
      <c r="N102" s="357">
        <f>TblRezone[[#This Row],[Hour]]</f>
        <v>99</v>
      </c>
      <c r="O102" s="179"/>
      <c r="P102" s="179"/>
      <c r="Q102" s="179"/>
      <c r="R102" s="179"/>
      <c r="S102" s="179"/>
      <c r="T102" s="179"/>
      <c r="U102" s="179"/>
      <c r="V102" s="179"/>
      <c r="W102" s="179"/>
      <c r="X102" s="179"/>
      <c r="Y102" s="179"/>
      <c r="Z102" s="179"/>
      <c r="AA102" s="179"/>
      <c r="AB102" s="179"/>
      <c r="AC102" s="179"/>
      <c r="AD102" s="179"/>
      <c r="AE102" s="179"/>
      <c r="AF102" s="179"/>
      <c r="AG102" s="179"/>
      <c r="AH102" s="53">
        <f ca="1">TblImps[[#This Row],[Time]]</f>
        <v>46051.083333333096</v>
      </c>
      <c r="AI102" s="180">
        <f ca="1">MIN(25%,(TblConstr[[#This Row],[Tot Fac]]+TblConstr[[#This Row],[Dest Fac]])/(TblConstr[[#This Row],[Land]]-TblExplore[[#This Row],[Land Bonus]]*20))</f>
        <v>0</v>
      </c>
      <c r="AJ102" s="180">
        <f ca="1">MIN(25%,(TblConstr[[#This Row],[Tot Fac]]+TblConstr[[#This Row],[Dest Fac]])/TblConstr[[#This Row],[Land]])</f>
        <v>0</v>
      </c>
      <c r="AK102" s="94">
        <f ca="1">TblProd[[#This Row],[Platinum]]</f>
        <v>198814</v>
      </c>
      <c r="AL102" s="94">
        <f ca="1">TblProd[[#This Row],[Lumber]]</f>
        <v>68254</v>
      </c>
      <c r="AM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2" s="94">
        <f ca="1">ROUNDDOWN( MAX(1 - MIN(facs_constr_factor*TblConstr[[#This Row],[Facs -DB]],facs_constr_max) + tech_1_11*TblTech[[#This Row],[11-1]] + tech_6_3_2*TblTech[[#This Row],[6-3]] + tech_5_2_3*TblTech[[#This Row],[5-2]], 1-global_constr_cap) * TblConstr[[#This Row],[RCPA Lumber]],0)</f>
        <v>48</v>
      </c>
      <c r="AO10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2" s="94">
        <f ca="1">ROUNDDOWN( MAX(1 - MIN(facs_constr_factor*TblConstr[[#This Row],[Facs DB]],facs_constr_max) + tech_1_11*TblTech[[#This Row],[1-11]] + tech_6_3_2*TblTech[[#This Row],[6-3]] + tech_5_2_3*TblTech[[#This Row],[5-2]], 1-global_constr_cap) * ROUND((TblConstr[[#This Row],[Land]]-250)*0.285 + 87.5 + 0/4.25,0),0)</f>
        <v>48</v>
      </c>
      <c r="AQ102" s="45">
        <f ca="1">TblConstr[[#This Row],[build -db]]*TblConstr[[#This Row],[CPA Platinum -DB]] + TblConstr[[#This Row],[build db]]*TblConstr[[#This Row],[CPA Platinum DB]]</f>
        <v>0</v>
      </c>
      <c r="AR102" s="45">
        <f ca="1">TblConstr[[#This Row],[build -db]]*TblConstr[[#This Row],[CPA Lumber -DB]] + TblConstr[[#This Row],[build db]]*TblConstr[[#This Row],[CPA Lumber DB]]</f>
        <v>0</v>
      </c>
      <c r="AS102" s="94">
        <f ca="1">MIN(SUM(OFFSET(TblConstr[[#This Row],[Plain]:[Water]],-1,0))+SUM(TblConstr[[#This Row],[Dest Hom]:[Dest Doc]])+IF(TblConstr[[#This Row],[Hour]]&gt;12,SUM(OFFSET(TblExplore[[#This Row],[Plains Explore]:[Water Explore]],-12,0)),0),SUM(TblConstr[[#This Row],[Hom]:[Doc]]))</f>
        <v>0</v>
      </c>
      <c r="AT10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2" s="142"/>
      <c r="AV102" s="94">
        <f ca="1">ROUND((TblConstr[[#This Row],[Land]]-250 - IF(TblExplore[[#This Row],[Land Bonus]]&lt;&gt;0,20,0))*1.25 + 850 + 0,0)</f>
        <v>675</v>
      </c>
      <c r="AW102" s="94">
        <f ca="1">ROUND((TblConstr[[#This Row],[Land]]-250 - IF(TblExplore[[#This Row],[Land Bonus]]&lt;&gt;0,20,0))*0.285 + 87.5 + 0/4.25,0)</f>
        <v>48</v>
      </c>
      <c r="AX102" s="154"/>
      <c r="AY102" s="188" cm="1">
        <f t="array" aca="1" ref="AY102" ca="1">IF(TblConstr[[#This Row],[Hour]:[Hour]]&gt;12,OFFSET(TblConstr[[#This Row],[Hom]],-12,0),0)+OFFSET(TblConstr[[#This Row],[Tot Hom]],-1,0)-TblConstr[[#This Row],[Dest Hom]]</f>
        <v>0</v>
      </c>
      <c r="AZ102" s="189" cm="1">
        <f t="array" aca="1" ref="AZ102" ca="1">IF(TblConstr[[#This Row],[Hour]:[Hour]]&gt;12,OFFSET(TblConstr[[#This Row],[Alc]],-12,0),0)+OFFSET(TblConstr[[#This Row],[Tot Alc]],-1,0)-TblConstr[[#This Row],[Dest Alc]]</f>
        <v>0</v>
      </c>
      <c r="BA102" s="189" cm="1">
        <f t="array" aca="1" ref="BA102" ca="1">IF(TblConstr[[#This Row],[Hour]:[Hour]]&gt;12,OFFSET(TblConstr[[#This Row],[Far]],-12,0),0)+OFFSET(TblConstr[[#This Row],[Tot Farm]],-1,0)-TblConstr[[#This Row],[Dest Farm]]</f>
        <v>30</v>
      </c>
      <c r="BB102" s="189" cm="1">
        <f t="array" aca="1" ref="BB102" ca="1">IF(TblConstr[[#This Row],[Hour]:[Hour]]&gt;12,OFFSET(TblConstr[[#This Row],[Smi]],-12,0),0)+OFFSET(TblConstr[[#This Row],[Tot Smi]],-1,0)-TblConstr[[#This Row],[Dest Smi]]</f>
        <v>0</v>
      </c>
      <c r="BC102" s="189" cm="1">
        <f t="array" aca="1" ref="BC102" ca="1">IF(TblConstr[[#This Row],[Hour]:[Hour]]&gt;12,OFFSET(TblConstr[[#This Row],[Mas]],-12,0),0)+OFFSET(TblConstr[[#This Row],[Tot Mas]],-1,0)-TblConstr[[#This Row],[Dest Mas]]</f>
        <v>0</v>
      </c>
      <c r="BD102" s="190" cm="1">
        <f t="array" aca="1" ref="BD102" ca="1">IF(TblConstr[[#This Row],[Hour]:[Hour]]&gt;12,OFFSET(TblConstr[[#This Row],[Ly]],-12,0),0)+OFFSET(TblConstr[[#This Row],[Tot Ly]],-1,0)-TblConstr[[#This Row],[Dest Ly]]</f>
        <v>20</v>
      </c>
      <c r="BE102" s="190" cm="1">
        <f t="array" aca="1" ref="BE102" ca="1">IF(TblConstr[[#This Row],[Hour]:[Hour]]&gt;12,OFFSET(TblConstr[[#This Row],[Hav]],-12,0),0)+OFFSET(TblConstr[[#This Row],[Tot Hav]],-1,0)-TblConstr[[#This Row],[Dest Hav]]</f>
        <v>0</v>
      </c>
      <c r="BF102" s="361" cm="1">
        <f t="array" aca="1" ref="BF102" ca="1">IF(TblConstr[[#This Row],[Hour]:[Hour]]&gt;12,OFFSET(TblConstr[[#This Row],[OM]],-12,0),0)+OFFSET(TblConstr[[#This Row],[Tot OM]],-1,0)-TblConstr[[#This Row],[Dest OM]]</f>
        <v>0</v>
      </c>
      <c r="BG102" s="361" cm="1">
        <f t="array" aca="1" ref="BG102" ca="1">IF(TblConstr[[#This Row],[Hour]:[Hour]]&gt;12,OFFSET(TblConstr[[#This Row],[GN]],-12,0),0)+OFFSET(TblConstr[[#This Row],[Tot GN]],-1,0)-TblConstr[[#This Row],[Dest GN]]</f>
        <v>0</v>
      </c>
      <c r="BH102" s="365" cm="1">
        <f t="array" aca="1" ref="BH102" ca="1">IF(TblConstr[[#This Row],[Hour]:[Hour]]&gt;12,OFFSET(TblConstr[[#This Row],[Fac]],-12,0),0)+OFFSET(TblConstr[[#This Row],[Tot Fac]],-1,0)-TblConstr[[#This Row],[Dest Fac]]</f>
        <v>0</v>
      </c>
      <c r="BI102" s="365" cm="1">
        <f t="array" aca="1" ref="BI102" ca="1">IF(TblConstr[[#This Row],[Hour]:[Hour]]&gt;12,OFFSET(TblConstr[[#This Row],[GT]],-12,0),0)+OFFSET(TblConstr[[#This Row],[Tot GT]],-1,0)-TblConstr[[#This Row],[Dest GT]]</f>
        <v>0</v>
      </c>
      <c r="BJ102" s="365" cm="1">
        <f t="array" aca="1" ref="BJ102" ca="1">IF(TblConstr[[#This Row],[Hour]:[Hour]]&gt;12,OFFSET(TblConstr[[#This Row],[Bar]],-12,0),0)+OFFSET(TblConstr[[#This Row],[Tot Bar]],-1,0)-TblConstr[[#This Row],[Dest Bar]]</f>
        <v>0</v>
      </c>
      <c r="BK102" s="365" cm="1">
        <f t="array" aca="1" ref="BK102" ca="1">IF(TblConstr[[#This Row],[Hour]:[Hour]]&gt;12,OFFSET(TblConstr[[#This Row],[Shr]],-12,0),0)+OFFSET(TblConstr[[#This Row],[Tot Shr]],-1,0)-TblConstr[[#This Row],[Dest Shr]]</f>
        <v>0</v>
      </c>
      <c r="BL102" s="369" cm="1">
        <f t="array" aca="1" ref="BL102" ca="1">IF(TblConstr[[#This Row],[Hour]:[Hour]]&gt;12,OFFSET(TblConstr[[#This Row],[Tow]],-12,0),0)+OFFSET(TblConstr[[#This Row],[Tot Tow]],-1,0)-TblConstr[[#This Row],[Dest Tow]]</f>
        <v>0</v>
      </c>
      <c r="BM102" s="369" cm="1">
        <f t="array" aca="1" ref="BM102" ca="1">IF(TblConstr[[#This Row],[Hour]:[Hour]]&gt;12,OFFSET(TblConstr[[#This Row],[Tem]],-12,0),0)+OFFSET(TblConstr[[#This Row],[Tot Tem]],-1,0)-TblConstr[[#This Row],[Dest Tem]]</f>
        <v>0</v>
      </c>
      <c r="BN102" s="369" cm="1">
        <f t="array" aca="1" ref="BN102" ca="1">IF(TblConstr[[#This Row],[Hour]:[Hour]]&gt;12,OFFSET(TblConstr[[#This Row],[WG]],-12,0),0)+OFFSET(TblConstr[[#This Row],[Tot WG]],-1,0)-TblConstr[[#This Row],[Dest WG]]</f>
        <v>0</v>
      </c>
      <c r="BO102" s="191" cm="1">
        <f t="array" aca="1" ref="BO102" ca="1">IF(TblConstr[[#This Row],[Hour]:[Hour]]&gt;12,OFFSET(TblConstr[[#This Row],[DM]],-12,0),0)+OFFSET(TblConstr[[#This Row],[Tot DM]],-1,0)-TblConstr[[#This Row],[Dest DM]]</f>
        <v>0</v>
      </c>
      <c r="BP102" s="191" cm="1">
        <f t="array" aca="1" ref="BP102" ca="1">IF(TblConstr[[#This Row],[Hour]:[Hour]]&gt;12,OFFSET(TblConstr[[#This Row],[Sch]],-12,0),0)+OFFSET(TblConstr[[#This Row],[Tot Sch]],-1,0)-TblConstr[[#This Row],[Dest Sch]]</f>
        <v>0</v>
      </c>
      <c r="BQ102" s="192" cm="1">
        <f t="array" aca="1" ref="BQ102" ca="1">IF(TblConstr[[#This Row],[Hour]:[Hour]]&gt;12,OFFSET(TblConstr[[#This Row],[Doc]],-12,0),0)+OFFSET(TblConstr[[#This Row],[Tot Doc]],-1,0)-TblConstr[[#This Row],[Dest Doc]]</f>
        <v>0</v>
      </c>
      <c r="BR102" s="142"/>
      <c r="BS102" s="154"/>
      <c r="BT102" s="94">
        <f ca="1">TblConstr[[#This Row],[Land]]</f>
        <v>110</v>
      </c>
      <c r="BU102" s="159">
        <f ca="1">TblImps[[#This Row],[Time]]</f>
        <v>46051.083333333096</v>
      </c>
      <c r="BV102" s="142"/>
      <c r="BW102" s="179"/>
      <c r="BX102" s="179"/>
      <c r="BY102" s="179"/>
      <c r="BZ102" s="179"/>
      <c r="CA102" s="179"/>
      <c r="CB102" s="179"/>
      <c r="CC102" s="179"/>
      <c r="CD102" s="179"/>
      <c r="CE102" s="179"/>
      <c r="CF102" s="179"/>
      <c r="CG102" s="179"/>
      <c r="CH102" s="179"/>
      <c r="CI102" s="179"/>
      <c r="CJ102" s="179"/>
      <c r="CK102" s="179"/>
      <c r="CL102" s="179"/>
      <c r="CM102" s="179"/>
      <c r="CN102" s="179"/>
      <c r="CO102" s="179"/>
      <c r="CP102" s="142"/>
      <c r="CQ102" s="181">
        <f ca="1">-SUM(TblConstr[[#This Row],[Alc]:[Mas]])+SUM(TblConstr[[#This Row],[Dest Alc]:[Dest Mas]])+Rezone!L102+IF("Ch_"&amp; home_land=TblConstr[[#Headers],[Ch_Plain]],TblConstr[[#This Row],[Home Land]])+IF(TblConstr[[#This Row],[Hour]:[Hour]]&gt;12,OFFSET(TblExplore[[#This Row],[Plains Explore]],-12,0),0)</f>
        <v>0</v>
      </c>
      <c r="CR102" s="182">
        <f ca="1">-SUM(TblConstr[[#This Row],[Ly]:[Hav]])+SUM(TblConstr[[#This Row],[Dest Ly]:[Dest Hav]]) +Rezone!M102 + IF("Ch_"&amp; home_land=TblConstr[[#Headers],[Ch_Forest]],TblConstr[[#This Row],[Home Land]])+IF(TblConstr[[#This Row],[Hour]:[Hour]]&gt;12,OFFSET(TblExplore[[#This Row],[Forest Explore]],-12,0),0)</f>
        <v>0</v>
      </c>
      <c r="CS102" s="359">
        <f ca="1">-SUM(TblConstr[[#This Row],[OM]:[GN]])+SUM(TblConstr[[#This Row],[Dest OM]:[Dest GN]]) +Rezone!N102 + IF("Ch_"&amp; home_land=TblConstr[[#Headers],[Ch_Mountain]],TblConstr[[#This Row],[Home Land]])+IF(TblConstr[[#This Row],[Hour]:[Hour]]&gt;12,OFFSET(TblExplore[[#This Row],[Mountain Explore]],-12,0),0)</f>
        <v>0</v>
      </c>
      <c r="CT102" s="183">
        <f ca="1">-SUM(TblConstr[[#This Row],[Fac]:[Shr]])+SUM(TblConstr[[#This Row],[Dest Fac]:[Dest Shr]]) +Rezone!O102 + IF("Ch_" &amp; home_land=TblConstr[[#Headers],[Ch_Hill]],TblConstr[[#This Row],[Home Land]])+IF(TblConstr[[#This Row],[Hour]:[Hour]]&gt;12,OFFSET(TblExplore[[#This Row],[Hill Explore]],-12,0),0)</f>
        <v>0</v>
      </c>
      <c r="CU102" s="184">
        <f ca="1">-SUM(TblConstr[[#This Row],[Tow]:[WG]])+SUM(TblConstr[[#This Row],[Dest Tow]:[Dest WG]]) +Rezone!P102 + IF("Ch_" &amp; home_land=TblConstr[[#Headers],[Ch_Swamp]],TblConstr[[#This Row],[Home Land]])+IF(TblConstr[[#This Row],[Hour]:[Hour]]&gt;12,OFFSET(TblExplore[[#This Row],[Swamp Explore]],-12,0),0)</f>
        <v>0</v>
      </c>
      <c r="CV102" s="185">
        <f ca="1" xml:space="preserve"> - SUM(TblConstr[[#This Row],[DM]:[Sch]])+SUM(TblConstr[[#This Row],[Dest DM]:[Dest Sch]]) +Rezone!Q102 + IF("Ch_" &amp; home_land=TblConstr[[#Headers],[Ch_Cavern]],TblConstr[[#This Row],[Home Land]])+IF(TblConstr[[#This Row],[Hour]:[Hour]]&gt;12,OFFSET(TblExplore[[#This Row],[Cavern Explore]],-12,0),0)</f>
        <v>0</v>
      </c>
      <c r="CW102" s="186">
        <f ca="1">-TblConstr[[#This Row],[Doc]]+TblConstr[[#This Row],[Dest Doc]] +Rezone!R102 + IF("Ch_" &amp; home_land=TblConstr[[#Headers],[Ch_Water]],TblConstr[[#This Row],[Home Land]])+IF(TblConstr[[#This Row],[Hour]:[Hour]]&gt;12,OFFSET(TblExplore[[#This Row],[Water Explore]],-12,0),0)</f>
        <v>0</v>
      </c>
      <c r="CX102" s="45">
        <f>IF(Explore!S102=1,20) - TblConstr[[#This Row],[Hom]] + TblConstr[[#This Row],[Dest Hom]]</f>
        <v>0</v>
      </c>
      <c r="CY102" s="142"/>
      <c r="CZ102" s="94">
        <f t="shared" ca="1" si="23"/>
        <v>90</v>
      </c>
      <c r="DA102" s="94">
        <f t="shared" ca="1" si="24"/>
        <v>20</v>
      </c>
      <c r="DB102" s="45">
        <f t="shared" ca="1" si="25"/>
        <v>0</v>
      </c>
      <c r="DC102" s="94">
        <f t="shared" ca="1" si="26"/>
        <v>0</v>
      </c>
      <c r="DD102" s="94">
        <f t="shared" ca="1" si="27"/>
        <v>0</v>
      </c>
      <c r="DE102" s="45">
        <f t="shared" ca="1" si="28"/>
        <v>0</v>
      </c>
      <c r="DF102" s="94">
        <f t="shared" ca="1" si="29"/>
        <v>0</v>
      </c>
      <c r="DG102" s="94" cm="1">
        <f t="array" aca="1" ref="DG102" ca="1">INDEX(TblConstr[[Total Plain]:[Total Water]],ROW()-ROW(TblConstr[#Headers]),MATCH("Total "&amp;home_land,TblConstr[[#Headers],[Total Plain]:[Total Water]],0))+TblConstr[[#This Row],[Homes]]</f>
        <v>90</v>
      </c>
      <c r="DH102" s="45">
        <f t="shared" ca="1" si="22"/>
        <v>0</v>
      </c>
      <c r="DI102" s="45">
        <f t="shared" ca="1" si="19"/>
        <v>0</v>
      </c>
      <c r="DJ102" s="45">
        <f t="shared" ca="1" si="20"/>
        <v>0</v>
      </c>
    </row>
    <row r="103" spans="1:114" x14ac:dyDescent="0.2">
      <c r="A103" s="175">
        <f>TblRezone[[#This Row],[Hour]]</f>
        <v>100</v>
      </c>
      <c r="B103" s="176">
        <f ca="1">SUM(TblConstr[[#This Row],[Plain]:[Water]])</f>
        <v>60</v>
      </c>
      <c r="C103" s="177">
        <f ca="1">SUM(TblConstr[[#This Row],[Tot Hom]:[Tot Doc]])</f>
        <v>50</v>
      </c>
      <c r="D103" s="177">
        <f t="shared" si="21"/>
        <v>0</v>
      </c>
      <c r="E103" s="178"/>
      <c r="F103" s="61">
        <f ca="1">TblConstr[[#This Row],[Barren]]+TblConstr[[#This Row],[Buildings]]+TblConstr[[#This Row],[Incoming]]</f>
        <v>110</v>
      </c>
      <c r="G103" s="187">
        <f ca="1">OFFSET(TblConstr[[#This Row],[Plain]],-1,0)+TblConstr[[#This Row],[Ch_Plain]]</f>
        <v>60</v>
      </c>
      <c r="H103" s="182">
        <f ca="1">OFFSET(TblConstr[[#This Row],[Forest]],-1,0)+TblConstr[[#This Row],[Ch_Forest]]</f>
        <v>0</v>
      </c>
      <c r="I103" s="359">
        <f ca="1">OFFSET(TblConstr[[#This Row],[Mountain]],-1,0)+TblConstr[[#This Row],[Ch_Mountain]]</f>
        <v>0</v>
      </c>
      <c r="J103" s="363">
        <f ca="1">OFFSET(TblConstr[[#This Row],[Hill]],-1,0)+TblConstr[[#This Row],[Ch_Hill]]</f>
        <v>0</v>
      </c>
      <c r="K103" s="367">
        <f ca="1">OFFSET(TblConstr[[#This Row],[Swamp]],-1,0)+TblConstr[[#This Row],[Ch_Swamp]]</f>
        <v>0</v>
      </c>
      <c r="L103" s="185">
        <f ca="1">OFFSET(TblConstr[[#This Row],[Cavern]],-1,0)+TblConstr[[#This Row],[Ch_Cavern]]</f>
        <v>0</v>
      </c>
      <c r="M103" s="186">
        <f ca="1">OFFSET(TblConstr[[#This Row],[Water]],-1,0)+TblConstr[[#This Row],[Ch_Water]]</f>
        <v>0</v>
      </c>
      <c r="N103" s="357">
        <f>TblRezone[[#This Row],[Hour]]</f>
        <v>100</v>
      </c>
      <c r="O103" s="179"/>
      <c r="P103" s="179"/>
      <c r="Q103" s="179"/>
      <c r="R103" s="179"/>
      <c r="S103" s="179"/>
      <c r="T103" s="179"/>
      <c r="U103" s="179"/>
      <c r="V103" s="179"/>
      <c r="W103" s="179"/>
      <c r="X103" s="179"/>
      <c r="Y103" s="179"/>
      <c r="Z103" s="179"/>
      <c r="AA103" s="179"/>
      <c r="AB103" s="179"/>
      <c r="AC103" s="179"/>
      <c r="AD103" s="179"/>
      <c r="AE103" s="179"/>
      <c r="AF103" s="179"/>
      <c r="AG103" s="179"/>
      <c r="AH103" s="53">
        <f ca="1">TblImps[[#This Row],[Time]]</f>
        <v>46051.12499999976</v>
      </c>
      <c r="AI103" s="180">
        <f ca="1">MIN(25%,(TblConstr[[#This Row],[Tot Fac]]+TblConstr[[#This Row],[Dest Fac]])/(TblConstr[[#This Row],[Land]]-TblExplore[[#This Row],[Land Bonus]]*20))</f>
        <v>0</v>
      </c>
      <c r="AJ103" s="180">
        <f ca="1">MIN(25%,(TblConstr[[#This Row],[Tot Fac]]+TblConstr[[#This Row],[Dest Fac]])/TblConstr[[#This Row],[Land]])</f>
        <v>0</v>
      </c>
      <c r="AK103" s="94">
        <f ca="1">TblProd[[#This Row],[Platinum]]</f>
        <v>199826</v>
      </c>
      <c r="AL103" s="94">
        <f ca="1">TblProd[[#This Row],[Lumber]]</f>
        <v>68571</v>
      </c>
      <c r="AM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3" s="94">
        <f ca="1">ROUNDDOWN( MAX(1 - MIN(facs_constr_factor*TblConstr[[#This Row],[Facs -DB]],facs_constr_max) + tech_1_11*TblTech[[#This Row],[11-1]] + tech_6_3_2*TblTech[[#This Row],[6-3]] + tech_5_2_3*TblTech[[#This Row],[5-2]], 1-global_constr_cap) * TblConstr[[#This Row],[RCPA Lumber]],0)</f>
        <v>48</v>
      </c>
      <c r="AO10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3" s="94">
        <f ca="1">ROUNDDOWN( MAX(1 - MIN(facs_constr_factor*TblConstr[[#This Row],[Facs DB]],facs_constr_max) + tech_1_11*TblTech[[#This Row],[1-11]] + tech_6_3_2*TblTech[[#This Row],[6-3]] + tech_5_2_3*TblTech[[#This Row],[5-2]], 1-global_constr_cap) * ROUND((TblConstr[[#This Row],[Land]]-250)*0.285 + 87.5 + 0/4.25,0),0)</f>
        <v>48</v>
      </c>
      <c r="AQ103" s="45">
        <f ca="1">TblConstr[[#This Row],[build -db]]*TblConstr[[#This Row],[CPA Platinum -DB]] + TblConstr[[#This Row],[build db]]*TblConstr[[#This Row],[CPA Platinum DB]]</f>
        <v>0</v>
      </c>
      <c r="AR103" s="45">
        <f ca="1">TblConstr[[#This Row],[build -db]]*TblConstr[[#This Row],[CPA Lumber -DB]] + TblConstr[[#This Row],[build db]]*TblConstr[[#This Row],[CPA Lumber DB]]</f>
        <v>0</v>
      </c>
      <c r="AS103" s="94">
        <f ca="1">MIN(SUM(OFFSET(TblConstr[[#This Row],[Plain]:[Water]],-1,0))+SUM(TblConstr[[#This Row],[Dest Hom]:[Dest Doc]])+IF(TblConstr[[#This Row],[Hour]]&gt;12,SUM(OFFSET(TblExplore[[#This Row],[Plains Explore]:[Water Explore]],-12,0)),0),SUM(TblConstr[[#This Row],[Hom]:[Doc]]))</f>
        <v>0</v>
      </c>
      <c r="AT10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3" s="142"/>
      <c r="AV103" s="94">
        <f ca="1">ROUND((TblConstr[[#This Row],[Land]]-250 - IF(TblExplore[[#This Row],[Land Bonus]]&lt;&gt;0,20,0))*1.25 + 850 + 0,0)</f>
        <v>675</v>
      </c>
      <c r="AW103" s="94">
        <f ca="1">ROUND((TblConstr[[#This Row],[Land]]-250 - IF(TblExplore[[#This Row],[Land Bonus]]&lt;&gt;0,20,0))*0.285 + 87.5 + 0/4.25,0)</f>
        <v>48</v>
      </c>
      <c r="AX103" s="154"/>
      <c r="AY103" s="188" cm="1">
        <f t="array" aca="1" ref="AY103" ca="1">IF(TblConstr[[#This Row],[Hour]:[Hour]]&gt;12,OFFSET(TblConstr[[#This Row],[Hom]],-12,0),0)+OFFSET(TblConstr[[#This Row],[Tot Hom]],-1,0)-TblConstr[[#This Row],[Dest Hom]]</f>
        <v>0</v>
      </c>
      <c r="AZ103" s="189" cm="1">
        <f t="array" aca="1" ref="AZ103" ca="1">IF(TblConstr[[#This Row],[Hour]:[Hour]]&gt;12,OFFSET(TblConstr[[#This Row],[Alc]],-12,0),0)+OFFSET(TblConstr[[#This Row],[Tot Alc]],-1,0)-TblConstr[[#This Row],[Dest Alc]]</f>
        <v>0</v>
      </c>
      <c r="BA103" s="189" cm="1">
        <f t="array" aca="1" ref="BA103" ca="1">IF(TblConstr[[#This Row],[Hour]:[Hour]]&gt;12,OFFSET(TblConstr[[#This Row],[Far]],-12,0),0)+OFFSET(TblConstr[[#This Row],[Tot Farm]],-1,0)-TblConstr[[#This Row],[Dest Farm]]</f>
        <v>30</v>
      </c>
      <c r="BB103" s="189" cm="1">
        <f t="array" aca="1" ref="BB103" ca="1">IF(TblConstr[[#This Row],[Hour]:[Hour]]&gt;12,OFFSET(TblConstr[[#This Row],[Smi]],-12,0),0)+OFFSET(TblConstr[[#This Row],[Tot Smi]],-1,0)-TblConstr[[#This Row],[Dest Smi]]</f>
        <v>0</v>
      </c>
      <c r="BC103" s="189" cm="1">
        <f t="array" aca="1" ref="BC103" ca="1">IF(TblConstr[[#This Row],[Hour]:[Hour]]&gt;12,OFFSET(TblConstr[[#This Row],[Mas]],-12,0),0)+OFFSET(TblConstr[[#This Row],[Tot Mas]],-1,0)-TblConstr[[#This Row],[Dest Mas]]</f>
        <v>0</v>
      </c>
      <c r="BD103" s="190" cm="1">
        <f t="array" aca="1" ref="BD103" ca="1">IF(TblConstr[[#This Row],[Hour]:[Hour]]&gt;12,OFFSET(TblConstr[[#This Row],[Ly]],-12,0),0)+OFFSET(TblConstr[[#This Row],[Tot Ly]],-1,0)-TblConstr[[#This Row],[Dest Ly]]</f>
        <v>20</v>
      </c>
      <c r="BE103" s="190" cm="1">
        <f t="array" aca="1" ref="BE103" ca="1">IF(TblConstr[[#This Row],[Hour]:[Hour]]&gt;12,OFFSET(TblConstr[[#This Row],[Hav]],-12,0),0)+OFFSET(TblConstr[[#This Row],[Tot Hav]],-1,0)-TblConstr[[#This Row],[Dest Hav]]</f>
        <v>0</v>
      </c>
      <c r="BF103" s="361" cm="1">
        <f t="array" aca="1" ref="BF103" ca="1">IF(TblConstr[[#This Row],[Hour]:[Hour]]&gt;12,OFFSET(TblConstr[[#This Row],[OM]],-12,0),0)+OFFSET(TblConstr[[#This Row],[Tot OM]],-1,0)-TblConstr[[#This Row],[Dest OM]]</f>
        <v>0</v>
      </c>
      <c r="BG103" s="361" cm="1">
        <f t="array" aca="1" ref="BG103" ca="1">IF(TblConstr[[#This Row],[Hour]:[Hour]]&gt;12,OFFSET(TblConstr[[#This Row],[GN]],-12,0),0)+OFFSET(TblConstr[[#This Row],[Tot GN]],-1,0)-TblConstr[[#This Row],[Dest GN]]</f>
        <v>0</v>
      </c>
      <c r="BH103" s="365" cm="1">
        <f t="array" aca="1" ref="BH103" ca="1">IF(TblConstr[[#This Row],[Hour]:[Hour]]&gt;12,OFFSET(TblConstr[[#This Row],[Fac]],-12,0),0)+OFFSET(TblConstr[[#This Row],[Tot Fac]],-1,0)-TblConstr[[#This Row],[Dest Fac]]</f>
        <v>0</v>
      </c>
      <c r="BI103" s="365" cm="1">
        <f t="array" aca="1" ref="BI103" ca="1">IF(TblConstr[[#This Row],[Hour]:[Hour]]&gt;12,OFFSET(TblConstr[[#This Row],[GT]],-12,0),0)+OFFSET(TblConstr[[#This Row],[Tot GT]],-1,0)-TblConstr[[#This Row],[Dest GT]]</f>
        <v>0</v>
      </c>
      <c r="BJ103" s="365" cm="1">
        <f t="array" aca="1" ref="BJ103" ca="1">IF(TblConstr[[#This Row],[Hour]:[Hour]]&gt;12,OFFSET(TblConstr[[#This Row],[Bar]],-12,0),0)+OFFSET(TblConstr[[#This Row],[Tot Bar]],-1,0)-TblConstr[[#This Row],[Dest Bar]]</f>
        <v>0</v>
      </c>
      <c r="BK103" s="365" cm="1">
        <f t="array" aca="1" ref="BK103" ca="1">IF(TblConstr[[#This Row],[Hour]:[Hour]]&gt;12,OFFSET(TblConstr[[#This Row],[Shr]],-12,0),0)+OFFSET(TblConstr[[#This Row],[Tot Shr]],-1,0)-TblConstr[[#This Row],[Dest Shr]]</f>
        <v>0</v>
      </c>
      <c r="BL103" s="369" cm="1">
        <f t="array" aca="1" ref="BL103" ca="1">IF(TblConstr[[#This Row],[Hour]:[Hour]]&gt;12,OFFSET(TblConstr[[#This Row],[Tow]],-12,0),0)+OFFSET(TblConstr[[#This Row],[Tot Tow]],-1,0)-TblConstr[[#This Row],[Dest Tow]]</f>
        <v>0</v>
      </c>
      <c r="BM103" s="369" cm="1">
        <f t="array" aca="1" ref="BM103" ca="1">IF(TblConstr[[#This Row],[Hour]:[Hour]]&gt;12,OFFSET(TblConstr[[#This Row],[Tem]],-12,0),0)+OFFSET(TblConstr[[#This Row],[Tot Tem]],-1,0)-TblConstr[[#This Row],[Dest Tem]]</f>
        <v>0</v>
      </c>
      <c r="BN103" s="369" cm="1">
        <f t="array" aca="1" ref="BN103" ca="1">IF(TblConstr[[#This Row],[Hour]:[Hour]]&gt;12,OFFSET(TblConstr[[#This Row],[WG]],-12,0),0)+OFFSET(TblConstr[[#This Row],[Tot WG]],-1,0)-TblConstr[[#This Row],[Dest WG]]</f>
        <v>0</v>
      </c>
      <c r="BO103" s="191" cm="1">
        <f t="array" aca="1" ref="BO103" ca="1">IF(TblConstr[[#This Row],[Hour]:[Hour]]&gt;12,OFFSET(TblConstr[[#This Row],[DM]],-12,0),0)+OFFSET(TblConstr[[#This Row],[Tot DM]],-1,0)-TblConstr[[#This Row],[Dest DM]]</f>
        <v>0</v>
      </c>
      <c r="BP103" s="191" cm="1">
        <f t="array" aca="1" ref="BP103" ca="1">IF(TblConstr[[#This Row],[Hour]:[Hour]]&gt;12,OFFSET(TblConstr[[#This Row],[Sch]],-12,0),0)+OFFSET(TblConstr[[#This Row],[Tot Sch]],-1,0)-TblConstr[[#This Row],[Dest Sch]]</f>
        <v>0</v>
      </c>
      <c r="BQ103" s="192" cm="1">
        <f t="array" aca="1" ref="BQ103" ca="1">IF(TblConstr[[#This Row],[Hour]:[Hour]]&gt;12,OFFSET(TblConstr[[#This Row],[Doc]],-12,0),0)+OFFSET(TblConstr[[#This Row],[Tot Doc]],-1,0)-TblConstr[[#This Row],[Dest Doc]]</f>
        <v>0</v>
      </c>
      <c r="BR103" s="142"/>
      <c r="BS103" s="154"/>
      <c r="BT103" s="94">
        <f ca="1">TblConstr[[#This Row],[Land]]</f>
        <v>110</v>
      </c>
      <c r="BU103" s="159">
        <f ca="1">TblImps[[#This Row],[Time]]</f>
        <v>46051.12499999976</v>
      </c>
      <c r="BV103" s="142"/>
      <c r="BW103" s="179"/>
      <c r="BX103" s="179"/>
      <c r="BY103" s="179"/>
      <c r="BZ103" s="179"/>
      <c r="CA103" s="179"/>
      <c r="CB103" s="179"/>
      <c r="CC103" s="179"/>
      <c r="CD103" s="179"/>
      <c r="CE103" s="179"/>
      <c r="CF103" s="179"/>
      <c r="CG103" s="179"/>
      <c r="CH103" s="179"/>
      <c r="CI103" s="179"/>
      <c r="CJ103" s="179"/>
      <c r="CK103" s="179"/>
      <c r="CL103" s="179"/>
      <c r="CM103" s="179"/>
      <c r="CN103" s="179"/>
      <c r="CO103" s="179"/>
      <c r="CP103" s="142"/>
      <c r="CQ103" s="181">
        <f ca="1">-SUM(TblConstr[[#This Row],[Alc]:[Mas]])+SUM(TblConstr[[#This Row],[Dest Alc]:[Dest Mas]])+Rezone!L103+IF("Ch_"&amp; home_land=TblConstr[[#Headers],[Ch_Plain]],TblConstr[[#This Row],[Home Land]])+IF(TblConstr[[#This Row],[Hour]:[Hour]]&gt;12,OFFSET(TblExplore[[#This Row],[Plains Explore]],-12,0),0)</f>
        <v>0</v>
      </c>
      <c r="CR103" s="182">
        <f ca="1">-SUM(TblConstr[[#This Row],[Ly]:[Hav]])+SUM(TblConstr[[#This Row],[Dest Ly]:[Dest Hav]]) +Rezone!M103 + IF("Ch_"&amp; home_land=TblConstr[[#Headers],[Ch_Forest]],TblConstr[[#This Row],[Home Land]])+IF(TblConstr[[#This Row],[Hour]:[Hour]]&gt;12,OFFSET(TblExplore[[#This Row],[Forest Explore]],-12,0),0)</f>
        <v>0</v>
      </c>
      <c r="CS103" s="359">
        <f ca="1">-SUM(TblConstr[[#This Row],[OM]:[GN]])+SUM(TblConstr[[#This Row],[Dest OM]:[Dest GN]]) +Rezone!N103 + IF("Ch_"&amp; home_land=TblConstr[[#Headers],[Ch_Mountain]],TblConstr[[#This Row],[Home Land]])+IF(TblConstr[[#This Row],[Hour]:[Hour]]&gt;12,OFFSET(TblExplore[[#This Row],[Mountain Explore]],-12,0),0)</f>
        <v>0</v>
      </c>
      <c r="CT103" s="183">
        <f ca="1">-SUM(TblConstr[[#This Row],[Fac]:[Shr]])+SUM(TblConstr[[#This Row],[Dest Fac]:[Dest Shr]]) +Rezone!O103 + IF("Ch_" &amp; home_land=TblConstr[[#Headers],[Ch_Hill]],TblConstr[[#This Row],[Home Land]])+IF(TblConstr[[#This Row],[Hour]:[Hour]]&gt;12,OFFSET(TblExplore[[#This Row],[Hill Explore]],-12,0),0)</f>
        <v>0</v>
      </c>
      <c r="CU103" s="184">
        <f ca="1">-SUM(TblConstr[[#This Row],[Tow]:[WG]])+SUM(TblConstr[[#This Row],[Dest Tow]:[Dest WG]]) +Rezone!P103 + IF("Ch_" &amp; home_land=TblConstr[[#Headers],[Ch_Swamp]],TblConstr[[#This Row],[Home Land]])+IF(TblConstr[[#This Row],[Hour]:[Hour]]&gt;12,OFFSET(TblExplore[[#This Row],[Swamp Explore]],-12,0),0)</f>
        <v>0</v>
      </c>
      <c r="CV103" s="185">
        <f ca="1" xml:space="preserve"> - SUM(TblConstr[[#This Row],[DM]:[Sch]])+SUM(TblConstr[[#This Row],[Dest DM]:[Dest Sch]]) +Rezone!Q103 + IF("Ch_" &amp; home_land=TblConstr[[#Headers],[Ch_Cavern]],TblConstr[[#This Row],[Home Land]])+IF(TblConstr[[#This Row],[Hour]:[Hour]]&gt;12,OFFSET(TblExplore[[#This Row],[Cavern Explore]],-12,0),0)</f>
        <v>0</v>
      </c>
      <c r="CW103" s="186">
        <f ca="1">-TblConstr[[#This Row],[Doc]]+TblConstr[[#This Row],[Dest Doc]] +Rezone!R103 + IF("Ch_" &amp; home_land=TblConstr[[#Headers],[Ch_Water]],TblConstr[[#This Row],[Home Land]])+IF(TblConstr[[#This Row],[Hour]:[Hour]]&gt;12,OFFSET(TblExplore[[#This Row],[Water Explore]],-12,0),0)</f>
        <v>0</v>
      </c>
      <c r="CX103" s="45">
        <f>IF(Explore!S103=1,20) - TblConstr[[#This Row],[Hom]] + TblConstr[[#This Row],[Dest Hom]]</f>
        <v>0</v>
      </c>
      <c r="CY103" s="142"/>
      <c r="CZ103" s="94">
        <f t="shared" ca="1" si="23"/>
        <v>90</v>
      </c>
      <c r="DA103" s="94">
        <f t="shared" ca="1" si="24"/>
        <v>20</v>
      </c>
      <c r="DB103" s="45">
        <f t="shared" ca="1" si="25"/>
        <v>0</v>
      </c>
      <c r="DC103" s="94">
        <f t="shared" ca="1" si="26"/>
        <v>0</v>
      </c>
      <c r="DD103" s="94">
        <f t="shared" ca="1" si="27"/>
        <v>0</v>
      </c>
      <c r="DE103" s="45">
        <f t="shared" ca="1" si="28"/>
        <v>0</v>
      </c>
      <c r="DF103" s="94">
        <f t="shared" ca="1" si="29"/>
        <v>0</v>
      </c>
      <c r="DG103" s="94" cm="1">
        <f t="array" aca="1" ref="DG103" ca="1">INDEX(TblConstr[[Total Plain]:[Total Water]],ROW()-ROW(TblConstr[#Headers]),MATCH("Total "&amp;home_land,TblConstr[[#Headers],[Total Plain]:[Total Water]],0))+TblConstr[[#This Row],[Homes]]</f>
        <v>90</v>
      </c>
      <c r="DH103" s="45">
        <f t="shared" ca="1" si="22"/>
        <v>0</v>
      </c>
      <c r="DI103" s="45">
        <f t="shared" ca="1" si="19"/>
        <v>0</v>
      </c>
      <c r="DJ103" s="45">
        <f t="shared" ca="1" si="20"/>
        <v>0</v>
      </c>
    </row>
    <row r="104" spans="1:114" x14ac:dyDescent="0.2">
      <c r="A104" s="175">
        <f>TblRezone[[#This Row],[Hour]]</f>
        <v>101</v>
      </c>
      <c r="B104" s="176">
        <f ca="1">SUM(TblConstr[[#This Row],[Plain]:[Water]])</f>
        <v>60</v>
      </c>
      <c r="C104" s="177">
        <f ca="1">SUM(TblConstr[[#This Row],[Tot Hom]:[Tot Doc]])</f>
        <v>50</v>
      </c>
      <c r="D104" s="177">
        <f t="shared" si="21"/>
        <v>0</v>
      </c>
      <c r="E104" s="178"/>
      <c r="F104" s="61">
        <f ca="1">TblConstr[[#This Row],[Barren]]+TblConstr[[#This Row],[Buildings]]+TblConstr[[#This Row],[Incoming]]</f>
        <v>110</v>
      </c>
      <c r="G104" s="187">
        <f ca="1">OFFSET(TblConstr[[#This Row],[Plain]],-1,0)+TblConstr[[#This Row],[Ch_Plain]]</f>
        <v>60</v>
      </c>
      <c r="H104" s="182">
        <f ca="1">OFFSET(TblConstr[[#This Row],[Forest]],-1,0)+TblConstr[[#This Row],[Ch_Forest]]</f>
        <v>0</v>
      </c>
      <c r="I104" s="359">
        <f ca="1">OFFSET(TblConstr[[#This Row],[Mountain]],-1,0)+TblConstr[[#This Row],[Ch_Mountain]]</f>
        <v>0</v>
      </c>
      <c r="J104" s="363">
        <f ca="1">OFFSET(TblConstr[[#This Row],[Hill]],-1,0)+TblConstr[[#This Row],[Ch_Hill]]</f>
        <v>0</v>
      </c>
      <c r="K104" s="367">
        <f ca="1">OFFSET(TblConstr[[#This Row],[Swamp]],-1,0)+TblConstr[[#This Row],[Ch_Swamp]]</f>
        <v>0</v>
      </c>
      <c r="L104" s="185">
        <f ca="1">OFFSET(TblConstr[[#This Row],[Cavern]],-1,0)+TblConstr[[#This Row],[Ch_Cavern]]</f>
        <v>0</v>
      </c>
      <c r="M104" s="186">
        <f ca="1">OFFSET(TblConstr[[#This Row],[Water]],-1,0)+TblConstr[[#This Row],[Ch_Water]]</f>
        <v>0</v>
      </c>
      <c r="N104" s="357">
        <f>TblRezone[[#This Row],[Hour]]</f>
        <v>101</v>
      </c>
      <c r="O104" s="179"/>
      <c r="P104" s="179"/>
      <c r="Q104" s="179"/>
      <c r="R104" s="179"/>
      <c r="S104" s="179"/>
      <c r="T104" s="179"/>
      <c r="U104" s="179"/>
      <c r="V104" s="179"/>
      <c r="W104" s="179"/>
      <c r="X104" s="179"/>
      <c r="Y104" s="179"/>
      <c r="Z104" s="179"/>
      <c r="AA104" s="179"/>
      <c r="AB104" s="179"/>
      <c r="AC104" s="179"/>
      <c r="AD104" s="179"/>
      <c r="AE104" s="179"/>
      <c r="AF104" s="179"/>
      <c r="AG104" s="179"/>
      <c r="AH104" s="53">
        <f ca="1">TblImps[[#This Row],[Time]]</f>
        <v>46051.166666666424</v>
      </c>
      <c r="AI104" s="180">
        <f ca="1">MIN(25%,(TblConstr[[#This Row],[Tot Fac]]+TblConstr[[#This Row],[Dest Fac]])/(TblConstr[[#This Row],[Land]]-TblExplore[[#This Row],[Land Bonus]]*20))</f>
        <v>0</v>
      </c>
      <c r="AJ104" s="180">
        <f ca="1">MIN(25%,(TblConstr[[#This Row],[Tot Fac]]+TblConstr[[#This Row],[Dest Fac]])/TblConstr[[#This Row],[Land]])</f>
        <v>0</v>
      </c>
      <c r="AK104" s="94">
        <f ca="1">TblProd[[#This Row],[Platinum]]</f>
        <v>200827</v>
      </c>
      <c r="AL104" s="94">
        <f ca="1">TblProd[[#This Row],[Lumber]]</f>
        <v>68885</v>
      </c>
      <c r="AM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4" s="94">
        <f ca="1">ROUNDDOWN( MAX(1 - MIN(facs_constr_factor*TblConstr[[#This Row],[Facs -DB]],facs_constr_max) + tech_1_11*TblTech[[#This Row],[11-1]] + tech_6_3_2*TblTech[[#This Row],[6-3]] + tech_5_2_3*TblTech[[#This Row],[5-2]], 1-global_constr_cap) * TblConstr[[#This Row],[RCPA Lumber]],0)</f>
        <v>48</v>
      </c>
      <c r="AO10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4" s="94">
        <f ca="1">ROUNDDOWN( MAX(1 - MIN(facs_constr_factor*TblConstr[[#This Row],[Facs DB]],facs_constr_max) + tech_1_11*TblTech[[#This Row],[1-11]] + tech_6_3_2*TblTech[[#This Row],[6-3]] + tech_5_2_3*TblTech[[#This Row],[5-2]], 1-global_constr_cap) * ROUND((TblConstr[[#This Row],[Land]]-250)*0.285 + 87.5 + 0/4.25,0),0)</f>
        <v>48</v>
      </c>
      <c r="AQ104" s="45">
        <f ca="1">TblConstr[[#This Row],[build -db]]*TblConstr[[#This Row],[CPA Platinum -DB]] + TblConstr[[#This Row],[build db]]*TblConstr[[#This Row],[CPA Platinum DB]]</f>
        <v>0</v>
      </c>
      <c r="AR104" s="45">
        <f ca="1">TblConstr[[#This Row],[build -db]]*TblConstr[[#This Row],[CPA Lumber -DB]] + TblConstr[[#This Row],[build db]]*TblConstr[[#This Row],[CPA Lumber DB]]</f>
        <v>0</v>
      </c>
      <c r="AS104" s="94">
        <f ca="1">MIN(SUM(OFFSET(TblConstr[[#This Row],[Plain]:[Water]],-1,0))+SUM(TblConstr[[#This Row],[Dest Hom]:[Dest Doc]])+IF(TblConstr[[#This Row],[Hour]]&gt;12,SUM(OFFSET(TblExplore[[#This Row],[Plains Explore]:[Water Explore]],-12,0)),0),SUM(TblConstr[[#This Row],[Hom]:[Doc]]))</f>
        <v>0</v>
      </c>
      <c r="AT10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4" s="142"/>
      <c r="AV104" s="94">
        <f ca="1">ROUND((TblConstr[[#This Row],[Land]]-250 - IF(TblExplore[[#This Row],[Land Bonus]]&lt;&gt;0,20,0))*1.25 + 850 + 0,0)</f>
        <v>675</v>
      </c>
      <c r="AW104" s="94">
        <f ca="1">ROUND((TblConstr[[#This Row],[Land]]-250 - IF(TblExplore[[#This Row],[Land Bonus]]&lt;&gt;0,20,0))*0.285 + 87.5 + 0/4.25,0)</f>
        <v>48</v>
      </c>
      <c r="AX104" s="154"/>
      <c r="AY104" s="188" cm="1">
        <f t="array" aca="1" ref="AY104" ca="1">IF(TblConstr[[#This Row],[Hour]:[Hour]]&gt;12,OFFSET(TblConstr[[#This Row],[Hom]],-12,0),0)+OFFSET(TblConstr[[#This Row],[Tot Hom]],-1,0)-TblConstr[[#This Row],[Dest Hom]]</f>
        <v>0</v>
      </c>
      <c r="AZ104" s="189" cm="1">
        <f t="array" aca="1" ref="AZ104" ca="1">IF(TblConstr[[#This Row],[Hour]:[Hour]]&gt;12,OFFSET(TblConstr[[#This Row],[Alc]],-12,0),0)+OFFSET(TblConstr[[#This Row],[Tot Alc]],-1,0)-TblConstr[[#This Row],[Dest Alc]]</f>
        <v>0</v>
      </c>
      <c r="BA104" s="189" cm="1">
        <f t="array" aca="1" ref="BA104" ca="1">IF(TblConstr[[#This Row],[Hour]:[Hour]]&gt;12,OFFSET(TblConstr[[#This Row],[Far]],-12,0),0)+OFFSET(TblConstr[[#This Row],[Tot Farm]],-1,0)-TblConstr[[#This Row],[Dest Farm]]</f>
        <v>30</v>
      </c>
      <c r="BB104" s="189" cm="1">
        <f t="array" aca="1" ref="BB104" ca="1">IF(TblConstr[[#This Row],[Hour]:[Hour]]&gt;12,OFFSET(TblConstr[[#This Row],[Smi]],-12,0),0)+OFFSET(TblConstr[[#This Row],[Tot Smi]],-1,0)-TblConstr[[#This Row],[Dest Smi]]</f>
        <v>0</v>
      </c>
      <c r="BC104" s="189" cm="1">
        <f t="array" aca="1" ref="BC104" ca="1">IF(TblConstr[[#This Row],[Hour]:[Hour]]&gt;12,OFFSET(TblConstr[[#This Row],[Mas]],-12,0),0)+OFFSET(TblConstr[[#This Row],[Tot Mas]],-1,0)-TblConstr[[#This Row],[Dest Mas]]</f>
        <v>0</v>
      </c>
      <c r="BD104" s="190" cm="1">
        <f t="array" aca="1" ref="BD104" ca="1">IF(TblConstr[[#This Row],[Hour]:[Hour]]&gt;12,OFFSET(TblConstr[[#This Row],[Ly]],-12,0),0)+OFFSET(TblConstr[[#This Row],[Tot Ly]],-1,0)-TblConstr[[#This Row],[Dest Ly]]</f>
        <v>20</v>
      </c>
      <c r="BE104" s="190" cm="1">
        <f t="array" aca="1" ref="BE104" ca="1">IF(TblConstr[[#This Row],[Hour]:[Hour]]&gt;12,OFFSET(TblConstr[[#This Row],[Hav]],-12,0),0)+OFFSET(TblConstr[[#This Row],[Tot Hav]],-1,0)-TblConstr[[#This Row],[Dest Hav]]</f>
        <v>0</v>
      </c>
      <c r="BF104" s="361" cm="1">
        <f t="array" aca="1" ref="BF104" ca="1">IF(TblConstr[[#This Row],[Hour]:[Hour]]&gt;12,OFFSET(TblConstr[[#This Row],[OM]],-12,0),0)+OFFSET(TblConstr[[#This Row],[Tot OM]],-1,0)-TblConstr[[#This Row],[Dest OM]]</f>
        <v>0</v>
      </c>
      <c r="BG104" s="361" cm="1">
        <f t="array" aca="1" ref="BG104" ca="1">IF(TblConstr[[#This Row],[Hour]:[Hour]]&gt;12,OFFSET(TblConstr[[#This Row],[GN]],-12,0),0)+OFFSET(TblConstr[[#This Row],[Tot GN]],-1,0)-TblConstr[[#This Row],[Dest GN]]</f>
        <v>0</v>
      </c>
      <c r="BH104" s="365" cm="1">
        <f t="array" aca="1" ref="BH104" ca="1">IF(TblConstr[[#This Row],[Hour]:[Hour]]&gt;12,OFFSET(TblConstr[[#This Row],[Fac]],-12,0),0)+OFFSET(TblConstr[[#This Row],[Tot Fac]],-1,0)-TblConstr[[#This Row],[Dest Fac]]</f>
        <v>0</v>
      </c>
      <c r="BI104" s="365" cm="1">
        <f t="array" aca="1" ref="BI104" ca="1">IF(TblConstr[[#This Row],[Hour]:[Hour]]&gt;12,OFFSET(TblConstr[[#This Row],[GT]],-12,0),0)+OFFSET(TblConstr[[#This Row],[Tot GT]],-1,0)-TblConstr[[#This Row],[Dest GT]]</f>
        <v>0</v>
      </c>
      <c r="BJ104" s="365" cm="1">
        <f t="array" aca="1" ref="BJ104" ca="1">IF(TblConstr[[#This Row],[Hour]:[Hour]]&gt;12,OFFSET(TblConstr[[#This Row],[Bar]],-12,0),0)+OFFSET(TblConstr[[#This Row],[Tot Bar]],-1,0)-TblConstr[[#This Row],[Dest Bar]]</f>
        <v>0</v>
      </c>
      <c r="BK104" s="365" cm="1">
        <f t="array" aca="1" ref="BK104" ca="1">IF(TblConstr[[#This Row],[Hour]:[Hour]]&gt;12,OFFSET(TblConstr[[#This Row],[Shr]],-12,0),0)+OFFSET(TblConstr[[#This Row],[Tot Shr]],-1,0)-TblConstr[[#This Row],[Dest Shr]]</f>
        <v>0</v>
      </c>
      <c r="BL104" s="369" cm="1">
        <f t="array" aca="1" ref="BL104" ca="1">IF(TblConstr[[#This Row],[Hour]:[Hour]]&gt;12,OFFSET(TblConstr[[#This Row],[Tow]],-12,0),0)+OFFSET(TblConstr[[#This Row],[Tot Tow]],-1,0)-TblConstr[[#This Row],[Dest Tow]]</f>
        <v>0</v>
      </c>
      <c r="BM104" s="369" cm="1">
        <f t="array" aca="1" ref="BM104" ca="1">IF(TblConstr[[#This Row],[Hour]:[Hour]]&gt;12,OFFSET(TblConstr[[#This Row],[Tem]],-12,0),0)+OFFSET(TblConstr[[#This Row],[Tot Tem]],-1,0)-TblConstr[[#This Row],[Dest Tem]]</f>
        <v>0</v>
      </c>
      <c r="BN104" s="369" cm="1">
        <f t="array" aca="1" ref="BN104" ca="1">IF(TblConstr[[#This Row],[Hour]:[Hour]]&gt;12,OFFSET(TblConstr[[#This Row],[WG]],-12,0),0)+OFFSET(TblConstr[[#This Row],[Tot WG]],-1,0)-TblConstr[[#This Row],[Dest WG]]</f>
        <v>0</v>
      </c>
      <c r="BO104" s="191" cm="1">
        <f t="array" aca="1" ref="BO104" ca="1">IF(TblConstr[[#This Row],[Hour]:[Hour]]&gt;12,OFFSET(TblConstr[[#This Row],[DM]],-12,0),0)+OFFSET(TblConstr[[#This Row],[Tot DM]],-1,0)-TblConstr[[#This Row],[Dest DM]]</f>
        <v>0</v>
      </c>
      <c r="BP104" s="191" cm="1">
        <f t="array" aca="1" ref="BP104" ca="1">IF(TblConstr[[#This Row],[Hour]:[Hour]]&gt;12,OFFSET(TblConstr[[#This Row],[Sch]],-12,0),0)+OFFSET(TblConstr[[#This Row],[Tot Sch]],-1,0)-TblConstr[[#This Row],[Dest Sch]]</f>
        <v>0</v>
      </c>
      <c r="BQ104" s="192" cm="1">
        <f t="array" aca="1" ref="BQ104" ca="1">IF(TblConstr[[#This Row],[Hour]:[Hour]]&gt;12,OFFSET(TblConstr[[#This Row],[Doc]],-12,0),0)+OFFSET(TblConstr[[#This Row],[Tot Doc]],-1,0)-TblConstr[[#This Row],[Dest Doc]]</f>
        <v>0</v>
      </c>
      <c r="BR104" s="142"/>
      <c r="BS104" s="154"/>
      <c r="BT104" s="94">
        <f ca="1">TblConstr[[#This Row],[Land]]</f>
        <v>110</v>
      </c>
      <c r="BU104" s="159">
        <f ca="1">TblImps[[#This Row],[Time]]</f>
        <v>46051.166666666424</v>
      </c>
      <c r="BV104" s="142"/>
      <c r="BW104" s="179"/>
      <c r="BX104" s="179"/>
      <c r="BY104" s="179"/>
      <c r="BZ104" s="179"/>
      <c r="CA104" s="179"/>
      <c r="CB104" s="179"/>
      <c r="CC104" s="179"/>
      <c r="CD104" s="179"/>
      <c r="CE104" s="179"/>
      <c r="CF104" s="179"/>
      <c r="CG104" s="179"/>
      <c r="CH104" s="179"/>
      <c r="CI104" s="179"/>
      <c r="CJ104" s="179"/>
      <c r="CK104" s="179"/>
      <c r="CL104" s="179"/>
      <c r="CM104" s="179"/>
      <c r="CN104" s="179"/>
      <c r="CO104" s="179"/>
      <c r="CP104" s="142"/>
      <c r="CQ104" s="181">
        <f ca="1">-SUM(TblConstr[[#This Row],[Alc]:[Mas]])+SUM(TblConstr[[#This Row],[Dest Alc]:[Dest Mas]])+Rezone!L104+IF("Ch_"&amp; home_land=TblConstr[[#Headers],[Ch_Plain]],TblConstr[[#This Row],[Home Land]])+IF(TblConstr[[#This Row],[Hour]:[Hour]]&gt;12,OFFSET(TblExplore[[#This Row],[Plains Explore]],-12,0),0)</f>
        <v>0</v>
      </c>
      <c r="CR104" s="182">
        <f ca="1">-SUM(TblConstr[[#This Row],[Ly]:[Hav]])+SUM(TblConstr[[#This Row],[Dest Ly]:[Dest Hav]]) +Rezone!M104 + IF("Ch_"&amp; home_land=TblConstr[[#Headers],[Ch_Forest]],TblConstr[[#This Row],[Home Land]])+IF(TblConstr[[#This Row],[Hour]:[Hour]]&gt;12,OFFSET(TblExplore[[#This Row],[Forest Explore]],-12,0),0)</f>
        <v>0</v>
      </c>
      <c r="CS104" s="359">
        <f ca="1">-SUM(TblConstr[[#This Row],[OM]:[GN]])+SUM(TblConstr[[#This Row],[Dest OM]:[Dest GN]]) +Rezone!N104 + IF("Ch_"&amp; home_land=TblConstr[[#Headers],[Ch_Mountain]],TblConstr[[#This Row],[Home Land]])+IF(TblConstr[[#This Row],[Hour]:[Hour]]&gt;12,OFFSET(TblExplore[[#This Row],[Mountain Explore]],-12,0),0)</f>
        <v>0</v>
      </c>
      <c r="CT104" s="183">
        <f ca="1">-SUM(TblConstr[[#This Row],[Fac]:[Shr]])+SUM(TblConstr[[#This Row],[Dest Fac]:[Dest Shr]]) +Rezone!O104 + IF("Ch_" &amp; home_land=TblConstr[[#Headers],[Ch_Hill]],TblConstr[[#This Row],[Home Land]])+IF(TblConstr[[#This Row],[Hour]:[Hour]]&gt;12,OFFSET(TblExplore[[#This Row],[Hill Explore]],-12,0),0)</f>
        <v>0</v>
      </c>
      <c r="CU104" s="184">
        <f ca="1">-SUM(TblConstr[[#This Row],[Tow]:[WG]])+SUM(TblConstr[[#This Row],[Dest Tow]:[Dest WG]]) +Rezone!P104 + IF("Ch_" &amp; home_land=TblConstr[[#Headers],[Ch_Swamp]],TblConstr[[#This Row],[Home Land]])+IF(TblConstr[[#This Row],[Hour]:[Hour]]&gt;12,OFFSET(TblExplore[[#This Row],[Swamp Explore]],-12,0),0)</f>
        <v>0</v>
      </c>
      <c r="CV104" s="185">
        <f ca="1" xml:space="preserve"> - SUM(TblConstr[[#This Row],[DM]:[Sch]])+SUM(TblConstr[[#This Row],[Dest DM]:[Dest Sch]]) +Rezone!Q104 + IF("Ch_" &amp; home_land=TblConstr[[#Headers],[Ch_Cavern]],TblConstr[[#This Row],[Home Land]])+IF(TblConstr[[#This Row],[Hour]:[Hour]]&gt;12,OFFSET(TblExplore[[#This Row],[Cavern Explore]],-12,0),0)</f>
        <v>0</v>
      </c>
      <c r="CW104" s="186">
        <f ca="1">-TblConstr[[#This Row],[Doc]]+TblConstr[[#This Row],[Dest Doc]] +Rezone!R104 + IF("Ch_" &amp; home_land=TblConstr[[#Headers],[Ch_Water]],TblConstr[[#This Row],[Home Land]])+IF(TblConstr[[#This Row],[Hour]:[Hour]]&gt;12,OFFSET(TblExplore[[#This Row],[Water Explore]],-12,0),0)</f>
        <v>0</v>
      </c>
      <c r="CX104" s="45">
        <f>IF(Explore!S104=1,20) - TblConstr[[#This Row],[Hom]] + TblConstr[[#This Row],[Dest Hom]]</f>
        <v>0</v>
      </c>
      <c r="CY104" s="142"/>
      <c r="CZ104" s="94">
        <f t="shared" ca="1" si="23"/>
        <v>90</v>
      </c>
      <c r="DA104" s="94">
        <f t="shared" ca="1" si="24"/>
        <v>20</v>
      </c>
      <c r="DB104" s="45">
        <f t="shared" ca="1" si="25"/>
        <v>0</v>
      </c>
      <c r="DC104" s="94">
        <f t="shared" ca="1" si="26"/>
        <v>0</v>
      </c>
      <c r="DD104" s="94">
        <f t="shared" ca="1" si="27"/>
        <v>0</v>
      </c>
      <c r="DE104" s="45">
        <f t="shared" ca="1" si="28"/>
        <v>0</v>
      </c>
      <c r="DF104" s="94">
        <f t="shared" ca="1" si="29"/>
        <v>0</v>
      </c>
      <c r="DG104" s="94" cm="1">
        <f t="array" aca="1" ref="DG104" ca="1">INDEX(TblConstr[[Total Plain]:[Total Water]],ROW()-ROW(TblConstr[#Headers]),MATCH("Total "&amp;home_land,TblConstr[[#Headers],[Total Plain]:[Total Water]],0))+TblConstr[[#This Row],[Homes]]</f>
        <v>90</v>
      </c>
      <c r="DH104" s="45">
        <f t="shared" ca="1" si="22"/>
        <v>0</v>
      </c>
      <c r="DI104" s="45">
        <f t="shared" ca="1" si="19"/>
        <v>0</v>
      </c>
      <c r="DJ104" s="45">
        <f t="shared" ca="1" si="20"/>
        <v>0</v>
      </c>
    </row>
    <row r="105" spans="1:114" x14ac:dyDescent="0.2">
      <c r="A105" s="175">
        <f>TblRezone[[#This Row],[Hour]]</f>
        <v>102</v>
      </c>
      <c r="B105" s="176">
        <f ca="1">SUM(TblConstr[[#This Row],[Plain]:[Water]])</f>
        <v>60</v>
      </c>
      <c r="C105" s="177">
        <f ca="1">SUM(TblConstr[[#This Row],[Tot Hom]:[Tot Doc]])</f>
        <v>50</v>
      </c>
      <c r="D105" s="177">
        <f t="shared" si="21"/>
        <v>0</v>
      </c>
      <c r="E105" s="178"/>
      <c r="F105" s="61">
        <f ca="1">TblConstr[[#This Row],[Barren]]+TblConstr[[#This Row],[Buildings]]+TblConstr[[#This Row],[Incoming]]</f>
        <v>110</v>
      </c>
      <c r="G105" s="187">
        <f ca="1">OFFSET(TblConstr[[#This Row],[Plain]],-1,0)+TblConstr[[#This Row],[Ch_Plain]]</f>
        <v>60</v>
      </c>
      <c r="H105" s="182">
        <f ca="1">OFFSET(TblConstr[[#This Row],[Forest]],-1,0)+TblConstr[[#This Row],[Ch_Forest]]</f>
        <v>0</v>
      </c>
      <c r="I105" s="359">
        <f ca="1">OFFSET(TblConstr[[#This Row],[Mountain]],-1,0)+TblConstr[[#This Row],[Ch_Mountain]]</f>
        <v>0</v>
      </c>
      <c r="J105" s="363">
        <f ca="1">OFFSET(TblConstr[[#This Row],[Hill]],-1,0)+TblConstr[[#This Row],[Ch_Hill]]</f>
        <v>0</v>
      </c>
      <c r="K105" s="367">
        <f ca="1">OFFSET(TblConstr[[#This Row],[Swamp]],-1,0)+TblConstr[[#This Row],[Ch_Swamp]]</f>
        <v>0</v>
      </c>
      <c r="L105" s="185">
        <f ca="1">OFFSET(TblConstr[[#This Row],[Cavern]],-1,0)+TblConstr[[#This Row],[Ch_Cavern]]</f>
        <v>0</v>
      </c>
      <c r="M105" s="186">
        <f ca="1">OFFSET(TblConstr[[#This Row],[Water]],-1,0)+TblConstr[[#This Row],[Ch_Water]]</f>
        <v>0</v>
      </c>
      <c r="N105" s="357">
        <f>TblRezone[[#This Row],[Hour]]</f>
        <v>102</v>
      </c>
      <c r="O105" s="179"/>
      <c r="P105" s="179"/>
      <c r="Q105" s="179"/>
      <c r="R105" s="179"/>
      <c r="S105" s="179"/>
      <c r="T105" s="179"/>
      <c r="U105" s="179"/>
      <c r="V105" s="179"/>
      <c r="W105" s="179"/>
      <c r="X105" s="179"/>
      <c r="Y105" s="179"/>
      <c r="Z105" s="179"/>
      <c r="AA105" s="179"/>
      <c r="AB105" s="179"/>
      <c r="AC105" s="179"/>
      <c r="AD105" s="179"/>
      <c r="AE105" s="179"/>
      <c r="AF105" s="179"/>
      <c r="AG105" s="179"/>
      <c r="AH105" s="53">
        <f ca="1">TblImps[[#This Row],[Time]]</f>
        <v>46051.208333333088</v>
      </c>
      <c r="AI105" s="180">
        <f ca="1">MIN(25%,(TblConstr[[#This Row],[Tot Fac]]+TblConstr[[#This Row],[Dest Fac]])/(TblConstr[[#This Row],[Land]]-TblExplore[[#This Row],[Land Bonus]]*20))</f>
        <v>0</v>
      </c>
      <c r="AJ105" s="180">
        <f ca="1">MIN(25%,(TblConstr[[#This Row],[Tot Fac]]+TblConstr[[#This Row],[Dest Fac]])/TblConstr[[#This Row],[Land]])</f>
        <v>0</v>
      </c>
      <c r="AK105" s="94">
        <f ca="1">TblProd[[#This Row],[Platinum]]</f>
        <v>201817</v>
      </c>
      <c r="AL105" s="94">
        <f ca="1">TblProd[[#This Row],[Lumber]]</f>
        <v>69196</v>
      </c>
      <c r="AM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5" s="94">
        <f ca="1">ROUNDDOWN( MAX(1 - MIN(facs_constr_factor*TblConstr[[#This Row],[Facs -DB]],facs_constr_max) + tech_1_11*TblTech[[#This Row],[11-1]] + tech_6_3_2*TblTech[[#This Row],[6-3]] + tech_5_2_3*TblTech[[#This Row],[5-2]], 1-global_constr_cap) * TblConstr[[#This Row],[RCPA Lumber]],0)</f>
        <v>48</v>
      </c>
      <c r="AO10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5" s="94">
        <f ca="1">ROUNDDOWN( MAX(1 - MIN(facs_constr_factor*TblConstr[[#This Row],[Facs DB]],facs_constr_max) + tech_1_11*TblTech[[#This Row],[1-11]] + tech_6_3_2*TblTech[[#This Row],[6-3]] + tech_5_2_3*TblTech[[#This Row],[5-2]], 1-global_constr_cap) * ROUND((TblConstr[[#This Row],[Land]]-250)*0.285 + 87.5 + 0/4.25,0),0)</f>
        <v>48</v>
      </c>
      <c r="AQ105" s="45">
        <f ca="1">TblConstr[[#This Row],[build -db]]*TblConstr[[#This Row],[CPA Platinum -DB]] + TblConstr[[#This Row],[build db]]*TblConstr[[#This Row],[CPA Platinum DB]]</f>
        <v>0</v>
      </c>
      <c r="AR105" s="45">
        <f ca="1">TblConstr[[#This Row],[build -db]]*TblConstr[[#This Row],[CPA Lumber -DB]] + TblConstr[[#This Row],[build db]]*TblConstr[[#This Row],[CPA Lumber DB]]</f>
        <v>0</v>
      </c>
      <c r="AS105" s="94">
        <f ca="1">MIN(SUM(OFFSET(TblConstr[[#This Row],[Plain]:[Water]],-1,0))+SUM(TblConstr[[#This Row],[Dest Hom]:[Dest Doc]])+IF(TblConstr[[#This Row],[Hour]]&gt;12,SUM(OFFSET(TblExplore[[#This Row],[Plains Explore]:[Water Explore]],-12,0)),0),SUM(TblConstr[[#This Row],[Hom]:[Doc]]))</f>
        <v>0</v>
      </c>
      <c r="AT10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5" s="142"/>
      <c r="AV105" s="94">
        <f ca="1">ROUND((TblConstr[[#This Row],[Land]]-250 - IF(TblExplore[[#This Row],[Land Bonus]]&lt;&gt;0,20,0))*1.25 + 850 + 0,0)</f>
        <v>675</v>
      </c>
      <c r="AW105" s="94">
        <f ca="1">ROUND((TblConstr[[#This Row],[Land]]-250 - IF(TblExplore[[#This Row],[Land Bonus]]&lt;&gt;0,20,0))*0.285 + 87.5 + 0/4.25,0)</f>
        <v>48</v>
      </c>
      <c r="AX105" s="154"/>
      <c r="AY105" s="188" cm="1">
        <f t="array" aca="1" ref="AY105" ca="1">IF(TblConstr[[#This Row],[Hour]:[Hour]]&gt;12,OFFSET(TblConstr[[#This Row],[Hom]],-12,0),0)+OFFSET(TblConstr[[#This Row],[Tot Hom]],-1,0)-TblConstr[[#This Row],[Dest Hom]]</f>
        <v>0</v>
      </c>
      <c r="AZ105" s="189" cm="1">
        <f t="array" aca="1" ref="AZ105" ca="1">IF(TblConstr[[#This Row],[Hour]:[Hour]]&gt;12,OFFSET(TblConstr[[#This Row],[Alc]],-12,0),0)+OFFSET(TblConstr[[#This Row],[Tot Alc]],-1,0)-TblConstr[[#This Row],[Dest Alc]]</f>
        <v>0</v>
      </c>
      <c r="BA105" s="189" cm="1">
        <f t="array" aca="1" ref="BA105" ca="1">IF(TblConstr[[#This Row],[Hour]:[Hour]]&gt;12,OFFSET(TblConstr[[#This Row],[Far]],-12,0),0)+OFFSET(TblConstr[[#This Row],[Tot Farm]],-1,0)-TblConstr[[#This Row],[Dest Farm]]</f>
        <v>30</v>
      </c>
      <c r="BB105" s="189" cm="1">
        <f t="array" aca="1" ref="BB105" ca="1">IF(TblConstr[[#This Row],[Hour]:[Hour]]&gt;12,OFFSET(TblConstr[[#This Row],[Smi]],-12,0),0)+OFFSET(TblConstr[[#This Row],[Tot Smi]],-1,0)-TblConstr[[#This Row],[Dest Smi]]</f>
        <v>0</v>
      </c>
      <c r="BC105" s="189" cm="1">
        <f t="array" aca="1" ref="BC105" ca="1">IF(TblConstr[[#This Row],[Hour]:[Hour]]&gt;12,OFFSET(TblConstr[[#This Row],[Mas]],-12,0),0)+OFFSET(TblConstr[[#This Row],[Tot Mas]],-1,0)-TblConstr[[#This Row],[Dest Mas]]</f>
        <v>0</v>
      </c>
      <c r="BD105" s="190" cm="1">
        <f t="array" aca="1" ref="BD105" ca="1">IF(TblConstr[[#This Row],[Hour]:[Hour]]&gt;12,OFFSET(TblConstr[[#This Row],[Ly]],-12,0),0)+OFFSET(TblConstr[[#This Row],[Tot Ly]],-1,0)-TblConstr[[#This Row],[Dest Ly]]</f>
        <v>20</v>
      </c>
      <c r="BE105" s="190" cm="1">
        <f t="array" aca="1" ref="BE105" ca="1">IF(TblConstr[[#This Row],[Hour]:[Hour]]&gt;12,OFFSET(TblConstr[[#This Row],[Hav]],-12,0),0)+OFFSET(TblConstr[[#This Row],[Tot Hav]],-1,0)-TblConstr[[#This Row],[Dest Hav]]</f>
        <v>0</v>
      </c>
      <c r="BF105" s="361" cm="1">
        <f t="array" aca="1" ref="BF105" ca="1">IF(TblConstr[[#This Row],[Hour]:[Hour]]&gt;12,OFFSET(TblConstr[[#This Row],[OM]],-12,0),0)+OFFSET(TblConstr[[#This Row],[Tot OM]],-1,0)-TblConstr[[#This Row],[Dest OM]]</f>
        <v>0</v>
      </c>
      <c r="BG105" s="361" cm="1">
        <f t="array" aca="1" ref="BG105" ca="1">IF(TblConstr[[#This Row],[Hour]:[Hour]]&gt;12,OFFSET(TblConstr[[#This Row],[GN]],-12,0),0)+OFFSET(TblConstr[[#This Row],[Tot GN]],-1,0)-TblConstr[[#This Row],[Dest GN]]</f>
        <v>0</v>
      </c>
      <c r="BH105" s="365" cm="1">
        <f t="array" aca="1" ref="BH105" ca="1">IF(TblConstr[[#This Row],[Hour]:[Hour]]&gt;12,OFFSET(TblConstr[[#This Row],[Fac]],-12,0),0)+OFFSET(TblConstr[[#This Row],[Tot Fac]],-1,0)-TblConstr[[#This Row],[Dest Fac]]</f>
        <v>0</v>
      </c>
      <c r="BI105" s="365" cm="1">
        <f t="array" aca="1" ref="BI105" ca="1">IF(TblConstr[[#This Row],[Hour]:[Hour]]&gt;12,OFFSET(TblConstr[[#This Row],[GT]],-12,0),0)+OFFSET(TblConstr[[#This Row],[Tot GT]],-1,0)-TblConstr[[#This Row],[Dest GT]]</f>
        <v>0</v>
      </c>
      <c r="BJ105" s="365" cm="1">
        <f t="array" aca="1" ref="BJ105" ca="1">IF(TblConstr[[#This Row],[Hour]:[Hour]]&gt;12,OFFSET(TblConstr[[#This Row],[Bar]],-12,0),0)+OFFSET(TblConstr[[#This Row],[Tot Bar]],-1,0)-TblConstr[[#This Row],[Dest Bar]]</f>
        <v>0</v>
      </c>
      <c r="BK105" s="365" cm="1">
        <f t="array" aca="1" ref="BK105" ca="1">IF(TblConstr[[#This Row],[Hour]:[Hour]]&gt;12,OFFSET(TblConstr[[#This Row],[Shr]],-12,0),0)+OFFSET(TblConstr[[#This Row],[Tot Shr]],-1,0)-TblConstr[[#This Row],[Dest Shr]]</f>
        <v>0</v>
      </c>
      <c r="BL105" s="369" cm="1">
        <f t="array" aca="1" ref="BL105" ca="1">IF(TblConstr[[#This Row],[Hour]:[Hour]]&gt;12,OFFSET(TblConstr[[#This Row],[Tow]],-12,0),0)+OFFSET(TblConstr[[#This Row],[Tot Tow]],-1,0)-TblConstr[[#This Row],[Dest Tow]]</f>
        <v>0</v>
      </c>
      <c r="BM105" s="369" cm="1">
        <f t="array" aca="1" ref="BM105" ca="1">IF(TblConstr[[#This Row],[Hour]:[Hour]]&gt;12,OFFSET(TblConstr[[#This Row],[Tem]],-12,0),0)+OFFSET(TblConstr[[#This Row],[Tot Tem]],-1,0)-TblConstr[[#This Row],[Dest Tem]]</f>
        <v>0</v>
      </c>
      <c r="BN105" s="369" cm="1">
        <f t="array" aca="1" ref="BN105" ca="1">IF(TblConstr[[#This Row],[Hour]:[Hour]]&gt;12,OFFSET(TblConstr[[#This Row],[WG]],-12,0),0)+OFFSET(TblConstr[[#This Row],[Tot WG]],-1,0)-TblConstr[[#This Row],[Dest WG]]</f>
        <v>0</v>
      </c>
      <c r="BO105" s="191" cm="1">
        <f t="array" aca="1" ref="BO105" ca="1">IF(TblConstr[[#This Row],[Hour]:[Hour]]&gt;12,OFFSET(TblConstr[[#This Row],[DM]],-12,0),0)+OFFSET(TblConstr[[#This Row],[Tot DM]],-1,0)-TblConstr[[#This Row],[Dest DM]]</f>
        <v>0</v>
      </c>
      <c r="BP105" s="191" cm="1">
        <f t="array" aca="1" ref="BP105" ca="1">IF(TblConstr[[#This Row],[Hour]:[Hour]]&gt;12,OFFSET(TblConstr[[#This Row],[Sch]],-12,0),0)+OFFSET(TblConstr[[#This Row],[Tot Sch]],-1,0)-TblConstr[[#This Row],[Dest Sch]]</f>
        <v>0</v>
      </c>
      <c r="BQ105" s="192" cm="1">
        <f t="array" aca="1" ref="BQ105" ca="1">IF(TblConstr[[#This Row],[Hour]:[Hour]]&gt;12,OFFSET(TblConstr[[#This Row],[Doc]],-12,0),0)+OFFSET(TblConstr[[#This Row],[Tot Doc]],-1,0)-TblConstr[[#This Row],[Dest Doc]]</f>
        <v>0</v>
      </c>
      <c r="BR105" s="142"/>
      <c r="BS105" s="154"/>
      <c r="BT105" s="94">
        <f ca="1">TblConstr[[#This Row],[Land]]</f>
        <v>110</v>
      </c>
      <c r="BU105" s="159">
        <f ca="1">TblImps[[#This Row],[Time]]</f>
        <v>46051.208333333088</v>
      </c>
      <c r="BV105" s="142"/>
      <c r="BW105" s="179"/>
      <c r="BX105" s="179"/>
      <c r="BY105" s="179"/>
      <c r="BZ105" s="179"/>
      <c r="CA105" s="179"/>
      <c r="CB105" s="179"/>
      <c r="CC105" s="179"/>
      <c r="CD105" s="179"/>
      <c r="CE105" s="179"/>
      <c r="CF105" s="179"/>
      <c r="CG105" s="179"/>
      <c r="CH105" s="179"/>
      <c r="CI105" s="179"/>
      <c r="CJ105" s="179"/>
      <c r="CK105" s="179"/>
      <c r="CL105" s="179"/>
      <c r="CM105" s="179"/>
      <c r="CN105" s="179"/>
      <c r="CO105" s="179"/>
      <c r="CP105" s="142"/>
      <c r="CQ105" s="181">
        <f ca="1">-SUM(TblConstr[[#This Row],[Alc]:[Mas]])+SUM(TblConstr[[#This Row],[Dest Alc]:[Dest Mas]])+Rezone!L105+IF("Ch_"&amp; home_land=TblConstr[[#Headers],[Ch_Plain]],TblConstr[[#This Row],[Home Land]])+IF(TblConstr[[#This Row],[Hour]:[Hour]]&gt;12,OFFSET(TblExplore[[#This Row],[Plains Explore]],-12,0),0)</f>
        <v>0</v>
      </c>
      <c r="CR105" s="182">
        <f ca="1">-SUM(TblConstr[[#This Row],[Ly]:[Hav]])+SUM(TblConstr[[#This Row],[Dest Ly]:[Dest Hav]]) +Rezone!M105 + IF("Ch_"&amp; home_land=TblConstr[[#Headers],[Ch_Forest]],TblConstr[[#This Row],[Home Land]])+IF(TblConstr[[#This Row],[Hour]:[Hour]]&gt;12,OFFSET(TblExplore[[#This Row],[Forest Explore]],-12,0),0)</f>
        <v>0</v>
      </c>
      <c r="CS105" s="359">
        <f ca="1">-SUM(TblConstr[[#This Row],[OM]:[GN]])+SUM(TblConstr[[#This Row],[Dest OM]:[Dest GN]]) +Rezone!N105 + IF("Ch_"&amp; home_land=TblConstr[[#Headers],[Ch_Mountain]],TblConstr[[#This Row],[Home Land]])+IF(TblConstr[[#This Row],[Hour]:[Hour]]&gt;12,OFFSET(TblExplore[[#This Row],[Mountain Explore]],-12,0),0)</f>
        <v>0</v>
      </c>
      <c r="CT105" s="183">
        <f ca="1">-SUM(TblConstr[[#This Row],[Fac]:[Shr]])+SUM(TblConstr[[#This Row],[Dest Fac]:[Dest Shr]]) +Rezone!O105 + IF("Ch_" &amp; home_land=TblConstr[[#Headers],[Ch_Hill]],TblConstr[[#This Row],[Home Land]])+IF(TblConstr[[#This Row],[Hour]:[Hour]]&gt;12,OFFSET(TblExplore[[#This Row],[Hill Explore]],-12,0),0)</f>
        <v>0</v>
      </c>
      <c r="CU105" s="184">
        <f ca="1">-SUM(TblConstr[[#This Row],[Tow]:[WG]])+SUM(TblConstr[[#This Row],[Dest Tow]:[Dest WG]]) +Rezone!P105 + IF("Ch_" &amp; home_land=TblConstr[[#Headers],[Ch_Swamp]],TblConstr[[#This Row],[Home Land]])+IF(TblConstr[[#This Row],[Hour]:[Hour]]&gt;12,OFFSET(TblExplore[[#This Row],[Swamp Explore]],-12,0),0)</f>
        <v>0</v>
      </c>
      <c r="CV105" s="185">
        <f ca="1" xml:space="preserve"> - SUM(TblConstr[[#This Row],[DM]:[Sch]])+SUM(TblConstr[[#This Row],[Dest DM]:[Dest Sch]]) +Rezone!Q105 + IF("Ch_" &amp; home_land=TblConstr[[#Headers],[Ch_Cavern]],TblConstr[[#This Row],[Home Land]])+IF(TblConstr[[#This Row],[Hour]:[Hour]]&gt;12,OFFSET(TblExplore[[#This Row],[Cavern Explore]],-12,0),0)</f>
        <v>0</v>
      </c>
      <c r="CW105" s="186">
        <f ca="1">-TblConstr[[#This Row],[Doc]]+TblConstr[[#This Row],[Dest Doc]] +Rezone!R105 + IF("Ch_" &amp; home_land=TblConstr[[#Headers],[Ch_Water]],TblConstr[[#This Row],[Home Land]])+IF(TblConstr[[#This Row],[Hour]:[Hour]]&gt;12,OFFSET(TblExplore[[#This Row],[Water Explore]],-12,0),0)</f>
        <v>0</v>
      </c>
      <c r="CX105" s="45">
        <f>IF(Explore!S105=1,20) - TblConstr[[#This Row],[Hom]] + TblConstr[[#This Row],[Dest Hom]]</f>
        <v>0</v>
      </c>
      <c r="CY105" s="142"/>
      <c r="CZ105" s="94">
        <f t="shared" ca="1" si="23"/>
        <v>90</v>
      </c>
      <c r="DA105" s="94">
        <f t="shared" ca="1" si="24"/>
        <v>20</v>
      </c>
      <c r="DB105" s="45">
        <f t="shared" ca="1" si="25"/>
        <v>0</v>
      </c>
      <c r="DC105" s="94">
        <f t="shared" ca="1" si="26"/>
        <v>0</v>
      </c>
      <c r="DD105" s="94">
        <f t="shared" ca="1" si="27"/>
        <v>0</v>
      </c>
      <c r="DE105" s="45">
        <f t="shared" ca="1" si="28"/>
        <v>0</v>
      </c>
      <c r="DF105" s="94">
        <f t="shared" ca="1" si="29"/>
        <v>0</v>
      </c>
      <c r="DG105" s="94" cm="1">
        <f t="array" aca="1" ref="DG105" ca="1">INDEX(TblConstr[[Total Plain]:[Total Water]],ROW()-ROW(TblConstr[#Headers]),MATCH("Total "&amp;home_land,TblConstr[[#Headers],[Total Plain]:[Total Water]],0))+TblConstr[[#This Row],[Homes]]</f>
        <v>90</v>
      </c>
      <c r="DH105" s="45">
        <f t="shared" ca="1" si="22"/>
        <v>0</v>
      </c>
      <c r="DI105" s="45">
        <f t="shared" ca="1" si="19"/>
        <v>0</v>
      </c>
      <c r="DJ105" s="45">
        <f t="shared" ca="1" si="20"/>
        <v>0</v>
      </c>
    </row>
    <row r="106" spans="1:114" x14ac:dyDescent="0.2">
      <c r="A106" s="175">
        <f>TblRezone[[#This Row],[Hour]]</f>
        <v>103</v>
      </c>
      <c r="B106" s="176">
        <f ca="1">SUM(TblConstr[[#This Row],[Plain]:[Water]])</f>
        <v>60</v>
      </c>
      <c r="C106" s="177">
        <f ca="1">SUM(TblConstr[[#This Row],[Tot Hom]:[Tot Doc]])</f>
        <v>50</v>
      </c>
      <c r="D106" s="177">
        <f t="shared" si="21"/>
        <v>0</v>
      </c>
      <c r="E106" s="178"/>
      <c r="F106" s="61">
        <f ca="1">TblConstr[[#This Row],[Barren]]+TblConstr[[#This Row],[Buildings]]+TblConstr[[#This Row],[Incoming]]</f>
        <v>110</v>
      </c>
      <c r="G106" s="187">
        <f ca="1">OFFSET(TblConstr[[#This Row],[Plain]],-1,0)+TblConstr[[#This Row],[Ch_Plain]]</f>
        <v>60</v>
      </c>
      <c r="H106" s="182">
        <f ca="1">OFFSET(TblConstr[[#This Row],[Forest]],-1,0)+TblConstr[[#This Row],[Ch_Forest]]</f>
        <v>0</v>
      </c>
      <c r="I106" s="359">
        <f ca="1">OFFSET(TblConstr[[#This Row],[Mountain]],-1,0)+TblConstr[[#This Row],[Ch_Mountain]]</f>
        <v>0</v>
      </c>
      <c r="J106" s="363">
        <f ca="1">OFFSET(TblConstr[[#This Row],[Hill]],-1,0)+TblConstr[[#This Row],[Ch_Hill]]</f>
        <v>0</v>
      </c>
      <c r="K106" s="367">
        <f ca="1">OFFSET(TblConstr[[#This Row],[Swamp]],-1,0)+TblConstr[[#This Row],[Ch_Swamp]]</f>
        <v>0</v>
      </c>
      <c r="L106" s="185">
        <f ca="1">OFFSET(TblConstr[[#This Row],[Cavern]],-1,0)+TblConstr[[#This Row],[Ch_Cavern]]</f>
        <v>0</v>
      </c>
      <c r="M106" s="186">
        <f ca="1">OFFSET(TblConstr[[#This Row],[Water]],-1,0)+TblConstr[[#This Row],[Ch_Water]]</f>
        <v>0</v>
      </c>
      <c r="N106" s="357">
        <f>TblRezone[[#This Row],[Hour]]</f>
        <v>103</v>
      </c>
      <c r="O106" s="179"/>
      <c r="P106" s="179"/>
      <c r="Q106" s="179"/>
      <c r="R106" s="179"/>
      <c r="S106" s="179"/>
      <c r="T106" s="179"/>
      <c r="U106" s="179"/>
      <c r="V106" s="179"/>
      <c r="W106" s="179"/>
      <c r="X106" s="179"/>
      <c r="Y106" s="179"/>
      <c r="Z106" s="179"/>
      <c r="AA106" s="179"/>
      <c r="AB106" s="179"/>
      <c r="AC106" s="179"/>
      <c r="AD106" s="179"/>
      <c r="AE106" s="179"/>
      <c r="AF106" s="179"/>
      <c r="AG106" s="179"/>
      <c r="AH106" s="53">
        <f ca="1">TblImps[[#This Row],[Time]]</f>
        <v>46051.249999999753</v>
      </c>
      <c r="AI106" s="180">
        <f ca="1">MIN(25%,(TblConstr[[#This Row],[Tot Fac]]+TblConstr[[#This Row],[Dest Fac]])/(TblConstr[[#This Row],[Land]]-TblExplore[[#This Row],[Land Bonus]]*20))</f>
        <v>0</v>
      </c>
      <c r="AJ106" s="180">
        <f ca="1">MIN(25%,(TblConstr[[#This Row],[Tot Fac]]+TblConstr[[#This Row],[Dest Fac]])/TblConstr[[#This Row],[Land]])</f>
        <v>0</v>
      </c>
      <c r="AK106" s="94">
        <f ca="1">TblProd[[#This Row],[Platinum]]</f>
        <v>202797</v>
      </c>
      <c r="AL106" s="94">
        <f ca="1">TblProd[[#This Row],[Lumber]]</f>
        <v>69504</v>
      </c>
      <c r="AM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6" s="94">
        <f ca="1">ROUNDDOWN( MAX(1 - MIN(facs_constr_factor*TblConstr[[#This Row],[Facs -DB]],facs_constr_max) + tech_1_11*TblTech[[#This Row],[11-1]] + tech_6_3_2*TblTech[[#This Row],[6-3]] + tech_5_2_3*TblTech[[#This Row],[5-2]], 1-global_constr_cap) * TblConstr[[#This Row],[RCPA Lumber]],0)</f>
        <v>48</v>
      </c>
      <c r="AO10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6" s="94">
        <f ca="1">ROUNDDOWN( MAX(1 - MIN(facs_constr_factor*TblConstr[[#This Row],[Facs DB]],facs_constr_max) + tech_1_11*TblTech[[#This Row],[1-11]] + tech_6_3_2*TblTech[[#This Row],[6-3]] + tech_5_2_3*TblTech[[#This Row],[5-2]], 1-global_constr_cap) * ROUND((TblConstr[[#This Row],[Land]]-250)*0.285 + 87.5 + 0/4.25,0),0)</f>
        <v>48</v>
      </c>
      <c r="AQ106" s="45">
        <f ca="1">TblConstr[[#This Row],[build -db]]*TblConstr[[#This Row],[CPA Platinum -DB]] + TblConstr[[#This Row],[build db]]*TblConstr[[#This Row],[CPA Platinum DB]]</f>
        <v>0</v>
      </c>
      <c r="AR106" s="45">
        <f ca="1">TblConstr[[#This Row],[build -db]]*TblConstr[[#This Row],[CPA Lumber -DB]] + TblConstr[[#This Row],[build db]]*TblConstr[[#This Row],[CPA Lumber DB]]</f>
        <v>0</v>
      </c>
      <c r="AS106" s="94">
        <f ca="1">MIN(SUM(OFFSET(TblConstr[[#This Row],[Plain]:[Water]],-1,0))+SUM(TblConstr[[#This Row],[Dest Hom]:[Dest Doc]])+IF(TblConstr[[#This Row],[Hour]]&gt;12,SUM(OFFSET(TblExplore[[#This Row],[Plains Explore]:[Water Explore]],-12,0)),0),SUM(TblConstr[[#This Row],[Hom]:[Doc]]))</f>
        <v>0</v>
      </c>
      <c r="AT10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6" s="142"/>
      <c r="AV106" s="94">
        <f ca="1">ROUND((TblConstr[[#This Row],[Land]]-250 - IF(TblExplore[[#This Row],[Land Bonus]]&lt;&gt;0,20,0))*1.25 + 850 + 0,0)</f>
        <v>675</v>
      </c>
      <c r="AW106" s="94">
        <f ca="1">ROUND((TblConstr[[#This Row],[Land]]-250 - IF(TblExplore[[#This Row],[Land Bonus]]&lt;&gt;0,20,0))*0.285 + 87.5 + 0/4.25,0)</f>
        <v>48</v>
      </c>
      <c r="AX106" s="154"/>
      <c r="AY106" s="188" cm="1">
        <f t="array" aca="1" ref="AY106" ca="1">IF(TblConstr[[#This Row],[Hour]:[Hour]]&gt;12,OFFSET(TblConstr[[#This Row],[Hom]],-12,0),0)+OFFSET(TblConstr[[#This Row],[Tot Hom]],-1,0)-TblConstr[[#This Row],[Dest Hom]]</f>
        <v>0</v>
      </c>
      <c r="AZ106" s="189" cm="1">
        <f t="array" aca="1" ref="AZ106" ca="1">IF(TblConstr[[#This Row],[Hour]:[Hour]]&gt;12,OFFSET(TblConstr[[#This Row],[Alc]],-12,0),0)+OFFSET(TblConstr[[#This Row],[Tot Alc]],-1,0)-TblConstr[[#This Row],[Dest Alc]]</f>
        <v>0</v>
      </c>
      <c r="BA106" s="189" cm="1">
        <f t="array" aca="1" ref="BA106" ca="1">IF(TblConstr[[#This Row],[Hour]:[Hour]]&gt;12,OFFSET(TblConstr[[#This Row],[Far]],-12,0),0)+OFFSET(TblConstr[[#This Row],[Tot Farm]],-1,0)-TblConstr[[#This Row],[Dest Farm]]</f>
        <v>30</v>
      </c>
      <c r="BB106" s="189" cm="1">
        <f t="array" aca="1" ref="BB106" ca="1">IF(TblConstr[[#This Row],[Hour]:[Hour]]&gt;12,OFFSET(TblConstr[[#This Row],[Smi]],-12,0),0)+OFFSET(TblConstr[[#This Row],[Tot Smi]],-1,0)-TblConstr[[#This Row],[Dest Smi]]</f>
        <v>0</v>
      </c>
      <c r="BC106" s="189" cm="1">
        <f t="array" aca="1" ref="BC106" ca="1">IF(TblConstr[[#This Row],[Hour]:[Hour]]&gt;12,OFFSET(TblConstr[[#This Row],[Mas]],-12,0),0)+OFFSET(TblConstr[[#This Row],[Tot Mas]],-1,0)-TblConstr[[#This Row],[Dest Mas]]</f>
        <v>0</v>
      </c>
      <c r="BD106" s="190" cm="1">
        <f t="array" aca="1" ref="BD106" ca="1">IF(TblConstr[[#This Row],[Hour]:[Hour]]&gt;12,OFFSET(TblConstr[[#This Row],[Ly]],-12,0),0)+OFFSET(TblConstr[[#This Row],[Tot Ly]],-1,0)-TblConstr[[#This Row],[Dest Ly]]</f>
        <v>20</v>
      </c>
      <c r="BE106" s="190" cm="1">
        <f t="array" aca="1" ref="BE106" ca="1">IF(TblConstr[[#This Row],[Hour]:[Hour]]&gt;12,OFFSET(TblConstr[[#This Row],[Hav]],-12,0),0)+OFFSET(TblConstr[[#This Row],[Tot Hav]],-1,0)-TblConstr[[#This Row],[Dest Hav]]</f>
        <v>0</v>
      </c>
      <c r="BF106" s="361" cm="1">
        <f t="array" aca="1" ref="BF106" ca="1">IF(TblConstr[[#This Row],[Hour]:[Hour]]&gt;12,OFFSET(TblConstr[[#This Row],[OM]],-12,0),0)+OFFSET(TblConstr[[#This Row],[Tot OM]],-1,0)-TblConstr[[#This Row],[Dest OM]]</f>
        <v>0</v>
      </c>
      <c r="BG106" s="361" cm="1">
        <f t="array" aca="1" ref="BG106" ca="1">IF(TblConstr[[#This Row],[Hour]:[Hour]]&gt;12,OFFSET(TblConstr[[#This Row],[GN]],-12,0),0)+OFFSET(TblConstr[[#This Row],[Tot GN]],-1,0)-TblConstr[[#This Row],[Dest GN]]</f>
        <v>0</v>
      </c>
      <c r="BH106" s="365" cm="1">
        <f t="array" aca="1" ref="BH106" ca="1">IF(TblConstr[[#This Row],[Hour]:[Hour]]&gt;12,OFFSET(TblConstr[[#This Row],[Fac]],-12,0),0)+OFFSET(TblConstr[[#This Row],[Tot Fac]],-1,0)-TblConstr[[#This Row],[Dest Fac]]</f>
        <v>0</v>
      </c>
      <c r="BI106" s="365" cm="1">
        <f t="array" aca="1" ref="BI106" ca="1">IF(TblConstr[[#This Row],[Hour]:[Hour]]&gt;12,OFFSET(TblConstr[[#This Row],[GT]],-12,0),0)+OFFSET(TblConstr[[#This Row],[Tot GT]],-1,0)-TblConstr[[#This Row],[Dest GT]]</f>
        <v>0</v>
      </c>
      <c r="BJ106" s="365" cm="1">
        <f t="array" aca="1" ref="BJ106" ca="1">IF(TblConstr[[#This Row],[Hour]:[Hour]]&gt;12,OFFSET(TblConstr[[#This Row],[Bar]],-12,0),0)+OFFSET(TblConstr[[#This Row],[Tot Bar]],-1,0)-TblConstr[[#This Row],[Dest Bar]]</f>
        <v>0</v>
      </c>
      <c r="BK106" s="365" cm="1">
        <f t="array" aca="1" ref="BK106" ca="1">IF(TblConstr[[#This Row],[Hour]:[Hour]]&gt;12,OFFSET(TblConstr[[#This Row],[Shr]],-12,0),0)+OFFSET(TblConstr[[#This Row],[Tot Shr]],-1,0)-TblConstr[[#This Row],[Dest Shr]]</f>
        <v>0</v>
      </c>
      <c r="BL106" s="369" cm="1">
        <f t="array" aca="1" ref="BL106" ca="1">IF(TblConstr[[#This Row],[Hour]:[Hour]]&gt;12,OFFSET(TblConstr[[#This Row],[Tow]],-12,0),0)+OFFSET(TblConstr[[#This Row],[Tot Tow]],-1,0)-TblConstr[[#This Row],[Dest Tow]]</f>
        <v>0</v>
      </c>
      <c r="BM106" s="369" cm="1">
        <f t="array" aca="1" ref="BM106" ca="1">IF(TblConstr[[#This Row],[Hour]:[Hour]]&gt;12,OFFSET(TblConstr[[#This Row],[Tem]],-12,0),0)+OFFSET(TblConstr[[#This Row],[Tot Tem]],-1,0)-TblConstr[[#This Row],[Dest Tem]]</f>
        <v>0</v>
      </c>
      <c r="BN106" s="369" cm="1">
        <f t="array" aca="1" ref="BN106" ca="1">IF(TblConstr[[#This Row],[Hour]:[Hour]]&gt;12,OFFSET(TblConstr[[#This Row],[WG]],-12,0),0)+OFFSET(TblConstr[[#This Row],[Tot WG]],-1,0)-TblConstr[[#This Row],[Dest WG]]</f>
        <v>0</v>
      </c>
      <c r="BO106" s="191" cm="1">
        <f t="array" aca="1" ref="BO106" ca="1">IF(TblConstr[[#This Row],[Hour]:[Hour]]&gt;12,OFFSET(TblConstr[[#This Row],[DM]],-12,0),0)+OFFSET(TblConstr[[#This Row],[Tot DM]],-1,0)-TblConstr[[#This Row],[Dest DM]]</f>
        <v>0</v>
      </c>
      <c r="BP106" s="191" cm="1">
        <f t="array" aca="1" ref="BP106" ca="1">IF(TblConstr[[#This Row],[Hour]:[Hour]]&gt;12,OFFSET(TblConstr[[#This Row],[Sch]],-12,0),0)+OFFSET(TblConstr[[#This Row],[Tot Sch]],-1,0)-TblConstr[[#This Row],[Dest Sch]]</f>
        <v>0</v>
      </c>
      <c r="BQ106" s="192" cm="1">
        <f t="array" aca="1" ref="BQ106" ca="1">IF(TblConstr[[#This Row],[Hour]:[Hour]]&gt;12,OFFSET(TblConstr[[#This Row],[Doc]],-12,0),0)+OFFSET(TblConstr[[#This Row],[Tot Doc]],-1,0)-TblConstr[[#This Row],[Dest Doc]]</f>
        <v>0</v>
      </c>
      <c r="BR106" s="142"/>
      <c r="BS106" s="154"/>
      <c r="BT106" s="94">
        <f ca="1">TblConstr[[#This Row],[Land]]</f>
        <v>110</v>
      </c>
      <c r="BU106" s="159">
        <f ca="1">TblImps[[#This Row],[Time]]</f>
        <v>46051.249999999753</v>
      </c>
      <c r="BV106" s="142"/>
      <c r="BW106" s="179"/>
      <c r="BX106" s="179"/>
      <c r="BY106" s="179"/>
      <c r="BZ106" s="179"/>
      <c r="CA106" s="179"/>
      <c r="CB106" s="179"/>
      <c r="CC106" s="179"/>
      <c r="CD106" s="179"/>
      <c r="CE106" s="179"/>
      <c r="CF106" s="179"/>
      <c r="CG106" s="179"/>
      <c r="CH106" s="179"/>
      <c r="CI106" s="179"/>
      <c r="CJ106" s="179"/>
      <c r="CK106" s="179"/>
      <c r="CL106" s="179"/>
      <c r="CM106" s="179"/>
      <c r="CN106" s="179"/>
      <c r="CO106" s="179"/>
      <c r="CP106" s="142"/>
      <c r="CQ106" s="181">
        <f ca="1">-SUM(TblConstr[[#This Row],[Alc]:[Mas]])+SUM(TblConstr[[#This Row],[Dest Alc]:[Dest Mas]])+Rezone!L106+IF("Ch_"&amp; home_land=TblConstr[[#Headers],[Ch_Plain]],TblConstr[[#This Row],[Home Land]])+IF(TblConstr[[#This Row],[Hour]:[Hour]]&gt;12,OFFSET(TblExplore[[#This Row],[Plains Explore]],-12,0),0)</f>
        <v>0</v>
      </c>
      <c r="CR106" s="182">
        <f ca="1">-SUM(TblConstr[[#This Row],[Ly]:[Hav]])+SUM(TblConstr[[#This Row],[Dest Ly]:[Dest Hav]]) +Rezone!M106 + IF("Ch_"&amp; home_land=TblConstr[[#Headers],[Ch_Forest]],TblConstr[[#This Row],[Home Land]])+IF(TblConstr[[#This Row],[Hour]:[Hour]]&gt;12,OFFSET(TblExplore[[#This Row],[Forest Explore]],-12,0),0)</f>
        <v>0</v>
      </c>
      <c r="CS106" s="359">
        <f ca="1">-SUM(TblConstr[[#This Row],[OM]:[GN]])+SUM(TblConstr[[#This Row],[Dest OM]:[Dest GN]]) +Rezone!N106 + IF("Ch_"&amp; home_land=TblConstr[[#Headers],[Ch_Mountain]],TblConstr[[#This Row],[Home Land]])+IF(TblConstr[[#This Row],[Hour]:[Hour]]&gt;12,OFFSET(TblExplore[[#This Row],[Mountain Explore]],-12,0),0)</f>
        <v>0</v>
      </c>
      <c r="CT106" s="183">
        <f ca="1">-SUM(TblConstr[[#This Row],[Fac]:[Shr]])+SUM(TblConstr[[#This Row],[Dest Fac]:[Dest Shr]]) +Rezone!O106 + IF("Ch_" &amp; home_land=TblConstr[[#Headers],[Ch_Hill]],TblConstr[[#This Row],[Home Land]])+IF(TblConstr[[#This Row],[Hour]:[Hour]]&gt;12,OFFSET(TblExplore[[#This Row],[Hill Explore]],-12,0),0)</f>
        <v>0</v>
      </c>
      <c r="CU106" s="184">
        <f ca="1">-SUM(TblConstr[[#This Row],[Tow]:[WG]])+SUM(TblConstr[[#This Row],[Dest Tow]:[Dest WG]]) +Rezone!P106 + IF("Ch_" &amp; home_land=TblConstr[[#Headers],[Ch_Swamp]],TblConstr[[#This Row],[Home Land]])+IF(TblConstr[[#This Row],[Hour]:[Hour]]&gt;12,OFFSET(TblExplore[[#This Row],[Swamp Explore]],-12,0),0)</f>
        <v>0</v>
      </c>
      <c r="CV106" s="185">
        <f ca="1" xml:space="preserve"> - SUM(TblConstr[[#This Row],[DM]:[Sch]])+SUM(TblConstr[[#This Row],[Dest DM]:[Dest Sch]]) +Rezone!Q106 + IF("Ch_" &amp; home_land=TblConstr[[#Headers],[Ch_Cavern]],TblConstr[[#This Row],[Home Land]])+IF(TblConstr[[#This Row],[Hour]:[Hour]]&gt;12,OFFSET(TblExplore[[#This Row],[Cavern Explore]],-12,0),0)</f>
        <v>0</v>
      </c>
      <c r="CW106" s="186">
        <f ca="1">-TblConstr[[#This Row],[Doc]]+TblConstr[[#This Row],[Dest Doc]] +Rezone!R106 + IF("Ch_" &amp; home_land=TblConstr[[#Headers],[Ch_Water]],TblConstr[[#This Row],[Home Land]])+IF(TblConstr[[#This Row],[Hour]:[Hour]]&gt;12,OFFSET(TblExplore[[#This Row],[Water Explore]],-12,0),0)</f>
        <v>0</v>
      </c>
      <c r="CX106" s="45">
        <f>IF(Explore!S106=1,20) - TblConstr[[#This Row],[Hom]] + TblConstr[[#This Row],[Dest Hom]]</f>
        <v>0</v>
      </c>
      <c r="CY106" s="142"/>
      <c r="CZ106" s="94">
        <f t="shared" ca="1" si="23"/>
        <v>90</v>
      </c>
      <c r="DA106" s="94">
        <f t="shared" ca="1" si="24"/>
        <v>20</v>
      </c>
      <c r="DB106" s="45">
        <f t="shared" ca="1" si="25"/>
        <v>0</v>
      </c>
      <c r="DC106" s="94">
        <f t="shared" ca="1" si="26"/>
        <v>0</v>
      </c>
      <c r="DD106" s="94">
        <f t="shared" ca="1" si="27"/>
        <v>0</v>
      </c>
      <c r="DE106" s="45">
        <f t="shared" ca="1" si="28"/>
        <v>0</v>
      </c>
      <c r="DF106" s="94">
        <f t="shared" ca="1" si="29"/>
        <v>0</v>
      </c>
      <c r="DG106" s="94" cm="1">
        <f t="array" aca="1" ref="DG106" ca="1">INDEX(TblConstr[[Total Plain]:[Total Water]],ROW()-ROW(TblConstr[#Headers]),MATCH("Total "&amp;home_land,TblConstr[[#Headers],[Total Plain]:[Total Water]],0))+TblConstr[[#This Row],[Homes]]</f>
        <v>90</v>
      </c>
      <c r="DH106" s="45">
        <f t="shared" ca="1" si="22"/>
        <v>0</v>
      </c>
      <c r="DI106" s="45">
        <f t="shared" ca="1" si="19"/>
        <v>0</v>
      </c>
      <c r="DJ106" s="45">
        <f t="shared" ca="1" si="20"/>
        <v>0</v>
      </c>
    </row>
    <row r="107" spans="1:114" x14ac:dyDescent="0.2">
      <c r="A107" s="175">
        <f>TblRezone[[#This Row],[Hour]]</f>
        <v>104</v>
      </c>
      <c r="B107" s="176">
        <f ca="1">SUM(TblConstr[[#This Row],[Plain]:[Water]])</f>
        <v>60</v>
      </c>
      <c r="C107" s="177">
        <f ca="1">SUM(TblConstr[[#This Row],[Tot Hom]:[Tot Doc]])</f>
        <v>50</v>
      </c>
      <c r="D107" s="177">
        <f t="shared" si="21"/>
        <v>0</v>
      </c>
      <c r="E107" s="178"/>
      <c r="F107" s="61">
        <f ca="1">TblConstr[[#This Row],[Barren]]+TblConstr[[#This Row],[Buildings]]+TblConstr[[#This Row],[Incoming]]</f>
        <v>110</v>
      </c>
      <c r="G107" s="187">
        <f ca="1">OFFSET(TblConstr[[#This Row],[Plain]],-1,0)+TblConstr[[#This Row],[Ch_Plain]]</f>
        <v>60</v>
      </c>
      <c r="H107" s="182">
        <f ca="1">OFFSET(TblConstr[[#This Row],[Forest]],-1,0)+TblConstr[[#This Row],[Ch_Forest]]</f>
        <v>0</v>
      </c>
      <c r="I107" s="359">
        <f ca="1">OFFSET(TblConstr[[#This Row],[Mountain]],-1,0)+TblConstr[[#This Row],[Ch_Mountain]]</f>
        <v>0</v>
      </c>
      <c r="J107" s="363">
        <f ca="1">OFFSET(TblConstr[[#This Row],[Hill]],-1,0)+TblConstr[[#This Row],[Ch_Hill]]</f>
        <v>0</v>
      </c>
      <c r="K107" s="367">
        <f ca="1">OFFSET(TblConstr[[#This Row],[Swamp]],-1,0)+TblConstr[[#This Row],[Ch_Swamp]]</f>
        <v>0</v>
      </c>
      <c r="L107" s="185">
        <f ca="1">OFFSET(TblConstr[[#This Row],[Cavern]],-1,0)+TblConstr[[#This Row],[Ch_Cavern]]</f>
        <v>0</v>
      </c>
      <c r="M107" s="186">
        <f ca="1">OFFSET(TblConstr[[#This Row],[Water]],-1,0)+TblConstr[[#This Row],[Ch_Water]]</f>
        <v>0</v>
      </c>
      <c r="N107" s="357">
        <f>TblRezone[[#This Row],[Hour]]</f>
        <v>104</v>
      </c>
      <c r="O107" s="179"/>
      <c r="P107" s="179"/>
      <c r="Q107" s="179"/>
      <c r="R107" s="179"/>
      <c r="S107" s="179"/>
      <c r="T107" s="179"/>
      <c r="U107" s="179"/>
      <c r="V107" s="179"/>
      <c r="W107" s="179"/>
      <c r="X107" s="158"/>
      <c r="Y107" s="179"/>
      <c r="Z107" s="179"/>
      <c r="AA107" s="179"/>
      <c r="AB107" s="179"/>
      <c r="AC107" s="179"/>
      <c r="AD107" s="179"/>
      <c r="AE107" s="179"/>
      <c r="AF107" s="179"/>
      <c r="AG107" s="179"/>
      <c r="AH107" s="53">
        <f ca="1">TblImps[[#This Row],[Time]]</f>
        <v>46051.291666666417</v>
      </c>
      <c r="AI107" s="180">
        <f ca="1">MIN(25%,(TblConstr[[#This Row],[Tot Fac]]+TblConstr[[#This Row],[Dest Fac]])/(TblConstr[[#This Row],[Land]]-TblExplore[[#This Row],[Land Bonus]]*20))</f>
        <v>0</v>
      </c>
      <c r="AJ107" s="180">
        <f ca="1">MIN(25%,(TblConstr[[#This Row],[Tot Fac]]+TblConstr[[#This Row],[Dest Fac]])/TblConstr[[#This Row],[Land]])</f>
        <v>0</v>
      </c>
      <c r="AK107" s="94">
        <f ca="1">TblProd[[#This Row],[Platinum]]</f>
        <v>203766</v>
      </c>
      <c r="AL107" s="94">
        <f ca="1">TblProd[[#This Row],[Lumber]]</f>
        <v>69809</v>
      </c>
      <c r="AM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7" s="94">
        <f ca="1">ROUNDDOWN( MAX(1 - MIN(facs_constr_factor*TblConstr[[#This Row],[Facs -DB]],facs_constr_max) + tech_1_11*TblTech[[#This Row],[11-1]] + tech_6_3_2*TblTech[[#This Row],[6-3]] + tech_5_2_3*TblTech[[#This Row],[5-2]], 1-global_constr_cap) * TblConstr[[#This Row],[RCPA Lumber]],0)</f>
        <v>48</v>
      </c>
      <c r="AO10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7" s="94">
        <f ca="1">ROUNDDOWN( MAX(1 - MIN(facs_constr_factor*TblConstr[[#This Row],[Facs DB]],facs_constr_max) + tech_1_11*TblTech[[#This Row],[1-11]] + tech_6_3_2*TblTech[[#This Row],[6-3]] + tech_5_2_3*TblTech[[#This Row],[5-2]], 1-global_constr_cap) * ROUND((TblConstr[[#This Row],[Land]]-250)*0.285 + 87.5 + 0/4.25,0),0)</f>
        <v>48</v>
      </c>
      <c r="AQ107" s="45">
        <f ca="1">TblConstr[[#This Row],[build -db]]*TblConstr[[#This Row],[CPA Platinum -DB]] + TblConstr[[#This Row],[build db]]*TblConstr[[#This Row],[CPA Platinum DB]]</f>
        <v>0</v>
      </c>
      <c r="AR107" s="45">
        <f ca="1">TblConstr[[#This Row],[build -db]]*TblConstr[[#This Row],[CPA Lumber -DB]] + TblConstr[[#This Row],[build db]]*TblConstr[[#This Row],[CPA Lumber DB]]</f>
        <v>0</v>
      </c>
      <c r="AS107" s="94">
        <f ca="1">MIN(SUM(OFFSET(TblConstr[[#This Row],[Plain]:[Water]],-1,0))+SUM(TblConstr[[#This Row],[Dest Hom]:[Dest Doc]])+IF(TblConstr[[#This Row],[Hour]]&gt;12,SUM(OFFSET(TblExplore[[#This Row],[Plains Explore]:[Water Explore]],-12,0)),0),SUM(TblConstr[[#This Row],[Hom]:[Doc]]))</f>
        <v>0</v>
      </c>
      <c r="AT10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7" s="142"/>
      <c r="AV107" s="94">
        <f ca="1">ROUND((TblConstr[[#This Row],[Land]]-250 - IF(TblExplore[[#This Row],[Land Bonus]]&lt;&gt;0,20,0))*1.25 + 850 + 0,0)</f>
        <v>675</v>
      </c>
      <c r="AW107" s="94">
        <f ca="1">ROUND((TblConstr[[#This Row],[Land]]-250 - IF(TblExplore[[#This Row],[Land Bonus]]&lt;&gt;0,20,0))*0.285 + 87.5 + 0/4.25,0)</f>
        <v>48</v>
      </c>
      <c r="AX107" s="154"/>
      <c r="AY107" s="188" cm="1">
        <f t="array" aca="1" ref="AY107" ca="1">IF(TblConstr[[#This Row],[Hour]:[Hour]]&gt;12,OFFSET(TblConstr[[#This Row],[Hom]],-12,0),0)+OFFSET(TblConstr[[#This Row],[Tot Hom]],-1,0)-TblConstr[[#This Row],[Dest Hom]]</f>
        <v>0</v>
      </c>
      <c r="AZ107" s="189" cm="1">
        <f t="array" aca="1" ref="AZ107" ca="1">IF(TblConstr[[#This Row],[Hour]:[Hour]]&gt;12,OFFSET(TblConstr[[#This Row],[Alc]],-12,0),0)+OFFSET(TblConstr[[#This Row],[Tot Alc]],-1,0)-TblConstr[[#This Row],[Dest Alc]]</f>
        <v>0</v>
      </c>
      <c r="BA107" s="189" cm="1">
        <f t="array" aca="1" ref="BA107" ca="1">IF(TblConstr[[#This Row],[Hour]:[Hour]]&gt;12,OFFSET(TblConstr[[#This Row],[Far]],-12,0),0)+OFFSET(TblConstr[[#This Row],[Tot Farm]],-1,0)-TblConstr[[#This Row],[Dest Farm]]</f>
        <v>30</v>
      </c>
      <c r="BB107" s="189" cm="1">
        <f t="array" aca="1" ref="BB107" ca="1">IF(TblConstr[[#This Row],[Hour]:[Hour]]&gt;12,OFFSET(TblConstr[[#This Row],[Smi]],-12,0),0)+OFFSET(TblConstr[[#This Row],[Tot Smi]],-1,0)-TblConstr[[#This Row],[Dest Smi]]</f>
        <v>0</v>
      </c>
      <c r="BC107" s="189" cm="1">
        <f t="array" aca="1" ref="BC107" ca="1">IF(TblConstr[[#This Row],[Hour]:[Hour]]&gt;12,OFFSET(TblConstr[[#This Row],[Mas]],-12,0),0)+OFFSET(TblConstr[[#This Row],[Tot Mas]],-1,0)-TblConstr[[#This Row],[Dest Mas]]</f>
        <v>0</v>
      </c>
      <c r="BD107" s="190" cm="1">
        <f t="array" aca="1" ref="BD107" ca="1">IF(TblConstr[[#This Row],[Hour]:[Hour]]&gt;12,OFFSET(TblConstr[[#This Row],[Ly]],-12,0),0)+OFFSET(TblConstr[[#This Row],[Tot Ly]],-1,0)-TblConstr[[#This Row],[Dest Ly]]</f>
        <v>20</v>
      </c>
      <c r="BE107" s="190" cm="1">
        <f t="array" aca="1" ref="BE107" ca="1">IF(TblConstr[[#This Row],[Hour]:[Hour]]&gt;12,OFFSET(TblConstr[[#This Row],[Hav]],-12,0),0)+OFFSET(TblConstr[[#This Row],[Tot Hav]],-1,0)-TblConstr[[#This Row],[Dest Hav]]</f>
        <v>0</v>
      </c>
      <c r="BF107" s="361" cm="1">
        <f t="array" aca="1" ref="BF107" ca="1">IF(TblConstr[[#This Row],[Hour]:[Hour]]&gt;12,OFFSET(TblConstr[[#This Row],[OM]],-12,0),0)+OFFSET(TblConstr[[#This Row],[Tot OM]],-1,0)-TblConstr[[#This Row],[Dest OM]]</f>
        <v>0</v>
      </c>
      <c r="BG107" s="361" cm="1">
        <f t="array" aca="1" ref="BG107" ca="1">IF(TblConstr[[#This Row],[Hour]:[Hour]]&gt;12,OFFSET(TblConstr[[#This Row],[GN]],-12,0),0)+OFFSET(TblConstr[[#This Row],[Tot GN]],-1,0)-TblConstr[[#This Row],[Dest GN]]</f>
        <v>0</v>
      </c>
      <c r="BH107" s="365" cm="1">
        <f t="array" aca="1" ref="BH107" ca="1">IF(TblConstr[[#This Row],[Hour]:[Hour]]&gt;12,OFFSET(TblConstr[[#This Row],[Fac]],-12,0),0)+OFFSET(TblConstr[[#This Row],[Tot Fac]],-1,0)-TblConstr[[#This Row],[Dest Fac]]</f>
        <v>0</v>
      </c>
      <c r="BI107" s="365" cm="1">
        <f t="array" aca="1" ref="BI107" ca="1">IF(TblConstr[[#This Row],[Hour]:[Hour]]&gt;12,OFFSET(TblConstr[[#This Row],[GT]],-12,0),0)+OFFSET(TblConstr[[#This Row],[Tot GT]],-1,0)-TblConstr[[#This Row],[Dest GT]]</f>
        <v>0</v>
      </c>
      <c r="BJ107" s="365" cm="1">
        <f t="array" aca="1" ref="BJ107" ca="1">IF(TblConstr[[#This Row],[Hour]:[Hour]]&gt;12,OFFSET(TblConstr[[#This Row],[Bar]],-12,0),0)+OFFSET(TblConstr[[#This Row],[Tot Bar]],-1,0)-TblConstr[[#This Row],[Dest Bar]]</f>
        <v>0</v>
      </c>
      <c r="BK107" s="365" cm="1">
        <f t="array" aca="1" ref="BK107" ca="1">IF(TblConstr[[#This Row],[Hour]:[Hour]]&gt;12,OFFSET(TblConstr[[#This Row],[Shr]],-12,0),0)+OFFSET(TblConstr[[#This Row],[Tot Shr]],-1,0)-TblConstr[[#This Row],[Dest Shr]]</f>
        <v>0</v>
      </c>
      <c r="BL107" s="369" cm="1">
        <f t="array" aca="1" ref="BL107" ca="1">IF(TblConstr[[#This Row],[Hour]:[Hour]]&gt;12,OFFSET(TblConstr[[#This Row],[Tow]],-12,0),0)+OFFSET(TblConstr[[#This Row],[Tot Tow]],-1,0)-TblConstr[[#This Row],[Dest Tow]]</f>
        <v>0</v>
      </c>
      <c r="BM107" s="369" cm="1">
        <f t="array" aca="1" ref="BM107" ca="1">IF(TblConstr[[#This Row],[Hour]:[Hour]]&gt;12,OFFSET(TblConstr[[#This Row],[Tem]],-12,0),0)+OFFSET(TblConstr[[#This Row],[Tot Tem]],-1,0)-TblConstr[[#This Row],[Dest Tem]]</f>
        <v>0</v>
      </c>
      <c r="BN107" s="369" cm="1">
        <f t="array" aca="1" ref="BN107" ca="1">IF(TblConstr[[#This Row],[Hour]:[Hour]]&gt;12,OFFSET(TblConstr[[#This Row],[WG]],-12,0),0)+OFFSET(TblConstr[[#This Row],[Tot WG]],-1,0)-TblConstr[[#This Row],[Dest WG]]</f>
        <v>0</v>
      </c>
      <c r="BO107" s="191" cm="1">
        <f t="array" aca="1" ref="BO107" ca="1">IF(TblConstr[[#This Row],[Hour]:[Hour]]&gt;12,OFFSET(TblConstr[[#This Row],[DM]],-12,0),0)+OFFSET(TblConstr[[#This Row],[Tot DM]],-1,0)-TblConstr[[#This Row],[Dest DM]]</f>
        <v>0</v>
      </c>
      <c r="BP107" s="191" cm="1">
        <f t="array" aca="1" ref="BP107" ca="1">IF(TblConstr[[#This Row],[Hour]:[Hour]]&gt;12,OFFSET(TblConstr[[#This Row],[Sch]],-12,0),0)+OFFSET(TblConstr[[#This Row],[Tot Sch]],-1,0)-TblConstr[[#This Row],[Dest Sch]]</f>
        <v>0</v>
      </c>
      <c r="BQ107" s="192" cm="1">
        <f t="array" aca="1" ref="BQ107" ca="1">IF(TblConstr[[#This Row],[Hour]:[Hour]]&gt;12,OFFSET(TblConstr[[#This Row],[Doc]],-12,0),0)+OFFSET(TblConstr[[#This Row],[Tot Doc]],-1,0)-TblConstr[[#This Row],[Dest Doc]]</f>
        <v>0</v>
      </c>
      <c r="BR107" s="142"/>
      <c r="BS107" s="154"/>
      <c r="BT107" s="94">
        <f ca="1">TblConstr[[#This Row],[Land]]</f>
        <v>110</v>
      </c>
      <c r="BU107" s="159">
        <f ca="1">TblImps[[#This Row],[Time]]</f>
        <v>46051.291666666417</v>
      </c>
      <c r="BV107" s="142"/>
      <c r="BW107" s="179"/>
      <c r="BX107" s="179"/>
      <c r="BY107" s="179"/>
      <c r="BZ107" s="179"/>
      <c r="CA107" s="179"/>
      <c r="CB107" s="179"/>
      <c r="CC107" s="179"/>
      <c r="CD107" s="179"/>
      <c r="CE107" s="179"/>
      <c r="CF107" s="179"/>
      <c r="CG107" s="179"/>
      <c r="CH107" s="179"/>
      <c r="CI107" s="179"/>
      <c r="CJ107" s="179"/>
      <c r="CK107" s="179"/>
      <c r="CL107" s="179"/>
      <c r="CM107" s="179"/>
      <c r="CN107" s="179"/>
      <c r="CO107" s="179"/>
      <c r="CP107" s="142"/>
      <c r="CQ107" s="181">
        <f ca="1">-SUM(TblConstr[[#This Row],[Alc]:[Mas]])+SUM(TblConstr[[#This Row],[Dest Alc]:[Dest Mas]])+Rezone!L107+IF("Ch_"&amp; home_land=TblConstr[[#Headers],[Ch_Plain]],TblConstr[[#This Row],[Home Land]])+IF(TblConstr[[#This Row],[Hour]:[Hour]]&gt;12,OFFSET(TblExplore[[#This Row],[Plains Explore]],-12,0),0)</f>
        <v>0</v>
      </c>
      <c r="CR107" s="182">
        <f ca="1">-SUM(TblConstr[[#This Row],[Ly]:[Hav]])+SUM(TblConstr[[#This Row],[Dest Ly]:[Dest Hav]]) +Rezone!M107 + IF("Ch_"&amp; home_land=TblConstr[[#Headers],[Ch_Forest]],TblConstr[[#This Row],[Home Land]])+IF(TblConstr[[#This Row],[Hour]:[Hour]]&gt;12,OFFSET(TblExplore[[#This Row],[Forest Explore]],-12,0),0)</f>
        <v>0</v>
      </c>
      <c r="CS107" s="359">
        <f ca="1">-SUM(TblConstr[[#This Row],[OM]:[GN]])+SUM(TblConstr[[#This Row],[Dest OM]:[Dest GN]]) +Rezone!N107 + IF("Ch_"&amp; home_land=TblConstr[[#Headers],[Ch_Mountain]],TblConstr[[#This Row],[Home Land]])+IF(TblConstr[[#This Row],[Hour]:[Hour]]&gt;12,OFFSET(TblExplore[[#This Row],[Mountain Explore]],-12,0),0)</f>
        <v>0</v>
      </c>
      <c r="CT107" s="183">
        <f ca="1">-SUM(TblConstr[[#This Row],[Fac]:[Shr]])+SUM(TblConstr[[#This Row],[Dest Fac]:[Dest Shr]]) +Rezone!O107 + IF("Ch_" &amp; home_land=TblConstr[[#Headers],[Ch_Hill]],TblConstr[[#This Row],[Home Land]])+IF(TblConstr[[#This Row],[Hour]:[Hour]]&gt;12,OFFSET(TblExplore[[#This Row],[Hill Explore]],-12,0),0)</f>
        <v>0</v>
      </c>
      <c r="CU107" s="184">
        <f ca="1">-SUM(TblConstr[[#This Row],[Tow]:[WG]])+SUM(TblConstr[[#This Row],[Dest Tow]:[Dest WG]]) +Rezone!P107 + IF("Ch_" &amp; home_land=TblConstr[[#Headers],[Ch_Swamp]],TblConstr[[#This Row],[Home Land]])+IF(TblConstr[[#This Row],[Hour]:[Hour]]&gt;12,OFFSET(TblExplore[[#This Row],[Swamp Explore]],-12,0),0)</f>
        <v>0</v>
      </c>
      <c r="CV107" s="185">
        <f ca="1" xml:space="preserve"> - SUM(TblConstr[[#This Row],[DM]:[Sch]])+SUM(TblConstr[[#This Row],[Dest DM]:[Dest Sch]]) +Rezone!Q107 + IF("Ch_" &amp; home_land=TblConstr[[#Headers],[Ch_Cavern]],TblConstr[[#This Row],[Home Land]])+IF(TblConstr[[#This Row],[Hour]:[Hour]]&gt;12,OFFSET(TblExplore[[#This Row],[Cavern Explore]],-12,0),0)</f>
        <v>0</v>
      </c>
      <c r="CW107" s="186">
        <f ca="1">-TblConstr[[#This Row],[Doc]]+TblConstr[[#This Row],[Dest Doc]] +Rezone!R107 + IF("Ch_" &amp; home_land=TblConstr[[#Headers],[Ch_Water]],TblConstr[[#This Row],[Home Land]])+IF(TblConstr[[#This Row],[Hour]:[Hour]]&gt;12,OFFSET(TblExplore[[#This Row],[Water Explore]],-12,0),0)</f>
        <v>0</v>
      </c>
      <c r="CX107" s="45">
        <f>IF(Explore!S107=1,20) - TblConstr[[#This Row],[Hom]] + TblConstr[[#This Row],[Dest Hom]]</f>
        <v>0</v>
      </c>
      <c r="CY107" s="142"/>
      <c r="CZ107" s="94">
        <f t="shared" ca="1" si="23"/>
        <v>90</v>
      </c>
      <c r="DA107" s="94">
        <f t="shared" ca="1" si="24"/>
        <v>20</v>
      </c>
      <c r="DB107" s="45">
        <f t="shared" ca="1" si="25"/>
        <v>0</v>
      </c>
      <c r="DC107" s="94">
        <f t="shared" ca="1" si="26"/>
        <v>0</v>
      </c>
      <c r="DD107" s="94">
        <f t="shared" ca="1" si="27"/>
        <v>0</v>
      </c>
      <c r="DE107" s="45">
        <f t="shared" ca="1" si="28"/>
        <v>0</v>
      </c>
      <c r="DF107" s="94">
        <f t="shared" ca="1" si="29"/>
        <v>0</v>
      </c>
      <c r="DG107" s="94" cm="1">
        <f t="array" aca="1" ref="DG107" ca="1">INDEX(TblConstr[[Total Plain]:[Total Water]],ROW()-ROW(TblConstr[#Headers]),MATCH("Total "&amp;home_land,TblConstr[[#Headers],[Total Plain]:[Total Water]],0))+TblConstr[[#This Row],[Homes]]</f>
        <v>90</v>
      </c>
      <c r="DH107" s="45">
        <f t="shared" ca="1" si="22"/>
        <v>0</v>
      </c>
      <c r="DI107" s="45">
        <f t="shared" ca="1" si="19"/>
        <v>0</v>
      </c>
      <c r="DJ107" s="45">
        <f t="shared" ca="1" si="20"/>
        <v>0</v>
      </c>
    </row>
    <row r="108" spans="1:114" x14ac:dyDescent="0.2">
      <c r="A108" s="175">
        <f>TblRezone[[#This Row],[Hour]]</f>
        <v>105</v>
      </c>
      <c r="B108" s="176">
        <f ca="1">SUM(TblConstr[[#This Row],[Plain]:[Water]])</f>
        <v>60</v>
      </c>
      <c r="C108" s="177">
        <f ca="1">SUM(TblConstr[[#This Row],[Tot Hom]:[Tot Doc]])</f>
        <v>50</v>
      </c>
      <c r="D108" s="177">
        <f t="shared" si="21"/>
        <v>0</v>
      </c>
      <c r="E108" s="178"/>
      <c r="F108" s="61">
        <f ca="1">TblConstr[[#This Row],[Barren]]+TblConstr[[#This Row],[Buildings]]+TblConstr[[#This Row],[Incoming]]</f>
        <v>110</v>
      </c>
      <c r="G108" s="187">
        <f ca="1">OFFSET(TblConstr[[#This Row],[Plain]],-1,0)+TblConstr[[#This Row],[Ch_Plain]]</f>
        <v>60</v>
      </c>
      <c r="H108" s="182">
        <f ca="1">OFFSET(TblConstr[[#This Row],[Forest]],-1,0)+TblConstr[[#This Row],[Ch_Forest]]</f>
        <v>0</v>
      </c>
      <c r="I108" s="359">
        <f ca="1">OFFSET(TblConstr[[#This Row],[Mountain]],-1,0)+TblConstr[[#This Row],[Ch_Mountain]]</f>
        <v>0</v>
      </c>
      <c r="J108" s="363">
        <f ca="1">OFFSET(TblConstr[[#This Row],[Hill]],-1,0)+TblConstr[[#This Row],[Ch_Hill]]</f>
        <v>0</v>
      </c>
      <c r="K108" s="367">
        <f ca="1">OFFSET(TblConstr[[#This Row],[Swamp]],-1,0)+TblConstr[[#This Row],[Ch_Swamp]]</f>
        <v>0</v>
      </c>
      <c r="L108" s="185">
        <f ca="1">OFFSET(TblConstr[[#This Row],[Cavern]],-1,0)+TblConstr[[#This Row],[Ch_Cavern]]</f>
        <v>0</v>
      </c>
      <c r="M108" s="186">
        <f ca="1">OFFSET(TblConstr[[#This Row],[Water]],-1,0)+TblConstr[[#This Row],[Ch_Water]]</f>
        <v>0</v>
      </c>
      <c r="N108" s="357">
        <f>TblRezone[[#This Row],[Hour]]</f>
        <v>105</v>
      </c>
      <c r="O108" s="179"/>
      <c r="P108" s="179"/>
      <c r="Q108" s="179"/>
      <c r="R108" s="158"/>
      <c r="S108" s="179"/>
      <c r="T108" s="179"/>
      <c r="U108" s="179"/>
      <c r="V108" s="179"/>
      <c r="W108" s="179"/>
      <c r="X108" s="179"/>
      <c r="Y108" s="179"/>
      <c r="Z108" s="179"/>
      <c r="AA108" s="179"/>
      <c r="AB108" s="179"/>
      <c r="AC108" s="179"/>
      <c r="AD108" s="179"/>
      <c r="AE108" s="179"/>
      <c r="AF108" s="179"/>
      <c r="AG108" s="179"/>
      <c r="AH108" s="53">
        <f ca="1">TblImps[[#This Row],[Time]]</f>
        <v>46051.333333333081</v>
      </c>
      <c r="AI108" s="180">
        <f ca="1">MIN(25%,(TblConstr[[#This Row],[Tot Fac]]+TblConstr[[#This Row],[Dest Fac]])/(TblConstr[[#This Row],[Land]]-TblExplore[[#This Row],[Land Bonus]]*20))</f>
        <v>0</v>
      </c>
      <c r="AJ108" s="180">
        <f ca="1">MIN(25%,(TblConstr[[#This Row],[Tot Fac]]+TblConstr[[#This Row],[Dest Fac]])/TblConstr[[#This Row],[Land]])</f>
        <v>0</v>
      </c>
      <c r="AK108" s="94">
        <f ca="1">TblProd[[#This Row],[Platinum]]</f>
        <v>204724</v>
      </c>
      <c r="AL108" s="94">
        <f ca="1">TblProd[[#This Row],[Lumber]]</f>
        <v>70111</v>
      </c>
      <c r="AM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8" s="94">
        <f ca="1">ROUNDDOWN( MAX(1 - MIN(facs_constr_factor*TblConstr[[#This Row],[Facs -DB]],facs_constr_max) + tech_1_11*TblTech[[#This Row],[11-1]] + tech_6_3_2*TblTech[[#This Row],[6-3]] + tech_5_2_3*TblTech[[#This Row],[5-2]], 1-global_constr_cap) * TblConstr[[#This Row],[RCPA Lumber]],0)</f>
        <v>48</v>
      </c>
      <c r="AO10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8" s="94">
        <f ca="1">ROUNDDOWN( MAX(1 - MIN(facs_constr_factor*TblConstr[[#This Row],[Facs DB]],facs_constr_max) + tech_1_11*TblTech[[#This Row],[1-11]] + tech_6_3_2*TblTech[[#This Row],[6-3]] + tech_5_2_3*TblTech[[#This Row],[5-2]], 1-global_constr_cap) * ROUND((TblConstr[[#This Row],[Land]]-250)*0.285 + 87.5 + 0/4.25,0),0)</f>
        <v>48</v>
      </c>
      <c r="AQ108" s="45">
        <f ca="1">TblConstr[[#This Row],[build -db]]*TblConstr[[#This Row],[CPA Platinum -DB]] + TblConstr[[#This Row],[build db]]*TblConstr[[#This Row],[CPA Platinum DB]]</f>
        <v>0</v>
      </c>
      <c r="AR108" s="45">
        <f ca="1">TblConstr[[#This Row],[build -db]]*TblConstr[[#This Row],[CPA Lumber -DB]] + TblConstr[[#This Row],[build db]]*TblConstr[[#This Row],[CPA Lumber DB]]</f>
        <v>0</v>
      </c>
      <c r="AS108" s="94">
        <f ca="1">MIN(SUM(OFFSET(TblConstr[[#This Row],[Plain]:[Water]],-1,0))+SUM(TblConstr[[#This Row],[Dest Hom]:[Dest Doc]])+IF(TblConstr[[#This Row],[Hour]]&gt;12,SUM(OFFSET(TblExplore[[#This Row],[Plains Explore]:[Water Explore]],-12,0)),0),SUM(TblConstr[[#This Row],[Hom]:[Doc]]))</f>
        <v>0</v>
      </c>
      <c r="AT10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8" s="142"/>
      <c r="AV108" s="94">
        <f ca="1">ROUND((TblConstr[[#This Row],[Land]]-250 - IF(TblExplore[[#This Row],[Land Bonus]]&lt;&gt;0,20,0))*1.25 + 850 + 0,0)</f>
        <v>675</v>
      </c>
      <c r="AW108" s="94">
        <f ca="1">ROUND((TblConstr[[#This Row],[Land]]-250 - IF(TblExplore[[#This Row],[Land Bonus]]&lt;&gt;0,20,0))*0.285 + 87.5 + 0/4.25,0)</f>
        <v>48</v>
      </c>
      <c r="AX108" s="154"/>
      <c r="AY108" s="188" cm="1">
        <f t="array" aca="1" ref="AY108" ca="1">IF(TblConstr[[#This Row],[Hour]:[Hour]]&gt;12,OFFSET(TblConstr[[#This Row],[Hom]],-12,0),0)+OFFSET(TblConstr[[#This Row],[Tot Hom]],-1,0)-TblConstr[[#This Row],[Dest Hom]]</f>
        <v>0</v>
      </c>
      <c r="AZ108" s="189" cm="1">
        <f t="array" aca="1" ref="AZ108" ca="1">IF(TblConstr[[#This Row],[Hour]:[Hour]]&gt;12,OFFSET(TblConstr[[#This Row],[Alc]],-12,0),0)+OFFSET(TblConstr[[#This Row],[Tot Alc]],-1,0)-TblConstr[[#This Row],[Dest Alc]]</f>
        <v>0</v>
      </c>
      <c r="BA108" s="189" cm="1">
        <f t="array" aca="1" ref="BA108" ca="1">IF(TblConstr[[#This Row],[Hour]:[Hour]]&gt;12,OFFSET(TblConstr[[#This Row],[Far]],-12,0),0)+OFFSET(TblConstr[[#This Row],[Tot Farm]],-1,0)-TblConstr[[#This Row],[Dest Farm]]</f>
        <v>30</v>
      </c>
      <c r="BB108" s="189" cm="1">
        <f t="array" aca="1" ref="BB108" ca="1">IF(TblConstr[[#This Row],[Hour]:[Hour]]&gt;12,OFFSET(TblConstr[[#This Row],[Smi]],-12,0),0)+OFFSET(TblConstr[[#This Row],[Tot Smi]],-1,0)-TblConstr[[#This Row],[Dest Smi]]</f>
        <v>0</v>
      </c>
      <c r="BC108" s="189" cm="1">
        <f t="array" aca="1" ref="BC108" ca="1">IF(TblConstr[[#This Row],[Hour]:[Hour]]&gt;12,OFFSET(TblConstr[[#This Row],[Mas]],-12,0),0)+OFFSET(TblConstr[[#This Row],[Tot Mas]],-1,0)-TblConstr[[#This Row],[Dest Mas]]</f>
        <v>0</v>
      </c>
      <c r="BD108" s="190" cm="1">
        <f t="array" aca="1" ref="BD108" ca="1">IF(TblConstr[[#This Row],[Hour]:[Hour]]&gt;12,OFFSET(TblConstr[[#This Row],[Ly]],-12,0),0)+OFFSET(TblConstr[[#This Row],[Tot Ly]],-1,0)-TblConstr[[#This Row],[Dest Ly]]</f>
        <v>20</v>
      </c>
      <c r="BE108" s="190" cm="1">
        <f t="array" aca="1" ref="BE108" ca="1">IF(TblConstr[[#This Row],[Hour]:[Hour]]&gt;12,OFFSET(TblConstr[[#This Row],[Hav]],-12,0),0)+OFFSET(TblConstr[[#This Row],[Tot Hav]],-1,0)-TblConstr[[#This Row],[Dest Hav]]</f>
        <v>0</v>
      </c>
      <c r="BF108" s="361" cm="1">
        <f t="array" aca="1" ref="BF108" ca="1">IF(TblConstr[[#This Row],[Hour]:[Hour]]&gt;12,OFFSET(TblConstr[[#This Row],[OM]],-12,0),0)+OFFSET(TblConstr[[#This Row],[Tot OM]],-1,0)-TblConstr[[#This Row],[Dest OM]]</f>
        <v>0</v>
      </c>
      <c r="BG108" s="361" cm="1">
        <f t="array" aca="1" ref="BG108" ca="1">IF(TblConstr[[#This Row],[Hour]:[Hour]]&gt;12,OFFSET(TblConstr[[#This Row],[GN]],-12,0),0)+OFFSET(TblConstr[[#This Row],[Tot GN]],-1,0)-TblConstr[[#This Row],[Dest GN]]</f>
        <v>0</v>
      </c>
      <c r="BH108" s="365" cm="1">
        <f t="array" aca="1" ref="BH108" ca="1">IF(TblConstr[[#This Row],[Hour]:[Hour]]&gt;12,OFFSET(TblConstr[[#This Row],[Fac]],-12,0),0)+OFFSET(TblConstr[[#This Row],[Tot Fac]],-1,0)-TblConstr[[#This Row],[Dest Fac]]</f>
        <v>0</v>
      </c>
      <c r="BI108" s="365" cm="1">
        <f t="array" aca="1" ref="BI108" ca="1">IF(TblConstr[[#This Row],[Hour]:[Hour]]&gt;12,OFFSET(TblConstr[[#This Row],[GT]],-12,0),0)+OFFSET(TblConstr[[#This Row],[Tot GT]],-1,0)-TblConstr[[#This Row],[Dest GT]]</f>
        <v>0</v>
      </c>
      <c r="BJ108" s="365" cm="1">
        <f t="array" aca="1" ref="BJ108" ca="1">IF(TblConstr[[#This Row],[Hour]:[Hour]]&gt;12,OFFSET(TblConstr[[#This Row],[Bar]],-12,0),0)+OFFSET(TblConstr[[#This Row],[Tot Bar]],-1,0)-TblConstr[[#This Row],[Dest Bar]]</f>
        <v>0</v>
      </c>
      <c r="BK108" s="365" cm="1">
        <f t="array" aca="1" ref="BK108" ca="1">IF(TblConstr[[#This Row],[Hour]:[Hour]]&gt;12,OFFSET(TblConstr[[#This Row],[Shr]],-12,0),0)+OFFSET(TblConstr[[#This Row],[Tot Shr]],-1,0)-TblConstr[[#This Row],[Dest Shr]]</f>
        <v>0</v>
      </c>
      <c r="BL108" s="369" cm="1">
        <f t="array" aca="1" ref="BL108" ca="1">IF(TblConstr[[#This Row],[Hour]:[Hour]]&gt;12,OFFSET(TblConstr[[#This Row],[Tow]],-12,0),0)+OFFSET(TblConstr[[#This Row],[Tot Tow]],-1,0)-TblConstr[[#This Row],[Dest Tow]]</f>
        <v>0</v>
      </c>
      <c r="BM108" s="369" cm="1">
        <f t="array" aca="1" ref="BM108" ca="1">IF(TblConstr[[#This Row],[Hour]:[Hour]]&gt;12,OFFSET(TblConstr[[#This Row],[Tem]],-12,0),0)+OFFSET(TblConstr[[#This Row],[Tot Tem]],-1,0)-TblConstr[[#This Row],[Dest Tem]]</f>
        <v>0</v>
      </c>
      <c r="BN108" s="369" cm="1">
        <f t="array" aca="1" ref="BN108" ca="1">IF(TblConstr[[#This Row],[Hour]:[Hour]]&gt;12,OFFSET(TblConstr[[#This Row],[WG]],-12,0),0)+OFFSET(TblConstr[[#This Row],[Tot WG]],-1,0)-TblConstr[[#This Row],[Dest WG]]</f>
        <v>0</v>
      </c>
      <c r="BO108" s="191" cm="1">
        <f t="array" aca="1" ref="BO108" ca="1">IF(TblConstr[[#This Row],[Hour]:[Hour]]&gt;12,OFFSET(TblConstr[[#This Row],[DM]],-12,0),0)+OFFSET(TblConstr[[#This Row],[Tot DM]],-1,0)-TblConstr[[#This Row],[Dest DM]]</f>
        <v>0</v>
      </c>
      <c r="BP108" s="191" cm="1">
        <f t="array" aca="1" ref="BP108" ca="1">IF(TblConstr[[#This Row],[Hour]:[Hour]]&gt;12,OFFSET(TblConstr[[#This Row],[Sch]],-12,0),0)+OFFSET(TblConstr[[#This Row],[Tot Sch]],-1,0)-TblConstr[[#This Row],[Dest Sch]]</f>
        <v>0</v>
      </c>
      <c r="BQ108" s="192" cm="1">
        <f t="array" aca="1" ref="BQ108" ca="1">IF(TblConstr[[#This Row],[Hour]:[Hour]]&gt;12,OFFSET(TblConstr[[#This Row],[Doc]],-12,0),0)+OFFSET(TblConstr[[#This Row],[Tot Doc]],-1,0)-TblConstr[[#This Row],[Dest Doc]]</f>
        <v>0</v>
      </c>
      <c r="BR108" s="142"/>
      <c r="BS108" s="154"/>
      <c r="BT108" s="94">
        <f ca="1">TblConstr[[#This Row],[Land]]</f>
        <v>110</v>
      </c>
      <c r="BU108" s="159">
        <f ca="1">TblImps[[#This Row],[Time]]</f>
        <v>46051.333333333081</v>
      </c>
      <c r="BV108" s="142"/>
      <c r="BW108" s="179"/>
      <c r="BX108" s="179"/>
      <c r="BY108" s="179"/>
      <c r="BZ108" s="179"/>
      <c r="CA108" s="179"/>
      <c r="CB108" s="179"/>
      <c r="CC108" s="179"/>
      <c r="CD108" s="179"/>
      <c r="CE108" s="179"/>
      <c r="CF108" s="179"/>
      <c r="CG108" s="179"/>
      <c r="CH108" s="179"/>
      <c r="CI108" s="179"/>
      <c r="CJ108" s="179"/>
      <c r="CK108" s="179"/>
      <c r="CL108" s="179"/>
      <c r="CM108" s="179"/>
      <c r="CN108" s="179"/>
      <c r="CO108" s="179"/>
      <c r="CP108" s="142"/>
      <c r="CQ108" s="181">
        <f ca="1">-SUM(TblConstr[[#This Row],[Alc]:[Mas]])+SUM(TblConstr[[#This Row],[Dest Alc]:[Dest Mas]])+Rezone!L108+IF("Ch_"&amp; home_land=TblConstr[[#Headers],[Ch_Plain]],TblConstr[[#This Row],[Home Land]])+IF(TblConstr[[#This Row],[Hour]:[Hour]]&gt;12,OFFSET(TblExplore[[#This Row],[Plains Explore]],-12,0),0)</f>
        <v>0</v>
      </c>
      <c r="CR108" s="182">
        <f ca="1">-SUM(TblConstr[[#This Row],[Ly]:[Hav]])+SUM(TblConstr[[#This Row],[Dest Ly]:[Dest Hav]]) +Rezone!M108 + IF("Ch_"&amp; home_land=TblConstr[[#Headers],[Ch_Forest]],TblConstr[[#This Row],[Home Land]])+IF(TblConstr[[#This Row],[Hour]:[Hour]]&gt;12,OFFSET(TblExplore[[#This Row],[Forest Explore]],-12,0),0)</f>
        <v>0</v>
      </c>
      <c r="CS108" s="359">
        <f ca="1">-SUM(TblConstr[[#This Row],[OM]:[GN]])+SUM(TblConstr[[#This Row],[Dest OM]:[Dest GN]]) +Rezone!N108 + IF("Ch_"&amp; home_land=TblConstr[[#Headers],[Ch_Mountain]],TblConstr[[#This Row],[Home Land]])+IF(TblConstr[[#This Row],[Hour]:[Hour]]&gt;12,OFFSET(TblExplore[[#This Row],[Mountain Explore]],-12,0),0)</f>
        <v>0</v>
      </c>
      <c r="CT108" s="183">
        <f ca="1">-SUM(TblConstr[[#This Row],[Fac]:[Shr]])+SUM(TblConstr[[#This Row],[Dest Fac]:[Dest Shr]]) +Rezone!O108 + IF("Ch_" &amp; home_land=TblConstr[[#Headers],[Ch_Hill]],TblConstr[[#This Row],[Home Land]])+IF(TblConstr[[#This Row],[Hour]:[Hour]]&gt;12,OFFSET(TblExplore[[#This Row],[Hill Explore]],-12,0),0)</f>
        <v>0</v>
      </c>
      <c r="CU108" s="184">
        <f ca="1">-SUM(TblConstr[[#This Row],[Tow]:[WG]])+SUM(TblConstr[[#This Row],[Dest Tow]:[Dest WG]]) +Rezone!P108 + IF("Ch_" &amp; home_land=TblConstr[[#Headers],[Ch_Swamp]],TblConstr[[#This Row],[Home Land]])+IF(TblConstr[[#This Row],[Hour]:[Hour]]&gt;12,OFFSET(TblExplore[[#This Row],[Swamp Explore]],-12,0),0)</f>
        <v>0</v>
      </c>
      <c r="CV108" s="185">
        <f ca="1" xml:space="preserve"> - SUM(TblConstr[[#This Row],[DM]:[Sch]])+SUM(TblConstr[[#This Row],[Dest DM]:[Dest Sch]]) +Rezone!Q108 + IF("Ch_" &amp; home_land=TblConstr[[#Headers],[Ch_Cavern]],TblConstr[[#This Row],[Home Land]])+IF(TblConstr[[#This Row],[Hour]:[Hour]]&gt;12,OFFSET(TblExplore[[#This Row],[Cavern Explore]],-12,0),0)</f>
        <v>0</v>
      </c>
      <c r="CW108" s="186">
        <f ca="1">-TblConstr[[#This Row],[Doc]]+TblConstr[[#This Row],[Dest Doc]] +Rezone!R108 + IF("Ch_" &amp; home_land=TblConstr[[#Headers],[Ch_Water]],TblConstr[[#This Row],[Home Land]])+IF(TblConstr[[#This Row],[Hour]:[Hour]]&gt;12,OFFSET(TblExplore[[#This Row],[Water Explore]],-12,0),0)</f>
        <v>0</v>
      </c>
      <c r="CX108" s="45">
        <f>IF(Explore!S108=1,20) - TblConstr[[#This Row],[Hom]] + TblConstr[[#This Row],[Dest Hom]]</f>
        <v>0</v>
      </c>
      <c r="CY108" s="142"/>
      <c r="CZ108" s="94">
        <f t="shared" ca="1" si="23"/>
        <v>90</v>
      </c>
      <c r="DA108" s="94">
        <f t="shared" ca="1" si="24"/>
        <v>20</v>
      </c>
      <c r="DB108" s="45">
        <f t="shared" ca="1" si="25"/>
        <v>0</v>
      </c>
      <c r="DC108" s="94">
        <f t="shared" ca="1" si="26"/>
        <v>0</v>
      </c>
      <c r="DD108" s="94">
        <f t="shared" ca="1" si="27"/>
        <v>0</v>
      </c>
      <c r="DE108" s="45">
        <f t="shared" ca="1" si="28"/>
        <v>0</v>
      </c>
      <c r="DF108" s="94">
        <f t="shared" ca="1" si="29"/>
        <v>0</v>
      </c>
      <c r="DG108" s="94" cm="1">
        <f t="array" aca="1" ref="DG108" ca="1">INDEX(TblConstr[[Total Plain]:[Total Water]],ROW()-ROW(TblConstr[#Headers]),MATCH("Total "&amp;home_land,TblConstr[[#Headers],[Total Plain]:[Total Water]],0))+TblConstr[[#This Row],[Homes]]</f>
        <v>90</v>
      </c>
      <c r="DH108" s="45">
        <f t="shared" ca="1" si="22"/>
        <v>0</v>
      </c>
      <c r="DI108" s="45">
        <f t="shared" ca="1" si="19"/>
        <v>0</v>
      </c>
      <c r="DJ108" s="45">
        <f t="shared" ca="1" si="20"/>
        <v>0</v>
      </c>
    </row>
    <row r="109" spans="1:114" x14ac:dyDescent="0.2">
      <c r="A109" s="175">
        <f>TblRezone[[#This Row],[Hour]]</f>
        <v>106</v>
      </c>
      <c r="B109" s="176">
        <f ca="1">SUM(TblConstr[[#This Row],[Plain]:[Water]])</f>
        <v>60</v>
      </c>
      <c r="C109" s="177">
        <f ca="1">SUM(TblConstr[[#This Row],[Tot Hom]:[Tot Doc]])</f>
        <v>50</v>
      </c>
      <c r="D109" s="177">
        <f t="shared" si="21"/>
        <v>0</v>
      </c>
      <c r="E109" s="178"/>
      <c r="F109" s="61">
        <f ca="1">TblConstr[[#This Row],[Barren]]+TblConstr[[#This Row],[Buildings]]+TblConstr[[#This Row],[Incoming]]</f>
        <v>110</v>
      </c>
      <c r="G109" s="187">
        <f ca="1">OFFSET(TblConstr[[#This Row],[Plain]],-1,0)+TblConstr[[#This Row],[Ch_Plain]]</f>
        <v>60</v>
      </c>
      <c r="H109" s="182">
        <f ca="1">OFFSET(TblConstr[[#This Row],[Forest]],-1,0)+TblConstr[[#This Row],[Ch_Forest]]</f>
        <v>0</v>
      </c>
      <c r="I109" s="359">
        <f ca="1">OFFSET(TblConstr[[#This Row],[Mountain]],-1,0)+TblConstr[[#This Row],[Ch_Mountain]]</f>
        <v>0</v>
      </c>
      <c r="J109" s="363">
        <f ca="1">OFFSET(TblConstr[[#This Row],[Hill]],-1,0)+TblConstr[[#This Row],[Ch_Hill]]</f>
        <v>0</v>
      </c>
      <c r="K109" s="367">
        <f ca="1">OFFSET(TblConstr[[#This Row],[Swamp]],-1,0)+TblConstr[[#This Row],[Ch_Swamp]]</f>
        <v>0</v>
      </c>
      <c r="L109" s="185">
        <f ca="1">OFFSET(TblConstr[[#This Row],[Cavern]],-1,0)+TblConstr[[#This Row],[Ch_Cavern]]</f>
        <v>0</v>
      </c>
      <c r="M109" s="186">
        <f ca="1">OFFSET(TblConstr[[#This Row],[Water]],-1,0)+TblConstr[[#This Row],[Ch_Water]]</f>
        <v>0</v>
      </c>
      <c r="N109" s="357">
        <f>TblRezone[[#This Row],[Hour]]</f>
        <v>106</v>
      </c>
      <c r="O109" s="179"/>
      <c r="P109" s="179"/>
      <c r="Q109" s="179"/>
      <c r="R109" s="158"/>
      <c r="S109" s="179"/>
      <c r="T109" s="179"/>
      <c r="U109" s="179"/>
      <c r="V109" s="179"/>
      <c r="W109" s="179"/>
      <c r="X109" s="179"/>
      <c r="Y109" s="179"/>
      <c r="Z109" s="179"/>
      <c r="AA109" s="179"/>
      <c r="AB109" s="179"/>
      <c r="AC109" s="179"/>
      <c r="AD109" s="179"/>
      <c r="AE109" s="179"/>
      <c r="AF109" s="179"/>
      <c r="AG109" s="179"/>
      <c r="AH109" s="53">
        <f ca="1">TblImps[[#This Row],[Time]]</f>
        <v>46051.374999999745</v>
      </c>
      <c r="AI109" s="180">
        <f ca="1">MIN(25%,(TblConstr[[#This Row],[Tot Fac]]+TblConstr[[#This Row],[Dest Fac]])/(TblConstr[[#This Row],[Land]]-TblExplore[[#This Row],[Land Bonus]]*20))</f>
        <v>0</v>
      </c>
      <c r="AJ109" s="180">
        <f ca="1">MIN(25%,(TblConstr[[#This Row],[Tot Fac]]+TblConstr[[#This Row],[Dest Fac]])/TblConstr[[#This Row],[Land]])</f>
        <v>0</v>
      </c>
      <c r="AK109" s="94">
        <f ca="1">TblProd[[#This Row],[Platinum]]</f>
        <v>205671</v>
      </c>
      <c r="AL109" s="94">
        <f ca="1">TblProd[[#This Row],[Lumber]]</f>
        <v>70410</v>
      </c>
      <c r="AM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09" s="94">
        <f ca="1">ROUNDDOWN( MAX(1 - MIN(facs_constr_factor*TblConstr[[#This Row],[Facs -DB]],facs_constr_max) + tech_1_11*TblTech[[#This Row],[11-1]] + tech_6_3_2*TblTech[[#This Row],[6-3]] + tech_5_2_3*TblTech[[#This Row],[5-2]], 1-global_constr_cap) * TblConstr[[#This Row],[RCPA Lumber]],0)</f>
        <v>48</v>
      </c>
      <c r="AO10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09" s="94">
        <f ca="1">ROUNDDOWN( MAX(1 - MIN(facs_constr_factor*TblConstr[[#This Row],[Facs DB]],facs_constr_max) + tech_1_11*TblTech[[#This Row],[1-11]] + tech_6_3_2*TblTech[[#This Row],[6-3]] + tech_5_2_3*TblTech[[#This Row],[5-2]], 1-global_constr_cap) * ROUND((TblConstr[[#This Row],[Land]]-250)*0.285 + 87.5 + 0/4.25,0),0)</f>
        <v>48</v>
      </c>
      <c r="AQ109" s="45">
        <f ca="1">TblConstr[[#This Row],[build -db]]*TblConstr[[#This Row],[CPA Platinum -DB]] + TblConstr[[#This Row],[build db]]*TblConstr[[#This Row],[CPA Platinum DB]]</f>
        <v>0</v>
      </c>
      <c r="AR109" s="45">
        <f ca="1">TblConstr[[#This Row],[build -db]]*TblConstr[[#This Row],[CPA Lumber -DB]] + TblConstr[[#This Row],[build db]]*TblConstr[[#This Row],[CPA Lumber DB]]</f>
        <v>0</v>
      </c>
      <c r="AS109" s="94">
        <f ca="1">MIN(SUM(OFFSET(TblConstr[[#This Row],[Plain]:[Water]],-1,0))+SUM(TblConstr[[#This Row],[Dest Hom]:[Dest Doc]])+IF(TblConstr[[#This Row],[Hour]]&gt;12,SUM(OFFSET(TblExplore[[#This Row],[Plains Explore]:[Water Explore]],-12,0)),0),SUM(TblConstr[[#This Row],[Hom]:[Doc]]))</f>
        <v>0</v>
      </c>
      <c r="AT10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09" s="142"/>
      <c r="AV109" s="94">
        <f ca="1">ROUND((TblConstr[[#This Row],[Land]]-250 - IF(TblExplore[[#This Row],[Land Bonus]]&lt;&gt;0,20,0))*1.25 + 850 + 0,0)</f>
        <v>675</v>
      </c>
      <c r="AW109" s="94">
        <f ca="1">ROUND((TblConstr[[#This Row],[Land]]-250 - IF(TblExplore[[#This Row],[Land Bonus]]&lt;&gt;0,20,0))*0.285 + 87.5 + 0/4.25,0)</f>
        <v>48</v>
      </c>
      <c r="AX109" s="154"/>
      <c r="AY109" s="188" cm="1">
        <f t="array" aca="1" ref="AY109" ca="1">IF(TblConstr[[#This Row],[Hour]:[Hour]]&gt;12,OFFSET(TblConstr[[#This Row],[Hom]],-12,0),0)+OFFSET(TblConstr[[#This Row],[Tot Hom]],-1,0)-TblConstr[[#This Row],[Dest Hom]]</f>
        <v>0</v>
      </c>
      <c r="AZ109" s="189" cm="1">
        <f t="array" aca="1" ref="AZ109" ca="1">IF(TblConstr[[#This Row],[Hour]:[Hour]]&gt;12,OFFSET(TblConstr[[#This Row],[Alc]],-12,0),0)+OFFSET(TblConstr[[#This Row],[Tot Alc]],-1,0)-TblConstr[[#This Row],[Dest Alc]]</f>
        <v>0</v>
      </c>
      <c r="BA109" s="189" cm="1">
        <f t="array" aca="1" ref="BA109" ca="1">IF(TblConstr[[#This Row],[Hour]:[Hour]]&gt;12,OFFSET(TblConstr[[#This Row],[Far]],-12,0),0)+OFFSET(TblConstr[[#This Row],[Tot Farm]],-1,0)-TblConstr[[#This Row],[Dest Farm]]</f>
        <v>30</v>
      </c>
      <c r="BB109" s="189" cm="1">
        <f t="array" aca="1" ref="BB109" ca="1">IF(TblConstr[[#This Row],[Hour]:[Hour]]&gt;12,OFFSET(TblConstr[[#This Row],[Smi]],-12,0),0)+OFFSET(TblConstr[[#This Row],[Tot Smi]],-1,0)-TblConstr[[#This Row],[Dest Smi]]</f>
        <v>0</v>
      </c>
      <c r="BC109" s="189" cm="1">
        <f t="array" aca="1" ref="BC109" ca="1">IF(TblConstr[[#This Row],[Hour]:[Hour]]&gt;12,OFFSET(TblConstr[[#This Row],[Mas]],-12,0),0)+OFFSET(TblConstr[[#This Row],[Tot Mas]],-1,0)-TblConstr[[#This Row],[Dest Mas]]</f>
        <v>0</v>
      </c>
      <c r="BD109" s="190" cm="1">
        <f t="array" aca="1" ref="BD109" ca="1">IF(TblConstr[[#This Row],[Hour]:[Hour]]&gt;12,OFFSET(TblConstr[[#This Row],[Ly]],-12,0),0)+OFFSET(TblConstr[[#This Row],[Tot Ly]],-1,0)-TblConstr[[#This Row],[Dest Ly]]</f>
        <v>20</v>
      </c>
      <c r="BE109" s="190" cm="1">
        <f t="array" aca="1" ref="BE109" ca="1">IF(TblConstr[[#This Row],[Hour]:[Hour]]&gt;12,OFFSET(TblConstr[[#This Row],[Hav]],-12,0),0)+OFFSET(TblConstr[[#This Row],[Tot Hav]],-1,0)-TblConstr[[#This Row],[Dest Hav]]</f>
        <v>0</v>
      </c>
      <c r="BF109" s="361" cm="1">
        <f t="array" aca="1" ref="BF109" ca="1">IF(TblConstr[[#This Row],[Hour]:[Hour]]&gt;12,OFFSET(TblConstr[[#This Row],[OM]],-12,0),0)+OFFSET(TblConstr[[#This Row],[Tot OM]],-1,0)-TblConstr[[#This Row],[Dest OM]]</f>
        <v>0</v>
      </c>
      <c r="BG109" s="361" cm="1">
        <f t="array" aca="1" ref="BG109" ca="1">IF(TblConstr[[#This Row],[Hour]:[Hour]]&gt;12,OFFSET(TblConstr[[#This Row],[GN]],-12,0),0)+OFFSET(TblConstr[[#This Row],[Tot GN]],-1,0)-TblConstr[[#This Row],[Dest GN]]</f>
        <v>0</v>
      </c>
      <c r="BH109" s="365" cm="1">
        <f t="array" aca="1" ref="BH109" ca="1">IF(TblConstr[[#This Row],[Hour]:[Hour]]&gt;12,OFFSET(TblConstr[[#This Row],[Fac]],-12,0),0)+OFFSET(TblConstr[[#This Row],[Tot Fac]],-1,0)-TblConstr[[#This Row],[Dest Fac]]</f>
        <v>0</v>
      </c>
      <c r="BI109" s="365" cm="1">
        <f t="array" aca="1" ref="BI109" ca="1">IF(TblConstr[[#This Row],[Hour]:[Hour]]&gt;12,OFFSET(TblConstr[[#This Row],[GT]],-12,0),0)+OFFSET(TblConstr[[#This Row],[Tot GT]],-1,0)-TblConstr[[#This Row],[Dest GT]]</f>
        <v>0</v>
      </c>
      <c r="BJ109" s="365" cm="1">
        <f t="array" aca="1" ref="BJ109" ca="1">IF(TblConstr[[#This Row],[Hour]:[Hour]]&gt;12,OFFSET(TblConstr[[#This Row],[Bar]],-12,0),0)+OFFSET(TblConstr[[#This Row],[Tot Bar]],-1,0)-TblConstr[[#This Row],[Dest Bar]]</f>
        <v>0</v>
      </c>
      <c r="BK109" s="365" cm="1">
        <f t="array" aca="1" ref="BK109" ca="1">IF(TblConstr[[#This Row],[Hour]:[Hour]]&gt;12,OFFSET(TblConstr[[#This Row],[Shr]],-12,0),0)+OFFSET(TblConstr[[#This Row],[Tot Shr]],-1,0)-TblConstr[[#This Row],[Dest Shr]]</f>
        <v>0</v>
      </c>
      <c r="BL109" s="369" cm="1">
        <f t="array" aca="1" ref="BL109" ca="1">IF(TblConstr[[#This Row],[Hour]:[Hour]]&gt;12,OFFSET(TblConstr[[#This Row],[Tow]],-12,0),0)+OFFSET(TblConstr[[#This Row],[Tot Tow]],-1,0)-TblConstr[[#This Row],[Dest Tow]]</f>
        <v>0</v>
      </c>
      <c r="BM109" s="369" cm="1">
        <f t="array" aca="1" ref="BM109" ca="1">IF(TblConstr[[#This Row],[Hour]:[Hour]]&gt;12,OFFSET(TblConstr[[#This Row],[Tem]],-12,0),0)+OFFSET(TblConstr[[#This Row],[Tot Tem]],-1,0)-TblConstr[[#This Row],[Dest Tem]]</f>
        <v>0</v>
      </c>
      <c r="BN109" s="369" cm="1">
        <f t="array" aca="1" ref="BN109" ca="1">IF(TblConstr[[#This Row],[Hour]:[Hour]]&gt;12,OFFSET(TblConstr[[#This Row],[WG]],-12,0),0)+OFFSET(TblConstr[[#This Row],[Tot WG]],-1,0)-TblConstr[[#This Row],[Dest WG]]</f>
        <v>0</v>
      </c>
      <c r="BO109" s="191" cm="1">
        <f t="array" aca="1" ref="BO109" ca="1">IF(TblConstr[[#This Row],[Hour]:[Hour]]&gt;12,OFFSET(TblConstr[[#This Row],[DM]],-12,0),0)+OFFSET(TblConstr[[#This Row],[Tot DM]],-1,0)-TblConstr[[#This Row],[Dest DM]]</f>
        <v>0</v>
      </c>
      <c r="BP109" s="191" cm="1">
        <f t="array" aca="1" ref="BP109" ca="1">IF(TblConstr[[#This Row],[Hour]:[Hour]]&gt;12,OFFSET(TblConstr[[#This Row],[Sch]],-12,0),0)+OFFSET(TblConstr[[#This Row],[Tot Sch]],-1,0)-TblConstr[[#This Row],[Dest Sch]]</f>
        <v>0</v>
      </c>
      <c r="BQ109" s="192" cm="1">
        <f t="array" aca="1" ref="BQ109" ca="1">IF(TblConstr[[#This Row],[Hour]:[Hour]]&gt;12,OFFSET(TblConstr[[#This Row],[Doc]],-12,0),0)+OFFSET(TblConstr[[#This Row],[Tot Doc]],-1,0)-TblConstr[[#This Row],[Dest Doc]]</f>
        <v>0</v>
      </c>
      <c r="BR109" s="142"/>
      <c r="BS109" s="154"/>
      <c r="BT109" s="94">
        <f ca="1">TblConstr[[#This Row],[Land]]</f>
        <v>110</v>
      </c>
      <c r="BU109" s="159">
        <f ca="1">TblImps[[#This Row],[Time]]</f>
        <v>46051.374999999745</v>
      </c>
      <c r="BV109" s="142"/>
      <c r="BW109" s="179"/>
      <c r="BX109" s="179"/>
      <c r="BY109" s="179"/>
      <c r="BZ109" s="179"/>
      <c r="CA109" s="179"/>
      <c r="CB109" s="179"/>
      <c r="CC109" s="179"/>
      <c r="CD109" s="179"/>
      <c r="CE109" s="179"/>
      <c r="CF109" s="179"/>
      <c r="CG109" s="179"/>
      <c r="CH109" s="179"/>
      <c r="CI109" s="179"/>
      <c r="CJ109" s="179"/>
      <c r="CK109" s="179"/>
      <c r="CL109" s="179"/>
      <c r="CM109" s="179"/>
      <c r="CN109" s="179"/>
      <c r="CO109" s="179"/>
      <c r="CP109" s="142"/>
      <c r="CQ109" s="181">
        <f ca="1">-SUM(TblConstr[[#This Row],[Alc]:[Mas]])+SUM(TblConstr[[#This Row],[Dest Alc]:[Dest Mas]])+Rezone!L109+IF("Ch_"&amp; home_land=TblConstr[[#Headers],[Ch_Plain]],TblConstr[[#This Row],[Home Land]])+IF(TblConstr[[#This Row],[Hour]:[Hour]]&gt;12,OFFSET(TblExplore[[#This Row],[Plains Explore]],-12,0),0)</f>
        <v>0</v>
      </c>
      <c r="CR109" s="182">
        <f ca="1">-SUM(TblConstr[[#This Row],[Ly]:[Hav]])+SUM(TblConstr[[#This Row],[Dest Ly]:[Dest Hav]]) +Rezone!M109 + IF("Ch_"&amp; home_land=TblConstr[[#Headers],[Ch_Forest]],TblConstr[[#This Row],[Home Land]])+IF(TblConstr[[#This Row],[Hour]:[Hour]]&gt;12,OFFSET(TblExplore[[#This Row],[Forest Explore]],-12,0),0)</f>
        <v>0</v>
      </c>
      <c r="CS109" s="359">
        <f ca="1">-SUM(TblConstr[[#This Row],[OM]:[GN]])+SUM(TblConstr[[#This Row],[Dest OM]:[Dest GN]]) +Rezone!N109 + IF("Ch_"&amp; home_land=TblConstr[[#Headers],[Ch_Mountain]],TblConstr[[#This Row],[Home Land]])+IF(TblConstr[[#This Row],[Hour]:[Hour]]&gt;12,OFFSET(TblExplore[[#This Row],[Mountain Explore]],-12,0),0)</f>
        <v>0</v>
      </c>
      <c r="CT109" s="183">
        <f ca="1">-SUM(TblConstr[[#This Row],[Fac]:[Shr]])+SUM(TblConstr[[#This Row],[Dest Fac]:[Dest Shr]]) +Rezone!O109 + IF("Ch_" &amp; home_land=TblConstr[[#Headers],[Ch_Hill]],TblConstr[[#This Row],[Home Land]])+IF(TblConstr[[#This Row],[Hour]:[Hour]]&gt;12,OFFSET(TblExplore[[#This Row],[Hill Explore]],-12,0),0)</f>
        <v>0</v>
      </c>
      <c r="CU109" s="184">
        <f ca="1">-SUM(TblConstr[[#This Row],[Tow]:[WG]])+SUM(TblConstr[[#This Row],[Dest Tow]:[Dest WG]]) +Rezone!P109 + IF("Ch_" &amp; home_land=TblConstr[[#Headers],[Ch_Swamp]],TblConstr[[#This Row],[Home Land]])+IF(TblConstr[[#This Row],[Hour]:[Hour]]&gt;12,OFFSET(TblExplore[[#This Row],[Swamp Explore]],-12,0),0)</f>
        <v>0</v>
      </c>
      <c r="CV109" s="185">
        <f ca="1" xml:space="preserve"> - SUM(TblConstr[[#This Row],[DM]:[Sch]])+SUM(TblConstr[[#This Row],[Dest DM]:[Dest Sch]]) +Rezone!Q109 + IF("Ch_" &amp; home_land=TblConstr[[#Headers],[Ch_Cavern]],TblConstr[[#This Row],[Home Land]])+IF(TblConstr[[#This Row],[Hour]:[Hour]]&gt;12,OFFSET(TblExplore[[#This Row],[Cavern Explore]],-12,0),0)</f>
        <v>0</v>
      </c>
      <c r="CW109" s="186">
        <f ca="1">-TblConstr[[#This Row],[Doc]]+TblConstr[[#This Row],[Dest Doc]] +Rezone!R109 + IF("Ch_" &amp; home_land=TblConstr[[#Headers],[Ch_Water]],TblConstr[[#This Row],[Home Land]])+IF(TblConstr[[#This Row],[Hour]:[Hour]]&gt;12,OFFSET(TblExplore[[#This Row],[Water Explore]],-12,0),0)</f>
        <v>0</v>
      </c>
      <c r="CX109" s="45">
        <f>IF(Explore!S109=1,20) - TblConstr[[#This Row],[Hom]] + TblConstr[[#This Row],[Dest Hom]]</f>
        <v>0</v>
      </c>
      <c r="CY109" s="142"/>
      <c r="CZ109" s="94">
        <f t="shared" ca="1" si="23"/>
        <v>90</v>
      </c>
      <c r="DA109" s="94">
        <f t="shared" ca="1" si="24"/>
        <v>20</v>
      </c>
      <c r="DB109" s="45">
        <f t="shared" ca="1" si="25"/>
        <v>0</v>
      </c>
      <c r="DC109" s="94">
        <f t="shared" ca="1" si="26"/>
        <v>0</v>
      </c>
      <c r="DD109" s="94">
        <f t="shared" ca="1" si="27"/>
        <v>0</v>
      </c>
      <c r="DE109" s="45">
        <f t="shared" ca="1" si="28"/>
        <v>0</v>
      </c>
      <c r="DF109" s="94">
        <f t="shared" ca="1" si="29"/>
        <v>0</v>
      </c>
      <c r="DG109" s="94" cm="1">
        <f t="array" aca="1" ref="DG109" ca="1">INDEX(TblConstr[[Total Plain]:[Total Water]],ROW()-ROW(TblConstr[#Headers]),MATCH("Total "&amp;home_land,TblConstr[[#Headers],[Total Plain]:[Total Water]],0))+TblConstr[[#This Row],[Homes]]</f>
        <v>90</v>
      </c>
      <c r="DH109" s="45">
        <f t="shared" ca="1" si="22"/>
        <v>0</v>
      </c>
      <c r="DI109" s="45">
        <f t="shared" ca="1" si="19"/>
        <v>0</v>
      </c>
      <c r="DJ109" s="45">
        <f t="shared" ca="1" si="20"/>
        <v>0</v>
      </c>
    </row>
    <row r="110" spans="1:114" x14ac:dyDescent="0.2">
      <c r="A110" s="175">
        <f>TblRezone[[#This Row],[Hour]]</f>
        <v>107</v>
      </c>
      <c r="B110" s="176">
        <f ca="1">SUM(TblConstr[[#This Row],[Plain]:[Water]])</f>
        <v>60</v>
      </c>
      <c r="C110" s="177">
        <f ca="1">SUM(TblConstr[[#This Row],[Tot Hom]:[Tot Doc]])</f>
        <v>50</v>
      </c>
      <c r="D110" s="177">
        <f t="shared" si="21"/>
        <v>0</v>
      </c>
      <c r="E110" s="178"/>
      <c r="F110" s="61">
        <f ca="1">TblConstr[[#This Row],[Barren]]+TblConstr[[#This Row],[Buildings]]+TblConstr[[#This Row],[Incoming]]</f>
        <v>110</v>
      </c>
      <c r="G110" s="187">
        <f ca="1">OFFSET(TblConstr[[#This Row],[Plain]],-1,0)+TblConstr[[#This Row],[Ch_Plain]]</f>
        <v>60</v>
      </c>
      <c r="H110" s="182">
        <f ca="1">OFFSET(TblConstr[[#This Row],[Forest]],-1,0)+TblConstr[[#This Row],[Ch_Forest]]</f>
        <v>0</v>
      </c>
      <c r="I110" s="359">
        <f ca="1">OFFSET(TblConstr[[#This Row],[Mountain]],-1,0)+TblConstr[[#This Row],[Ch_Mountain]]</f>
        <v>0</v>
      </c>
      <c r="J110" s="363">
        <f ca="1">OFFSET(TblConstr[[#This Row],[Hill]],-1,0)+TblConstr[[#This Row],[Ch_Hill]]</f>
        <v>0</v>
      </c>
      <c r="K110" s="367">
        <f ca="1">OFFSET(TblConstr[[#This Row],[Swamp]],-1,0)+TblConstr[[#This Row],[Ch_Swamp]]</f>
        <v>0</v>
      </c>
      <c r="L110" s="185">
        <f ca="1">OFFSET(TblConstr[[#This Row],[Cavern]],-1,0)+TblConstr[[#This Row],[Ch_Cavern]]</f>
        <v>0</v>
      </c>
      <c r="M110" s="186">
        <f ca="1">OFFSET(TblConstr[[#This Row],[Water]],-1,0)+TblConstr[[#This Row],[Ch_Water]]</f>
        <v>0</v>
      </c>
      <c r="N110" s="357">
        <f>TblRezone[[#This Row],[Hour]]</f>
        <v>107</v>
      </c>
      <c r="O110" s="179"/>
      <c r="P110" s="179"/>
      <c r="Q110" s="179"/>
      <c r="R110" s="158"/>
      <c r="S110" s="179"/>
      <c r="T110" s="179"/>
      <c r="U110" s="179"/>
      <c r="V110" s="179"/>
      <c r="W110" s="179"/>
      <c r="X110" s="179"/>
      <c r="Y110" s="179"/>
      <c r="Z110" s="179"/>
      <c r="AA110" s="179"/>
      <c r="AB110" s="179"/>
      <c r="AC110" s="179"/>
      <c r="AD110" s="179"/>
      <c r="AE110" s="179"/>
      <c r="AF110" s="179"/>
      <c r="AG110" s="179"/>
      <c r="AH110" s="53">
        <f ca="1">TblImps[[#This Row],[Time]]</f>
        <v>46051.41666666641</v>
      </c>
      <c r="AI110" s="180">
        <f ca="1">MIN(25%,(TblConstr[[#This Row],[Tot Fac]]+TblConstr[[#This Row],[Dest Fac]])/(TblConstr[[#This Row],[Land]]-TblExplore[[#This Row],[Land Bonus]]*20))</f>
        <v>0</v>
      </c>
      <c r="AJ110" s="180">
        <f ca="1">MIN(25%,(TblConstr[[#This Row],[Tot Fac]]+TblConstr[[#This Row],[Dest Fac]])/TblConstr[[#This Row],[Land]])</f>
        <v>0</v>
      </c>
      <c r="AK110" s="94">
        <f ca="1">TblProd[[#This Row],[Platinum]]</f>
        <v>206607</v>
      </c>
      <c r="AL110" s="94">
        <f ca="1">TblProd[[#This Row],[Lumber]]</f>
        <v>70706</v>
      </c>
      <c r="AM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0" s="94">
        <f ca="1">ROUNDDOWN( MAX(1 - MIN(facs_constr_factor*TblConstr[[#This Row],[Facs -DB]],facs_constr_max) + tech_1_11*TblTech[[#This Row],[11-1]] + tech_6_3_2*TblTech[[#This Row],[6-3]] + tech_5_2_3*TblTech[[#This Row],[5-2]], 1-global_constr_cap) * TblConstr[[#This Row],[RCPA Lumber]],0)</f>
        <v>48</v>
      </c>
      <c r="AO11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0" s="94">
        <f ca="1">ROUNDDOWN( MAX(1 - MIN(facs_constr_factor*TblConstr[[#This Row],[Facs DB]],facs_constr_max) + tech_1_11*TblTech[[#This Row],[1-11]] + tech_6_3_2*TblTech[[#This Row],[6-3]] + tech_5_2_3*TblTech[[#This Row],[5-2]], 1-global_constr_cap) * ROUND((TblConstr[[#This Row],[Land]]-250)*0.285 + 87.5 + 0/4.25,0),0)</f>
        <v>48</v>
      </c>
      <c r="AQ110" s="45">
        <f ca="1">TblConstr[[#This Row],[build -db]]*TblConstr[[#This Row],[CPA Platinum -DB]] + TblConstr[[#This Row],[build db]]*TblConstr[[#This Row],[CPA Platinum DB]]</f>
        <v>0</v>
      </c>
      <c r="AR110" s="45">
        <f ca="1">TblConstr[[#This Row],[build -db]]*TblConstr[[#This Row],[CPA Lumber -DB]] + TblConstr[[#This Row],[build db]]*TblConstr[[#This Row],[CPA Lumber DB]]</f>
        <v>0</v>
      </c>
      <c r="AS110" s="94">
        <f ca="1">MIN(SUM(OFFSET(TblConstr[[#This Row],[Plain]:[Water]],-1,0))+SUM(TblConstr[[#This Row],[Dest Hom]:[Dest Doc]])+IF(TblConstr[[#This Row],[Hour]]&gt;12,SUM(OFFSET(TblExplore[[#This Row],[Plains Explore]:[Water Explore]],-12,0)),0),SUM(TblConstr[[#This Row],[Hom]:[Doc]]))</f>
        <v>0</v>
      </c>
      <c r="AT11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0" s="142"/>
      <c r="AV110" s="94">
        <f ca="1">ROUND((TblConstr[[#This Row],[Land]]-250 - IF(TblExplore[[#This Row],[Land Bonus]]&lt;&gt;0,20,0))*1.25 + 850 + 0,0)</f>
        <v>675</v>
      </c>
      <c r="AW110" s="94">
        <f ca="1">ROUND((TblConstr[[#This Row],[Land]]-250 - IF(TblExplore[[#This Row],[Land Bonus]]&lt;&gt;0,20,0))*0.285 + 87.5 + 0/4.25,0)</f>
        <v>48</v>
      </c>
      <c r="AX110" s="154"/>
      <c r="AY110" s="188" cm="1">
        <f t="array" aca="1" ref="AY110" ca="1">IF(TblConstr[[#This Row],[Hour]:[Hour]]&gt;12,OFFSET(TblConstr[[#This Row],[Hom]],-12,0),0)+OFFSET(TblConstr[[#This Row],[Tot Hom]],-1,0)-TblConstr[[#This Row],[Dest Hom]]</f>
        <v>0</v>
      </c>
      <c r="AZ110" s="189" cm="1">
        <f t="array" aca="1" ref="AZ110" ca="1">IF(TblConstr[[#This Row],[Hour]:[Hour]]&gt;12,OFFSET(TblConstr[[#This Row],[Alc]],-12,0),0)+OFFSET(TblConstr[[#This Row],[Tot Alc]],-1,0)-TblConstr[[#This Row],[Dest Alc]]</f>
        <v>0</v>
      </c>
      <c r="BA110" s="189" cm="1">
        <f t="array" aca="1" ref="BA110" ca="1">IF(TblConstr[[#This Row],[Hour]:[Hour]]&gt;12,OFFSET(TblConstr[[#This Row],[Far]],-12,0),0)+OFFSET(TblConstr[[#This Row],[Tot Farm]],-1,0)-TblConstr[[#This Row],[Dest Farm]]</f>
        <v>30</v>
      </c>
      <c r="BB110" s="189" cm="1">
        <f t="array" aca="1" ref="BB110" ca="1">IF(TblConstr[[#This Row],[Hour]:[Hour]]&gt;12,OFFSET(TblConstr[[#This Row],[Smi]],-12,0),0)+OFFSET(TblConstr[[#This Row],[Tot Smi]],-1,0)-TblConstr[[#This Row],[Dest Smi]]</f>
        <v>0</v>
      </c>
      <c r="BC110" s="189" cm="1">
        <f t="array" aca="1" ref="BC110" ca="1">IF(TblConstr[[#This Row],[Hour]:[Hour]]&gt;12,OFFSET(TblConstr[[#This Row],[Mas]],-12,0),0)+OFFSET(TblConstr[[#This Row],[Tot Mas]],-1,0)-TblConstr[[#This Row],[Dest Mas]]</f>
        <v>0</v>
      </c>
      <c r="BD110" s="190" cm="1">
        <f t="array" aca="1" ref="BD110" ca="1">IF(TblConstr[[#This Row],[Hour]:[Hour]]&gt;12,OFFSET(TblConstr[[#This Row],[Ly]],-12,0),0)+OFFSET(TblConstr[[#This Row],[Tot Ly]],-1,0)-TblConstr[[#This Row],[Dest Ly]]</f>
        <v>20</v>
      </c>
      <c r="BE110" s="190" cm="1">
        <f t="array" aca="1" ref="BE110" ca="1">IF(TblConstr[[#This Row],[Hour]:[Hour]]&gt;12,OFFSET(TblConstr[[#This Row],[Hav]],-12,0),0)+OFFSET(TblConstr[[#This Row],[Tot Hav]],-1,0)-TblConstr[[#This Row],[Dest Hav]]</f>
        <v>0</v>
      </c>
      <c r="BF110" s="361" cm="1">
        <f t="array" aca="1" ref="BF110" ca="1">IF(TblConstr[[#This Row],[Hour]:[Hour]]&gt;12,OFFSET(TblConstr[[#This Row],[OM]],-12,0),0)+OFFSET(TblConstr[[#This Row],[Tot OM]],-1,0)-TblConstr[[#This Row],[Dest OM]]</f>
        <v>0</v>
      </c>
      <c r="BG110" s="361" cm="1">
        <f t="array" aca="1" ref="BG110" ca="1">IF(TblConstr[[#This Row],[Hour]:[Hour]]&gt;12,OFFSET(TblConstr[[#This Row],[GN]],-12,0),0)+OFFSET(TblConstr[[#This Row],[Tot GN]],-1,0)-TblConstr[[#This Row],[Dest GN]]</f>
        <v>0</v>
      </c>
      <c r="BH110" s="365" cm="1">
        <f t="array" aca="1" ref="BH110" ca="1">IF(TblConstr[[#This Row],[Hour]:[Hour]]&gt;12,OFFSET(TblConstr[[#This Row],[Fac]],-12,0),0)+OFFSET(TblConstr[[#This Row],[Tot Fac]],-1,0)-TblConstr[[#This Row],[Dest Fac]]</f>
        <v>0</v>
      </c>
      <c r="BI110" s="365" cm="1">
        <f t="array" aca="1" ref="BI110" ca="1">IF(TblConstr[[#This Row],[Hour]:[Hour]]&gt;12,OFFSET(TblConstr[[#This Row],[GT]],-12,0),0)+OFFSET(TblConstr[[#This Row],[Tot GT]],-1,0)-TblConstr[[#This Row],[Dest GT]]</f>
        <v>0</v>
      </c>
      <c r="BJ110" s="365" cm="1">
        <f t="array" aca="1" ref="BJ110" ca="1">IF(TblConstr[[#This Row],[Hour]:[Hour]]&gt;12,OFFSET(TblConstr[[#This Row],[Bar]],-12,0),0)+OFFSET(TblConstr[[#This Row],[Tot Bar]],-1,0)-TblConstr[[#This Row],[Dest Bar]]</f>
        <v>0</v>
      </c>
      <c r="BK110" s="365" cm="1">
        <f t="array" aca="1" ref="BK110" ca="1">IF(TblConstr[[#This Row],[Hour]:[Hour]]&gt;12,OFFSET(TblConstr[[#This Row],[Shr]],-12,0),0)+OFFSET(TblConstr[[#This Row],[Tot Shr]],-1,0)-TblConstr[[#This Row],[Dest Shr]]</f>
        <v>0</v>
      </c>
      <c r="BL110" s="369" cm="1">
        <f t="array" aca="1" ref="BL110" ca="1">IF(TblConstr[[#This Row],[Hour]:[Hour]]&gt;12,OFFSET(TblConstr[[#This Row],[Tow]],-12,0),0)+OFFSET(TblConstr[[#This Row],[Tot Tow]],-1,0)-TblConstr[[#This Row],[Dest Tow]]</f>
        <v>0</v>
      </c>
      <c r="BM110" s="369" cm="1">
        <f t="array" aca="1" ref="BM110" ca="1">IF(TblConstr[[#This Row],[Hour]:[Hour]]&gt;12,OFFSET(TblConstr[[#This Row],[Tem]],-12,0),0)+OFFSET(TblConstr[[#This Row],[Tot Tem]],-1,0)-TblConstr[[#This Row],[Dest Tem]]</f>
        <v>0</v>
      </c>
      <c r="BN110" s="369" cm="1">
        <f t="array" aca="1" ref="BN110" ca="1">IF(TblConstr[[#This Row],[Hour]:[Hour]]&gt;12,OFFSET(TblConstr[[#This Row],[WG]],-12,0),0)+OFFSET(TblConstr[[#This Row],[Tot WG]],-1,0)-TblConstr[[#This Row],[Dest WG]]</f>
        <v>0</v>
      </c>
      <c r="BO110" s="191" cm="1">
        <f t="array" aca="1" ref="BO110" ca="1">IF(TblConstr[[#This Row],[Hour]:[Hour]]&gt;12,OFFSET(TblConstr[[#This Row],[DM]],-12,0),0)+OFFSET(TblConstr[[#This Row],[Tot DM]],-1,0)-TblConstr[[#This Row],[Dest DM]]</f>
        <v>0</v>
      </c>
      <c r="BP110" s="191" cm="1">
        <f t="array" aca="1" ref="BP110" ca="1">IF(TblConstr[[#This Row],[Hour]:[Hour]]&gt;12,OFFSET(TblConstr[[#This Row],[Sch]],-12,0),0)+OFFSET(TblConstr[[#This Row],[Tot Sch]],-1,0)-TblConstr[[#This Row],[Dest Sch]]</f>
        <v>0</v>
      </c>
      <c r="BQ110" s="192" cm="1">
        <f t="array" aca="1" ref="BQ110" ca="1">IF(TblConstr[[#This Row],[Hour]:[Hour]]&gt;12,OFFSET(TblConstr[[#This Row],[Doc]],-12,0),0)+OFFSET(TblConstr[[#This Row],[Tot Doc]],-1,0)-TblConstr[[#This Row],[Dest Doc]]</f>
        <v>0</v>
      </c>
      <c r="BR110" s="142"/>
      <c r="BS110" s="154"/>
      <c r="BT110" s="94">
        <f ca="1">TblConstr[[#This Row],[Land]]</f>
        <v>110</v>
      </c>
      <c r="BU110" s="159">
        <f ca="1">TblImps[[#This Row],[Time]]</f>
        <v>46051.41666666641</v>
      </c>
      <c r="BV110" s="142"/>
      <c r="BW110" s="179"/>
      <c r="BX110" s="179"/>
      <c r="BY110" s="179"/>
      <c r="BZ110" s="179"/>
      <c r="CA110" s="179"/>
      <c r="CB110" s="179"/>
      <c r="CC110" s="179"/>
      <c r="CD110" s="179"/>
      <c r="CE110" s="179"/>
      <c r="CF110" s="179"/>
      <c r="CG110" s="179"/>
      <c r="CH110" s="179"/>
      <c r="CI110" s="179"/>
      <c r="CJ110" s="179"/>
      <c r="CK110" s="179"/>
      <c r="CL110" s="179"/>
      <c r="CM110" s="179"/>
      <c r="CN110" s="179"/>
      <c r="CO110" s="179"/>
      <c r="CP110" s="142"/>
      <c r="CQ110" s="181">
        <f ca="1">-SUM(TblConstr[[#This Row],[Alc]:[Mas]])+SUM(TblConstr[[#This Row],[Dest Alc]:[Dest Mas]])+Rezone!L110+IF("Ch_"&amp; home_land=TblConstr[[#Headers],[Ch_Plain]],TblConstr[[#This Row],[Home Land]])+IF(TblConstr[[#This Row],[Hour]:[Hour]]&gt;12,OFFSET(TblExplore[[#This Row],[Plains Explore]],-12,0),0)</f>
        <v>0</v>
      </c>
      <c r="CR110" s="182">
        <f ca="1">-SUM(TblConstr[[#This Row],[Ly]:[Hav]])+SUM(TblConstr[[#This Row],[Dest Ly]:[Dest Hav]]) +Rezone!M110 + IF("Ch_"&amp; home_land=TblConstr[[#Headers],[Ch_Forest]],TblConstr[[#This Row],[Home Land]])+IF(TblConstr[[#This Row],[Hour]:[Hour]]&gt;12,OFFSET(TblExplore[[#This Row],[Forest Explore]],-12,0),0)</f>
        <v>0</v>
      </c>
      <c r="CS110" s="359">
        <f ca="1">-SUM(TblConstr[[#This Row],[OM]:[GN]])+SUM(TblConstr[[#This Row],[Dest OM]:[Dest GN]]) +Rezone!N110 + IF("Ch_"&amp; home_land=TblConstr[[#Headers],[Ch_Mountain]],TblConstr[[#This Row],[Home Land]])+IF(TblConstr[[#This Row],[Hour]:[Hour]]&gt;12,OFFSET(TblExplore[[#This Row],[Mountain Explore]],-12,0),0)</f>
        <v>0</v>
      </c>
      <c r="CT110" s="183">
        <f ca="1">-SUM(TblConstr[[#This Row],[Fac]:[Shr]])+SUM(TblConstr[[#This Row],[Dest Fac]:[Dest Shr]]) +Rezone!O110 + IF("Ch_" &amp; home_land=TblConstr[[#Headers],[Ch_Hill]],TblConstr[[#This Row],[Home Land]])+IF(TblConstr[[#This Row],[Hour]:[Hour]]&gt;12,OFFSET(TblExplore[[#This Row],[Hill Explore]],-12,0),0)</f>
        <v>0</v>
      </c>
      <c r="CU110" s="184">
        <f ca="1">-SUM(TblConstr[[#This Row],[Tow]:[WG]])+SUM(TblConstr[[#This Row],[Dest Tow]:[Dest WG]]) +Rezone!P110 + IF("Ch_" &amp; home_land=TblConstr[[#Headers],[Ch_Swamp]],TblConstr[[#This Row],[Home Land]])+IF(TblConstr[[#This Row],[Hour]:[Hour]]&gt;12,OFFSET(TblExplore[[#This Row],[Swamp Explore]],-12,0),0)</f>
        <v>0</v>
      </c>
      <c r="CV110" s="185">
        <f ca="1" xml:space="preserve"> - SUM(TblConstr[[#This Row],[DM]:[Sch]])+SUM(TblConstr[[#This Row],[Dest DM]:[Dest Sch]]) +Rezone!Q110 + IF("Ch_" &amp; home_land=TblConstr[[#Headers],[Ch_Cavern]],TblConstr[[#This Row],[Home Land]])+IF(TblConstr[[#This Row],[Hour]:[Hour]]&gt;12,OFFSET(TblExplore[[#This Row],[Cavern Explore]],-12,0),0)</f>
        <v>0</v>
      </c>
      <c r="CW110" s="186">
        <f ca="1">-TblConstr[[#This Row],[Doc]]+TblConstr[[#This Row],[Dest Doc]] +Rezone!R110 + IF("Ch_" &amp; home_land=TblConstr[[#Headers],[Ch_Water]],TblConstr[[#This Row],[Home Land]])+IF(TblConstr[[#This Row],[Hour]:[Hour]]&gt;12,OFFSET(TblExplore[[#This Row],[Water Explore]],-12,0),0)</f>
        <v>0</v>
      </c>
      <c r="CX110" s="45">
        <f>IF(Explore!S110=1,20) - TblConstr[[#This Row],[Hom]] + TblConstr[[#This Row],[Dest Hom]]</f>
        <v>0</v>
      </c>
      <c r="CY110" s="142"/>
      <c r="CZ110" s="94">
        <f t="shared" ca="1" si="23"/>
        <v>90</v>
      </c>
      <c r="DA110" s="94">
        <f t="shared" ca="1" si="24"/>
        <v>20</v>
      </c>
      <c r="DB110" s="45">
        <f t="shared" ca="1" si="25"/>
        <v>0</v>
      </c>
      <c r="DC110" s="94">
        <f t="shared" ca="1" si="26"/>
        <v>0</v>
      </c>
      <c r="DD110" s="94">
        <f t="shared" ca="1" si="27"/>
        <v>0</v>
      </c>
      <c r="DE110" s="45">
        <f t="shared" ca="1" si="28"/>
        <v>0</v>
      </c>
      <c r="DF110" s="94">
        <f t="shared" ca="1" si="29"/>
        <v>0</v>
      </c>
      <c r="DG110" s="94" cm="1">
        <f t="array" aca="1" ref="DG110" ca="1">INDEX(TblConstr[[Total Plain]:[Total Water]],ROW()-ROW(TblConstr[#Headers]),MATCH("Total "&amp;home_land,TblConstr[[#Headers],[Total Plain]:[Total Water]],0))+TblConstr[[#This Row],[Homes]]</f>
        <v>90</v>
      </c>
      <c r="DH110" s="45">
        <f t="shared" ca="1" si="22"/>
        <v>0</v>
      </c>
      <c r="DI110" s="45">
        <f t="shared" ca="1" si="19"/>
        <v>0</v>
      </c>
      <c r="DJ110" s="45">
        <f t="shared" ca="1" si="20"/>
        <v>0</v>
      </c>
    </row>
    <row r="111" spans="1:114" x14ac:dyDescent="0.2">
      <c r="A111" s="175">
        <f>TblRezone[[#This Row],[Hour]]</f>
        <v>108</v>
      </c>
      <c r="B111" s="176">
        <f ca="1">SUM(TblConstr[[#This Row],[Plain]:[Water]])</f>
        <v>60</v>
      </c>
      <c r="C111" s="177">
        <f ca="1">SUM(TblConstr[[#This Row],[Tot Hom]:[Tot Doc]])</f>
        <v>50</v>
      </c>
      <c r="D111" s="177">
        <f t="shared" si="21"/>
        <v>0</v>
      </c>
      <c r="E111" s="178"/>
      <c r="F111" s="61">
        <f ca="1">TblConstr[[#This Row],[Barren]]+TblConstr[[#This Row],[Buildings]]+TblConstr[[#This Row],[Incoming]]</f>
        <v>110</v>
      </c>
      <c r="G111" s="187">
        <f ca="1">OFFSET(TblConstr[[#This Row],[Plain]],-1,0)+TblConstr[[#This Row],[Ch_Plain]]</f>
        <v>60</v>
      </c>
      <c r="H111" s="182">
        <f ca="1">OFFSET(TblConstr[[#This Row],[Forest]],-1,0)+TblConstr[[#This Row],[Ch_Forest]]</f>
        <v>0</v>
      </c>
      <c r="I111" s="359">
        <f ca="1">OFFSET(TblConstr[[#This Row],[Mountain]],-1,0)+TblConstr[[#This Row],[Ch_Mountain]]</f>
        <v>0</v>
      </c>
      <c r="J111" s="363">
        <f ca="1">OFFSET(TblConstr[[#This Row],[Hill]],-1,0)+TblConstr[[#This Row],[Ch_Hill]]</f>
        <v>0</v>
      </c>
      <c r="K111" s="367">
        <f ca="1">OFFSET(TblConstr[[#This Row],[Swamp]],-1,0)+TblConstr[[#This Row],[Ch_Swamp]]</f>
        <v>0</v>
      </c>
      <c r="L111" s="185">
        <f ca="1">OFFSET(TblConstr[[#This Row],[Cavern]],-1,0)+TblConstr[[#This Row],[Ch_Cavern]]</f>
        <v>0</v>
      </c>
      <c r="M111" s="186">
        <f ca="1">OFFSET(TblConstr[[#This Row],[Water]],-1,0)+TblConstr[[#This Row],[Ch_Water]]</f>
        <v>0</v>
      </c>
      <c r="N111" s="357">
        <f>TblRezone[[#This Row],[Hour]]</f>
        <v>108</v>
      </c>
      <c r="O111" s="179"/>
      <c r="P111" s="179"/>
      <c r="Q111" s="179"/>
      <c r="R111" s="158"/>
      <c r="S111" s="179"/>
      <c r="T111" s="179"/>
      <c r="U111" s="179"/>
      <c r="V111" s="179"/>
      <c r="W111" s="179"/>
      <c r="X111" s="179"/>
      <c r="Y111" s="179"/>
      <c r="Z111" s="179"/>
      <c r="AA111" s="179"/>
      <c r="AB111" s="179"/>
      <c r="AC111" s="179"/>
      <c r="AD111" s="179"/>
      <c r="AE111" s="179"/>
      <c r="AF111" s="179"/>
      <c r="AG111" s="179"/>
      <c r="AH111" s="53">
        <f ca="1">TblImps[[#This Row],[Time]]</f>
        <v>46051.458333333074</v>
      </c>
      <c r="AI111" s="180">
        <f ca="1">MIN(25%,(TblConstr[[#This Row],[Tot Fac]]+TblConstr[[#This Row],[Dest Fac]])/(TblConstr[[#This Row],[Land]]-TblExplore[[#This Row],[Land Bonus]]*20))</f>
        <v>0</v>
      </c>
      <c r="AJ111" s="180">
        <f ca="1">MIN(25%,(TblConstr[[#This Row],[Tot Fac]]+TblConstr[[#This Row],[Dest Fac]])/TblConstr[[#This Row],[Land]])</f>
        <v>0</v>
      </c>
      <c r="AK111" s="94">
        <f ca="1">TblProd[[#This Row],[Platinum]]</f>
        <v>207535</v>
      </c>
      <c r="AL111" s="94">
        <f ca="1">TblProd[[#This Row],[Lumber]]</f>
        <v>70999</v>
      </c>
      <c r="AM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1" s="94">
        <f ca="1">ROUNDDOWN( MAX(1 - MIN(facs_constr_factor*TblConstr[[#This Row],[Facs -DB]],facs_constr_max) + tech_1_11*TblTech[[#This Row],[11-1]] + tech_6_3_2*TblTech[[#This Row],[6-3]] + tech_5_2_3*TblTech[[#This Row],[5-2]], 1-global_constr_cap) * TblConstr[[#This Row],[RCPA Lumber]],0)</f>
        <v>48</v>
      </c>
      <c r="AO11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1" s="94">
        <f ca="1">ROUNDDOWN( MAX(1 - MIN(facs_constr_factor*TblConstr[[#This Row],[Facs DB]],facs_constr_max) + tech_1_11*TblTech[[#This Row],[1-11]] + tech_6_3_2*TblTech[[#This Row],[6-3]] + tech_5_2_3*TblTech[[#This Row],[5-2]], 1-global_constr_cap) * ROUND((TblConstr[[#This Row],[Land]]-250)*0.285 + 87.5 + 0/4.25,0),0)</f>
        <v>48</v>
      </c>
      <c r="AQ111" s="45">
        <f ca="1">TblConstr[[#This Row],[build -db]]*TblConstr[[#This Row],[CPA Platinum -DB]] + TblConstr[[#This Row],[build db]]*TblConstr[[#This Row],[CPA Platinum DB]]</f>
        <v>0</v>
      </c>
      <c r="AR111" s="45">
        <f ca="1">TblConstr[[#This Row],[build -db]]*TblConstr[[#This Row],[CPA Lumber -DB]] + TblConstr[[#This Row],[build db]]*TblConstr[[#This Row],[CPA Lumber DB]]</f>
        <v>0</v>
      </c>
      <c r="AS111" s="94">
        <f ca="1">MIN(SUM(OFFSET(TblConstr[[#This Row],[Plain]:[Water]],-1,0))+SUM(TblConstr[[#This Row],[Dest Hom]:[Dest Doc]])+IF(TblConstr[[#This Row],[Hour]]&gt;12,SUM(OFFSET(TblExplore[[#This Row],[Plains Explore]:[Water Explore]],-12,0)),0),SUM(TblConstr[[#This Row],[Hom]:[Doc]]))</f>
        <v>0</v>
      </c>
      <c r="AT11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1" s="142"/>
      <c r="AV111" s="94">
        <f ca="1">ROUND((TblConstr[[#This Row],[Land]]-250 - IF(TblExplore[[#This Row],[Land Bonus]]&lt;&gt;0,20,0))*1.25 + 850 + 0,0)</f>
        <v>675</v>
      </c>
      <c r="AW111" s="94">
        <f ca="1">ROUND((TblConstr[[#This Row],[Land]]-250 - IF(TblExplore[[#This Row],[Land Bonus]]&lt;&gt;0,20,0))*0.285 + 87.5 + 0/4.25,0)</f>
        <v>48</v>
      </c>
      <c r="AX111" s="154"/>
      <c r="AY111" s="188" cm="1">
        <f t="array" aca="1" ref="AY111" ca="1">IF(TblConstr[[#This Row],[Hour]:[Hour]]&gt;12,OFFSET(TblConstr[[#This Row],[Hom]],-12,0),0)+OFFSET(TblConstr[[#This Row],[Tot Hom]],-1,0)-TblConstr[[#This Row],[Dest Hom]]</f>
        <v>0</v>
      </c>
      <c r="AZ111" s="189" cm="1">
        <f t="array" aca="1" ref="AZ111" ca="1">IF(TblConstr[[#This Row],[Hour]:[Hour]]&gt;12,OFFSET(TblConstr[[#This Row],[Alc]],-12,0),0)+OFFSET(TblConstr[[#This Row],[Tot Alc]],-1,0)-TblConstr[[#This Row],[Dest Alc]]</f>
        <v>0</v>
      </c>
      <c r="BA111" s="189" cm="1">
        <f t="array" aca="1" ref="BA111" ca="1">IF(TblConstr[[#This Row],[Hour]:[Hour]]&gt;12,OFFSET(TblConstr[[#This Row],[Far]],-12,0),0)+OFFSET(TblConstr[[#This Row],[Tot Farm]],-1,0)-TblConstr[[#This Row],[Dest Farm]]</f>
        <v>30</v>
      </c>
      <c r="BB111" s="189" cm="1">
        <f t="array" aca="1" ref="BB111" ca="1">IF(TblConstr[[#This Row],[Hour]:[Hour]]&gt;12,OFFSET(TblConstr[[#This Row],[Smi]],-12,0),0)+OFFSET(TblConstr[[#This Row],[Tot Smi]],-1,0)-TblConstr[[#This Row],[Dest Smi]]</f>
        <v>0</v>
      </c>
      <c r="BC111" s="189" cm="1">
        <f t="array" aca="1" ref="BC111" ca="1">IF(TblConstr[[#This Row],[Hour]:[Hour]]&gt;12,OFFSET(TblConstr[[#This Row],[Mas]],-12,0),0)+OFFSET(TblConstr[[#This Row],[Tot Mas]],-1,0)-TblConstr[[#This Row],[Dest Mas]]</f>
        <v>0</v>
      </c>
      <c r="BD111" s="190" cm="1">
        <f t="array" aca="1" ref="BD111" ca="1">IF(TblConstr[[#This Row],[Hour]:[Hour]]&gt;12,OFFSET(TblConstr[[#This Row],[Ly]],-12,0),0)+OFFSET(TblConstr[[#This Row],[Tot Ly]],-1,0)-TblConstr[[#This Row],[Dest Ly]]</f>
        <v>20</v>
      </c>
      <c r="BE111" s="190" cm="1">
        <f t="array" aca="1" ref="BE111" ca="1">IF(TblConstr[[#This Row],[Hour]:[Hour]]&gt;12,OFFSET(TblConstr[[#This Row],[Hav]],-12,0),0)+OFFSET(TblConstr[[#This Row],[Tot Hav]],-1,0)-TblConstr[[#This Row],[Dest Hav]]</f>
        <v>0</v>
      </c>
      <c r="BF111" s="361" cm="1">
        <f t="array" aca="1" ref="BF111" ca="1">IF(TblConstr[[#This Row],[Hour]:[Hour]]&gt;12,OFFSET(TblConstr[[#This Row],[OM]],-12,0),0)+OFFSET(TblConstr[[#This Row],[Tot OM]],-1,0)-TblConstr[[#This Row],[Dest OM]]</f>
        <v>0</v>
      </c>
      <c r="BG111" s="361" cm="1">
        <f t="array" aca="1" ref="BG111" ca="1">IF(TblConstr[[#This Row],[Hour]:[Hour]]&gt;12,OFFSET(TblConstr[[#This Row],[GN]],-12,0),0)+OFFSET(TblConstr[[#This Row],[Tot GN]],-1,0)-TblConstr[[#This Row],[Dest GN]]</f>
        <v>0</v>
      </c>
      <c r="BH111" s="365" cm="1">
        <f t="array" aca="1" ref="BH111" ca="1">IF(TblConstr[[#This Row],[Hour]:[Hour]]&gt;12,OFFSET(TblConstr[[#This Row],[Fac]],-12,0),0)+OFFSET(TblConstr[[#This Row],[Tot Fac]],-1,0)-TblConstr[[#This Row],[Dest Fac]]</f>
        <v>0</v>
      </c>
      <c r="BI111" s="365" cm="1">
        <f t="array" aca="1" ref="BI111" ca="1">IF(TblConstr[[#This Row],[Hour]:[Hour]]&gt;12,OFFSET(TblConstr[[#This Row],[GT]],-12,0),0)+OFFSET(TblConstr[[#This Row],[Tot GT]],-1,0)-TblConstr[[#This Row],[Dest GT]]</f>
        <v>0</v>
      </c>
      <c r="BJ111" s="365" cm="1">
        <f t="array" aca="1" ref="BJ111" ca="1">IF(TblConstr[[#This Row],[Hour]:[Hour]]&gt;12,OFFSET(TblConstr[[#This Row],[Bar]],-12,0),0)+OFFSET(TblConstr[[#This Row],[Tot Bar]],-1,0)-TblConstr[[#This Row],[Dest Bar]]</f>
        <v>0</v>
      </c>
      <c r="BK111" s="365" cm="1">
        <f t="array" aca="1" ref="BK111" ca="1">IF(TblConstr[[#This Row],[Hour]:[Hour]]&gt;12,OFFSET(TblConstr[[#This Row],[Shr]],-12,0),0)+OFFSET(TblConstr[[#This Row],[Tot Shr]],-1,0)-TblConstr[[#This Row],[Dest Shr]]</f>
        <v>0</v>
      </c>
      <c r="BL111" s="369" cm="1">
        <f t="array" aca="1" ref="BL111" ca="1">IF(TblConstr[[#This Row],[Hour]:[Hour]]&gt;12,OFFSET(TblConstr[[#This Row],[Tow]],-12,0),0)+OFFSET(TblConstr[[#This Row],[Tot Tow]],-1,0)-TblConstr[[#This Row],[Dest Tow]]</f>
        <v>0</v>
      </c>
      <c r="BM111" s="369" cm="1">
        <f t="array" aca="1" ref="BM111" ca="1">IF(TblConstr[[#This Row],[Hour]:[Hour]]&gt;12,OFFSET(TblConstr[[#This Row],[Tem]],-12,0),0)+OFFSET(TblConstr[[#This Row],[Tot Tem]],-1,0)-TblConstr[[#This Row],[Dest Tem]]</f>
        <v>0</v>
      </c>
      <c r="BN111" s="369" cm="1">
        <f t="array" aca="1" ref="BN111" ca="1">IF(TblConstr[[#This Row],[Hour]:[Hour]]&gt;12,OFFSET(TblConstr[[#This Row],[WG]],-12,0),0)+OFFSET(TblConstr[[#This Row],[Tot WG]],-1,0)-TblConstr[[#This Row],[Dest WG]]</f>
        <v>0</v>
      </c>
      <c r="BO111" s="191" cm="1">
        <f t="array" aca="1" ref="BO111" ca="1">IF(TblConstr[[#This Row],[Hour]:[Hour]]&gt;12,OFFSET(TblConstr[[#This Row],[DM]],-12,0),0)+OFFSET(TblConstr[[#This Row],[Tot DM]],-1,0)-TblConstr[[#This Row],[Dest DM]]</f>
        <v>0</v>
      </c>
      <c r="BP111" s="191" cm="1">
        <f t="array" aca="1" ref="BP111" ca="1">IF(TblConstr[[#This Row],[Hour]:[Hour]]&gt;12,OFFSET(TblConstr[[#This Row],[Sch]],-12,0),0)+OFFSET(TblConstr[[#This Row],[Tot Sch]],-1,0)-TblConstr[[#This Row],[Dest Sch]]</f>
        <v>0</v>
      </c>
      <c r="BQ111" s="192" cm="1">
        <f t="array" aca="1" ref="BQ111" ca="1">IF(TblConstr[[#This Row],[Hour]:[Hour]]&gt;12,OFFSET(TblConstr[[#This Row],[Doc]],-12,0),0)+OFFSET(TblConstr[[#This Row],[Tot Doc]],-1,0)-TblConstr[[#This Row],[Dest Doc]]</f>
        <v>0</v>
      </c>
      <c r="BR111" s="142"/>
      <c r="BS111" s="154"/>
      <c r="BT111" s="94">
        <f ca="1">TblConstr[[#This Row],[Land]]</f>
        <v>110</v>
      </c>
      <c r="BU111" s="159">
        <f ca="1">TblImps[[#This Row],[Time]]</f>
        <v>46051.458333333074</v>
      </c>
      <c r="BV111" s="142"/>
      <c r="BW111" s="179"/>
      <c r="BX111" s="179"/>
      <c r="BY111" s="179"/>
      <c r="BZ111" s="179"/>
      <c r="CA111" s="179"/>
      <c r="CB111" s="179"/>
      <c r="CC111" s="179"/>
      <c r="CD111" s="179"/>
      <c r="CE111" s="179"/>
      <c r="CF111" s="179"/>
      <c r="CG111" s="179"/>
      <c r="CH111" s="179"/>
      <c r="CI111" s="179"/>
      <c r="CJ111" s="179"/>
      <c r="CK111" s="179"/>
      <c r="CL111" s="179"/>
      <c r="CM111" s="179"/>
      <c r="CN111" s="179"/>
      <c r="CO111" s="179"/>
      <c r="CP111" s="142"/>
      <c r="CQ111" s="181">
        <f ca="1">-SUM(TblConstr[[#This Row],[Alc]:[Mas]])+SUM(TblConstr[[#This Row],[Dest Alc]:[Dest Mas]])+Rezone!L111+IF("Ch_"&amp; home_land=TblConstr[[#Headers],[Ch_Plain]],TblConstr[[#This Row],[Home Land]])+IF(TblConstr[[#This Row],[Hour]:[Hour]]&gt;12,OFFSET(TblExplore[[#This Row],[Plains Explore]],-12,0),0)</f>
        <v>0</v>
      </c>
      <c r="CR111" s="182">
        <f ca="1">-SUM(TblConstr[[#This Row],[Ly]:[Hav]])+SUM(TblConstr[[#This Row],[Dest Ly]:[Dest Hav]]) +Rezone!M111 + IF("Ch_"&amp; home_land=TblConstr[[#Headers],[Ch_Forest]],TblConstr[[#This Row],[Home Land]])+IF(TblConstr[[#This Row],[Hour]:[Hour]]&gt;12,OFFSET(TblExplore[[#This Row],[Forest Explore]],-12,0),0)</f>
        <v>0</v>
      </c>
      <c r="CS111" s="359">
        <f ca="1">-SUM(TblConstr[[#This Row],[OM]:[GN]])+SUM(TblConstr[[#This Row],[Dest OM]:[Dest GN]]) +Rezone!N111 + IF("Ch_"&amp; home_land=TblConstr[[#Headers],[Ch_Mountain]],TblConstr[[#This Row],[Home Land]])+IF(TblConstr[[#This Row],[Hour]:[Hour]]&gt;12,OFFSET(TblExplore[[#This Row],[Mountain Explore]],-12,0),0)</f>
        <v>0</v>
      </c>
      <c r="CT111" s="183">
        <f ca="1">-SUM(TblConstr[[#This Row],[Fac]:[Shr]])+SUM(TblConstr[[#This Row],[Dest Fac]:[Dest Shr]]) +Rezone!O111 + IF("Ch_" &amp; home_land=TblConstr[[#Headers],[Ch_Hill]],TblConstr[[#This Row],[Home Land]])+IF(TblConstr[[#This Row],[Hour]:[Hour]]&gt;12,OFFSET(TblExplore[[#This Row],[Hill Explore]],-12,0),0)</f>
        <v>0</v>
      </c>
      <c r="CU111" s="184">
        <f ca="1">-SUM(TblConstr[[#This Row],[Tow]:[WG]])+SUM(TblConstr[[#This Row],[Dest Tow]:[Dest WG]]) +Rezone!P111 + IF("Ch_" &amp; home_land=TblConstr[[#Headers],[Ch_Swamp]],TblConstr[[#This Row],[Home Land]])+IF(TblConstr[[#This Row],[Hour]:[Hour]]&gt;12,OFFSET(TblExplore[[#This Row],[Swamp Explore]],-12,0),0)</f>
        <v>0</v>
      </c>
      <c r="CV111" s="185">
        <f ca="1" xml:space="preserve"> - SUM(TblConstr[[#This Row],[DM]:[Sch]])+SUM(TblConstr[[#This Row],[Dest DM]:[Dest Sch]]) +Rezone!Q111 + IF("Ch_" &amp; home_land=TblConstr[[#Headers],[Ch_Cavern]],TblConstr[[#This Row],[Home Land]])+IF(TblConstr[[#This Row],[Hour]:[Hour]]&gt;12,OFFSET(TblExplore[[#This Row],[Cavern Explore]],-12,0),0)</f>
        <v>0</v>
      </c>
      <c r="CW111" s="186">
        <f ca="1">-TblConstr[[#This Row],[Doc]]+TblConstr[[#This Row],[Dest Doc]] +Rezone!R111 + IF("Ch_" &amp; home_land=TblConstr[[#Headers],[Ch_Water]],TblConstr[[#This Row],[Home Land]])+IF(TblConstr[[#This Row],[Hour]:[Hour]]&gt;12,OFFSET(TblExplore[[#This Row],[Water Explore]],-12,0),0)</f>
        <v>0</v>
      </c>
      <c r="CX111" s="45">
        <f>IF(Explore!S111=1,20) - TblConstr[[#This Row],[Hom]] + TblConstr[[#This Row],[Dest Hom]]</f>
        <v>0</v>
      </c>
      <c r="CY111" s="142"/>
      <c r="CZ111" s="94">
        <f t="shared" ca="1" si="23"/>
        <v>90</v>
      </c>
      <c r="DA111" s="94">
        <f t="shared" ca="1" si="24"/>
        <v>20</v>
      </c>
      <c r="DB111" s="45">
        <f t="shared" ca="1" si="25"/>
        <v>0</v>
      </c>
      <c r="DC111" s="94">
        <f t="shared" ca="1" si="26"/>
        <v>0</v>
      </c>
      <c r="DD111" s="94">
        <f t="shared" ca="1" si="27"/>
        <v>0</v>
      </c>
      <c r="DE111" s="45">
        <f t="shared" ca="1" si="28"/>
        <v>0</v>
      </c>
      <c r="DF111" s="94">
        <f t="shared" ca="1" si="29"/>
        <v>0</v>
      </c>
      <c r="DG111" s="94" cm="1">
        <f t="array" aca="1" ref="DG111" ca="1">INDEX(TblConstr[[Total Plain]:[Total Water]],ROW()-ROW(TblConstr[#Headers]),MATCH("Total "&amp;home_land,TblConstr[[#Headers],[Total Plain]:[Total Water]],0))+TblConstr[[#This Row],[Homes]]</f>
        <v>90</v>
      </c>
      <c r="DH111" s="45">
        <f t="shared" ca="1" si="22"/>
        <v>0</v>
      </c>
      <c r="DI111" s="45">
        <f t="shared" ca="1" si="19"/>
        <v>0</v>
      </c>
      <c r="DJ111" s="45">
        <f t="shared" ca="1" si="20"/>
        <v>0</v>
      </c>
    </row>
    <row r="112" spans="1:114" x14ac:dyDescent="0.2">
      <c r="A112" s="175">
        <f>TblRezone[[#This Row],[Hour]]</f>
        <v>109</v>
      </c>
      <c r="B112" s="176">
        <f ca="1">SUM(TblConstr[[#This Row],[Plain]:[Water]])</f>
        <v>60</v>
      </c>
      <c r="C112" s="177">
        <f ca="1">SUM(TblConstr[[#This Row],[Tot Hom]:[Tot Doc]])</f>
        <v>50</v>
      </c>
      <c r="D112" s="177">
        <f t="shared" si="21"/>
        <v>0</v>
      </c>
      <c r="E112" s="178"/>
      <c r="F112" s="61">
        <f ca="1">TblConstr[[#This Row],[Barren]]+TblConstr[[#This Row],[Buildings]]+TblConstr[[#This Row],[Incoming]]</f>
        <v>110</v>
      </c>
      <c r="G112" s="187">
        <f ca="1">OFFSET(TblConstr[[#This Row],[Plain]],-1,0)+TblConstr[[#This Row],[Ch_Plain]]</f>
        <v>60</v>
      </c>
      <c r="H112" s="182">
        <f ca="1">OFFSET(TblConstr[[#This Row],[Forest]],-1,0)+TblConstr[[#This Row],[Ch_Forest]]</f>
        <v>0</v>
      </c>
      <c r="I112" s="359">
        <f ca="1">OFFSET(TblConstr[[#This Row],[Mountain]],-1,0)+TblConstr[[#This Row],[Ch_Mountain]]</f>
        <v>0</v>
      </c>
      <c r="J112" s="363">
        <f ca="1">OFFSET(TblConstr[[#This Row],[Hill]],-1,0)+TblConstr[[#This Row],[Ch_Hill]]</f>
        <v>0</v>
      </c>
      <c r="K112" s="367">
        <f ca="1">OFFSET(TblConstr[[#This Row],[Swamp]],-1,0)+TblConstr[[#This Row],[Ch_Swamp]]</f>
        <v>0</v>
      </c>
      <c r="L112" s="185">
        <f ca="1">OFFSET(TblConstr[[#This Row],[Cavern]],-1,0)+TblConstr[[#This Row],[Ch_Cavern]]</f>
        <v>0</v>
      </c>
      <c r="M112" s="186">
        <f ca="1">OFFSET(TblConstr[[#This Row],[Water]],-1,0)+TblConstr[[#This Row],[Ch_Water]]</f>
        <v>0</v>
      </c>
      <c r="N112" s="357">
        <f>TblRezone[[#This Row],[Hour]]</f>
        <v>109</v>
      </c>
      <c r="O112" s="179"/>
      <c r="P112" s="179"/>
      <c r="Q112" s="179"/>
      <c r="R112" s="179"/>
      <c r="S112" s="179"/>
      <c r="T112" s="179"/>
      <c r="U112" s="179"/>
      <c r="V112" s="179"/>
      <c r="W112" s="179"/>
      <c r="X112" s="179"/>
      <c r="Y112" s="179"/>
      <c r="Z112" s="179"/>
      <c r="AA112" s="179"/>
      <c r="AB112" s="179"/>
      <c r="AC112" s="179"/>
      <c r="AD112" s="179"/>
      <c r="AE112" s="179"/>
      <c r="AF112" s="179"/>
      <c r="AG112" s="179"/>
      <c r="AH112" s="53">
        <f ca="1">TblImps[[#This Row],[Time]]</f>
        <v>46051.499999999738</v>
      </c>
      <c r="AI112" s="180">
        <f ca="1">MIN(25%,(TblConstr[[#This Row],[Tot Fac]]+TblConstr[[#This Row],[Dest Fac]])/(TblConstr[[#This Row],[Land]]-TblExplore[[#This Row],[Land Bonus]]*20))</f>
        <v>0</v>
      </c>
      <c r="AJ112" s="180">
        <f ca="1">MIN(25%,(TblConstr[[#This Row],[Tot Fac]]+TblConstr[[#This Row],[Dest Fac]])/TblConstr[[#This Row],[Land]])</f>
        <v>0</v>
      </c>
      <c r="AK112" s="94">
        <f ca="1">TblProd[[#This Row],[Platinum]]</f>
        <v>208455</v>
      </c>
      <c r="AL112" s="94">
        <f ca="1">TblProd[[#This Row],[Lumber]]</f>
        <v>71289</v>
      </c>
      <c r="AM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2" s="94">
        <f ca="1">ROUNDDOWN( MAX(1 - MIN(facs_constr_factor*TblConstr[[#This Row],[Facs -DB]],facs_constr_max) + tech_1_11*TblTech[[#This Row],[11-1]] + tech_6_3_2*TblTech[[#This Row],[6-3]] + tech_5_2_3*TblTech[[#This Row],[5-2]], 1-global_constr_cap) * TblConstr[[#This Row],[RCPA Lumber]],0)</f>
        <v>48</v>
      </c>
      <c r="AO11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2" s="94">
        <f ca="1">ROUNDDOWN( MAX(1 - MIN(facs_constr_factor*TblConstr[[#This Row],[Facs DB]],facs_constr_max) + tech_1_11*TblTech[[#This Row],[1-11]] + tech_6_3_2*TblTech[[#This Row],[6-3]] + tech_5_2_3*TblTech[[#This Row],[5-2]], 1-global_constr_cap) * ROUND((TblConstr[[#This Row],[Land]]-250)*0.285 + 87.5 + 0/4.25,0),0)</f>
        <v>48</v>
      </c>
      <c r="AQ112" s="45">
        <f ca="1">TblConstr[[#This Row],[build -db]]*TblConstr[[#This Row],[CPA Platinum -DB]] + TblConstr[[#This Row],[build db]]*TblConstr[[#This Row],[CPA Platinum DB]]</f>
        <v>0</v>
      </c>
      <c r="AR112" s="45">
        <f ca="1">TblConstr[[#This Row],[build -db]]*TblConstr[[#This Row],[CPA Lumber -DB]] + TblConstr[[#This Row],[build db]]*TblConstr[[#This Row],[CPA Lumber DB]]</f>
        <v>0</v>
      </c>
      <c r="AS112" s="94">
        <f ca="1">MIN(SUM(OFFSET(TblConstr[[#This Row],[Plain]:[Water]],-1,0))+SUM(TblConstr[[#This Row],[Dest Hom]:[Dest Doc]])+IF(TblConstr[[#This Row],[Hour]]&gt;12,SUM(OFFSET(TblExplore[[#This Row],[Plains Explore]:[Water Explore]],-12,0)),0),SUM(TblConstr[[#This Row],[Hom]:[Doc]]))</f>
        <v>0</v>
      </c>
      <c r="AT11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2" s="142"/>
      <c r="AV112" s="94">
        <f ca="1">ROUND((TblConstr[[#This Row],[Land]]-250 - IF(TblExplore[[#This Row],[Land Bonus]]&lt;&gt;0,20,0))*1.25 + 850 + 0,0)</f>
        <v>675</v>
      </c>
      <c r="AW112" s="94">
        <f ca="1">ROUND((TblConstr[[#This Row],[Land]]-250 - IF(TblExplore[[#This Row],[Land Bonus]]&lt;&gt;0,20,0))*0.285 + 87.5 + 0/4.25,0)</f>
        <v>48</v>
      </c>
      <c r="AX112" s="154"/>
      <c r="AY112" s="188" cm="1">
        <f t="array" aca="1" ref="AY112" ca="1">IF(TblConstr[[#This Row],[Hour]:[Hour]]&gt;12,OFFSET(TblConstr[[#This Row],[Hom]],-12,0),0)+OFFSET(TblConstr[[#This Row],[Tot Hom]],-1,0)-TblConstr[[#This Row],[Dest Hom]]</f>
        <v>0</v>
      </c>
      <c r="AZ112" s="189" cm="1">
        <f t="array" aca="1" ref="AZ112" ca="1">IF(TblConstr[[#This Row],[Hour]:[Hour]]&gt;12,OFFSET(TblConstr[[#This Row],[Alc]],-12,0),0)+OFFSET(TblConstr[[#This Row],[Tot Alc]],-1,0)-TblConstr[[#This Row],[Dest Alc]]</f>
        <v>0</v>
      </c>
      <c r="BA112" s="189" cm="1">
        <f t="array" aca="1" ref="BA112" ca="1">IF(TblConstr[[#This Row],[Hour]:[Hour]]&gt;12,OFFSET(TblConstr[[#This Row],[Far]],-12,0),0)+OFFSET(TblConstr[[#This Row],[Tot Farm]],-1,0)-TblConstr[[#This Row],[Dest Farm]]</f>
        <v>30</v>
      </c>
      <c r="BB112" s="189" cm="1">
        <f t="array" aca="1" ref="BB112" ca="1">IF(TblConstr[[#This Row],[Hour]:[Hour]]&gt;12,OFFSET(TblConstr[[#This Row],[Smi]],-12,0),0)+OFFSET(TblConstr[[#This Row],[Tot Smi]],-1,0)-TblConstr[[#This Row],[Dest Smi]]</f>
        <v>0</v>
      </c>
      <c r="BC112" s="189" cm="1">
        <f t="array" aca="1" ref="BC112" ca="1">IF(TblConstr[[#This Row],[Hour]:[Hour]]&gt;12,OFFSET(TblConstr[[#This Row],[Mas]],-12,0),0)+OFFSET(TblConstr[[#This Row],[Tot Mas]],-1,0)-TblConstr[[#This Row],[Dest Mas]]</f>
        <v>0</v>
      </c>
      <c r="BD112" s="190" cm="1">
        <f t="array" aca="1" ref="BD112" ca="1">IF(TblConstr[[#This Row],[Hour]:[Hour]]&gt;12,OFFSET(TblConstr[[#This Row],[Ly]],-12,0),0)+OFFSET(TblConstr[[#This Row],[Tot Ly]],-1,0)-TblConstr[[#This Row],[Dest Ly]]</f>
        <v>20</v>
      </c>
      <c r="BE112" s="190" cm="1">
        <f t="array" aca="1" ref="BE112" ca="1">IF(TblConstr[[#This Row],[Hour]:[Hour]]&gt;12,OFFSET(TblConstr[[#This Row],[Hav]],-12,0),0)+OFFSET(TblConstr[[#This Row],[Tot Hav]],-1,0)-TblConstr[[#This Row],[Dest Hav]]</f>
        <v>0</v>
      </c>
      <c r="BF112" s="361" cm="1">
        <f t="array" aca="1" ref="BF112" ca="1">IF(TblConstr[[#This Row],[Hour]:[Hour]]&gt;12,OFFSET(TblConstr[[#This Row],[OM]],-12,0),0)+OFFSET(TblConstr[[#This Row],[Tot OM]],-1,0)-TblConstr[[#This Row],[Dest OM]]</f>
        <v>0</v>
      </c>
      <c r="BG112" s="361" cm="1">
        <f t="array" aca="1" ref="BG112" ca="1">IF(TblConstr[[#This Row],[Hour]:[Hour]]&gt;12,OFFSET(TblConstr[[#This Row],[GN]],-12,0),0)+OFFSET(TblConstr[[#This Row],[Tot GN]],-1,0)-TblConstr[[#This Row],[Dest GN]]</f>
        <v>0</v>
      </c>
      <c r="BH112" s="365" cm="1">
        <f t="array" aca="1" ref="BH112" ca="1">IF(TblConstr[[#This Row],[Hour]:[Hour]]&gt;12,OFFSET(TblConstr[[#This Row],[Fac]],-12,0),0)+OFFSET(TblConstr[[#This Row],[Tot Fac]],-1,0)-TblConstr[[#This Row],[Dest Fac]]</f>
        <v>0</v>
      </c>
      <c r="BI112" s="365" cm="1">
        <f t="array" aca="1" ref="BI112" ca="1">IF(TblConstr[[#This Row],[Hour]:[Hour]]&gt;12,OFFSET(TblConstr[[#This Row],[GT]],-12,0),0)+OFFSET(TblConstr[[#This Row],[Tot GT]],-1,0)-TblConstr[[#This Row],[Dest GT]]</f>
        <v>0</v>
      </c>
      <c r="BJ112" s="365" cm="1">
        <f t="array" aca="1" ref="BJ112" ca="1">IF(TblConstr[[#This Row],[Hour]:[Hour]]&gt;12,OFFSET(TblConstr[[#This Row],[Bar]],-12,0),0)+OFFSET(TblConstr[[#This Row],[Tot Bar]],-1,0)-TblConstr[[#This Row],[Dest Bar]]</f>
        <v>0</v>
      </c>
      <c r="BK112" s="365" cm="1">
        <f t="array" aca="1" ref="BK112" ca="1">IF(TblConstr[[#This Row],[Hour]:[Hour]]&gt;12,OFFSET(TblConstr[[#This Row],[Shr]],-12,0),0)+OFFSET(TblConstr[[#This Row],[Tot Shr]],-1,0)-TblConstr[[#This Row],[Dest Shr]]</f>
        <v>0</v>
      </c>
      <c r="BL112" s="369" cm="1">
        <f t="array" aca="1" ref="BL112" ca="1">IF(TblConstr[[#This Row],[Hour]:[Hour]]&gt;12,OFFSET(TblConstr[[#This Row],[Tow]],-12,0),0)+OFFSET(TblConstr[[#This Row],[Tot Tow]],-1,0)-TblConstr[[#This Row],[Dest Tow]]</f>
        <v>0</v>
      </c>
      <c r="BM112" s="369" cm="1">
        <f t="array" aca="1" ref="BM112" ca="1">IF(TblConstr[[#This Row],[Hour]:[Hour]]&gt;12,OFFSET(TblConstr[[#This Row],[Tem]],-12,0),0)+OFFSET(TblConstr[[#This Row],[Tot Tem]],-1,0)-TblConstr[[#This Row],[Dest Tem]]</f>
        <v>0</v>
      </c>
      <c r="BN112" s="369" cm="1">
        <f t="array" aca="1" ref="BN112" ca="1">IF(TblConstr[[#This Row],[Hour]:[Hour]]&gt;12,OFFSET(TblConstr[[#This Row],[WG]],-12,0),0)+OFFSET(TblConstr[[#This Row],[Tot WG]],-1,0)-TblConstr[[#This Row],[Dest WG]]</f>
        <v>0</v>
      </c>
      <c r="BO112" s="191" cm="1">
        <f t="array" aca="1" ref="BO112" ca="1">IF(TblConstr[[#This Row],[Hour]:[Hour]]&gt;12,OFFSET(TblConstr[[#This Row],[DM]],-12,0),0)+OFFSET(TblConstr[[#This Row],[Tot DM]],-1,0)-TblConstr[[#This Row],[Dest DM]]</f>
        <v>0</v>
      </c>
      <c r="BP112" s="191" cm="1">
        <f t="array" aca="1" ref="BP112" ca="1">IF(TblConstr[[#This Row],[Hour]:[Hour]]&gt;12,OFFSET(TblConstr[[#This Row],[Sch]],-12,0),0)+OFFSET(TblConstr[[#This Row],[Tot Sch]],-1,0)-TblConstr[[#This Row],[Dest Sch]]</f>
        <v>0</v>
      </c>
      <c r="BQ112" s="192" cm="1">
        <f t="array" aca="1" ref="BQ112" ca="1">IF(TblConstr[[#This Row],[Hour]:[Hour]]&gt;12,OFFSET(TblConstr[[#This Row],[Doc]],-12,0),0)+OFFSET(TblConstr[[#This Row],[Tot Doc]],-1,0)-TblConstr[[#This Row],[Dest Doc]]</f>
        <v>0</v>
      </c>
      <c r="BR112" s="142"/>
      <c r="BS112" s="154"/>
      <c r="BT112" s="94">
        <f ca="1">TblConstr[[#This Row],[Land]]</f>
        <v>110</v>
      </c>
      <c r="BU112" s="159">
        <f ca="1">TblImps[[#This Row],[Time]]</f>
        <v>46051.499999999738</v>
      </c>
      <c r="BV112" s="142"/>
      <c r="BW112" s="179"/>
      <c r="BX112" s="179"/>
      <c r="BY112" s="179"/>
      <c r="BZ112" s="179"/>
      <c r="CA112" s="179"/>
      <c r="CB112" s="179"/>
      <c r="CC112" s="179"/>
      <c r="CD112" s="179"/>
      <c r="CE112" s="179"/>
      <c r="CF112" s="179"/>
      <c r="CG112" s="179"/>
      <c r="CH112" s="179"/>
      <c r="CI112" s="179"/>
      <c r="CJ112" s="179"/>
      <c r="CK112" s="179"/>
      <c r="CL112" s="179"/>
      <c r="CM112" s="179"/>
      <c r="CN112" s="179"/>
      <c r="CO112" s="179"/>
      <c r="CP112" s="142"/>
      <c r="CQ112" s="181">
        <f ca="1">-SUM(TblConstr[[#This Row],[Alc]:[Mas]])+SUM(TblConstr[[#This Row],[Dest Alc]:[Dest Mas]])+Rezone!L112+IF("Ch_"&amp; home_land=TblConstr[[#Headers],[Ch_Plain]],TblConstr[[#This Row],[Home Land]])+IF(TblConstr[[#This Row],[Hour]:[Hour]]&gt;12,OFFSET(TblExplore[[#This Row],[Plains Explore]],-12,0),0)</f>
        <v>0</v>
      </c>
      <c r="CR112" s="182">
        <f ca="1">-SUM(TblConstr[[#This Row],[Ly]:[Hav]])+SUM(TblConstr[[#This Row],[Dest Ly]:[Dest Hav]]) +Rezone!M112 + IF("Ch_"&amp; home_land=TblConstr[[#Headers],[Ch_Forest]],TblConstr[[#This Row],[Home Land]])+IF(TblConstr[[#This Row],[Hour]:[Hour]]&gt;12,OFFSET(TblExplore[[#This Row],[Forest Explore]],-12,0),0)</f>
        <v>0</v>
      </c>
      <c r="CS112" s="359">
        <f ca="1">-SUM(TblConstr[[#This Row],[OM]:[GN]])+SUM(TblConstr[[#This Row],[Dest OM]:[Dest GN]]) +Rezone!N112 + IF("Ch_"&amp; home_land=TblConstr[[#Headers],[Ch_Mountain]],TblConstr[[#This Row],[Home Land]])+IF(TblConstr[[#This Row],[Hour]:[Hour]]&gt;12,OFFSET(TblExplore[[#This Row],[Mountain Explore]],-12,0),0)</f>
        <v>0</v>
      </c>
      <c r="CT112" s="183">
        <f ca="1">-SUM(TblConstr[[#This Row],[Fac]:[Shr]])+SUM(TblConstr[[#This Row],[Dest Fac]:[Dest Shr]]) +Rezone!O112 + IF("Ch_" &amp; home_land=TblConstr[[#Headers],[Ch_Hill]],TblConstr[[#This Row],[Home Land]])+IF(TblConstr[[#This Row],[Hour]:[Hour]]&gt;12,OFFSET(TblExplore[[#This Row],[Hill Explore]],-12,0),0)</f>
        <v>0</v>
      </c>
      <c r="CU112" s="184">
        <f ca="1">-SUM(TblConstr[[#This Row],[Tow]:[WG]])+SUM(TblConstr[[#This Row],[Dest Tow]:[Dest WG]]) +Rezone!P112 + IF("Ch_" &amp; home_land=TblConstr[[#Headers],[Ch_Swamp]],TblConstr[[#This Row],[Home Land]])+IF(TblConstr[[#This Row],[Hour]:[Hour]]&gt;12,OFFSET(TblExplore[[#This Row],[Swamp Explore]],-12,0),0)</f>
        <v>0</v>
      </c>
      <c r="CV112" s="185">
        <f ca="1" xml:space="preserve"> - SUM(TblConstr[[#This Row],[DM]:[Sch]])+SUM(TblConstr[[#This Row],[Dest DM]:[Dest Sch]]) +Rezone!Q112 + IF("Ch_" &amp; home_land=TblConstr[[#Headers],[Ch_Cavern]],TblConstr[[#This Row],[Home Land]])+IF(TblConstr[[#This Row],[Hour]:[Hour]]&gt;12,OFFSET(TblExplore[[#This Row],[Cavern Explore]],-12,0),0)</f>
        <v>0</v>
      </c>
      <c r="CW112" s="186">
        <f ca="1">-TblConstr[[#This Row],[Doc]]+TblConstr[[#This Row],[Dest Doc]] +Rezone!R112 + IF("Ch_" &amp; home_land=TblConstr[[#Headers],[Ch_Water]],TblConstr[[#This Row],[Home Land]])+IF(TblConstr[[#This Row],[Hour]:[Hour]]&gt;12,OFFSET(TblExplore[[#This Row],[Water Explore]],-12,0),0)</f>
        <v>0</v>
      </c>
      <c r="CX112" s="45">
        <f>IF(Explore!S112=1,20) - TblConstr[[#This Row],[Hom]] + TblConstr[[#This Row],[Dest Hom]]</f>
        <v>0</v>
      </c>
      <c r="CY112" s="142"/>
      <c r="CZ112" s="94">
        <f t="shared" ref="CZ112:CZ131" ca="1" si="30">G112+SUM(P101:S112)+SUM(AZ112:BC112)</f>
        <v>90</v>
      </c>
      <c r="DA112" s="94">
        <f t="shared" ref="DA112:DA131" ca="1" si="31">H112+SUM(T101:U112)+SUM(BD112:BE112)</f>
        <v>20</v>
      </c>
      <c r="DB112" s="45">
        <f t="shared" ref="DB112:DB131" ca="1" si="32">I112+SUM(V101:W112)+SUM(BF112:BG112)</f>
        <v>0</v>
      </c>
      <c r="DC112" s="94">
        <f t="shared" ref="DC112:DC131" ca="1" si="33">J112+SUM(X101:Y112)+SUM(BH112:BI112)</f>
        <v>0</v>
      </c>
      <c r="DD112" s="94">
        <f t="shared" ref="DD112:DD131" ca="1" si="34">K112+SUM(AB101:AD112)+SUM(BL112:BN112)</f>
        <v>0</v>
      </c>
      <c r="DE112" s="45">
        <f t="shared" ref="DE112:DE131" ca="1" si="35">L112+SUM(AE101:AE112)+BO112</f>
        <v>0</v>
      </c>
      <c r="DF112" s="94">
        <f t="shared" ref="DF112:DF131" ca="1" si="36">M112+SUM(AG101:AG112)+BQ112</f>
        <v>0</v>
      </c>
      <c r="DG112" s="94" cm="1">
        <f t="array" aca="1" ref="DG112" ca="1">INDEX(TblConstr[[Total Plain]:[Total Water]],ROW()-ROW(TblConstr[#Headers]),MATCH("Total "&amp;home_land,TblConstr[[#Headers],[Total Plain]:[Total Water]],0))+TblConstr[[#This Row],[Homes]]</f>
        <v>90</v>
      </c>
      <c r="DH112" s="45">
        <f t="shared" ca="1" si="22"/>
        <v>0</v>
      </c>
      <c r="DI112" s="45">
        <f t="shared" ca="1" si="19"/>
        <v>0</v>
      </c>
      <c r="DJ112" s="45">
        <f t="shared" ca="1" si="20"/>
        <v>0</v>
      </c>
    </row>
    <row r="113" spans="1:114" x14ac:dyDescent="0.2">
      <c r="A113" s="175">
        <f>TblRezone[[#This Row],[Hour]]</f>
        <v>110</v>
      </c>
      <c r="B113" s="176">
        <f ca="1">SUM(TblConstr[[#This Row],[Plain]:[Water]])</f>
        <v>60</v>
      </c>
      <c r="C113" s="177">
        <f ca="1">SUM(TblConstr[[#This Row],[Tot Hom]:[Tot Doc]])</f>
        <v>50</v>
      </c>
      <c r="D113" s="177">
        <f t="shared" si="21"/>
        <v>0</v>
      </c>
      <c r="E113" s="178"/>
      <c r="F113" s="61">
        <f ca="1">TblConstr[[#This Row],[Barren]]+TblConstr[[#This Row],[Buildings]]+TblConstr[[#This Row],[Incoming]]</f>
        <v>110</v>
      </c>
      <c r="G113" s="187">
        <f ca="1">OFFSET(TblConstr[[#This Row],[Plain]],-1,0)+TblConstr[[#This Row],[Ch_Plain]]</f>
        <v>60</v>
      </c>
      <c r="H113" s="182">
        <f ca="1">OFFSET(TblConstr[[#This Row],[Forest]],-1,0)+TblConstr[[#This Row],[Ch_Forest]]</f>
        <v>0</v>
      </c>
      <c r="I113" s="359">
        <f ca="1">OFFSET(TblConstr[[#This Row],[Mountain]],-1,0)+TblConstr[[#This Row],[Ch_Mountain]]</f>
        <v>0</v>
      </c>
      <c r="J113" s="363">
        <f ca="1">OFFSET(TblConstr[[#This Row],[Hill]],-1,0)+TblConstr[[#This Row],[Ch_Hill]]</f>
        <v>0</v>
      </c>
      <c r="K113" s="367">
        <f ca="1">OFFSET(TblConstr[[#This Row],[Swamp]],-1,0)+TblConstr[[#This Row],[Ch_Swamp]]</f>
        <v>0</v>
      </c>
      <c r="L113" s="185">
        <f ca="1">OFFSET(TblConstr[[#This Row],[Cavern]],-1,0)+TblConstr[[#This Row],[Ch_Cavern]]</f>
        <v>0</v>
      </c>
      <c r="M113" s="186">
        <f ca="1">OFFSET(TblConstr[[#This Row],[Water]],-1,0)+TblConstr[[#This Row],[Ch_Water]]</f>
        <v>0</v>
      </c>
      <c r="N113" s="357">
        <f>TblRezone[[#This Row],[Hour]]</f>
        <v>110</v>
      </c>
      <c r="O113" s="179"/>
      <c r="P113" s="179"/>
      <c r="Q113" s="179"/>
      <c r="R113" s="179"/>
      <c r="S113" s="179"/>
      <c r="T113" s="179"/>
      <c r="U113" s="179"/>
      <c r="V113" s="179"/>
      <c r="W113" s="179"/>
      <c r="X113" s="179"/>
      <c r="Y113" s="179"/>
      <c r="Z113" s="179"/>
      <c r="AA113" s="179"/>
      <c r="AB113" s="179"/>
      <c r="AC113" s="179"/>
      <c r="AD113" s="179"/>
      <c r="AE113" s="179"/>
      <c r="AF113" s="179"/>
      <c r="AG113" s="179"/>
      <c r="AH113" s="53">
        <f ca="1">TblImps[[#This Row],[Time]]</f>
        <v>46051.541666666402</v>
      </c>
      <c r="AI113" s="180">
        <f ca="1">MIN(25%,(TblConstr[[#This Row],[Tot Fac]]+TblConstr[[#This Row],[Dest Fac]])/(TblConstr[[#This Row],[Land]]-TblExplore[[#This Row],[Land Bonus]]*20))</f>
        <v>0</v>
      </c>
      <c r="AJ113" s="180">
        <f ca="1">MIN(25%,(TblConstr[[#This Row],[Tot Fac]]+TblConstr[[#This Row],[Dest Fac]])/TblConstr[[#This Row],[Land]])</f>
        <v>0</v>
      </c>
      <c r="AK113" s="94">
        <f ca="1">TblProd[[#This Row],[Platinum]]</f>
        <v>209367</v>
      </c>
      <c r="AL113" s="94">
        <f ca="1">TblProd[[#This Row],[Lumber]]</f>
        <v>71576</v>
      </c>
      <c r="AM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3" s="94">
        <f ca="1">ROUNDDOWN( MAX(1 - MIN(facs_constr_factor*TblConstr[[#This Row],[Facs -DB]],facs_constr_max) + tech_1_11*TblTech[[#This Row],[11-1]] + tech_6_3_2*TblTech[[#This Row],[6-3]] + tech_5_2_3*TblTech[[#This Row],[5-2]], 1-global_constr_cap) * TblConstr[[#This Row],[RCPA Lumber]],0)</f>
        <v>48</v>
      </c>
      <c r="AO11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3" s="94">
        <f ca="1">ROUNDDOWN( MAX(1 - MIN(facs_constr_factor*TblConstr[[#This Row],[Facs DB]],facs_constr_max) + tech_1_11*TblTech[[#This Row],[1-11]] + tech_6_3_2*TblTech[[#This Row],[6-3]] + tech_5_2_3*TblTech[[#This Row],[5-2]], 1-global_constr_cap) * ROUND((TblConstr[[#This Row],[Land]]-250)*0.285 + 87.5 + 0/4.25,0),0)</f>
        <v>48</v>
      </c>
      <c r="AQ113" s="45">
        <f ca="1">TblConstr[[#This Row],[build -db]]*TblConstr[[#This Row],[CPA Platinum -DB]] + TblConstr[[#This Row],[build db]]*TblConstr[[#This Row],[CPA Platinum DB]]</f>
        <v>0</v>
      </c>
      <c r="AR113" s="45">
        <f ca="1">TblConstr[[#This Row],[build -db]]*TblConstr[[#This Row],[CPA Lumber -DB]] + TblConstr[[#This Row],[build db]]*TblConstr[[#This Row],[CPA Lumber DB]]</f>
        <v>0</v>
      </c>
      <c r="AS113" s="94">
        <f ca="1">MIN(SUM(OFFSET(TblConstr[[#This Row],[Plain]:[Water]],-1,0))+SUM(TblConstr[[#This Row],[Dest Hom]:[Dest Doc]])+IF(TblConstr[[#This Row],[Hour]]&gt;12,SUM(OFFSET(TblExplore[[#This Row],[Plains Explore]:[Water Explore]],-12,0)),0),SUM(TblConstr[[#This Row],[Hom]:[Doc]]))</f>
        <v>0</v>
      </c>
      <c r="AT11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3" s="142"/>
      <c r="AV113" s="94">
        <f ca="1">ROUND((TblConstr[[#This Row],[Land]]-250 - IF(TblExplore[[#This Row],[Land Bonus]]&lt;&gt;0,20,0))*1.25 + 850 + 0,0)</f>
        <v>675</v>
      </c>
      <c r="AW113" s="94">
        <f ca="1">ROUND((TblConstr[[#This Row],[Land]]-250 - IF(TblExplore[[#This Row],[Land Bonus]]&lt;&gt;0,20,0))*0.285 + 87.5 + 0/4.25,0)</f>
        <v>48</v>
      </c>
      <c r="AX113" s="154"/>
      <c r="AY113" s="188" cm="1">
        <f t="array" aca="1" ref="AY113" ca="1">IF(TblConstr[[#This Row],[Hour]:[Hour]]&gt;12,OFFSET(TblConstr[[#This Row],[Hom]],-12,0),0)+OFFSET(TblConstr[[#This Row],[Tot Hom]],-1,0)-TblConstr[[#This Row],[Dest Hom]]</f>
        <v>0</v>
      </c>
      <c r="AZ113" s="189" cm="1">
        <f t="array" aca="1" ref="AZ113" ca="1">IF(TblConstr[[#This Row],[Hour]:[Hour]]&gt;12,OFFSET(TblConstr[[#This Row],[Alc]],-12,0),0)+OFFSET(TblConstr[[#This Row],[Tot Alc]],-1,0)-TblConstr[[#This Row],[Dest Alc]]</f>
        <v>0</v>
      </c>
      <c r="BA113" s="189" cm="1">
        <f t="array" aca="1" ref="BA113" ca="1">IF(TblConstr[[#This Row],[Hour]:[Hour]]&gt;12,OFFSET(TblConstr[[#This Row],[Far]],-12,0),0)+OFFSET(TblConstr[[#This Row],[Tot Farm]],-1,0)-TblConstr[[#This Row],[Dest Farm]]</f>
        <v>30</v>
      </c>
      <c r="BB113" s="189" cm="1">
        <f t="array" aca="1" ref="BB113" ca="1">IF(TblConstr[[#This Row],[Hour]:[Hour]]&gt;12,OFFSET(TblConstr[[#This Row],[Smi]],-12,0),0)+OFFSET(TblConstr[[#This Row],[Tot Smi]],-1,0)-TblConstr[[#This Row],[Dest Smi]]</f>
        <v>0</v>
      </c>
      <c r="BC113" s="189" cm="1">
        <f t="array" aca="1" ref="BC113" ca="1">IF(TblConstr[[#This Row],[Hour]:[Hour]]&gt;12,OFFSET(TblConstr[[#This Row],[Mas]],-12,0),0)+OFFSET(TblConstr[[#This Row],[Tot Mas]],-1,0)-TblConstr[[#This Row],[Dest Mas]]</f>
        <v>0</v>
      </c>
      <c r="BD113" s="190" cm="1">
        <f t="array" aca="1" ref="BD113" ca="1">IF(TblConstr[[#This Row],[Hour]:[Hour]]&gt;12,OFFSET(TblConstr[[#This Row],[Ly]],-12,0),0)+OFFSET(TblConstr[[#This Row],[Tot Ly]],-1,0)-TblConstr[[#This Row],[Dest Ly]]</f>
        <v>20</v>
      </c>
      <c r="BE113" s="190" cm="1">
        <f t="array" aca="1" ref="BE113" ca="1">IF(TblConstr[[#This Row],[Hour]:[Hour]]&gt;12,OFFSET(TblConstr[[#This Row],[Hav]],-12,0),0)+OFFSET(TblConstr[[#This Row],[Tot Hav]],-1,0)-TblConstr[[#This Row],[Dest Hav]]</f>
        <v>0</v>
      </c>
      <c r="BF113" s="361" cm="1">
        <f t="array" aca="1" ref="BF113" ca="1">IF(TblConstr[[#This Row],[Hour]:[Hour]]&gt;12,OFFSET(TblConstr[[#This Row],[OM]],-12,0),0)+OFFSET(TblConstr[[#This Row],[Tot OM]],-1,0)-TblConstr[[#This Row],[Dest OM]]</f>
        <v>0</v>
      </c>
      <c r="BG113" s="361" cm="1">
        <f t="array" aca="1" ref="BG113" ca="1">IF(TblConstr[[#This Row],[Hour]:[Hour]]&gt;12,OFFSET(TblConstr[[#This Row],[GN]],-12,0),0)+OFFSET(TblConstr[[#This Row],[Tot GN]],-1,0)-TblConstr[[#This Row],[Dest GN]]</f>
        <v>0</v>
      </c>
      <c r="BH113" s="365" cm="1">
        <f t="array" aca="1" ref="BH113" ca="1">IF(TblConstr[[#This Row],[Hour]:[Hour]]&gt;12,OFFSET(TblConstr[[#This Row],[Fac]],-12,0),0)+OFFSET(TblConstr[[#This Row],[Tot Fac]],-1,0)-TblConstr[[#This Row],[Dest Fac]]</f>
        <v>0</v>
      </c>
      <c r="BI113" s="365" cm="1">
        <f t="array" aca="1" ref="BI113" ca="1">IF(TblConstr[[#This Row],[Hour]:[Hour]]&gt;12,OFFSET(TblConstr[[#This Row],[GT]],-12,0),0)+OFFSET(TblConstr[[#This Row],[Tot GT]],-1,0)-TblConstr[[#This Row],[Dest GT]]</f>
        <v>0</v>
      </c>
      <c r="BJ113" s="365" cm="1">
        <f t="array" aca="1" ref="BJ113" ca="1">IF(TblConstr[[#This Row],[Hour]:[Hour]]&gt;12,OFFSET(TblConstr[[#This Row],[Bar]],-12,0),0)+OFFSET(TblConstr[[#This Row],[Tot Bar]],-1,0)-TblConstr[[#This Row],[Dest Bar]]</f>
        <v>0</v>
      </c>
      <c r="BK113" s="365" cm="1">
        <f t="array" aca="1" ref="BK113" ca="1">IF(TblConstr[[#This Row],[Hour]:[Hour]]&gt;12,OFFSET(TblConstr[[#This Row],[Shr]],-12,0),0)+OFFSET(TblConstr[[#This Row],[Tot Shr]],-1,0)-TblConstr[[#This Row],[Dest Shr]]</f>
        <v>0</v>
      </c>
      <c r="BL113" s="369" cm="1">
        <f t="array" aca="1" ref="BL113" ca="1">IF(TblConstr[[#This Row],[Hour]:[Hour]]&gt;12,OFFSET(TblConstr[[#This Row],[Tow]],-12,0),0)+OFFSET(TblConstr[[#This Row],[Tot Tow]],-1,0)-TblConstr[[#This Row],[Dest Tow]]</f>
        <v>0</v>
      </c>
      <c r="BM113" s="369" cm="1">
        <f t="array" aca="1" ref="BM113" ca="1">IF(TblConstr[[#This Row],[Hour]:[Hour]]&gt;12,OFFSET(TblConstr[[#This Row],[Tem]],-12,0),0)+OFFSET(TblConstr[[#This Row],[Tot Tem]],-1,0)-TblConstr[[#This Row],[Dest Tem]]</f>
        <v>0</v>
      </c>
      <c r="BN113" s="369" cm="1">
        <f t="array" aca="1" ref="BN113" ca="1">IF(TblConstr[[#This Row],[Hour]:[Hour]]&gt;12,OFFSET(TblConstr[[#This Row],[WG]],-12,0),0)+OFFSET(TblConstr[[#This Row],[Tot WG]],-1,0)-TblConstr[[#This Row],[Dest WG]]</f>
        <v>0</v>
      </c>
      <c r="BO113" s="191" cm="1">
        <f t="array" aca="1" ref="BO113" ca="1">IF(TblConstr[[#This Row],[Hour]:[Hour]]&gt;12,OFFSET(TblConstr[[#This Row],[DM]],-12,0),0)+OFFSET(TblConstr[[#This Row],[Tot DM]],-1,0)-TblConstr[[#This Row],[Dest DM]]</f>
        <v>0</v>
      </c>
      <c r="BP113" s="191" cm="1">
        <f t="array" aca="1" ref="BP113" ca="1">IF(TblConstr[[#This Row],[Hour]:[Hour]]&gt;12,OFFSET(TblConstr[[#This Row],[Sch]],-12,0),0)+OFFSET(TblConstr[[#This Row],[Tot Sch]],-1,0)-TblConstr[[#This Row],[Dest Sch]]</f>
        <v>0</v>
      </c>
      <c r="BQ113" s="192" cm="1">
        <f t="array" aca="1" ref="BQ113" ca="1">IF(TblConstr[[#This Row],[Hour]:[Hour]]&gt;12,OFFSET(TblConstr[[#This Row],[Doc]],-12,0),0)+OFFSET(TblConstr[[#This Row],[Tot Doc]],-1,0)-TblConstr[[#This Row],[Dest Doc]]</f>
        <v>0</v>
      </c>
      <c r="BR113" s="142"/>
      <c r="BS113" s="154"/>
      <c r="BT113" s="94">
        <f ca="1">TblConstr[[#This Row],[Land]]</f>
        <v>110</v>
      </c>
      <c r="BU113" s="159">
        <f ca="1">TblImps[[#This Row],[Time]]</f>
        <v>46051.541666666402</v>
      </c>
      <c r="BV113" s="142"/>
      <c r="BW113" s="179"/>
      <c r="BX113" s="179"/>
      <c r="BY113" s="179"/>
      <c r="BZ113" s="179"/>
      <c r="CA113" s="179"/>
      <c r="CB113" s="179"/>
      <c r="CC113" s="179"/>
      <c r="CD113" s="179"/>
      <c r="CE113" s="179"/>
      <c r="CF113" s="179"/>
      <c r="CG113" s="179"/>
      <c r="CH113" s="179"/>
      <c r="CI113" s="179"/>
      <c r="CJ113" s="179"/>
      <c r="CK113" s="179"/>
      <c r="CL113" s="179"/>
      <c r="CM113" s="179"/>
      <c r="CN113" s="179"/>
      <c r="CO113" s="179"/>
      <c r="CP113" s="142"/>
      <c r="CQ113" s="181">
        <f ca="1">-SUM(TblConstr[[#This Row],[Alc]:[Mas]])+SUM(TblConstr[[#This Row],[Dest Alc]:[Dest Mas]])+Rezone!L113+IF("Ch_"&amp; home_land=TblConstr[[#Headers],[Ch_Plain]],TblConstr[[#This Row],[Home Land]])+IF(TblConstr[[#This Row],[Hour]:[Hour]]&gt;12,OFFSET(TblExplore[[#This Row],[Plains Explore]],-12,0),0)</f>
        <v>0</v>
      </c>
      <c r="CR113" s="182">
        <f ca="1">-SUM(TblConstr[[#This Row],[Ly]:[Hav]])+SUM(TblConstr[[#This Row],[Dest Ly]:[Dest Hav]]) +Rezone!M113 + IF("Ch_"&amp; home_land=TblConstr[[#Headers],[Ch_Forest]],TblConstr[[#This Row],[Home Land]])+IF(TblConstr[[#This Row],[Hour]:[Hour]]&gt;12,OFFSET(TblExplore[[#This Row],[Forest Explore]],-12,0),0)</f>
        <v>0</v>
      </c>
      <c r="CS113" s="359">
        <f ca="1">-SUM(TblConstr[[#This Row],[OM]:[GN]])+SUM(TblConstr[[#This Row],[Dest OM]:[Dest GN]]) +Rezone!N113 + IF("Ch_"&amp; home_land=TblConstr[[#Headers],[Ch_Mountain]],TblConstr[[#This Row],[Home Land]])+IF(TblConstr[[#This Row],[Hour]:[Hour]]&gt;12,OFFSET(TblExplore[[#This Row],[Mountain Explore]],-12,0),0)</f>
        <v>0</v>
      </c>
      <c r="CT113" s="183">
        <f ca="1">-SUM(TblConstr[[#This Row],[Fac]:[Shr]])+SUM(TblConstr[[#This Row],[Dest Fac]:[Dest Shr]]) +Rezone!O113 + IF("Ch_" &amp; home_land=TblConstr[[#Headers],[Ch_Hill]],TblConstr[[#This Row],[Home Land]])+IF(TblConstr[[#This Row],[Hour]:[Hour]]&gt;12,OFFSET(TblExplore[[#This Row],[Hill Explore]],-12,0),0)</f>
        <v>0</v>
      </c>
      <c r="CU113" s="184">
        <f ca="1">-SUM(TblConstr[[#This Row],[Tow]:[WG]])+SUM(TblConstr[[#This Row],[Dest Tow]:[Dest WG]]) +Rezone!P113 + IF("Ch_" &amp; home_land=TblConstr[[#Headers],[Ch_Swamp]],TblConstr[[#This Row],[Home Land]])+IF(TblConstr[[#This Row],[Hour]:[Hour]]&gt;12,OFFSET(TblExplore[[#This Row],[Swamp Explore]],-12,0),0)</f>
        <v>0</v>
      </c>
      <c r="CV113" s="185">
        <f ca="1" xml:space="preserve"> - SUM(TblConstr[[#This Row],[DM]:[Sch]])+SUM(TblConstr[[#This Row],[Dest DM]:[Dest Sch]]) +Rezone!Q113 + IF("Ch_" &amp; home_land=TblConstr[[#Headers],[Ch_Cavern]],TblConstr[[#This Row],[Home Land]])+IF(TblConstr[[#This Row],[Hour]:[Hour]]&gt;12,OFFSET(TblExplore[[#This Row],[Cavern Explore]],-12,0),0)</f>
        <v>0</v>
      </c>
      <c r="CW113" s="186">
        <f ca="1">-TblConstr[[#This Row],[Doc]]+TblConstr[[#This Row],[Dest Doc]] +Rezone!R113 + IF("Ch_" &amp; home_land=TblConstr[[#Headers],[Ch_Water]],TblConstr[[#This Row],[Home Land]])+IF(TblConstr[[#This Row],[Hour]:[Hour]]&gt;12,OFFSET(TblExplore[[#This Row],[Water Explore]],-12,0),0)</f>
        <v>0</v>
      </c>
      <c r="CX113" s="45">
        <f>IF(Explore!S113=1,20) - TblConstr[[#This Row],[Hom]] + TblConstr[[#This Row],[Dest Hom]]</f>
        <v>0</v>
      </c>
      <c r="CY113" s="142"/>
      <c r="CZ113" s="94">
        <f t="shared" ca="1" si="30"/>
        <v>90</v>
      </c>
      <c r="DA113" s="94">
        <f t="shared" ca="1" si="31"/>
        <v>20</v>
      </c>
      <c r="DB113" s="45">
        <f t="shared" ca="1" si="32"/>
        <v>0</v>
      </c>
      <c r="DC113" s="94">
        <f t="shared" ca="1" si="33"/>
        <v>0</v>
      </c>
      <c r="DD113" s="94">
        <f t="shared" ca="1" si="34"/>
        <v>0</v>
      </c>
      <c r="DE113" s="45">
        <f t="shared" ca="1" si="35"/>
        <v>0</v>
      </c>
      <c r="DF113" s="94">
        <f t="shared" ca="1" si="36"/>
        <v>0</v>
      </c>
      <c r="DG113" s="94" cm="1">
        <f t="array" aca="1" ref="DG113" ca="1">INDEX(TblConstr[[Total Plain]:[Total Water]],ROW()-ROW(TblConstr[#Headers]),MATCH("Total "&amp;home_land,TblConstr[[#Headers],[Total Plain]:[Total Water]],0))+TblConstr[[#This Row],[Homes]]</f>
        <v>90</v>
      </c>
      <c r="DH113" s="45">
        <f t="shared" ca="1" si="22"/>
        <v>0</v>
      </c>
      <c r="DI113" s="45">
        <f t="shared" ca="1" si="19"/>
        <v>0</v>
      </c>
      <c r="DJ113" s="45">
        <f t="shared" ca="1" si="20"/>
        <v>0</v>
      </c>
    </row>
    <row r="114" spans="1:114" x14ac:dyDescent="0.2">
      <c r="A114" s="175">
        <f>TblRezone[[#This Row],[Hour]]</f>
        <v>111</v>
      </c>
      <c r="B114" s="176">
        <f ca="1">SUM(TblConstr[[#This Row],[Plain]:[Water]])</f>
        <v>60</v>
      </c>
      <c r="C114" s="177">
        <f ca="1">SUM(TblConstr[[#This Row],[Tot Hom]:[Tot Doc]])</f>
        <v>50</v>
      </c>
      <c r="D114" s="177">
        <f t="shared" si="21"/>
        <v>0</v>
      </c>
      <c r="E114" s="178"/>
      <c r="F114" s="61">
        <f ca="1">TblConstr[[#This Row],[Barren]]+TblConstr[[#This Row],[Buildings]]+TblConstr[[#This Row],[Incoming]]</f>
        <v>110</v>
      </c>
      <c r="G114" s="187">
        <f ca="1">OFFSET(TblConstr[[#This Row],[Plain]],-1,0)+TblConstr[[#This Row],[Ch_Plain]]</f>
        <v>60</v>
      </c>
      <c r="H114" s="182">
        <f ca="1">OFFSET(TblConstr[[#This Row],[Forest]],-1,0)+TblConstr[[#This Row],[Ch_Forest]]</f>
        <v>0</v>
      </c>
      <c r="I114" s="359">
        <f ca="1">OFFSET(TblConstr[[#This Row],[Mountain]],-1,0)+TblConstr[[#This Row],[Ch_Mountain]]</f>
        <v>0</v>
      </c>
      <c r="J114" s="363">
        <f ca="1">OFFSET(TblConstr[[#This Row],[Hill]],-1,0)+TblConstr[[#This Row],[Ch_Hill]]</f>
        <v>0</v>
      </c>
      <c r="K114" s="367">
        <f ca="1">OFFSET(TblConstr[[#This Row],[Swamp]],-1,0)+TblConstr[[#This Row],[Ch_Swamp]]</f>
        <v>0</v>
      </c>
      <c r="L114" s="185">
        <f ca="1">OFFSET(TblConstr[[#This Row],[Cavern]],-1,0)+TblConstr[[#This Row],[Ch_Cavern]]</f>
        <v>0</v>
      </c>
      <c r="M114" s="186">
        <f ca="1">OFFSET(TblConstr[[#This Row],[Water]],-1,0)+TblConstr[[#This Row],[Ch_Water]]</f>
        <v>0</v>
      </c>
      <c r="N114" s="357">
        <f>TblRezone[[#This Row],[Hour]]</f>
        <v>111</v>
      </c>
      <c r="O114" s="179"/>
      <c r="P114" s="179"/>
      <c r="Q114" s="179"/>
      <c r="R114" s="179"/>
      <c r="S114" s="179"/>
      <c r="T114" s="179"/>
      <c r="U114" s="179"/>
      <c r="V114" s="179"/>
      <c r="W114" s="179"/>
      <c r="X114" s="179"/>
      <c r="Y114" s="179"/>
      <c r="Z114" s="179"/>
      <c r="AA114" s="179"/>
      <c r="AB114" s="179"/>
      <c r="AC114" s="179"/>
      <c r="AD114" s="179"/>
      <c r="AE114" s="179"/>
      <c r="AF114" s="179"/>
      <c r="AG114" s="179"/>
      <c r="AH114" s="53">
        <f ca="1">TblImps[[#This Row],[Time]]</f>
        <v>46051.583333333067</v>
      </c>
      <c r="AI114" s="180">
        <f ca="1">MIN(25%,(TblConstr[[#This Row],[Tot Fac]]+TblConstr[[#This Row],[Dest Fac]])/(TblConstr[[#This Row],[Land]]-TblExplore[[#This Row],[Land Bonus]]*20))</f>
        <v>0</v>
      </c>
      <c r="AJ114" s="180">
        <f ca="1">MIN(25%,(TblConstr[[#This Row],[Tot Fac]]+TblConstr[[#This Row],[Dest Fac]])/TblConstr[[#This Row],[Land]])</f>
        <v>0</v>
      </c>
      <c r="AK114" s="94">
        <f ca="1">TblProd[[#This Row],[Platinum]]</f>
        <v>210271</v>
      </c>
      <c r="AL114" s="94">
        <f ca="1">TblProd[[#This Row],[Lumber]]</f>
        <v>71860</v>
      </c>
      <c r="AM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4" s="94">
        <f ca="1">ROUNDDOWN( MAX(1 - MIN(facs_constr_factor*TblConstr[[#This Row],[Facs -DB]],facs_constr_max) + tech_1_11*TblTech[[#This Row],[11-1]] + tech_6_3_2*TblTech[[#This Row],[6-3]] + tech_5_2_3*TblTech[[#This Row],[5-2]], 1-global_constr_cap) * TblConstr[[#This Row],[RCPA Lumber]],0)</f>
        <v>48</v>
      </c>
      <c r="AO11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4" s="94">
        <f ca="1">ROUNDDOWN( MAX(1 - MIN(facs_constr_factor*TblConstr[[#This Row],[Facs DB]],facs_constr_max) + tech_1_11*TblTech[[#This Row],[1-11]] + tech_6_3_2*TblTech[[#This Row],[6-3]] + tech_5_2_3*TblTech[[#This Row],[5-2]], 1-global_constr_cap) * ROUND((TblConstr[[#This Row],[Land]]-250)*0.285 + 87.5 + 0/4.25,0),0)</f>
        <v>48</v>
      </c>
      <c r="AQ114" s="45">
        <f ca="1">TblConstr[[#This Row],[build -db]]*TblConstr[[#This Row],[CPA Platinum -DB]] + TblConstr[[#This Row],[build db]]*TblConstr[[#This Row],[CPA Platinum DB]]</f>
        <v>0</v>
      </c>
      <c r="AR114" s="45">
        <f ca="1">TblConstr[[#This Row],[build -db]]*TblConstr[[#This Row],[CPA Lumber -DB]] + TblConstr[[#This Row],[build db]]*TblConstr[[#This Row],[CPA Lumber DB]]</f>
        <v>0</v>
      </c>
      <c r="AS114" s="94">
        <f ca="1">MIN(SUM(OFFSET(TblConstr[[#This Row],[Plain]:[Water]],-1,0))+SUM(TblConstr[[#This Row],[Dest Hom]:[Dest Doc]])+IF(TblConstr[[#This Row],[Hour]]&gt;12,SUM(OFFSET(TblExplore[[#This Row],[Plains Explore]:[Water Explore]],-12,0)),0),SUM(TblConstr[[#This Row],[Hom]:[Doc]]))</f>
        <v>0</v>
      </c>
      <c r="AT11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4" s="142"/>
      <c r="AV114" s="94">
        <f ca="1">ROUND((TblConstr[[#This Row],[Land]]-250 - IF(TblExplore[[#This Row],[Land Bonus]]&lt;&gt;0,20,0))*1.25 + 850 + 0,0)</f>
        <v>675</v>
      </c>
      <c r="AW114" s="94">
        <f ca="1">ROUND((TblConstr[[#This Row],[Land]]-250 - IF(TblExplore[[#This Row],[Land Bonus]]&lt;&gt;0,20,0))*0.285 + 87.5 + 0/4.25,0)</f>
        <v>48</v>
      </c>
      <c r="AX114" s="154"/>
      <c r="AY114" s="188" cm="1">
        <f t="array" aca="1" ref="AY114" ca="1">IF(TblConstr[[#This Row],[Hour]:[Hour]]&gt;12,OFFSET(TblConstr[[#This Row],[Hom]],-12,0),0)+OFFSET(TblConstr[[#This Row],[Tot Hom]],-1,0)-TblConstr[[#This Row],[Dest Hom]]</f>
        <v>0</v>
      </c>
      <c r="AZ114" s="189" cm="1">
        <f t="array" aca="1" ref="AZ114" ca="1">IF(TblConstr[[#This Row],[Hour]:[Hour]]&gt;12,OFFSET(TblConstr[[#This Row],[Alc]],-12,0),0)+OFFSET(TblConstr[[#This Row],[Tot Alc]],-1,0)-TblConstr[[#This Row],[Dest Alc]]</f>
        <v>0</v>
      </c>
      <c r="BA114" s="189" cm="1">
        <f t="array" aca="1" ref="BA114" ca="1">IF(TblConstr[[#This Row],[Hour]:[Hour]]&gt;12,OFFSET(TblConstr[[#This Row],[Far]],-12,0),0)+OFFSET(TblConstr[[#This Row],[Tot Farm]],-1,0)-TblConstr[[#This Row],[Dest Farm]]</f>
        <v>30</v>
      </c>
      <c r="BB114" s="189" cm="1">
        <f t="array" aca="1" ref="BB114" ca="1">IF(TblConstr[[#This Row],[Hour]:[Hour]]&gt;12,OFFSET(TblConstr[[#This Row],[Smi]],-12,0),0)+OFFSET(TblConstr[[#This Row],[Tot Smi]],-1,0)-TblConstr[[#This Row],[Dest Smi]]</f>
        <v>0</v>
      </c>
      <c r="BC114" s="189" cm="1">
        <f t="array" aca="1" ref="BC114" ca="1">IF(TblConstr[[#This Row],[Hour]:[Hour]]&gt;12,OFFSET(TblConstr[[#This Row],[Mas]],-12,0),0)+OFFSET(TblConstr[[#This Row],[Tot Mas]],-1,0)-TblConstr[[#This Row],[Dest Mas]]</f>
        <v>0</v>
      </c>
      <c r="BD114" s="190" cm="1">
        <f t="array" aca="1" ref="BD114" ca="1">IF(TblConstr[[#This Row],[Hour]:[Hour]]&gt;12,OFFSET(TblConstr[[#This Row],[Ly]],-12,0),0)+OFFSET(TblConstr[[#This Row],[Tot Ly]],-1,0)-TblConstr[[#This Row],[Dest Ly]]</f>
        <v>20</v>
      </c>
      <c r="BE114" s="190" cm="1">
        <f t="array" aca="1" ref="BE114" ca="1">IF(TblConstr[[#This Row],[Hour]:[Hour]]&gt;12,OFFSET(TblConstr[[#This Row],[Hav]],-12,0),0)+OFFSET(TblConstr[[#This Row],[Tot Hav]],-1,0)-TblConstr[[#This Row],[Dest Hav]]</f>
        <v>0</v>
      </c>
      <c r="BF114" s="361" cm="1">
        <f t="array" aca="1" ref="BF114" ca="1">IF(TblConstr[[#This Row],[Hour]:[Hour]]&gt;12,OFFSET(TblConstr[[#This Row],[OM]],-12,0),0)+OFFSET(TblConstr[[#This Row],[Tot OM]],-1,0)-TblConstr[[#This Row],[Dest OM]]</f>
        <v>0</v>
      </c>
      <c r="BG114" s="361" cm="1">
        <f t="array" aca="1" ref="BG114" ca="1">IF(TblConstr[[#This Row],[Hour]:[Hour]]&gt;12,OFFSET(TblConstr[[#This Row],[GN]],-12,0),0)+OFFSET(TblConstr[[#This Row],[Tot GN]],-1,0)-TblConstr[[#This Row],[Dest GN]]</f>
        <v>0</v>
      </c>
      <c r="BH114" s="365" cm="1">
        <f t="array" aca="1" ref="BH114" ca="1">IF(TblConstr[[#This Row],[Hour]:[Hour]]&gt;12,OFFSET(TblConstr[[#This Row],[Fac]],-12,0),0)+OFFSET(TblConstr[[#This Row],[Tot Fac]],-1,0)-TblConstr[[#This Row],[Dest Fac]]</f>
        <v>0</v>
      </c>
      <c r="BI114" s="365" cm="1">
        <f t="array" aca="1" ref="BI114" ca="1">IF(TblConstr[[#This Row],[Hour]:[Hour]]&gt;12,OFFSET(TblConstr[[#This Row],[GT]],-12,0),0)+OFFSET(TblConstr[[#This Row],[Tot GT]],-1,0)-TblConstr[[#This Row],[Dest GT]]</f>
        <v>0</v>
      </c>
      <c r="BJ114" s="365" cm="1">
        <f t="array" aca="1" ref="BJ114" ca="1">IF(TblConstr[[#This Row],[Hour]:[Hour]]&gt;12,OFFSET(TblConstr[[#This Row],[Bar]],-12,0),0)+OFFSET(TblConstr[[#This Row],[Tot Bar]],-1,0)-TblConstr[[#This Row],[Dest Bar]]</f>
        <v>0</v>
      </c>
      <c r="BK114" s="365" cm="1">
        <f t="array" aca="1" ref="BK114" ca="1">IF(TblConstr[[#This Row],[Hour]:[Hour]]&gt;12,OFFSET(TblConstr[[#This Row],[Shr]],-12,0),0)+OFFSET(TblConstr[[#This Row],[Tot Shr]],-1,0)-TblConstr[[#This Row],[Dest Shr]]</f>
        <v>0</v>
      </c>
      <c r="BL114" s="369" cm="1">
        <f t="array" aca="1" ref="BL114" ca="1">IF(TblConstr[[#This Row],[Hour]:[Hour]]&gt;12,OFFSET(TblConstr[[#This Row],[Tow]],-12,0),0)+OFFSET(TblConstr[[#This Row],[Tot Tow]],-1,0)-TblConstr[[#This Row],[Dest Tow]]</f>
        <v>0</v>
      </c>
      <c r="BM114" s="369" cm="1">
        <f t="array" aca="1" ref="BM114" ca="1">IF(TblConstr[[#This Row],[Hour]:[Hour]]&gt;12,OFFSET(TblConstr[[#This Row],[Tem]],-12,0),0)+OFFSET(TblConstr[[#This Row],[Tot Tem]],-1,0)-TblConstr[[#This Row],[Dest Tem]]</f>
        <v>0</v>
      </c>
      <c r="BN114" s="369" cm="1">
        <f t="array" aca="1" ref="BN114" ca="1">IF(TblConstr[[#This Row],[Hour]:[Hour]]&gt;12,OFFSET(TblConstr[[#This Row],[WG]],-12,0),0)+OFFSET(TblConstr[[#This Row],[Tot WG]],-1,0)-TblConstr[[#This Row],[Dest WG]]</f>
        <v>0</v>
      </c>
      <c r="BO114" s="191" cm="1">
        <f t="array" aca="1" ref="BO114" ca="1">IF(TblConstr[[#This Row],[Hour]:[Hour]]&gt;12,OFFSET(TblConstr[[#This Row],[DM]],-12,0),0)+OFFSET(TblConstr[[#This Row],[Tot DM]],-1,0)-TblConstr[[#This Row],[Dest DM]]</f>
        <v>0</v>
      </c>
      <c r="BP114" s="191" cm="1">
        <f t="array" aca="1" ref="BP114" ca="1">IF(TblConstr[[#This Row],[Hour]:[Hour]]&gt;12,OFFSET(TblConstr[[#This Row],[Sch]],-12,0),0)+OFFSET(TblConstr[[#This Row],[Tot Sch]],-1,0)-TblConstr[[#This Row],[Dest Sch]]</f>
        <v>0</v>
      </c>
      <c r="BQ114" s="192" cm="1">
        <f t="array" aca="1" ref="BQ114" ca="1">IF(TblConstr[[#This Row],[Hour]:[Hour]]&gt;12,OFFSET(TblConstr[[#This Row],[Doc]],-12,0),0)+OFFSET(TblConstr[[#This Row],[Tot Doc]],-1,0)-TblConstr[[#This Row],[Dest Doc]]</f>
        <v>0</v>
      </c>
      <c r="BR114" s="142"/>
      <c r="BS114" s="154"/>
      <c r="BT114" s="94">
        <f ca="1">TblConstr[[#This Row],[Land]]</f>
        <v>110</v>
      </c>
      <c r="BU114" s="159">
        <f ca="1">TblImps[[#This Row],[Time]]</f>
        <v>46051.583333333067</v>
      </c>
      <c r="BV114" s="142"/>
      <c r="BW114" s="179"/>
      <c r="BX114" s="158"/>
      <c r="BY114" s="179"/>
      <c r="BZ114" s="179"/>
      <c r="CA114" s="179"/>
      <c r="CB114" s="179"/>
      <c r="CC114" s="179"/>
      <c r="CD114" s="179"/>
      <c r="CE114" s="179"/>
      <c r="CF114" s="179"/>
      <c r="CG114" s="179"/>
      <c r="CH114" s="179"/>
      <c r="CI114" s="179"/>
      <c r="CJ114" s="179"/>
      <c r="CK114" s="179"/>
      <c r="CL114" s="179"/>
      <c r="CM114" s="179"/>
      <c r="CN114" s="179"/>
      <c r="CO114" s="179"/>
      <c r="CP114" s="142"/>
      <c r="CQ114" s="181">
        <f ca="1">-SUM(TblConstr[[#This Row],[Alc]:[Mas]])+SUM(TblConstr[[#This Row],[Dest Alc]:[Dest Mas]])+Rezone!L114+IF("Ch_"&amp; home_land=TblConstr[[#Headers],[Ch_Plain]],TblConstr[[#This Row],[Home Land]])+IF(TblConstr[[#This Row],[Hour]:[Hour]]&gt;12,OFFSET(TblExplore[[#This Row],[Plains Explore]],-12,0),0)</f>
        <v>0</v>
      </c>
      <c r="CR114" s="182">
        <f ca="1">-SUM(TblConstr[[#This Row],[Ly]:[Hav]])+SUM(TblConstr[[#This Row],[Dest Ly]:[Dest Hav]]) +Rezone!M114 + IF("Ch_"&amp; home_land=TblConstr[[#Headers],[Ch_Forest]],TblConstr[[#This Row],[Home Land]])+IF(TblConstr[[#This Row],[Hour]:[Hour]]&gt;12,OFFSET(TblExplore[[#This Row],[Forest Explore]],-12,0),0)</f>
        <v>0</v>
      </c>
      <c r="CS114" s="359">
        <f ca="1">-SUM(TblConstr[[#This Row],[OM]:[GN]])+SUM(TblConstr[[#This Row],[Dest OM]:[Dest GN]]) +Rezone!N114 + IF("Ch_"&amp; home_land=TblConstr[[#Headers],[Ch_Mountain]],TblConstr[[#This Row],[Home Land]])+IF(TblConstr[[#This Row],[Hour]:[Hour]]&gt;12,OFFSET(TblExplore[[#This Row],[Mountain Explore]],-12,0),0)</f>
        <v>0</v>
      </c>
      <c r="CT114" s="183">
        <f ca="1">-SUM(TblConstr[[#This Row],[Fac]:[Shr]])+SUM(TblConstr[[#This Row],[Dest Fac]:[Dest Shr]]) +Rezone!O114 + IF("Ch_" &amp; home_land=TblConstr[[#Headers],[Ch_Hill]],TblConstr[[#This Row],[Home Land]])+IF(TblConstr[[#This Row],[Hour]:[Hour]]&gt;12,OFFSET(TblExplore[[#This Row],[Hill Explore]],-12,0),0)</f>
        <v>0</v>
      </c>
      <c r="CU114" s="184">
        <f ca="1">-SUM(TblConstr[[#This Row],[Tow]:[WG]])+SUM(TblConstr[[#This Row],[Dest Tow]:[Dest WG]]) +Rezone!P114 + IF("Ch_" &amp; home_land=TblConstr[[#Headers],[Ch_Swamp]],TblConstr[[#This Row],[Home Land]])+IF(TblConstr[[#This Row],[Hour]:[Hour]]&gt;12,OFFSET(TblExplore[[#This Row],[Swamp Explore]],-12,0),0)</f>
        <v>0</v>
      </c>
      <c r="CV114" s="185">
        <f ca="1" xml:space="preserve"> - SUM(TblConstr[[#This Row],[DM]:[Sch]])+SUM(TblConstr[[#This Row],[Dest DM]:[Dest Sch]]) +Rezone!Q114 + IF("Ch_" &amp; home_land=TblConstr[[#Headers],[Ch_Cavern]],TblConstr[[#This Row],[Home Land]])+IF(TblConstr[[#This Row],[Hour]:[Hour]]&gt;12,OFFSET(TblExplore[[#This Row],[Cavern Explore]],-12,0),0)</f>
        <v>0</v>
      </c>
      <c r="CW114" s="186">
        <f ca="1">-TblConstr[[#This Row],[Doc]]+TblConstr[[#This Row],[Dest Doc]] +Rezone!R114 + IF("Ch_" &amp; home_land=TblConstr[[#Headers],[Ch_Water]],TblConstr[[#This Row],[Home Land]])+IF(TblConstr[[#This Row],[Hour]:[Hour]]&gt;12,OFFSET(TblExplore[[#This Row],[Water Explore]],-12,0),0)</f>
        <v>0</v>
      </c>
      <c r="CX114" s="45">
        <f>IF(Explore!S114=1,20) - TblConstr[[#This Row],[Hom]] + TblConstr[[#This Row],[Dest Hom]]</f>
        <v>0</v>
      </c>
      <c r="CY114" s="142"/>
      <c r="CZ114" s="94">
        <f t="shared" ca="1" si="30"/>
        <v>90</v>
      </c>
      <c r="DA114" s="94">
        <f t="shared" ca="1" si="31"/>
        <v>20</v>
      </c>
      <c r="DB114" s="45">
        <f t="shared" ca="1" si="32"/>
        <v>0</v>
      </c>
      <c r="DC114" s="94">
        <f t="shared" ca="1" si="33"/>
        <v>0</v>
      </c>
      <c r="DD114" s="94">
        <f t="shared" ca="1" si="34"/>
        <v>0</v>
      </c>
      <c r="DE114" s="45">
        <f t="shared" ca="1" si="35"/>
        <v>0</v>
      </c>
      <c r="DF114" s="94">
        <f t="shared" ca="1" si="36"/>
        <v>0</v>
      </c>
      <c r="DG114" s="94" cm="1">
        <f t="array" aca="1" ref="DG114" ca="1">INDEX(TblConstr[[Total Plain]:[Total Water]],ROW()-ROW(TblConstr[#Headers]),MATCH("Total "&amp;home_land,TblConstr[[#Headers],[Total Plain]:[Total Water]],0))+TblConstr[[#This Row],[Homes]]</f>
        <v>90</v>
      </c>
      <c r="DH114" s="45">
        <f t="shared" ca="1" si="22"/>
        <v>0</v>
      </c>
      <c r="DI114" s="45">
        <f t="shared" ca="1" si="19"/>
        <v>0</v>
      </c>
      <c r="DJ114" s="45">
        <f t="shared" ca="1" si="20"/>
        <v>0</v>
      </c>
    </row>
    <row r="115" spans="1:114" x14ac:dyDescent="0.2">
      <c r="A115" s="175">
        <f>TblRezone[[#This Row],[Hour]]</f>
        <v>112</v>
      </c>
      <c r="B115" s="176">
        <f ca="1">SUM(TblConstr[[#This Row],[Plain]:[Water]])</f>
        <v>60</v>
      </c>
      <c r="C115" s="177">
        <f ca="1">SUM(TblConstr[[#This Row],[Tot Hom]:[Tot Doc]])</f>
        <v>50</v>
      </c>
      <c r="D115" s="177">
        <f t="shared" si="21"/>
        <v>0</v>
      </c>
      <c r="E115" s="178"/>
      <c r="F115" s="61">
        <f ca="1">TblConstr[[#This Row],[Barren]]+TblConstr[[#This Row],[Buildings]]+TblConstr[[#This Row],[Incoming]]</f>
        <v>110</v>
      </c>
      <c r="G115" s="187">
        <f ca="1">OFFSET(TblConstr[[#This Row],[Plain]],-1,0)+TblConstr[[#This Row],[Ch_Plain]]</f>
        <v>60</v>
      </c>
      <c r="H115" s="182">
        <f ca="1">OFFSET(TblConstr[[#This Row],[Forest]],-1,0)+TblConstr[[#This Row],[Ch_Forest]]</f>
        <v>0</v>
      </c>
      <c r="I115" s="359">
        <f ca="1">OFFSET(TblConstr[[#This Row],[Mountain]],-1,0)+TblConstr[[#This Row],[Ch_Mountain]]</f>
        <v>0</v>
      </c>
      <c r="J115" s="363">
        <f ca="1">OFFSET(TblConstr[[#This Row],[Hill]],-1,0)+TblConstr[[#This Row],[Ch_Hill]]</f>
        <v>0</v>
      </c>
      <c r="K115" s="367">
        <f ca="1">OFFSET(TblConstr[[#This Row],[Swamp]],-1,0)+TblConstr[[#This Row],[Ch_Swamp]]</f>
        <v>0</v>
      </c>
      <c r="L115" s="185">
        <f ca="1">OFFSET(TblConstr[[#This Row],[Cavern]],-1,0)+TblConstr[[#This Row],[Ch_Cavern]]</f>
        <v>0</v>
      </c>
      <c r="M115" s="186">
        <f ca="1">OFFSET(TblConstr[[#This Row],[Water]],-1,0)+TblConstr[[#This Row],[Ch_Water]]</f>
        <v>0</v>
      </c>
      <c r="N115" s="357">
        <f>TblRezone[[#This Row],[Hour]]</f>
        <v>112</v>
      </c>
      <c r="O115" s="179"/>
      <c r="P115" s="179"/>
      <c r="Q115" s="179"/>
      <c r="R115" s="179"/>
      <c r="S115" s="179"/>
      <c r="T115" s="179"/>
      <c r="U115" s="179"/>
      <c r="V115" s="179"/>
      <c r="W115" s="179"/>
      <c r="X115" s="179"/>
      <c r="Y115" s="179"/>
      <c r="Z115" s="179"/>
      <c r="AA115" s="179"/>
      <c r="AB115" s="179"/>
      <c r="AC115" s="179"/>
      <c r="AD115" s="179"/>
      <c r="AE115" s="179"/>
      <c r="AF115" s="179"/>
      <c r="AG115" s="179"/>
      <c r="AH115" s="53">
        <f ca="1">TblImps[[#This Row],[Time]]</f>
        <v>46051.624999999731</v>
      </c>
      <c r="AI115" s="180">
        <f ca="1">MIN(25%,(TblConstr[[#This Row],[Tot Fac]]+TblConstr[[#This Row],[Dest Fac]])/(TblConstr[[#This Row],[Land]]-TblExplore[[#This Row],[Land Bonus]]*20))</f>
        <v>0</v>
      </c>
      <c r="AJ115" s="180">
        <f ca="1">MIN(25%,(TblConstr[[#This Row],[Tot Fac]]+TblConstr[[#This Row],[Dest Fac]])/TblConstr[[#This Row],[Land]])</f>
        <v>0</v>
      </c>
      <c r="AK115" s="94">
        <f ca="1">TblProd[[#This Row],[Platinum]]</f>
        <v>211167</v>
      </c>
      <c r="AL115" s="94">
        <f ca="1">TblProd[[#This Row],[Lumber]]</f>
        <v>72141</v>
      </c>
      <c r="AM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5" s="94">
        <f ca="1">ROUNDDOWN( MAX(1 - MIN(facs_constr_factor*TblConstr[[#This Row],[Facs -DB]],facs_constr_max) + tech_1_11*TblTech[[#This Row],[11-1]] + tech_6_3_2*TblTech[[#This Row],[6-3]] + tech_5_2_3*TblTech[[#This Row],[5-2]], 1-global_constr_cap) * TblConstr[[#This Row],[RCPA Lumber]],0)</f>
        <v>48</v>
      </c>
      <c r="AO11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5" s="94">
        <f ca="1">ROUNDDOWN( MAX(1 - MIN(facs_constr_factor*TblConstr[[#This Row],[Facs DB]],facs_constr_max) + tech_1_11*TblTech[[#This Row],[1-11]] + tech_6_3_2*TblTech[[#This Row],[6-3]] + tech_5_2_3*TblTech[[#This Row],[5-2]], 1-global_constr_cap) * ROUND((TblConstr[[#This Row],[Land]]-250)*0.285 + 87.5 + 0/4.25,0),0)</f>
        <v>48</v>
      </c>
      <c r="AQ115" s="45">
        <f ca="1">TblConstr[[#This Row],[build -db]]*TblConstr[[#This Row],[CPA Platinum -DB]] + TblConstr[[#This Row],[build db]]*TblConstr[[#This Row],[CPA Platinum DB]]</f>
        <v>0</v>
      </c>
      <c r="AR115" s="45">
        <f ca="1">TblConstr[[#This Row],[build -db]]*TblConstr[[#This Row],[CPA Lumber -DB]] + TblConstr[[#This Row],[build db]]*TblConstr[[#This Row],[CPA Lumber DB]]</f>
        <v>0</v>
      </c>
      <c r="AS115" s="94">
        <f ca="1">MIN(SUM(OFFSET(TblConstr[[#This Row],[Plain]:[Water]],-1,0))+SUM(TblConstr[[#This Row],[Dest Hom]:[Dest Doc]])+IF(TblConstr[[#This Row],[Hour]]&gt;12,SUM(OFFSET(TblExplore[[#This Row],[Plains Explore]:[Water Explore]],-12,0)),0),SUM(TblConstr[[#This Row],[Hom]:[Doc]]))</f>
        <v>0</v>
      </c>
      <c r="AT11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5" s="142"/>
      <c r="AV115" s="94">
        <f ca="1">ROUND((TblConstr[[#This Row],[Land]]-250 - IF(TblExplore[[#This Row],[Land Bonus]]&lt;&gt;0,20,0))*1.25 + 850 + 0,0)</f>
        <v>675</v>
      </c>
      <c r="AW115" s="94">
        <f ca="1">ROUND((TblConstr[[#This Row],[Land]]-250 - IF(TblExplore[[#This Row],[Land Bonus]]&lt;&gt;0,20,0))*0.285 + 87.5 + 0/4.25,0)</f>
        <v>48</v>
      </c>
      <c r="AX115" s="154"/>
      <c r="AY115" s="188" cm="1">
        <f t="array" aca="1" ref="AY115" ca="1">IF(TblConstr[[#This Row],[Hour]:[Hour]]&gt;12,OFFSET(TblConstr[[#This Row],[Hom]],-12,0),0)+OFFSET(TblConstr[[#This Row],[Tot Hom]],-1,0)-TblConstr[[#This Row],[Dest Hom]]</f>
        <v>0</v>
      </c>
      <c r="AZ115" s="189" cm="1">
        <f t="array" aca="1" ref="AZ115" ca="1">IF(TblConstr[[#This Row],[Hour]:[Hour]]&gt;12,OFFSET(TblConstr[[#This Row],[Alc]],-12,0),0)+OFFSET(TblConstr[[#This Row],[Tot Alc]],-1,0)-TblConstr[[#This Row],[Dest Alc]]</f>
        <v>0</v>
      </c>
      <c r="BA115" s="189" cm="1">
        <f t="array" aca="1" ref="BA115" ca="1">IF(TblConstr[[#This Row],[Hour]:[Hour]]&gt;12,OFFSET(TblConstr[[#This Row],[Far]],-12,0),0)+OFFSET(TblConstr[[#This Row],[Tot Farm]],-1,0)-TblConstr[[#This Row],[Dest Farm]]</f>
        <v>30</v>
      </c>
      <c r="BB115" s="189" cm="1">
        <f t="array" aca="1" ref="BB115" ca="1">IF(TblConstr[[#This Row],[Hour]:[Hour]]&gt;12,OFFSET(TblConstr[[#This Row],[Smi]],-12,0),0)+OFFSET(TblConstr[[#This Row],[Tot Smi]],-1,0)-TblConstr[[#This Row],[Dest Smi]]</f>
        <v>0</v>
      </c>
      <c r="BC115" s="189" cm="1">
        <f t="array" aca="1" ref="BC115" ca="1">IF(TblConstr[[#This Row],[Hour]:[Hour]]&gt;12,OFFSET(TblConstr[[#This Row],[Mas]],-12,0),0)+OFFSET(TblConstr[[#This Row],[Tot Mas]],-1,0)-TblConstr[[#This Row],[Dest Mas]]</f>
        <v>0</v>
      </c>
      <c r="BD115" s="190" cm="1">
        <f t="array" aca="1" ref="BD115" ca="1">IF(TblConstr[[#This Row],[Hour]:[Hour]]&gt;12,OFFSET(TblConstr[[#This Row],[Ly]],-12,0),0)+OFFSET(TblConstr[[#This Row],[Tot Ly]],-1,0)-TblConstr[[#This Row],[Dest Ly]]</f>
        <v>20</v>
      </c>
      <c r="BE115" s="190" cm="1">
        <f t="array" aca="1" ref="BE115" ca="1">IF(TblConstr[[#This Row],[Hour]:[Hour]]&gt;12,OFFSET(TblConstr[[#This Row],[Hav]],-12,0),0)+OFFSET(TblConstr[[#This Row],[Tot Hav]],-1,0)-TblConstr[[#This Row],[Dest Hav]]</f>
        <v>0</v>
      </c>
      <c r="BF115" s="361" cm="1">
        <f t="array" aca="1" ref="BF115" ca="1">IF(TblConstr[[#This Row],[Hour]:[Hour]]&gt;12,OFFSET(TblConstr[[#This Row],[OM]],-12,0),0)+OFFSET(TblConstr[[#This Row],[Tot OM]],-1,0)-TblConstr[[#This Row],[Dest OM]]</f>
        <v>0</v>
      </c>
      <c r="BG115" s="361" cm="1">
        <f t="array" aca="1" ref="BG115" ca="1">IF(TblConstr[[#This Row],[Hour]:[Hour]]&gt;12,OFFSET(TblConstr[[#This Row],[GN]],-12,0),0)+OFFSET(TblConstr[[#This Row],[Tot GN]],-1,0)-TblConstr[[#This Row],[Dest GN]]</f>
        <v>0</v>
      </c>
      <c r="BH115" s="365" cm="1">
        <f t="array" aca="1" ref="BH115" ca="1">IF(TblConstr[[#This Row],[Hour]:[Hour]]&gt;12,OFFSET(TblConstr[[#This Row],[Fac]],-12,0),0)+OFFSET(TblConstr[[#This Row],[Tot Fac]],-1,0)-TblConstr[[#This Row],[Dest Fac]]</f>
        <v>0</v>
      </c>
      <c r="BI115" s="365" cm="1">
        <f t="array" aca="1" ref="BI115" ca="1">IF(TblConstr[[#This Row],[Hour]:[Hour]]&gt;12,OFFSET(TblConstr[[#This Row],[GT]],-12,0),0)+OFFSET(TblConstr[[#This Row],[Tot GT]],-1,0)-TblConstr[[#This Row],[Dest GT]]</f>
        <v>0</v>
      </c>
      <c r="BJ115" s="365" cm="1">
        <f t="array" aca="1" ref="BJ115" ca="1">IF(TblConstr[[#This Row],[Hour]:[Hour]]&gt;12,OFFSET(TblConstr[[#This Row],[Bar]],-12,0),0)+OFFSET(TblConstr[[#This Row],[Tot Bar]],-1,0)-TblConstr[[#This Row],[Dest Bar]]</f>
        <v>0</v>
      </c>
      <c r="BK115" s="365" cm="1">
        <f t="array" aca="1" ref="BK115" ca="1">IF(TblConstr[[#This Row],[Hour]:[Hour]]&gt;12,OFFSET(TblConstr[[#This Row],[Shr]],-12,0),0)+OFFSET(TblConstr[[#This Row],[Tot Shr]],-1,0)-TblConstr[[#This Row],[Dest Shr]]</f>
        <v>0</v>
      </c>
      <c r="BL115" s="369" cm="1">
        <f t="array" aca="1" ref="BL115" ca="1">IF(TblConstr[[#This Row],[Hour]:[Hour]]&gt;12,OFFSET(TblConstr[[#This Row],[Tow]],-12,0),0)+OFFSET(TblConstr[[#This Row],[Tot Tow]],-1,0)-TblConstr[[#This Row],[Dest Tow]]</f>
        <v>0</v>
      </c>
      <c r="BM115" s="369" cm="1">
        <f t="array" aca="1" ref="BM115" ca="1">IF(TblConstr[[#This Row],[Hour]:[Hour]]&gt;12,OFFSET(TblConstr[[#This Row],[Tem]],-12,0),0)+OFFSET(TblConstr[[#This Row],[Tot Tem]],-1,0)-TblConstr[[#This Row],[Dest Tem]]</f>
        <v>0</v>
      </c>
      <c r="BN115" s="369" cm="1">
        <f t="array" aca="1" ref="BN115" ca="1">IF(TblConstr[[#This Row],[Hour]:[Hour]]&gt;12,OFFSET(TblConstr[[#This Row],[WG]],-12,0),0)+OFFSET(TblConstr[[#This Row],[Tot WG]],-1,0)-TblConstr[[#This Row],[Dest WG]]</f>
        <v>0</v>
      </c>
      <c r="BO115" s="191" cm="1">
        <f t="array" aca="1" ref="BO115" ca="1">IF(TblConstr[[#This Row],[Hour]:[Hour]]&gt;12,OFFSET(TblConstr[[#This Row],[DM]],-12,0),0)+OFFSET(TblConstr[[#This Row],[Tot DM]],-1,0)-TblConstr[[#This Row],[Dest DM]]</f>
        <v>0</v>
      </c>
      <c r="BP115" s="191" cm="1">
        <f t="array" aca="1" ref="BP115" ca="1">IF(TblConstr[[#This Row],[Hour]:[Hour]]&gt;12,OFFSET(TblConstr[[#This Row],[Sch]],-12,0),0)+OFFSET(TblConstr[[#This Row],[Tot Sch]],-1,0)-TblConstr[[#This Row],[Dest Sch]]</f>
        <v>0</v>
      </c>
      <c r="BQ115" s="192" cm="1">
        <f t="array" aca="1" ref="BQ115" ca="1">IF(TblConstr[[#This Row],[Hour]:[Hour]]&gt;12,OFFSET(TblConstr[[#This Row],[Doc]],-12,0),0)+OFFSET(TblConstr[[#This Row],[Tot Doc]],-1,0)-TblConstr[[#This Row],[Dest Doc]]</f>
        <v>0</v>
      </c>
      <c r="BR115" s="142"/>
      <c r="BS115" s="154"/>
      <c r="BT115" s="94">
        <f ca="1">TblConstr[[#This Row],[Land]]</f>
        <v>110</v>
      </c>
      <c r="BU115" s="159">
        <f ca="1">TblImps[[#This Row],[Time]]</f>
        <v>46051.624999999731</v>
      </c>
      <c r="BV115" s="142"/>
      <c r="BW115" s="179"/>
      <c r="BX115" s="179"/>
      <c r="BY115" s="179"/>
      <c r="BZ115" s="179"/>
      <c r="CA115" s="179"/>
      <c r="CB115" s="179"/>
      <c r="CC115" s="179"/>
      <c r="CD115" s="179"/>
      <c r="CE115" s="179"/>
      <c r="CF115" s="179"/>
      <c r="CG115" s="179"/>
      <c r="CH115" s="179"/>
      <c r="CI115" s="179"/>
      <c r="CJ115" s="179"/>
      <c r="CK115" s="179"/>
      <c r="CL115" s="179"/>
      <c r="CM115" s="179"/>
      <c r="CN115" s="179"/>
      <c r="CO115" s="179"/>
      <c r="CP115" s="142"/>
      <c r="CQ115" s="181">
        <f ca="1">-SUM(TblConstr[[#This Row],[Alc]:[Mas]])+SUM(TblConstr[[#This Row],[Dest Alc]:[Dest Mas]])+Rezone!L115+IF("Ch_"&amp; home_land=TblConstr[[#Headers],[Ch_Plain]],TblConstr[[#This Row],[Home Land]])+IF(TblConstr[[#This Row],[Hour]:[Hour]]&gt;12,OFFSET(TblExplore[[#This Row],[Plains Explore]],-12,0),0)</f>
        <v>0</v>
      </c>
      <c r="CR115" s="182">
        <f ca="1">-SUM(TblConstr[[#This Row],[Ly]:[Hav]])+SUM(TblConstr[[#This Row],[Dest Ly]:[Dest Hav]]) +Rezone!M115 + IF("Ch_"&amp; home_land=TblConstr[[#Headers],[Ch_Forest]],TblConstr[[#This Row],[Home Land]])+IF(TblConstr[[#This Row],[Hour]:[Hour]]&gt;12,OFFSET(TblExplore[[#This Row],[Forest Explore]],-12,0),0)</f>
        <v>0</v>
      </c>
      <c r="CS115" s="359">
        <f ca="1">-SUM(TblConstr[[#This Row],[OM]:[GN]])+SUM(TblConstr[[#This Row],[Dest OM]:[Dest GN]]) +Rezone!N115 + IF("Ch_"&amp; home_land=TblConstr[[#Headers],[Ch_Mountain]],TblConstr[[#This Row],[Home Land]])+IF(TblConstr[[#This Row],[Hour]:[Hour]]&gt;12,OFFSET(TblExplore[[#This Row],[Mountain Explore]],-12,0),0)</f>
        <v>0</v>
      </c>
      <c r="CT115" s="183">
        <f ca="1">-SUM(TblConstr[[#This Row],[Fac]:[Shr]])+SUM(TblConstr[[#This Row],[Dest Fac]:[Dest Shr]]) +Rezone!O115 + IF("Ch_" &amp; home_land=TblConstr[[#Headers],[Ch_Hill]],TblConstr[[#This Row],[Home Land]])+IF(TblConstr[[#This Row],[Hour]:[Hour]]&gt;12,OFFSET(TblExplore[[#This Row],[Hill Explore]],-12,0),0)</f>
        <v>0</v>
      </c>
      <c r="CU115" s="184">
        <f ca="1">-SUM(TblConstr[[#This Row],[Tow]:[WG]])+SUM(TblConstr[[#This Row],[Dest Tow]:[Dest WG]]) +Rezone!P115 + IF("Ch_" &amp; home_land=TblConstr[[#Headers],[Ch_Swamp]],TblConstr[[#This Row],[Home Land]])+IF(TblConstr[[#This Row],[Hour]:[Hour]]&gt;12,OFFSET(TblExplore[[#This Row],[Swamp Explore]],-12,0),0)</f>
        <v>0</v>
      </c>
      <c r="CV115" s="185">
        <f ca="1" xml:space="preserve"> - SUM(TblConstr[[#This Row],[DM]:[Sch]])+SUM(TblConstr[[#This Row],[Dest DM]:[Dest Sch]]) +Rezone!Q115 + IF("Ch_" &amp; home_land=TblConstr[[#Headers],[Ch_Cavern]],TblConstr[[#This Row],[Home Land]])+IF(TblConstr[[#This Row],[Hour]:[Hour]]&gt;12,OFFSET(TblExplore[[#This Row],[Cavern Explore]],-12,0),0)</f>
        <v>0</v>
      </c>
      <c r="CW115" s="186">
        <f ca="1">-TblConstr[[#This Row],[Doc]]+TblConstr[[#This Row],[Dest Doc]] +Rezone!R115 + IF("Ch_" &amp; home_land=TblConstr[[#Headers],[Ch_Water]],TblConstr[[#This Row],[Home Land]])+IF(TblConstr[[#This Row],[Hour]:[Hour]]&gt;12,OFFSET(TblExplore[[#This Row],[Water Explore]],-12,0),0)</f>
        <v>0</v>
      </c>
      <c r="CX115" s="45">
        <f>IF(Explore!S115=1,20) - TblConstr[[#This Row],[Hom]] + TblConstr[[#This Row],[Dest Hom]]</f>
        <v>0</v>
      </c>
      <c r="CY115" s="142"/>
      <c r="CZ115" s="94">
        <f t="shared" ca="1" si="30"/>
        <v>90</v>
      </c>
      <c r="DA115" s="94">
        <f t="shared" ca="1" si="31"/>
        <v>20</v>
      </c>
      <c r="DB115" s="45">
        <f t="shared" ca="1" si="32"/>
        <v>0</v>
      </c>
      <c r="DC115" s="94">
        <f t="shared" ca="1" si="33"/>
        <v>0</v>
      </c>
      <c r="DD115" s="94">
        <f t="shared" ca="1" si="34"/>
        <v>0</v>
      </c>
      <c r="DE115" s="45">
        <f t="shared" ca="1" si="35"/>
        <v>0</v>
      </c>
      <c r="DF115" s="94">
        <f t="shared" ca="1" si="36"/>
        <v>0</v>
      </c>
      <c r="DG115" s="94" cm="1">
        <f t="array" aca="1" ref="DG115" ca="1">INDEX(TblConstr[[Total Plain]:[Total Water]],ROW()-ROW(TblConstr[#Headers]),MATCH("Total "&amp;home_land,TblConstr[[#Headers],[Total Plain]:[Total Water]],0))+TblConstr[[#This Row],[Homes]]</f>
        <v>90</v>
      </c>
      <c r="DH115" s="45">
        <f t="shared" ca="1" si="22"/>
        <v>0</v>
      </c>
      <c r="DI115" s="45">
        <f t="shared" ca="1" si="19"/>
        <v>0</v>
      </c>
      <c r="DJ115" s="45">
        <f t="shared" ca="1" si="20"/>
        <v>0</v>
      </c>
    </row>
    <row r="116" spans="1:114" x14ac:dyDescent="0.2">
      <c r="A116" s="175">
        <f>TblRezone[[#This Row],[Hour]]</f>
        <v>113</v>
      </c>
      <c r="B116" s="176">
        <f ca="1">SUM(TblConstr[[#This Row],[Plain]:[Water]])</f>
        <v>60</v>
      </c>
      <c r="C116" s="177">
        <f ca="1">SUM(TblConstr[[#This Row],[Tot Hom]:[Tot Doc]])</f>
        <v>50</v>
      </c>
      <c r="D116" s="177">
        <f t="shared" si="21"/>
        <v>0</v>
      </c>
      <c r="E116" s="178"/>
      <c r="F116" s="61">
        <f ca="1">TblConstr[[#This Row],[Barren]]+TblConstr[[#This Row],[Buildings]]+TblConstr[[#This Row],[Incoming]]</f>
        <v>110</v>
      </c>
      <c r="G116" s="187">
        <f ca="1">OFFSET(TblConstr[[#This Row],[Plain]],-1,0)+TblConstr[[#This Row],[Ch_Plain]]</f>
        <v>60</v>
      </c>
      <c r="H116" s="182">
        <f ca="1">OFFSET(TblConstr[[#This Row],[Forest]],-1,0)+TblConstr[[#This Row],[Ch_Forest]]</f>
        <v>0</v>
      </c>
      <c r="I116" s="359">
        <f ca="1">OFFSET(TblConstr[[#This Row],[Mountain]],-1,0)+TblConstr[[#This Row],[Ch_Mountain]]</f>
        <v>0</v>
      </c>
      <c r="J116" s="363">
        <f ca="1">OFFSET(TblConstr[[#This Row],[Hill]],-1,0)+TblConstr[[#This Row],[Ch_Hill]]</f>
        <v>0</v>
      </c>
      <c r="K116" s="367">
        <f ca="1">OFFSET(TblConstr[[#This Row],[Swamp]],-1,0)+TblConstr[[#This Row],[Ch_Swamp]]</f>
        <v>0</v>
      </c>
      <c r="L116" s="185">
        <f ca="1">OFFSET(TblConstr[[#This Row],[Cavern]],-1,0)+TblConstr[[#This Row],[Ch_Cavern]]</f>
        <v>0</v>
      </c>
      <c r="M116" s="186">
        <f ca="1">OFFSET(TblConstr[[#This Row],[Water]],-1,0)+TblConstr[[#This Row],[Ch_Water]]</f>
        <v>0</v>
      </c>
      <c r="N116" s="357">
        <f>TblRezone[[#This Row],[Hour]]</f>
        <v>113</v>
      </c>
      <c r="O116" s="179"/>
      <c r="P116" s="179"/>
      <c r="Q116" s="179"/>
      <c r="R116" s="179"/>
      <c r="S116" s="179"/>
      <c r="T116" s="179"/>
      <c r="U116" s="179"/>
      <c r="V116" s="179"/>
      <c r="W116" s="179"/>
      <c r="X116" s="179"/>
      <c r="Y116" s="179"/>
      <c r="Z116" s="179"/>
      <c r="AA116" s="179"/>
      <c r="AB116" s="179"/>
      <c r="AC116" s="179"/>
      <c r="AD116" s="179"/>
      <c r="AE116" s="179"/>
      <c r="AF116" s="179"/>
      <c r="AG116" s="179"/>
      <c r="AH116" s="53">
        <f ca="1">TblImps[[#This Row],[Time]]</f>
        <v>46051.666666666395</v>
      </c>
      <c r="AI116" s="180">
        <f ca="1">MIN(25%,(TblConstr[[#This Row],[Tot Fac]]+TblConstr[[#This Row],[Dest Fac]])/(TblConstr[[#This Row],[Land]]-TblExplore[[#This Row],[Land Bonus]]*20))</f>
        <v>0</v>
      </c>
      <c r="AJ116" s="180">
        <f ca="1">MIN(25%,(TblConstr[[#This Row],[Tot Fac]]+TblConstr[[#This Row],[Dest Fac]])/TblConstr[[#This Row],[Land]])</f>
        <v>0</v>
      </c>
      <c r="AK116" s="94">
        <f ca="1">TblProd[[#This Row],[Platinum]]</f>
        <v>212055</v>
      </c>
      <c r="AL116" s="94">
        <f ca="1">TblProd[[#This Row],[Lumber]]</f>
        <v>72420</v>
      </c>
      <c r="AM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6" s="94">
        <f ca="1">ROUNDDOWN( MAX(1 - MIN(facs_constr_factor*TblConstr[[#This Row],[Facs -DB]],facs_constr_max) + tech_1_11*TblTech[[#This Row],[11-1]] + tech_6_3_2*TblTech[[#This Row],[6-3]] + tech_5_2_3*TblTech[[#This Row],[5-2]], 1-global_constr_cap) * TblConstr[[#This Row],[RCPA Lumber]],0)</f>
        <v>48</v>
      </c>
      <c r="AO11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6" s="94">
        <f ca="1">ROUNDDOWN( MAX(1 - MIN(facs_constr_factor*TblConstr[[#This Row],[Facs DB]],facs_constr_max) + tech_1_11*TblTech[[#This Row],[1-11]] + tech_6_3_2*TblTech[[#This Row],[6-3]] + tech_5_2_3*TblTech[[#This Row],[5-2]], 1-global_constr_cap) * ROUND((TblConstr[[#This Row],[Land]]-250)*0.285 + 87.5 + 0/4.25,0),0)</f>
        <v>48</v>
      </c>
      <c r="AQ116" s="45">
        <f ca="1">TblConstr[[#This Row],[build -db]]*TblConstr[[#This Row],[CPA Platinum -DB]] + TblConstr[[#This Row],[build db]]*TblConstr[[#This Row],[CPA Platinum DB]]</f>
        <v>0</v>
      </c>
      <c r="AR116" s="45">
        <f ca="1">TblConstr[[#This Row],[build -db]]*TblConstr[[#This Row],[CPA Lumber -DB]] + TblConstr[[#This Row],[build db]]*TblConstr[[#This Row],[CPA Lumber DB]]</f>
        <v>0</v>
      </c>
      <c r="AS116" s="94">
        <f ca="1">MIN(SUM(OFFSET(TblConstr[[#This Row],[Plain]:[Water]],-1,0))+SUM(TblConstr[[#This Row],[Dest Hom]:[Dest Doc]])+IF(TblConstr[[#This Row],[Hour]]&gt;12,SUM(OFFSET(TblExplore[[#This Row],[Plains Explore]:[Water Explore]],-12,0)),0),SUM(TblConstr[[#This Row],[Hom]:[Doc]]))</f>
        <v>0</v>
      </c>
      <c r="AT11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6" s="142"/>
      <c r="AV116" s="94">
        <f ca="1">ROUND((TblConstr[[#This Row],[Land]]-250 - IF(TblExplore[[#This Row],[Land Bonus]]&lt;&gt;0,20,0))*1.25 + 850 + 0,0)</f>
        <v>675</v>
      </c>
      <c r="AW116" s="94">
        <f ca="1">ROUND((TblConstr[[#This Row],[Land]]-250 - IF(TblExplore[[#This Row],[Land Bonus]]&lt;&gt;0,20,0))*0.285 + 87.5 + 0/4.25,0)</f>
        <v>48</v>
      </c>
      <c r="AX116" s="154"/>
      <c r="AY116" s="188" cm="1">
        <f t="array" aca="1" ref="AY116" ca="1">IF(TblConstr[[#This Row],[Hour]:[Hour]]&gt;12,OFFSET(TblConstr[[#This Row],[Hom]],-12,0),0)+OFFSET(TblConstr[[#This Row],[Tot Hom]],-1,0)-TblConstr[[#This Row],[Dest Hom]]</f>
        <v>0</v>
      </c>
      <c r="AZ116" s="189" cm="1">
        <f t="array" aca="1" ref="AZ116" ca="1">IF(TblConstr[[#This Row],[Hour]:[Hour]]&gt;12,OFFSET(TblConstr[[#This Row],[Alc]],-12,0),0)+OFFSET(TblConstr[[#This Row],[Tot Alc]],-1,0)-TblConstr[[#This Row],[Dest Alc]]</f>
        <v>0</v>
      </c>
      <c r="BA116" s="189" cm="1">
        <f t="array" aca="1" ref="BA116" ca="1">IF(TblConstr[[#This Row],[Hour]:[Hour]]&gt;12,OFFSET(TblConstr[[#This Row],[Far]],-12,0),0)+OFFSET(TblConstr[[#This Row],[Tot Farm]],-1,0)-TblConstr[[#This Row],[Dest Farm]]</f>
        <v>30</v>
      </c>
      <c r="BB116" s="189" cm="1">
        <f t="array" aca="1" ref="BB116" ca="1">IF(TblConstr[[#This Row],[Hour]:[Hour]]&gt;12,OFFSET(TblConstr[[#This Row],[Smi]],-12,0),0)+OFFSET(TblConstr[[#This Row],[Tot Smi]],-1,0)-TblConstr[[#This Row],[Dest Smi]]</f>
        <v>0</v>
      </c>
      <c r="BC116" s="189" cm="1">
        <f t="array" aca="1" ref="BC116" ca="1">IF(TblConstr[[#This Row],[Hour]:[Hour]]&gt;12,OFFSET(TblConstr[[#This Row],[Mas]],-12,0),0)+OFFSET(TblConstr[[#This Row],[Tot Mas]],-1,0)-TblConstr[[#This Row],[Dest Mas]]</f>
        <v>0</v>
      </c>
      <c r="BD116" s="190" cm="1">
        <f t="array" aca="1" ref="BD116" ca="1">IF(TblConstr[[#This Row],[Hour]:[Hour]]&gt;12,OFFSET(TblConstr[[#This Row],[Ly]],-12,0),0)+OFFSET(TblConstr[[#This Row],[Tot Ly]],-1,0)-TblConstr[[#This Row],[Dest Ly]]</f>
        <v>20</v>
      </c>
      <c r="BE116" s="190" cm="1">
        <f t="array" aca="1" ref="BE116" ca="1">IF(TblConstr[[#This Row],[Hour]:[Hour]]&gt;12,OFFSET(TblConstr[[#This Row],[Hav]],-12,0),0)+OFFSET(TblConstr[[#This Row],[Tot Hav]],-1,0)-TblConstr[[#This Row],[Dest Hav]]</f>
        <v>0</v>
      </c>
      <c r="BF116" s="361" cm="1">
        <f t="array" aca="1" ref="BF116" ca="1">IF(TblConstr[[#This Row],[Hour]:[Hour]]&gt;12,OFFSET(TblConstr[[#This Row],[OM]],-12,0),0)+OFFSET(TblConstr[[#This Row],[Tot OM]],-1,0)-TblConstr[[#This Row],[Dest OM]]</f>
        <v>0</v>
      </c>
      <c r="BG116" s="361" cm="1">
        <f t="array" aca="1" ref="BG116" ca="1">IF(TblConstr[[#This Row],[Hour]:[Hour]]&gt;12,OFFSET(TblConstr[[#This Row],[GN]],-12,0),0)+OFFSET(TblConstr[[#This Row],[Tot GN]],-1,0)-TblConstr[[#This Row],[Dest GN]]</f>
        <v>0</v>
      </c>
      <c r="BH116" s="365" cm="1">
        <f t="array" aca="1" ref="BH116" ca="1">IF(TblConstr[[#This Row],[Hour]:[Hour]]&gt;12,OFFSET(TblConstr[[#This Row],[Fac]],-12,0),0)+OFFSET(TblConstr[[#This Row],[Tot Fac]],-1,0)-TblConstr[[#This Row],[Dest Fac]]</f>
        <v>0</v>
      </c>
      <c r="BI116" s="365" cm="1">
        <f t="array" aca="1" ref="BI116" ca="1">IF(TblConstr[[#This Row],[Hour]:[Hour]]&gt;12,OFFSET(TblConstr[[#This Row],[GT]],-12,0),0)+OFFSET(TblConstr[[#This Row],[Tot GT]],-1,0)-TblConstr[[#This Row],[Dest GT]]</f>
        <v>0</v>
      </c>
      <c r="BJ116" s="365" cm="1">
        <f t="array" aca="1" ref="BJ116" ca="1">IF(TblConstr[[#This Row],[Hour]:[Hour]]&gt;12,OFFSET(TblConstr[[#This Row],[Bar]],-12,0),0)+OFFSET(TblConstr[[#This Row],[Tot Bar]],-1,0)-TblConstr[[#This Row],[Dest Bar]]</f>
        <v>0</v>
      </c>
      <c r="BK116" s="365" cm="1">
        <f t="array" aca="1" ref="BK116" ca="1">IF(TblConstr[[#This Row],[Hour]:[Hour]]&gt;12,OFFSET(TblConstr[[#This Row],[Shr]],-12,0),0)+OFFSET(TblConstr[[#This Row],[Tot Shr]],-1,0)-TblConstr[[#This Row],[Dest Shr]]</f>
        <v>0</v>
      </c>
      <c r="BL116" s="369" cm="1">
        <f t="array" aca="1" ref="BL116" ca="1">IF(TblConstr[[#This Row],[Hour]:[Hour]]&gt;12,OFFSET(TblConstr[[#This Row],[Tow]],-12,0),0)+OFFSET(TblConstr[[#This Row],[Tot Tow]],-1,0)-TblConstr[[#This Row],[Dest Tow]]</f>
        <v>0</v>
      </c>
      <c r="BM116" s="369" cm="1">
        <f t="array" aca="1" ref="BM116" ca="1">IF(TblConstr[[#This Row],[Hour]:[Hour]]&gt;12,OFFSET(TblConstr[[#This Row],[Tem]],-12,0),0)+OFFSET(TblConstr[[#This Row],[Tot Tem]],-1,0)-TblConstr[[#This Row],[Dest Tem]]</f>
        <v>0</v>
      </c>
      <c r="BN116" s="369" cm="1">
        <f t="array" aca="1" ref="BN116" ca="1">IF(TblConstr[[#This Row],[Hour]:[Hour]]&gt;12,OFFSET(TblConstr[[#This Row],[WG]],-12,0),0)+OFFSET(TblConstr[[#This Row],[Tot WG]],-1,0)-TblConstr[[#This Row],[Dest WG]]</f>
        <v>0</v>
      </c>
      <c r="BO116" s="191" cm="1">
        <f t="array" aca="1" ref="BO116" ca="1">IF(TblConstr[[#This Row],[Hour]:[Hour]]&gt;12,OFFSET(TblConstr[[#This Row],[DM]],-12,0),0)+OFFSET(TblConstr[[#This Row],[Tot DM]],-1,0)-TblConstr[[#This Row],[Dest DM]]</f>
        <v>0</v>
      </c>
      <c r="BP116" s="191" cm="1">
        <f t="array" aca="1" ref="BP116" ca="1">IF(TblConstr[[#This Row],[Hour]:[Hour]]&gt;12,OFFSET(TblConstr[[#This Row],[Sch]],-12,0),0)+OFFSET(TblConstr[[#This Row],[Tot Sch]],-1,0)-TblConstr[[#This Row],[Dest Sch]]</f>
        <v>0</v>
      </c>
      <c r="BQ116" s="192" cm="1">
        <f t="array" aca="1" ref="BQ116" ca="1">IF(TblConstr[[#This Row],[Hour]:[Hour]]&gt;12,OFFSET(TblConstr[[#This Row],[Doc]],-12,0),0)+OFFSET(TblConstr[[#This Row],[Tot Doc]],-1,0)-TblConstr[[#This Row],[Dest Doc]]</f>
        <v>0</v>
      </c>
      <c r="BR116" s="142"/>
      <c r="BS116" s="154"/>
      <c r="BT116" s="94">
        <f ca="1">TblConstr[[#This Row],[Land]]</f>
        <v>110</v>
      </c>
      <c r="BU116" s="159">
        <f ca="1">TblImps[[#This Row],[Time]]</f>
        <v>46051.666666666395</v>
      </c>
      <c r="BV116" s="142"/>
      <c r="BW116" s="179"/>
      <c r="BX116" s="179"/>
      <c r="BY116" s="179"/>
      <c r="BZ116" s="179"/>
      <c r="CA116" s="179"/>
      <c r="CB116" s="179"/>
      <c r="CC116" s="179"/>
      <c r="CD116" s="179"/>
      <c r="CE116" s="179"/>
      <c r="CF116" s="179"/>
      <c r="CG116" s="179"/>
      <c r="CH116" s="179"/>
      <c r="CI116" s="179"/>
      <c r="CJ116" s="179"/>
      <c r="CK116" s="179"/>
      <c r="CL116" s="179"/>
      <c r="CM116" s="179"/>
      <c r="CN116" s="179"/>
      <c r="CO116" s="179"/>
      <c r="CP116" s="142"/>
      <c r="CQ116" s="181">
        <f ca="1">-SUM(TblConstr[[#This Row],[Alc]:[Mas]])+SUM(TblConstr[[#This Row],[Dest Alc]:[Dest Mas]])+Rezone!L116+IF("Ch_"&amp; home_land=TblConstr[[#Headers],[Ch_Plain]],TblConstr[[#This Row],[Home Land]])+IF(TblConstr[[#This Row],[Hour]:[Hour]]&gt;12,OFFSET(TblExplore[[#This Row],[Plains Explore]],-12,0),0)</f>
        <v>0</v>
      </c>
      <c r="CR116" s="182">
        <f ca="1">-SUM(TblConstr[[#This Row],[Ly]:[Hav]])+SUM(TblConstr[[#This Row],[Dest Ly]:[Dest Hav]]) +Rezone!M116 + IF("Ch_"&amp; home_land=TblConstr[[#Headers],[Ch_Forest]],TblConstr[[#This Row],[Home Land]])+IF(TblConstr[[#This Row],[Hour]:[Hour]]&gt;12,OFFSET(TblExplore[[#This Row],[Forest Explore]],-12,0),0)</f>
        <v>0</v>
      </c>
      <c r="CS116" s="359">
        <f ca="1">-SUM(TblConstr[[#This Row],[OM]:[GN]])+SUM(TblConstr[[#This Row],[Dest OM]:[Dest GN]]) +Rezone!N116 + IF("Ch_"&amp; home_land=TblConstr[[#Headers],[Ch_Mountain]],TblConstr[[#This Row],[Home Land]])+IF(TblConstr[[#This Row],[Hour]:[Hour]]&gt;12,OFFSET(TblExplore[[#This Row],[Mountain Explore]],-12,0),0)</f>
        <v>0</v>
      </c>
      <c r="CT116" s="183">
        <f ca="1">-SUM(TblConstr[[#This Row],[Fac]:[Shr]])+SUM(TblConstr[[#This Row],[Dest Fac]:[Dest Shr]]) +Rezone!O116 + IF("Ch_" &amp; home_land=TblConstr[[#Headers],[Ch_Hill]],TblConstr[[#This Row],[Home Land]])+IF(TblConstr[[#This Row],[Hour]:[Hour]]&gt;12,OFFSET(TblExplore[[#This Row],[Hill Explore]],-12,0),0)</f>
        <v>0</v>
      </c>
      <c r="CU116" s="184">
        <f ca="1">-SUM(TblConstr[[#This Row],[Tow]:[WG]])+SUM(TblConstr[[#This Row],[Dest Tow]:[Dest WG]]) +Rezone!P116 + IF("Ch_" &amp; home_land=TblConstr[[#Headers],[Ch_Swamp]],TblConstr[[#This Row],[Home Land]])+IF(TblConstr[[#This Row],[Hour]:[Hour]]&gt;12,OFFSET(TblExplore[[#This Row],[Swamp Explore]],-12,0),0)</f>
        <v>0</v>
      </c>
      <c r="CV116" s="185">
        <f ca="1" xml:space="preserve"> - SUM(TblConstr[[#This Row],[DM]:[Sch]])+SUM(TblConstr[[#This Row],[Dest DM]:[Dest Sch]]) +Rezone!Q116 + IF("Ch_" &amp; home_land=TblConstr[[#Headers],[Ch_Cavern]],TblConstr[[#This Row],[Home Land]])+IF(TblConstr[[#This Row],[Hour]:[Hour]]&gt;12,OFFSET(TblExplore[[#This Row],[Cavern Explore]],-12,0),0)</f>
        <v>0</v>
      </c>
      <c r="CW116" s="186">
        <f ca="1">-TblConstr[[#This Row],[Doc]]+TblConstr[[#This Row],[Dest Doc]] +Rezone!R116 + IF("Ch_" &amp; home_land=TblConstr[[#Headers],[Ch_Water]],TblConstr[[#This Row],[Home Land]])+IF(TblConstr[[#This Row],[Hour]:[Hour]]&gt;12,OFFSET(TblExplore[[#This Row],[Water Explore]],-12,0),0)</f>
        <v>0</v>
      </c>
      <c r="CX116" s="45">
        <f>IF(Explore!S116=1,20) - TblConstr[[#This Row],[Hom]] + TblConstr[[#This Row],[Dest Hom]]</f>
        <v>0</v>
      </c>
      <c r="CY116" s="142"/>
      <c r="CZ116" s="94">
        <f t="shared" ca="1" si="30"/>
        <v>90</v>
      </c>
      <c r="DA116" s="94">
        <f t="shared" ca="1" si="31"/>
        <v>20</v>
      </c>
      <c r="DB116" s="45">
        <f t="shared" ca="1" si="32"/>
        <v>0</v>
      </c>
      <c r="DC116" s="94">
        <f t="shared" ca="1" si="33"/>
        <v>0</v>
      </c>
      <c r="DD116" s="94">
        <f t="shared" ca="1" si="34"/>
        <v>0</v>
      </c>
      <c r="DE116" s="45">
        <f t="shared" ca="1" si="35"/>
        <v>0</v>
      </c>
      <c r="DF116" s="94">
        <f t="shared" ca="1" si="36"/>
        <v>0</v>
      </c>
      <c r="DG116" s="94" cm="1">
        <f t="array" aca="1" ref="DG116" ca="1">INDEX(TblConstr[[Total Plain]:[Total Water]],ROW()-ROW(TblConstr[#Headers]),MATCH("Total "&amp;home_land,TblConstr[[#Headers],[Total Plain]:[Total Water]],0))+TblConstr[[#This Row],[Homes]]</f>
        <v>90</v>
      </c>
      <c r="DH116" s="45">
        <f t="shared" ca="1" si="22"/>
        <v>0</v>
      </c>
      <c r="DI116" s="45">
        <f t="shared" ca="1" si="19"/>
        <v>0</v>
      </c>
      <c r="DJ116" s="45">
        <f t="shared" ca="1" si="20"/>
        <v>0</v>
      </c>
    </row>
    <row r="117" spans="1:114" x14ac:dyDescent="0.2">
      <c r="A117" s="175">
        <f>TblRezone[[#This Row],[Hour]]</f>
        <v>114</v>
      </c>
      <c r="B117" s="176">
        <f ca="1">SUM(TblConstr[[#This Row],[Plain]:[Water]])</f>
        <v>60</v>
      </c>
      <c r="C117" s="177">
        <f ca="1">SUM(TblConstr[[#This Row],[Tot Hom]:[Tot Doc]])</f>
        <v>50</v>
      </c>
      <c r="D117" s="177">
        <f t="shared" si="21"/>
        <v>0</v>
      </c>
      <c r="E117" s="178"/>
      <c r="F117" s="61">
        <f ca="1">TblConstr[[#This Row],[Barren]]+TblConstr[[#This Row],[Buildings]]+TblConstr[[#This Row],[Incoming]]</f>
        <v>110</v>
      </c>
      <c r="G117" s="187">
        <f ca="1">OFFSET(TblConstr[[#This Row],[Plain]],-1,0)+TblConstr[[#This Row],[Ch_Plain]]</f>
        <v>60</v>
      </c>
      <c r="H117" s="182">
        <f ca="1">OFFSET(TblConstr[[#This Row],[Forest]],-1,0)+TblConstr[[#This Row],[Ch_Forest]]</f>
        <v>0</v>
      </c>
      <c r="I117" s="359">
        <f ca="1">OFFSET(TblConstr[[#This Row],[Mountain]],-1,0)+TblConstr[[#This Row],[Ch_Mountain]]</f>
        <v>0</v>
      </c>
      <c r="J117" s="363">
        <f ca="1">OFFSET(TblConstr[[#This Row],[Hill]],-1,0)+TblConstr[[#This Row],[Ch_Hill]]</f>
        <v>0</v>
      </c>
      <c r="K117" s="367">
        <f ca="1">OFFSET(TblConstr[[#This Row],[Swamp]],-1,0)+TblConstr[[#This Row],[Ch_Swamp]]</f>
        <v>0</v>
      </c>
      <c r="L117" s="185">
        <f ca="1">OFFSET(TblConstr[[#This Row],[Cavern]],-1,0)+TblConstr[[#This Row],[Ch_Cavern]]</f>
        <v>0</v>
      </c>
      <c r="M117" s="186">
        <f ca="1">OFFSET(TblConstr[[#This Row],[Water]],-1,0)+TblConstr[[#This Row],[Ch_Water]]</f>
        <v>0</v>
      </c>
      <c r="N117" s="357">
        <f>TblRezone[[#This Row],[Hour]]</f>
        <v>114</v>
      </c>
      <c r="O117" s="179"/>
      <c r="P117" s="179"/>
      <c r="Q117" s="179"/>
      <c r="R117" s="179"/>
      <c r="S117" s="179"/>
      <c r="T117" s="179"/>
      <c r="U117" s="179"/>
      <c r="V117" s="179"/>
      <c r="W117" s="179"/>
      <c r="X117" s="179"/>
      <c r="Y117" s="179"/>
      <c r="Z117" s="179"/>
      <c r="AA117" s="179"/>
      <c r="AB117" s="179"/>
      <c r="AC117" s="179"/>
      <c r="AD117" s="179"/>
      <c r="AE117" s="179"/>
      <c r="AF117" s="179"/>
      <c r="AG117" s="179"/>
      <c r="AH117" s="53">
        <f ca="1">TblImps[[#This Row],[Time]]</f>
        <v>46051.708333333059</v>
      </c>
      <c r="AI117" s="180">
        <f ca="1">MIN(25%,(TblConstr[[#This Row],[Tot Fac]]+TblConstr[[#This Row],[Dest Fac]])/(TblConstr[[#This Row],[Land]]-TblExplore[[#This Row],[Land Bonus]]*20))</f>
        <v>0</v>
      </c>
      <c r="AJ117" s="180">
        <f ca="1">MIN(25%,(TblConstr[[#This Row],[Tot Fac]]+TblConstr[[#This Row],[Dest Fac]])/TblConstr[[#This Row],[Land]])</f>
        <v>0</v>
      </c>
      <c r="AK117" s="94">
        <f ca="1">TblProd[[#This Row],[Platinum]]</f>
        <v>212935</v>
      </c>
      <c r="AL117" s="94">
        <f ca="1">TblProd[[#This Row],[Lumber]]</f>
        <v>72696</v>
      </c>
      <c r="AM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7" s="94">
        <f ca="1">ROUNDDOWN( MAX(1 - MIN(facs_constr_factor*TblConstr[[#This Row],[Facs -DB]],facs_constr_max) + tech_1_11*TblTech[[#This Row],[11-1]] + tech_6_3_2*TblTech[[#This Row],[6-3]] + tech_5_2_3*TblTech[[#This Row],[5-2]], 1-global_constr_cap) * TblConstr[[#This Row],[RCPA Lumber]],0)</f>
        <v>48</v>
      </c>
      <c r="AO11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7" s="94">
        <f ca="1">ROUNDDOWN( MAX(1 - MIN(facs_constr_factor*TblConstr[[#This Row],[Facs DB]],facs_constr_max) + tech_1_11*TblTech[[#This Row],[1-11]] + tech_6_3_2*TblTech[[#This Row],[6-3]] + tech_5_2_3*TblTech[[#This Row],[5-2]], 1-global_constr_cap) * ROUND((TblConstr[[#This Row],[Land]]-250)*0.285 + 87.5 + 0/4.25,0),0)</f>
        <v>48</v>
      </c>
      <c r="AQ117" s="45">
        <f ca="1">TblConstr[[#This Row],[build -db]]*TblConstr[[#This Row],[CPA Platinum -DB]] + TblConstr[[#This Row],[build db]]*TblConstr[[#This Row],[CPA Platinum DB]]</f>
        <v>0</v>
      </c>
      <c r="AR117" s="45">
        <f ca="1">TblConstr[[#This Row],[build -db]]*TblConstr[[#This Row],[CPA Lumber -DB]] + TblConstr[[#This Row],[build db]]*TblConstr[[#This Row],[CPA Lumber DB]]</f>
        <v>0</v>
      </c>
      <c r="AS117" s="94">
        <f ca="1">MIN(SUM(OFFSET(TblConstr[[#This Row],[Plain]:[Water]],-1,0))+SUM(TblConstr[[#This Row],[Dest Hom]:[Dest Doc]])+IF(TblConstr[[#This Row],[Hour]]&gt;12,SUM(OFFSET(TblExplore[[#This Row],[Plains Explore]:[Water Explore]],-12,0)),0),SUM(TblConstr[[#This Row],[Hom]:[Doc]]))</f>
        <v>0</v>
      </c>
      <c r="AT11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7" s="142"/>
      <c r="AV117" s="94">
        <f ca="1">ROUND((TblConstr[[#This Row],[Land]]-250 - IF(TblExplore[[#This Row],[Land Bonus]]&lt;&gt;0,20,0))*1.25 + 850 + 0,0)</f>
        <v>675</v>
      </c>
      <c r="AW117" s="94">
        <f ca="1">ROUND((TblConstr[[#This Row],[Land]]-250 - IF(TblExplore[[#This Row],[Land Bonus]]&lt;&gt;0,20,0))*0.285 + 87.5 + 0/4.25,0)</f>
        <v>48</v>
      </c>
      <c r="AX117" s="154"/>
      <c r="AY117" s="188" cm="1">
        <f t="array" aca="1" ref="AY117" ca="1">IF(TblConstr[[#This Row],[Hour]:[Hour]]&gt;12,OFFSET(TblConstr[[#This Row],[Hom]],-12,0),0)+OFFSET(TblConstr[[#This Row],[Tot Hom]],-1,0)-TblConstr[[#This Row],[Dest Hom]]</f>
        <v>0</v>
      </c>
      <c r="AZ117" s="189" cm="1">
        <f t="array" aca="1" ref="AZ117" ca="1">IF(TblConstr[[#This Row],[Hour]:[Hour]]&gt;12,OFFSET(TblConstr[[#This Row],[Alc]],-12,0),0)+OFFSET(TblConstr[[#This Row],[Tot Alc]],-1,0)-TblConstr[[#This Row],[Dest Alc]]</f>
        <v>0</v>
      </c>
      <c r="BA117" s="189" cm="1">
        <f t="array" aca="1" ref="BA117" ca="1">IF(TblConstr[[#This Row],[Hour]:[Hour]]&gt;12,OFFSET(TblConstr[[#This Row],[Far]],-12,0),0)+OFFSET(TblConstr[[#This Row],[Tot Farm]],-1,0)-TblConstr[[#This Row],[Dest Farm]]</f>
        <v>30</v>
      </c>
      <c r="BB117" s="189" cm="1">
        <f t="array" aca="1" ref="BB117" ca="1">IF(TblConstr[[#This Row],[Hour]:[Hour]]&gt;12,OFFSET(TblConstr[[#This Row],[Smi]],-12,0),0)+OFFSET(TblConstr[[#This Row],[Tot Smi]],-1,0)-TblConstr[[#This Row],[Dest Smi]]</f>
        <v>0</v>
      </c>
      <c r="BC117" s="189" cm="1">
        <f t="array" aca="1" ref="BC117" ca="1">IF(TblConstr[[#This Row],[Hour]:[Hour]]&gt;12,OFFSET(TblConstr[[#This Row],[Mas]],-12,0),0)+OFFSET(TblConstr[[#This Row],[Tot Mas]],-1,0)-TblConstr[[#This Row],[Dest Mas]]</f>
        <v>0</v>
      </c>
      <c r="BD117" s="190" cm="1">
        <f t="array" aca="1" ref="BD117" ca="1">IF(TblConstr[[#This Row],[Hour]:[Hour]]&gt;12,OFFSET(TblConstr[[#This Row],[Ly]],-12,0),0)+OFFSET(TblConstr[[#This Row],[Tot Ly]],-1,0)-TblConstr[[#This Row],[Dest Ly]]</f>
        <v>20</v>
      </c>
      <c r="BE117" s="190" cm="1">
        <f t="array" aca="1" ref="BE117" ca="1">IF(TblConstr[[#This Row],[Hour]:[Hour]]&gt;12,OFFSET(TblConstr[[#This Row],[Hav]],-12,0),0)+OFFSET(TblConstr[[#This Row],[Tot Hav]],-1,0)-TblConstr[[#This Row],[Dest Hav]]</f>
        <v>0</v>
      </c>
      <c r="BF117" s="361" cm="1">
        <f t="array" aca="1" ref="BF117" ca="1">IF(TblConstr[[#This Row],[Hour]:[Hour]]&gt;12,OFFSET(TblConstr[[#This Row],[OM]],-12,0),0)+OFFSET(TblConstr[[#This Row],[Tot OM]],-1,0)-TblConstr[[#This Row],[Dest OM]]</f>
        <v>0</v>
      </c>
      <c r="BG117" s="361" cm="1">
        <f t="array" aca="1" ref="BG117" ca="1">IF(TblConstr[[#This Row],[Hour]:[Hour]]&gt;12,OFFSET(TblConstr[[#This Row],[GN]],-12,0),0)+OFFSET(TblConstr[[#This Row],[Tot GN]],-1,0)-TblConstr[[#This Row],[Dest GN]]</f>
        <v>0</v>
      </c>
      <c r="BH117" s="365" cm="1">
        <f t="array" aca="1" ref="BH117" ca="1">IF(TblConstr[[#This Row],[Hour]:[Hour]]&gt;12,OFFSET(TblConstr[[#This Row],[Fac]],-12,0),0)+OFFSET(TblConstr[[#This Row],[Tot Fac]],-1,0)-TblConstr[[#This Row],[Dest Fac]]</f>
        <v>0</v>
      </c>
      <c r="BI117" s="365" cm="1">
        <f t="array" aca="1" ref="BI117" ca="1">IF(TblConstr[[#This Row],[Hour]:[Hour]]&gt;12,OFFSET(TblConstr[[#This Row],[GT]],-12,0),0)+OFFSET(TblConstr[[#This Row],[Tot GT]],-1,0)-TblConstr[[#This Row],[Dest GT]]</f>
        <v>0</v>
      </c>
      <c r="BJ117" s="365" cm="1">
        <f t="array" aca="1" ref="BJ117" ca="1">IF(TblConstr[[#This Row],[Hour]:[Hour]]&gt;12,OFFSET(TblConstr[[#This Row],[Bar]],-12,0),0)+OFFSET(TblConstr[[#This Row],[Tot Bar]],-1,0)-TblConstr[[#This Row],[Dest Bar]]</f>
        <v>0</v>
      </c>
      <c r="BK117" s="365" cm="1">
        <f t="array" aca="1" ref="BK117" ca="1">IF(TblConstr[[#This Row],[Hour]:[Hour]]&gt;12,OFFSET(TblConstr[[#This Row],[Shr]],-12,0),0)+OFFSET(TblConstr[[#This Row],[Tot Shr]],-1,0)-TblConstr[[#This Row],[Dest Shr]]</f>
        <v>0</v>
      </c>
      <c r="BL117" s="369" cm="1">
        <f t="array" aca="1" ref="BL117" ca="1">IF(TblConstr[[#This Row],[Hour]:[Hour]]&gt;12,OFFSET(TblConstr[[#This Row],[Tow]],-12,0),0)+OFFSET(TblConstr[[#This Row],[Tot Tow]],-1,0)-TblConstr[[#This Row],[Dest Tow]]</f>
        <v>0</v>
      </c>
      <c r="BM117" s="369" cm="1">
        <f t="array" aca="1" ref="BM117" ca="1">IF(TblConstr[[#This Row],[Hour]:[Hour]]&gt;12,OFFSET(TblConstr[[#This Row],[Tem]],-12,0),0)+OFFSET(TblConstr[[#This Row],[Tot Tem]],-1,0)-TblConstr[[#This Row],[Dest Tem]]</f>
        <v>0</v>
      </c>
      <c r="BN117" s="369" cm="1">
        <f t="array" aca="1" ref="BN117" ca="1">IF(TblConstr[[#This Row],[Hour]:[Hour]]&gt;12,OFFSET(TblConstr[[#This Row],[WG]],-12,0),0)+OFFSET(TblConstr[[#This Row],[Tot WG]],-1,0)-TblConstr[[#This Row],[Dest WG]]</f>
        <v>0</v>
      </c>
      <c r="BO117" s="191" cm="1">
        <f t="array" aca="1" ref="BO117" ca="1">IF(TblConstr[[#This Row],[Hour]:[Hour]]&gt;12,OFFSET(TblConstr[[#This Row],[DM]],-12,0),0)+OFFSET(TblConstr[[#This Row],[Tot DM]],-1,0)-TblConstr[[#This Row],[Dest DM]]</f>
        <v>0</v>
      </c>
      <c r="BP117" s="191" cm="1">
        <f t="array" aca="1" ref="BP117" ca="1">IF(TblConstr[[#This Row],[Hour]:[Hour]]&gt;12,OFFSET(TblConstr[[#This Row],[Sch]],-12,0),0)+OFFSET(TblConstr[[#This Row],[Tot Sch]],-1,0)-TblConstr[[#This Row],[Dest Sch]]</f>
        <v>0</v>
      </c>
      <c r="BQ117" s="192" cm="1">
        <f t="array" aca="1" ref="BQ117" ca="1">IF(TblConstr[[#This Row],[Hour]:[Hour]]&gt;12,OFFSET(TblConstr[[#This Row],[Doc]],-12,0),0)+OFFSET(TblConstr[[#This Row],[Tot Doc]],-1,0)-TblConstr[[#This Row],[Dest Doc]]</f>
        <v>0</v>
      </c>
      <c r="BR117" s="142"/>
      <c r="BS117" s="154"/>
      <c r="BT117" s="94">
        <f ca="1">TblConstr[[#This Row],[Land]]</f>
        <v>110</v>
      </c>
      <c r="BU117" s="159">
        <f ca="1">TblImps[[#This Row],[Time]]</f>
        <v>46051.708333333059</v>
      </c>
      <c r="BV117" s="142"/>
      <c r="BW117" s="179"/>
      <c r="BX117" s="179"/>
      <c r="BY117" s="179"/>
      <c r="BZ117" s="179"/>
      <c r="CA117" s="179"/>
      <c r="CB117" s="179"/>
      <c r="CC117" s="179"/>
      <c r="CD117" s="179"/>
      <c r="CE117" s="179"/>
      <c r="CF117" s="179"/>
      <c r="CG117" s="179"/>
      <c r="CH117" s="179"/>
      <c r="CI117" s="179"/>
      <c r="CJ117" s="179"/>
      <c r="CK117" s="179"/>
      <c r="CL117" s="179"/>
      <c r="CM117" s="179"/>
      <c r="CN117" s="179"/>
      <c r="CO117" s="179"/>
      <c r="CP117" s="142"/>
      <c r="CQ117" s="181">
        <f ca="1">-SUM(TblConstr[[#This Row],[Alc]:[Mas]])+SUM(TblConstr[[#This Row],[Dest Alc]:[Dest Mas]])+Rezone!L117+IF("Ch_"&amp; home_land=TblConstr[[#Headers],[Ch_Plain]],TblConstr[[#This Row],[Home Land]])+IF(TblConstr[[#This Row],[Hour]:[Hour]]&gt;12,OFFSET(TblExplore[[#This Row],[Plains Explore]],-12,0),0)</f>
        <v>0</v>
      </c>
      <c r="CR117" s="182">
        <f ca="1">-SUM(TblConstr[[#This Row],[Ly]:[Hav]])+SUM(TblConstr[[#This Row],[Dest Ly]:[Dest Hav]]) +Rezone!M117 + IF("Ch_"&amp; home_land=TblConstr[[#Headers],[Ch_Forest]],TblConstr[[#This Row],[Home Land]])+IF(TblConstr[[#This Row],[Hour]:[Hour]]&gt;12,OFFSET(TblExplore[[#This Row],[Forest Explore]],-12,0),0)</f>
        <v>0</v>
      </c>
      <c r="CS117" s="359">
        <f ca="1">-SUM(TblConstr[[#This Row],[OM]:[GN]])+SUM(TblConstr[[#This Row],[Dest OM]:[Dest GN]]) +Rezone!N117 + IF("Ch_"&amp; home_land=TblConstr[[#Headers],[Ch_Mountain]],TblConstr[[#This Row],[Home Land]])+IF(TblConstr[[#This Row],[Hour]:[Hour]]&gt;12,OFFSET(TblExplore[[#This Row],[Mountain Explore]],-12,0),0)</f>
        <v>0</v>
      </c>
      <c r="CT117" s="183">
        <f ca="1">-SUM(TblConstr[[#This Row],[Fac]:[Shr]])+SUM(TblConstr[[#This Row],[Dest Fac]:[Dest Shr]]) +Rezone!O117 + IF("Ch_" &amp; home_land=TblConstr[[#Headers],[Ch_Hill]],TblConstr[[#This Row],[Home Land]])+IF(TblConstr[[#This Row],[Hour]:[Hour]]&gt;12,OFFSET(TblExplore[[#This Row],[Hill Explore]],-12,0),0)</f>
        <v>0</v>
      </c>
      <c r="CU117" s="184">
        <f ca="1">-SUM(TblConstr[[#This Row],[Tow]:[WG]])+SUM(TblConstr[[#This Row],[Dest Tow]:[Dest WG]]) +Rezone!P117 + IF("Ch_" &amp; home_land=TblConstr[[#Headers],[Ch_Swamp]],TblConstr[[#This Row],[Home Land]])+IF(TblConstr[[#This Row],[Hour]:[Hour]]&gt;12,OFFSET(TblExplore[[#This Row],[Swamp Explore]],-12,0),0)</f>
        <v>0</v>
      </c>
      <c r="CV117" s="185">
        <f ca="1" xml:space="preserve"> - SUM(TblConstr[[#This Row],[DM]:[Sch]])+SUM(TblConstr[[#This Row],[Dest DM]:[Dest Sch]]) +Rezone!Q117 + IF("Ch_" &amp; home_land=TblConstr[[#Headers],[Ch_Cavern]],TblConstr[[#This Row],[Home Land]])+IF(TblConstr[[#This Row],[Hour]:[Hour]]&gt;12,OFFSET(TblExplore[[#This Row],[Cavern Explore]],-12,0),0)</f>
        <v>0</v>
      </c>
      <c r="CW117" s="186">
        <f ca="1">-TblConstr[[#This Row],[Doc]]+TblConstr[[#This Row],[Dest Doc]] +Rezone!R117 + IF("Ch_" &amp; home_land=TblConstr[[#Headers],[Ch_Water]],TblConstr[[#This Row],[Home Land]])+IF(TblConstr[[#This Row],[Hour]:[Hour]]&gt;12,OFFSET(TblExplore[[#This Row],[Water Explore]],-12,0),0)</f>
        <v>0</v>
      </c>
      <c r="CX117" s="45">
        <f>IF(Explore!S117=1,20) - TblConstr[[#This Row],[Hom]] + TblConstr[[#This Row],[Dest Hom]]</f>
        <v>0</v>
      </c>
      <c r="CY117" s="142"/>
      <c r="CZ117" s="94">
        <f t="shared" ca="1" si="30"/>
        <v>90</v>
      </c>
      <c r="DA117" s="94">
        <f t="shared" ca="1" si="31"/>
        <v>20</v>
      </c>
      <c r="DB117" s="45">
        <f t="shared" ca="1" si="32"/>
        <v>0</v>
      </c>
      <c r="DC117" s="94">
        <f t="shared" ca="1" si="33"/>
        <v>0</v>
      </c>
      <c r="DD117" s="94">
        <f t="shared" ca="1" si="34"/>
        <v>0</v>
      </c>
      <c r="DE117" s="45">
        <f t="shared" ca="1" si="35"/>
        <v>0</v>
      </c>
      <c r="DF117" s="94">
        <f t="shared" ca="1" si="36"/>
        <v>0</v>
      </c>
      <c r="DG117" s="94" cm="1">
        <f t="array" aca="1" ref="DG117" ca="1">INDEX(TblConstr[[Total Plain]:[Total Water]],ROW()-ROW(TblConstr[#Headers]),MATCH("Total "&amp;home_land,TblConstr[[#Headers],[Total Plain]:[Total Water]],0))+TblConstr[[#This Row],[Homes]]</f>
        <v>90</v>
      </c>
      <c r="DH117" s="45">
        <f t="shared" ca="1" si="22"/>
        <v>0</v>
      </c>
      <c r="DI117" s="45">
        <f t="shared" ca="1" si="19"/>
        <v>0</v>
      </c>
      <c r="DJ117" s="45">
        <f t="shared" ca="1" si="20"/>
        <v>0</v>
      </c>
    </row>
    <row r="118" spans="1:114" x14ac:dyDescent="0.2">
      <c r="A118" s="175">
        <f>TblRezone[[#This Row],[Hour]]</f>
        <v>115</v>
      </c>
      <c r="B118" s="176">
        <f ca="1">SUM(TblConstr[[#This Row],[Plain]:[Water]])</f>
        <v>60</v>
      </c>
      <c r="C118" s="177">
        <f ca="1">SUM(TblConstr[[#This Row],[Tot Hom]:[Tot Doc]])</f>
        <v>50</v>
      </c>
      <c r="D118" s="177">
        <f t="shared" si="21"/>
        <v>0</v>
      </c>
      <c r="E118" s="178"/>
      <c r="F118" s="61">
        <f ca="1">TblConstr[[#This Row],[Barren]]+TblConstr[[#This Row],[Buildings]]+TblConstr[[#This Row],[Incoming]]</f>
        <v>110</v>
      </c>
      <c r="G118" s="187">
        <f ca="1">OFFSET(TblConstr[[#This Row],[Plain]],-1,0)+TblConstr[[#This Row],[Ch_Plain]]</f>
        <v>60</v>
      </c>
      <c r="H118" s="182">
        <f ca="1">OFFSET(TblConstr[[#This Row],[Forest]],-1,0)+TblConstr[[#This Row],[Ch_Forest]]</f>
        <v>0</v>
      </c>
      <c r="I118" s="359">
        <f ca="1">OFFSET(TblConstr[[#This Row],[Mountain]],-1,0)+TblConstr[[#This Row],[Ch_Mountain]]</f>
        <v>0</v>
      </c>
      <c r="J118" s="363">
        <f ca="1">OFFSET(TblConstr[[#This Row],[Hill]],-1,0)+TblConstr[[#This Row],[Ch_Hill]]</f>
        <v>0</v>
      </c>
      <c r="K118" s="367">
        <f ca="1">OFFSET(TblConstr[[#This Row],[Swamp]],-1,0)+TblConstr[[#This Row],[Ch_Swamp]]</f>
        <v>0</v>
      </c>
      <c r="L118" s="185">
        <f ca="1">OFFSET(TblConstr[[#This Row],[Cavern]],-1,0)+TblConstr[[#This Row],[Ch_Cavern]]</f>
        <v>0</v>
      </c>
      <c r="M118" s="186">
        <f ca="1">OFFSET(TblConstr[[#This Row],[Water]],-1,0)+TblConstr[[#This Row],[Ch_Water]]</f>
        <v>0</v>
      </c>
      <c r="N118" s="357">
        <f>TblRezone[[#This Row],[Hour]]</f>
        <v>115</v>
      </c>
      <c r="O118" s="179"/>
      <c r="P118" s="179"/>
      <c r="Q118" s="179"/>
      <c r="R118" s="179"/>
      <c r="S118" s="179"/>
      <c r="T118" s="179"/>
      <c r="U118" s="179"/>
      <c r="V118" s="179"/>
      <c r="W118" s="179"/>
      <c r="X118" s="179"/>
      <c r="Y118" s="179"/>
      <c r="Z118" s="179"/>
      <c r="AA118" s="179"/>
      <c r="AB118" s="179"/>
      <c r="AC118" s="179"/>
      <c r="AD118" s="179"/>
      <c r="AE118" s="179"/>
      <c r="AF118" s="179"/>
      <c r="AG118" s="179"/>
      <c r="AH118" s="53">
        <f ca="1">TblImps[[#This Row],[Time]]</f>
        <v>46051.749999999724</v>
      </c>
      <c r="AI118" s="180">
        <f ca="1">MIN(25%,(TblConstr[[#This Row],[Tot Fac]]+TblConstr[[#This Row],[Dest Fac]])/(TblConstr[[#This Row],[Land]]-TblExplore[[#This Row],[Land Bonus]]*20))</f>
        <v>0</v>
      </c>
      <c r="AJ118" s="180">
        <f ca="1">MIN(25%,(TblConstr[[#This Row],[Tot Fac]]+TblConstr[[#This Row],[Dest Fac]])/TblConstr[[#This Row],[Land]])</f>
        <v>0</v>
      </c>
      <c r="AK118" s="94">
        <f ca="1">TblProd[[#This Row],[Platinum]]</f>
        <v>213807</v>
      </c>
      <c r="AL118" s="94">
        <f ca="1">TblProd[[#This Row],[Lumber]]</f>
        <v>72969</v>
      </c>
      <c r="AM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8" s="94">
        <f ca="1">ROUNDDOWN( MAX(1 - MIN(facs_constr_factor*TblConstr[[#This Row],[Facs -DB]],facs_constr_max) + tech_1_11*TblTech[[#This Row],[11-1]] + tech_6_3_2*TblTech[[#This Row],[6-3]] + tech_5_2_3*TblTech[[#This Row],[5-2]], 1-global_constr_cap) * TblConstr[[#This Row],[RCPA Lumber]],0)</f>
        <v>48</v>
      </c>
      <c r="AO11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8" s="94">
        <f ca="1">ROUNDDOWN( MAX(1 - MIN(facs_constr_factor*TblConstr[[#This Row],[Facs DB]],facs_constr_max) + tech_1_11*TblTech[[#This Row],[1-11]] + tech_6_3_2*TblTech[[#This Row],[6-3]] + tech_5_2_3*TblTech[[#This Row],[5-2]], 1-global_constr_cap) * ROUND((TblConstr[[#This Row],[Land]]-250)*0.285 + 87.5 + 0/4.25,0),0)</f>
        <v>48</v>
      </c>
      <c r="AQ118" s="45">
        <f ca="1">TblConstr[[#This Row],[build -db]]*TblConstr[[#This Row],[CPA Platinum -DB]] + TblConstr[[#This Row],[build db]]*TblConstr[[#This Row],[CPA Platinum DB]]</f>
        <v>0</v>
      </c>
      <c r="AR118" s="45">
        <f ca="1">TblConstr[[#This Row],[build -db]]*TblConstr[[#This Row],[CPA Lumber -DB]] + TblConstr[[#This Row],[build db]]*TblConstr[[#This Row],[CPA Lumber DB]]</f>
        <v>0</v>
      </c>
      <c r="AS118" s="94">
        <f ca="1">MIN(SUM(OFFSET(TblConstr[[#This Row],[Plain]:[Water]],-1,0))+SUM(TblConstr[[#This Row],[Dest Hom]:[Dest Doc]])+IF(TblConstr[[#This Row],[Hour]]&gt;12,SUM(OFFSET(TblExplore[[#This Row],[Plains Explore]:[Water Explore]],-12,0)),0),SUM(TblConstr[[#This Row],[Hom]:[Doc]]))</f>
        <v>0</v>
      </c>
      <c r="AT11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8" s="142"/>
      <c r="AV118" s="94">
        <f ca="1">ROUND((TblConstr[[#This Row],[Land]]-250 - IF(TblExplore[[#This Row],[Land Bonus]]&lt;&gt;0,20,0))*1.25 + 850 + 0,0)</f>
        <v>675</v>
      </c>
      <c r="AW118" s="94">
        <f ca="1">ROUND((TblConstr[[#This Row],[Land]]-250 - IF(TblExplore[[#This Row],[Land Bonus]]&lt;&gt;0,20,0))*0.285 + 87.5 + 0/4.25,0)</f>
        <v>48</v>
      </c>
      <c r="AX118" s="154"/>
      <c r="AY118" s="188" cm="1">
        <f t="array" aca="1" ref="AY118" ca="1">IF(TblConstr[[#This Row],[Hour]:[Hour]]&gt;12,OFFSET(TblConstr[[#This Row],[Hom]],-12,0),0)+OFFSET(TblConstr[[#This Row],[Tot Hom]],-1,0)-TblConstr[[#This Row],[Dest Hom]]</f>
        <v>0</v>
      </c>
      <c r="AZ118" s="189" cm="1">
        <f t="array" aca="1" ref="AZ118" ca="1">IF(TblConstr[[#This Row],[Hour]:[Hour]]&gt;12,OFFSET(TblConstr[[#This Row],[Alc]],-12,0),0)+OFFSET(TblConstr[[#This Row],[Tot Alc]],-1,0)-TblConstr[[#This Row],[Dest Alc]]</f>
        <v>0</v>
      </c>
      <c r="BA118" s="189" cm="1">
        <f t="array" aca="1" ref="BA118" ca="1">IF(TblConstr[[#This Row],[Hour]:[Hour]]&gt;12,OFFSET(TblConstr[[#This Row],[Far]],-12,0),0)+OFFSET(TblConstr[[#This Row],[Tot Farm]],-1,0)-TblConstr[[#This Row],[Dest Farm]]</f>
        <v>30</v>
      </c>
      <c r="BB118" s="189" cm="1">
        <f t="array" aca="1" ref="BB118" ca="1">IF(TblConstr[[#This Row],[Hour]:[Hour]]&gt;12,OFFSET(TblConstr[[#This Row],[Smi]],-12,0),0)+OFFSET(TblConstr[[#This Row],[Tot Smi]],-1,0)-TblConstr[[#This Row],[Dest Smi]]</f>
        <v>0</v>
      </c>
      <c r="BC118" s="189" cm="1">
        <f t="array" aca="1" ref="BC118" ca="1">IF(TblConstr[[#This Row],[Hour]:[Hour]]&gt;12,OFFSET(TblConstr[[#This Row],[Mas]],-12,0),0)+OFFSET(TblConstr[[#This Row],[Tot Mas]],-1,0)-TblConstr[[#This Row],[Dest Mas]]</f>
        <v>0</v>
      </c>
      <c r="BD118" s="190" cm="1">
        <f t="array" aca="1" ref="BD118" ca="1">IF(TblConstr[[#This Row],[Hour]:[Hour]]&gt;12,OFFSET(TblConstr[[#This Row],[Ly]],-12,0),0)+OFFSET(TblConstr[[#This Row],[Tot Ly]],-1,0)-TblConstr[[#This Row],[Dest Ly]]</f>
        <v>20</v>
      </c>
      <c r="BE118" s="190" cm="1">
        <f t="array" aca="1" ref="BE118" ca="1">IF(TblConstr[[#This Row],[Hour]:[Hour]]&gt;12,OFFSET(TblConstr[[#This Row],[Hav]],-12,0),0)+OFFSET(TblConstr[[#This Row],[Tot Hav]],-1,0)-TblConstr[[#This Row],[Dest Hav]]</f>
        <v>0</v>
      </c>
      <c r="BF118" s="361" cm="1">
        <f t="array" aca="1" ref="BF118" ca="1">IF(TblConstr[[#This Row],[Hour]:[Hour]]&gt;12,OFFSET(TblConstr[[#This Row],[OM]],-12,0),0)+OFFSET(TblConstr[[#This Row],[Tot OM]],-1,0)-TblConstr[[#This Row],[Dest OM]]</f>
        <v>0</v>
      </c>
      <c r="BG118" s="361" cm="1">
        <f t="array" aca="1" ref="BG118" ca="1">IF(TblConstr[[#This Row],[Hour]:[Hour]]&gt;12,OFFSET(TblConstr[[#This Row],[GN]],-12,0),0)+OFFSET(TblConstr[[#This Row],[Tot GN]],-1,0)-TblConstr[[#This Row],[Dest GN]]</f>
        <v>0</v>
      </c>
      <c r="BH118" s="365" cm="1">
        <f t="array" aca="1" ref="BH118" ca="1">IF(TblConstr[[#This Row],[Hour]:[Hour]]&gt;12,OFFSET(TblConstr[[#This Row],[Fac]],-12,0),0)+OFFSET(TblConstr[[#This Row],[Tot Fac]],-1,0)-TblConstr[[#This Row],[Dest Fac]]</f>
        <v>0</v>
      </c>
      <c r="BI118" s="365" cm="1">
        <f t="array" aca="1" ref="BI118" ca="1">IF(TblConstr[[#This Row],[Hour]:[Hour]]&gt;12,OFFSET(TblConstr[[#This Row],[GT]],-12,0),0)+OFFSET(TblConstr[[#This Row],[Tot GT]],-1,0)-TblConstr[[#This Row],[Dest GT]]</f>
        <v>0</v>
      </c>
      <c r="BJ118" s="365" cm="1">
        <f t="array" aca="1" ref="BJ118" ca="1">IF(TblConstr[[#This Row],[Hour]:[Hour]]&gt;12,OFFSET(TblConstr[[#This Row],[Bar]],-12,0),0)+OFFSET(TblConstr[[#This Row],[Tot Bar]],-1,0)-TblConstr[[#This Row],[Dest Bar]]</f>
        <v>0</v>
      </c>
      <c r="BK118" s="365" cm="1">
        <f t="array" aca="1" ref="BK118" ca="1">IF(TblConstr[[#This Row],[Hour]:[Hour]]&gt;12,OFFSET(TblConstr[[#This Row],[Shr]],-12,0),0)+OFFSET(TblConstr[[#This Row],[Tot Shr]],-1,0)-TblConstr[[#This Row],[Dest Shr]]</f>
        <v>0</v>
      </c>
      <c r="BL118" s="369" cm="1">
        <f t="array" aca="1" ref="BL118" ca="1">IF(TblConstr[[#This Row],[Hour]:[Hour]]&gt;12,OFFSET(TblConstr[[#This Row],[Tow]],-12,0),0)+OFFSET(TblConstr[[#This Row],[Tot Tow]],-1,0)-TblConstr[[#This Row],[Dest Tow]]</f>
        <v>0</v>
      </c>
      <c r="BM118" s="369" cm="1">
        <f t="array" aca="1" ref="BM118" ca="1">IF(TblConstr[[#This Row],[Hour]:[Hour]]&gt;12,OFFSET(TblConstr[[#This Row],[Tem]],-12,0),0)+OFFSET(TblConstr[[#This Row],[Tot Tem]],-1,0)-TblConstr[[#This Row],[Dest Tem]]</f>
        <v>0</v>
      </c>
      <c r="BN118" s="369" cm="1">
        <f t="array" aca="1" ref="BN118" ca="1">IF(TblConstr[[#This Row],[Hour]:[Hour]]&gt;12,OFFSET(TblConstr[[#This Row],[WG]],-12,0),0)+OFFSET(TblConstr[[#This Row],[Tot WG]],-1,0)-TblConstr[[#This Row],[Dest WG]]</f>
        <v>0</v>
      </c>
      <c r="BO118" s="191" cm="1">
        <f t="array" aca="1" ref="BO118" ca="1">IF(TblConstr[[#This Row],[Hour]:[Hour]]&gt;12,OFFSET(TblConstr[[#This Row],[DM]],-12,0),0)+OFFSET(TblConstr[[#This Row],[Tot DM]],-1,0)-TblConstr[[#This Row],[Dest DM]]</f>
        <v>0</v>
      </c>
      <c r="BP118" s="191" cm="1">
        <f t="array" aca="1" ref="BP118" ca="1">IF(TblConstr[[#This Row],[Hour]:[Hour]]&gt;12,OFFSET(TblConstr[[#This Row],[Sch]],-12,0),0)+OFFSET(TblConstr[[#This Row],[Tot Sch]],-1,0)-TblConstr[[#This Row],[Dest Sch]]</f>
        <v>0</v>
      </c>
      <c r="BQ118" s="192" cm="1">
        <f t="array" aca="1" ref="BQ118" ca="1">IF(TblConstr[[#This Row],[Hour]:[Hour]]&gt;12,OFFSET(TblConstr[[#This Row],[Doc]],-12,0),0)+OFFSET(TblConstr[[#This Row],[Tot Doc]],-1,0)-TblConstr[[#This Row],[Dest Doc]]</f>
        <v>0</v>
      </c>
      <c r="BR118" s="142"/>
      <c r="BS118" s="154"/>
      <c r="BT118" s="94">
        <f ca="1">TblConstr[[#This Row],[Land]]</f>
        <v>110</v>
      </c>
      <c r="BU118" s="159">
        <f ca="1">TblImps[[#This Row],[Time]]</f>
        <v>46051.749999999724</v>
      </c>
      <c r="BV118" s="142"/>
      <c r="BW118" s="179"/>
      <c r="BX118" s="179"/>
      <c r="BY118" s="179"/>
      <c r="BZ118" s="179"/>
      <c r="CA118" s="179"/>
      <c r="CB118" s="179"/>
      <c r="CC118" s="179"/>
      <c r="CD118" s="179"/>
      <c r="CE118" s="179"/>
      <c r="CF118" s="179"/>
      <c r="CG118" s="179"/>
      <c r="CH118" s="179"/>
      <c r="CI118" s="179"/>
      <c r="CJ118" s="179"/>
      <c r="CK118" s="179"/>
      <c r="CL118" s="179"/>
      <c r="CM118" s="179"/>
      <c r="CN118" s="179"/>
      <c r="CO118" s="179"/>
      <c r="CP118" s="142"/>
      <c r="CQ118" s="181">
        <f ca="1">-SUM(TblConstr[[#This Row],[Alc]:[Mas]])+SUM(TblConstr[[#This Row],[Dest Alc]:[Dest Mas]])+Rezone!L118+IF("Ch_"&amp; home_land=TblConstr[[#Headers],[Ch_Plain]],TblConstr[[#This Row],[Home Land]])+IF(TblConstr[[#This Row],[Hour]:[Hour]]&gt;12,OFFSET(TblExplore[[#This Row],[Plains Explore]],-12,0),0)</f>
        <v>0</v>
      </c>
      <c r="CR118" s="182">
        <f ca="1">-SUM(TblConstr[[#This Row],[Ly]:[Hav]])+SUM(TblConstr[[#This Row],[Dest Ly]:[Dest Hav]]) +Rezone!M118 + IF("Ch_"&amp; home_land=TblConstr[[#Headers],[Ch_Forest]],TblConstr[[#This Row],[Home Land]])+IF(TblConstr[[#This Row],[Hour]:[Hour]]&gt;12,OFFSET(TblExplore[[#This Row],[Forest Explore]],-12,0),0)</f>
        <v>0</v>
      </c>
      <c r="CS118" s="359">
        <f ca="1">-SUM(TblConstr[[#This Row],[OM]:[GN]])+SUM(TblConstr[[#This Row],[Dest OM]:[Dest GN]]) +Rezone!N118 + IF("Ch_"&amp; home_land=TblConstr[[#Headers],[Ch_Mountain]],TblConstr[[#This Row],[Home Land]])+IF(TblConstr[[#This Row],[Hour]:[Hour]]&gt;12,OFFSET(TblExplore[[#This Row],[Mountain Explore]],-12,0),0)</f>
        <v>0</v>
      </c>
      <c r="CT118" s="183">
        <f ca="1">-SUM(TblConstr[[#This Row],[Fac]:[Shr]])+SUM(TblConstr[[#This Row],[Dest Fac]:[Dest Shr]]) +Rezone!O118 + IF("Ch_" &amp; home_land=TblConstr[[#Headers],[Ch_Hill]],TblConstr[[#This Row],[Home Land]])+IF(TblConstr[[#This Row],[Hour]:[Hour]]&gt;12,OFFSET(TblExplore[[#This Row],[Hill Explore]],-12,0),0)</f>
        <v>0</v>
      </c>
      <c r="CU118" s="184">
        <f ca="1">-SUM(TblConstr[[#This Row],[Tow]:[WG]])+SUM(TblConstr[[#This Row],[Dest Tow]:[Dest WG]]) +Rezone!P118 + IF("Ch_" &amp; home_land=TblConstr[[#Headers],[Ch_Swamp]],TblConstr[[#This Row],[Home Land]])+IF(TblConstr[[#This Row],[Hour]:[Hour]]&gt;12,OFFSET(TblExplore[[#This Row],[Swamp Explore]],-12,0),0)</f>
        <v>0</v>
      </c>
      <c r="CV118" s="185">
        <f ca="1" xml:space="preserve"> - SUM(TblConstr[[#This Row],[DM]:[Sch]])+SUM(TblConstr[[#This Row],[Dest DM]:[Dest Sch]]) +Rezone!Q118 + IF("Ch_" &amp; home_land=TblConstr[[#Headers],[Ch_Cavern]],TblConstr[[#This Row],[Home Land]])+IF(TblConstr[[#This Row],[Hour]:[Hour]]&gt;12,OFFSET(TblExplore[[#This Row],[Cavern Explore]],-12,0),0)</f>
        <v>0</v>
      </c>
      <c r="CW118" s="186">
        <f ca="1">-TblConstr[[#This Row],[Doc]]+TblConstr[[#This Row],[Dest Doc]] +Rezone!R118 + IF("Ch_" &amp; home_land=TblConstr[[#Headers],[Ch_Water]],TblConstr[[#This Row],[Home Land]])+IF(TblConstr[[#This Row],[Hour]:[Hour]]&gt;12,OFFSET(TblExplore[[#This Row],[Water Explore]],-12,0),0)</f>
        <v>0</v>
      </c>
      <c r="CX118" s="45">
        <f>IF(Explore!S118=1,20) - TblConstr[[#This Row],[Hom]] + TblConstr[[#This Row],[Dest Hom]]</f>
        <v>0</v>
      </c>
      <c r="CY118" s="142"/>
      <c r="CZ118" s="94">
        <f t="shared" ca="1" si="30"/>
        <v>90</v>
      </c>
      <c r="DA118" s="94">
        <f t="shared" ca="1" si="31"/>
        <v>20</v>
      </c>
      <c r="DB118" s="45">
        <f t="shared" ca="1" si="32"/>
        <v>0</v>
      </c>
      <c r="DC118" s="94">
        <f t="shared" ca="1" si="33"/>
        <v>0</v>
      </c>
      <c r="DD118" s="94">
        <f t="shared" ca="1" si="34"/>
        <v>0</v>
      </c>
      <c r="DE118" s="45">
        <f t="shared" ca="1" si="35"/>
        <v>0</v>
      </c>
      <c r="DF118" s="94">
        <f t="shared" ca="1" si="36"/>
        <v>0</v>
      </c>
      <c r="DG118" s="94" cm="1">
        <f t="array" aca="1" ref="DG118" ca="1">INDEX(TblConstr[[Total Plain]:[Total Water]],ROW()-ROW(TblConstr[#Headers]),MATCH("Total "&amp;home_land,TblConstr[[#Headers],[Total Plain]:[Total Water]],0))+TblConstr[[#This Row],[Homes]]</f>
        <v>90</v>
      </c>
      <c r="DH118" s="45">
        <f t="shared" ca="1" si="22"/>
        <v>0</v>
      </c>
      <c r="DI118" s="45">
        <f t="shared" ca="1" si="19"/>
        <v>0</v>
      </c>
      <c r="DJ118" s="45">
        <f t="shared" ca="1" si="20"/>
        <v>0</v>
      </c>
    </row>
    <row r="119" spans="1:114" x14ac:dyDescent="0.2">
      <c r="A119" s="175">
        <f>TblRezone[[#This Row],[Hour]]</f>
        <v>116</v>
      </c>
      <c r="B119" s="176">
        <f ca="1">SUM(TblConstr[[#This Row],[Plain]:[Water]])</f>
        <v>60</v>
      </c>
      <c r="C119" s="177">
        <f ca="1">SUM(TblConstr[[#This Row],[Tot Hom]:[Tot Doc]])</f>
        <v>50</v>
      </c>
      <c r="D119" s="177">
        <f t="shared" si="21"/>
        <v>0</v>
      </c>
      <c r="E119" s="178"/>
      <c r="F119" s="61">
        <f ca="1">TblConstr[[#This Row],[Barren]]+TblConstr[[#This Row],[Buildings]]+TblConstr[[#This Row],[Incoming]]</f>
        <v>110</v>
      </c>
      <c r="G119" s="187">
        <f ca="1">OFFSET(TblConstr[[#This Row],[Plain]],-1,0)+TblConstr[[#This Row],[Ch_Plain]]</f>
        <v>60</v>
      </c>
      <c r="H119" s="182">
        <f ca="1">OFFSET(TblConstr[[#This Row],[Forest]],-1,0)+TblConstr[[#This Row],[Ch_Forest]]</f>
        <v>0</v>
      </c>
      <c r="I119" s="359">
        <f ca="1">OFFSET(TblConstr[[#This Row],[Mountain]],-1,0)+TblConstr[[#This Row],[Ch_Mountain]]</f>
        <v>0</v>
      </c>
      <c r="J119" s="363">
        <f ca="1">OFFSET(TblConstr[[#This Row],[Hill]],-1,0)+TblConstr[[#This Row],[Ch_Hill]]</f>
        <v>0</v>
      </c>
      <c r="K119" s="367">
        <f ca="1">OFFSET(TblConstr[[#This Row],[Swamp]],-1,0)+TblConstr[[#This Row],[Ch_Swamp]]</f>
        <v>0</v>
      </c>
      <c r="L119" s="185">
        <f ca="1">OFFSET(TblConstr[[#This Row],[Cavern]],-1,0)+TblConstr[[#This Row],[Ch_Cavern]]</f>
        <v>0</v>
      </c>
      <c r="M119" s="186">
        <f ca="1">OFFSET(TblConstr[[#This Row],[Water]],-1,0)+TblConstr[[#This Row],[Ch_Water]]</f>
        <v>0</v>
      </c>
      <c r="N119" s="357">
        <f>TblRezone[[#This Row],[Hour]]</f>
        <v>116</v>
      </c>
      <c r="O119" s="179"/>
      <c r="P119" s="179"/>
      <c r="Q119" s="179"/>
      <c r="R119" s="179"/>
      <c r="S119" s="179"/>
      <c r="T119" s="179"/>
      <c r="U119" s="179"/>
      <c r="V119" s="179"/>
      <c r="W119" s="179"/>
      <c r="X119" s="179"/>
      <c r="Y119" s="179"/>
      <c r="Z119" s="179"/>
      <c r="AA119" s="179"/>
      <c r="AB119" s="179"/>
      <c r="AC119" s="179"/>
      <c r="AD119" s="179"/>
      <c r="AE119" s="179"/>
      <c r="AF119" s="179"/>
      <c r="AG119" s="179"/>
      <c r="AH119" s="53">
        <f ca="1">TblImps[[#This Row],[Time]]</f>
        <v>46051.791666666388</v>
      </c>
      <c r="AI119" s="180">
        <f ca="1">MIN(25%,(TblConstr[[#This Row],[Tot Fac]]+TblConstr[[#This Row],[Dest Fac]])/(TblConstr[[#This Row],[Land]]-TblExplore[[#This Row],[Land Bonus]]*20))</f>
        <v>0</v>
      </c>
      <c r="AJ119" s="180">
        <f ca="1">MIN(25%,(TblConstr[[#This Row],[Tot Fac]]+TblConstr[[#This Row],[Dest Fac]])/TblConstr[[#This Row],[Land]])</f>
        <v>0</v>
      </c>
      <c r="AK119" s="94">
        <f ca="1">TblProd[[#This Row],[Platinum]]</f>
        <v>214671</v>
      </c>
      <c r="AL119" s="94">
        <f ca="1">TblProd[[#This Row],[Lumber]]</f>
        <v>73239</v>
      </c>
      <c r="AM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19" s="94">
        <f ca="1">ROUNDDOWN( MAX(1 - MIN(facs_constr_factor*TblConstr[[#This Row],[Facs -DB]],facs_constr_max) + tech_1_11*TblTech[[#This Row],[11-1]] + tech_6_3_2*TblTech[[#This Row],[6-3]] + tech_5_2_3*TblTech[[#This Row],[5-2]], 1-global_constr_cap) * TblConstr[[#This Row],[RCPA Lumber]],0)</f>
        <v>48</v>
      </c>
      <c r="AO11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19" s="94">
        <f ca="1">ROUNDDOWN( MAX(1 - MIN(facs_constr_factor*TblConstr[[#This Row],[Facs DB]],facs_constr_max) + tech_1_11*TblTech[[#This Row],[1-11]] + tech_6_3_2*TblTech[[#This Row],[6-3]] + tech_5_2_3*TblTech[[#This Row],[5-2]], 1-global_constr_cap) * ROUND((TblConstr[[#This Row],[Land]]-250)*0.285 + 87.5 + 0/4.25,0),0)</f>
        <v>48</v>
      </c>
      <c r="AQ119" s="45">
        <f ca="1">TblConstr[[#This Row],[build -db]]*TblConstr[[#This Row],[CPA Platinum -DB]] + TblConstr[[#This Row],[build db]]*TblConstr[[#This Row],[CPA Platinum DB]]</f>
        <v>0</v>
      </c>
      <c r="AR119" s="45">
        <f ca="1">TblConstr[[#This Row],[build -db]]*TblConstr[[#This Row],[CPA Lumber -DB]] + TblConstr[[#This Row],[build db]]*TblConstr[[#This Row],[CPA Lumber DB]]</f>
        <v>0</v>
      </c>
      <c r="AS119" s="94">
        <f ca="1">MIN(SUM(OFFSET(TblConstr[[#This Row],[Plain]:[Water]],-1,0))+SUM(TblConstr[[#This Row],[Dest Hom]:[Dest Doc]])+IF(TblConstr[[#This Row],[Hour]]&gt;12,SUM(OFFSET(TblExplore[[#This Row],[Plains Explore]:[Water Explore]],-12,0)),0),SUM(TblConstr[[#This Row],[Hom]:[Doc]]))</f>
        <v>0</v>
      </c>
      <c r="AT11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19" s="142"/>
      <c r="AV119" s="94">
        <f ca="1">ROUND((TblConstr[[#This Row],[Land]]-250 - IF(TblExplore[[#This Row],[Land Bonus]]&lt;&gt;0,20,0))*1.25 + 850 + 0,0)</f>
        <v>675</v>
      </c>
      <c r="AW119" s="94">
        <f ca="1">ROUND((TblConstr[[#This Row],[Land]]-250 - IF(TblExplore[[#This Row],[Land Bonus]]&lt;&gt;0,20,0))*0.285 + 87.5 + 0/4.25,0)</f>
        <v>48</v>
      </c>
      <c r="AX119" s="154"/>
      <c r="AY119" s="188" cm="1">
        <f t="array" aca="1" ref="AY119" ca="1">IF(TblConstr[[#This Row],[Hour]:[Hour]]&gt;12,OFFSET(TblConstr[[#This Row],[Hom]],-12,0),0)+OFFSET(TblConstr[[#This Row],[Tot Hom]],-1,0)-TblConstr[[#This Row],[Dest Hom]]</f>
        <v>0</v>
      </c>
      <c r="AZ119" s="189" cm="1">
        <f t="array" aca="1" ref="AZ119" ca="1">IF(TblConstr[[#This Row],[Hour]:[Hour]]&gt;12,OFFSET(TblConstr[[#This Row],[Alc]],-12,0),0)+OFFSET(TblConstr[[#This Row],[Tot Alc]],-1,0)-TblConstr[[#This Row],[Dest Alc]]</f>
        <v>0</v>
      </c>
      <c r="BA119" s="189" cm="1">
        <f t="array" aca="1" ref="BA119" ca="1">IF(TblConstr[[#This Row],[Hour]:[Hour]]&gt;12,OFFSET(TblConstr[[#This Row],[Far]],-12,0),0)+OFFSET(TblConstr[[#This Row],[Tot Farm]],-1,0)-TblConstr[[#This Row],[Dest Farm]]</f>
        <v>30</v>
      </c>
      <c r="BB119" s="189" cm="1">
        <f t="array" aca="1" ref="BB119" ca="1">IF(TblConstr[[#This Row],[Hour]:[Hour]]&gt;12,OFFSET(TblConstr[[#This Row],[Smi]],-12,0),0)+OFFSET(TblConstr[[#This Row],[Tot Smi]],-1,0)-TblConstr[[#This Row],[Dest Smi]]</f>
        <v>0</v>
      </c>
      <c r="BC119" s="189" cm="1">
        <f t="array" aca="1" ref="BC119" ca="1">IF(TblConstr[[#This Row],[Hour]:[Hour]]&gt;12,OFFSET(TblConstr[[#This Row],[Mas]],-12,0),0)+OFFSET(TblConstr[[#This Row],[Tot Mas]],-1,0)-TblConstr[[#This Row],[Dest Mas]]</f>
        <v>0</v>
      </c>
      <c r="BD119" s="190" cm="1">
        <f t="array" aca="1" ref="BD119" ca="1">IF(TblConstr[[#This Row],[Hour]:[Hour]]&gt;12,OFFSET(TblConstr[[#This Row],[Ly]],-12,0),0)+OFFSET(TblConstr[[#This Row],[Tot Ly]],-1,0)-TblConstr[[#This Row],[Dest Ly]]</f>
        <v>20</v>
      </c>
      <c r="BE119" s="190" cm="1">
        <f t="array" aca="1" ref="BE119" ca="1">IF(TblConstr[[#This Row],[Hour]:[Hour]]&gt;12,OFFSET(TblConstr[[#This Row],[Hav]],-12,0),0)+OFFSET(TblConstr[[#This Row],[Tot Hav]],-1,0)-TblConstr[[#This Row],[Dest Hav]]</f>
        <v>0</v>
      </c>
      <c r="BF119" s="361" cm="1">
        <f t="array" aca="1" ref="BF119" ca="1">IF(TblConstr[[#This Row],[Hour]:[Hour]]&gt;12,OFFSET(TblConstr[[#This Row],[OM]],-12,0),0)+OFFSET(TblConstr[[#This Row],[Tot OM]],-1,0)-TblConstr[[#This Row],[Dest OM]]</f>
        <v>0</v>
      </c>
      <c r="BG119" s="361" cm="1">
        <f t="array" aca="1" ref="BG119" ca="1">IF(TblConstr[[#This Row],[Hour]:[Hour]]&gt;12,OFFSET(TblConstr[[#This Row],[GN]],-12,0),0)+OFFSET(TblConstr[[#This Row],[Tot GN]],-1,0)-TblConstr[[#This Row],[Dest GN]]</f>
        <v>0</v>
      </c>
      <c r="BH119" s="365" cm="1">
        <f t="array" aca="1" ref="BH119" ca="1">IF(TblConstr[[#This Row],[Hour]:[Hour]]&gt;12,OFFSET(TblConstr[[#This Row],[Fac]],-12,0),0)+OFFSET(TblConstr[[#This Row],[Tot Fac]],-1,0)-TblConstr[[#This Row],[Dest Fac]]</f>
        <v>0</v>
      </c>
      <c r="BI119" s="365" cm="1">
        <f t="array" aca="1" ref="BI119" ca="1">IF(TblConstr[[#This Row],[Hour]:[Hour]]&gt;12,OFFSET(TblConstr[[#This Row],[GT]],-12,0),0)+OFFSET(TblConstr[[#This Row],[Tot GT]],-1,0)-TblConstr[[#This Row],[Dest GT]]</f>
        <v>0</v>
      </c>
      <c r="BJ119" s="365" cm="1">
        <f t="array" aca="1" ref="BJ119" ca="1">IF(TblConstr[[#This Row],[Hour]:[Hour]]&gt;12,OFFSET(TblConstr[[#This Row],[Bar]],-12,0),0)+OFFSET(TblConstr[[#This Row],[Tot Bar]],-1,0)-TblConstr[[#This Row],[Dest Bar]]</f>
        <v>0</v>
      </c>
      <c r="BK119" s="365" cm="1">
        <f t="array" aca="1" ref="BK119" ca="1">IF(TblConstr[[#This Row],[Hour]:[Hour]]&gt;12,OFFSET(TblConstr[[#This Row],[Shr]],-12,0),0)+OFFSET(TblConstr[[#This Row],[Tot Shr]],-1,0)-TblConstr[[#This Row],[Dest Shr]]</f>
        <v>0</v>
      </c>
      <c r="BL119" s="369" cm="1">
        <f t="array" aca="1" ref="BL119" ca="1">IF(TblConstr[[#This Row],[Hour]:[Hour]]&gt;12,OFFSET(TblConstr[[#This Row],[Tow]],-12,0),0)+OFFSET(TblConstr[[#This Row],[Tot Tow]],-1,0)-TblConstr[[#This Row],[Dest Tow]]</f>
        <v>0</v>
      </c>
      <c r="BM119" s="369" cm="1">
        <f t="array" aca="1" ref="BM119" ca="1">IF(TblConstr[[#This Row],[Hour]:[Hour]]&gt;12,OFFSET(TblConstr[[#This Row],[Tem]],-12,0),0)+OFFSET(TblConstr[[#This Row],[Tot Tem]],-1,0)-TblConstr[[#This Row],[Dest Tem]]</f>
        <v>0</v>
      </c>
      <c r="BN119" s="369" cm="1">
        <f t="array" aca="1" ref="BN119" ca="1">IF(TblConstr[[#This Row],[Hour]:[Hour]]&gt;12,OFFSET(TblConstr[[#This Row],[WG]],-12,0),0)+OFFSET(TblConstr[[#This Row],[Tot WG]],-1,0)-TblConstr[[#This Row],[Dest WG]]</f>
        <v>0</v>
      </c>
      <c r="BO119" s="191" cm="1">
        <f t="array" aca="1" ref="BO119" ca="1">IF(TblConstr[[#This Row],[Hour]:[Hour]]&gt;12,OFFSET(TblConstr[[#This Row],[DM]],-12,0),0)+OFFSET(TblConstr[[#This Row],[Tot DM]],-1,0)-TblConstr[[#This Row],[Dest DM]]</f>
        <v>0</v>
      </c>
      <c r="BP119" s="191" cm="1">
        <f t="array" aca="1" ref="BP119" ca="1">IF(TblConstr[[#This Row],[Hour]:[Hour]]&gt;12,OFFSET(TblConstr[[#This Row],[Sch]],-12,0),0)+OFFSET(TblConstr[[#This Row],[Tot Sch]],-1,0)-TblConstr[[#This Row],[Dest Sch]]</f>
        <v>0</v>
      </c>
      <c r="BQ119" s="192" cm="1">
        <f t="array" aca="1" ref="BQ119" ca="1">IF(TblConstr[[#This Row],[Hour]:[Hour]]&gt;12,OFFSET(TblConstr[[#This Row],[Doc]],-12,0),0)+OFFSET(TblConstr[[#This Row],[Tot Doc]],-1,0)-TblConstr[[#This Row],[Dest Doc]]</f>
        <v>0</v>
      </c>
      <c r="BR119" s="142"/>
      <c r="BS119" s="154"/>
      <c r="BT119" s="94">
        <f ca="1">TblConstr[[#This Row],[Land]]</f>
        <v>110</v>
      </c>
      <c r="BU119" s="159">
        <f ca="1">TblImps[[#This Row],[Time]]</f>
        <v>46051.791666666388</v>
      </c>
      <c r="BV119" s="142"/>
      <c r="BW119" s="179"/>
      <c r="BX119" s="179"/>
      <c r="BY119" s="179"/>
      <c r="BZ119" s="179"/>
      <c r="CA119" s="179"/>
      <c r="CB119" s="179"/>
      <c r="CC119" s="179"/>
      <c r="CD119" s="179"/>
      <c r="CE119" s="179"/>
      <c r="CF119" s="179"/>
      <c r="CG119" s="179"/>
      <c r="CH119" s="179"/>
      <c r="CI119" s="179"/>
      <c r="CJ119" s="179"/>
      <c r="CK119" s="179"/>
      <c r="CL119" s="179"/>
      <c r="CM119" s="179"/>
      <c r="CN119" s="179"/>
      <c r="CO119" s="179"/>
      <c r="CP119" s="142"/>
      <c r="CQ119" s="181">
        <f ca="1">-SUM(TblConstr[[#This Row],[Alc]:[Mas]])+SUM(TblConstr[[#This Row],[Dest Alc]:[Dest Mas]])+Rezone!L119+IF("Ch_"&amp; home_land=TblConstr[[#Headers],[Ch_Plain]],TblConstr[[#This Row],[Home Land]])+IF(TblConstr[[#This Row],[Hour]:[Hour]]&gt;12,OFFSET(TblExplore[[#This Row],[Plains Explore]],-12,0),0)</f>
        <v>0</v>
      </c>
      <c r="CR119" s="182">
        <f ca="1">-SUM(TblConstr[[#This Row],[Ly]:[Hav]])+SUM(TblConstr[[#This Row],[Dest Ly]:[Dest Hav]]) +Rezone!M119 + IF("Ch_"&amp; home_land=TblConstr[[#Headers],[Ch_Forest]],TblConstr[[#This Row],[Home Land]])+IF(TblConstr[[#This Row],[Hour]:[Hour]]&gt;12,OFFSET(TblExplore[[#This Row],[Forest Explore]],-12,0),0)</f>
        <v>0</v>
      </c>
      <c r="CS119" s="359">
        <f ca="1">-SUM(TblConstr[[#This Row],[OM]:[GN]])+SUM(TblConstr[[#This Row],[Dest OM]:[Dest GN]]) +Rezone!N119 + IF("Ch_"&amp; home_land=TblConstr[[#Headers],[Ch_Mountain]],TblConstr[[#This Row],[Home Land]])+IF(TblConstr[[#This Row],[Hour]:[Hour]]&gt;12,OFFSET(TblExplore[[#This Row],[Mountain Explore]],-12,0),0)</f>
        <v>0</v>
      </c>
      <c r="CT119" s="183">
        <f ca="1">-SUM(TblConstr[[#This Row],[Fac]:[Shr]])+SUM(TblConstr[[#This Row],[Dest Fac]:[Dest Shr]]) +Rezone!O119 + IF("Ch_" &amp; home_land=TblConstr[[#Headers],[Ch_Hill]],TblConstr[[#This Row],[Home Land]])+IF(TblConstr[[#This Row],[Hour]:[Hour]]&gt;12,OFFSET(TblExplore[[#This Row],[Hill Explore]],-12,0),0)</f>
        <v>0</v>
      </c>
      <c r="CU119" s="184">
        <f ca="1">-SUM(TblConstr[[#This Row],[Tow]:[WG]])+SUM(TblConstr[[#This Row],[Dest Tow]:[Dest WG]]) +Rezone!P119 + IF("Ch_" &amp; home_land=TblConstr[[#Headers],[Ch_Swamp]],TblConstr[[#This Row],[Home Land]])+IF(TblConstr[[#This Row],[Hour]:[Hour]]&gt;12,OFFSET(TblExplore[[#This Row],[Swamp Explore]],-12,0),0)</f>
        <v>0</v>
      </c>
      <c r="CV119" s="185">
        <f ca="1" xml:space="preserve"> - SUM(TblConstr[[#This Row],[DM]:[Sch]])+SUM(TblConstr[[#This Row],[Dest DM]:[Dest Sch]]) +Rezone!Q119 + IF("Ch_" &amp; home_land=TblConstr[[#Headers],[Ch_Cavern]],TblConstr[[#This Row],[Home Land]])+IF(TblConstr[[#This Row],[Hour]:[Hour]]&gt;12,OFFSET(TblExplore[[#This Row],[Cavern Explore]],-12,0),0)</f>
        <v>0</v>
      </c>
      <c r="CW119" s="186">
        <f ca="1">-TblConstr[[#This Row],[Doc]]+TblConstr[[#This Row],[Dest Doc]] +Rezone!R119 + IF("Ch_" &amp; home_land=TblConstr[[#Headers],[Ch_Water]],TblConstr[[#This Row],[Home Land]])+IF(TblConstr[[#This Row],[Hour]:[Hour]]&gt;12,OFFSET(TblExplore[[#This Row],[Water Explore]],-12,0),0)</f>
        <v>0</v>
      </c>
      <c r="CX119" s="45">
        <f>IF(Explore!S119=1,20) - TblConstr[[#This Row],[Hom]] + TblConstr[[#This Row],[Dest Hom]]</f>
        <v>0</v>
      </c>
      <c r="CY119" s="142"/>
      <c r="CZ119" s="94">
        <f t="shared" ca="1" si="30"/>
        <v>90</v>
      </c>
      <c r="DA119" s="94">
        <f t="shared" ca="1" si="31"/>
        <v>20</v>
      </c>
      <c r="DB119" s="45">
        <f t="shared" ca="1" si="32"/>
        <v>0</v>
      </c>
      <c r="DC119" s="94">
        <f t="shared" ca="1" si="33"/>
        <v>0</v>
      </c>
      <c r="DD119" s="94">
        <f t="shared" ca="1" si="34"/>
        <v>0</v>
      </c>
      <c r="DE119" s="45">
        <f t="shared" ca="1" si="35"/>
        <v>0</v>
      </c>
      <c r="DF119" s="94">
        <f t="shared" ca="1" si="36"/>
        <v>0</v>
      </c>
      <c r="DG119" s="94" cm="1">
        <f t="array" aca="1" ref="DG119" ca="1">INDEX(TblConstr[[Total Plain]:[Total Water]],ROW()-ROW(TblConstr[#Headers]),MATCH("Total "&amp;home_land,TblConstr[[#Headers],[Total Plain]:[Total Water]],0))+TblConstr[[#This Row],[Homes]]</f>
        <v>90</v>
      </c>
      <c r="DH119" s="45">
        <f t="shared" ca="1" si="22"/>
        <v>0</v>
      </c>
      <c r="DI119" s="45">
        <f t="shared" ca="1" si="19"/>
        <v>0</v>
      </c>
      <c r="DJ119" s="45">
        <f t="shared" ca="1" si="20"/>
        <v>0</v>
      </c>
    </row>
    <row r="120" spans="1:114" x14ac:dyDescent="0.2">
      <c r="A120" s="175">
        <f>TblRezone[[#This Row],[Hour]]</f>
        <v>117</v>
      </c>
      <c r="B120" s="176">
        <f ca="1">SUM(TblConstr[[#This Row],[Plain]:[Water]])</f>
        <v>60</v>
      </c>
      <c r="C120" s="177">
        <f ca="1">SUM(TblConstr[[#This Row],[Tot Hom]:[Tot Doc]])</f>
        <v>50</v>
      </c>
      <c r="D120" s="177">
        <f t="shared" si="21"/>
        <v>0</v>
      </c>
      <c r="E120" s="178"/>
      <c r="F120" s="61">
        <f ca="1">TblConstr[[#This Row],[Barren]]+TblConstr[[#This Row],[Buildings]]+TblConstr[[#This Row],[Incoming]]</f>
        <v>110</v>
      </c>
      <c r="G120" s="187">
        <f ca="1">OFFSET(TblConstr[[#This Row],[Plain]],-1,0)+TblConstr[[#This Row],[Ch_Plain]]</f>
        <v>60</v>
      </c>
      <c r="H120" s="182">
        <f ca="1">OFFSET(TblConstr[[#This Row],[Forest]],-1,0)+TblConstr[[#This Row],[Ch_Forest]]</f>
        <v>0</v>
      </c>
      <c r="I120" s="359">
        <f ca="1">OFFSET(TblConstr[[#This Row],[Mountain]],-1,0)+TblConstr[[#This Row],[Ch_Mountain]]</f>
        <v>0</v>
      </c>
      <c r="J120" s="363">
        <f ca="1">OFFSET(TblConstr[[#This Row],[Hill]],-1,0)+TblConstr[[#This Row],[Ch_Hill]]</f>
        <v>0</v>
      </c>
      <c r="K120" s="367">
        <f ca="1">OFFSET(TblConstr[[#This Row],[Swamp]],-1,0)+TblConstr[[#This Row],[Ch_Swamp]]</f>
        <v>0</v>
      </c>
      <c r="L120" s="185">
        <f ca="1">OFFSET(TblConstr[[#This Row],[Cavern]],-1,0)+TblConstr[[#This Row],[Ch_Cavern]]</f>
        <v>0</v>
      </c>
      <c r="M120" s="186">
        <f ca="1">OFFSET(TblConstr[[#This Row],[Water]],-1,0)+TblConstr[[#This Row],[Ch_Water]]</f>
        <v>0</v>
      </c>
      <c r="N120" s="357">
        <f>TblRezone[[#This Row],[Hour]]</f>
        <v>117</v>
      </c>
      <c r="O120" s="179"/>
      <c r="P120" s="179"/>
      <c r="Q120" s="179"/>
      <c r="R120" s="179"/>
      <c r="S120" s="179"/>
      <c r="T120" s="179"/>
      <c r="U120" s="179"/>
      <c r="V120" s="179"/>
      <c r="W120" s="179"/>
      <c r="X120" s="179"/>
      <c r="Y120" s="179"/>
      <c r="Z120" s="179"/>
      <c r="AA120" s="179"/>
      <c r="AB120" s="179"/>
      <c r="AC120" s="179"/>
      <c r="AD120" s="179"/>
      <c r="AE120" s="179"/>
      <c r="AF120" s="179"/>
      <c r="AG120" s="179"/>
      <c r="AH120" s="53">
        <f ca="1">TblImps[[#This Row],[Time]]</f>
        <v>46051.833333333052</v>
      </c>
      <c r="AI120" s="180">
        <f ca="1">MIN(25%,(TblConstr[[#This Row],[Tot Fac]]+TblConstr[[#This Row],[Dest Fac]])/(TblConstr[[#This Row],[Land]]-TblExplore[[#This Row],[Land Bonus]]*20))</f>
        <v>0</v>
      </c>
      <c r="AJ120" s="180">
        <f ca="1">MIN(25%,(TblConstr[[#This Row],[Tot Fac]]+TblConstr[[#This Row],[Dest Fac]])/TblConstr[[#This Row],[Land]])</f>
        <v>0</v>
      </c>
      <c r="AK120" s="94">
        <f ca="1">TblProd[[#This Row],[Platinum]]</f>
        <v>215526</v>
      </c>
      <c r="AL120" s="94">
        <f ca="1">TblProd[[#This Row],[Lumber]]</f>
        <v>73507</v>
      </c>
      <c r="AM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0" s="94">
        <f ca="1">ROUNDDOWN( MAX(1 - MIN(facs_constr_factor*TblConstr[[#This Row],[Facs -DB]],facs_constr_max) + tech_1_11*TblTech[[#This Row],[11-1]] + tech_6_3_2*TblTech[[#This Row],[6-3]] + tech_5_2_3*TblTech[[#This Row],[5-2]], 1-global_constr_cap) * TblConstr[[#This Row],[RCPA Lumber]],0)</f>
        <v>48</v>
      </c>
      <c r="AO12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0" s="94">
        <f ca="1">ROUNDDOWN( MAX(1 - MIN(facs_constr_factor*TblConstr[[#This Row],[Facs DB]],facs_constr_max) + tech_1_11*TblTech[[#This Row],[1-11]] + tech_6_3_2*TblTech[[#This Row],[6-3]] + tech_5_2_3*TblTech[[#This Row],[5-2]], 1-global_constr_cap) * ROUND((TblConstr[[#This Row],[Land]]-250)*0.285 + 87.5 + 0/4.25,0),0)</f>
        <v>48</v>
      </c>
      <c r="AQ120" s="45">
        <f ca="1">TblConstr[[#This Row],[build -db]]*TblConstr[[#This Row],[CPA Platinum -DB]] + TblConstr[[#This Row],[build db]]*TblConstr[[#This Row],[CPA Platinum DB]]</f>
        <v>0</v>
      </c>
      <c r="AR120" s="45">
        <f ca="1">TblConstr[[#This Row],[build -db]]*TblConstr[[#This Row],[CPA Lumber -DB]] + TblConstr[[#This Row],[build db]]*TblConstr[[#This Row],[CPA Lumber DB]]</f>
        <v>0</v>
      </c>
      <c r="AS120" s="94">
        <f ca="1">MIN(SUM(OFFSET(TblConstr[[#This Row],[Plain]:[Water]],-1,0))+SUM(TblConstr[[#This Row],[Dest Hom]:[Dest Doc]])+IF(TblConstr[[#This Row],[Hour]]&gt;12,SUM(OFFSET(TblExplore[[#This Row],[Plains Explore]:[Water Explore]],-12,0)),0),SUM(TblConstr[[#This Row],[Hom]:[Doc]]))</f>
        <v>0</v>
      </c>
      <c r="AT12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0" s="142"/>
      <c r="AV120" s="94">
        <f ca="1">ROUND((TblConstr[[#This Row],[Land]]-250 - IF(TblExplore[[#This Row],[Land Bonus]]&lt;&gt;0,20,0))*1.25 + 850 + 0,0)</f>
        <v>675</v>
      </c>
      <c r="AW120" s="94">
        <f ca="1">ROUND((TblConstr[[#This Row],[Land]]-250 - IF(TblExplore[[#This Row],[Land Bonus]]&lt;&gt;0,20,0))*0.285 + 87.5 + 0/4.25,0)</f>
        <v>48</v>
      </c>
      <c r="AX120" s="154"/>
      <c r="AY120" s="188" cm="1">
        <f t="array" aca="1" ref="AY120" ca="1">IF(TblConstr[[#This Row],[Hour]:[Hour]]&gt;12,OFFSET(TblConstr[[#This Row],[Hom]],-12,0),0)+OFFSET(TblConstr[[#This Row],[Tot Hom]],-1,0)-TblConstr[[#This Row],[Dest Hom]]</f>
        <v>0</v>
      </c>
      <c r="AZ120" s="189" cm="1">
        <f t="array" aca="1" ref="AZ120" ca="1">IF(TblConstr[[#This Row],[Hour]:[Hour]]&gt;12,OFFSET(TblConstr[[#This Row],[Alc]],-12,0),0)+OFFSET(TblConstr[[#This Row],[Tot Alc]],-1,0)-TblConstr[[#This Row],[Dest Alc]]</f>
        <v>0</v>
      </c>
      <c r="BA120" s="189" cm="1">
        <f t="array" aca="1" ref="BA120" ca="1">IF(TblConstr[[#This Row],[Hour]:[Hour]]&gt;12,OFFSET(TblConstr[[#This Row],[Far]],-12,0),0)+OFFSET(TblConstr[[#This Row],[Tot Farm]],-1,0)-TblConstr[[#This Row],[Dest Farm]]</f>
        <v>30</v>
      </c>
      <c r="BB120" s="189" cm="1">
        <f t="array" aca="1" ref="BB120" ca="1">IF(TblConstr[[#This Row],[Hour]:[Hour]]&gt;12,OFFSET(TblConstr[[#This Row],[Smi]],-12,0),0)+OFFSET(TblConstr[[#This Row],[Tot Smi]],-1,0)-TblConstr[[#This Row],[Dest Smi]]</f>
        <v>0</v>
      </c>
      <c r="BC120" s="189" cm="1">
        <f t="array" aca="1" ref="BC120" ca="1">IF(TblConstr[[#This Row],[Hour]:[Hour]]&gt;12,OFFSET(TblConstr[[#This Row],[Mas]],-12,0),0)+OFFSET(TblConstr[[#This Row],[Tot Mas]],-1,0)-TblConstr[[#This Row],[Dest Mas]]</f>
        <v>0</v>
      </c>
      <c r="BD120" s="190" cm="1">
        <f t="array" aca="1" ref="BD120" ca="1">IF(TblConstr[[#This Row],[Hour]:[Hour]]&gt;12,OFFSET(TblConstr[[#This Row],[Ly]],-12,0),0)+OFFSET(TblConstr[[#This Row],[Tot Ly]],-1,0)-TblConstr[[#This Row],[Dest Ly]]</f>
        <v>20</v>
      </c>
      <c r="BE120" s="190" cm="1">
        <f t="array" aca="1" ref="BE120" ca="1">IF(TblConstr[[#This Row],[Hour]:[Hour]]&gt;12,OFFSET(TblConstr[[#This Row],[Hav]],-12,0),0)+OFFSET(TblConstr[[#This Row],[Tot Hav]],-1,0)-TblConstr[[#This Row],[Dest Hav]]</f>
        <v>0</v>
      </c>
      <c r="BF120" s="361" cm="1">
        <f t="array" aca="1" ref="BF120" ca="1">IF(TblConstr[[#This Row],[Hour]:[Hour]]&gt;12,OFFSET(TblConstr[[#This Row],[OM]],-12,0),0)+OFFSET(TblConstr[[#This Row],[Tot OM]],-1,0)-TblConstr[[#This Row],[Dest OM]]</f>
        <v>0</v>
      </c>
      <c r="BG120" s="361" cm="1">
        <f t="array" aca="1" ref="BG120" ca="1">IF(TblConstr[[#This Row],[Hour]:[Hour]]&gt;12,OFFSET(TblConstr[[#This Row],[GN]],-12,0),0)+OFFSET(TblConstr[[#This Row],[Tot GN]],-1,0)-TblConstr[[#This Row],[Dest GN]]</f>
        <v>0</v>
      </c>
      <c r="BH120" s="365" cm="1">
        <f t="array" aca="1" ref="BH120" ca="1">IF(TblConstr[[#This Row],[Hour]:[Hour]]&gt;12,OFFSET(TblConstr[[#This Row],[Fac]],-12,0),0)+OFFSET(TblConstr[[#This Row],[Tot Fac]],-1,0)-TblConstr[[#This Row],[Dest Fac]]</f>
        <v>0</v>
      </c>
      <c r="BI120" s="365" cm="1">
        <f t="array" aca="1" ref="BI120" ca="1">IF(TblConstr[[#This Row],[Hour]:[Hour]]&gt;12,OFFSET(TblConstr[[#This Row],[GT]],-12,0),0)+OFFSET(TblConstr[[#This Row],[Tot GT]],-1,0)-TblConstr[[#This Row],[Dest GT]]</f>
        <v>0</v>
      </c>
      <c r="BJ120" s="365" cm="1">
        <f t="array" aca="1" ref="BJ120" ca="1">IF(TblConstr[[#This Row],[Hour]:[Hour]]&gt;12,OFFSET(TblConstr[[#This Row],[Bar]],-12,0),0)+OFFSET(TblConstr[[#This Row],[Tot Bar]],-1,0)-TblConstr[[#This Row],[Dest Bar]]</f>
        <v>0</v>
      </c>
      <c r="BK120" s="365" cm="1">
        <f t="array" aca="1" ref="BK120" ca="1">IF(TblConstr[[#This Row],[Hour]:[Hour]]&gt;12,OFFSET(TblConstr[[#This Row],[Shr]],-12,0),0)+OFFSET(TblConstr[[#This Row],[Tot Shr]],-1,0)-TblConstr[[#This Row],[Dest Shr]]</f>
        <v>0</v>
      </c>
      <c r="BL120" s="369" cm="1">
        <f t="array" aca="1" ref="BL120" ca="1">IF(TblConstr[[#This Row],[Hour]:[Hour]]&gt;12,OFFSET(TblConstr[[#This Row],[Tow]],-12,0),0)+OFFSET(TblConstr[[#This Row],[Tot Tow]],-1,0)-TblConstr[[#This Row],[Dest Tow]]</f>
        <v>0</v>
      </c>
      <c r="BM120" s="369" cm="1">
        <f t="array" aca="1" ref="BM120" ca="1">IF(TblConstr[[#This Row],[Hour]:[Hour]]&gt;12,OFFSET(TblConstr[[#This Row],[Tem]],-12,0),0)+OFFSET(TblConstr[[#This Row],[Tot Tem]],-1,0)-TblConstr[[#This Row],[Dest Tem]]</f>
        <v>0</v>
      </c>
      <c r="BN120" s="369" cm="1">
        <f t="array" aca="1" ref="BN120" ca="1">IF(TblConstr[[#This Row],[Hour]:[Hour]]&gt;12,OFFSET(TblConstr[[#This Row],[WG]],-12,0),0)+OFFSET(TblConstr[[#This Row],[Tot WG]],-1,0)-TblConstr[[#This Row],[Dest WG]]</f>
        <v>0</v>
      </c>
      <c r="BO120" s="191" cm="1">
        <f t="array" aca="1" ref="BO120" ca="1">IF(TblConstr[[#This Row],[Hour]:[Hour]]&gt;12,OFFSET(TblConstr[[#This Row],[DM]],-12,0),0)+OFFSET(TblConstr[[#This Row],[Tot DM]],-1,0)-TblConstr[[#This Row],[Dest DM]]</f>
        <v>0</v>
      </c>
      <c r="BP120" s="191" cm="1">
        <f t="array" aca="1" ref="BP120" ca="1">IF(TblConstr[[#This Row],[Hour]:[Hour]]&gt;12,OFFSET(TblConstr[[#This Row],[Sch]],-12,0),0)+OFFSET(TblConstr[[#This Row],[Tot Sch]],-1,0)-TblConstr[[#This Row],[Dest Sch]]</f>
        <v>0</v>
      </c>
      <c r="BQ120" s="192" cm="1">
        <f t="array" aca="1" ref="BQ120" ca="1">IF(TblConstr[[#This Row],[Hour]:[Hour]]&gt;12,OFFSET(TblConstr[[#This Row],[Doc]],-12,0),0)+OFFSET(TblConstr[[#This Row],[Tot Doc]],-1,0)-TblConstr[[#This Row],[Dest Doc]]</f>
        <v>0</v>
      </c>
      <c r="BR120" s="142"/>
      <c r="BS120" s="154"/>
      <c r="BT120" s="94">
        <f ca="1">TblConstr[[#This Row],[Land]]</f>
        <v>110</v>
      </c>
      <c r="BU120" s="159">
        <f ca="1">TblImps[[#This Row],[Time]]</f>
        <v>46051.833333333052</v>
      </c>
      <c r="BV120" s="142"/>
      <c r="BW120" s="179"/>
      <c r="BX120" s="179"/>
      <c r="BY120" s="179"/>
      <c r="BZ120" s="179"/>
      <c r="CA120" s="179"/>
      <c r="CB120" s="179"/>
      <c r="CC120" s="179"/>
      <c r="CD120" s="179"/>
      <c r="CE120" s="179"/>
      <c r="CF120" s="179"/>
      <c r="CG120" s="179"/>
      <c r="CH120" s="179"/>
      <c r="CI120" s="179"/>
      <c r="CJ120" s="179"/>
      <c r="CK120" s="179"/>
      <c r="CL120" s="179"/>
      <c r="CM120" s="179"/>
      <c r="CN120" s="179"/>
      <c r="CO120" s="179"/>
      <c r="CP120" s="142"/>
      <c r="CQ120" s="181">
        <f ca="1">-SUM(TblConstr[[#This Row],[Alc]:[Mas]])+SUM(TblConstr[[#This Row],[Dest Alc]:[Dest Mas]])+Rezone!L120+IF("Ch_"&amp; home_land=TblConstr[[#Headers],[Ch_Plain]],TblConstr[[#This Row],[Home Land]])+IF(TblConstr[[#This Row],[Hour]:[Hour]]&gt;12,OFFSET(TblExplore[[#This Row],[Plains Explore]],-12,0),0)</f>
        <v>0</v>
      </c>
      <c r="CR120" s="182">
        <f ca="1">-SUM(TblConstr[[#This Row],[Ly]:[Hav]])+SUM(TblConstr[[#This Row],[Dest Ly]:[Dest Hav]]) +Rezone!M120 + IF("Ch_"&amp; home_land=TblConstr[[#Headers],[Ch_Forest]],TblConstr[[#This Row],[Home Land]])+IF(TblConstr[[#This Row],[Hour]:[Hour]]&gt;12,OFFSET(TblExplore[[#This Row],[Forest Explore]],-12,0),0)</f>
        <v>0</v>
      </c>
      <c r="CS120" s="359">
        <f ca="1">-SUM(TblConstr[[#This Row],[OM]:[GN]])+SUM(TblConstr[[#This Row],[Dest OM]:[Dest GN]]) +Rezone!N120 + IF("Ch_"&amp; home_land=TblConstr[[#Headers],[Ch_Mountain]],TblConstr[[#This Row],[Home Land]])+IF(TblConstr[[#This Row],[Hour]:[Hour]]&gt;12,OFFSET(TblExplore[[#This Row],[Mountain Explore]],-12,0),0)</f>
        <v>0</v>
      </c>
      <c r="CT120" s="183">
        <f ca="1">-SUM(TblConstr[[#This Row],[Fac]:[Shr]])+SUM(TblConstr[[#This Row],[Dest Fac]:[Dest Shr]]) +Rezone!O120 + IF("Ch_" &amp; home_land=TblConstr[[#Headers],[Ch_Hill]],TblConstr[[#This Row],[Home Land]])+IF(TblConstr[[#This Row],[Hour]:[Hour]]&gt;12,OFFSET(TblExplore[[#This Row],[Hill Explore]],-12,0),0)</f>
        <v>0</v>
      </c>
      <c r="CU120" s="184">
        <f ca="1">-SUM(TblConstr[[#This Row],[Tow]:[WG]])+SUM(TblConstr[[#This Row],[Dest Tow]:[Dest WG]]) +Rezone!P120 + IF("Ch_" &amp; home_land=TblConstr[[#Headers],[Ch_Swamp]],TblConstr[[#This Row],[Home Land]])+IF(TblConstr[[#This Row],[Hour]:[Hour]]&gt;12,OFFSET(TblExplore[[#This Row],[Swamp Explore]],-12,0),0)</f>
        <v>0</v>
      </c>
      <c r="CV120" s="185">
        <f ca="1" xml:space="preserve"> - SUM(TblConstr[[#This Row],[DM]:[Sch]])+SUM(TblConstr[[#This Row],[Dest DM]:[Dest Sch]]) +Rezone!Q120 + IF("Ch_" &amp; home_land=TblConstr[[#Headers],[Ch_Cavern]],TblConstr[[#This Row],[Home Land]])+IF(TblConstr[[#This Row],[Hour]:[Hour]]&gt;12,OFFSET(TblExplore[[#This Row],[Cavern Explore]],-12,0),0)</f>
        <v>0</v>
      </c>
      <c r="CW120" s="186">
        <f ca="1">-TblConstr[[#This Row],[Doc]]+TblConstr[[#This Row],[Dest Doc]] +Rezone!R120 + IF("Ch_" &amp; home_land=TblConstr[[#Headers],[Ch_Water]],TblConstr[[#This Row],[Home Land]])+IF(TblConstr[[#This Row],[Hour]:[Hour]]&gt;12,OFFSET(TblExplore[[#This Row],[Water Explore]],-12,0),0)</f>
        <v>0</v>
      </c>
      <c r="CX120" s="45">
        <f>IF(Explore!S120=1,20) - TblConstr[[#This Row],[Hom]] + TblConstr[[#This Row],[Dest Hom]]</f>
        <v>0</v>
      </c>
      <c r="CY120" s="142"/>
      <c r="CZ120" s="94">
        <f t="shared" ca="1" si="30"/>
        <v>90</v>
      </c>
      <c r="DA120" s="94">
        <f t="shared" ca="1" si="31"/>
        <v>20</v>
      </c>
      <c r="DB120" s="45">
        <f t="shared" ca="1" si="32"/>
        <v>0</v>
      </c>
      <c r="DC120" s="94">
        <f t="shared" ca="1" si="33"/>
        <v>0</v>
      </c>
      <c r="DD120" s="94">
        <f t="shared" ca="1" si="34"/>
        <v>0</v>
      </c>
      <c r="DE120" s="45">
        <f t="shared" ca="1" si="35"/>
        <v>0</v>
      </c>
      <c r="DF120" s="94">
        <f t="shared" ca="1" si="36"/>
        <v>0</v>
      </c>
      <c r="DG120" s="94" cm="1">
        <f t="array" aca="1" ref="DG120" ca="1">INDEX(TblConstr[[Total Plain]:[Total Water]],ROW()-ROW(TblConstr[#Headers]),MATCH("Total "&amp;home_land,TblConstr[[#Headers],[Total Plain]:[Total Water]],0))+TblConstr[[#This Row],[Homes]]</f>
        <v>90</v>
      </c>
      <c r="DH120" s="45">
        <f t="shared" ca="1" si="22"/>
        <v>0</v>
      </c>
      <c r="DI120" s="45">
        <f t="shared" ca="1" si="19"/>
        <v>0</v>
      </c>
      <c r="DJ120" s="45">
        <f t="shared" ca="1" si="20"/>
        <v>0</v>
      </c>
    </row>
    <row r="121" spans="1:114" x14ac:dyDescent="0.2">
      <c r="A121" s="175">
        <f>TblRezone[[#This Row],[Hour]]</f>
        <v>118</v>
      </c>
      <c r="B121" s="176">
        <f ca="1">SUM(TblConstr[[#This Row],[Plain]:[Water]])</f>
        <v>60</v>
      </c>
      <c r="C121" s="177">
        <f ca="1">SUM(TblConstr[[#This Row],[Tot Hom]:[Tot Doc]])</f>
        <v>50</v>
      </c>
      <c r="D121" s="177">
        <f t="shared" si="21"/>
        <v>0</v>
      </c>
      <c r="E121" s="178"/>
      <c r="F121" s="61">
        <f ca="1">TblConstr[[#This Row],[Barren]]+TblConstr[[#This Row],[Buildings]]+TblConstr[[#This Row],[Incoming]]</f>
        <v>110</v>
      </c>
      <c r="G121" s="187">
        <f ca="1">OFFSET(TblConstr[[#This Row],[Plain]],-1,0)+TblConstr[[#This Row],[Ch_Plain]]</f>
        <v>60</v>
      </c>
      <c r="H121" s="182">
        <f ca="1">OFFSET(TblConstr[[#This Row],[Forest]],-1,0)+TblConstr[[#This Row],[Ch_Forest]]</f>
        <v>0</v>
      </c>
      <c r="I121" s="359">
        <f ca="1">OFFSET(TblConstr[[#This Row],[Mountain]],-1,0)+TblConstr[[#This Row],[Ch_Mountain]]</f>
        <v>0</v>
      </c>
      <c r="J121" s="363">
        <f ca="1">OFFSET(TblConstr[[#This Row],[Hill]],-1,0)+TblConstr[[#This Row],[Ch_Hill]]</f>
        <v>0</v>
      </c>
      <c r="K121" s="367">
        <f ca="1">OFFSET(TblConstr[[#This Row],[Swamp]],-1,0)+TblConstr[[#This Row],[Ch_Swamp]]</f>
        <v>0</v>
      </c>
      <c r="L121" s="185">
        <f ca="1">OFFSET(TblConstr[[#This Row],[Cavern]],-1,0)+TblConstr[[#This Row],[Ch_Cavern]]</f>
        <v>0</v>
      </c>
      <c r="M121" s="186">
        <f ca="1">OFFSET(TblConstr[[#This Row],[Water]],-1,0)+TblConstr[[#This Row],[Ch_Water]]</f>
        <v>0</v>
      </c>
      <c r="N121" s="357">
        <f>TblRezone[[#This Row],[Hour]]</f>
        <v>118</v>
      </c>
      <c r="O121" s="179"/>
      <c r="P121" s="179"/>
      <c r="Q121" s="179"/>
      <c r="R121" s="179"/>
      <c r="S121" s="179"/>
      <c r="T121" s="179"/>
      <c r="U121" s="179"/>
      <c r="V121" s="179"/>
      <c r="W121" s="179"/>
      <c r="X121" s="179"/>
      <c r="Y121" s="179"/>
      <c r="Z121" s="179"/>
      <c r="AA121" s="179"/>
      <c r="AB121" s="179"/>
      <c r="AC121" s="179"/>
      <c r="AD121" s="179"/>
      <c r="AE121" s="179"/>
      <c r="AF121" s="179"/>
      <c r="AG121" s="179"/>
      <c r="AH121" s="53">
        <f ca="1">TblImps[[#This Row],[Time]]</f>
        <v>46051.874999999716</v>
      </c>
      <c r="AI121" s="180">
        <f ca="1">MIN(25%,(TblConstr[[#This Row],[Tot Fac]]+TblConstr[[#This Row],[Dest Fac]])/(TblConstr[[#This Row],[Land]]-TblExplore[[#This Row],[Land Bonus]]*20))</f>
        <v>0</v>
      </c>
      <c r="AJ121" s="180">
        <f ca="1">MIN(25%,(TblConstr[[#This Row],[Tot Fac]]+TblConstr[[#This Row],[Dest Fac]])/TblConstr[[#This Row],[Land]])</f>
        <v>0</v>
      </c>
      <c r="AK121" s="94">
        <f ca="1">TblProd[[#This Row],[Platinum]]</f>
        <v>216373</v>
      </c>
      <c r="AL121" s="94">
        <f ca="1">TblProd[[#This Row],[Lumber]]</f>
        <v>73772</v>
      </c>
      <c r="AM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1" s="94">
        <f ca="1">ROUNDDOWN( MAX(1 - MIN(facs_constr_factor*TblConstr[[#This Row],[Facs -DB]],facs_constr_max) + tech_1_11*TblTech[[#This Row],[11-1]] + tech_6_3_2*TblTech[[#This Row],[6-3]] + tech_5_2_3*TblTech[[#This Row],[5-2]], 1-global_constr_cap) * TblConstr[[#This Row],[RCPA Lumber]],0)</f>
        <v>48</v>
      </c>
      <c r="AO12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1" s="94">
        <f ca="1">ROUNDDOWN( MAX(1 - MIN(facs_constr_factor*TblConstr[[#This Row],[Facs DB]],facs_constr_max) + tech_1_11*TblTech[[#This Row],[1-11]] + tech_6_3_2*TblTech[[#This Row],[6-3]] + tech_5_2_3*TblTech[[#This Row],[5-2]], 1-global_constr_cap) * ROUND((TblConstr[[#This Row],[Land]]-250)*0.285 + 87.5 + 0/4.25,0),0)</f>
        <v>48</v>
      </c>
      <c r="AQ121" s="45">
        <f ca="1">TblConstr[[#This Row],[build -db]]*TblConstr[[#This Row],[CPA Platinum -DB]] + TblConstr[[#This Row],[build db]]*TblConstr[[#This Row],[CPA Platinum DB]]</f>
        <v>0</v>
      </c>
      <c r="AR121" s="45">
        <f ca="1">TblConstr[[#This Row],[build -db]]*TblConstr[[#This Row],[CPA Lumber -DB]] + TblConstr[[#This Row],[build db]]*TblConstr[[#This Row],[CPA Lumber DB]]</f>
        <v>0</v>
      </c>
      <c r="AS121" s="94">
        <f ca="1">MIN(SUM(OFFSET(TblConstr[[#This Row],[Plain]:[Water]],-1,0))+SUM(TblConstr[[#This Row],[Dest Hom]:[Dest Doc]])+IF(TblConstr[[#This Row],[Hour]]&gt;12,SUM(OFFSET(TblExplore[[#This Row],[Plains Explore]:[Water Explore]],-12,0)),0),SUM(TblConstr[[#This Row],[Hom]:[Doc]]))</f>
        <v>0</v>
      </c>
      <c r="AT12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1" s="142"/>
      <c r="AV121" s="94">
        <f ca="1">ROUND((TblConstr[[#This Row],[Land]]-250 - IF(TblExplore[[#This Row],[Land Bonus]]&lt;&gt;0,20,0))*1.25 + 850 + 0,0)</f>
        <v>675</v>
      </c>
      <c r="AW121" s="94">
        <f ca="1">ROUND((TblConstr[[#This Row],[Land]]-250 - IF(TblExplore[[#This Row],[Land Bonus]]&lt;&gt;0,20,0))*0.285 + 87.5 + 0/4.25,0)</f>
        <v>48</v>
      </c>
      <c r="AX121" s="154"/>
      <c r="AY121" s="188" cm="1">
        <f t="array" aca="1" ref="AY121" ca="1">IF(TblConstr[[#This Row],[Hour]:[Hour]]&gt;12,OFFSET(TblConstr[[#This Row],[Hom]],-12,0),0)+OFFSET(TblConstr[[#This Row],[Tot Hom]],-1,0)-TblConstr[[#This Row],[Dest Hom]]</f>
        <v>0</v>
      </c>
      <c r="AZ121" s="189" cm="1">
        <f t="array" aca="1" ref="AZ121" ca="1">IF(TblConstr[[#This Row],[Hour]:[Hour]]&gt;12,OFFSET(TblConstr[[#This Row],[Alc]],-12,0),0)+OFFSET(TblConstr[[#This Row],[Tot Alc]],-1,0)-TblConstr[[#This Row],[Dest Alc]]</f>
        <v>0</v>
      </c>
      <c r="BA121" s="189" cm="1">
        <f t="array" aca="1" ref="BA121" ca="1">IF(TblConstr[[#This Row],[Hour]:[Hour]]&gt;12,OFFSET(TblConstr[[#This Row],[Far]],-12,0),0)+OFFSET(TblConstr[[#This Row],[Tot Farm]],-1,0)-TblConstr[[#This Row],[Dest Farm]]</f>
        <v>30</v>
      </c>
      <c r="BB121" s="189" cm="1">
        <f t="array" aca="1" ref="BB121" ca="1">IF(TblConstr[[#This Row],[Hour]:[Hour]]&gt;12,OFFSET(TblConstr[[#This Row],[Smi]],-12,0),0)+OFFSET(TblConstr[[#This Row],[Tot Smi]],-1,0)-TblConstr[[#This Row],[Dest Smi]]</f>
        <v>0</v>
      </c>
      <c r="BC121" s="189" cm="1">
        <f t="array" aca="1" ref="BC121" ca="1">IF(TblConstr[[#This Row],[Hour]:[Hour]]&gt;12,OFFSET(TblConstr[[#This Row],[Mas]],-12,0),0)+OFFSET(TblConstr[[#This Row],[Tot Mas]],-1,0)-TblConstr[[#This Row],[Dest Mas]]</f>
        <v>0</v>
      </c>
      <c r="BD121" s="190" cm="1">
        <f t="array" aca="1" ref="BD121" ca="1">IF(TblConstr[[#This Row],[Hour]:[Hour]]&gt;12,OFFSET(TblConstr[[#This Row],[Ly]],-12,0),0)+OFFSET(TblConstr[[#This Row],[Tot Ly]],-1,0)-TblConstr[[#This Row],[Dest Ly]]</f>
        <v>20</v>
      </c>
      <c r="BE121" s="190" cm="1">
        <f t="array" aca="1" ref="BE121" ca="1">IF(TblConstr[[#This Row],[Hour]:[Hour]]&gt;12,OFFSET(TblConstr[[#This Row],[Hav]],-12,0),0)+OFFSET(TblConstr[[#This Row],[Tot Hav]],-1,0)-TblConstr[[#This Row],[Dest Hav]]</f>
        <v>0</v>
      </c>
      <c r="BF121" s="361" cm="1">
        <f t="array" aca="1" ref="BF121" ca="1">IF(TblConstr[[#This Row],[Hour]:[Hour]]&gt;12,OFFSET(TblConstr[[#This Row],[OM]],-12,0),0)+OFFSET(TblConstr[[#This Row],[Tot OM]],-1,0)-TblConstr[[#This Row],[Dest OM]]</f>
        <v>0</v>
      </c>
      <c r="BG121" s="361" cm="1">
        <f t="array" aca="1" ref="BG121" ca="1">IF(TblConstr[[#This Row],[Hour]:[Hour]]&gt;12,OFFSET(TblConstr[[#This Row],[GN]],-12,0),0)+OFFSET(TblConstr[[#This Row],[Tot GN]],-1,0)-TblConstr[[#This Row],[Dest GN]]</f>
        <v>0</v>
      </c>
      <c r="BH121" s="365" cm="1">
        <f t="array" aca="1" ref="BH121" ca="1">IF(TblConstr[[#This Row],[Hour]:[Hour]]&gt;12,OFFSET(TblConstr[[#This Row],[Fac]],-12,0),0)+OFFSET(TblConstr[[#This Row],[Tot Fac]],-1,0)-TblConstr[[#This Row],[Dest Fac]]</f>
        <v>0</v>
      </c>
      <c r="BI121" s="365" cm="1">
        <f t="array" aca="1" ref="BI121" ca="1">IF(TblConstr[[#This Row],[Hour]:[Hour]]&gt;12,OFFSET(TblConstr[[#This Row],[GT]],-12,0),0)+OFFSET(TblConstr[[#This Row],[Tot GT]],-1,0)-TblConstr[[#This Row],[Dest GT]]</f>
        <v>0</v>
      </c>
      <c r="BJ121" s="365" cm="1">
        <f t="array" aca="1" ref="BJ121" ca="1">IF(TblConstr[[#This Row],[Hour]:[Hour]]&gt;12,OFFSET(TblConstr[[#This Row],[Bar]],-12,0),0)+OFFSET(TblConstr[[#This Row],[Tot Bar]],-1,0)-TblConstr[[#This Row],[Dest Bar]]</f>
        <v>0</v>
      </c>
      <c r="BK121" s="365" cm="1">
        <f t="array" aca="1" ref="BK121" ca="1">IF(TblConstr[[#This Row],[Hour]:[Hour]]&gt;12,OFFSET(TblConstr[[#This Row],[Shr]],-12,0),0)+OFFSET(TblConstr[[#This Row],[Tot Shr]],-1,0)-TblConstr[[#This Row],[Dest Shr]]</f>
        <v>0</v>
      </c>
      <c r="BL121" s="369" cm="1">
        <f t="array" aca="1" ref="BL121" ca="1">IF(TblConstr[[#This Row],[Hour]:[Hour]]&gt;12,OFFSET(TblConstr[[#This Row],[Tow]],-12,0),0)+OFFSET(TblConstr[[#This Row],[Tot Tow]],-1,0)-TblConstr[[#This Row],[Dest Tow]]</f>
        <v>0</v>
      </c>
      <c r="BM121" s="369" cm="1">
        <f t="array" aca="1" ref="BM121" ca="1">IF(TblConstr[[#This Row],[Hour]:[Hour]]&gt;12,OFFSET(TblConstr[[#This Row],[Tem]],-12,0),0)+OFFSET(TblConstr[[#This Row],[Tot Tem]],-1,0)-TblConstr[[#This Row],[Dest Tem]]</f>
        <v>0</v>
      </c>
      <c r="BN121" s="369" cm="1">
        <f t="array" aca="1" ref="BN121" ca="1">IF(TblConstr[[#This Row],[Hour]:[Hour]]&gt;12,OFFSET(TblConstr[[#This Row],[WG]],-12,0),0)+OFFSET(TblConstr[[#This Row],[Tot WG]],-1,0)-TblConstr[[#This Row],[Dest WG]]</f>
        <v>0</v>
      </c>
      <c r="BO121" s="191" cm="1">
        <f t="array" aca="1" ref="BO121" ca="1">IF(TblConstr[[#This Row],[Hour]:[Hour]]&gt;12,OFFSET(TblConstr[[#This Row],[DM]],-12,0),0)+OFFSET(TblConstr[[#This Row],[Tot DM]],-1,0)-TblConstr[[#This Row],[Dest DM]]</f>
        <v>0</v>
      </c>
      <c r="BP121" s="191" cm="1">
        <f t="array" aca="1" ref="BP121" ca="1">IF(TblConstr[[#This Row],[Hour]:[Hour]]&gt;12,OFFSET(TblConstr[[#This Row],[Sch]],-12,0),0)+OFFSET(TblConstr[[#This Row],[Tot Sch]],-1,0)-TblConstr[[#This Row],[Dest Sch]]</f>
        <v>0</v>
      </c>
      <c r="BQ121" s="192" cm="1">
        <f t="array" aca="1" ref="BQ121" ca="1">IF(TblConstr[[#This Row],[Hour]:[Hour]]&gt;12,OFFSET(TblConstr[[#This Row],[Doc]],-12,0),0)+OFFSET(TblConstr[[#This Row],[Tot Doc]],-1,0)-TblConstr[[#This Row],[Dest Doc]]</f>
        <v>0</v>
      </c>
      <c r="BR121" s="142"/>
      <c r="BS121" s="154"/>
      <c r="BT121" s="94">
        <f ca="1">TblConstr[[#This Row],[Land]]</f>
        <v>110</v>
      </c>
      <c r="BU121" s="159">
        <f ca="1">TblImps[[#This Row],[Time]]</f>
        <v>46051.874999999716</v>
      </c>
      <c r="BV121" s="142"/>
      <c r="BW121" s="179"/>
      <c r="BX121" s="179"/>
      <c r="BY121" s="179"/>
      <c r="BZ121" s="179"/>
      <c r="CA121" s="179"/>
      <c r="CB121" s="179"/>
      <c r="CC121" s="179"/>
      <c r="CD121" s="179"/>
      <c r="CE121" s="179"/>
      <c r="CF121" s="179"/>
      <c r="CG121" s="179"/>
      <c r="CH121" s="179"/>
      <c r="CI121" s="179"/>
      <c r="CJ121" s="179"/>
      <c r="CK121" s="179"/>
      <c r="CL121" s="179"/>
      <c r="CM121" s="179"/>
      <c r="CN121" s="179"/>
      <c r="CO121" s="179"/>
      <c r="CP121" s="142"/>
      <c r="CQ121" s="181">
        <f ca="1">-SUM(TblConstr[[#This Row],[Alc]:[Mas]])+SUM(TblConstr[[#This Row],[Dest Alc]:[Dest Mas]])+Rezone!L121+IF("Ch_"&amp; home_land=TblConstr[[#Headers],[Ch_Plain]],TblConstr[[#This Row],[Home Land]])+IF(TblConstr[[#This Row],[Hour]:[Hour]]&gt;12,OFFSET(TblExplore[[#This Row],[Plains Explore]],-12,0),0)</f>
        <v>0</v>
      </c>
      <c r="CR121" s="182">
        <f ca="1">-SUM(TblConstr[[#This Row],[Ly]:[Hav]])+SUM(TblConstr[[#This Row],[Dest Ly]:[Dest Hav]]) +Rezone!M121 + IF("Ch_"&amp; home_land=TblConstr[[#Headers],[Ch_Forest]],TblConstr[[#This Row],[Home Land]])+IF(TblConstr[[#This Row],[Hour]:[Hour]]&gt;12,OFFSET(TblExplore[[#This Row],[Forest Explore]],-12,0),0)</f>
        <v>0</v>
      </c>
      <c r="CS121" s="359">
        <f ca="1">-SUM(TblConstr[[#This Row],[OM]:[GN]])+SUM(TblConstr[[#This Row],[Dest OM]:[Dest GN]]) +Rezone!N121 + IF("Ch_"&amp; home_land=TblConstr[[#Headers],[Ch_Mountain]],TblConstr[[#This Row],[Home Land]])+IF(TblConstr[[#This Row],[Hour]:[Hour]]&gt;12,OFFSET(TblExplore[[#This Row],[Mountain Explore]],-12,0),0)</f>
        <v>0</v>
      </c>
      <c r="CT121" s="183">
        <f ca="1">-SUM(TblConstr[[#This Row],[Fac]:[Shr]])+SUM(TblConstr[[#This Row],[Dest Fac]:[Dest Shr]]) +Rezone!O121 + IF("Ch_" &amp; home_land=TblConstr[[#Headers],[Ch_Hill]],TblConstr[[#This Row],[Home Land]])+IF(TblConstr[[#This Row],[Hour]:[Hour]]&gt;12,OFFSET(TblExplore[[#This Row],[Hill Explore]],-12,0),0)</f>
        <v>0</v>
      </c>
      <c r="CU121" s="184">
        <f ca="1">-SUM(TblConstr[[#This Row],[Tow]:[WG]])+SUM(TblConstr[[#This Row],[Dest Tow]:[Dest WG]]) +Rezone!P121 + IF("Ch_" &amp; home_land=TblConstr[[#Headers],[Ch_Swamp]],TblConstr[[#This Row],[Home Land]])+IF(TblConstr[[#This Row],[Hour]:[Hour]]&gt;12,OFFSET(TblExplore[[#This Row],[Swamp Explore]],-12,0),0)</f>
        <v>0</v>
      </c>
      <c r="CV121" s="185">
        <f ca="1" xml:space="preserve"> - SUM(TblConstr[[#This Row],[DM]:[Sch]])+SUM(TblConstr[[#This Row],[Dest DM]:[Dest Sch]]) +Rezone!Q121 + IF("Ch_" &amp; home_land=TblConstr[[#Headers],[Ch_Cavern]],TblConstr[[#This Row],[Home Land]])+IF(TblConstr[[#This Row],[Hour]:[Hour]]&gt;12,OFFSET(TblExplore[[#This Row],[Cavern Explore]],-12,0),0)</f>
        <v>0</v>
      </c>
      <c r="CW121" s="186">
        <f ca="1">-TblConstr[[#This Row],[Doc]]+TblConstr[[#This Row],[Dest Doc]] +Rezone!R121 + IF("Ch_" &amp; home_land=TblConstr[[#Headers],[Ch_Water]],TblConstr[[#This Row],[Home Land]])+IF(TblConstr[[#This Row],[Hour]:[Hour]]&gt;12,OFFSET(TblExplore[[#This Row],[Water Explore]],-12,0),0)</f>
        <v>0</v>
      </c>
      <c r="CX121" s="45">
        <f>IF(Explore!S121=1,20) - TblConstr[[#This Row],[Hom]] + TblConstr[[#This Row],[Dest Hom]]</f>
        <v>0</v>
      </c>
      <c r="CY121" s="142"/>
      <c r="CZ121" s="94">
        <f t="shared" ca="1" si="30"/>
        <v>90</v>
      </c>
      <c r="DA121" s="94">
        <f t="shared" ca="1" si="31"/>
        <v>20</v>
      </c>
      <c r="DB121" s="45">
        <f t="shared" ca="1" si="32"/>
        <v>0</v>
      </c>
      <c r="DC121" s="94">
        <f t="shared" ca="1" si="33"/>
        <v>0</v>
      </c>
      <c r="DD121" s="94">
        <f t="shared" ca="1" si="34"/>
        <v>0</v>
      </c>
      <c r="DE121" s="45">
        <f t="shared" ca="1" si="35"/>
        <v>0</v>
      </c>
      <c r="DF121" s="94">
        <f t="shared" ca="1" si="36"/>
        <v>0</v>
      </c>
      <c r="DG121" s="94" cm="1">
        <f t="array" aca="1" ref="DG121" ca="1">INDEX(TblConstr[[Total Plain]:[Total Water]],ROW()-ROW(TblConstr[#Headers]),MATCH("Total "&amp;home_land,TblConstr[[#Headers],[Total Plain]:[Total Water]],0))+TblConstr[[#This Row],[Homes]]</f>
        <v>90</v>
      </c>
      <c r="DH121" s="45">
        <f t="shared" ca="1" si="22"/>
        <v>0</v>
      </c>
      <c r="DI121" s="45">
        <f t="shared" ca="1" si="19"/>
        <v>0</v>
      </c>
      <c r="DJ121" s="45">
        <f t="shared" ca="1" si="20"/>
        <v>0</v>
      </c>
    </row>
    <row r="122" spans="1:114" x14ac:dyDescent="0.2">
      <c r="A122" s="175">
        <f>TblRezone[[#This Row],[Hour]]</f>
        <v>119</v>
      </c>
      <c r="B122" s="176">
        <f ca="1">SUM(TblConstr[[#This Row],[Plain]:[Water]])</f>
        <v>60</v>
      </c>
      <c r="C122" s="177">
        <f ca="1">SUM(TblConstr[[#This Row],[Tot Hom]:[Tot Doc]])</f>
        <v>50</v>
      </c>
      <c r="D122" s="177">
        <f t="shared" si="21"/>
        <v>0</v>
      </c>
      <c r="E122" s="178"/>
      <c r="F122" s="61">
        <f ca="1">TblConstr[[#This Row],[Barren]]+TblConstr[[#This Row],[Buildings]]+TblConstr[[#This Row],[Incoming]]</f>
        <v>110</v>
      </c>
      <c r="G122" s="187">
        <f ca="1">OFFSET(TblConstr[[#This Row],[Plain]],-1,0)+TblConstr[[#This Row],[Ch_Plain]]</f>
        <v>60</v>
      </c>
      <c r="H122" s="182">
        <f ca="1">OFFSET(TblConstr[[#This Row],[Forest]],-1,0)+TblConstr[[#This Row],[Ch_Forest]]</f>
        <v>0</v>
      </c>
      <c r="I122" s="359">
        <f ca="1">OFFSET(TblConstr[[#This Row],[Mountain]],-1,0)+TblConstr[[#This Row],[Ch_Mountain]]</f>
        <v>0</v>
      </c>
      <c r="J122" s="363">
        <f ca="1">OFFSET(TblConstr[[#This Row],[Hill]],-1,0)+TblConstr[[#This Row],[Ch_Hill]]</f>
        <v>0</v>
      </c>
      <c r="K122" s="367">
        <f ca="1">OFFSET(TblConstr[[#This Row],[Swamp]],-1,0)+TblConstr[[#This Row],[Ch_Swamp]]</f>
        <v>0</v>
      </c>
      <c r="L122" s="185">
        <f ca="1">OFFSET(TblConstr[[#This Row],[Cavern]],-1,0)+TblConstr[[#This Row],[Ch_Cavern]]</f>
        <v>0</v>
      </c>
      <c r="M122" s="186">
        <f ca="1">OFFSET(TblConstr[[#This Row],[Water]],-1,0)+TblConstr[[#This Row],[Ch_Water]]</f>
        <v>0</v>
      </c>
      <c r="N122" s="357">
        <f>TblRezone[[#This Row],[Hour]]</f>
        <v>119</v>
      </c>
      <c r="O122" s="179"/>
      <c r="P122" s="179"/>
      <c r="Q122" s="179"/>
      <c r="R122" s="179"/>
      <c r="S122" s="179"/>
      <c r="T122" s="179"/>
      <c r="U122" s="179"/>
      <c r="V122" s="179"/>
      <c r="W122" s="179"/>
      <c r="X122" s="179"/>
      <c r="Y122" s="179"/>
      <c r="Z122" s="179"/>
      <c r="AA122" s="179"/>
      <c r="AB122" s="179"/>
      <c r="AC122" s="179"/>
      <c r="AD122" s="179"/>
      <c r="AE122" s="179"/>
      <c r="AF122" s="179"/>
      <c r="AG122" s="179"/>
      <c r="AH122" s="53">
        <f ca="1">TblImps[[#This Row],[Time]]</f>
        <v>46051.91666666638</v>
      </c>
      <c r="AI122" s="180">
        <f ca="1">MIN(25%,(TblConstr[[#This Row],[Tot Fac]]+TblConstr[[#This Row],[Dest Fac]])/(TblConstr[[#This Row],[Land]]-TblExplore[[#This Row],[Land Bonus]]*20))</f>
        <v>0</v>
      </c>
      <c r="AJ122" s="180">
        <f ca="1">MIN(25%,(TblConstr[[#This Row],[Tot Fac]]+TblConstr[[#This Row],[Dest Fac]])/TblConstr[[#This Row],[Land]])</f>
        <v>0</v>
      </c>
      <c r="AK122" s="94">
        <f ca="1">TblProd[[#This Row],[Platinum]]</f>
        <v>217212</v>
      </c>
      <c r="AL122" s="94">
        <f ca="1">TblProd[[#This Row],[Lumber]]</f>
        <v>74034</v>
      </c>
      <c r="AM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2" s="94">
        <f ca="1">ROUNDDOWN( MAX(1 - MIN(facs_constr_factor*TblConstr[[#This Row],[Facs -DB]],facs_constr_max) + tech_1_11*TblTech[[#This Row],[11-1]] + tech_6_3_2*TblTech[[#This Row],[6-3]] + tech_5_2_3*TblTech[[#This Row],[5-2]], 1-global_constr_cap) * TblConstr[[#This Row],[RCPA Lumber]],0)</f>
        <v>48</v>
      </c>
      <c r="AO12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2" s="94">
        <f ca="1">ROUNDDOWN( MAX(1 - MIN(facs_constr_factor*TblConstr[[#This Row],[Facs DB]],facs_constr_max) + tech_1_11*TblTech[[#This Row],[1-11]] + tech_6_3_2*TblTech[[#This Row],[6-3]] + tech_5_2_3*TblTech[[#This Row],[5-2]], 1-global_constr_cap) * ROUND((TblConstr[[#This Row],[Land]]-250)*0.285 + 87.5 + 0/4.25,0),0)</f>
        <v>48</v>
      </c>
      <c r="AQ122" s="45">
        <f ca="1">TblConstr[[#This Row],[build -db]]*TblConstr[[#This Row],[CPA Platinum -DB]] + TblConstr[[#This Row],[build db]]*TblConstr[[#This Row],[CPA Platinum DB]]</f>
        <v>0</v>
      </c>
      <c r="AR122" s="45">
        <f ca="1">TblConstr[[#This Row],[build -db]]*TblConstr[[#This Row],[CPA Lumber -DB]] + TblConstr[[#This Row],[build db]]*TblConstr[[#This Row],[CPA Lumber DB]]</f>
        <v>0</v>
      </c>
      <c r="AS122" s="94">
        <f ca="1">MIN(SUM(OFFSET(TblConstr[[#This Row],[Plain]:[Water]],-1,0))+SUM(TblConstr[[#This Row],[Dest Hom]:[Dest Doc]])+IF(TblConstr[[#This Row],[Hour]]&gt;12,SUM(OFFSET(TblExplore[[#This Row],[Plains Explore]:[Water Explore]],-12,0)),0),SUM(TblConstr[[#This Row],[Hom]:[Doc]]))</f>
        <v>0</v>
      </c>
      <c r="AT12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2" s="142"/>
      <c r="AV122" s="94">
        <f ca="1">ROUND((TblConstr[[#This Row],[Land]]-250 - IF(TblExplore[[#This Row],[Land Bonus]]&lt;&gt;0,20,0))*1.25 + 850 + 0,0)</f>
        <v>675</v>
      </c>
      <c r="AW122" s="94">
        <f ca="1">ROUND((TblConstr[[#This Row],[Land]]-250 - IF(TblExplore[[#This Row],[Land Bonus]]&lt;&gt;0,20,0))*0.285 + 87.5 + 0/4.25,0)</f>
        <v>48</v>
      </c>
      <c r="AX122" s="154"/>
      <c r="AY122" s="188" cm="1">
        <f t="array" aca="1" ref="AY122" ca="1">IF(TblConstr[[#This Row],[Hour]:[Hour]]&gt;12,OFFSET(TblConstr[[#This Row],[Hom]],-12,0),0)+OFFSET(TblConstr[[#This Row],[Tot Hom]],-1,0)-TblConstr[[#This Row],[Dest Hom]]</f>
        <v>0</v>
      </c>
      <c r="AZ122" s="189" cm="1">
        <f t="array" aca="1" ref="AZ122" ca="1">IF(TblConstr[[#This Row],[Hour]:[Hour]]&gt;12,OFFSET(TblConstr[[#This Row],[Alc]],-12,0),0)+OFFSET(TblConstr[[#This Row],[Tot Alc]],-1,0)-TblConstr[[#This Row],[Dest Alc]]</f>
        <v>0</v>
      </c>
      <c r="BA122" s="189" cm="1">
        <f t="array" aca="1" ref="BA122" ca="1">IF(TblConstr[[#This Row],[Hour]:[Hour]]&gt;12,OFFSET(TblConstr[[#This Row],[Far]],-12,0),0)+OFFSET(TblConstr[[#This Row],[Tot Farm]],-1,0)-TblConstr[[#This Row],[Dest Farm]]</f>
        <v>30</v>
      </c>
      <c r="BB122" s="189" cm="1">
        <f t="array" aca="1" ref="BB122" ca="1">IF(TblConstr[[#This Row],[Hour]:[Hour]]&gt;12,OFFSET(TblConstr[[#This Row],[Smi]],-12,0),0)+OFFSET(TblConstr[[#This Row],[Tot Smi]],-1,0)-TblConstr[[#This Row],[Dest Smi]]</f>
        <v>0</v>
      </c>
      <c r="BC122" s="189" cm="1">
        <f t="array" aca="1" ref="BC122" ca="1">IF(TblConstr[[#This Row],[Hour]:[Hour]]&gt;12,OFFSET(TblConstr[[#This Row],[Mas]],-12,0),0)+OFFSET(TblConstr[[#This Row],[Tot Mas]],-1,0)-TblConstr[[#This Row],[Dest Mas]]</f>
        <v>0</v>
      </c>
      <c r="BD122" s="190" cm="1">
        <f t="array" aca="1" ref="BD122" ca="1">IF(TblConstr[[#This Row],[Hour]:[Hour]]&gt;12,OFFSET(TblConstr[[#This Row],[Ly]],-12,0),0)+OFFSET(TblConstr[[#This Row],[Tot Ly]],-1,0)-TblConstr[[#This Row],[Dest Ly]]</f>
        <v>20</v>
      </c>
      <c r="BE122" s="190" cm="1">
        <f t="array" aca="1" ref="BE122" ca="1">IF(TblConstr[[#This Row],[Hour]:[Hour]]&gt;12,OFFSET(TblConstr[[#This Row],[Hav]],-12,0),0)+OFFSET(TblConstr[[#This Row],[Tot Hav]],-1,0)-TblConstr[[#This Row],[Dest Hav]]</f>
        <v>0</v>
      </c>
      <c r="BF122" s="361" cm="1">
        <f t="array" aca="1" ref="BF122" ca="1">IF(TblConstr[[#This Row],[Hour]:[Hour]]&gt;12,OFFSET(TblConstr[[#This Row],[OM]],-12,0),0)+OFFSET(TblConstr[[#This Row],[Tot OM]],-1,0)-TblConstr[[#This Row],[Dest OM]]</f>
        <v>0</v>
      </c>
      <c r="BG122" s="361" cm="1">
        <f t="array" aca="1" ref="BG122" ca="1">IF(TblConstr[[#This Row],[Hour]:[Hour]]&gt;12,OFFSET(TblConstr[[#This Row],[GN]],-12,0),0)+OFFSET(TblConstr[[#This Row],[Tot GN]],-1,0)-TblConstr[[#This Row],[Dest GN]]</f>
        <v>0</v>
      </c>
      <c r="BH122" s="365" cm="1">
        <f t="array" aca="1" ref="BH122" ca="1">IF(TblConstr[[#This Row],[Hour]:[Hour]]&gt;12,OFFSET(TblConstr[[#This Row],[Fac]],-12,0),0)+OFFSET(TblConstr[[#This Row],[Tot Fac]],-1,0)-TblConstr[[#This Row],[Dest Fac]]</f>
        <v>0</v>
      </c>
      <c r="BI122" s="365" cm="1">
        <f t="array" aca="1" ref="BI122" ca="1">IF(TblConstr[[#This Row],[Hour]:[Hour]]&gt;12,OFFSET(TblConstr[[#This Row],[GT]],-12,0),0)+OFFSET(TblConstr[[#This Row],[Tot GT]],-1,0)-TblConstr[[#This Row],[Dest GT]]</f>
        <v>0</v>
      </c>
      <c r="BJ122" s="365" cm="1">
        <f t="array" aca="1" ref="BJ122" ca="1">IF(TblConstr[[#This Row],[Hour]:[Hour]]&gt;12,OFFSET(TblConstr[[#This Row],[Bar]],-12,0),0)+OFFSET(TblConstr[[#This Row],[Tot Bar]],-1,0)-TblConstr[[#This Row],[Dest Bar]]</f>
        <v>0</v>
      </c>
      <c r="BK122" s="365" cm="1">
        <f t="array" aca="1" ref="BK122" ca="1">IF(TblConstr[[#This Row],[Hour]:[Hour]]&gt;12,OFFSET(TblConstr[[#This Row],[Shr]],-12,0),0)+OFFSET(TblConstr[[#This Row],[Tot Shr]],-1,0)-TblConstr[[#This Row],[Dest Shr]]</f>
        <v>0</v>
      </c>
      <c r="BL122" s="369" cm="1">
        <f t="array" aca="1" ref="BL122" ca="1">IF(TblConstr[[#This Row],[Hour]:[Hour]]&gt;12,OFFSET(TblConstr[[#This Row],[Tow]],-12,0),0)+OFFSET(TblConstr[[#This Row],[Tot Tow]],-1,0)-TblConstr[[#This Row],[Dest Tow]]</f>
        <v>0</v>
      </c>
      <c r="BM122" s="369" cm="1">
        <f t="array" aca="1" ref="BM122" ca="1">IF(TblConstr[[#This Row],[Hour]:[Hour]]&gt;12,OFFSET(TblConstr[[#This Row],[Tem]],-12,0),0)+OFFSET(TblConstr[[#This Row],[Tot Tem]],-1,0)-TblConstr[[#This Row],[Dest Tem]]</f>
        <v>0</v>
      </c>
      <c r="BN122" s="369" cm="1">
        <f t="array" aca="1" ref="BN122" ca="1">IF(TblConstr[[#This Row],[Hour]:[Hour]]&gt;12,OFFSET(TblConstr[[#This Row],[WG]],-12,0),0)+OFFSET(TblConstr[[#This Row],[Tot WG]],-1,0)-TblConstr[[#This Row],[Dest WG]]</f>
        <v>0</v>
      </c>
      <c r="BO122" s="191" cm="1">
        <f t="array" aca="1" ref="BO122" ca="1">IF(TblConstr[[#This Row],[Hour]:[Hour]]&gt;12,OFFSET(TblConstr[[#This Row],[DM]],-12,0),0)+OFFSET(TblConstr[[#This Row],[Tot DM]],-1,0)-TblConstr[[#This Row],[Dest DM]]</f>
        <v>0</v>
      </c>
      <c r="BP122" s="191" cm="1">
        <f t="array" aca="1" ref="BP122" ca="1">IF(TblConstr[[#This Row],[Hour]:[Hour]]&gt;12,OFFSET(TblConstr[[#This Row],[Sch]],-12,0),0)+OFFSET(TblConstr[[#This Row],[Tot Sch]],-1,0)-TblConstr[[#This Row],[Dest Sch]]</f>
        <v>0</v>
      </c>
      <c r="BQ122" s="192" cm="1">
        <f t="array" aca="1" ref="BQ122" ca="1">IF(TblConstr[[#This Row],[Hour]:[Hour]]&gt;12,OFFSET(TblConstr[[#This Row],[Doc]],-12,0),0)+OFFSET(TblConstr[[#This Row],[Tot Doc]],-1,0)-TblConstr[[#This Row],[Dest Doc]]</f>
        <v>0</v>
      </c>
      <c r="BR122" s="142"/>
      <c r="BS122" s="154"/>
      <c r="BT122" s="94">
        <f ca="1">TblConstr[[#This Row],[Land]]</f>
        <v>110</v>
      </c>
      <c r="BU122" s="159">
        <f ca="1">TblImps[[#This Row],[Time]]</f>
        <v>46051.91666666638</v>
      </c>
      <c r="BV122" s="142"/>
      <c r="BW122" s="179"/>
      <c r="BX122" s="179"/>
      <c r="BY122" s="179"/>
      <c r="BZ122" s="179"/>
      <c r="CA122" s="179"/>
      <c r="CB122" s="179"/>
      <c r="CC122" s="179"/>
      <c r="CD122" s="179"/>
      <c r="CE122" s="179"/>
      <c r="CF122" s="179"/>
      <c r="CG122" s="179"/>
      <c r="CH122" s="179"/>
      <c r="CI122" s="179"/>
      <c r="CJ122" s="179"/>
      <c r="CK122" s="179"/>
      <c r="CL122" s="179"/>
      <c r="CM122" s="179"/>
      <c r="CN122" s="179"/>
      <c r="CO122" s="179"/>
      <c r="CP122" s="142"/>
      <c r="CQ122" s="181">
        <f ca="1">-SUM(TblConstr[[#This Row],[Alc]:[Mas]])+SUM(TblConstr[[#This Row],[Dest Alc]:[Dest Mas]])+Rezone!L122+IF("Ch_"&amp; home_land=TblConstr[[#Headers],[Ch_Plain]],TblConstr[[#This Row],[Home Land]])+IF(TblConstr[[#This Row],[Hour]:[Hour]]&gt;12,OFFSET(TblExplore[[#This Row],[Plains Explore]],-12,0),0)</f>
        <v>0</v>
      </c>
      <c r="CR122" s="182">
        <f ca="1">-SUM(TblConstr[[#This Row],[Ly]:[Hav]])+SUM(TblConstr[[#This Row],[Dest Ly]:[Dest Hav]]) +Rezone!M122 + IF("Ch_"&amp; home_land=TblConstr[[#Headers],[Ch_Forest]],TblConstr[[#This Row],[Home Land]])+IF(TblConstr[[#This Row],[Hour]:[Hour]]&gt;12,OFFSET(TblExplore[[#This Row],[Forest Explore]],-12,0),0)</f>
        <v>0</v>
      </c>
      <c r="CS122" s="359">
        <f ca="1">-SUM(TblConstr[[#This Row],[OM]:[GN]])+SUM(TblConstr[[#This Row],[Dest OM]:[Dest GN]]) +Rezone!N122 + IF("Ch_"&amp; home_land=TblConstr[[#Headers],[Ch_Mountain]],TblConstr[[#This Row],[Home Land]])+IF(TblConstr[[#This Row],[Hour]:[Hour]]&gt;12,OFFSET(TblExplore[[#This Row],[Mountain Explore]],-12,0),0)</f>
        <v>0</v>
      </c>
      <c r="CT122" s="183">
        <f ca="1">-SUM(TblConstr[[#This Row],[Fac]:[Shr]])+SUM(TblConstr[[#This Row],[Dest Fac]:[Dest Shr]]) +Rezone!O122 + IF("Ch_" &amp; home_land=TblConstr[[#Headers],[Ch_Hill]],TblConstr[[#This Row],[Home Land]])+IF(TblConstr[[#This Row],[Hour]:[Hour]]&gt;12,OFFSET(TblExplore[[#This Row],[Hill Explore]],-12,0),0)</f>
        <v>0</v>
      </c>
      <c r="CU122" s="184">
        <f ca="1">-SUM(TblConstr[[#This Row],[Tow]:[WG]])+SUM(TblConstr[[#This Row],[Dest Tow]:[Dest WG]]) +Rezone!P122 + IF("Ch_" &amp; home_land=TblConstr[[#Headers],[Ch_Swamp]],TblConstr[[#This Row],[Home Land]])+IF(TblConstr[[#This Row],[Hour]:[Hour]]&gt;12,OFFSET(TblExplore[[#This Row],[Swamp Explore]],-12,0),0)</f>
        <v>0</v>
      </c>
      <c r="CV122" s="185">
        <f ca="1" xml:space="preserve"> - SUM(TblConstr[[#This Row],[DM]:[Sch]])+SUM(TblConstr[[#This Row],[Dest DM]:[Dest Sch]]) +Rezone!Q122 + IF("Ch_" &amp; home_land=TblConstr[[#Headers],[Ch_Cavern]],TblConstr[[#This Row],[Home Land]])+IF(TblConstr[[#This Row],[Hour]:[Hour]]&gt;12,OFFSET(TblExplore[[#This Row],[Cavern Explore]],-12,0),0)</f>
        <v>0</v>
      </c>
      <c r="CW122" s="186">
        <f ca="1">-TblConstr[[#This Row],[Doc]]+TblConstr[[#This Row],[Dest Doc]] +Rezone!R122 + IF("Ch_" &amp; home_land=TblConstr[[#Headers],[Ch_Water]],TblConstr[[#This Row],[Home Land]])+IF(TblConstr[[#This Row],[Hour]:[Hour]]&gt;12,OFFSET(TblExplore[[#This Row],[Water Explore]],-12,0),0)</f>
        <v>0</v>
      </c>
      <c r="CX122" s="45">
        <f>IF(Explore!S122=1,20) - TblConstr[[#This Row],[Hom]] + TblConstr[[#This Row],[Dest Hom]]</f>
        <v>0</v>
      </c>
      <c r="CY122" s="142"/>
      <c r="CZ122" s="94">
        <f t="shared" ca="1" si="30"/>
        <v>90</v>
      </c>
      <c r="DA122" s="94">
        <f t="shared" ca="1" si="31"/>
        <v>20</v>
      </c>
      <c r="DB122" s="45">
        <f t="shared" ca="1" si="32"/>
        <v>0</v>
      </c>
      <c r="DC122" s="94">
        <f t="shared" ca="1" si="33"/>
        <v>0</v>
      </c>
      <c r="DD122" s="94">
        <f t="shared" ca="1" si="34"/>
        <v>0</v>
      </c>
      <c r="DE122" s="45">
        <f t="shared" ca="1" si="35"/>
        <v>0</v>
      </c>
      <c r="DF122" s="94">
        <f t="shared" ca="1" si="36"/>
        <v>0</v>
      </c>
      <c r="DG122" s="94" cm="1">
        <f t="array" aca="1" ref="DG122" ca="1">INDEX(TblConstr[[Total Plain]:[Total Water]],ROW()-ROW(TblConstr[#Headers]),MATCH("Total "&amp;home_land,TblConstr[[#Headers],[Total Plain]:[Total Water]],0))+TblConstr[[#This Row],[Homes]]</f>
        <v>90</v>
      </c>
      <c r="DH122" s="45">
        <f t="shared" ca="1" si="22"/>
        <v>0</v>
      </c>
      <c r="DI122" s="45">
        <f t="shared" ca="1" si="19"/>
        <v>0</v>
      </c>
      <c r="DJ122" s="45">
        <f t="shared" ca="1" si="20"/>
        <v>0</v>
      </c>
    </row>
    <row r="123" spans="1:114" x14ac:dyDescent="0.2">
      <c r="A123" s="175">
        <f>TblRezone[[#This Row],[Hour]]</f>
        <v>120</v>
      </c>
      <c r="B123" s="176">
        <f ca="1">SUM(TblConstr[[#This Row],[Plain]:[Water]])</f>
        <v>60</v>
      </c>
      <c r="C123" s="177">
        <f ca="1">SUM(TblConstr[[#This Row],[Tot Hom]:[Tot Doc]])</f>
        <v>50</v>
      </c>
      <c r="D123" s="177">
        <f t="shared" si="21"/>
        <v>0</v>
      </c>
      <c r="E123" s="178"/>
      <c r="F123" s="61">
        <f ca="1">TblConstr[[#This Row],[Barren]]+TblConstr[[#This Row],[Buildings]]+TblConstr[[#This Row],[Incoming]]</f>
        <v>110</v>
      </c>
      <c r="G123" s="187">
        <f ca="1">OFFSET(TblConstr[[#This Row],[Plain]],-1,0)+TblConstr[[#This Row],[Ch_Plain]]</f>
        <v>60</v>
      </c>
      <c r="H123" s="182">
        <f ca="1">OFFSET(TblConstr[[#This Row],[Forest]],-1,0)+TblConstr[[#This Row],[Ch_Forest]]</f>
        <v>0</v>
      </c>
      <c r="I123" s="359">
        <f ca="1">OFFSET(TblConstr[[#This Row],[Mountain]],-1,0)+TblConstr[[#This Row],[Ch_Mountain]]</f>
        <v>0</v>
      </c>
      <c r="J123" s="363">
        <f ca="1">OFFSET(TblConstr[[#This Row],[Hill]],-1,0)+TblConstr[[#This Row],[Ch_Hill]]</f>
        <v>0</v>
      </c>
      <c r="K123" s="367">
        <f ca="1">OFFSET(TblConstr[[#This Row],[Swamp]],-1,0)+TblConstr[[#This Row],[Ch_Swamp]]</f>
        <v>0</v>
      </c>
      <c r="L123" s="185">
        <f ca="1">OFFSET(TblConstr[[#This Row],[Cavern]],-1,0)+TblConstr[[#This Row],[Ch_Cavern]]</f>
        <v>0</v>
      </c>
      <c r="M123" s="186">
        <f ca="1">OFFSET(TblConstr[[#This Row],[Water]],-1,0)+TblConstr[[#This Row],[Ch_Water]]</f>
        <v>0</v>
      </c>
      <c r="N123" s="357">
        <f>TblRezone[[#This Row],[Hour]]</f>
        <v>120</v>
      </c>
      <c r="O123" s="179"/>
      <c r="P123" s="179"/>
      <c r="Q123" s="179"/>
      <c r="R123" s="179"/>
      <c r="S123" s="179"/>
      <c r="T123" s="179"/>
      <c r="U123" s="179"/>
      <c r="V123" s="179"/>
      <c r="W123" s="179"/>
      <c r="X123" s="179"/>
      <c r="Y123" s="179"/>
      <c r="Z123" s="179"/>
      <c r="AA123" s="179"/>
      <c r="AB123" s="179"/>
      <c r="AC123" s="179"/>
      <c r="AD123" s="179"/>
      <c r="AE123" s="179"/>
      <c r="AF123" s="179"/>
      <c r="AG123" s="179"/>
      <c r="AH123" s="53">
        <f ca="1">TblImps[[#This Row],[Time]]</f>
        <v>46051.958333333045</v>
      </c>
      <c r="AI123" s="180">
        <f ca="1">MIN(25%,(TblConstr[[#This Row],[Tot Fac]]+TblConstr[[#This Row],[Dest Fac]])/(TblConstr[[#This Row],[Land]]-TblExplore[[#This Row],[Land Bonus]]*20))</f>
        <v>0</v>
      </c>
      <c r="AJ123" s="180">
        <f ca="1">MIN(25%,(TblConstr[[#This Row],[Tot Fac]]+TblConstr[[#This Row],[Dest Fac]])/TblConstr[[#This Row],[Land]])</f>
        <v>0</v>
      </c>
      <c r="AK123" s="94">
        <f ca="1">TblProd[[#This Row],[Platinum]]</f>
        <v>218043</v>
      </c>
      <c r="AL123" s="94">
        <f ca="1">TblProd[[#This Row],[Lumber]]</f>
        <v>74294</v>
      </c>
      <c r="AM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3" s="94">
        <f ca="1">ROUNDDOWN( MAX(1 - MIN(facs_constr_factor*TblConstr[[#This Row],[Facs -DB]],facs_constr_max) + tech_1_11*TblTech[[#This Row],[11-1]] + tech_6_3_2*TblTech[[#This Row],[6-3]] + tech_5_2_3*TblTech[[#This Row],[5-2]], 1-global_constr_cap) * TblConstr[[#This Row],[RCPA Lumber]],0)</f>
        <v>48</v>
      </c>
      <c r="AO12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3" s="94">
        <f ca="1">ROUNDDOWN( MAX(1 - MIN(facs_constr_factor*TblConstr[[#This Row],[Facs DB]],facs_constr_max) + tech_1_11*TblTech[[#This Row],[1-11]] + tech_6_3_2*TblTech[[#This Row],[6-3]] + tech_5_2_3*TblTech[[#This Row],[5-2]], 1-global_constr_cap) * ROUND((TblConstr[[#This Row],[Land]]-250)*0.285 + 87.5 + 0/4.25,0),0)</f>
        <v>48</v>
      </c>
      <c r="AQ123" s="45">
        <f ca="1">TblConstr[[#This Row],[build -db]]*TblConstr[[#This Row],[CPA Platinum -DB]] + TblConstr[[#This Row],[build db]]*TblConstr[[#This Row],[CPA Platinum DB]]</f>
        <v>0</v>
      </c>
      <c r="AR123" s="45">
        <f ca="1">TblConstr[[#This Row],[build -db]]*TblConstr[[#This Row],[CPA Lumber -DB]] + TblConstr[[#This Row],[build db]]*TblConstr[[#This Row],[CPA Lumber DB]]</f>
        <v>0</v>
      </c>
      <c r="AS123" s="94">
        <f ca="1">MIN(SUM(OFFSET(TblConstr[[#This Row],[Plain]:[Water]],-1,0))+SUM(TblConstr[[#This Row],[Dest Hom]:[Dest Doc]])+IF(TblConstr[[#This Row],[Hour]]&gt;12,SUM(OFFSET(TblExplore[[#This Row],[Plains Explore]:[Water Explore]],-12,0)),0),SUM(TblConstr[[#This Row],[Hom]:[Doc]]))</f>
        <v>0</v>
      </c>
      <c r="AT12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3" s="142"/>
      <c r="AV123" s="94">
        <f ca="1">ROUND((TblConstr[[#This Row],[Land]]-250 - IF(TblExplore[[#This Row],[Land Bonus]]&lt;&gt;0,20,0))*1.25 + 850 + 0,0)</f>
        <v>675</v>
      </c>
      <c r="AW123" s="94">
        <f ca="1">ROUND((TblConstr[[#This Row],[Land]]-250 - IF(TblExplore[[#This Row],[Land Bonus]]&lt;&gt;0,20,0))*0.285 + 87.5 + 0/4.25,0)</f>
        <v>48</v>
      </c>
      <c r="AX123" s="154"/>
      <c r="AY123" s="188" cm="1">
        <f t="array" aca="1" ref="AY123" ca="1">IF(TblConstr[[#This Row],[Hour]:[Hour]]&gt;12,OFFSET(TblConstr[[#This Row],[Hom]],-12,0),0)+OFFSET(TblConstr[[#This Row],[Tot Hom]],-1,0)-TblConstr[[#This Row],[Dest Hom]]</f>
        <v>0</v>
      </c>
      <c r="AZ123" s="189" cm="1">
        <f t="array" aca="1" ref="AZ123" ca="1">IF(TblConstr[[#This Row],[Hour]:[Hour]]&gt;12,OFFSET(TblConstr[[#This Row],[Alc]],-12,0),0)+OFFSET(TblConstr[[#This Row],[Tot Alc]],-1,0)-TblConstr[[#This Row],[Dest Alc]]</f>
        <v>0</v>
      </c>
      <c r="BA123" s="189" cm="1">
        <f t="array" aca="1" ref="BA123" ca="1">IF(TblConstr[[#This Row],[Hour]:[Hour]]&gt;12,OFFSET(TblConstr[[#This Row],[Far]],-12,0),0)+OFFSET(TblConstr[[#This Row],[Tot Farm]],-1,0)-TblConstr[[#This Row],[Dest Farm]]</f>
        <v>30</v>
      </c>
      <c r="BB123" s="189" cm="1">
        <f t="array" aca="1" ref="BB123" ca="1">IF(TblConstr[[#This Row],[Hour]:[Hour]]&gt;12,OFFSET(TblConstr[[#This Row],[Smi]],-12,0),0)+OFFSET(TblConstr[[#This Row],[Tot Smi]],-1,0)-TblConstr[[#This Row],[Dest Smi]]</f>
        <v>0</v>
      </c>
      <c r="BC123" s="189" cm="1">
        <f t="array" aca="1" ref="BC123" ca="1">IF(TblConstr[[#This Row],[Hour]:[Hour]]&gt;12,OFFSET(TblConstr[[#This Row],[Mas]],-12,0),0)+OFFSET(TblConstr[[#This Row],[Tot Mas]],-1,0)-TblConstr[[#This Row],[Dest Mas]]</f>
        <v>0</v>
      </c>
      <c r="BD123" s="190" cm="1">
        <f t="array" aca="1" ref="BD123" ca="1">IF(TblConstr[[#This Row],[Hour]:[Hour]]&gt;12,OFFSET(TblConstr[[#This Row],[Ly]],-12,0),0)+OFFSET(TblConstr[[#This Row],[Tot Ly]],-1,0)-TblConstr[[#This Row],[Dest Ly]]</f>
        <v>20</v>
      </c>
      <c r="BE123" s="190" cm="1">
        <f t="array" aca="1" ref="BE123" ca="1">IF(TblConstr[[#This Row],[Hour]:[Hour]]&gt;12,OFFSET(TblConstr[[#This Row],[Hav]],-12,0),0)+OFFSET(TblConstr[[#This Row],[Tot Hav]],-1,0)-TblConstr[[#This Row],[Dest Hav]]</f>
        <v>0</v>
      </c>
      <c r="BF123" s="361" cm="1">
        <f t="array" aca="1" ref="BF123" ca="1">IF(TblConstr[[#This Row],[Hour]:[Hour]]&gt;12,OFFSET(TblConstr[[#This Row],[OM]],-12,0),0)+OFFSET(TblConstr[[#This Row],[Tot OM]],-1,0)-TblConstr[[#This Row],[Dest OM]]</f>
        <v>0</v>
      </c>
      <c r="BG123" s="361" cm="1">
        <f t="array" aca="1" ref="BG123" ca="1">IF(TblConstr[[#This Row],[Hour]:[Hour]]&gt;12,OFFSET(TblConstr[[#This Row],[GN]],-12,0),0)+OFFSET(TblConstr[[#This Row],[Tot GN]],-1,0)-TblConstr[[#This Row],[Dest GN]]</f>
        <v>0</v>
      </c>
      <c r="BH123" s="365" cm="1">
        <f t="array" aca="1" ref="BH123" ca="1">IF(TblConstr[[#This Row],[Hour]:[Hour]]&gt;12,OFFSET(TblConstr[[#This Row],[Fac]],-12,0),0)+OFFSET(TblConstr[[#This Row],[Tot Fac]],-1,0)-TblConstr[[#This Row],[Dest Fac]]</f>
        <v>0</v>
      </c>
      <c r="BI123" s="365" cm="1">
        <f t="array" aca="1" ref="BI123" ca="1">IF(TblConstr[[#This Row],[Hour]:[Hour]]&gt;12,OFFSET(TblConstr[[#This Row],[GT]],-12,0),0)+OFFSET(TblConstr[[#This Row],[Tot GT]],-1,0)-TblConstr[[#This Row],[Dest GT]]</f>
        <v>0</v>
      </c>
      <c r="BJ123" s="365" cm="1">
        <f t="array" aca="1" ref="BJ123" ca="1">IF(TblConstr[[#This Row],[Hour]:[Hour]]&gt;12,OFFSET(TblConstr[[#This Row],[Bar]],-12,0),0)+OFFSET(TblConstr[[#This Row],[Tot Bar]],-1,0)-TblConstr[[#This Row],[Dest Bar]]</f>
        <v>0</v>
      </c>
      <c r="BK123" s="365" cm="1">
        <f t="array" aca="1" ref="BK123" ca="1">IF(TblConstr[[#This Row],[Hour]:[Hour]]&gt;12,OFFSET(TblConstr[[#This Row],[Shr]],-12,0),0)+OFFSET(TblConstr[[#This Row],[Tot Shr]],-1,0)-TblConstr[[#This Row],[Dest Shr]]</f>
        <v>0</v>
      </c>
      <c r="BL123" s="369" cm="1">
        <f t="array" aca="1" ref="BL123" ca="1">IF(TblConstr[[#This Row],[Hour]:[Hour]]&gt;12,OFFSET(TblConstr[[#This Row],[Tow]],-12,0),0)+OFFSET(TblConstr[[#This Row],[Tot Tow]],-1,0)-TblConstr[[#This Row],[Dest Tow]]</f>
        <v>0</v>
      </c>
      <c r="BM123" s="369" cm="1">
        <f t="array" aca="1" ref="BM123" ca="1">IF(TblConstr[[#This Row],[Hour]:[Hour]]&gt;12,OFFSET(TblConstr[[#This Row],[Tem]],-12,0),0)+OFFSET(TblConstr[[#This Row],[Tot Tem]],-1,0)-TblConstr[[#This Row],[Dest Tem]]</f>
        <v>0</v>
      </c>
      <c r="BN123" s="369" cm="1">
        <f t="array" aca="1" ref="BN123" ca="1">IF(TblConstr[[#This Row],[Hour]:[Hour]]&gt;12,OFFSET(TblConstr[[#This Row],[WG]],-12,0),0)+OFFSET(TblConstr[[#This Row],[Tot WG]],-1,0)-TblConstr[[#This Row],[Dest WG]]</f>
        <v>0</v>
      </c>
      <c r="BO123" s="191" cm="1">
        <f t="array" aca="1" ref="BO123" ca="1">IF(TblConstr[[#This Row],[Hour]:[Hour]]&gt;12,OFFSET(TblConstr[[#This Row],[DM]],-12,0),0)+OFFSET(TblConstr[[#This Row],[Tot DM]],-1,0)-TblConstr[[#This Row],[Dest DM]]</f>
        <v>0</v>
      </c>
      <c r="BP123" s="191" cm="1">
        <f t="array" aca="1" ref="BP123" ca="1">IF(TblConstr[[#This Row],[Hour]:[Hour]]&gt;12,OFFSET(TblConstr[[#This Row],[Sch]],-12,0),0)+OFFSET(TblConstr[[#This Row],[Tot Sch]],-1,0)-TblConstr[[#This Row],[Dest Sch]]</f>
        <v>0</v>
      </c>
      <c r="BQ123" s="192" cm="1">
        <f t="array" aca="1" ref="BQ123" ca="1">IF(TblConstr[[#This Row],[Hour]:[Hour]]&gt;12,OFFSET(TblConstr[[#This Row],[Doc]],-12,0),0)+OFFSET(TblConstr[[#This Row],[Tot Doc]],-1,0)-TblConstr[[#This Row],[Dest Doc]]</f>
        <v>0</v>
      </c>
      <c r="BR123" s="142"/>
      <c r="BS123" s="154"/>
      <c r="BT123" s="94">
        <f ca="1">TblConstr[[#This Row],[Land]]</f>
        <v>110</v>
      </c>
      <c r="BU123" s="159">
        <f ca="1">TblImps[[#This Row],[Time]]</f>
        <v>46051.958333333045</v>
      </c>
      <c r="BV123" s="142"/>
      <c r="BW123" s="179"/>
      <c r="BX123" s="179"/>
      <c r="BY123" s="179"/>
      <c r="BZ123" s="179"/>
      <c r="CA123" s="179"/>
      <c r="CB123" s="179"/>
      <c r="CC123" s="179"/>
      <c r="CD123" s="179"/>
      <c r="CE123" s="179"/>
      <c r="CF123" s="179"/>
      <c r="CG123" s="179"/>
      <c r="CH123" s="179"/>
      <c r="CI123" s="179"/>
      <c r="CJ123" s="179"/>
      <c r="CK123" s="179"/>
      <c r="CL123" s="179"/>
      <c r="CM123" s="179"/>
      <c r="CN123" s="179"/>
      <c r="CO123" s="179"/>
      <c r="CP123" s="142"/>
      <c r="CQ123" s="181">
        <f ca="1">-SUM(TblConstr[[#This Row],[Alc]:[Mas]])+SUM(TblConstr[[#This Row],[Dest Alc]:[Dest Mas]])+Rezone!L123+IF("Ch_"&amp; home_land=TblConstr[[#Headers],[Ch_Plain]],TblConstr[[#This Row],[Home Land]])+IF(TblConstr[[#This Row],[Hour]:[Hour]]&gt;12,OFFSET(TblExplore[[#This Row],[Plains Explore]],-12,0),0)</f>
        <v>0</v>
      </c>
      <c r="CR123" s="182">
        <f ca="1">-SUM(TblConstr[[#This Row],[Ly]:[Hav]])+SUM(TblConstr[[#This Row],[Dest Ly]:[Dest Hav]]) +Rezone!M123 + IF("Ch_"&amp; home_land=TblConstr[[#Headers],[Ch_Forest]],TblConstr[[#This Row],[Home Land]])+IF(TblConstr[[#This Row],[Hour]:[Hour]]&gt;12,OFFSET(TblExplore[[#This Row],[Forest Explore]],-12,0),0)</f>
        <v>0</v>
      </c>
      <c r="CS123" s="359">
        <f ca="1">-SUM(TblConstr[[#This Row],[OM]:[GN]])+SUM(TblConstr[[#This Row],[Dest OM]:[Dest GN]]) +Rezone!N123 + IF("Ch_"&amp; home_land=TblConstr[[#Headers],[Ch_Mountain]],TblConstr[[#This Row],[Home Land]])+IF(TblConstr[[#This Row],[Hour]:[Hour]]&gt;12,OFFSET(TblExplore[[#This Row],[Mountain Explore]],-12,0),0)</f>
        <v>0</v>
      </c>
      <c r="CT123" s="183">
        <f ca="1">-SUM(TblConstr[[#This Row],[Fac]:[Shr]])+SUM(TblConstr[[#This Row],[Dest Fac]:[Dest Shr]]) +Rezone!O123 + IF("Ch_" &amp; home_land=TblConstr[[#Headers],[Ch_Hill]],TblConstr[[#This Row],[Home Land]])+IF(TblConstr[[#This Row],[Hour]:[Hour]]&gt;12,OFFSET(TblExplore[[#This Row],[Hill Explore]],-12,0),0)</f>
        <v>0</v>
      </c>
      <c r="CU123" s="184">
        <f ca="1">-SUM(TblConstr[[#This Row],[Tow]:[WG]])+SUM(TblConstr[[#This Row],[Dest Tow]:[Dest WG]]) +Rezone!P123 + IF("Ch_" &amp; home_land=TblConstr[[#Headers],[Ch_Swamp]],TblConstr[[#This Row],[Home Land]])+IF(TblConstr[[#This Row],[Hour]:[Hour]]&gt;12,OFFSET(TblExplore[[#This Row],[Swamp Explore]],-12,0),0)</f>
        <v>0</v>
      </c>
      <c r="CV123" s="185">
        <f ca="1" xml:space="preserve"> - SUM(TblConstr[[#This Row],[DM]:[Sch]])+SUM(TblConstr[[#This Row],[Dest DM]:[Dest Sch]]) +Rezone!Q123 + IF("Ch_" &amp; home_land=TblConstr[[#Headers],[Ch_Cavern]],TblConstr[[#This Row],[Home Land]])+IF(TblConstr[[#This Row],[Hour]:[Hour]]&gt;12,OFFSET(TblExplore[[#This Row],[Cavern Explore]],-12,0),0)</f>
        <v>0</v>
      </c>
      <c r="CW123" s="186">
        <f ca="1">-TblConstr[[#This Row],[Doc]]+TblConstr[[#This Row],[Dest Doc]] +Rezone!R123 + IF("Ch_" &amp; home_land=TblConstr[[#Headers],[Ch_Water]],TblConstr[[#This Row],[Home Land]])+IF(TblConstr[[#This Row],[Hour]:[Hour]]&gt;12,OFFSET(TblExplore[[#This Row],[Water Explore]],-12,0),0)</f>
        <v>0</v>
      </c>
      <c r="CX123" s="45">
        <f>IF(Explore!S123=1,20) - TblConstr[[#This Row],[Hom]] + TblConstr[[#This Row],[Dest Hom]]</f>
        <v>0</v>
      </c>
      <c r="CY123" s="142"/>
      <c r="CZ123" s="94">
        <f t="shared" ca="1" si="30"/>
        <v>90</v>
      </c>
      <c r="DA123" s="94">
        <f t="shared" ca="1" si="31"/>
        <v>20</v>
      </c>
      <c r="DB123" s="45">
        <f t="shared" ca="1" si="32"/>
        <v>0</v>
      </c>
      <c r="DC123" s="94">
        <f t="shared" ca="1" si="33"/>
        <v>0</v>
      </c>
      <c r="DD123" s="94">
        <f t="shared" ca="1" si="34"/>
        <v>0</v>
      </c>
      <c r="DE123" s="45">
        <f t="shared" ca="1" si="35"/>
        <v>0</v>
      </c>
      <c r="DF123" s="94">
        <f t="shared" ca="1" si="36"/>
        <v>0</v>
      </c>
      <c r="DG123" s="94" cm="1">
        <f t="array" aca="1" ref="DG123" ca="1">INDEX(TblConstr[[Total Plain]:[Total Water]],ROW()-ROW(TblConstr[#Headers]),MATCH("Total "&amp;home_land,TblConstr[[#Headers],[Total Plain]:[Total Water]],0))+TblConstr[[#This Row],[Homes]]</f>
        <v>90</v>
      </c>
      <c r="DH123" s="45">
        <f t="shared" ca="1" si="22"/>
        <v>0</v>
      </c>
      <c r="DI123" s="45">
        <f t="shared" ca="1" si="19"/>
        <v>0</v>
      </c>
      <c r="DJ123" s="45">
        <f t="shared" ca="1" si="20"/>
        <v>0</v>
      </c>
    </row>
    <row r="124" spans="1:114" x14ac:dyDescent="0.2">
      <c r="A124" s="175">
        <f>TblRezone[[#This Row],[Hour]]</f>
        <v>121</v>
      </c>
      <c r="B124" s="176">
        <f ca="1">SUM(TblConstr[[#This Row],[Plain]:[Water]])</f>
        <v>60</v>
      </c>
      <c r="C124" s="177">
        <f ca="1">SUM(TblConstr[[#This Row],[Tot Hom]:[Tot Doc]])</f>
        <v>50</v>
      </c>
      <c r="D124" s="177">
        <f t="shared" si="21"/>
        <v>0</v>
      </c>
      <c r="E124" s="178"/>
      <c r="F124" s="61">
        <f ca="1">TblConstr[[#This Row],[Barren]]+TblConstr[[#This Row],[Buildings]]+TblConstr[[#This Row],[Incoming]]</f>
        <v>110</v>
      </c>
      <c r="G124" s="187">
        <f ca="1">OFFSET(TblConstr[[#This Row],[Plain]],-1,0)+TblConstr[[#This Row],[Ch_Plain]]</f>
        <v>60</v>
      </c>
      <c r="H124" s="182">
        <f ca="1">OFFSET(TblConstr[[#This Row],[Forest]],-1,0)+TblConstr[[#This Row],[Ch_Forest]]</f>
        <v>0</v>
      </c>
      <c r="I124" s="359">
        <f ca="1">OFFSET(TblConstr[[#This Row],[Mountain]],-1,0)+TblConstr[[#This Row],[Ch_Mountain]]</f>
        <v>0</v>
      </c>
      <c r="J124" s="363">
        <f ca="1">OFFSET(TblConstr[[#This Row],[Hill]],-1,0)+TblConstr[[#This Row],[Ch_Hill]]</f>
        <v>0</v>
      </c>
      <c r="K124" s="367">
        <f ca="1">OFFSET(TblConstr[[#This Row],[Swamp]],-1,0)+TblConstr[[#This Row],[Ch_Swamp]]</f>
        <v>0</v>
      </c>
      <c r="L124" s="185">
        <f ca="1">OFFSET(TblConstr[[#This Row],[Cavern]],-1,0)+TblConstr[[#This Row],[Ch_Cavern]]</f>
        <v>0</v>
      </c>
      <c r="M124" s="186">
        <f ca="1">OFFSET(TblConstr[[#This Row],[Water]],-1,0)+TblConstr[[#This Row],[Ch_Water]]</f>
        <v>0</v>
      </c>
      <c r="N124" s="357">
        <f>TblRezone[[#This Row],[Hour]]</f>
        <v>121</v>
      </c>
      <c r="O124" s="179"/>
      <c r="P124" s="179"/>
      <c r="Q124" s="179"/>
      <c r="R124" s="179"/>
      <c r="S124" s="179"/>
      <c r="T124" s="179"/>
      <c r="U124" s="179"/>
      <c r="V124" s="179"/>
      <c r="W124" s="179"/>
      <c r="X124" s="179"/>
      <c r="Y124" s="179"/>
      <c r="Z124" s="179"/>
      <c r="AA124" s="179"/>
      <c r="AB124" s="179"/>
      <c r="AC124" s="179"/>
      <c r="AD124" s="179"/>
      <c r="AE124" s="179"/>
      <c r="AF124" s="179"/>
      <c r="AG124" s="179"/>
      <c r="AH124" s="53">
        <f ca="1">TblImps[[#This Row],[Time]]</f>
        <v>46051.999999999709</v>
      </c>
      <c r="AI124" s="180">
        <f ca="1">MIN(25%,(TblConstr[[#This Row],[Tot Fac]]+TblConstr[[#This Row],[Dest Fac]])/(TblConstr[[#This Row],[Land]]-TblExplore[[#This Row],[Land Bonus]]*20))</f>
        <v>0</v>
      </c>
      <c r="AJ124" s="180">
        <f ca="1">MIN(25%,(TblConstr[[#This Row],[Tot Fac]]+TblConstr[[#This Row],[Dest Fac]])/TblConstr[[#This Row],[Land]])</f>
        <v>0</v>
      </c>
      <c r="AK124" s="94">
        <f ca="1">TblProd[[#This Row],[Platinum]]</f>
        <v>218866</v>
      </c>
      <c r="AL124" s="94">
        <f ca="1">TblProd[[#This Row],[Lumber]]</f>
        <v>74551</v>
      </c>
      <c r="AM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4" s="94">
        <f ca="1">ROUNDDOWN( MAX(1 - MIN(facs_constr_factor*TblConstr[[#This Row],[Facs -DB]],facs_constr_max) + tech_1_11*TblTech[[#This Row],[11-1]] + tech_6_3_2*TblTech[[#This Row],[6-3]] + tech_5_2_3*TblTech[[#This Row],[5-2]], 1-global_constr_cap) * TblConstr[[#This Row],[RCPA Lumber]],0)</f>
        <v>48</v>
      </c>
      <c r="AO12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4" s="94">
        <f ca="1">ROUNDDOWN( MAX(1 - MIN(facs_constr_factor*TblConstr[[#This Row],[Facs DB]],facs_constr_max) + tech_1_11*TblTech[[#This Row],[1-11]] + tech_6_3_2*TblTech[[#This Row],[6-3]] + tech_5_2_3*TblTech[[#This Row],[5-2]], 1-global_constr_cap) * ROUND((TblConstr[[#This Row],[Land]]-250)*0.285 + 87.5 + 0/4.25,0),0)</f>
        <v>48</v>
      </c>
      <c r="AQ124" s="45">
        <f ca="1">TblConstr[[#This Row],[build -db]]*TblConstr[[#This Row],[CPA Platinum -DB]] + TblConstr[[#This Row],[build db]]*TblConstr[[#This Row],[CPA Platinum DB]]</f>
        <v>0</v>
      </c>
      <c r="AR124" s="45">
        <f ca="1">TblConstr[[#This Row],[build -db]]*TblConstr[[#This Row],[CPA Lumber -DB]] + TblConstr[[#This Row],[build db]]*TblConstr[[#This Row],[CPA Lumber DB]]</f>
        <v>0</v>
      </c>
      <c r="AS124" s="94">
        <f ca="1">MIN(SUM(OFFSET(TblConstr[[#This Row],[Plain]:[Water]],-1,0))+SUM(TblConstr[[#This Row],[Dest Hom]:[Dest Doc]])+IF(TblConstr[[#This Row],[Hour]]&gt;12,SUM(OFFSET(TblExplore[[#This Row],[Plains Explore]:[Water Explore]],-12,0)),0),SUM(TblConstr[[#This Row],[Hom]:[Doc]]))</f>
        <v>0</v>
      </c>
      <c r="AT12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4" s="142"/>
      <c r="AV124" s="94">
        <f ca="1">ROUND((TblConstr[[#This Row],[Land]]-250 - IF(TblExplore[[#This Row],[Land Bonus]]&lt;&gt;0,20,0))*1.25 + 850 + 0,0)</f>
        <v>675</v>
      </c>
      <c r="AW124" s="94">
        <f ca="1">ROUND((TblConstr[[#This Row],[Land]]-250 - IF(TblExplore[[#This Row],[Land Bonus]]&lt;&gt;0,20,0))*0.285 + 87.5 + 0/4.25,0)</f>
        <v>48</v>
      </c>
      <c r="AX124" s="154"/>
      <c r="AY124" s="188" cm="1">
        <f t="array" aca="1" ref="AY124" ca="1">IF(TblConstr[[#This Row],[Hour]:[Hour]]&gt;12,OFFSET(TblConstr[[#This Row],[Hom]],-12,0),0)+OFFSET(TblConstr[[#This Row],[Tot Hom]],-1,0)-TblConstr[[#This Row],[Dest Hom]]</f>
        <v>0</v>
      </c>
      <c r="AZ124" s="189" cm="1">
        <f t="array" aca="1" ref="AZ124" ca="1">IF(TblConstr[[#This Row],[Hour]:[Hour]]&gt;12,OFFSET(TblConstr[[#This Row],[Alc]],-12,0),0)+OFFSET(TblConstr[[#This Row],[Tot Alc]],-1,0)-TblConstr[[#This Row],[Dest Alc]]</f>
        <v>0</v>
      </c>
      <c r="BA124" s="189" cm="1">
        <f t="array" aca="1" ref="BA124" ca="1">IF(TblConstr[[#This Row],[Hour]:[Hour]]&gt;12,OFFSET(TblConstr[[#This Row],[Far]],-12,0),0)+OFFSET(TblConstr[[#This Row],[Tot Farm]],-1,0)-TblConstr[[#This Row],[Dest Farm]]</f>
        <v>30</v>
      </c>
      <c r="BB124" s="189" cm="1">
        <f t="array" aca="1" ref="BB124" ca="1">IF(TblConstr[[#This Row],[Hour]:[Hour]]&gt;12,OFFSET(TblConstr[[#This Row],[Smi]],-12,0),0)+OFFSET(TblConstr[[#This Row],[Tot Smi]],-1,0)-TblConstr[[#This Row],[Dest Smi]]</f>
        <v>0</v>
      </c>
      <c r="BC124" s="189" cm="1">
        <f t="array" aca="1" ref="BC124" ca="1">IF(TblConstr[[#This Row],[Hour]:[Hour]]&gt;12,OFFSET(TblConstr[[#This Row],[Mas]],-12,0),0)+OFFSET(TblConstr[[#This Row],[Tot Mas]],-1,0)-TblConstr[[#This Row],[Dest Mas]]</f>
        <v>0</v>
      </c>
      <c r="BD124" s="190" cm="1">
        <f t="array" aca="1" ref="BD124" ca="1">IF(TblConstr[[#This Row],[Hour]:[Hour]]&gt;12,OFFSET(TblConstr[[#This Row],[Ly]],-12,0),0)+OFFSET(TblConstr[[#This Row],[Tot Ly]],-1,0)-TblConstr[[#This Row],[Dest Ly]]</f>
        <v>20</v>
      </c>
      <c r="BE124" s="190" cm="1">
        <f t="array" aca="1" ref="BE124" ca="1">IF(TblConstr[[#This Row],[Hour]:[Hour]]&gt;12,OFFSET(TblConstr[[#This Row],[Hav]],-12,0),0)+OFFSET(TblConstr[[#This Row],[Tot Hav]],-1,0)-TblConstr[[#This Row],[Dest Hav]]</f>
        <v>0</v>
      </c>
      <c r="BF124" s="361" cm="1">
        <f t="array" aca="1" ref="BF124" ca="1">IF(TblConstr[[#This Row],[Hour]:[Hour]]&gt;12,OFFSET(TblConstr[[#This Row],[OM]],-12,0),0)+OFFSET(TblConstr[[#This Row],[Tot OM]],-1,0)-TblConstr[[#This Row],[Dest OM]]</f>
        <v>0</v>
      </c>
      <c r="BG124" s="361" cm="1">
        <f t="array" aca="1" ref="BG124" ca="1">IF(TblConstr[[#This Row],[Hour]:[Hour]]&gt;12,OFFSET(TblConstr[[#This Row],[GN]],-12,0),0)+OFFSET(TblConstr[[#This Row],[Tot GN]],-1,0)-TblConstr[[#This Row],[Dest GN]]</f>
        <v>0</v>
      </c>
      <c r="BH124" s="365" cm="1">
        <f t="array" aca="1" ref="BH124" ca="1">IF(TblConstr[[#This Row],[Hour]:[Hour]]&gt;12,OFFSET(TblConstr[[#This Row],[Fac]],-12,0),0)+OFFSET(TblConstr[[#This Row],[Tot Fac]],-1,0)-TblConstr[[#This Row],[Dest Fac]]</f>
        <v>0</v>
      </c>
      <c r="BI124" s="365" cm="1">
        <f t="array" aca="1" ref="BI124" ca="1">IF(TblConstr[[#This Row],[Hour]:[Hour]]&gt;12,OFFSET(TblConstr[[#This Row],[GT]],-12,0),0)+OFFSET(TblConstr[[#This Row],[Tot GT]],-1,0)-TblConstr[[#This Row],[Dest GT]]</f>
        <v>0</v>
      </c>
      <c r="BJ124" s="365" cm="1">
        <f t="array" aca="1" ref="BJ124" ca="1">IF(TblConstr[[#This Row],[Hour]:[Hour]]&gt;12,OFFSET(TblConstr[[#This Row],[Bar]],-12,0),0)+OFFSET(TblConstr[[#This Row],[Tot Bar]],-1,0)-TblConstr[[#This Row],[Dest Bar]]</f>
        <v>0</v>
      </c>
      <c r="BK124" s="365" cm="1">
        <f t="array" aca="1" ref="BK124" ca="1">IF(TblConstr[[#This Row],[Hour]:[Hour]]&gt;12,OFFSET(TblConstr[[#This Row],[Shr]],-12,0),0)+OFFSET(TblConstr[[#This Row],[Tot Shr]],-1,0)-TblConstr[[#This Row],[Dest Shr]]</f>
        <v>0</v>
      </c>
      <c r="BL124" s="369" cm="1">
        <f t="array" aca="1" ref="BL124" ca="1">IF(TblConstr[[#This Row],[Hour]:[Hour]]&gt;12,OFFSET(TblConstr[[#This Row],[Tow]],-12,0),0)+OFFSET(TblConstr[[#This Row],[Tot Tow]],-1,0)-TblConstr[[#This Row],[Dest Tow]]</f>
        <v>0</v>
      </c>
      <c r="BM124" s="369" cm="1">
        <f t="array" aca="1" ref="BM124" ca="1">IF(TblConstr[[#This Row],[Hour]:[Hour]]&gt;12,OFFSET(TblConstr[[#This Row],[Tem]],-12,0),0)+OFFSET(TblConstr[[#This Row],[Tot Tem]],-1,0)-TblConstr[[#This Row],[Dest Tem]]</f>
        <v>0</v>
      </c>
      <c r="BN124" s="369" cm="1">
        <f t="array" aca="1" ref="BN124" ca="1">IF(TblConstr[[#This Row],[Hour]:[Hour]]&gt;12,OFFSET(TblConstr[[#This Row],[WG]],-12,0),0)+OFFSET(TblConstr[[#This Row],[Tot WG]],-1,0)-TblConstr[[#This Row],[Dest WG]]</f>
        <v>0</v>
      </c>
      <c r="BO124" s="191" cm="1">
        <f t="array" aca="1" ref="BO124" ca="1">IF(TblConstr[[#This Row],[Hour]:[Hour]]&gt;12,OFFSET(TblConstr[[#This Row],[DM]],-12,0),0)+OFFSET(TblConstr[[#This Row],[Tot DM]],-1,0)-TblConstr[[#This Row],[Dest DM]]</f>
        <v>0</v>
      </c>
      <c r="BP124" s="191" cm="1">
        <f t="array" aca="1" ref="BP124" ca="1">IF(TblConstr[[#This Row],[Hour]:[Hour]]&gt;12,OFFSET(TblConstr[[#This Row],[Sch]],-12,0),0)+OFFSET(TblConstr[[#This Row],[Tot Sch]],-1,0)-TblConstr[[#This Row],[Dest Sch]]</f>
        <v>0</v>
      </c>
      <c r="BQ124" s="192" cm="1">
        <f t="array" aca="1" ref="BQ124" ca="1">IF(TblConstr[[#This Row],[Hour]:[Hour]]&gt;12,OFFSET(TblConstr[[#This Row],[Doc]],-12,0),0)+OFFSET(TblConstr[[#This Row],[Tot Doc]],-1,0)-TblConstr[[#This Row],[Dest Doc]]</f>
        <v>0</v>
      </c>
      <c r="BR124" s="142"/>
      <c r="BS124" s="154"/>
      <c r="BT124" s="94">
        <f ca="1">TblConstr[[#This Row],[Land]]</f>
        <v>110</v>
      </c>
      <c r="BU124" s="159">
        <f ca="1">TblImps[[#This Row],[Time]]</f>
        <v>46051.999999999709</v>
      </c>
      <c r="BV124" s="142"/>
      <c r="BW124" s="179"/>
      <c r="BX124" s="179"/>
      <c r="BY124" s="179"/>
      <c r="BZ124" s="179"/>
      <c r="CA124" s="179"/>
      <c r="CB124" s="179"/>
      <c r="CC124" s="179"/>
      <c r="CD124" s="179"/>
      <c r="CE124" s="179"/>
      <c r="CF124" s="179"/>
      <c r="CG124" s="179"/>
      <c r="CH124" s="179"/>
      <c r="CI124" s="179"/>
      <c r="CJ124" s="179"/>
      <c r="CK124" s="179"/>
      <c r="CL124" s="179"/>
      <c r="CM124" s="179"/>
      <c r="CN124" s="179"/>
      <c r="CO124" s="179"/>
      <c r="CP124" s="142"/>
      <c r="CQ124" s="181">
        <f ca="1">-SUM(TblConstr[[#This Row],[Alc]:[Mas]])+SUM(TblConstr[[#This Row],[Dest Alc]:[Dest Mas]])+Rezone!L124+IF("Ch_"&amp; home_land=TblConstr[[#Headers],[Ch_Plain]],TblConstr[[#This Row],[Home Land]])+IF(TblConstr[[#This Row],[Hour]:[Hour]]&gt;12,OFFSET(TblExplore[[#This Row],[Plains Explore]],-12,0),0)</f>
        <v>0</v>
      </c>
      <c r="CR124" s="182">
        <f ca="1">-SUM(TblConstr[[#This Row],[Ly]:[Hav]])+SUM(TblConstr[[#This Row],[Dest Ly]:[Dest Hav]]) +Rezone!M124 + IF("Ch_"&amp; home_land=TblConstr[[#Headers],[Ch_Forest]],TblConstr[[#This Row],[Home Land]])+IF(TblConstr[[#This Row],[Hour]:[Hour]]&gt;12,OFFSET(TblExplore[[#This Row],[Forest Explore]],-12,0),0)</f>
        <v>0</v>
      </c>
      <c r="CS124" s="359">
        <f ca="1">-SUM(TblConstr[[#This Row],[OM]:[GN]])+SUM(TblConstr[[#This Row],[Dest OM]:[Dest GN]]) +Rezone!N124 + IF("Ch_"&amp; home_land=TblConstr[[#Headers],[Ch_Mountain]],TblConstr[[#This Row],[Home Land]])+IF(TblConstr[[#This Row],[Hour]:[Hour]]&gt;12,OFFSET(TblExplore[[#This Row],[Mountain Explore]],-12,0),0)</f>
        <v>0</v>
      </c>
      <c r="CT124" s="183">
        <f ca="1">-SUM(TblConstr[[#This Row],[Fac]:[Shr]])+SUM(TblConstr[[#This Row],[Dest Fac]:[Dest Shr]]) +Rezone!O124 + IF("Ch_" &amp; home_land=TblConstr[[#Headers],[Ch_Hill]],TblConstr[[#This Row],[Home Land]])+IF(TblConstr[[#This Row],[Hour]:[Hour]]&gt;12,OFFSET(TblExplore[[#This Row],[Hill Explore]],-12,0),0)</f>
        <v>0</v>
      </c>
      <c r="CU124" s="184">
        <f ca="1">-SUM(TblConstr[[#This Row],[Tow]:[WG]])+SUM(TblConstr[[#This Row],[Dest Tow]:[Dest WG]]) +Rezone!P124 + IF("Ch_" &amp; home_land=TblConstr[[#Headers],[Ch_Swamp]],TblConstr[[#This Row],[Home Land]])+IF(TblConstr[[#This Row],[Hour]:[Hour]]&gt;12,OFFSET(TblExplore[[#This Row],[Swamp Explore]],-12,0),0)</f>
        <v>0</v>
      </c>
      <c r="CV124" s="185">
        <f ca="1" xml:space="preserve"> - SUM(TblConstr[[#This Row],[DM]:[Sch]])+SUM(TblConstr[[#This Row],[Dest DM]:[Dest Sch]]) +Rezone!Q124 + IF("Ch_" &amp; home_land=TblConstr[[#Headers],[Ch_Cavern]],TblConstr[[#This Row],[Home Land]])+IF(TblConstr[[#This Row],[Hour]:[Hour]]&gt;12,OFFSET(TblExplore[[#This Row],[Cavern Explore]],-12,0),0)</f>
        <v>0</v>
      </c>
      <c r="CW124" s="186">
        <f ca="1">-TblConstr[[#This Row],[Doc]]+TblConstr[[#This Row],[Dest Doc]] +Rezone!R124 + IF("Ch_" &amp; home_land=TblConstr[[#Headers],[Ch_Water]],TblConstr[[#This Row],[Home Land]])+IF(TblConstr[[#This Row],[Hour]:[Hour]]&gt;12,OFFSET(TblExplore[[#This Row],[Water Explore]],-12,0),0)</f>
        <v>0</v>
      </c>
      <c r="CX124" s="45">
        <f>IF(Explore!S124=1,20) - TblConstr[[#This Row],[Hom]] + TblConstr[[#This Row],[Dest Hom]]</f>
        <v>0</v>
      </c>
      <c r="CY124" s="142"/>
      <c r="CZ124" s="94">
        <f t="shared" ca="1" si="30"/>
        <v>90</v>
      </c>
      <c r="DA124" s="94">
        <f t="shared" ca="1" si="31"/>
        <v>20</v>
      </c>
      <c r="DB124" s="45">
        <f t="shared" ca="1" si="32"/>
        <v>0</v>
      </c>
      <c r="DC124" s="94">
        <f t="shared" ca="1" si="33"/>
        <v>0</v>
      </c>
      <c r="DD124" s="94">
        <f t="shared" ca="1" si="34"/>
        <v>0</v>
      </c>
      <c r="DE124" s="45">
        <f t="shared" ca="1" si="35"/>
        <v>0</v>
      </c>
      <c r="DF124" s="94">
        <f t="shared" ca="1" si="36"/>
        <v>0</v>
      </c>
      <c r="DG124" s="94" cm="1">
        <f t="array" aca="1" ref="DG124" ca="1">INDEX(TblConstr[[Total Plain]:[Total Water]],ROW()-ROW(TblConstr[#Headers]),MATCH("Total "&amp;home_land,TblConstr[[#Headers],[Total Plain]:[Total Water]],0))+TblConstr[[#This Row],[Homes]]</f>
        <v>90</v>
      </c>
      <c r="DH124" s="45">
        <f t="shared" ca="1" si="22"/>
        <v>0</v>
      </c>
      <c r="DI124" s="45">
        <f t="shared" ca="1" si="19"/>
        <v>0</v>
      </c>
      <c r="DJ124" s="45">
        <f t="shared" ca="1" si="20"/>
        <v>0</v>
      </c>
    </row>
    <row r="125" spans="1:114" x14ac:dyDescent="0.2">
      <c r="A125" s="175">
        <f>TblRezone[[#This Row],[Hour]]</f>
        <v>122</v>
      </c>
      <c r="B125" s="176">
        <f ca="1">SUM(TblConstr[[#This Row],[Plain]:[Water]])</f>
        <v>60</v>
      </c>
      <c r="C125" s="177">
        <f ca="1">SUM(TblConstr[[#This Row],[Tot Hom]:[Tot Doc]])</f>
        <v>50</v>
      </c>
      <c r="D125" s="177">
        <f t="shared" si="21"/>
        <v>0</v>
      </c>
      <c r="E125" s="178"/>
      <c r="F125" s="61">
        <f ca="1">TblConstr[[#This Row],[Barren]]+TblConstr[[#This Row],[Buildings]]+TblConstr[[#This Row],[Incoming]]</f>
        <v>110</v>
      </c>
      <c r="G125" s="187">
        <f ca="1">OFFSET(TblConstr[[#This Row],[Plain]],-1,0)+TblConstr[[#This Row],[Ch_Plain]]</f>
        <v>60</v>
      </c>
      <c r="H125" s="182">
        <f ca="1">OFFSET(TblConstr[[#This Row],[Forest]],-1,0)+TblConstr[[#This Row],[Ch_Forest]]</f>
        <v>0</v>
      </c>
      <c r="I125" s="359">
        <f ca="1">OFFSET(TblConstr[[#This Row],[Mountain]],-1,0)+TblConstr[[#This Row],[Ch_Mountain]]</f>
        <v>0</v>
      </c>
      <c r="J125" s="363">
        <f ca="1">OFFSET(TblConstr[[#This Row],[Hill]],-1,0)+TblConstr[[#This Row],[Ch_Hill]]</f>
        <v>0</v>
      </c>
      <c r="K125" s="367">
        <f ca="1">OFFSET(TblConstr[[#This Row],[Swamp]],-1,0)+TblConstr[[#This Row],[Ch_Swamp]]</f>
        <v>0</v>
      </c>
      <c r="L125" s="185">
        <f ca="1">OFFSET(TblConstr[[#This Row],[Cavern]],-1,0)+TblConstr[[#This Row],[Ch_Cavern]]</f>
        <v>0</v>
      </c>
      <c r="M125" s="186">
        <f ca="1">OFFSET(TblConstr[[#This Row],[Water]],-1,0)+TblConstr[[#This Row],[Ch_Water]]</f>
        <v>0</v>
      </c>
      <c r="N125" s="357">
        <f>TblRezone[[#This Row],[Hour]]</f>
        <v>122</v>
      </c>
      <c r="O125" s="179"/>
      <c r="P125" s="179"/>
      <c r="Q125" s="179"/>
      <c r="R125" s="179"/>
      <c r="S125" s="179"/>
      <c r="T125" s="179"/>
      <c r="U125" s="179"/>
      <c r="V125" s="179"/>
      <c r="W125" s="179"/>
      <c r="X125" s="179"/>
      <c r="Y125" s="179"/>
      <c r="Z125" s="179"/>
      <c r="AA125" s="179"/>
      <c r="AB125" s="179"/>
      <c r="AC125" s="179"/>
      <c r="AD125" s="179"/>
      <c r="AE125" s="179"/>
      <c r="AF125" s="179"/>
      <c r="AG125" s="179"/>
      <c r="AH125" s="53">
        <f ca="1">TblImps[[#This Row],[Time]]</f>
        <v>46052.041666666373</v>
      </c>
      <c r="AI125" s="180">
        <f ca="1">MIN(25%,(TblConstr[[#This Row],[Tot Fac]]+TblConstr[[#This Row],[Dest Fac]])/(TblConstr[[#This Row],[Land]]-TblExplore[[#This Row],[Land Bonus]]*20))</f>
        <v>0</v>
      </c>
      <c r="AJ125" s="180">
        <f ca="1">MIN(25%,(TblConstr[[#This Row],[Tot Fac]]+TblConstr[[#This Row],[Dest Fac]])/TblConstr[[#This Row],[Land]])</f>
        <v>0</v>
      </c>
      <c r="AK125" s="94">
        <f ca="1">TblProd[[#This Row],[Platinum]]</f>
        <v>219681</v>
      </c>
      <c r="AL125" s="94">
        <f ca="1">TblProd[[#This Row],[Lumber]]</f>
        <v>74805</v>
      </c>
      <c r="AM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5" s="94">
        <f ca="1">ROUNDDOWN( MAX(1 - MIN(facs_constr_factor*TblConstr[[#This Row],[Facs -DB]],facs_constr_max) + tech_1_11*TblTech[[#This Row],[11-1]] + tech_6_3_2*TblTech[[#This Row],[6-3]] + tech_5_2_3*TblTech[[#This Row],[5-2]], 1-global_constr_cap) * TblConstr[[#This Row],[RCPA Lumber]],0)</f>
        <v>48</v>
      </c>
      <c r="AO12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5" s="94">
        <f ca="1">ROUNDDOWN( MAX(1 - MIN(facs_constr_factor*TblConstr[[#This Row],[Facs DB]],facs_constr_max) + tech_1_11*TblTech[[#This Row],[1-11]] + tech_6_3_2*TblTech[[#This Row],[6-3]] + tech_5_2_3*TblTech[[#This Row],[5-2]], 1-global_constr_cap) * ROUND((TblConstr[[#This Row],[Land]]-250)*0.285 + 87.5 + 0/4.25,0),0)</f>
        <v>48</v>
      </c>
      <c r="AQ125" s="45">
        <f ca="1">TblConstr[[#This Row],[build -db]]*TblConstr[[#This Row],[CPA Platinum -DB]] + TblConstr[[#This Row],[build db]]*TblConstr[[#This Row],[CPA Platinum DB]]</f>
        <v>0</v>
      </c>
      <c r="AR125" s="45">
        <f ca="1">TblConstr[[#This Row],[build -db]]*TblConstr[[#This Row],[CPA Lumber -DB]] + TblConstr[[#This Row],[build db]]*TblConstr[[#This Row],[CPA Lumber DB]]</f>
        <v>0</v>
      </c>
      <c r="AS125" s="94">
        <f ca="1">MIN(SUM(OFFSET(TblConstr[[#This Row],[Plain]:[Water]],-1,0))+SUM(TblConstr[[#This Row],[Dest Hom]:[Dest Doc]])+IF(TblConstr[[#This Row],[Hour]]&gt;12,SUM(OFFSET(TblExplore[[#This Row],[Plains Explore]:[Water Explore]],-12,0)),0),SUM(TblConstr[[#This Row],[Hom]:[Doc]]))</f>
        <v>0</v>
      </c>
      <c r="AT12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5" s="142"/>
      <c r="AV125" s="94">
        <f ca="1">ROUND((TblConstr[[#This Row],[Land]]-250 - IF(TblExplore[[#This Row],[Land Bonus]]&lt;&gt;0,20,0))*1.25 + 850 + 0,0)</f>
        <v>675</v>
      </c>
      <c r="AW125" s="94">
        <f ca="1">ROUND((TblConstr[[#This Row],[Land]]-250 - IF(TblExplore[[#This Row],[Land Bonus]]&lt;&gt;0,20,0))*0.285 + 87.5 + 0/4.25,0)</f>
        <v>48</v>
      </c>
      <c r="AX125" s="154"/>
      <c r="AY125" s="188" cm="1">
        <f t="array" aca="1" ref="AY125" ca="1">IF(TblConstr[[#This Row],[Hour]:[Hour]]&gt;12,OFFSET(TblConstr[[#This Row],[Hom]],-12,0),0)+OFFSET(TblConstr[[#This Row],[Tot Hom]],-1,0)-TblConstr[[#This Row],[Dest Hom]]</f>
        <v>0</v>
      </c>
      <c r="AZ125" s="189" cm="1">
        <f t="array" aca="1" ref="AZ125" ca="1">IF(TblConstr[[#This Row],[Hour]:[Hour]]&gt;12,OFFSET(TblConstr[[#This Row],[Alc]],-12,0),0)+OFFSET(TblConstr[[#This Row],[Tot Alc]],-1,0)-TblConstr[[#This Row],[Dest Alc]]</f>
        <v>0</v>
      </c>
      <c r="BA125" s="189" cm="1">
        <f t="array" aca="1" ref="BA125" ca="1">IF(TblConstr[[#This Row],[Hour]:[Hour]]&gt;12,OFFSET(TblConstr[[#This Row],[Far]],-12,0),0)+OFFSET(TblConstr[[#This Row],[Tot Farm]],-1,0)-TblConstr[[#This Row],[Dest Farm]]</f>
        <v>30</v>
      </c>
      <c r="BB125" s="189" cm="1">
        <f t="array" aca="1" ref="BB125" ca="1">IF(TblConstr[[#This Row],[Hour]:[Hour]]&gt;12,OFFSET(TblConstr[[#This Row],[Smi]],-12,0),0)+OFFSET(TblConstr[[#This Row],[Tot Smi]],-1,0)-TblConstr[[#This Row],[Dest Smi]]</f>
        <v>0</v>
      </c>
      <c r="BC125" s="189" cm="1">
        <f t="array" aca="1" ref="BC125" ca="1">IF(TblConstr[[#This Row],[Hour]:[Hour]]&gt;12,OFFSET(TblConstr[[#This Row],[Mas]],-12,0),0)+OFFSET(TblConstr[[#This Row],[Tot Mas]],-1,0)-TblConstr[[#This Row],[Dest Mas]]</f>
        <v>0</v>
      </c>
      <c r="BD125" s="190" cm="1">
        <f t="array" aca="1" ref="BD125" ca="1">IF(TblConstr[[#This Row],[Hour]:[Hour]]&gt;12,OFFSET(TblConstr[[#This Row],[Ly]],-12,0),0)+OFFSET(TblConstr[[#This Row],[Tot Ly]],-1,0)-TblConstr[[#This Row],[Dest Ly]]</f>
        <v>20</v>
      </c>
      <c r="BE125" s="190" cm="1">
        <f t="array" aca="1" ref="BE125" ca="1">IF(TblConstr[[#This Row],[Hour]:[Hour]]&gt;12,OFFSET(TblConstr[[#This Row],[Hav]],-12,0),0)+OFFSET(TblConstr[[#This Row],[Tot Hav]],-1,0)-TblConstr[[#This Row],[Dest Hav]]</f>
        <v>0</v>
      </c>
      <c r="BF125" s="361" cm="1">
        <f t="array" aca="1" ref="BF125" ca="1">IF(TblConstr[[#This Row],[Hour]:[Hour]]&gt;12,OFFSET(TblConstr[[#This Row],[OM]],-12,0),0)+OFFSET(TblConstr[[#This Row],[Tot OM]],-1,0)-TblConstr[[#This Row],[Dest OM]]</f>
        <v>0</v>
      </c>
      <c r="BG125" s="361" cm="1">
        <f t="array" aca="1" ref="BG125" ca="1">IF(TblConstr[[#This Row],[Hour]:[Hour]]&gt;12,OFFSET(TblConstr[[#This Row],[GN]],-12,0),0)+OFFSET(TblConstr[[#This Row],[Tot GN]],-1,0)-TblConstr[[#This Row],[Dest GN]]</f>
        <v>0</v>
      </c>
      <c r="BH125" s="365" cm="1">
        <f t="array" aca="1" ref="BH125" ca="1">IF(TblConstr[[#This Row],[Hour]:[Hour]]&gt;12,OFFSET(TblConstr[[#This Row],[Fac]],-12,0),0)+OFFSET(TblConstr[[#This Row],[Tot Fac]],-1,0)-TblConstr[[#This Row],[Dest Fac]]</f>
        <v>0</v>
      </c>
      <c r="BI125" s="365" cm="1">
        <f t="array" aca="1" ref="BI125" ca="1">IF(TblConstr[[#This Row],[Hour]:[Hour]]&gt;12,OFFSET(TblConstr[[#This Row],[GT]],-12,0),0)+OFFSET(TblConstr[[#This Row],[Tot GT]],-1,0)-TblConstr[[#This Row],[Dest GT]]</f>
        <v>0</v>
      </c>
      <c r="BJ125" s="365" cm="1">
        <f t="array" aca="1" ref="BJ125" ca="1">IF(TblConstr[[#This Row],[Hour]:[Hour]]&gt;12,OFFSET(TblConstr[[#This Row],[Bar]],-12,0),0)+OFFSET(TblConstr[[#This Row],[Tot Bar]],-1,0)-TblConstr[[#This Row],[Dest Bar]]</f>
        <v>0</v>
      </c>
      <c r="BK125" s="365" cm="1">
        <f t="array" aca="1" ref="BK125" ca="1">IF(TblConstr[[#This Row],[Hour]:[Hour]]&gt;12,OFFSET(TblConstr[[#This Row],[Shr]],-12,0),0)+OFFSET(TblConstr[[#This Row],[Tot Shr]],-1,0)-TblConstr[[#This Row],[Dest Shr]]</f>
        <v>0</v>
      </c>
      <c r="BL125" s="369" cm="1">
        <f t="array" aca="1" ref="BL125" ca="1">IF(TblConstr[[#This Row],[Hour]:[Hour]]&gt;12,OFFSET(TblConstr[[#This Row],[Tow]],-12,0),0)+OFFSET(TblConstr[[#This Row],[Tot Tow]],-1,0)-TblConstr[[#This Row],[Dest Tow]]</f>
        <v>0</v>
      </c>
      <c r="BM125" s="369" cm="1">
        <f t="array" aca="1" ref="BM125" ca="1">IF(TblConstr[[#This Row],[Hour]:[Hour]]&gt;12,OFFSET(TblConstr[[#This Row],[Tem]],-12,0),0)+OFFSET(TblConstr[[#This Row],[Tot Tem]],-1,0)-TblConstr[[#This Row],[Dest Tem]]</f>
        <v>0</v>
      </c>
      <c r="BN125" s="369" cm="1">
        <f t="array" aca="1" ref="BN125" ca="1">IF(TblConstr[[#This Row],[Hour]:[Hour]]&gt;12,OFFSET(TblConstr[[#This Row],[WG]],-12,0),0)+OFFSET(TblConstr[[#This Row],[Tot WG]],-1,0)-TblConstr[[#This Row],[Dest WG]]</f>
        <v>0</v>
      </c>
      <c r="BO125" s="191" cm="1">
        <f t="array" aca="1" ref="BO125" ca="1">IF(TblConstr[[#This Row],[Hour]:[Hour]]&gt;12,OFFSET(TblConstr[[#This Row],[DM]],-12,0),0)+OFFSET(TblConstr[[#This Row],[Tot DM]],-1,0)-TblConstr[[#This Row],[Dest DM]]</f>
        <v>0</v>
      </c>
      <c r="BP125" s="191" cm="1">
        <f t="array" aca="1" ref="BP125" ca="1">IF(TblConstr[[#This Row],[Hour]:[Hour]]&gt;12,OFFSET(TblConstr[[#This Row],[Sch]],-12,0),0)+OFFSET(TblConstr[[#This Row],[Tot Sch]],-1,0)-TblConstr[[#This Row],[Dest Sch]]</f>
        <v>0</v>
      </c>
      <c r="BQ125" s="192" cm="1">
        <f t="array" aca="1" ref="BQ125" ca="1">IF(TblConstr[[#This Row],[Hour]:[Hour]]&gt;12,OFFSET(TblConstr[[#This Row],[Doc]],-12,0),0)+OFFSET(TblConstr[[#This Row],[Tot Doc]],-1,0)-TblConstr[[#This Row],[Dest Doc]]</f>
        <v>0</v>
      </c>
      <c r="BR125" s="142"/>
      <c r="BS125" s="154"/>
      <c r="BT125" s="94">
        <f ca="1">TblConstr[[#This Row],[Land]]</f>
        <v>110</v>
      </c>
      <c r="BU125" s="159">
        <f ca="1">TblImps[[#This Row],[Time]]</f>
        <v>46052.041666666373</v>
      </c>
      <c r="BV125" s="142"/>
      <c r="BW125" s="179"/>
      <c r="BX125" s="179"/>
      <c r="BY125" s="179"/>
      <c r="BZ125" s="179"/>
      <c r="CA125" s="179"/>
      <c r="CB125" s="179"/>
      <c r="CC125" s="179"/>
      <c r="CD125" s="179"/>
      <c r="CE125" s="179"/>
      <c r="CF125" s="179"/>
      <c r="CG125" s="179"/>
      <c r="CH125" s="179"/>
      <c r="CI125" s="179"/>
      <c r="CJ125" s="179"/>
      <c r="CK125" s="179"/>
      <c r="CL125" s="179"/>
      <c r="CM125" s="179"/>
      <c r="CN125" s="179"/>
      <c r="CO125" s="179"/>
      <c r="CP125" s="142"/>
      <c r="CQ125" s="181">
        <f ca="1">-SUM(TblConstr[[#This Row],[Alc]:[Mas]])+SUM(TblConstr[[#This Row],[Dest Alc]:[Dest Mas]])+Rezone!L125+IF("Ch_"&amp; home_land=TblConstr[[#Headers],[Ch_Plain]],TblConstr[[#This Row],[Home Land]])+IF(TblConstr[[#This Row],[Hour]:[Hour]]&gt;12,OFFSET(TblExplore[[#This Row],[Plains Explore]],-12,0),0)</f>
        <v>0</v>
      </c>
      <c r="CR125" s="182">
        <f ca="1">-SUM(TblConstr[[#This Row],[Ly]:[Hav]])+SUM(TblConstr[[#This Row],[Dest Ly]:[Dest Hav]]) +Rezone!M125 + IF("Ch_"&amp; home_land=TblConstr[[#Headers],[Ch_Forest]],TblConstr[[#This Row],[Home Land]])+IF(TblConstr[[#This Row],[Hour]:[Hour]]&gt;12,OFFSET(TblExplore[[#This Row],[Forest Explore]],-12,0),0)</f>
        <v>0</v>
      </c>
      <c r="CS125" s="359">
        <f ca="1">-SUM(TblConstr[[#This Row],[OM]:[GN]])+SUM(TblConstr[[#This Row],[Dest OM]:[Dest GN]]) +Rezone!N125 + IF("Ch_"&amp; home_land=TblConstr[[#Headers],[Ch_Mountain]],TblConstr[[#This Row],[Home Land]])+IF(TblConstr[[#This Row],[Hour]:[Hour]]&gt;12,OFFSET(TblExplore[[#This Row],[Mountain Explore]],-12,0),0)</f>
        <v>0</v>
      </c>
      <c r="CT125" s="183">
        <f ca="1">-SUM(TblConstr[[#This Row],[Fac]:[Shr]])+SUM(TblConstr[[#This Row],[Dest Fac]:[Dest Shr]]) +Rezone!O125 + IF("Ch_" &amp; home_land=TblConstr[[#Headers],[Ch_Hill]],TblConstr[[#This Row],[Home Land]])+IF(TblConstr[[#This Row],[Hour]:[Hour]]&gt;12,OFFSET(TblExplore[[#This Row],[Hill Explore]],-12,0),0)</f>
        <v>0</v>
      </c>
      <c r="CU125" s="184">
        <f ca="1">-SUM(TblConstr[[#This Row],[Tow]:[WG]])+SUM(TblConstr[[#This Row],[Dest Tow]:[Dest WG]]) +Rezone!P125 + IF("Ch_" &amp; home_land=TblConstr[[#Headers],[Ch_Swamp]],TblConstr[[#This Row],[Home Land]])+IF(TblConstr[[#This Row],[Hour]:[Hour]]&gt;12,OFFSET(TblExplore[[#This Row],[Swamp Explore]],-12,0),0)</f>
        <v>0</v>
      </c>
      <c r="CV125" s="185">
        <f ca="1" xml:space="preserve"> - SUM(TblConstr[[#This Row],[DM]:[Sch]])+SUM(TblConstr[[#This Row],[Dest DM]:[Dest Sch]]) +Rezone!Q125 + IF("Ch_" &amp; home_land=TblConstr[[#Headers],[Ch_Cavern]],TblConstr[[#This Row],[Home Land]])+IF(TblConstr[[#This Row],[Hour]:[Hour]]&gt;12,OFFSET(TblExplore[[#This Row],[Cavern Explore]],-12,0),0)</f>
        <v>0</v>
      </c>
      <c r="CW125" s="186">
        <f ca="1">-TblConstr[[#This Row],[Doc]]+TblConstr[[#This Row],[Dest Doc]] +Rezone!R125 + IF("Ch_" &amp; home_land=TblConstr[[#Headers],[Ch_Water]],TblConstr[[#This Row],[Home Land]])+IF(TblConstr[[#This Row],[Hour]:[Hour]]&gt;12,OFFSET(TblExplore[[#This Row],[Water Explore]],-12,0),0)</f>
        <v>0</v>
      </c>
      <c r="CX125" s="45">
        <f>IF(Explore!S125=1,20) - TblConstr[[#This Row],[Hom]] + TblConstr[[#This Row],[Dest Hom]]</f>
        <v>0</v>
      </c>
      <c r="CY125" s="142"/>
      <c r="CZ125" s="94">
        <f t="shared" ca="1" si="30"/>
        <v>90</v>
      </c>
      <c r="DA125" s="94">
        <f t="shared" ca="1" si="31"/>
        <v>20</v>
      </c>
      <c r="DB125" s="45">
        <f t="shared" ca="1" si="32"/>
        <v>0</v>
      </c>
      <c r="DC125" s="94">
        <f t="shared" ca="1" si="33"/>
        <v>0</v>
      </c>
      <c r="DD125" s="94">
        <f t="shared" ca="1" si="34"/>
        <v>0</v>
      </c>
      <c r="DE125" s="45">
        <f t="shared" ca="1" si="35"/>
        <v>0</v>
      </c>
      <c r="DF125" s="94">
        <f t="shared" ca="1" si="36"/>
        <v>0</v>
      </c>
      <c r="DG125" s="94" cm="1">
        <f t="array" aca="1" ref="DG125" ca="1">INDEX(TblConstr[[Total Plain]:[Total Water]],ROW()-ROW(TblConstr[#Headers]),MATCH("Total "&amp;home_land,TblConstr[[#Headers],[Total Plain]:[Total Water]],0))+TblConstr[[#This Row],[Homes]]</f>
        <v>90</v>
      </c>
      <c r="DH125" s="45">
        <f t="shared" ca="1" si="22"/>
        <v>0</v>
      </c>
      <c r="DI125" s="45">
        <f t="shared" ca="1" si="19"/>
        <v>0</v>
      </c>
      <c r="DJ125" s="45">
        <f t="shared" ca="1" si="20"/>
        <v>0</v>
      </c>
    </row>
    <row r="126" spans="1:114" x14ac:dyDescent="0.2">
      <c r="A126" s="175">
        <f>TblRezone[[#This Row],[Hour]]</f>
        <v>123</v>
      </c>
      <c r="B126" s="176">
        <f ca="1">SUM(TblConstr[[#This Row],[Plain]:[Water]])</f>
        <v>60</v>
      </c>
      <c r="C126" s="177">
        <f ca="1">SUM(TblConstr[[#This Row],[Tot Hom]:[Tot Doc]])</f>
        <v>50</v>
      </c>
      <c r="D126" s="177">
        <f t="shared" si="21"/>
        <v>0</v>
      </c>
      <c r="E126" s="178"/>
      <c r="F126" s="61">
        <f ca="1">TblConstr[[#This Row],[Barren]]+TblConstr[[#This Row],[Buildings]]+TblConstr[[#This Row],[Incoming]]</f>
        <v>110</v>
      </c>
      <c r="G126" s="187">
        <f ca="1">OFFSET(TblConstr[[#This Row],[Plain]],-1,0)+TblConstr[[#This Row],[Ch_Plain]]</f>
        <v>60</v>
      </c>
      <c r="H126" s="182">
        <f ca="1">OFFSET(TblConstr[[#This Row],[Forest]],-1,0)+TblConstr[[#This Row],[Ch_Forest]]</f>
        <v>0</v>
      </c>
      <c r="I126" s="359">
        <f ca="1">OFFSET(TblConstr[[#This Row],[Mountain]],-1,0)+TblConstr[[#This Row],[Ch_Mountain]]</f>
        <v>0</v>
      </c>
      <c r="J126" s="363">
        <f ca="1">OFFSET(TblConstr[[#This Row],[Hill]],-1,0)+TblConstr[[#This Row],[Ch_Hill]]</f>
        <v>0</v>
      </c>
      <c r="K126" s="367">
        <f ca="1">OFFSET(TblConstr[[#This Row],[Swamp]],-1,0)+TblConstr[[#This Row],[Ch_Swamp]]</f>
        <v>0</v>
      </c>
      <c r="L126" s="185">
        <f ca="1">OFFSET(TblConstr[[#This Row],[Cavern]],-1,0)+TblConstr[[#This Row],[Ch_Cavern]]</f>
        <v>0</v>
      </c>
      <c r="M126" s="186">
        <f ca="1">OFFSET(TblConstr[[#This Row],[Water]],-1,0)+TblConstr[[#This Row],[Ch_Water]]</f>
        <v>0</v>
      </c>
      <c r="N126" s="357">
        <f>TblRezone[[#This Row],[Hour]]</f>
        <v>123</v>
      </c>
      <c r="O126" s="179"/>
      <c r="P126" s="179"/>
      <c r="Q126" s="179"/>
      <c r="R126" s="179"/>
      <c r="S126" s="179"/>
      <c r="T126" s="179"/>
      <c r="U126" s="179"/>
      <c r="V126" s="179"/>
      <c r="W126" s="179"/>
      <c r="X126" s="179"/>
      <c r="Y126" s="179"/>
      <c r="Z126" s="179"/>
      <c r="AA126" s="179"/>
      <c r="AB126" s="179"/>
      <c r="AC126" s="179"/>
      <c r="AD126" s="179"/>
      <c r="AE126" s="179"/>
      <c r="AF126" s="179"/>
      <c r="AG126" s="179"/>
      <c r="AH126" s="53">
        <f ca="1">TblImps[[#This Row],[Time]]</f>
        <v>46052.083333333037</v>
      </c>
      <c r="AI126" s="180">
        <f ca="1">MIN(25%,(TblConstr[[#This Row],[Tot Fac]]+TblConstr[[#This Row],[Dest Fac]])/(TblConstr[[#This Row],[Land]]-TblExplore[[#This Row],[Land Bonus]]*20))</f>
        <v>0</v>
      </c>
      <c r="AJ126" s="180">
        <f ca="1">MIN(25%,(TblConstr[[#This Row],[Tot Fac]]+TblConstr[[#This Row],[Dest Fac]])/TblConstr[[#This Row],[Land]])</f>
        <v>0</v>
      </c>
      <c r="AK126" s="94">
        <f ca="1">TblProd[[#This Row],[Platinum]]</f>
        <v>220488</v>
      </c>
      <c r="AL126" s="94">
        <f ca="1">TblProd[[#This Row],[Lumber]]</f>
        <v>75057</v>
      </c>
      <c r="AM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6" s="94">
        <f ca="1">ROUNDDOWN( MAX(1 - MIN(facs_constr_factor*TblConstr[[#This Row],[Facs -DB]],facs_constr_max) + tech_1_11*TblTech[[#This Row],[11-1]] + tech_6_3_2*TblTech[[#This Row],[6-3]] + tech_5_2_3*TblTech[[#This Row],[5-2]], 1-global_constr_cap) * TblConstr[[#This Row],[RCPA Lumber]],0)</f>
        <v>48</v>
      </c>
      <c r="AO12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6" s="94">
        <f ca="1">ROUNDDOWN( MAX(1 - MIN(facs_constr_factor*TblConstr[[#This Row],[Facs DB]],facs_constr_max) + tech_1_11*TblTech[[#This Row],[1-11]] + tech_6_3_2*TblTech[[#This Row],[6-3]] + tech_5_2_3*TblTech[[#This Row],[5-2]], 1-global_constr_cap) * ROUND((TblConstr[[#This Row],[Land]]-250)*0.285 + 87.5 + 0/4.25,0),0)</f>
        <v>48</v>
      </c>
      <c r="AQ126" s="45">
        <f ca="1">TblConstr[[#This Row],[build -db]]*TblConstr[[#This Row],[CPA Platinum -DB]] + TblConstr[[#This Row],[build db]]*TblConstr[[#This Row],[CPA Platinum DB]]</f>
        <v>0</v>
      </c>
      <c r="AR126" s="45">
        <f ca="1">TblConstr[[#This Row],[build -db]]*TblConstr[[#This Row],[CPA Lumber -DB]] + TblConstr[[#This Row],[build db]]*TblConstr[[#This Row],[CPA Lumber DB]]</f>
        <v>0</v>
      </c>
      <c r="AS126" s="94">
        <f ca="1">MIN(SUM(OFFSET(TblConstr[[#This Row],[Plain]:[Water]],-1,0))+SUM(TblConstr[[#This Row],[Dest Hom]:[Dest Doc]])+IF(TblConstr[[#This Row],[Hour]]&gt;12,SUM(OFFSET(TblExplore[[#This Row],[Plains Explore]:[Water Explore]],-12,0)),0),SUM(TblConstr[[#This Row],[Hom]:[Doc]]))</f>
        <v>0</v>
      </c>
      <c r="AT12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6" s="142"/>
      <c r="AV126" s="94">
        <f ca="1">ROUND((TblConstr[[#This Row],[Land]]-250 - IF(TblExplore[[#This Row],[Land Bonus]]&lt;&gt;0,20,0))*1.25 + 850 + 0,0)</f>
        <v>675</v>
      </c>
      <c r="AW126" s="94">
        <f ca="1">ROUND((TblConstr[[#This Row],[Land]]-250 - IF(TblExplore[[#This Row],[Land Bonus]]&lt;&gt;0,20,0))*0.285 + 87.5 + 0/4.25,0)</f>
        <v>48</v>
      </c>
      <c r="AX126" s="154"/>
      <c r="AY126" s="188" cm="1">
        <f t="array" aca="1" ref="AY126" ca="1">IF(TblConstr[[#This Row],[Hour]:[Hour]]&gt;12,OFFSET(TblConstr[[#This Row],[Hom]],-12,0),0)+OFFSET(TblConstr[[#This Row],[Tot Hom]],-1,0)-TblConstr[[#This Row],[Dest Hom]]</f>
        <v>0</v>
      </c>
      <c r="AZ126" s="189" cm="1">
        <f t="array" aca="1" ref="AZ126" ca="1">IF(TblConstr[[#This Row],[Hour]:[Hour]]&gt;12,OFFSET(TblConstr[[#This Row],[Alc]],-12,0),0)+OFFSET(TblConstr[[#This Row],[Tot Alc]],-1,0)-TblConstr[[#This Row],[Dest Alc]]</f>
        <v>0</v>
      </c>
      <c r="BA126" s="189" cm="1">
        <f t="array" aca="1" ref="BA126" ca="1">IF(TblConstr[[#This Row],[Hour]:[Hour]]&gt;12,OFFSET(TblConstr[[#This Row],[Far]],-12,0),0)+OFFSET(TblConstr[[#This Row],[Tot Farm]],-1,0)-TblConstr[[#This Row],[Dest Farm]]</f>
        <v>30</v>
      </c>
      <c r="BB126" s="189" cm="1">
        <f t="array" aca="1" ref="BB126" ca="1">IF(TblConstr[[#This Row],[Hour]:[Hour]]&gt;12,OFFSET(TblConstr[[#This Row],[Smi]],-12,0),0)+OFFSET(TblConstr[[#This Row],[Tot Smi]],-1,0)-TblConstr[[#This Row],[Dest Smi]]</f>
        <v>0</v>
      </c>
      <c r="BC126" s="189" cm="1">
        <f t="array" aca="1" ref="BC126" ca="1">IF(TblConstr[[#This Row],[Hour]:[Hour]]&gt;12,OFFSET(TblConstr[[#This Row],[Mas]],-12,0),0)+OFFSET(TblConstr[[#This Row],[Tot Mas]],-1,0)-TblConstr[[#This Row],[Dest Mas]]</f>
        <v>0</v>
      </c>
      <c r="BD126" s="190" cm="1">
        <f t="array" aca="1" ref="BD126" ca="1">IF(TblConstr[[#This Row],[Hour]:[Hour]]&gt;12,OFFSET(TblConstr[[#This Row],[Ly]],-12,0),0)+OFFSET(TblConstr[[#This Row],[Tot Ly]],-1,0)-TblConstr[[#This Row],[Dest Ly]]</f>
        <v>20</v>
      </c>
      <c r="BE126" s="190" cm="1">
        <f t="array" aca="1" ref="BE126" ca="1">IF(TblConstr[[#This Row],[Hour]:[Hour]]&gt;12,OFFSET(TblConstr[[#This Row],[Hav]],-12,0),0)+OFFSET(TblConstr[[#This Row],[Tot Hav]],-1,0)-TblConstr[[#This Row],[Dest Hav]]</f>
        <v>0</v>
      </c>
      <c r="BF126" s="361" cm="1">
        <f t="array" aca="1" ref="BF126" ca="1">IF(TblConstr[[#This Row],[Hour]:[Hour]]&gt;12,OFFSET(TblConstr[[#This Row],[OM]],-12,0),0)+OFFSET(TblConstr[[#This Row],[Tot OM]],-1,0)-TblConstr[[#This Row],[Dest OM]]</f>
        <v>0</v>
      </c>
      <c r="BG126" s="361" cm="1">
        <f t="array" aca="1" ref="BG126" ca="1">IF(TblConstr[[#This Row],[Hour]:[Hour]]&gt;12,OFFSET(TblConstr[[#This Row],[GN]],-12,0),0)+OFFSET(TblConstr[[#This Row],[Tot GN]],-1,0)-TblConstr[[#This Row],[Dest GN]]</f>
        <v>0</v>
      </c>
      <c r="BH126" s="365" cm="1">
        <f t="array" aca="1" ref="BH126" ca="1">IF(TblConstr[[#This Row],[Hour]:[Hour]]&gt;12,OFFSET(TblConstr[[#This Row],[Fac]],-12,0),0)+OFFSET(TblConstr[[#This Row],[Tot Fac]],-1,0)-TblConstr[[#This Row],[Dest Fac]]</f>
        <v>0</v>
      </c>
      <c r="BI126" s="365" cm="1">
        <f t="array" aca="1" ref="BI126" ca="1">IF(TblConstr[[#This Row],[Hour]:[Hour]]&gt;12,OFFSET(TblConstr[[#This Row],[GT]],-12,0),0)+OFFSET(TblConstr[[#This Row],[Tot GT]],-1,0)-TblConstr[[#This Row],[Dest GT]]</f>
        <v>0</v>
      </c>
      <c r="BJ126" s="365" cm="1">
        <f t="array" aca="1" ref="BJ126" ca="1">IF(TblConstr[[#This Row],[Hour]:[Hour]]&gt;12,OFFSET(TblConstr[[#This Row],[Bar]],-12,0),0)+OFFSET(TblConstr[[#This Row],[Tot Bar]],-1,0)-TblConstr[[#This Row],[Dest Bar]]</f>
        <v>0</v>
      </c>
      <c r="BK126" s="365" cm="1">
        <f t="array" aca="1" ref="BK126" ca="1">IF(TblConstr[[#This Row],[Hour]:[Hour]]&gt;12,OFFSET(TblConstr[[#This Row],[Shr]],-12,0),0)+OFFSET(TblConstr[[#This Row],[Tot Shr]],-1,0)-TblConstr[[#This Row],[Dest Shr]]</f>
        <v>0</v>
      </c>
      <c r="BL126" s="369" cm="1">
        <f t="array" aca="1" ref="BL126" ca="1">IF(TblConstr[[#This Row],[Hour]:[Hour]]&gt;12,OFFSET(TblConstr[[#This Row],[Tow]],-12,0),0)+OFFSET(TblConstr[[#This Row],[Tot Tow]],-1,0)-TblConstr[[#This Row],[Dest Tow]]</f>
        <v>0</v>
      </c>
      <c r="BM126" s="369" cm="1">
        <f t="array" aca="1" ref="BM126" ca="1">IF(TblConstr[[#This Row],[Hour]:[Hour]]&gt;12,OFFSET(TblConstr[[#This Row],[Tem]],-12,0),0)+OFFSET(TblConstr[[#This Row],[Tot Tem]],-1,0)-TblConstr[[#This Row],[Dest Tem]]</f>
        <v>0</v>
      </c>
      <c r="BN126" s="369" cm="1">
        <f t="array" aca="1" ref="BN126" ca="1">IF(TblConstr[[#This Row],[Hour]:[Hour]]&gt;12,OFFSET(TblConstr[[#This Row],[WG]],-12,0),0)+OFFSET(TblConstr[[#This Row],[Tot WG]],-1,0)-TblConstr[[#This Row],[Dest WG]]</f>
        <v>0</v>
      </c>
      <c r="BO126" s="191" cm="1">
        <f t="array" aca="1" ref="BO126" ca="1">IF(TblConstr[[#This Row],[Hour]:[Hour]]&gt;12,OFFSET(TblConstr[[#This Row],[DM]],-12,0),0)+OFFSET(TblConstr[[#This Row],[Tot DM]],-1,0)-TblConstr[[#This Row],[Dest DM]]</f>
        <v>0</v>
      </c>
      <c r="BP126" s="191" cm="1">
        <f t="array" aca="1" ref="BP126" ca="1">IF(TblConstr[[#This Row],[Hour]:[Hour]]&gt;12,OFFSET(TblConstr[[#This Row],[Sch]],-12,0),0)+OFFSET(TblConstr[[#This Row],[Tot Sch]],-1,0)-TblConstr[[#This Row],[Dest Sch]]</f>
        <v>0</v>
      </c>
      <c r="BQ126" s="192" cm="1">
        <f t="array" aca="1" ref="BQ126" ca="1">IF(TblConstr[[#This Row],[Hour]:[Hour]]&gt;12,OFFSET(TblConstr[[#This Row],[Doc]],-12,0),0)+OFFSET(TblConstr[[#This Row],[Tot Doc]],-1,0)-TblConstr[[#This Row],[Dest Doc]]</f>
        <v>0</v>
      </c>
      <c r="BR126" s="142"/>
      <c r="BS126" s="154"/>
      <c r="BT126" s="94">
        <f ca="1">TblConstr[[#This Row],[Land]]</f>
        <v>110</v>
      </c>
      <c r="BU126" s="159">
        <f ca="1">TblImps[[#This Row],[Time]]</f>
        <v>46052.083333333037</v>
      </c>
      <c r="BV126" s="142"/>
      <c r="BW126" s="179"/>
      <c r="BX126" s="179"/>
      <c r="BY126" s="179"/>
      <c r="BZ126" s="179"/>
      <c r="CA126" s="179"/>
      <c r="CB126" s="179"/>
      <c r="CC126" s="179"/>
      <c r="CD126" s="179"/>
      <c r="CE126" s="179"/>
      <c r="CF126" s="179"/>
      <c r="CG126" s="179"/>
      <c r="CH126" s="179"/>
      <c r="CI126" s="179"/>
      <c r="CJ126" s="179"/>
      <c r="CK126" s="179"/>
      <c r="CL126" s="179"/>
      <c r="CM126" s="179"/>
      <c r="CN126" s="179"/>
      <c r="CO126" s="179"/>
      <c r="CP126" s="142"/>
      <c r="CQ126" s="181">
        <f ca="1">-SUM(TblConstr[[#This Row],[Alc]:[Mas]])+SUM(TblConstr[[#This Row],[Dest Alc]:[Dest Mas]])+Rezone!L126+IF("Ch_"&amp; home_land=TblConstr[[#Headers],[Ch_Plain]],TblConstr[[#This Row],[Home Land]])+IF(TblConstr[[#This Row],[Hour]:[Hour]]&gt;12,OFFSET(TblExplore[[#This Row],[Plains Explore]],-12,0),0)</f>
        <v>0</v>
      </c>
      <c r="CR126" s="182">
        <f ca="1">-SUM(TblConstr[[#This Row],[Ly]:[Hav]])+SUM(TblConstr[[#This Row],[Dest Ly]:[Dest Hav]]) +Rezone!M126 + IF("Ch_"&amp; home_land=TblConstr[[#Headers],[Ch_Forest]],TblConstr[[#This Row],[Home Land]])+IF(TblConstr[[#This Row],[Hour]:[Hour]]&gt;12,OFFSET(TblExplore[[#This Row],[Forest Explore]],-12,0),0)</f>
        <v>0</v>
      </c>
      <c r="CS126" s="359">
        <f ca="1">-SUM(TblConstr[[#This Row],[OM]:[GN]])+SUM(TblConstr[[#This Row],[Dest OM]:[Dest GN]]) +Rezone!N126 + IF("Ch_"&amp; home_land=TblConstr[[#Headers],[Ch_Mountain]],TblConstr[[#This Row],[Home Land]])+IF(TblConstr[[#This Row],[Hour]:[Hour]]&gt;12,OFFSET(TblExplore[[#This Row],[Mountain Explore]],-12,0),0)</f>
        <v>0</v>
      </c>
      <c r="CT126" s="183">
        <f ca="1">-SUM(TblConstr[[#This Row],[Fac]:[Shr]])+SUM(TblConstr[[#This Row],[Dest Fac]:[Dest Shr]]) +Rezone!O126 + IF("Ch_" &amp; home_land=TblConstr[[#Headers],[Ch_Hill]],TblConstr[[#This Row],[Home Land]])+IF(TblConstr[[#This Row],[Hour]:[Hour]]&gt;12,OFFSET(TblExplore[[#This Row],[Hill Explore]],-12,0),0)</f>
        <v>0</v>
      </c>
      <c r="CU126" s="184">
        <f ca="1">-SUM(TblConstr[[#This Row],[Tow]:[WG]])+SUM(TblConstr[[#This Row],[Dest Tow]:[Dest WG]]) +Rezone!P126 + IF("Ch_" &amp; home_land=TblConstr[[#Headers],[Ch_Swamp]],TblConstr[[#This Row],[Home Land]])+IF(TblConstr[[#This Row],[Hour]:[Hour]]&gt;12,OFFSET(TblExplore[[#This Row],[Swamp Explore]],-12,0),0)</f>
        <v>0</v>
      </c>
      <c r="CV126" s="185">
        <f ca="1" xml:space="preserve"> - SUM(TblConstr[[#This Row],[DM]:[Sch]])+SUM(TblConstr[[#This Row],[Dest DM]:[Dest Sch]]) +Rezone!Q126 + IF("Ch_" &amp; home_land=TblConstr[[#Headers],[Ch_Cavern]],TblConstr[[#This Row],[Home Land]])+IF(TblConstr[[#This Row],[Hour]:[Hour]]&gt;12,OFFSET(TblExplore[[#This Row],[Cavern Explore]],-12,0),0)</f>
        <v>0</v>
      </c>
      <c r="CW126" s="186">
        <f ca="1">-TblConstr[[#This Row],[Doc]]+TblConstr[[#This Row],[Dest Doc]] +Rezone!R126 + IF("Ch_" &amp; home_land=TblConstr[[#Headers],[Ch_Water]],TblConstr[[#This Row],[Home Land]])+IF(TblConstr[[#This Row],[Hour]:[Hour]]&gt;12,OFFSET(TblExplore[[#This Row],[Water Explore]],-12,0),0)</f>
        <v>0</v>
      </c>
      <c r="CX126" s="45">
        <f>IF(Explore!S126=1,20) - TblConstr[[#This Row],[Hom]] + TblConstr[[#This Row],[Dest Hom]]</f>
        <v>0</v>
      </c>
      <c r="CY126" s="142"/>
      <c r="CZ126" s="94">
        <f t="shared" ca="1" si="30"/>
        <v>90</v>
      </c>
      <c r="DA126" s="94">
        <f t="shared" ca="1" si="31"/>
        <v>20</v>
      </c>
      <c r="DB126" s="45">
        <f t="shared" ca="1" si="32"/>
        <v>0</v>
      </c>
      <c r="DC126" s="94">
        <f t="shared" ca="1" si="33"/>
        <v>0</v>
      </c>
      <c r="DD126" s="94">
        <f t="shared" ca="1" si="34"/>
        <v>0</v>
      </c>
      <c r="DE126" s="45">
        <f t="shared" ca="1" si="35"/>
        <v>0</v>
      </c>
      <c r="DF126" s="94">
        <f t="shared" ca="1" si="36"/>
        <v>0</v>
      </c>
      <c r="DG126" s="94" cm="1">
        <f t="array" aca="1" ref="DG126" ca="1">INDEX(TblConstr[[Total Plain]:[Total Water]],ROW()-ROW(TblConstr[#Headers]),MATCH("Total "&amp;home_land,TblConstr[[#Headers],[Total Plain]:[Total Water]],0))+TblConstr[[#This Row],[Homes]]</f>
        <v>90</v>
      </c>
      <c r="DH126" s="45">
        <f t="shared" ca="1" si="22"/>
        <v>0</v>
      </c>
      <c r="DI126" s="45">
        <f t="shared" ca="1" si="19"/>
        <v>0</v>
      </c>
      <c r="DJ126" s="45">
        <f t="shared" ca="1" si="20"/>
        <v>0</v>
      </c>
    </row>
    <row r="127" spans="1:114" x14ac:dyDescent="0.2">
      <c r="A127" s="175">
        <f>TblRezone[[#This Row],[Hour]]</f>
        <v>124</v>
      </c>
      <c r="B127" s="176">
        <f ca="1">SUM(TblConstr[[#This Row],[Plain]:[Water]])</f>
        <v>60</v>
      </c>
      <c r="C127" s="177">
        <f ca="1">SUM(TblConstr[[#This Row],[Tot Hom]:[Tot Doc]])</f>
        <v>50</v>
      </c>
      <c r="D127" s="177">
        <f t="shared" si="21"/>
        <v>0</v>
      </c>
      <c r="E127" s="178"/>
      <c r="F127" s="61">
        <f ca="1">TblConstr[[#This Row],[Barren]]+TblConstr[[#This Row],[Buildings]]+TblConstr[[#This Row],[Incoming]]</f>
        <v>110</v>
      </c>
      <c r="G127" s="187">
        <f ca="1">OFFSET(TblConstr[[#This Row],[Plain]],-1,0)+TblConstr[[#This Row],[Ch_Plain]]</f>
        <v>60</v>
      </c>
      <c r="H127" s="182">
        <f ca="1">OFFSET(TblConstr[[#This Row],[Forest]],-1,0)+TblConstr[[#This Row],[Ch_Forest]]</f>
        <v>0</v>
      </c>
      <c r="I127" s="359">
        <f ca="1">OFFSET(TblConstr[[#This Row],[Mountain]],-1,0)+TblConstr[[#This Row],[Ch_Mountain]]</f>
        <v>0</v>
      </c>
      <c r="J127" s="363">
        <f ca="1">OFFSET(TblConstr[[#This Row],[Hill]],-1,0)+TblConstr[[#This Row],[Ch_Hill]]</f>
        <v>0</v>
      </c>
      <c r="K127" s="367">
        <f ca="1">OFFSET(TblConstr[[#This Row],[Swamp]],-1,0)+TblConstr[[#This Row],[Ch_Swamp]]</f>
        <v>0</v>
      </c>
      <c r="L127" s="185">
        <f ca="1">OFFSET(TblConstr[[#This Row],[Cavern]],-1,0)+TblConstr[[#This Row],[Ch_Cavern]]</f>
        <v>0</v>
      </c>
      <c r="M127" s="186">
        <f ca="1">OFFSET(TblConstr[[#This Row],[Water]],-1,0)+TblConstr[[#This Row],[Ch_Water]]</f>
        <v>0</v>
      </c>
      <c r="N127" s="357">
        <f>TblRezone[[#This Row],[Hour]]</f>
        <v>124</v>
      </c>
      <c r="O127" s="179"/>
      <c r="P127" s="179"/>
      <c r="Q127" s="179"/>
      <c r="R127" s="179"/>
      <c r="S127" s="179"/>
      <c r="T127" s="179"/>
      <c r="U127" s="179"/>
      <c r="V127" s="179"/>
      <c r="W127" s="179"/>
      <c r="X127" s="179"/>
      <c r="Y127" s="179"/>
      <c r="Z127" s="179"/>
      <c r="AA127" s="179"/>
      <c r="AB127" s="179"/>
      <c r="AC127" s="179"/>
      <c r="AD127" s="179"/>
      <c r="AE127" s="179"/>
      <c r="AF127" s="179"/>
      <c r="AG127" s="179"/>
      <c r="AH127" s="53">
        <f ca="1">TblImps[[#This Row],[Time]]</f>
        <v>46052.124999999702</v>
      </c>
      <c r="AI127" s="180">
        <f ca="1">MIN(25%,(TblConstr[[#This Row],[Tot Fac]]+TblConstr[[#This Row],[Dest Fac]])/(TblConstr[[#This Row],[Land]]-TblExplore[[#This Row],[Land Bonus]]*20))</f>
        <v>0</v>
      </c>
      <c r="AJ127" s="180">
        <f ca="1">MIN(25%,(TblConstr[[#This Row],[Tot Fac]]+TblConstr[[#This Row],[Dest Fac]])/TblConstr[[#This Row],[Land]])</f>
        <v>0</v>
      </c>
      <c r="AK127" s="94">
        <f ca="1">TblProd[[#This Row],[Platinum]]</f>
        <v>221287</v>
      </c>
      <c r="AL127" s="94">
        <f ca="1">TblProd[[#This Row],[Lumber]]</f>
        <v>75306</v>
      </c>
      <c r="AM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7" s="94">
        <f ca="1">ROUNDDOWN( MAX(1 - MIN(facs_constr_factor*TblConstr[[#This Row],[Facs -DB]],facs_constr_max) + tech_1_11*TblTech[[#This Row],[11-1]] + tech_6_3_2*TblTech[[#This Row],[6-3]] + tech_5_2_3*TblTech[[#This Row],[5-2]], 1-global_constr_cap) * TblConstr[[#This Row],[RCPA Lumber]],0)</f>
        <v>48</v>
      </c>
      <c r="AO127"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7" s="94">
        <f ca="1">ROUNDDOWN( MAX(1 - MIN(facs_constr_factor*TblConstr[[#This Row],[Facs DB]],facs_constr_max) + tech_1_11*TblTech[[#This Row],[1-11]] + tech_6_3_2*TblTech[[#This Row],[6-3]] + tech_5_2_3*TblTech[[#This Row],[5-2]], 1-global_constr_cap) * ROUND((TblConstr[[#This Row],[Land]]-250)*0.285 + 87.5 + 0/4.25,0),0)</f>
        <v>48</v>
      </c>
      <c r="AQ127" s="45">
        <f ca="1">TblConstr[[#This Row],[build -db]]*TblConstr[[#This Row],[CPA Platinum -DB]] + TblConstr[[#This Row],[build db]]*TblConstr[[#This Row],[CPA Platinum DB]]</f>
        <v>0</v>
      </c>
      <c r="AR127" s="45">
        <f ca="1">TblConstr[[#This Row],[build -db]]*TblConstr[[#This Row],[CPA Lumber -DB]] + TblConstr[[#This Row],[build db]]*TblConstr[[#This Row],[CPA Lumber DB]]</f>
        <v>0</v>
      </c>
      <c r="AS127" s="94">
        <f ca="1">MIN(SUM(OFFSET(TblConstr[[#This Row],[Plain]:[Water]],-1,0))+SUM(TblConstr[[#This Row],[Dest Hom]:[Dest Doc]])+IF(TblConstr[[#This Row],[Hour]]&gt;12,SUM(OFFSET(TblExplore[[#This Row],[Plains Explore]:[Water Explore]],-12,0)),0),SUM(TblConstr[[#This Row],[Hom]:[Doc]]))</f>
        <v>0</v>
      </c>
      <c r="AT127"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7" s="142"/>
      <c r="AV127" s="94">
        <f ca="1">ROUND((TblConstr[[#This Row],[Land]]-250 - IF(TblExplore[[#This Row],[Land Bonus]]&lt;&gt;0,20,0))*1.25 + 850 + 0,0)</f>
        <v>675</v>
      </c>
      <c r="AW127" s="94">
        <f ca="1">ROUND((TblConstr[[#This Row],[Land]]-250 - IF(TblExplore[[#This Row],[Land Bonus]]&lt;&gt;0,20,0))*0.285 + 87.5 + 0/4.25,0)</f>
        <v>48</v>
      </c>
      <c r="AX127" s="154"/>
      <c r="AY127" s="188" cm="1">
        <f t="array" aca="1" ref="AY127" ca="1">IF(TblConstr[[#This Row],[Hour]:[Hour]]&gt;12,OFFSET(TblConstr[[#This Row],[Hom]],-12,0),0)+OFFSET(TblConstr[[#This Row],[Tot Hom]],-1,0)-TblConstr[[#This Row],[Dest Hom]]</f>
        <v>0</v>
      </c>
      <c r="AZ127" s="189" cm="1">
        <f t="array" aca="1" ref="AZ127" ca="1">IF(TblConstr[[#This Row],[Hour]:[Hour]]&gt;12,OFFSET(TblConstr[[#This Row],[Alc]],-12,0),0)+OFFSET(TblConstr[[#This Row],[Tot Alc]],-1,0)-TblConstr[[#This Row],[Dest Alc]]</f>
        <v>0</v>
      </c>
      <c r="BA127" s="189" cm="1">
        <f t="array" aca="1" ref="BA127" ca="1">IF(TblConstr[[#This Row],[Hour]:[Hour]]&gt;12,OFFSET(TblConstr[[#This Row],[Far]],-12,0),0)+OFFSET(TblConstr[[#This Row],[Tot Farm]],-1,0)-TblConstr[[#This Row],[Dest Farm]]</f>
        <v>30</v>
      </c>
      <c r="BB127" s="189" cm="1">
        <f t="array" aca="1" ref="BB127" ca="1">IF(TblConstr[[#This Row],[Hour]:[Hour]]&gt;12,OFFSET(TblConstr[[#This Row],[Smi]],-12,0),0)+OFFSET(TblConstr[[#This Row],[Tot Smi]],-1,0)-TblConstr[[#This Row],[Dest Smi]]</f>
        <v>0</v>
      </c>
      <c r="BC127" s="189" cm="1">
        <f t="array" aca="1" ref="BC127" ca="1">IF(TblConstr[[#This Row],[Hour]:[Hour]]&gt;12,OFFSET(TblConstr[[#This Row],[Mas]],-12,0),0)+OFFSET(TblConstr[[#This Row],[Tot Mas]],-1,0)-TblConstr[[#This Row],[Dest Mas]]</f>
        <v>0</v>
      </c>
      <c r="BD127" s="190" cm="1">
        <f t="array" aca="1" ref="BD127" ca="1">IF(TblConstr[[#This Row],[Hour]:[Hour]]&gt;12,OFFSET(TblConstr[[#This Row],[Ly]],-12,0),0)+OFFSET(TblConstr[[#This Row],[Tot Ly]],-1,0)-TblConstr[[#This Row],[Dest Ly]]</f>
        <v>20</v>
      </c>
      <c r="BE127" s="190" cm="1">
        <f t="array" aca="1" ref="BE127" ca="1">IF(TblConstr[[#This Row],[Hour]:[Hour]]&gt;12,OFFSET(TblConstr[[#This Row],[Hav]],-12,0),0)+OFFSET(TblConstr[[#This Row],[Tot Hav]],-1,0)-TblConstr[[#This Row],[Dest Hav]]</f>
        <v>0</v>
      </c>
      <c r="BF127" s="361" cm="1">
        <f t="array" aca="1" ref="BF127" ca="1">IF(TblConstr[[#This Row],[Hour]:[Hour]]&gt;12,OFFSET(TblConstr[[#This Row],[OM]],-12,0),0)+OFFSET(TblConstr[[#This Row],[Tot OM]],-1,0)-TblConstr[[#This Row],[Dest OM]]</f>
        <v>0</v>
      </c>
      <c r="BG127" s="361" cm="1">
        <f t="array" aca="1" ref="BG127" ca="1">IF(TblConstr[[#This Row],[Hour]:[Hour]]&gt;12,OFFSET(TblConstr[[#This Row],[GN]],-12,0),0)+OFFSET(TblConstr[[#This Row],[Tot GN]],-1,0)-TblConstr[[#This Row],[Dest GN]]</f>
        <v>0</v>
      </c>
      <c r="BH127" s="365" cm="1">
        <f t="array" aca="1" ref="BH127" ca="1">IF(TblConstr[[#This Row],[Hour]:[Hour]]&gt;12,OFFSET(TblConstr[[#This Row],[Fac]],-12,0),0)+OFFSET(TblConstr[[#This Row],[Tot Fac]],-1,0)-TblConstr[[#This Row],[Dest Fac]]</f>
        <v>0</v>
      </c>
      <c r="BI127" s="365" cm="1">
        <f t="array" aca="1" ref="BI127" ca="1">IF(TblConstr[[#This Row],[Hour]:[Hour]]&gt;12,OFFSET(TblConstr[[#This Row],[GT]],-12,0),0)+OFFSET(TblConstr[[#This Row],[Tot GT]],-1,0)-TblConstr[[#This Row],[Dest GT]]</f>
        <v>0</v>
      </c>
      <c r="BJ127" s="365" cm="1">
        <f t="array" aca="1" ref="BJ127" ca="1">IF(TblConstr[[#This Row],[Hour]:[Hour]]&gt;12,OFFSET(TblConstr[[#This Row],[Bar]],-12,0),0)+OFFSET(TblConstr[[#This Row],[Tot Bar]],-1,0)-TblConstr[[#This Row],[Dest Bar]]</f>
        <v>0</v>
      </c>
      <c r="BK127" s="365" cm="1">
        <f t="array" aca="1" ref="BK127" ca="1">IF(TblConstr[[#This Row],[Hour]:[Hour]]&gt;12,OFFSET(TblConstr[[#This Row],[Shr]],-12,0),0)+OFFSET(TblConstr[[#This Row],[Tot Shr]],-1,0)-TblConstr[[#This Row],[Dest Shr]]</f>
        <v>0</v>
      </c>
      <c r="BL127" s="369" cm="1">
        <f t="array" aca="1" ref="BL127" ca="1">IF(TblConstr[[#This Row],[Hour]:[Hour]]&gt;12,OFFSET(TblConstr[[#This Row],[Tow]],-12,0),0)+OFFSET(TblConstr[[#This Row],[Tot Tow]],-1,0)-TblConstr[[#This Row],[Dest Tow]]</f>
        <v>0</v>
      </c>
      <c r="BM127" s="369" cm="1">
        <f t="array" aca="1" ref="BM127" ca="1">IF(TblConstr[[#This Row],[Hour]:[Hour]]&gt;12,OFFSET(TblConstr[[#This Row],[Tem]],-12,0),0)+OFFSET(TblConstr[[#This Row],[Tot Tem]],-1,0)-TblConstr[[#This Row],[Dest Tem]]</f>
        <v>0</v>
      </c>
      <c r="BN127" s="369" cm="1">
        <f t="array" aca="1" ref="BN127" ca="1">IF(TblConstr[[#This Row],[Hour]:[Hour]]&gt;12,OFFSET(TblConstr[[#This Row],[WG]],-12,0),0)+OFFSET(TblConstr[[#This Row],[Tot WG]],-1,0)-TblConstr[[#This Row],[Dest WG]]</f>
        <v>0</v>
      </c>
      <c r="BO127" s="191" cm="1">
        <f t="array" aca="1" ref="BO127" ca="1">IF(TblConstr[[#This Row],[Hour]:[Hour]]&gt;12,OFFSET(TblConstr[[#This Row],[DM]],-12,0),0)+OFFSET(TblConstr[[#This Row],[Tot DM]],-1,0)-TblConstr[[#This Row],[Dest DM]]</f>
        <v>0</v>
      </c>
      <c r="BP127" s="191" cm="1">
        <f t="array" aca="1" ref="BP127" ca="1">IF(TblConstr[[#This Row],[Hour]:[Hour]]&gt;12,OFFSET(TblConstr[[#This Row],[Sch]],-12,0),0)+OFFSET(TblConstr[[#This Row],[Tot Sch]],-1,0)-TblConstr[[#This Row],[Dest Sch]]</f>
        <v>0</v>
      </c>
      <c r="BQ127" s="192" cm="1">
        <f t="array" aca="1" ref="BQ127" ca="1">IF(TblConstr[[#This Row],[Hour]:[Hour]]&gt;12,OFFSET(TblConstr[[#This Row],[Doc]],-12,0),0)+OFFSET(TblConstr[[#This Row],[Tot Doc]],-1,0)-TblConstr[[#This Row],[Dest Doc]]</f>
        <v>0</v>
      </c>
      <c r="BR127" s="142"/>
      <c r="BS127" s="154"/>
      <c r="BT127" s="94">
        <f ca="1">TblConstr[[#This Row],[Land]]</f>
        <v>110</v>
      </c>
      <c r="BU127" s="159">
        <f ca="1">TblImps[[#This Row],[Time]]</f>
        <v>46052.124999999702</v>
      </c>
      <c r="BV127" s="142"/>
      <c r="BW127" s="179"/>
      <c r="BX127" s="179"/>
      <c r="BY127" s="179"/>
      <c r="BZ127" s="179"/>
      <c r="CA127" s="179"/>
      <c r="CB127" s="179"/>
      <c r="CC127" s="179"/>
      <c r="CD127" s="179"/>
      <c r="CE127" s="179"/>
      <c r="CF127" s="179"/>
      <c r="CG127" s="179"/>
      <c r="CH127" s="179"/>
      <c r="CI127" s="179"/>
      <c r="CJ127" s="179"/>
      <c r="CK127" s="179"/>
      <c r="CL127" s="179"/>
      <c r="CM127" s="179"/>
      <c r="CN127" s="179"/>
      <c r="CO127" s="179"/>
      <c r="CP127" s="142"/>
      <c r="CQ127" s="181">
        <f ca="1">-SUM(TblConstr[[#This Row],[Alc]:[Mas]])+SUM(TblConstr[[#This Row],[Dest Alc]:[Dest Mas]])+Rezone!L127+IF("Ch_"&amp; home_land=TblConstr[[#Headers],[Ch_Plain]],TblConstr[[#This Row],[Home Land]])+IF(TblConstr[[#This Row],[Hour]:[Hour]]&gt;12,OFFSET(TblExplore[[#This Row],[Plains Explore]],-12,0),0)</f>
        <v>0</v>
      </c>
      <c r="CR127" s="182">
        <f ca="1">-SUM(TblConstr[[#This Row],[Ly]:[Hav]])+SUM(TblConstr[[#This Row],[Dest Ly]:[Dest Hav]]) +Rezone!M127 + IF("Ch_"&amp; home_land=TblConstr[[#Headers],[Ch_Forest]],TblConstr[[#This Row],[Home Land]])+IF(TblConstr[[#This Row],[Hour]:[Hour]]&gt;12,OFFSET(TblExplore[[#This Row],[Forest Explore]],-12,0),0)</f>
        <v>0</v>
      </c>
      <c r="CS127" s="359">
        <f ca="1">-SUM(TblConstr[[#This Row],[OM]:[GN]])+SUM(TblConstr[[#This Row],[Dest OM]:[Dest GN]]) +Rezone!N127 + IF("Ch_"&amp; home_land=TblConstr[[#Headers],[Ch_Mountain]],TblConstr[[#This Row],[Home Land]])+IF(TblConstr[[#This Row],[Hour]:[Hour]]&gt;12,OFFSET(TblExplore[[#This Row],[Mountain Explore]],-12,0),0)</f>
        <v>0</v>
      </c>
      <c r="CT127" s="183">
        <f ca="1">-SUM(TblConstr[[#This Row],[Fac]:[Shr]])+SUM(TblConstr[[#This Row],[Dest Fac]:[Dest Shr]]) +Rezone!O127 + IF("Ch_" &amp; home_land=TblConstr[[#Headers],[Ch_Hill]],TblConstr[[#This Row],[Home Land]])+IF(TblConstr[[#This Row],[Hour]:[Hour]]&gt;12,OFFSET(TblExplore[[#This Row],[Hill Explore]],-12,0),0)</f>
        <v>0</v>
      </c>
      <c r="CU127" s="184">
        <f ca="1">-SUM(TblConstr[[#This Row],[Tow]:[WG]])+SUM(TblConstr[[#This Row],[Dest Tow]:[Dest WG]]) +Rezone!P127 + IF("Ch_" &amp; home_land=TblConstr[[#Headers],[Ch_Swamp]],TblConstr[[#This Row],[Home Land]])+IF(TblConstr[[#This Row],[Hour]:[Hour]]&gt;12,OFFSET(TblExplore[[#This Row],[Swamp Explore]],-12,0),0)</f>
        <v>0</v>
      </c>
      <c r="CV127" s="185">
        <f ca="1" xml:space="preserve"> - SUM(TblConstr[[#This Row],[DM]:[Sch]])+SUM(TblConstr[[#This Row],[Dest DM]:[Dest Sch]]) +Rezone!Q127 + IF("Ch_" &amp; home_land=TblConstr[[#Headers],[Ch_Cavern]],TblConstr[[#This Row],[Home Land]])+IF(TblConstr[[#This Row],[Hour]:[Hour]]&gt;12,OFFSET(TblExplore[[#This Row],[Cavern Explore]],-12,0),0)</f>
        <v>0</v>
      </c>
      <c r="CW127" s="186">
        <f ca="1">-TblConstr[[#This Row],[Doc]]+TblConstr[[#This Row],[Dest Doc]] +Rezone!R127 + IF("Ch_" &amp; home_land=TblConstr[[#Headers],[Ch_Water]],TblConstr[[#This Row],[Home Land]])+IF(TblConstr[[#This Row],[Hour]:[Hour]]&gt;12,OFFSET(TblExplore[[#This Row],[Water Explore]],-12,0),0)</f>
        <v>0</v>
      </c>
      <c r="CX127" s="45">
        <f>IF(Explore!S127=1,20) - TblConstr[[#This Row],[Hom]] + TblConstr[[#This Row],[Dest Hom]]</f>
        <v>0</v>
      </c>
      <c r="CY127" s="142"/>
      <c r="CZ127" s="94">
        <f t="shared" ca="1" si="30"/>
        <v>90</v>
      </c>
      <c r="DA127" s="94">
        <f t="shared" ca="1" si="31"/>
        <v>20</v>
      </c>
      <c r="DB127" s="45">
        <f t="shared" ca="1" si="32"/>
        <v>0</v>
      </c>
      <c r="DC127" s="94">
        <f t="shared" ca="1" si="33"/>
        <v>0</v>
      </c>
      <c r="DD127" s="94">
        <f t="shared" ca="1" si="34"/>
        <v>0</v>
      </c>
      <c r="DE127" s="45">
        <f t="shared" ca="1" si="35"/>
        <v>0</v>
      </c>
      <c r="DF127" s="94">
        <f t="shared" ca="1" si="36"/>
        <v>0</v>
      </c>
      <c r="DG127" s="94" cm="1">
        <f t="array" aca="1" ref="DG127" ca="1">INDEX(TblConstr[[Total Plain]:[Total Water]],ROW()-ROW(TblConstr[#Headers]),MATCH("Total "&amp;home_land,TblConstr[[#Headers],[Total Plain]:[Total Water]],0))+TblConstr[[#This Row],[Homes]]</f>
        <v>90</v>
      </c>
      <c r="DH127" s="45">
        <f t="shared" ca="1" si="22"/>
        <v>0</v>
      </c>
      <c r="DI127" s="45">
        <f t="shared" ca="1" si="19"/>
        <v>0</v>
      </c>
      <c r="DJ127" s="45">
        <f t="shared" ca="1" si="20"/>
        <v>0</v>
      </c>
    </row>
    <row r="128" spans="1:114" x14ac:dyDescent="0.2">
      <c r="A128" s="175">
        <f>TblRezone[[#This Row],[Hour]]</f>
        <v>125</v>
      </c>
      <c r="B128" s="176">
        <f ca="1">SUM(TblConstr[[#This Row],[Plain]:[Water]])</f>
        <v>60</v>
      </c>
      <c r="C128" s="177">
        <f ca="1">SUM(TblConstr[[#This Row],[Tot Hom]:[Tot Doc]])</f>
        <v>50</v>
      </c>
      <c r="D128" s="177">
        <f t="shared" si="21"/>
        <v>0</v>
      </c>
      <c r="E128" s="178"/>
      <c r="F128" s="61">
        <f ca="1">TblConstr[[#This Row],[Barren]]+TblConstr[[#This Row],[Buildings]]+TblConstr[[#This Row],[Incoming]]</f>
        <v>110</v>
      </c>
      <c r="G128" s="187">
        <f ca="1">OFFSET(TblConstr[[#This Row],[Plain]],-1,0)+TblConstr[[#This Row],[Ch_Plain]]</f>
        <v>60</v>
      </c>
      <c r="H128" s="182">
        <f ca="1">OFFSET(TblConstr[[#This Row],[Forest]],-1,0)+TblConstr[[#This Row],[Ch_Forest]]</f>
        <v>0</v>
      </c>
      <c r="I128" s="359">
        <f ca="1">OFFSET(TblConstr[[#This Row],[Mountain]],-1,0)+TblConstr[[#This Row],[Ch_Mountain]]</f>
        <v>0</v>
      </c>
      <c r="J128" s="363">
        <f ca="1">OFFSET(TblConstr[[#This Row],[Hill]],-1,0)+TblConstr[[#This Row],[Ch_Hill]]</f>
        <v>0</v>
      </c>
      <c r="K128" s="367">
        <f ca="1">OFFSET(TblConstr[[#This Row],[Swamp]],-1,0)+TblConstr[[#This Row],[Ch_Swamp]]</f>
        <v>0</v>
      </c>
      <c r="L128" s="185">
        <f ca="1">OFFSET(TblConstr[[#This Row],[Cavern]],-1,0)+TblConstr[[#This Row],[Ch_Cavern]]</f>
        <v>0</v>
      </c>
      <c r="M128" s="186">
        <f ca="1">OFFSET(TblConstr[[#This Row],[Water]],-1,0)+TblConstr[[#This Row],[Ch_Water]]</f>
        <v>0</v>
      </c>
      <c r="N128" s="357">
        <f>TblRezone[[#This Row],[Hour]]</f>
        <v>125</v>
      </c>
      <c r="O128" s="179"/>
      <c r="P128" s="179"/>
      <c r="Q128" s="179"/>
      <c r="R128" s="179"/>
      <c r="S128" s="179"/>
      <c r="T128" s="179"/>
      <c r="U128" s="179"/>
      <c r="V128" s="179"/>
      <c r="W128" s="179"/>
      <c r="X128" s="179"/>
      <c r="Y128" s="179"/>
      <c r="Z128" s="179"/>
      <c r="AA128" s="179"/>
      <c r="AB128" s="179"/>
      <c r="AC128" s="179"/>
      <c r="AD128" s="179"/>
      <c r="AE128" s="179"/>
      <c r="AF128" s="179"/>
      <c r="AG128" s="179"/>
      <c r="AH128" s="53">
        <f ca="1">TblImps[[#This Row],[Time]]</f>
        <v>46052.166666666366</v>
      </c>
      <c r="AI128" s="180">
        <f ca="1">MIN(25%,(TblConstr[[#This Row],[Tot Fac]]+TblConstr[[#This Row],[Dest Fac]])/(TblConstr[[#This Row],[Land]]-TblExplore[[#This Row],[Land Bonus]]*20))</f>
        <v>0</v>
      </c>
      <c r="AJ128" s="180">
        <f ca="1">MIN(25%,(TblConstr[[#This Row],[Tot Fac]]+TblConstr[[#This Row],[Dest Fac]])/TblConstr[[#This Row],[Land]])</f>
        <v>0</v>
      </c>
      <c r="AK128" s="94">
        <f ca="1">TblProd[[#This Row],[Platinum]]</f>
        <v>222078</v>
      </c>
      <c r="AL128" s="94">
        <f ca="1">TblProd[[#This Row],[Lumber]]</f>
        <v>75553</v>
      </c>
      <c r="AM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8" s="94">
        <f ca="1">ROUNDDOWN( MAX(1 - MIN(facs_constr_factor*TblConstr[[#This Row],[Facs -DB]],facs_constr_max) + tech_1_11*TblTech[[#This Row],[11-1]] + tech_6_3_2*TblTech[[#This Row],[6-3]] + tech_5_2_3*TblTech[[#This Row],[5-2]], 1-global_constr_cap) * TblConstr[[#This Row],[RCPA Lumber]],0)</f>
        <v>48</v>
      </c>
      <c r="AO128"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8" s="94">
        <f ca="1">ROUNDDOWN( MAX(1 - MIN(facs_constr_factor*TblConstr[[#This Row],[Facs DB]],facs_constr_max) + tech_1_11*TblTech[[#This Row],[1-11]] + tech_6_3_2*TblTech[[#This Row],[6-3]] + tech_5_2_3*TblTech[[#This Row],[5-2]], 1-global_constr_cap) * ROUND((TblConstr[[#This Row],[Land]]-250)*0.285 + 87.5 + 0/4.25,0),0)</f>
        <v>48</v>
      </c>
      <c r="AQ128" s="45">
        <f ca="1">TblConstr[[#This Row],[build -db]]*TblConstr[[#This Row],[CPA Platinum -DB]] + TblConstr[[#This Row],[build db]]*TblConstr[[#This Row],[CPA Platinum DB]]</f>
        <v>0</v>
      </c>
      <c r="AR128" s="45">
        <f ca="1">TblConstr[[#This Row],[build -db]]*TblConstr[[#This Row],[CPA Lumber -DB]] + TblConstr[[#This Row],[build db]]*TblConstr[[#This Row],[CPA Lumber DB]]</f>
        <v>0</v>
      </c>
      <c r="AS128" s="94">
        <f ca="1">MIN(SUM(OFFSET(TblConstr[[#This Row],[Plain]:[Water]],-1,0))+SUM(TblConstr[[#This Row],[Dest Hom]:[Dest Doc]])+IF(TblConstr[[#This Row],[Hour]]&gt;12,SUM(OFFSET(TblExplore[[#This Row],[Plains Explore]:[Water Explore]],-12,0)),0),SUM(TblConstr[[#This Row],[Hom]:[Doc]]))</f>
        <v>0</v>
      </c>
      <c r="AT128"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8" s="142"/>
      <c r="AV128" s="94">
        <f ca="1">ROUND((TblConstr[[#This Row],[Land]]-250 - IF(TblExplore[[#This Row],[Land Bonus]]&lt;&gt;0,20,0))*1.25 + 850 + 0,0)</f>
        <v>675</v>
      </c>
      <c r="AW128" s="94">
        <f ca="1">ROUND((TblConstr[[#This Row],[Land]]-250 - IF(TblExplore[[#This Row],[Land Bonus]]&lt;&gt;0,20,0))*0.285 + 87.5 + 0/4.25,0)</f>
        <v>48</v>
      </c>
      <c r="AX128" s="154"/>
      <c r="AY128" s="188" cm="1">
        <f t="array" aca="1" ref="AY128" ca="1">IF(TblConstr[[#This Row],[Hour]:[Hour]]&gt;12,OFFSET(TblConstr[[#This Row],[Hom]],-12,0),0)+OFFSET(TblConstr[[#This Row],[Tot Hom]],-1,0)-TblConstr[[#This Row],[Dest Hom]]</f>
        <v>0</v>
      </c>
      <c r="AZ128" s="189" cm="1">
        <f t="array" aca="1" ref="AZ128" ca="1">IF(TblConstr[[#This Row],[Hour]:[Hour]]&gt;12,OFFSET(TblConstr[[#This Row],[Alc]],-12,0),0)+OFFSET(TblConstr[[#This Row],[Tot Alc]],-1,0)-TblConstr[[#This Row],[Dest Alc]]</f>
        <v>0</v>
      </c>
      <c r="BA128" s="189" cm="1">
        <f t="array" aca="1" ref="BA128" ca="1">IF(TblConstr[[#This Row],[Hour]:[Hour]]&gt;12,OFFSET(TblConstr[[#This Row],[Far]],-12,0),0)+OFFSET(TblConstr[[#This Row],[Tot Farm]],-1,0)-TblConstr[[#This Row],[Dest Farm]]</f>
        <v>30</v>
      </c>
      <c r="BB128" s="189" cm="1">
        <f t="array" aca="1" ref="BB128" ca="1">IF(TblConstr[[#This Row],[Hour]:[Hour]]&gt;12,OFFSET(TblConstr[[#This Row],[Smi]],-12,0),0)+OFFSET(TblConstr[[#This Row],[Tot Smi]],-1,0)-TblConstr[[#This Row],[Dest Smi]]</f>
        <v>0</v>
      </c>
      <c r="BC128" s="189" cm="1">
        <f t="array" aca="1" ref="BC128" ca="1">IF(TblConstr[[#This Row],[Hour]:[Hour]]&gt;12,OFFSET(TblConstr[[#This Row],[Mas]],-12,0),0)+OFFSET(TblConstr[[#This Row],[Tot Mas]],-1,0)-TblConstr[[#This Row],[Dest Mas]]</f>
        <v>0</v>
      </c>
      <c r="BD128" s="190" cm="1">
        <f t="array" aca="1" ref="BD128" ca="1">IF(TblConstr[[#This Row],[Hour]:[Hour]]&gt;12,OFFSET(TblConstr[[#This Row],[Ly]],-12,0),0)+OFFSET(TblConstr[[#This Row],[Tot Ly]],-1,0)-TblConstr[[#This Row],[Dest Ly]]</f>
        <v>20</v>
      </c>
      <c r="BE128" s="190" cm="1">
        <f t="array" aca="1" ref="BE128" ca="1">IF(TblConstr[[#This Row],[Hour]:[Hour]]&gt;12,OFFSET(TblConstr[[#This Row],[Hav]],-12,0),0)+OFFSET(TblConstr[[#This Row],[Tot Hav]],-1,0)-TblConstr[[#This Row],[Dest Hav]]</f>
        <v>0</v>
      </c>
      <c r="BF128" s="361" cm="1">
        <f t="array" aca="1" ref="BF128" ca="1">IF(TblConstr[[#This Row],[Hour]:[Hour]]&gt;12,OFFSET(TblConstr[[#This Row],[OM]],-12,0),0)+OFFSET(TblConstr[[#This Row],[Tot OM]],-1,0)-TblConstr[[#This Row],[Dest OM]]</f>
        <v>0</v>
      </c>
      <c r="BG128" s="361" cm="1">
        <f t="array" aca="1" ref="BG128" ca="1">IF(TblConstr[[#This Row],[Hour]:[Hour]]&gt;12,OFFSET(TblConstr[[#This Row],[GN]],-12,0),0)+OFFSET(TblConstr[[#This Row],[Tot GN]],-1,0)-TblConstr[[#This Row],[Dest GN]]</f>
        <v>0</v>
      </c>
      <c r="BH128" s="365" cm="1">
        <f t="array" aca="1" ref="BH128" ca="1">IF(TblConstr[[#This Row],[Hour]:[Hour]]&gt;12,OFFSET(TblConstr[[#This Row],[Fac]],-12,0),0)+OFFSET(TblConstr[[#This Row],[Tot Fac]],-1,0)-TblConstr[[#This Row],[Dest Fac]]</f>
        <v>0</v>
      </c>
      <c r="BI128" s="365" cm="1">
        <f t="array" aca="1" ref="BI128" ca="1">IF(TblConstr[[#This Row],[Hour]:[Hour]]&gt;12,OFFSET(TblConstr[[#This Row],[GT]],-12,0),0)+OFFSET(TblConstr[[#This Row],[Tot GT]],-1,0)-TblConstr[[#This Row],[Dest GT]]</f>
        <v>0</v>
      </c>
      <c r="BJ128" s="365" cm="1">
        <f t="array" aca="1" ref="BJ128" ca="1">IF(TblConstr[[#This Row],[Hour]:[Hour]]&gt;12,OFFSET(TblConstr[[#This Row],[Bar]],-12,0),0)+OFFSET(TblConstr[[#This Row],[Tot Bar]],-1,0)-TblConstr[[#This Row],[Dest Bar]]</f>
        <v>0</v>
      </c>
      <c r="BK128" s="365" cm="1">
        <f t="array" aca="1" ref="BK128" ca="1">IF(TblConstr[[#This Row],[Hour]:[Hour]]&gt;12,OFFSET(TblConstr[[#This Row],[Shr]],-12,0),0)+OFFSET(TblConstr[[#This Row],[Tot Shr]],-1,0)-TblConstr[[#This Row],[Dest Shr]]</f>
        <v>0</v>
      </c>
      <c r="BL128" s="369" cm="1">
        <f t="array" aca="1" ref="BL128" ca="1">IF(TblConstr[[#This Row],[Hour]:[Hour]]&gt;12,OFFSET(TblConstr[[#This Row],[Tow]],-12,0),0)+OFFSET(TblConstr[[#This Row],[Tot Tow]],-1,0)-TblConstr[[#This Row],[Dest Tow]]</f>
        <v>0</v>
      </c>
      <c r="BM128" s="369" cm="1">
        <f t="array" aca="1" ref="BM128" ca="1">IF(TblConstr[[#This Row],[Hour]:[Hour]]&gt;12,OFFSET(TblConstr[[#This Row],[Tem]],-12,0),0)+OFFSET(TblConstr[[#This Row],[Tot Tem]],-1,0)-TblConstr[[#This Row],[Dest Tem]]</f>
        <v>0</v>
      </c>
      <c r="BN128" s="369" cm="1">
        <f t="array" aca="1" ref="BN128" ca="1">IF(TblConstr[[#This Row],[Hour]:[Hour]]&gt;12,OFFSET(TblConstr[[#This Row],[WG]],-12,0),0)+OFFSET(TblConstr[[#This Row],[Tot WG]],-1,0)-TblConstr[[#This Row],[Dest WG]]</f>
        <v>0</v>
      </c>
      <c r="BO128" s="191" cm="1">
        <f t="array" aca="1" ref="BO128" ca="1">IF(TblConstr[[#This Row],[Hour]:[Hour]]&gt;12,OFFSET(TblConstr[[#This Row],[DM]],-12,0),0)+OFFSET(TblConstr[[#This Row],[Tot DM]],-1,0)-TblConstr[[#This Row],[Dest DM]]</f>
        <v>0</v>
      </c>
      <c r="BP128" s="191" cm="1">
        <f t="array" aca="1" ref="BP128" ca="1">IF(TblConstr[[#This Row],[Hour]:[Hour]]&gt;12,OFFSET(TblConstr[[#This Row],[Sch]],-12,0),0)+OFFSET(TblConstr[[#This Row],[Tot Sch]],-1,0)-TblConstr[[#This Row],[Dest Sch]]</f>
        <v>0</v>
      </c>
      <c r="BQ128" s="192" cm="1">
        <f t="array" aca="1" ref="BQ128" ca="1">IF(TblConstr[[#This Row],[Hour]:[Hour]]&gt;12,OFFSET(TblConstr[[#This Row],[Doc]],-12,0),0)+OFFSET(TblConstr[[#This Row],[Tot Doc]],-1,0)-TblConstr[[#This Row],[Dest Doc]]</f>
        <v>0</v>
      </c>
      <c r="BR128" s="142"/>
      <c r="BS128" s="154"/>
      <c r="BT128" s="94">
        <f ca="1">TblConstr[[#This Row],[Land]]</f>
        <v>110</v>
      </c>
      <c r="BU128" s="159">
        <f ca="1">TblImps[[#This Row],[Time]]</f>
        <v>46052.166666666366</v>
      </c>
      <c r="BV128" s="142"/>
      <c r="BW128" s="179"/>
      <c r="BX128" s="179"/>
      <c r="BY128" s="179"/>
      <c r="BZ128" s="179"/>
      <c r="CA128" s="179"/>
      <c r="CB128" s="179"/>
      <c r="CC128" s="179"/>
      <c r="CD128" s="179"/>
      <c r="CE128" s="179"/>
      <c r="CF128" s="179"/>
      <c r="CG128" s="179"/>
      <c r="CH128" s="179"/>
      <c r="CI128" s="179"/>
      <c r="CJ128" s="179"/>
      <c r="CK128" s="179"/>
      <c r="CL128" s="179"/>
      <c r="CM128" s="179"/>
      <c r="CN128" s="179"/>
      <c r="CO128" s="179"/>
      <c r="CP128" s="142"/>
      <c r="CQ128" s="181">
        <f ca="1">-SUM(TblConstr[[#This Row],[Alc]:[Mas]])+SUM(TblConstr[[#This Row],[Dest Alc]:[Dest Mas]])+Rezone!L128+IF("Ch_"&amp; home_land=TblConstr[[#Headers],[Ch_Plain]],TblConstr[[#This Row],[Home Land]])+IF(TblConstr[[#This Row],[Hour]:[Hour]]&gt;12,OFFSET(TblExplore[[#This Row],[Plains Explore]],-12,0),0)</f>
        <v>0</v>
      </c>
      <c r="CR128" s="182">
        <f ca="1">-SUM(TblConstr[[#This Row],[Ly]:[Hav]])+SUM(TblConstr[[#This Row],[Dest Ly]:[Dest Hav]]) +Rezone!M128 + IF("Ch_"&amp; home_land=TblConstr[[#Headers],[Ch_Forest]],TblConstr[[#This Row],[Home Land]])+IF(TblConstr[[#This Row],[Hour]:[Hour]]&gt;12,OFFSET(TblExplore[[#This Row],[Forest Explore]],-12,0),0)</f>
        <v>0</v>
      </c>
      <c r="CS128" s="359">
        <f ca="1">-SUM(TblConstr[[#This Row],[OM]:[GN]])+SUM(TblConstr[[#This Row],[Dest OM]:[Dest GN]]) +Rezone!N128 + IF("Ch_"&amp; home_land=TblConstr[[#Headers],[Ch_Mountain]],TblConstr[[#This Row],[Home Land]])+IF(TblConstr[[#This Row],[Hour]:[Hour]]&gt;12,OFFSET(TblExplore[[#This Row],[Mountain Explore]],-12,0),0)</f>
        <v>0</v>
      </c>
      <c r="CT128" s="183">
        <f ca="1">-SUM(TblConstr[[#This Row],[Fac]:[Shr]])+SUM(TblConstr[[#This Row],[Dest Fac]:[Dest Shr]]) +Rezone!O128 + IF("Ch_" &amp; home_land=TblConstr[[#Headers],[Ch_Hill]],TblConstr[[#This Row],[Home Land]])+IF(TblConstr[[#This Row],[Hour]:[Hour]]&gt;12,OFFSET(TblExplore[[#This Row],[Hill Explore]],-12,0),0)</f>
        <v>0</v>
      </c>
      <c r="CU128" s="184">
        <f ca="1">-SUM(TblConstr[[#This Row],[Tow]:[WG]])+SUM(TblConstr[[#This Row],[Dest Tow]:[Dest WG]]) +Rezone!P128 + IF("Ch_" &amp; home_land=TblConstr[[#Headers],[Ch_Swamp]],TblConstr[[#This Row],[Home Land]])+IF(TblConstr[[#This Row],[Hour]:[Hour]]&gt;12,OFFSET(TblExplore[[#This Row],[Swamp Explore]],-12,0),0)</f>
        <v>0</v>
      </c>
      <c r="CV128" s="185">
        <f ca="1" xml:space="preserve"> - SUM(TblConstr[[#This Row],[DM]:[Sch]])+SUM(TblConstr[[#This Row],[Dest DM]:[Dest Sch]]) +Rezone!Q128 + IF("Ch_" &amp; home_land=TblConstr[[#Headers],[Ch_Cavern]],TblConstr[[#This Row],[Home Land]])+IF(TblConstr[[#This Row],[Hour]:[Hour]]&gt;12,OFFSET(TblExplore[[#This Row],[Cavern Explore]],-12,0),0)</f>
        <v>0</v>
      </c>
      <c r="CW128" s="186">
        <f ca="1">-TblConstr[[#This Row],[Doc]]+TblConstr[[#This Row],[Dest Doc]] +Rezone!R128 + IF("Ch_" &amp; home_land=TblConstr[[#Headers],[Ch_Water]],TblConstr[[#This Row],[Home Land]])+IF(TblConstr[[#This Row],[Hour]:[Hour]]&gt;12,OFFSET(TblExplore[[#This Row],[Water Explore]],-12,0),0)</f>
        <v>0</v>
      </c>
      <c r="CX128" s="45">
        <f>IF(Explore!S128=1,20) - TblConstr[[#This Row],[Hom]] + TblConstr[[#This Row],[Dest Hom]]</f>
        <v>0</v>
      </c>
      <c r="CY128" s="142"/>
      <c r="CZ128" s="94">
        <f t="shared" ca="1" si="30"/>
        <v>90</v>
      </c>
      <c r="DA128" s="94">
        <f t="shared" ca="1" si="31"/>
        <v>20</v>
      </c>
      <c r="DB128" s="45">
        <f t="shared" ca="1" si="32"/>
        <v>0</v>
      </c>
      <c r="DC128" s="94">
        <f t="shared" ca="1" si="33"/>
        <v>0</v>
      </c>
      <c r="DD128" s="94">
        <f t="shared" ca="1" si="34"/>
        <v>0</v>
      </c>
      <c r="DE128" s="45">
        <f t="shared" ca="1" si="35"/>
        <v>0</v>
      </c>
      <c r="DF128" s="94">
        <f t="shared" ca="1" si="36"/>
        <v>0</v>
      </c>
      <c r="DG128" s="94" cm="1">
        <f t="array" aca="1" ref="DG128" ca="1">INDEX(TblConstr[[Total Plain]:[Total Water]],ROW()-ROW(TblConstr[#Headers]),MATCH("Total "&amp;home_land,TblConstr[[#Headers],[Total Plain]:[Total Water]],0))+TblConstr[[#This Row],[Homes]]</f>
        <v>90</v>
      </c>
      <c r="DH128" s="45">
        <f t="shared" ca="1" si="22"/>
        <v>0</v>
      </c>
      <c r="DI128" s="45">
        <f t="shared" ca="1" si="19"/>
        <v>0</v>
      </c>
      <c r="DJ128" s="45">
        <f t="shared" ca="1" si="20"/>
        <v>0</v>
      </c>
    </row>
    <row r="129" spans="1:114" x14ac:dyDescent="0.2">
      <c r="A129" s="175">
        <f>TblRezone[[#This Row],[Hour]]</f>
        <v>126</v>
      </c>
      <c r="B129" s="176">
        <f ca="1">SUM(TblConstr[[#This Row],[Plain]:[Water]])</f>
        <v>60</v>
      </c>
      <c r="C129" s="177">
        <f ca="1">SUM(TblConstr[[#This Row],[Tot Hom]:[Tot Doc]])</f>
        <v>50</v>
      </c>
      <c r="D129" s="177">
        <f t="shared" si="21"/>
        <v>0</v>
      </c>
      <c r="E129" s="178"/>
      <c r="F129" s="61">
        <f ca="1">TblConstr[[#This Row],[Barren]]+TblConstr[[#This Row],[Buildings]]+TblConstr[[#This Row],[Incoming]]</f>
        <v>110</v>
      </c>
      <c r="G129" s="187">
        <f ca="1">OFFSET(TblConstr[[#This Row],[Plain]],-1,0)+TblConstr[[#This Row],[Ch_Plain]]</f>
        <v>60</v>
      </c>
      <c r="H129" s="182">
        <f ca="1">OFFSET(TblConstr[[#This Row],[Forest]],-1,0)+TblConstr[[#This Row],[Ch_Forest]]</f>
        <v>0</v>
      </c>
      <c r="I129" s="359">
        <f ca="1">OFFSET(TblConstr[[#This Row],[Mountain]],-1,0)+TblConstr[[#This Row],[Ch_Mountain]]</f>
        <v>0</v>
      </c>
      <c r="J129" s="363">
        <f ca="1">OFFSET(TblConstr[[#This Row],[Hill]],-1,0)+TblConstr[[#This Row],[Ch_Hill]]</f>
        <v>0</v>
      </c>
      <c r="K129" s="367">
        <f ca="1">OFFSET(TblConstr[[#This Row],[Swamp]],-1,0)+TblConstr[[#This Row],[Ch_Swamp]]</f>
        <v>0</v>
      </c>
      <c r="L129" s="185">
        <f ca="1">OFFSET(TblConstr[[#This Row],[Cavern]],-1,0)+TblConstr[[#This Row],[Ch_Cavern]]</f>
        <v>0</v>
      </c>
      <c r="M129" s="186">
        <f ca="1">OFFSET(TblConstr[[#This Row],[Water]],-1,0)+TblConstr[[#This Row],[Ch_Water]]</f>
        <v>0</v>
      </c>
      <c r="N129" s="357">
        <f>TblRezone[[#This Row],[Hour]]</f>
        <v>126</v>
      </c>
      <c r="O129" s="179"/>
      <c r="P129" s="179"/>
      <c r="Q129" s="179"/>
      <c r="R129" s="179"/>
      <c r="S129" s="179"/>
      <c r="T129" s="179"/>
      <c r="U129" s="179"/>
      <c r="V129" s="179"/>
      <c r="W129" s="179"/>
      <c r="X129" s="179"/>
      <c r="Y129" s="179"/>
      <c r="Z129" s="179"/>
      <c r="AA129" s="179"/>
      <c r="AB129" s="179"/>
      <c r="AC129" s="179"/>
      <c r="AD129" s="179"/>
      <c r="AE129" s="179"/>
      <c r="AF129" s="179"/>
      <c r="AG129" s="179"/>
      <c r="AH129" s="53">
        <f ca="1">TblImps[[#This Row],[Time]]</f>
        <v>46052.20833333303</v>
      </c>
      <c r="AI129" s="180">
        <f ca="1">MIN(25%,(TblConstr[[#This Row],[Tot Fac]]+TblConstr[[#This Row],[Dest Fac]])/(TblConstr[[#This Row],[Land]]-TblExplore[[#This Row],[Land Bonus]]*20))</f>
        <v>0</v>
      </c>
      <c r="AJ129" s="180">
        <f ca="1">MIN(25%,(TblConstr[[#This Row],[Tot Fac]]+TblConstr[[#This Row],[Dest Fac]])/TblConstr[[#This Row],[Land]])</f>
        <v>0</v>
      </c>
      <c r="AK129" s="94">
        <f ca="1">TblProd[[#This Row],[Platinum]]</f>
        <v>222861</v>
      </c>
      <c r="AL129" s="94">
        <f ca="1">TblProd[[#This Row],[Lumber]]</f>
        <v>75797</v>
      </c>
      <c r="AM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29" s="94">
        <f ca="1">ROUNDDOWN( MAX(1 - MIN(facs_constr_factor*TblConstr[[#This Row],[Facs -DB]],facs_constr_max) + tech_1_11*TblTech[[#This Row],[11-1]] + tech_6_3_2*TblTech[[#This Row],[6-3]] + tech_5_2_3*TblTech[[#This Row],[5-2]], 1-global_constr_cap) * TblConstr[[#This Row],[RCPA Lumber]],0)</f>
        <v>48</v>
      </c>
      <c r="AO129"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29" s="94">
        <f ca="1">ROUNDDOWN( MAX(1 - MIN(facs_constr_factor*TblConstr[[#This Row],[Facs DB]],facs_constr_max) + tech_1_11*TblTech[[#This Row],[1-11]] + tech_6_3_2*TblTech[[#This Row],[6-3]] + tech_5_2_3*TblTech[[#This Row],[5-2]], 1-global_constr_cap) * ROUND((TblConstr[[#This Row],[Land]]-250)*0.285 + 87.5 + 0/4.25,0),0)</f>
        <v>48</v>
      </c>
      <c r="AQ129" s="45">
        <f ca="1">TblConstr[[#This Row],[build -db]]*TblConstr[[#This Row],[CPA Platinum -DB]] + TblConstr[[#This Row],[build db]]*TblConstr[[#This Row],[CPA Platinum DB]]</f>
        <v>0</v>
      </c>
      <c r="AR129" s="45">
        <f ca="1">TblConstr[[#This Row],[build -db]]*TblConstr[[#This Row],[CPA Lumber -DB]] + TblConstr[[#This Row],[build db]]*TblConstr[[#This Row],[CPA Lumber DB]]</f>
        <v>0</v>
      </c>
      <c r="AS129" s="94">
        <f ca="1">MIN(SUM(OFFSET(TblConstr[[#This Row],[Plain]:[Water]],-1,0))+SUM(TblConstr[[#This Row],[Dest Hom]:[Dest Doc]])+IF(TblConstr[[#This Row],[Hour]]&gt;12,SUM(OFFSET(TblExplore[[#This Row],[Plains Explore]:[Water Explore]],-12,0)),0),SUM(TblConstr[[#This Row],[Hom]:[Doc]]))</f>
        <v>0</v>
      </c>
      <c r="AT129"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29" s="142"/>
      <c r="AV129" s="94">
        <f ca="1">ROUND((TblConstr[[#This Row],[Land]]-250 - IF(TblExplore[[#This Row],[Land Bonus]]&lt;&gt;0,20,0))*1.25 + 850 + 0,0)</f>
        <v>675</v>
      </c>
      <c r="AW129" s="94">
        <f ca="1">ROUND((TblConstr[[#This Row],[Land]]-250 - IF(TblExplore[[#This Row],[Land Bonus]]&lt;&gt;0,20,0))*0.285 + 87.5 + 0/4.25,0)</f>
        <v>48</v>
      </c>
      <c r="AX129" s="154"/>
      <c r="AY129" s="188" cm="1">
        <f t="array" aca="1" ref="AY129" ca="1">IF(TblConstr[[#This Row],[Hour]:[Hour]]&gt;12,OFFSET(TblConstr[[#This Row],[Hom]],-12,0),0)+OFFSET(TblConstr[[#This Row],[Tot Hom]],-1,0)-TblConstr[[#This Row],[Dest Hom]]</f>
        <v>0</v>
      </c>
      <c r="AZ129" s="189" cm="1">
        <f t="array" aca="1" ref="AZ129" ca="1">IF(TblConstr[[#This Row],[Hour]:[Hour]]&gt;12,OFFSET(TblConstr[[#This Row],[Alc]],-12,0),0)+OFFSET(TblConstr[[#This Row],[Tot Alc]],-1,0)-TblConstr[[#This Row],[Dest Alc]]</f>
        <v>0</v>
      </c>
      <c r="BA129" s="189" cm="1">
        <f t="array" aca="1" ref="BA129" ca="1">IF(TblConstr[[#This Row],[Hour]:[Hour]]&gt;12,OFFSET(TblConstr[[#This Row],[Far]],-12,0),0)+OFFSET(TblConstr[[#This Row],[Tot Farm]],-1,0)-TblConstr[[#This Row],[Dest Farm]]</f>
        <v>30</v>
      </c>
      <c r="BB129" s="189" cm="1">
        <f t="array" aca="1" ref="BB129" ca="1">IF(TblConstr[[#This Row],[Hour]:[Hour]]&gt;12,OFFSET(TblConstr[[#This Row],[Smi]],-12,0),0)+OFFSET(TblConstr[[#This Row],[Tot Smi]],-1,0)-TblConstr[[#This Row],[Dest Smi]]</f>
        <v>0</v>
      </c>
      <c r="BC129" s="189" cm="1">
        <f t="array" aca="1" ref="BC129" ca="1">IF(TblConstr[[#This Row],[Hour]:[Hour]]&gt;12,OFFSET(TblConstr[[#This Row],[Mas]],-12,0),0)+OFFSET(TblConstr[[#This Row],[Tot Mas]],-1,0)-TblConstr[[#This Row],[Dest Mas]]</f>
        <v>0</v>
      </c>
      <c r="BD129" s="190" cm="1">
        <f t="array" aca="1" ref="BD129" ca="1">IF(TblConstr[[#This Row],[Hour]:[Hour]]&gt;12,OFFSET(TblConstr[[#This Row],[Ly]],-12,0),0)+OFFSET(TblConstr[[#This Row],[Tot Ly]],-1,0)-TblConstr[[#This Row],[Dest Ly]]</f>
        <v>20</v>
      </c>
      <c r="BE129" s="190" cm="1">
        <f t="array" aca="1" ref="BE129" ca="1">IF(TblConstr[[#This Row],[Hour]:[Hour]]&gt;12,OFFSET(TblConstr[[#This Row],[Hav]],-12,0),0)+OFFSET(TblConstr[[#This Row],[Tot Hav]],-1,0)-TblConstr[[#This Row],[Dest Hav]]</f>
        <v>0</v>
      </c>
      <c r="BF129" s="361" cm="1">
        <f t="array" aca="1" ref="BF129" ca="1">IF(TblConstr[[#This Row],[Hour]:[Hour]]&gt;12,OFFSET(TblConstr[[#This Row],[OM]],-12,0),0)+OFFSET(TblConstr[[#This Row],[Tot OM]],-1,0)-TblConstr[[#This Row],[Dest OM]]</f>
        <v>0</v>
      </c>
      <c r="BG129" s="361" cm="1">
        <f t="array" aca="1" ref="BG129" ca="1">IF(TblConstr[[#This Row],[Hour]:[Hour]]&gt;12,OFFSET(TblConstr[[#This Row],[GN]],-12,0),0)+OFFSET(TblConstr[[#This Row],[Tot GN]],-1,0)-TblConstr[[#This Row],[Dest GN]]</f>
        <v>0</v>
      </c>
      <c r="BH129" s="365" cm="1">
        <f t="array" aca="1" ref="BH129" ca="1">IF(TblConstr[[#This Row],[Hour]:[Hour]]&gt;12,OFFSET(TblConstr[[#This Row],[Fac]],-12,0),0)+OFFSET(TblConstr[[#This Row],[Tot Fac]],-1,0)-TblConstr[[#This Row],[Dest Fac]]</f>
        <v>0</v>
      </c>
      <c r="BI129" s="365" cm="1">
        <f t="array" aca="1" ref="BI129" ca="1">IF(TblConstr[[#This Row],[Hour]:[Hour]]&gt;12,OFFSET(TblConstr[[#This Row],[GT]],-12,0),0)+OFFSET(TblConstr[[#This Row],[Tot GT]],-1,0)-TblConstr[[#This Row],[Dest GT]]</f>
        <v>0</v>
      </c>
      <c r="BJ129" s="365" cm="1">
        <f t="array" aca="1" ref="BJ129" ca="1">IF(TblConstr[[#This Row],[Hour]:[Hour]]&gt;12,OFFSET(TblConstr[[#This Row],[Bar]],-12,0),0)+OFFSET(TblConstr[[#This Row],[Tot Bar]],-1,0)-TblConstr[[#This Row],[Dest Bar]]</f>
        <v>0</v>
      </c>
      <c r="BK129" s="365" cm="1">
        <f t="array" aca="1" ref="BK129" ca="1">IF(TblConstr[[#This Row],[Hour]:[Hour]]&gt;12,OFFSET(TblConstr[[#This Row],[Shr]],-12,0),0)+OFFSET(TblConstr[[#This Row],[Tot Shr]],-1,0)-TblConstr[[#This Row],[Dest Shr]]</f>
        <v>0</v>
      </c>
      <c r="BL129" s="369" cm="1">
        <f t="array" aca="1" ref="BL129" ca="1">IF(TblConstr[[#This Row],[Hour]:[Hour]]&gt;12,OFFSET(TblConstr[[#This Row],[Tow]],-12,0),0)+OFFSET(TblConstr[[#This Row],[Tot Tow]],-1,0)-TblConstr[[#This Row],[Dest Tow]]</f>
        <v>0</v>
      </c>
      <c r="BM129" s="369" cm="1">
        <f t="array" aca="1" ref="BM129" ca="1">IF(TblConstr[[#This Row],[Hour]:[Hour]]&gt;12,OFFSET(TblConstr[[#This Row],[Tem]],-12,0),0)+OFFSET(TblConstr[[#This Row],[Tot Tem]],-1,0)-TblConstr[[#This Row],[Dest Tem]]</f>
        <v>0</v>
      </c>
      <c r="BN129" s="369" cm="1">
        <f t="array" aca="1" ref="BN129" ca="1">IF(TblConstr[[#This Row],[Hour]:[Hour]]&gt;12,OFFSET(TblConstr[[#This Row],[WG]],-12,0),0)+OFFSET(TblConstr[[#This Row],[Tot WG]],-1,0)-TblConstr[[#This Row],[Dest WG]]</f>
        <v>0</v>
      </c>
      <c r="BO129" s="191" cm="1">
        <f t="array" aca="1" ref="BO129" ca="1">IF(TblConstr[[#This Row],[Hour]:[Hour]]&gt;12,OFFSET(TblConstr[[#This Row],[DM]],-12,0),0)+OFFSET(TblConstr[[#This Row],[Tot DM]],-1,0)-TblConstr[[#This Row],[Dest DM]]</f>
        <v>0</v>
      </c>
      <c r="BP129" s="191" cm="1">
        <f t="array" aca="1" ref="BP129" ca="1">IF(TblConstr[[#This Row],[Hour]:[Hour]]&gt;12,OFFSET(TblConstr[[#This Row],[Sch]],-12,0),0)+OFFSET(TblConstr[[#This Row],[Tot Sch]],-1,0)-TblConstr[[#This Row],[Dest Sch]]</f>
        <v>0</v>
      </c>
      <c r="BQ129" s="192" cm="1">
        <f t="array" aca="1" ref="BQ129" ca="1">IF(TblConstr[[#This Row],[Hour]:[Hour]]&gt;12,OFFSET(TblConstr[[#This Row],[Doc]],-12,0),0)+OFFSET(TblConstr[[#This Row],[Tot Doc]],-1,0)-TblConstr[[#This Row],[Dest Doc]]</f>
        <v>0</v>
      </c>
      <c r="BR129" s="142"/>
      <c r="BS129" s="154"/>
      <c r="BT129" s="94">
        <f ca="1">TblConstr[[#This Row],[Land]]</f>
        <v>110</v>
      </c>
      <c r="BU129" s="159">
        <f ca="1">TblImps[[#This Row],[Time]]</f>
        <v>46052.20833333303</v>
      </c>
      <c r="BV129" s="142"/>
      <c r="BW129" s="179"/>
      <c r="BX129" s="179"/>
      <c r="BY129" s="179"/>
      <c r="BZ129" s="179"/>
      <c r="CA129" s="179"/>
      <c r="CB129" s="179"/>
      <c r="CC129" s="179"/>
      <c r="CD129" s="179"/>
      <c r="CE129" s="179"/>
      <c r="CF129" s="179"/>
      <c r="CG129" s="179"/>
      <c r="CH129" s="179"/>
      <c r="CI129" s="179"/>
      <c r="CJ129" s="179"/>
      <c r="CK129" s="179"/>
      <c r="CL129" s="179"/>
      <c r="CM129" s="179"/>
      <c r="CN129" s="179"/>
      <c r="CO129" s="179"/>
      <c r="CP129" s="142"/>
      <c r="CQ129" s="181">
        <f ca="1">-SUM(TblConstr[[#This Row],[Alc]:[Mas]])+SUM(TblConstr[[#This Row],[Dest Alc]:[Dest Mas]])+Rezone!L129+IF("Ch_"&amp; home_land=TblConstr[[#Headers],[Ch_Plain]],TblConstr[[#This Row],[Home Land]])+IF(TblConstr[[#This Row],[Hour]:[Hour]]&gt;12,OFFSET(TblExplore[[#This Row],[Plains Explore]],-12,0),0)</f>
        <v>0</v>
      </c>
      <c r="CR129" s="182">
        <f ca="1">-SUM(TblConstr[[#This Row],[Ly]:[Hav]])+SUM(TblConstr[[#This Row],[Dest Ly]:[Dest Hav]]) +Rezone!M129 + IF("Ch_"&amp; home_land=TblConstr[[#Headers],[Ch_Forest]],TblConstr[[#This Row],[Home Land]])+IF(TblConstr[[#This Row],[Hour]:[Hour]]&gt;12,OFFSET(TblExplore[[#This Row],[Forest Explore]],-12,0),0)</f>
        <v>0</v>
      </c>
      <c r="CS129" s="359">
        <f ca="1">-SUM(TblConstr[[#This Row],[OM]:[GN]])+SUM(TblConstr[[#This Row],[Dest OM]:[Dest GN]]) +Rezone!N129 + IF("Ch_"&amp; home_land=TblConstr[[#Headers],[Ch_Mountain]],TblConstr[[#This Row],[Home Land]])+IF(TblConstr[[#This Row],[Hour]:[Hour]]&gt;12,OFFSET(TblExplore[[#This Row],[Mountain Explore]],-12,0),0)</f>
        <v>0</v>
      </c>
      <c r="CT129" s="183">
        <f ca="1">-SUM(TblConstr[[#This Row],[Fac]:[Shr]])+SUM(TblConstr[[#This Row],[Dest Fac]:[Dest Shr]]) +Rezone!O129 + IF("Ch_" &amp; home_land=TblConstr[[#Headers],[Ch_Hill]],TblConstr[[#This Row],[Home Land]])+IF(TblConstr[[#This Row],[Hour]:[Hour]]&gt;12,OFFSET(TblExplore[[#This Row],[Hill Explore]],-12,0),0)</f>
        <v>0</v>
      </c>
      <c r="CU129" s="184">
        <f ca="1">-SUM(TblConstr[[#This Row],[Tow]:[WG]])+SUM(TblConstr[[#This Row],[Dest Tow]:[Dest WG]]) +Rezone!P129 + IF("Ch_" &amp; home_land=TblConstr[[#Headers],[Ch_Swamp]],TblConstr[[#This Row],[Home Land]])+IF(TblConstr[[#This Row],[Hour]:[Hour]]&gt;12,OFFSET(TblExplore[[#This Row],[Swamp Explore]],-12,0),0)</f>
        <v>0</v>
      </c>
      <c r="CV129" s="185">
        <f ca="1" xml:space="preserve"> - SUM(TblConstr[[#This Row],[DM]:[Sch]])+SUM(TblConstr[[#This Row],[Dest DM]:[Dest Sch]]) +Rezone!Q129 + IF("Ch_" &amp; home_land=TblConstr[[#Headers],[Ch_Cavern]],TblConstr[[#This Row],[Home Land]])+IF(TblConstr[[#This Row],[Hour]:[Hour]]&gt;12,OFFSET(TblExplore[[#This Row],[Cavern Explore]],-12,0),0)</f>
        <v>0</v>
      </c>
      <c r="CW129" s="186">
        <f ca="1">-TblConstr[[#This Row],[Doc]]+TblConstr[[#This Row],[Dest Doc]] +Rezone!R129 + IF("Ch_" &amp; home_land=TblConstr[[#Headers],[Ch_Water]],TblConstr[[#This Row],[Home Land]])+IF(TblConstr[[#This Row],[Hour]:[Hour]]&gt;12,OFFSET(TblExplore[[#This Row],[Water Explore]],-12,0),0)</f>
        <v>0</v>
      </c>
      <c r="CX129" s="45">
        <f>IF(Explore!S129=1,20) - TblConstr[[#This Row],[Hom]] + TblConstr[[#This Row],[Dest Hom]]</f>
        <v>0</v>
      </c>
      <c r="CY129" s="142"/>
      <c r="CZ129" s="94">
        <f t="shared" ca="1" si="30"/>
        <v>90</v>
      </c>
      <c r="DA129" s="94">
        <f t="shared" ca="1" si="31"/>
        <v>20</v>
      </c>
      <c r="DB129" s="45">
        <f t="shared" ca="1" si="32"/>
        <v>0</v>
      </c>
      <c r="DC129" s="94">
        <f t="shared" ca="1" si="33"/>
        <v>0</v>
      </c>
      <c r="DD129" s="94">
        <f t="shared" ca="1" si="34"/>
        <v>0</v>
      </c>
      <c r="DE129" s="45">
        <f t="shared" ca="1" si="35"/>
        <v>0</v>
      </c>
      <c r="DF129" s="94">
        <f t="shared" ca="1" si="36"/>
        <v>0</v>
      </c>
      <c r="DG129" s="94" cm="1">
        <f t="array" aca="1" ref="DG129" ca="1">INDEX(TblConstr[[Total Plain]:[Total Water]],ROW()-ROW(TblConstr[#Headers]),MATCH("Total "&amp;home_land,TblConstr[[#Headers],[Total Plain]:[Total Water]],0))+TblConstr[[#This Row],[Homes]]</f>
        <v>90</v>
      </c>
      <c r="DH129" s="45">
        <f t="shared" ca="1" si="22"/>
        <v>0</v>
      </c>
      <c r="DI129" s="45">
        <f t="shared" ca="1" si="19"/>
        <v>0</v>
      </c>
      <c r="DJ129" s="45">
        <f t="shared" ca="1" si="20"/>
        <v>0</v>
      </c>
    </row>
    <row r="130" spans="1:114" x14ac:dyDescent="0.2">
      <c r="A130" s="175">
        <f>TblRezone[[#This Row],[Hour]]</f>
        <v>127</v>
      </c>
      <c r="B130" s="176">
        <f ca="1">SUM(TblConstr[[#This Row],[Plain]:[Water]])</f>
        <v>60</v>
      </c>
      <c r="C130" s="177">
        <f ca="1">SUM(TblConstr[[#This Row],[Tot Hom]:[Tot Doc]])</f>
        <v>50</v>
      </c>
      <c r="D130" s="177">
        <f t="shared" si="21"/>
        <v>0</v>
      </c>
      <c r="E130" s="178"/>
      <c r="F130" s="61">
        <f ca="1">TblConstr[[#This Row],[Barren]]+TblConstr[[#This Row],[Buildings]]+TblConstr[[#This Row],[Incoming]]</f>
        <v>110</v>
      </c>
      <c r="G130" s="187">
        <f ca="1">OFFSET(TblConstr[[#This Row],[Plain]],-1,0)+TblConstr[[#This Row],[Ch_Plain]]</f>
        <v>60</v>
      </c>
      <c r="H130" s="182">
        <f ca="1">OFFSET(TblConstr[[#This Row],[Forest]],-1,0)+TblConstr[[#This Row],[Ch_Forest]]</f>
        <v>0</v>
      </c>
      <c r="I130" s="359">
        <f ca="1">OFFSET(TblConstr[[#This Row],[Mountain]],-1,0)+TblConstr[[#This Row],[Ch_Mountain]]</f>
        <v>0</v>
      </c>
      <c r="J130" s="363">
        <f ca="1">OFFSET(TblConstr[[#This Row],[Hill]],-1,0)+TblConstr[[#This Row],[Ch_Hill]]</f>
        <v>0</v>
      </c>
      <c r="K130" s="367">
        <f ca="1">OFFSET(TblConstr[[#This Row],[Swamp]],-1,0)+TblConstr[[#This Row],[Ch_Swamp]]</f>
        <v>0</v>
      </c>
      <c r="L130" s="185">
        <f ca="1">OFFSET(TblConstr[[#This Row],[Cavern]],-1,0)+TblConstr[[#This Row],[Ch_Cavern]]</f>
        <v>0</v>
      </c>
      <c r="M130" s="186">
        <f ca="1">OFFSET(TblConstr[[#This Row],[Water]],-1,0)+TblConstr[[#This Row],[Ch_Water]]</f>
        <v>0</v>
      </c>
      <c r="N130" s="357">
        <f>TblRezone[[#This Row],[Hour]]</f>
        <v>127</v>
      </c>
      <c r="O130" s="179"/>
      <c r="P130" s="179"/>
      <c r="Q130" s="179"/>
      <c r="R130" s="179"/>
      <c r="S130" s="179"/>
      <c r="T130" s="179"/>
      <c r="U130" s="179"/>
      <c r="V130" s="179"/>
      <c r="W130" s="179"/>
      <c r="X130" s="179"/>
      <c r="Y130" s="179"/>
      <c r="Z130" s="179"/>
      <c r="AA130" s="179"/>
      <c r="AB130" s="179"/>
      <c r="AC130" s="179"/>
      <c r="AD130" s="179"/>
      <c r="AE130" s="179"/>
      <c r="AF130" s="179"/>
      <c r="AG130" s="179"/>
      <c r="AH130" s="53">
        <f ca="1">TblImps[[#This Row],[Time]]</f>
        <v>46052.249999999694</v>
      </c>
      <c r="AI130" s="180">
        <f ca="1">MIN(25%,(TblConstr[[#This Row],[Tot Fac]]+TblConstr[[#This Row],[Dest Fac]])/(TblConstr[[#This Row],[Land]]-TblExplore[[#This Row],[Land Bonus]]*20))</f>
        <v>0</v>
      </c>
      <c r="AJ130" s="180">
        <f ca="1">MIN(25%,(TblConstr[[#This Row],[Tot Fac]]+TblConstr[[#This Row],[Dest Fac]])/TblConstr[[#This Row],[Land]])</f>
        <v>0</v>
      </c>
      <c r="AK130" s="94">
        <f ca="1">TblProd[[#This Row],[Platinum]]</f>
        <v>223635</v>
      </c>
      <c r="AL130" s="94">
        <f ca="1">TblProd[[#This Row],[Lumber]]</f>
        <v>76039</v>
      </c>
      <c r="AM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0" s="94">
        <f ca="1">ROUNDDOWN( MAX(1 - MIN(facs_constr_factor*TblConstr[[#This Row],[Facs -DB]],facs_constr_max) + tech_1_11*TblTech[[#This Row],[11-1]] + tech_6_3_2*TblTech[[#This Row],[6-3]] + tech_5_2_3*TblTech[[#This Row],[5-2]], 1-global_constr_cap) * TblConstr[[#This Row],[RCPA Lumber]],0)</f>
        <v>48</v>
      </c>
      <c r="AO130"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0" s="94">
        <f ca="1">ROUNDDOWN( MAX(1 - MIN(facs_constr_factor*TblConstr[[#This Row],[Facs DB]],facs_constr_max) + tech_1_11*TblTech[[#This Row],[1-11]] + tech_6_3_2*TblTech[[#This Row],[6-3]] + tech_5_2_3*TblTech[[#This Row],[5-2]], 1-global_constr_cap) * ROUND((TblConstr[[#This Row],[Land]]-250)*0.285 + 87.5 + 0/4.25,0),0)</f>
        <v>48</v>
      </c>
      <c r="AQ130" s="45">
        <f ca="1">TblConstr[[#This Row],[build -db]]*TblConstr[[#This Row],[CPA Platinum -DB]] + TblConstr[[#This Row],[build db]]*TblConstr[[#This Row],[CPA Platinum DB]]</f>
        <v>0</v>
      </c>
      <c r="AR130" s="45">
        <f ca="1">TblConstr[[#This Row],[build -db]]*TblConstr[[#This Row],[CPA Lumber -DB]] + TblConstr[[#This Row],[build db]]*TblConstr[[#This Row],[CPA Lumber DB]]</f>
        <v>0</v>
      </c>
      <c r="AS130" s="94">
        <f ca="1">MIN(SUM(OFFSET(TblConstr[[#This Row],[Plain]:[Water]],-1,0))+SUM(TblConstr[[#This Row],[Dest Hom]:[Dest Doc]])+IF(TblConstr[[#This Row],[Hour]]&gt;12,SUM(OFFSET(TblExplore[[#This Row],[Plains Explore]:[Water Explore]],-12,0)),0),SUM(TblConstr[[#This Row],[Hom]:[Doc]]))</f>
        <v>0</v>
      </c>
      <c r="AT130"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0" s="142"/>
      <c r="AV130" s="94">
        <f ca="1">ROUND((TblConstr[[#This Row],[Land]]-250 - IF(TblExplore[[#This Row],[Land Bonus]]&lt;&gt;0,20,0))*1.25 + 850 + 0,0)</f>
        <v>675</v>
      </c>
      <c r="AW130" s="94">
        <f ca="1">ROUND((TblConstr[[#This Row],[Land]]-250 - IF(TblExplore[[#This Row],[Land Bonus]]&lt;&gt;0,20,0))*0.285 + 87.5 + 0/4.25,0)</f>
        <v>48</v>
      </c>
      <c r="AX130" s="154"/>
      <c r="AY130" s="188" cm="1">
        <f t="array" aca="1" ref="AY130" ca="1">IF(TblConstr[[#This Row],[Hour]:[Hour]]&gt;12,OFFSET(TblConstr[[#This Row],[Hom]],-12,0),0)+OFFSET(TblConstr[[#This Row],[Tot Hom]],-1,0)-TblConstr[[#This Row],[Dest Hom]]</f>
        <v>0</v>
      </c>
      <c r="AZ130" s="189" cm="1">
        <f t="array" aca="1" ref="AZ130" ca="1">IF(TblConstr[[#This Row],[Hour]:[Hour]]&gt;12,OFFSET(TblConstr[[#This Row],[Alc]],-12,0),0)+OFFSET(TblConstr[[#This Row],[Tot Alc]],-1,0)-TblConstr[[#This Row],[Dest Alc]]</f>
        <v>0</v>
      </c>
      <c r="BA130" s="189" cm="1">
        <f t="array" aca="1" ref="BA130" ca="1">IF(TblConstr[[#This Row],[Hour]:[Hour]]&gt;12,OFFSET(TblConstr[[#This Row],[Far]],-12,0),0)+OFFSET(TblConstr[[#This Row],[Tot Farm]],-1,0)-TblConstr[[#This Row],[Dest Farm]]</f>
        <v>30</v>
      </c>
      <c r="BB130" s="189" cm="1">
        <f t="array" aca="1" ref="BB130" ca="1">IF(TblConstr[[#This Row],[Hour]:[Hour]]&gt;12,OFFSET(TblConstr[[#This Row],[Smi]],-12,0),0)+OFFSET(TblConstr[[#This Row],[Tot Smi]],-1,0)-TblConstr[[#This Row],[Dest Smi]]</f>
        <v>0</v>
      </c>
      <c r="BC130" s="189" cm="1">
        <f t="array" aca="1" ref="BC130" ca="1">IF(TblConstr[[#This Row],[Hour]:[Hour]]&gt;12,OFFSET(TblConstr[[#This Row],[Mas]],-12,0),0)+OFFSET(TblConstr[[#This Row],[Tot Mas]],-1,0)-TblConstr[[#This Row],[Dest Mas]]</f>
        <v>0</v>
      </c>
      <c r="BD130" s="190" cm="1">
        <f t="array" aca="1" ref="BD130" ca="1">IF(TblConstr[[#This Row],[Hour]:[Hour]]&gt;12,OFFSET(TblConstr[[#This Row],[Ly]],-12,0),0)+OFFSET(TblConstr[[#This Row],[Tot Ly]],-1,0)-TblConstr[[#This Row],[Dest Ly]]</f>
        <v>20</v>
      </c>
      <c r="BE130" s="190" cm="1">
        <f t="array" aca="1" ref="BE130" ca="1">IF(TblConstr[[#This Row],[Hour]:[Hour]]&gt;12,OFFSET(TblConstr[[#This Row],[Hav]],-12,0),0)+OFFSET(TblConstr[[#This Row],[Tot Hav]],-1,0)-TblConstr[[#This Row],[Dest Hav]]</f>
        <v>0</v>
      </c>
      <c r="BF130" s="361" cm="1">
        <f t="array" aca="1" ref="BF130" ca="1">IF(TblConstr[[#This Row],[Hour]:[Hour]]&gt;12,OFFSET(TblConstr[[#This Row],[OM]],-12,0),0)+OFFSET(TblConstr[[#This Row],[Tot OM]],-1,0)-TblConstr[[#This Row],[Dest OM]]</f>
        <v>0</v>
      </c>
      <c r="BG130" s="361" cm="1">
        <f t="array" aca="1" ref="BG130" ca="1">IF(TblConstr[[#This Row],[Hour]:[Hour]]&gt;12,OFFSET(TblConstr[[#This Row],[GN]],-12,0),0)+OFFSET(TblConstr[[#This Row],[Tot GN]],-1,0)-TblConstr[[#This Row],[Dest GN]]</f>
        <v>0</v>
      </c>
      <c r="BH130" s="365" cm="1">
        <f t="array" aca="1" ref="BH130" ca="1">IF(TblConstr[[#This Row],[Hour]:[Hour]]&gt;12,OFFSET(TblConstr[[#This Row],[Fac]],-12,0),0)+OFFSET(TblConstr[[#This Row],[Tot Fac]],-1,0)-TblConstr[[#This Row],[Dest Fac]]</f>
        <v>0</v>
      </c>
      <c r="BI130" s="365" cm="1">
        <f t="array" aca="1" ref="BI130" ca="1">IF(TblConstr[[#This Row],[Hour]:[Hour]]&gt;12,OFFSET(TblConstr[[#This Row],[GT]],-12,0),0)+OFFSET(TblConstr[[#This Row],[Tot GT]],-1,0)-TblConstr[[#This Row],[Dest GT]]</f>
        <v>0</v>
      </c>
      <c r="BJ130" s="365" cm="1">
        <f t="array" aca="1" ref="BJ130" ca="1">IF(TblConstr[[#This Row],[Hour]:[Hour]]&gt;12,OFFSET(TblConstr[[#This Row],[Bar]],-12,0),0)+OFFSET(TblConstr[[#This Row],[Tot Bar]],-1,0)-TblConstr[[#This Row],[Dest Bar]]</f>
        <v>0</v>
      </c>
      <c r="BK130" s="365" cm="1">
        <f t="array" aca="1" ref="BK130" ca="1">IF(TblConstr[[#This Row],[Hour]:[Hour]]&gt;12,OFFSET(TblConstr[[#This Row],[Shr]],-12,0),0)+OFFSET(TblConstr[[#This Row],[Tot Shr]],-1,0)-TblConstr[[#This Row],[Dest Shr]]</f>
        <v>0</v>
      </c>
      <c r="BL130" s="369" cm="1">
        <f t="array" aca="1" ref="BL130" ca="1">IF(TblConstr[[#This Row],[Hour]:[Hour]]&gt;12,OFFSET(TblConstr[[#This Row],[Tow]],-12,0),0)+OFFSET(TblConstr[[#This Row],[Tot Tow]],-1,0)-TblConstr[[#This Row],[Dest Tow]]</f>
        <v>0</v>
      </c>
      <c r="BM130" s="369" cm="1">
        <f t="array" aca="1" ref="BM130" ca="1">IF(TblConstr[[#This Row],[Hour]:[Hour]]&gt;12,OFFSET(TblConstr[[#This Row],[Tem]],-12,0),0)+OFFSET(TblConstr[[#This Row],[Tot Tem]],-1,0)-TblConstr[[#This Row],[Dest Tem]]</f>
        <v>0</v>
      </c>
      <c r="BN130" s="369" cm="1">
        <f t="array" aca="1" ref="BN130" ca="1">IF(TblConstr[[#This Row],[Hour]:[Hour]]&gt;12,OFFSET(TblConstr[[#This Row],[WG]],-12,0),0)+OFFSET(TblConstr[[#This Row],[Tot WG]],-1,0)-TblConstr[[#This Row],[Dest WG]]</f>
        <v>0</v>
      </c>
      <c r="BO130" s="191" cm="1">
        <f t="array" aca="1" ref="BO130" ca="1">IF(TblConstr[[#This Row],[Hour]:[Hour]]&gt;12,OFFSET(TblConstr[[#This Row],[DM]],-12,0),0)+OFFSET(TblConstr[[#This Row],[Tot DM]],-1,0)-TblConstr[[#This Row],[Dest DM]]</f>
        <v>0</v>
      </c>
      <c r="BP130" s="191" cm="1">
        <f t="array" aca="1" ref="BP130" ca="1">IF(TblConstr[[#This Row],[Hour]:[Hour]]&gt;12,OFFSET(TblConstr[[#This Row],[Sch]],-12,0),0)+OFFSET(TblConstr[[#This Row],[Tot Sch]],-1,0)-TblConstr[[#This Row],[Dest Sch]]</f>
        <v>0</v>
      </c>
      <c r="BQ130" s="192" cm="1">
        <f t="array" aca="1" ref="BQ130" ca="1">IF(TblConstr[[#This Row],[Hour]:[Hour]]&gt;12,OFFSET(TblConstr[[#This Row],[Doc]],-12,0),0)+OFFSET(TblConstr[[#This Row],[Tot Doc]],-1,0)-TblConstr[[#This Row],[Dest Doc]]</f>
        <v>0</v>
      </c>
      <c r="BR130" s="142"/>
      <c r="BS130" s="154"/>
      <c r="BT130" s="94">
        <f ca="1">TblConstr[[#This Row],[Land]]</f>
        <v>110</v>
      </c>
      <c r="BU130" s="159">
        <f ca="1">TblImps[[#This Row],[Time]]</f>
        <v>46052.249999999694</v>
      </c>
      <c r="BV130" s="142"/>
      <c r="BW130" s="179"/>
      <c r="BX130" s="179"/>
      <c r="BY130" s="179"/>
      <c r="BZ130" s="179"/>
      <c r="CA130" s="179"/>
      <c r="CB130" s="179"/>
      <c r="CC130" s="179"/>
      <c r="CD130" s="179"/>
      <c r="CE130" s="179"/>
      <c r="CF130" s="179"/>
      <c r="CG130" s="179"/>
      <c r="CH130" s="179"/>
      <c r="CI130" s="179"/>
      <c r="CJ130" s="179"/>
      <c r="CK130" s="179"/>
      <c r="CL130" s="179"/>
      <c r="CM130" s="179"/>
      <c r="CN130" s="179"/>
      <c r="CO130" s="179"/>
      <c r="CP130" s="142"/>
      <c r="CQ130" s="181">
        <f ca="1">-SUM(TblConstr[[#This Row],[Alc]:[Mas]])+SUM(TblConstr[[#This Row],[Dest Alc]:[Dest Mas]])+Rezone!L130+IF("Ch_"&amp; home_land=TblConstr[[#Headers],[Ch_Plain]],TblConstr[[#This Row],[Home Land]])+IF(TblConstr[[#This Row],[Hour]:[Hour]]&gt;12,OFFSET(TblExplore[[#This Row],[Plains Explore]],-12,0),0)</f>
        <v>0</v>
      </c>
      <c r="CR130" s="182">
        <f ca="1">-SUM(TblConstr[[#This Row],[Ly]:[Hav]])+SUM(TblConstr[[#This Row],[Dest Ly]:[Dest Hav]]) +Rezone!M130 + IF("Ch_"&amp; home_land=TblConstr[[#Headers],[Ch_Forest]],TblConstr[[#This Row],[Home Land]])+IF(TblConstr[[#This Row],[Hour]:[Hour]]&gt;12,OFFSET(TblExplore[[#This Row],[Forest Explore]],-12,0),0)</f>
        <v>0</v>
      </c>
      <c r="CS130" s="359">
        <f ca="1">-SUM(TblConstr[[#This Row],[OM]:[GN]])+SUM(TblConstr[[#This Row],[Dest OM]:[Dest GN]]) +Rezone!N130 + IF("Ch_"&amp; home_land=TblConstr[[#Headers],[Ch_Mountain]],TblConstr[[#This Row],[Home Land]])+IF(TblConstr[[#This Row],[Hour]:[Hour]]&gt;12,OFFSET(TblExplore[[#This Row],[Mountain Explore]],-12,0),0)</f>
        <v>0</v>
      </c>
      <c r="CT130" s="183">
        <f ca="1">-SUM(TblConstr[[#This Row],[Fac]:[Shr]])+SUM(TblConstr[[#This Row],[Dest Fac]:[Dest Shr]]) +Rezone!O130 + IF("Ch_" &amp; home_land=TblConstr[[#Headers],[Ch_Hill]],TblConstr[[#This Row],[Home Land]])+IF(TblConstr[[#This Row],[Hour]:[Hour]]&gt;12,OFFSET(TblExplore[[#This Row],[Hill Explore]],-12,0),0)</f>
        <v>0</v>
      </c>
      <c r="CU130" s="184">
        <f ca="1">-SUM(TblConstr[[#This Row],[Tow]:[WG]])+SUM(TblConstr[[#This Row],[Dest Tow]:[Dest WG]]) +Rezone!P130 + IF("Ch_" &amp; home_land=TblConstr[[#Headers],[Ch_Swamp]],TblConstr[[#This Row],[Home Land]])+IF(TblConstr[[#This Row],[Hour]:[Hour]]&gt;12,OFFSET(TblExplore[[#This Row],[Swamp Explore]],-12,0),0)</f>
        <v>0</v>
      </c>
      <c r="CV130" s="185">
        <f ca="1" xml:space="preserve"> - SUM(TblConstr[[#This Row],[DM]:[Sch]])+SUM(TblConstr[[#This Row],[Dest DM]:[Dest Sch]]) +Rezone!Q130 + IF("Ch_" &amp; home_land=TblConstr[[#Headers],[Ch_Cavern]],TblConstr[[#This Row],[Home Land]])+IF(TblConstr[[#This Row],[Hour]:[Hour]]&gt;12,OFFSET(TblExplore[[#This Row],[Cavern Explore]],-12,0),0)</f>
        <v>0</v>
      </c>
      <c r="CW130" s="186">
        <f ca="1">-TblConstr[[#This Row],[Doc]]+TblConstr[[#This Row],[Dest Doc]] +Rezone!R130 + IF("Ch_" &amp; home_land=TblConstr[[#Headers],[Ch_Water]],TblConstr[[#This Row],[Home Land]])+IF(TblConstr[[#This Row],[Hour]:[Hour]]&gt;12,OFFSET(TblExplore[[#This Row],[Water Explore]],-12,0),0)</f>
        <v>0</v>
      </c>
      <c r="CX130" s="45">
        <f>IF(Explore!S130=1,20) - TblConstr[[#This Row],[Hom]] + TblConstr[[#This Row],[Dest Hom]]</f>
        <v>0</v>
      </c>
      <c r="CY130" s="142"/>
      <c r="CZ130" s="94">
        <f t="shared" ca="1" si="30"/>
        <v>90</v>
      </c>
      <c r="DA130" s="94">
        <f t="shared" ca="1" si="31"/>
        <v>20</v>
      </c>
      <c r="DB130" s="45">
        <f t="shared" ca="1" si="32"/>
        <v>0</v>
      </c>
      <c r="DC130" s="94">
        <f t="shared" ca="1" si="33"/>
        <v>0</v>
      </c>
      <c r="DD130" s="94">
        <f t="shared" ca="1" si="34"/>
        <v>0</v>
      </c>
      <c r="DE130" s="45">
        <f t="shared" ca="1" si="35"/>
        <v>0</v>
      </c>
      <c r="DF130" s="94">
        <f t="shared" ca="1" si="36"/>
        <v>0</v>
      </c>
      <c r="DG130" s="94" cm="1">
        <f t="array" aca="1" ref="DG130" ca="1">INDEX(TblConstr[[Total Plain]:[Total Water]],ROW()-ROW(TblConstr[#Headers]),MATCH("Total "&amp;home_land,TblConstr[[#Headers],[Total Plain]:[Total Water]],0))+TblConstr[[#This Row],[Homes]]</f>
        <v>90</v>
      </c>
      <c r="DH130" s="45">
        <f t="shared" ca="1" si="22"/>
        <v>0</v>
      </c>
      <c r="DI130" s="45">
        <f t="shared" ca="1" si="19"/>
        <v>0</v>
      </c>
      <c r="DJ130" s="45">
        <f t="shared" ca="1" si="20"/>
        <v>0</v>
      </c>
    </row>
    <row r="131" spans="1:114" x14ac:dyDescent="0.2">
      <c r="A131" s="175">
        <f>TblRezone[[#This Row],[Hour]]</f>
        <v>128</v>
      </c>
      <c r="B131" s="176">
        <f ca="1">SUM(TblConstr[[#This Row],[Plain]:[Water]])</f>
        <v>60</v>
      </c>
      <c r="C131" s="177">
        <f ca="1">SUM(TblConstr[[#This Row],[Tot Hom]:[Tot Doc]])</f>
        <v>50</v>
      </c>
      <c r="D131" s="177">
        <f t="shared" si="21"/>
        <v>0</v>
      </c>
      <c r="E131" s="178"/>
      <c r="F131" s="61">
        <f ca="1">TblConstr[[#This Row],[Barren]]+TblConstr[[#This Row],[Buildings]]+TblConstr[[#This Row],[Incoming]]</f>
        <v>110</v>
      </c>
      <c r="G131" s="187">
        <f ca="1">OFFSET(TblConstr[[#This Row],[Plain]],-1,0)+TblConstr[[#This Row],[Ch_Plain]]</f>
        <v>60</v>
      </c>
      <c r="H131" s="182">
        <f ca="1">OFFSET(TblConstr[[#This Row],[Forest]],-1,0)+TblConstr[[#This Row],[Ch_Forest]]</f>
        <v>0</v>
      </c>
      <c r="I131" s="359">
        <f ca="1">OFFSET(TblConstr[[#This Row],[Mountain]],-1,0)+TblConstr[[#This Row],[Ch_Mountain]]</f>
        <v>0</v>
      </c>
      <c r="J131" s="363">
        <f ca="1">OFFSET(TblConstr[[#This Row],[Hill]],-1,0)+TblConstr[[#This Row],[Ch_Hill]]</f>
        <v>0</v>
      </c>
      <c r="K131" s="367">
        <f ca="1">OFFSET(TblConstr[[#This Row],[Swamp]],-1,0)+TblConstr[[#This Row],[Ch_Swamp]]</f>
        <v>0</v>
      </c>
      <c r="L131" s="185">
        <f ca="1">OFFSET(TblConstr[[#This Row],[Cavern]],-1,0)+TblConstr[[#This Row],[Ch_Cavern]]</f>
        <v>0</v>
      </c>
      <c r="M131" s="186">
        <f ca="1">OFFSET(TblConstr[[#This Row],[Water]],-1,0)+TblConstr[[#This Row],[Ch_Water]]</f>
        <v>0</v>
      </c>
      <c r="N131" s="357">
        <f>TblRezone[[#This Row],[Hour]]</f>
        <v>128</v>
      </c>
      <c r="O131" s="179"/>
      <c r="P131" s="179"/>
      <c r="Q131" s="179"/>
      <c r="R131" s="179"/>
      <c r="S131" s="179"/>
      <c r="T131" s="179"/>
      <c r="U131" s="179"/>
      <c r="V131" s="179"/>
      <c r="W131" s="179"/>
      <c r="X131" s="179"/>
      <c r="Y131" s="179"/>
      <c r="Z131" s="179"/>
      <c r="AA131" s="179"/>
      <c r="AB131" s="179"/>
      <c r="AC131" s="179"/>
      <c r="AD131" s="179"/>
      <c r="AE131" s="179"/>
      <c r="AF131" s="179"/>
      <c r="AG131" s="179"/>
      <c r="AH131" s="53">
        <f ca="1">TblImps[[#This Row],[Time]]</f>
        <v>46052.291666666359</v>
      </c>
      <c r="AI131" s="180">
        <f ca="1">MIN(25%,(TblConstr[[#This Row],[Tot Fac]]+TblConstr[[#This Row],[Dest Fac]])/(TblConstr[[#This Row],[Land]]-TblExplore[[#This Row],[Land Bonus]]*20))</f>
        <v>0</v>
      </c>
      <c r="AJ131" s="180">
        <f ca="1">MIN(25%,(TblConstr[[#This Row],[Tot Fac]]+TblConstr[[#This Row],[Dest Fac]])/TblConstr[[#This Row],[Land]])</f>
        <v>0</v>
      </c>
      <c r="AK131" s="94">
        <f ca="1">TblProd[[#This Row],[Platinum]]</f>
        <v>224401</v>
      </c>
      <c r="AL131" s="94">
        <f ca="1">TblProd[[#This Row],[Lumber]]</f>
        <v>76279</v>
      </c>
      <c r="AM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1" s="94">
        <f ca="1">ROUNDDOWN( MAX(1 - MIN(facs_constr_factor*TblConstr[[#This Row],[Facs -DB]],facs_constr_max) + tech_1_11*TblTech[[#This Row],[11-1]] + tech_6_3_2*TblTech[[#This Row],[6-3]] + tech_5_2_3*TblTech[[#This Row],[5-2]], 1-global_constr_cap) * TblConstr[[#This Row],[RCPA Lumber]],0)</f>
        <v>48</v>
      </c>
      <c r="AO131"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1" s="94">
        <f ca="1">ROUNDDOWN( MAX(1 - MIN(facs_constr_factor*TblConstr[[#This Row],[Facs DB]],facs_constr_max) + tech_1_11*TblTech[[#This Row],[1-11]] + tech_6_3_2*TblTech[[#This Row],[6-3]] + tech_5_2_3*TblTech[[#This Row],[5-2]], 1-global_constr_cap) * ROUND((TblConstr[[#This Row],[Land]]-250)*0.285 + 87.5 + 0/4.25,0),0)</f>
        <v>48</v>
      </c>
      <c r="AQ131" s="45">
        <f ca="1">TblConstr[[#This Row],[build -db]]*TblConstr[[#This Row],[CPA Platinum -DB]] + TblConstr[[#This Row],[build db]]*TblConstr[[#This Row],[CPA Platinum DB]]</f>
        <v>0</v>
      </c>
      <c r="AR131" s="45">
        <f ca="1">TblConstr[[#This Row],[build -db]]*TblConstr[[#This Row],[CPA Lumber -DB]] + TblConstr[[#This Row],[build db]]*TblConstr[[#This Row],[CPA Lumber DB]]</f>
        <v>0</v>
      </c>
      <c r="AS131" s="94">
        <f ca="1">MIN(SUM(OFFSET(TblConstr[[#This Row],[Plain]:[Water]],-1,0))+SUM(TblConstr[[#This Row],[Dest Hom]:[Dest Doc]])+IF(TblConstr[[#This Row],[Hour]]&gt;12,SUM(OFFSET(TblExplore[[#This Row],[Plains Explore]:[Water Explore]],-12,0)),0),SUM(TblConstr[[#This Row],[Hom]:[Doc]]))</f>
        <v>0</v>
      </c>
      <c r="AT131"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1" s="142"/>
      <c r="AV131" s="94">
        <f ca="1">ROUND((TblConstr[[#This Row],[Land]]-250 - IF(TblExplore[[#This Row],[Land Bonus]]&lt;&gt;0,20,0))*1.25 + 850 + 0,0)</f>
        <v>675</v>
      </c>
      <c r="AW131" s="94">
        <f ca="1">ROUND((TblConstr[[#This Row],[Land]]-250 - IF(TblExplore[[#This Row],[Land Bonus]]&lt;&gt;0,20,0))*0.285 + 87.5 + 0/4.25,0)</f>
        <v>48</v>
      </c>
      <c r="AX131" s="154"/>
      <c r="AY131" s="188" cm="1">
        <f t="array" aca="1" ref="AY131" ca="1">IF(TblConstr[[#This Row],[Hour]:[Hour]]&gt;12,OFFSET(TblConstr[[#This Row],[Hom]],-12,0),0)+OFFSET(TblConstr[[#This Row],[Tot Hom]],-1,0)-TblConstr[[#This Row],[Dest Hom]]</f>
        <v>0</v>
      </c>
      <c r="AZ131" s="189" cm="1">
        <f t="array" aca="1" ref="AZ131" ca="1">IF(TblConstr[[#This Row],[Hour]:[Hour]]&gt;12,OFFSET(TblConstr[[#This Row],[Alc]],-12,0),0)+OFFSET(TblConstr[[#This Row],[Tot Alc]],-1,0)-TblConstr[[#This Row],[Dest Alc]]</f>
        <v>0</v>
      </c>
      <c r="BA131" s="189" cm="1">
        <f t="array" aca="1" ref="BA131" ca="1">IF(TblConstr[[#This Row],[Hour]:[Hour]]&gt;12,OFFSET(TblConstr[[#This Row],[Far]],-12,0),0)+OFFSET(TblConstr[[#This Row],[Tot Farm]],-1,0)-TblConstr[[#This Row],[Dest Farm]]</f>
        <v>30</v>
      </c>
      <c r="BB131" s="189" cm="1">
        <f t="array" aca="1" ref="BB131" ca="1">IF(TblConstr[[#This Row],[Hour]:[Hour]]&gt;12,OFFSET(TblConstr[[#This Row],[Smi]],-12,0),0)+OFFSET(TblConstr[[#This Row],[Tot Smi]],-1,0)-TblConstr[[#This Row],[Dest Smi]]</f>
        <v>0</v>
      </c>
      <c r="BC131" s="189" cm="1">
        <f t="array" aca="1" ref="BC131" ca="1">IF(TblConstr[[#This Row],[Hour]:[Hour]]&gt;12,OFFSET(TblConstr[[#This Row],[Mas]],-12,0),0)+OFFSET(TblConstr[[#This Row],[Tot Mas]],-1,0)-TblConstr[[#This Row],[Dest Mas]]</f>
        <v>0</v>
      </c>
      <c r="BD131" s="190" cm="1">
        <f t="array" aca="1" ref="BD131" ca="1">IF(TblConstr[[#This Row],[Hour]:[Hour]]&gt;12,OFFSET(TblConstr[[#This Row],[Ly]],-12,0),0)+OFFSET(TblConstr[[#This Row],[Tot Ly]],-1,0)-TblConstr[[#This Row],[Dest Ly]]</f>
        <v>20</v>
      </c>
      <c r="BE131" s="190" cm="1">
        <f t="array" aca="1" ref="BE131" ca="1">IF(TblConstr[[#This Row],[Hour]:[Hour]]&gt;12,OFFSET(TblConstr[[#This Row],[Hav]],-12,0),0)+OFFSET(TblConstr[[#This Row],[Tot Hav]],-1,0)-TblConstr[[#This Row],[Dest Hav]]</f>
        <v>0</v>
      </c>
      <c r="BF131" s="361" cm="1">
        <f t="array" aca="1" ref="BF131" ca="1">IF(TblConstr[[#This Row],[Hour]:[Hour]]&gt;12,OFFSET(TblConstr[[#This Row],[OM]],-12,0),0)+OFFSET(TblConstr[[#This Row],[Tot OM]],-1,0)-TblConstr[[#This Row],[Dest OM]]</f>
        <v>0</v>
      </c>
      <c r="BG131" s="361" cm="1">
        <f t="array" aca="1" ref="BG131" ca="1">IF(TblConstr[[#This Row],[Hour]:[Hour]]&gt;12,OFFSET(TblConstr[[#This Row],[GN]],-12,0),0)+OFFSET(TblConstr[[#This Row],[Tot GN]],-1,0)-TblConstr[[#This Row],[Dest GN]]</f>
        <v>0</v>
      </c>
      <c r="BH131" s="365" cm="1">
        <f t="array" aca="1" ref="BH131" ca="1">IF(TblConstr[[#This Row],[Hour]:[Hour]]&gt;12,OFFSET(TblConstr[[#This Row],[Fac]],-12,0),0)+OFFSET(TblConstr[[#This Row],[Tot Fac]],-1,0)-TblConstr[[#This Row],[Dest Fac]]</f>
        <v>0</v>
      </c>
      <c r="BI131" s="365" cm="1">
        <f t="array" aca="1" ref="BI131" ca="1">IF(TblConstr[[#This Row],[Hour]:[Hour]]&gt;12,OFFSET(TblConstr[[#This Row],[GT]],-12,0),0)+OFFSET(TblConstr[[#This Row],[Tot GT]],-1,0)-TblConstr[[#This Row],[Dest GT]]</f>
        <v>0</v>
      </c>
      <c r="BJ131" s="365" cm="1">
        <f t="array" aca="1" ref="BJ131" ca="1">IF(TblConstr[[#This Row],[Hour]:[Hour]]&gt;12,OFFSET(TblConstr[[#This Row],[Bar]],-12,0),0)+OFFSET(TblConstr[[#This Row],[Tot Bar]],-1,0)-TblConstr[[#This Row],[Dest Bar]]</f>
        <v>0</v>
      </c>
      <c r="BK131" s="365" cm="1">
        <f t="array" aca="1" ref="BK131" ca="1">IF(TblConstr[[#This Row],[Hour]:[Hour]]&gt;12,OFFSET(TblConstr[[#This Row],[Shr]],-12,0),0)+OFFSET(TblConstr[[#This Row],[Tot Shr]],-1,0)-TblConstr[[#This Row],[Dest Shr]]</f>
        <v>0</v>
      </c>
      <c r="BL131" s="369" cm="1">
        <f t="array" aca="1" ref="BL131" ca="1">IF(TblConstr[[#This Row],[Hour]:[Hour]]&gt;12,OFFSET(TblConstr[[#This Row],[Tow]],-12,0),0)+OFFSET(TblConstr[[#This Row],[Tot Tow]],-1,0)-TblConstr[[#This Row],[Dest Tow]]</f>
        <v>0</v>
      </c>
      <c r="BM131" s="369" cm="1">
        <f t="array" aca="1" ref="BM131" ca="1">IF(TblConstr[[#This Row],[Hour]:[Hour]]&gt;12,OFFSET(TblConstr[[#This Row],[Tem]],-12,0),0)+OFFSET(TblConstr[[#This Row],[Tot Tem]],-1,0)-TblConstr[[#This Row],[Dest Tem]]</f>
        <v>0</v>
      </c>
      <c r="BN131" s="369" cm="1">
        <f t="array" aca="1" ref="BN131" ca="1">IF(TblConstr[[#This Row],[Hour]:[Hour]]&gt;12,OFFSET(TblConstr[[#This Row],[WG]],-12,0),0)+OFFSET(TblConstr[[#This Row],[Tot WG]],-1,0)-TblConstr[[#This Row],[Dest WG]]</f>
        <v>0</v>
      </c>
      <c r="BO131" s="191" cm="1">
        <f t="array" aca="1" ref="BO131" ca="1">IF(TblConstr[[#This Row],[Hour]:[Hour]]&gt;12,OFFSET(TblConstr[[#This Row],[DM]],-12,0),0)+OFFSET(TblConstr[[#This Row],[Tot DM]],-1,0)-TblConstr[[#This Row],[Dest DM]]</f>
        <v>0</v>
      </c>
      <c r="BP131" s="191" cm="1">
        <f t="array" aca="1" ref="BP131" ca="1">IF(TblConstr[[#This Row],[Hour]:[Hour]]&gt;12,OFFSET(TblConstr[[#This Row],[Sch]],-12,0),0)+OFFSET(TblConstr[[#This Row],[Tot Sch]],-1,0)-TblConstr[[#This Row],[Dest Sch]]</f>
        <v>0</v>
      </c>
      <c r="BQ131" s="192" cm="1">
        <f t="array" aca="1" ref="BQ131" ca="1">IF(TblConstr[[#This Row],[Hour]:[Hour]]&gt;12,OFFSET(TblConstr[[#This Row],[Doc]],-12,0),0)+OFFSET(TblConstr[[#This Row],[Tot Doc]],-1,0)-TblConstr[[#This Row],[Dest Doc]]</f>
        <v>0</v>
      </c>
      <c r="BR131" s="142"/>
      <c r="BS131" s="154"/>
      <c r="BT131" s="94">
        <f ca="1">TblConstr[[#This Row],[Land]]</f>
        <v>110</v>
      </c>
      <c r="BU131" s="159">
        <f ca="1">TblImps[[#This Row],[Time]]</f>
        <v>46052.291666666359</v>
      </c>
      <c r="BV131" s="142"/>
      <c r="BW131" s="179"/>
      <c r="BX131" s="179"/>
      <c r="BY131" s="179"/>
      <c r="BZ131" s="179"/>
      <c r="CA131" s="179"/>
      <c r="CB131" s="179"/>
      <c r="CC131" s="179"/>
      <c r="CD131" s="179"/>
      <c r="CE131" s="179"/>
      <c r="CF131" s="179"/>
      <c r="CG131" s="179"/>
      <c r="CH131" s="179"/>
      <c r="CI131" s="179"/>
      <c r="CJ131" s="179"/>
      <c r="CK131" s="179"/>
      <c r="CL131" s="179"/>
      <c r="CM131" s="179"/>
      <c r="CN131" s="179"/>
      <c r="CO131" s="179"/>
      <c r="CP131" s="142"/>
      <c r="CQ131" s="181">
        <f ca="1">-SUM(TblConstr[[#This Row],[Alc]:[Mas]])+SUM(TblConstr[[#This Row],[Dest Alc]:[Dest Mas]])+Rezone!L131+IF("Ch_"&amp; home_land=TblConstr[[#Headers],[Ch_Plain]],TblConstr[[#This Row],[Home Land]])+IF(TblConstr[[#This Row],[Hour]:[Hour]]&gt;12,OFFSET(TblExplore[[#This Row],[Plains Explore]],-12,0),0)</f>
        <v>0</v>
      </c>
      <c r="CR131" s="182">
        <f ca="1">-SUM(TblConstr[[#This Row],[Ly]:[Hav]])+SUM(TblConstr[[#This Row],[Dest Ly]:[Dest Hav]]) +Rezone!M131 + IF("Ch_"&amp; home_land=TblConstr[[#Headers],[Ch_Forest]],TblConstr[[#This Row],[Home Land]])+IF(TblConstr[[#This Row],[Hour]:[Hour]]&gt;12,OFFSET(TblExplore[[#This Row],[Forest Explore]],-12,0),0)</f>
        <v>0</v>
      </c>
      <c r="CS131" s="359">
        <f ca="1">-SUM(TblConstr[[#This Row],[OM]:[GN]])+SUM(TblConstr[[#This Row],[Dest OM]:[Dest GN]]) +Rezone!N131 + IF("Ch_"&amp; home_land=TblConstr[[#Headers],[Ch_Mountain]],TblConstr[[#This Row],[Home Land]])+IF(TblConstr[[#This Row],[Hour]:[Hour]]&gt;12,OFFSET(TblExplore[[#This Row],[Mountain Explore]],-12,0),0)</f>
        <v>0</v>
      </c>
      <c r="CT131" s="183">
        <f ca="1">-SUM(TblConstr[[#This Row],[Fac]:[Shr]])+SUM(TblConstr[[#This Row],[Dest Fac]:[Dest Shr]]) +Rezone!O131 + IF("Ch_" &amp; home_land=TblConstr[[#Headers],[Ch_Hill]],TblConstr[[#This Row],[Home Land]])+IF(TblConstr[[#This Row],[Hour]:[Hour]]&gt;12,OFFSET(TblExplore[[#This Row],[Hill Explore]],-12,0),0)</f>
        <v>0</v>
      </c>
      <c r="CU131" s="184">
        <f ca="1">-SUM(TblConstr[[#This Row],[Tow]:[WG]])+SUM(TblConstr[[#This Row],[Dest Tow]:[Dest WG]]) +Rezone!P131 + IF("Ch_" &amp; home_land=TblConstr[[#Headers],[Ch_Swamp]],TblConstr[[#This Row],[Home Land]])+IF(TblConstr[[#This Row],[Hour]:[Hour]]&gt;12,OFFSET(TblExplore[[#This Row],[Swamp Explore]],-12,0),0)</f>
        <v>0</v>
      </c>
      <c r="CV131" s="185">
        <f ca="1" xml:space="preserve"> - SUM(TblConstr[[#This Row],[DM]:[Sch]])+SUM(TblConstr[[#This Row],[Dest DM]:[Dest Sch]]) +Rezone!Q131 + IF("Ch_" &amp; home_land=TblConstr[[#Headers],[Ch_Cavern]],TblConstr[[#This Row],[Home Land]])+IF(TblConstr[[#This Row],[Hour]:[Hour]]&gt;12,OFFSET(TblExplore[[#This Row],[Cavern Explore]],-12,0),0)</f>
        <v>0</v>
      </c>
      <c r="CW131" s="186">
        <f ca="1">-TblConstr[[#This Row],[Doc]]+TblConstr[[#This Row],[Dest Doc]] +Rezone!R131 + IF("Ch_" &amp; home_land=TblConstr[[#Headers],[Ch_Water]],TblConstr[[#This Row],[Home Land]])+IF(TblConstr[[#This Row],[Hour]:[Hour]]&gt;12,OFFSET(TblExplore[[#This Row],[Water Explore]],-12,0),0)</f>
        <v>0</v>
      </c>
      <c r="CX131" s="45">
        <f>IF(Explore!S131=1,20) - TblConstr[[#This Row],[Hom]] + TblConstr[[#This Row],[Dest Hom]]</f>
        <v>0</v>
      </c>
      <c r="CY131" s="142"/>
      <c r="CZ131" s="94">
        <f t="shared" ca="1" si="30"/>
        <v>90</v>
      </c>
      <c r="DA131" s="94">
        <f t="shared" ca="1" si="31"/>
        <v>20</v>
      </c>
      <c r="DB131" s="45">
        <f t="shared" ca="1" si="32"/>
        <v>0</v>
      </c>
      <c r="DC131" s="94">
        <f t="shared" ca="1" si="33"/>
        <v>0</v>
      </c>
      <c r="DD131" s="94">
        <f t="shared" ca="1" si="34"/>
        <v>0</v>
      </c>
      <c r="DE131" s="45">
        <f t="shared" ca="1" si="35"/>
        <v>0</v>
      </c>
      <c r="DF131" s="94">
        <f t="shared" ca="1" si="36"/>
        <v>0</v>
      </c>
      <c r="DG131" s="94" cm="1">
        <f t="array" aca="1" ref="DG131" ca="1">INDEX(TblConstr[[Total Plain]:[Total Water]],ROW()-ROW(TblConstr[#Headers]),MATCH("Total "&amp;home_land,TblConstr[[#Headers],[Total Plain]:[Total Water]],0))+TblConstr[[#This Row],[Homes]]</f>
        <v>90</v>
      </c>
      <c r="DH131" s="45">
        <f t="shared" ca="1" si="22"/>
        <v>0</v>
      </c>
      <c r="DI131" s="45">
        <f t="shared" ca="1" si="19"/>
        <v>0</v>
      </c>
      <c r="DJ131" s="45">
        <f t="shared" ca="1" si="20"/>
        <v>0</v>
      </c>
    </row>
    <row r="132" spans="1:114" x14ac:dyDescent="0.2">
      <c r="A132" s="175">
        <f>TblRezone[[#This Row],[Hour]]</f>
        <v>129</v>
      </c>
      <c r="B132" s="176">
        <f ca="1">SUM(TblConstr[[#This Row],[Plain]:[Water]])</f>
        <v>60</v>
      </c>
      <c r="C132" s="177">
        <f ca="1">SUM(TblConstr[[#This Row],[Tot Hom]:[Tot Doc]])</f>
        <v>50</v>
      </c>
      <c r="D132" s="177">
        <f>SUM(O121:AG132)</f>
        <v>0</v>
      </c>
      <c r="E132" s="178"/>
      <c r="F132" s="61">
        <f ca="1">TblConstr[[#This Row],[Barren]]+TblConstr[[#This Row],[Buildings]]+TblConstr[[#This Row],[Incoming]]</f>
        <v>110</v>
      </c>
      <c r="G132" s="187">
        <f ca="1">OFFSET(TblConstr[[#This Row],[Plain]],-1,0)+TblConstr[[#This Row],[Ch_Plain]]</f>
        <v>60</v>
      </c>
      <c r="H132" s="182">
        <f ca="1">OFFSET(TblConstr[[#This Row],[Forest]],-1,0)+TblConstr[[#This Row],[Ch_Forest]]</f>
        <v>0</v>
      </c>
      <c r="I132" s="359">
        <f ca="1">OFFSET(TblConstr[[#This Row],[Mountain]],-1,0)+TblConstr[[#This Row],[Ch_Mountain]]</f>
        <v>0</v>
      </c>
      <c r="J132" s="363">
        <f ca="1">OFFSET(TblConstr[[#This Row],[Hill]],-1,0)+TblConstr[[#This Row],[Ch_Hill]]</f>
        <v>0</v>
      </c>
      <c r="K132" s="367">
        <f ca="1">OFFSET(TblConstr[[#This Row],[Swamp]],-1,0)+TblConstr[[#This Row],[Ch_Swamp]]</f>
        <v>0</v>
      </c>
      <c r="L132" s="185">
        <f ca="1">OFFSET(TblConstr[[#This Row],[Cavern]],-1,0)+TblConstr[[#This Row],[Ch_Cavern]]</f>
        <v>0</v>
      </c>
      <c r="M132" s="186">
        <f ca="1">OFFSET(TblConstr[[#This Row],[Water]],-1,0)+TblConstr[[#This Row],[Ch_Water]]</f>
        <v>0</v>
      </c>
      <c r="N132" s="357">
        <f>TblRezone[[#This Row],[Hour]]</f>
        <v>129</v>
      </c>
      <c r="O132" s="179"/>
      <c r="P132" s="179"/>
      <c r="Q132" s="179"/>
      <c r="R132" s="179"/>
      <c r="S132" s="179"/>
      <c r="T132" s="179"/>
      <c r="U132" s="179"/>
      <c r="V132" s="179"/>
      <c r="W132" s="179"/>
      <c r="X132" s="179"/>
      <c r="Y132" s="179"/>
      <c r="Z132" s="179"/>
      <c r="AA132" s="179"/>
      <c r="AB132" s="179"/>
      <c r="AC132" s="179"/>
      <c r="AD132" s="179"/>
      <c r="AE132" s="179"/>
      <c r="AF132" s="179"/>
      <c r="AG132" s="179"/>
      <c r="AH132" s="53">
        <f ca="1">TblImps[[#This Row],[Time]]</f>
        <v>46052.333333333023</v>
      </c>
      <c r="AI132" s="180">
        <f ca="1">MIN(25%,(TblConstr[[#This Row],[Tot Fac]]+TblConstr[[#This Row],[Dest Fac]])/(TblConstr[[#This Row],[Land]]-TblExplore[[#This Row],[Land Bonus]]*20))</f>
        <v>0</v>
      </c>
      <c r="AJ132" s="180">
        <f ca="1">MIN(25%,(TblConstr[[#This Row],[Tot Fac]]+TblConstr[[#This Row],[Dest Fac]])/TblConstr[[#This Row],[Land]])</f>
        <v>0</v>
      </c>
      <c r="AK132" s="94">
        <f ca="1">TblProd[[#This Row],[Platinum]]</f>
        <v>225159</v>
      </c>
      <c r="AL132" s="94">
        <f ca="1">TblProd[[#This Row],[Lumber]]</f>
        <v>76516</v>
      </c>
      <c r="AM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2" s="94">
        <f ca="1">ROUNDDOWN( MAX(1 - MIN(facs_constr_factor*TblConstr[[#This Row],[Facs -DB]],facs_constr_max) + tech_1_11*TblTech[[#This Row],[11-1]] + tech_6_3_2*TblTech[[#This Row],[6-3]] + tech_5_2_3*TblTech[[#This Row],[5-2]], 1-global_constr_cap) * TblConstr[[#This Row],[RCPA Lumber]],0)</f>
        <v>48</v>
      </c>
      <c r="AO132"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2" s="94">
        <f ca="1">ROUNDDOWN( MAX(1 - MIN(facs_constr_factor*TblConstr[[#This Row],[Facs DB]],facs_constr_max) + tech_1_11*TblTech[[#This Row],[1-11]] + tech_6_3_2*TblTech[[#This Row],[6-3]] + tech_5_2_3*TblTech[[#This Row],[5-2]], 1-global_constr_cap) * ROUND((TblConstr[[#This Row],[Land]]-250)*0.285 + 87.5 + 0/4.25,0),0)</f>
        <v>48</v>
      </c>
      <c r="AQ132" s="45">
        <f ca="1">TblConstr[[#This Row],[build -db]]*TblConstr[[#This Row],[CPA Platinum -DB]] + TblConstr[[#This Row],[build db]]*TblConstr[[#This Row],[CPA Platinum DB]]</f>
        <v>0</v>
      </c>
      <c r="AR132" s="45">
        <f ca="1">TblConstr[[#This Row],[build -db]]*TblConstr[[#This Row],[CPA Lumber -DB]] + TblConstr[[#This Row],[build db]]*TblConstr[[#This Row],[CPA Lumber DB]]</f>
        <v>0</v>
      </c>
      <c r="AS132" s="94">
        <f ca="1">MIN(SUM(OFFSET(TblConstr[[#This Row],[Plain]:[Water]],-1,0))+SUM(TblConstr[[#This Row],[Dest Hom]:[Dest Doc]])+IF(TblConstr[[#This Row],[Hour]]&gt;12,SUM(OFFSET(TblExplore[[#This Row],[Plains Explore]:[Water Explore]],-12,0)),0),SUM(TblConstr[[#This Row],[Hom]:[Doc]]))</f>
        <v>0</v>
      </c>
      <c r="AT132"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2" s="142"/>
      <c r="AV132" s="94">
        <f ca="1">ROUND((TblConstr[[#This Row],[Land]]-250 - IF(TblExplore[[#This Row],[Land Bonus]]&lt;&gt;0,20,0))*1.25 + 850 + 0,0)</f>
        <v>675</v>
      </c>
      <c r="AW132" s="94">
        <f ca="1">ROUND((TblConstr[[#This Row],[Land]]-250 - IF(TblExplore[[#This Row],[Land Bonus]]&lt;&gt;0,20,0))*0.285 + 87.5 + 0/4.25,0)</f>
        <v>48</v>
      </c>
      <c r="AX132" s="154"/>
      <c r="AY132" s="188" cm="1">
        <f t="array" aca="1" ref="AY132" ca="1">IF(TblConstr[[#This Row],[Hour]:[Hour]]&gt;12,OFFSET(TblConstr[[#This Row],[Hom]],-12,0),0)+OFFSET(TblConstr[[#This Row],[Tot Hom]],-1,0)-TblConstr[[#This Row],[Dest Hom]]</f>
        <v>0</v>
      </c>
      <c r="AZ132" s="189" cm="1">
        <f t="array" aca="1" ref="AZ132" ca="1">IF(TblConstr[[#This Row],[Hour]:[Hour]]&gt;12,OFFSET(TblConstr[[#This Row],[Alc]],-12,0),0)+OFFSET(TblConstr[[#This Row],[Tot Alc]],-1,0)-TblConstr[[#This Row],[Dest Alc]]</f>
        <v>0</v>
      </c>
      <c r="BA132" s="189" cm="1">
        <f t="array" aca="1" ref="BA132" ca="1">IF(TblConstr[[#This Row],[Hour]:[Hour]]&gt;12,OFFSET(TblConstr[[#This Row],[Far]],-12,0),0)+OFFSET(TblConstr[[#This Row],[Tot Farm]],-1,0)-TblConstr[[#This Row],[Dest Farm]]</f>
        <v>30</v>
      </c>
      <c r="BB132" s="189" cm="1">
        <f t="array" aca="1" ref="BB132" ca="1">IF(TblConstr[[#This Row],[Hour]:[Hour]]&gt;12,OFFSET(TblConstr[[#This Row],[Smi]],-12,0),0)+OFFSET(TblConstr[[#This Row],[Tot Smi]],-1,0)-TblConstr[[#This Row],[Dest Smi]]</f>
        <v>0</v>
      </c>
      <c r="BC132" s="189" cm="1">
        <f t="array" aca="1" ref="BC132" ca="1">IF(TblConstr[[#This Row],[Hour]:[Hour]]&gt;12,OFFSET(TblConstr[[#This Row],[Mas]],-12,0),0)+OFFSET(TblConstr[[#This Row],[Tot Mas]],-1,0)-TblConstr[[#This Row],[Dest Mas]]</f>
        <v>0</v>
      </c>
      <c r="BD132" s="190" cm="1">
        <f t="array" aca="1" ref="BD132" ca="1">IF(TblConstr[[#This Row],[Hour]:[Hour]]&gt;12,OFFSET(TblConstr[[#This Row],[Ly]],-12,0),0)+OFFSET(TblConstr[[#This Row],[Tot Ly]],-1,0)-TblConstr[[#This Row],[Dest Ly]]</f>
        <v>20</v>
      </c>
      <c r="BE132" s="190" cm="1">
        <f t="array" aca="1" ref="BE132" ca="1">IF(TblConstr[[#This Row],[Hour]:[Hour]]&gt;12,OFFSET(TblConstr[[#This Row],[Hav]],-12,0),0)+OFFSET(TblConstr[[#This Row],[Tot Hav]],-1,0)-TblConstr[[#This Row],[Dest Hav]]</f>
        <v>0</v>
      </c>
      <c r="BF132" s="361" cm="1">
        <f t="array" aca="1" ref="BF132" ca="1">IF(TblConstr[[#This Row],[Hour]:[Hour]]&gt;12,OFFSET(TblConstr[[#This Row],[OM]],-12,0),0)+OFFSET(TblConstr[[#This Row],[Tot OM]],-1,0)-TblConstr[[#This Row],[Dest OM]]</f>
        <v>0</v>
      </c>
      <c r="BG132" s="361" cm="1">
        <f t="array" aca="1" ref="BG132" ca="1">IF(TblConstr[[#This Row],[Hour]:[Hour]]&gt;12,OFFSET(TblConstr[[#This Row],[GN]],-12,0),0)+OFFSET(TblConstr[[#This Row],[Tot GN]],-1,0)-TblConstr[[#This Row],[Dest GN]]</f>
        <v>0</v>
      </c>
      <c r="BH132" s="365" cm="1">
        <f t="array" aca="1" ref="BH132" ca="1">IF(TblConstr[[#This Row],[Hour]:[Hour]]&gt;12,OFFSET(TblConstr[[#This Row],[Fac]],-12,0),0)+OFFSET(TblConstr[[#This Row],[Tot Fac]],-1,0)-TblConstr[[#This Row],[Dest Fac]]</f>
        <v>0</v>
      </c>
      <c r="BI132" s="365" cm="1">
        <f t="array" aca="1" ref="BI132" ca="1">IF(TblConstr[[#This Row],[Hour]:[Hour]]&gt;12,OFFSET(TblConstr[[#This Row],[GT]],-12,0),0)+OFFSET(TblConstr[[#This Row],[Tot GT]],-1,0)-TblConstr[[#This Row],[Dest GT]]</f>
        <v>0</v>
      </c>
      <c r="BJ132" s="365" cm="1">
        <f t="array" aca="1" ref="BJ132" ca="1">IF(TblConstr[[#This Row],[Hour]:[Hour]]&gt;12,OFFSET(TblConstr[[#This Row],[Bar]],-12,0),0)+OFFSET(TblConstr[[#This Row],[Tot Bar]],-1,0)-TblConstr[[#This Row],[Dest Bar]]</f>
        <v>0</v>
      </c>
      <c r="BK132" s="365" cm="1">
        <f t="array" aca="1" ref="BK132" ca="1">IF(TblConstr[[#This Row],[Hour]:[Hour]]&gt;12,OFFSET(TblConstr[[#This Row],[Shr]],-12,0),0)+OFFSET(TblConstr[[#This Row],[Tot Shr]],-1,0)-TblConstr[[#This Row],[Dest Shr]]</f>
        <v>0</v>
      </c>
      <c r="BL132" s="369" cm="1">
        <f t="array" aca="1" ref="BL132" ca="1">IF(TblConstr[[#This Row],[Hour]:[Hour]]&gt;12,OFFSET(TblConstr[[#This Row],[Tow]],-12,0),0)+OFFSET(TblConstr[[#This Row],[Tot Tow]],-1,0)-TblConstr[[#This Row],[Dest Tow]]</f>
        <v>0</v>
      </c>
      <c r="BM132" s="369" cm="1">
        <f t="array" aca="1" ref="BM132" ca="1">IF(TblConstr[[#This Row],[Hour]:[Hour]]&gt;12,OFFSET(TblConstr[[#This Row],[Tem]],-12,0),0)+OFFSET(TblConstr[[#This Row],[Tot Tem]],-1,0)-TblConstr[[#This Row],[Dest Tem]]</f>
        <v>0</v>
      </c>
      <c r="BN132" s="369" cm="1">
        <f t="array" aca="1" ref="BN132" ca="1">IF(TblConstr[[#This Row],[Hour]:[Hour]]&gt;12,OFFSET(TblConstr[[#This Row],[WG]],-12,0),0)+OFFSET(TblConstr[[#This Row],[Tot WG]],-1,0)-TblConstr[[#This Row],[Dest WG]]</f>
        <v>0</v>
      </c>
      <c r="BO132" s="191" cm="1">
        <f t="array" aca="1" ref="BO132" ca="1">IF(TblConstr[[#This Row],[Hour]:[Hour]]&gt;12,OFFSET(TblConstr[[#This Row],[DM]],-12,0),0)+OFFSET(TblConstr[[#This Row],[Tot DM]],-1,0)-TblConstr[[#This Row],[Dest DM]]</f>
        <v>0</v>
      </c>
      <c r="BP132" s="191" cm="1">
        <f t="array" aca="1" ref="BP132" ca="1">IF(TblConstr[[#This Row],[Hour]:[Hour]]&gt;12,OFFSET(TblConstr[[#This Row],[Sch]],-12,0),0)+OFFSET(TblConstr[[#This Row],[Tot Sch]],-1,0)-TblConstr[[#This Row],[Dest Sch]]</f>
        <v>0</v>
      </c>
      <c r="BQ132" s="192" cm="1">
        <f t="array" aca="1" ref="BQ132" ca="1">IF(TblConstr[[#This Row],[Hour]:[Hour]]&gt;12,OFFSET(TblConstr[[#This Row],[Doc]],-12,0),0)+OFFSET(TblConstr[[#This Row],[Tot Doc]],-1,0)-TblConstr[[#This Row],[Dest Doc]]</f>
        <v>0</v>
      </c>
      <c r="BR132" s="142"/>
      <c r="BS132" s="154"/>
      <c r="BT132" s="94">
        <f ca="1">TblConstr[[#This Row],[Land]]</f>
        <v>110</v>
      </c>
      <c r="BU132" s="159">
        <f ca="1">TblImps[[#This Row],[Time]]</f>
        <v>46052.333333333023</v>
      </c>
      <c r="BV132" s="142"/>
      <c r="BW132" s="179"/>
      <c r="BX132" s="179"/>
      <c r="BY132" s="179"/>
      <c r="BZ132" s="179"/>
      <c r="CA132" s="179"/>
      <c r="CB132" s="179"/>
      <c r="CC132" s="179"/>
      <c r="CD132" s="179"/>
      <c r="CE132" s="179"/>
      <c r="CF132" s="179"/>
      <c r="CG132" s="179"/>
      <c r="CH132" s="179"/>
      <c r="CI132" s="179"/>
      <c r="CJ132" s="179"/>
      <c r="CK132" s="179"/>
      <c r="CL132" s="179"/>
      <c r="CM132" s="179"/>
      <c r="CN132" s="179"/>
      <c r="CO132" s="179"/>
      <c r="CP132" s="142"/>
      <c r="CQ132" s="181">
        <f ca="1">-SUM(TblConstr[[#This Row],[Alc]:[Mas]])+SUM(TblConstr[[#This Row],[Dest Alc]:[Dest Mas]])+Rezone!L132+IF("Ch_"&amp; home_land=TblConstr[[#Headers],[Ch_Plain]],TblConstr[[#This Row],[Home Land]])+IF(TblConstr[[#This Row],[Hour]:[Hour]]&gt;12,OFFSET(TblExplore[[#This Row],[Plains Explore]],-12,0),0)</f>
        <v>0</v>
      </c>
      <c r="CR132" s="182">
        <f ca="1">-SUM(TblConstr[[#This Row],[Ly]:[Hav]])+SUM(TblConstr[[#This Row],[Dest Ly]:[Dest Hav]]) +Rezone!M132 + IF("Ch_"&amp; home_land=TblConstr[[#Headers],[Ch_Forest]],TblConstr[[#This Row],[Home Land]])+IF(TblConstr[[#This Row],[Hour]:[Hour]]&gt;12,OFFSET(TblExplore[[#This Row],[Forest Explore]],-12,0),0)</f>
        <v>0</v>
      </c>
      <c r="CS132" s="359">
        <f ca="1">-SUM(TblConstr[[#This Row],[OM]:[GN]])+SUM(TblConstr[[#This Row],[Dest OM]:[Dest GN]]) +Rezone!N132 + IF("Ch_"&amp; home_land=TblConstr[[#Headers],[Ch_Mountain]],TblConstr[[#This Row],[Home Land]])+IF(TblConstr[[#This Row],[Hour]:[Hour]]&gt;12,OFFSET(TblExplore[[#This Row],[Mountain Explore]],-12,0),0)</f>
        <v>0</v>
      </c>
      <c r="CT132" s="183">
        <f ca="1">-SUM(TblConstr[[#This Row],[Fac]:[Shr]])+SUM(TblConstr[[#This Row],[Dest Fac]:[Dest Shr]]) +Rezone!O132 + IF("Ch_" &amp; home_land=TblConstr[[#Headers],[Ch_Hill]],TblConstr[[#This Row],[Home Land]])+IF(TblConstr[[#This Row],[Hour]:[Hour]]&gt;12,OFFSET(TblExplore[[#This Row],[Hill Explore]],-12,0),0)</f>
        <v>0</v>
      </c>
      <c r="CU132" s="184">
        <f ca="1">-SUM(TblConstr[[#This Row],[Tow]:[WG]])+SUM(TblConstr[[#This Row],[Dest Tow]:[Dest WG]]) +Rezone!P132 + IF("Ch_" &amp; home_land=TblConstr[[#Headers],[Ch_Swamp]],TblConstr[[#This Row],[Home Land]])+IF(TblConstr[[#This Row],[Hour]:[Hour]]&gt;12,OFFSET(TblExplore[[#This Row],[Swamp Explore]],-12,0),0)</f>
        <v>0</v>
      </c>
      <c r="CV132" s="185">
        <f ca="1" xml:space="preserve"> - SUM(TblConstr[[#This Row],[DM]:[Sch]])+SUM(TblConstr[[#This Row],[Dest DM]:[Dest Sch]]) +Rezone!Q132 + IF("Ch_" &amp; home_land=TblConstr[[#Headers],[Ch_Cavern]],TblConstr[[#This Row],[Home Land]])+IF(TblConstr[[#This Row],[Hour]:[Hour]]&gt;12,OFFSET(TblExplore[[#This Row],[Cavern Explore]],-12,0),0)</f>
        <v>0</v>
      </c>
      <c r="CW132" s="186">
        <f ca="1">-TblConstr[[#This Row],[Doc]]+TblConstr[[#This Row],[Dest Doc]] +Rezone!R132 + IF("Ch_" &amp; home_land=TblConstr[[#Headers],[Ch_Water]],TblConstr[[#This Row],[Home Land]])+IF(TblConstr[[#This Row],[Hour]:[Hour]]&gt;12,OFFSET(TblExplore[[#This Row],[Water Explore]],-12,0),0)</f>
        <v>0</v>
      </c>
      <c r="CX132" s="45">
        <f>IF(Explore!S132=1,20) - TblConstr[[#This Row],[Hom]] + TblConstr[[#This Row],[Dest Hom]]</f>
        <v>0</v>
      </c>
      <c r="CY132" s="142"/>
      <c r="CZ132" s="94">
        <f ca="1">G132+SUM(P121:S132)+SUM(AZ132:BC132)</f>
        <v>90</v>
      </c>
      <c r="DA132" s="94">
        <f ca="1">H132+SUM(T121:U132)+SUM(BD132:BE132)</f>
        <v>20</v>
      </c>
      <c r="DB132" s="45">
        <f ca="1">I132+SUM(V121:W132)+SUM(BF132:BG132)</f>
        <v>0</v>
      </c>
      <c r="DC132" s="94">
        <f ca="1">J132+SUM(X121:Y132)+SUM(BH132:BI132)</f>
        <v>0</v>
      </c>
      <c r="DD132" s="94">
        <f ca="1">K132+SUM(AB121:AD132)+SUM(BL132:BN132)</f>
        <v>0</v>
      </c>
      <c r="DE132" s="45">
        <f ca="1">L132+SUM(AE121:AE132)+BO132</f>
        <v>0</v>
      </c>
      <c r="DF132" s="94">
        <f ca="1">M132+SUM(AG121:AG132)+BQ132</f>
        <v>0</v>
      </c>
      <c r="DG132" s="94" cm="1">
        <f t="array" aca="1" ref="DG132" ca="1">INDEX(TblConstr[[Total Plain]:[Total Water]],ROW()-ROW(TblConstr[#Headers]),MATCH("Total "&amp;home_land,TblConstr[[#Headers],[Total Plain]:[Total Water]],0))+TblConstr[[#This Row],[Homes]]</f>
        <v>90</v>
      </c>
      <c r="DH132" s="45">
        <f ca="1">SUM(O121:O132)+AY132</f>
        <v>0</v>
      </c>
      <c r="DI132" s="45">
        <f ca="1">MAX(BA132-BA131,0)</f>
        <v>0</v>
      </c>
      <c r="DJ132" s="45">
        <f ca="1">MAX(BQ132-BQ131,0)</f>
        <v>0</v>
      </c>
    </row>
    <row r="133" spans="1:114" x14ac:dyDescent="0.2">
      <c r="A133" s="175">
        <f>TblRezone[[#This Row],[Hour]]</f>
        <v>130</v>
      </c>
      <c r="B133" s="176">
        <f ca="1">SUM(TblConstr[[#This Row],[Plain]:[Water]])</f>
        <v>60</v>
      </c>
      <c r="C133" s="177">
        <f ca="1">SUM(TblConstr[[#This Row],[Tot Hom]:[Tot Doc]])</f>
        <v>50</v>
      </c>
      <c r="D133" s="177">
        <f>SUM(O122:AG133)</f>
        <v>0</v>
      </c>
      <c r="E133" s="178"/>
      <c r="F133" s="61">
        <f ca="1">TblConstr[[#This Row],[Barren]]+TblConstr[[#This Row],[Buildings]]+TblConstr[[#This Row],[Incoming]]</f>
        <v>110</v>
      </c>
      <c r="G133" s="187">
        <f ca="1">OFFSET(TblConstr[[#This Row],[Plain]],-1,0)+TblConstr[[#This Row],[Ch_Plain]]</f>
        <v>60</v>
      </c>
      <c r="H133" s="182">
        <f ca="1">OFFSET(TblConstr[[#This Row],[Forest]],-1,0)+TblConstr[[#This Row],[Ch_Forest]]</f>
        <v>0</v>
      </c>
      <c r="I133" s="359">
        <f ca="1">OFFSET(TblConstr[[#This Row],[Mountain]],-1,0)+TblConstr[[#This Row],[Ch_Mountain]]</f>
        <v>0</v>
      </c>
      <c r="J133" s="363">
        <f ca="1">OFFSET(TblConstr[[#This Row],[Hill]],-1,0)+TblConstr[[#This Row],[Ch_Hill]]</f>
        <v>0</v>
      </c>
      <c r="K133" s="367">
        <f ca="1">OFFSET(TblConstr[[#This Row],[Swamp]],-1,0)+TblConstr[[#This Row],[Ch_Swamp]]</f>
        <v>0</v>
      </c>
      <c r="L133" s="185">
        <f ca="1">OFFSET(TblConstr[[#This Row],[Cavern]],-1,0)+TblConstr[[#This Row],[Ch_Cavern]]</f>
        <v>0</v>
      </c>
      <c r="M133" s="186">
        <f ca="1">OFFSET(TblConstr[[#This Row],[Water]],-1,0)+TblConstr[[#This Row],[Ch_Water]]</f>
        <v>0</v>
      </c>
      <c r="N133" s="357">
        <f>TblRezone[[#This Row],[Hour]]</f>
        <v>130</v>
      </c>
      <c r="O133" s="179"/>
      <c r="P133" s="179"/>
      <c r="Q133" s="179"/>
      <c r="R133" s="179"/>
      <c r="S133" s="179"/>
      <c r="T133" s="179"/>
      <c r="U133" s="179"/>
      <c r="V133" s="179"/>
      <c r="W133" s="179"/>
      <c r="X133" s="179"/>
      <c r="Y133" s="179"/>
      <c r="Z133" s="179"/>
      <c r="AA133" s="179"/>
      <c r="AB133" s="179"/>
      <c r="AC133" s="179"/>
      <c r="AD133" s="179"/>
      <c r="AE133" s="179"/>
      <c r="AF133" s="179"/>
      <c r="AG133" s="179"/>
      <c r="AH133" s="53">
        <f ca="1">TblImps[[#This Row],[Time]]</f>
        <v>46052.374999999687</v>
      </c>
      <c r="AI133" s="180">
        <f ca="1">MIN(25%,(TblConstr[[#This Row],[Tot Fac]]+TblConstr[[#This Row],[Dest Fac]])/(TblConstr[[#This Row],[Land]]-TblExplore[[#This Row],[Land Bonus]]*20))</f>
        <v>0</v>
      </c>
      <c r="AJ133" s="180">
        <f ca="1">MIN(25%,(TblConstr[[#This Row],[Tot Fac]]+TblConstr[[#This Row],[Dest Fac]])/TblConstr[[#This Row],[Land]])</f>
        <v>0</v>
      </c>
      <c r="AK133" s="94">
        <f ca="1">TblProd[[#This Row],[Platinum]]</f>
        <v>225909</v>
      </c>
      <c r="AL133" s="94">
        <f ca="1">TblProd[[#This Row],[Lumber]]</f>
        <v>76751</v>
      </c>
      <c r="AM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3" s="94">
        <f ca="1">ROUNDDOWN( MAX(1 - MIN(facs_constr_factor*TblConstr[[#This Row],[Facs -DB]],facs_constr_max) + tech_1_11*TblTech[[#This Row],[11-1]] + tech_6_3_2*TblTech[[#This Row],[6-3]] + tech_5_2_3*TblTech[[#This Row],[5-2]], 1-global_constr_cap) * TblConstr[[#This Row],[RCPA Lumber]],0)</f>
        <v>48</v>
      </c>
      <c r="AO133"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3" s="94">
        <f ca="1">ROUNDDOWN( MAX(1 - MIN(facs_constr_factor*TblConstr[[#This Row],[Facs DB]],facs_constr_max) + tech_1_11*TblTech[[#This Row],[1-11]] + tech_6_3_2*TblTech[[#This Row],[6-3]] + tech_5_2_3*TblTech[[#This Row],[5-2]], 1-global_constr_cap) * ROUND((TblConstr[[#This Row],[Land]]-250)*0.285 + 87.5 + 0/4.25,0),0)</f>
        <v>48</v>
      </c>
      <c r="AQ133" s="45">
        <f ca="1">TblConstr[[#This Row],[build -db]]*TblConstr[[#This Row],[CPA Platinum -DB]] + TblConstr[[#This Row],[build db]]*TblConstr[[#This Row],[CPA Platinum DB]]</f>
        <v>0</v>
      </c>
      <c r="AR133" s="45">
        <f ca="1">TblConstr[[#This Row],[build -db]]*TblConstr[[#This Row],[CPA Lumber -DB]] + TblConstr[[#This Row],[build db]]*TblConstr[[#This Row],[CPA Lumber DB]]</f>
        <v>0</v>
      </c>
      <c r="AS133" s="94">
        <f ca="1">MIN(SUM(OFFSET(TblConstr[[#This Row],[Plain]:[Water]],-1,0))+SUM(TblConstr[[#This Row],[Dest Hom]:[Dest Doc]])+IF(TblConstr[[#This Row],[Hour]]&gt;12,SUM(OFFSET(TblExplore[[#This Row],[Plains Explore]:[Water Explore]],-12,0)),0),SUM(TblConstr[[#This Row],[Hom]:[Doc]]))</f>
        <v>0</v>
      </c>
      <c r="AT133"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3" s="142"/>
      <c r="AV133" s="94">
        <f ca="1">ROUND((TblConstr[[#This Row],[Land]]-250 - IF(TblExplore[[#This Row],[Land Bonus]]&lt;&gt;0,20,0))*1.25 + 850 + 0,0)</f>
        <v>675</v>
      </c>
      <c r="AW133" s="94">
        <f ca="1">ROUND((TblConstr[[#This Row],[Land]]-250 - IF(TblExplore[[#This Row],[Land Bonus]]&lt;&gt;0,20,0))*0.285 + 87.5 + 0/4.25,0)</f>
        <v>48</v>
      </c>
      <c r="AX133" s="154"/>
      <c r="AY133" s="188" cm="1">
        <f t="array" aca="1" ref="AY133" ca="1">IF(TblConstr[[#This Row],[Hour]:[Hour]]&gt;12,OFFSET(TblConstr[[#This Row],[Hom]],-12,0),0)+OFFSET(TblConstr[[#This Row],[Tot Hom]],-1,0)-TblConstr[[#This Row],[Dest Hom]]</f>
        <v>0</v>
      </c>
      <c r="AZ133" s="189" cm="1">
        <f t="array" aca="1" ref="AZ133" ca="1">IF(TblConstr[[#This Row],[Hour]:[Hour]]&gt;12,OFFSET(TblConstr[[#This Row],[Alc]],-12,0),0)+OFFSET(TblConstr[[#This Row],[Tot Alc]],-1,0)-TblConstr[[#This Row],[Dest Alc]]</f>
        <v>0</v>
      </c>
      <c r="BA133" s="189" cm="1">
        <f t="array" aca="1" ref="BA133" ca="1">IF(TblConstr[[#This Row],[Hour]:[Hour]]&gt;12,OFFSET(TblConstr[[#This Row],[Far]],-12,0),0)+OFFSET(TblConstr[[#This Row],[Tot Farm]],-1,0)-TblConstr[[#This Row],[Dest Farm]]</f>
        <v>30</v>
      </c>
      <c r="BB133" s="189" cm="1">
        <f t="array" aca="1" ref="BB133" ca="1">IF(TblConstr[[#This Row],[Hour]:[Hour]]&gt;12,OFFSET(TblConstr[[#This Row],[Smi]],-12,0),0)+OFFSET(TblConstr[[#This Row],[Tot Smi]],-1,0)-TblConstr[[#This Row],[Dest Smi]]</f>
        <v>0</v>
      </c>
      <c r="BC133" s="189" cm="1">
        <f t="array" aca="1" ref="BC133" ca="1">IF(TblConstr[[#This Row],[Hour]:[Hour]]&gt;12,OFFSET(TblConstr[[#This Row],[Mas]],-12,0),0)+OFFSET(TblConstr[[#This Row],[Tot Mas]],-1,0)-TblConstr[[#This Row],[Dest Mas]]</f>
        <v>0</v>
      </c>
      <c r="BD133" s="190" cm="1">
        <f t="array" aca="1" ref="BD133" ca="1">IF(TblConstr[[#This Row],[Hour]:[Hour]]&gt;12,OFFSET(TblConstr[[#This Row],[Ly]],-12,0),0)+OFFSET(TblConstr[[#This Row],[Tot Ly]],-1,0)-TblConstr[[#This Row],[Dest Ly]]</f>
        <v>20</v>
      </c>
      <c r="BE133" s="190" cm="1">
        <f t="array" aca="1" ref="BE133" ca="1">IF(TblConstr[[#This Row],[Hour]:[Hour]]&gt;12,OFFSET(TblConstr[[#This Row],[Hav]],-12,0),0)+OFFSET(TblConstr[[#This Row],[Tot Hav]],-1,0)-TblConstr[[#This Row],[Dest Hav]]</f>
        <v>0</v>
      </c>
      <c r="BF133" s="361" cm="1">
        <f t="array" aca="1" ref="BF133" ca="1">IF(TblConstr[[#This Row],[Hour]:[Hour]]&gt;12,OFFSET(TblConstr[[#This Row],[OM]],-12,0),0)+OFFSET(TblConstr[[#This Row],[Tot OM]],-1,0)-TblConstr[[#This Row],[Dest OM]]</f>
        <v>0</v>
      </c>
      <c r="BG133" s="361" cm="1">
        <f t="array" aca="1" ref="BG133" ca="1">IF(TblConstr[[#This Row],[Hour]:[Hour]]&gt;12,OFFSET(TblConstr[[#This Row],[GN]],-12,0),0)+OFFSET(TblConstr[[#This Row],[Tot GN]],-1,0)-TblConstr[[#This Row],[Dest GN]]</f>
        <v>0</v>
      </c>
      <c r="BH133" s="365" cm="1">
        <f t="array" aca="1" ref="BH133" ca="1">IF(TblConstr[[#This Row],[Hour]:[Hour]]&gt;12,OFFSET(TblConstr[[#This Row],[Fac]],-12,0),0)+OFFSET(TblConstr[[#This Row],[Tot Fac]],-1,0)-TblConstr[[#This Row],[Dest Fac]]</f>
        <v>0</v>
      </c>
      <c r="BI133" s="365" cm="1">
        <f t="array" aca="1" ref="BI133" ca="1">IF(TblConstr[[#This Row],[Hour]:[Hour]]&gt;12,OFFSET(TblConstr[[#This Row],[GT]],-12,0),0)+OFFSET(TblConstr[[#This Row],[Tot GT]],-1,0)-TblConstr[[#This Row],[Dest GT]]</f>
        <v>0</v>
      </c>
      <c r="BJ133" s="365" cm="1">
        <f t="array" aca="1" ref="BJ133" ca="1">IF(TblConstr[[#This Row],[Hour]:[Hour]]&gt;12,OFFSET(TblConstr[[#This Row],[Bar]],-12,0),0)+OFFSET(TblConstr[[#This Row],[Tot Bar]],-1,0)-TblConstr[[#This Row],[Dest Bar]]</f>
        <v>0</v>
      </c>
      <c r="BK133" s="365" cm="1">
        <f t="array" aca="1" ref="BK133" ca="1">IF(TblConstr[[#This Row],[Hour]:[Hour]]&gt;12,OFFSET(TblConstr[[#This Row],[Shr]],-12,0),0)+OFFSET(TblConstr[[#This Row],[Tot Shr]],-1,0)-TblConstr[[#This Row],[Dest Shr]]</f>
        <v>0</v>
      </c>
      <c r="BL133" s="369" cm="1">
        <f t="array" aca="1" ref="BL133" ca="1">IF(TblConstr[[#This Row],[Hour]:[Hour]]&gt;12,OFFSET(TblConstr[[#This Row],[Tow]],-12,0),0)+OFFSET(TblConstr[[#This Row],[Tot Tow]],-1,0)-TblConstr[[#This Row],[Dest Tow]]</f>
        <v>0</v>
      </c>
      <c r="BM133" s="369" cm="1">
        <f t="array" aca="1" ref="BM133" ca="1">IF(TblConstr[[#This Row],[Hour]:[Hour]]&gt;12,OFFSET(TblConstr[[#This Row],[Tem]],-12,0),0)+OFFSET(TblConstr[[#This Row],[Tot Tem]],-1,0)-TblConstr[[#This Row],[Dest Tem]]</f>
        <v>0</v>
      </c>
      <c r="BN133" s="369" cm="1">
        <f t="array" aca="1" ref="BN133" ca="1">IF(TblConstr[[#This Row],[Hour]:[Hour]]&gt;12,OFFSET(TblConstr[[#This Row],[WG]],-12,0),0)+OFFSET(TblConstr[[#This Row],[Tot WG]],-1,0)-TblConstr[[#This Row],[Dest WG]]</f>
        <v>0</v>
      </c>
      <c r="BO133" s="191" cm="1">
        <f t="array" aca="1" ref="BO133" ca="1">IF(TblConstr[[#This Row],[Hour]:[Hour]]&gt;12,OFFSET(TblConstr[[#This Row],[DM]],-12,0),0)+OFFSET(TblConstr[[#This Row],[Tot DM]],-1,0)-TblConstr[[#This Row],[Dest DM]]</f>
        <v>0</v>
      </c>
      <c r="BP133" s="191" cm="1">
        <f t="array" aca="1" ref="BP133" ca="1">IF(TblConstr[[#This Row],[Hour]:[Hour]]&gt;12,OFFSET(TblConstr[[#This Row],[Sch]],-12,0),0)+OFFSET(TblConstr[[#This Row],[Tot Sch]],-1,0)-TblConstr[[#This Row],[Dest Sch]]</f>
        <v>0</v>
      </c>
      <c r="BQ133" s="192" cm="1">
        <f t="array" aca="1" ref="BQ133" ca="1">IF(TblConstr[[#This Row],[Hour]:[Hour]]&gt;12,OFFSET(TblConstr[[#This Row],[Doc]],-12,0),0)+OFFSET(TblConstr[[#This Row],[Tot Doc]],-1,0)-TblConstr[[#This Row],[Dest Doc]]</f>
        <v>0</v>
      </c>
      <c r="BR133" s="142"/>
      <c r="BS133" s="154"/>
      <c r="BT133" s="94">
        <f ca="1">TblConstr[[#This Row],[Land]]</f>
        <v>110</v>
      </c>
      <c r="BU133" s="159">
        <f ca="1">TblImps[[#This Row],[Time]]</f>
        <v>46052.374999999687</v>
      </c>
      <c r="BV133" s="142"/>
      <c r="BW133" s="179"/>
      <c r="BX133" s="179"/>
      <c r="BY133" s="179"/>
      <c r="BZ133" s="179"/>
      <c r="CA133" s="179"/>
      <c r="CB133" s="179"/>
      <c r="CC133" s="179"/>
      <c r="CD133" s="179"/>
      <c r="CE133" s="179"/>
      <c r="CF133" s="179"/>
      <c r="CG133" s="179"/>
      <c r="CH133" s="179"/>
      <c r="CI133" s="179"/>
      <c r="CJ133" s="179"/>
      <c r="CK133" s="179"/>
      <c r="CL133" s="179"/>
      <c r="CM133" s="179"/>
      <c r="CN133" s="179"/>
      <c r="CO133" s="179"/>
      <c r="CP133" s="142"/>
      <c r="CQ133" s="181">
        <f ca="1">-SUM(TblConstr[[#This Row],[Alc]:[Mas]])+SUM(TblConstr[[#This Row],[Dest Alc]:[Dest Mas]])+Rezone!L133+IF("Ch_"&amp; home_land=TblConstr[[#Headers],[Ch_Plain]],TblConstr[[#This Row],[Home Land]])+IF(TblConstr[[#This Row],[Hour]:[Hour]]&gt;12,OFFSET(TblExplore[[#This Row],[Plains Explore]],-12,0),0)</f>
        <v>0</v>
      </c>
      <c r="CR133" s="182">
        <f ca="1">-SUM(TblConstr[[#This Row],[Ly]:[Hav]])+SUM(TblConstr[[#This Row],[Dest Ly]:[Dest Hav]]) +Rezone!M133 + IF("Ch_"&amp; home_land=TblConstr[[#Headers],[Ch_Forest]],TblConstr[[#This Row],[Home Land]])+IF(TblConstr[[#This Row],[Hour]:[Hour]]&gt;12,OFFSET(TblExplore[[#This Row],[Forest Explore]],-12,0),0)</f>
        <v>0</v>
      </c>
      <c r="CS133" s="359">
        <f ca="1">-SUM(TblConstr[[#This Row],[OM]:[GN]])+SUM(TblConstr[[#This Row],[Dest OM]:[Dest GN]]) +Rezone!N133 + IF("Ch_"&amp; home_land=TblConstr[[#Headers],[Ch_Mountain]],TblConstr[[#This Row],[Home Land]])+IF(TblConstr[[#This Row],[Hour]:[Hour]]&gt;12,OFFSET(TblExplore[[#This Row],[Mountain Explore]],-12,0),0)</f>
        <v>0</v>
      </c>
      <c r="CT133" s="183">
        <f ca="1">-SUM(TblConstr[[#This Row],[Fac]:[Shr]])+SUM(TblConstr[[#This Row],[Dest Fac]:[Dest Shr]]) +Rezone!O133 + IF("Ch_" &amp; home_land=TblConstr[[#Headers],[Ch_Hill]],TblConstr[[#This Row],[Home Land]])+IF(TblConstr[[#This Row],[Hour]:[Hour]]&gt;12,OFFSET(TblExplore[[#This Row],[Hill Explore]],-12,0),0)</f>
        <v>0</v>
      </c>
      <c r="CU133" s="184">
        <f ca="1">-SUM(TblConstr[[#This Row],[Tow]:[WG]])+SUM(TblConstr[[#This Row],[Dest Tow]:[Dest WG]]) +Rezone!P133 + IF("Ch_" &amp; home_land=TblConstr[[#Headers],[Ch_Swamp]],TblConstr[[#This Row],[Home Land]])+IF(TblConstr[[#This Row],[Hour]:[Hour]]&gt;12,OFFSET(TblExplore[[#This Row],[Swamp Explore]],-12,0),0)</f>
        <v>0</v>
      </c>
      <c r="CV133" s="185">
        <f ca="1" xml:space="preserve"> - SUM(TblConstr[[#This Row],[DM]:[Sch]])+SUM(TblConstr[[#This Row],[Dest DM]:[Dest Sch]]) +Rezone!Q133 + IF("Ch_" &amp; home_land=TblConstr[[#Headers],[Ch_Cavern]],TblConstr[[#This Row],[Home Land]])+IF(TblConstr[[#This Row],[Hour]:[Hour]]&gt;12,OFFSET(TblExplore[[#This Row],[Cavern Explore]],-12,0),0)</f>
        <v>0</v>
      </c>
      <c r="CW133" s="186">
        <f ca="1">-TblConstr[[#This Row],[Doc]]+TblConstr[[#This Row],[Dest Doc]] +Rezone!R133 + IF("Ch_" &amp; home_land=TblConstr[[#Headers],[Ch_Water]],TblConstr[[#This Row],[Home Land]])+IF(TblConstr[[#This Row],[Hour]:[Hour]]&gt;12,OFFSET(TblExplore[[#This Row],[Water Explore]],-12,0),0)</f>
        <v>0</v>
      </c>
      <c r="CX133" s="45">
        <f>IF(Explore!S133=1,20) - TblConstr[[#This Row],[Hom]] + TblConstr[[#This Row],[Dest Hom]]</f>
        <v>0</v>
      </c>
      <c r="CY133" s="142"/>
      <c r="CZ133" s="94">
        <f ca="1">G133+SUM(P122:S133)+SUM(AZ133:BC133)</f>
        <v>90</v>
      </c>
      <c r="DA133" s="94">
        <f ca="1">H133+SUM(T122:U133)+SUM(BD133:BE133)</f>
        <v>20</v>
      </c>
      <c r="DB133" s="45">
        <f ca="1">I133+SUM(V122:W133)+SUM(BF133:BG133)</f>
        <v>0</v>
      </c>
      <c r="DC133" s="94">
        <f ca="1">J133+SUM(X122:Y133)+SUM(BH133:BI133)</f>
        <v>0</v>
      </c>
      <c r="DD133" s="94">
        <f ca="1">K133+SUM(AB122:AD133)+SUM(BL133:BN133)</f>
        <v>0</v>
      </c>
      <c r="DE133" s="45">
        <f ca="1">L133+SUM(AE122:AE133)+BO133</f>
        <v>0</v>
      </c>
      <c r="DF133" s="94">
        <f ca="1">M133+SUM(AG122:AG133)+BQ133</f>
        <v>0</v>
      </c>
      <c r="DG133" s="94" cm="1">
        <f t="array" aca="1" ref="DG133" ca="1">INDEX(TblConstr[[Total Plain]:[Total Water]],ROW()-ROW(TblConstr[#Headers]),MATCH("Total "&amp;home_land,TblConstr[[#Headers],[Total Plain]:[Total Water]],0))+TblConstr[[#This Row],[Homes]]</f>
        <v>90</v>
      </c>
      <c r="DH133" s="45">
        <f ca="1">SUM(O122:O133)+AY133</f>
        <v>0</v>
      </c>
      <c r="DI133" s="45">
        <f t="shared" ca="1" si="19"/>
        <v>0</v>
      </c>
      <c r="DJ133" s="45">
        <f t="shared" ca="1" si="20"/>
        <v>0</v>
      </c>
    </row>
    <row r="134" spans="1:114" x14ac:dyDescent="0.2">
      <c r="A134" s="175">
        <f>TblRezone[[#This Row],[Hour]]</f>
        <v>131</v>
      </c>
      <c r="B134" s="176">
        <f ca="1">SUM(TblConstr[[#This Row],[Plain]:[Water]])</f>
        <v>60</v>
      </c>
      <c r="C134" s="177">
        <f ca="1">SUM(TblConstr[[#This Row],[Tot Hom]:[Tot Doc]])</f>
        <v>50</v>
      </c>
      <c r="D134" s="177">
        <f>SUM(O123:AG134)</f>
        <v>0</v>
      </c>
      <c r="E134" s="178"/>
      <c r="F134" s="61">
        <f ca="1">TblConstr[[#This Row],[Barren]]+TblConstr[[#This Row],[Buildings]]+TblConstr[[#This Row],[Incoming]]</f>
        <v>110</v>
      </c>
      <c r="G134" s="187">
        <f ca="1">OFFSET(TblConstr[[#This Row],[Plain]],-1,0)+TblConstr[[#This Row],[Ch_Plain]]</f>
        <v>60</v>
      </c>
      <c r="H134" s="182">
        <f ca="1">OFFSET(TblConstr[[#This Row],[Forest]],-1,0)+TblConstr[[#This Row],[Ch_Forest]]</f>
        <v>0</v>
      </c>
      <c r="I134" s="359">
        <f ca="1">OFFSET(TblConstr[[#This Row],[Mountain]],-1,0)+TblConstr[[#This Row],[Ch_Mountain]]</f>
        <v>0</v>
      </c>
      <c r="J134" s="363">
        <f ca="1">OFFSET(TblConstr[[#This Row],[Hill]],-1,0)+TblConstr[[#This Row],[Ch_Hill]]</f>
        <v>0</v>
      </c>
      <c r="K134" s="367">
        <f ca="1">OFFSET(TblConstr[[#This Row],[Swamp]],-1,0)+TblConstr[[#This Row],[Ch_Swamp]]</f>
        <v>0</v>
      </c>
      <c r="L134" s="185">
        <f ca="1">OFFSET(TblConstr[[#This Row],[Cavern]],-1,0)+TblConstr[[#This Row],[Ch_Cavern]]</f>
        <v>0</v>
      </c>
      <c r="M134" s="186">
        <f ca="1">OFFSET(TblConstr[[#This Row],[Water]],-1,0)+TblConstr[[#This Row],[Ch_Water]]</f>
        <v>0</v>
      </c>
      <c r="N134" s="357">
        <f>TblRezone[[#This Row],[Hour]]</f>
        <v>131</v>
      </c>
      <c r="O134" s="179"/>
      <c r="P134" s="179"/>
      <c r="Q134" s="179"/>
      <c r="R134" s="179"/>
      <c r="S134" s="179"/>
      <c r="T134" s="179"/>
      <c r="U134" s="179"/>
      <c r="V134" s="179"/>
      <c r="W134" s="179"/>
      <c r="X134" s="179"/>
      <c r="Y134" s="179"/>
      <c r="Z134" s="179"/>
      <c r="AA134" s="179"/>
      <c r="AB134" s="179"/>
      <c r="AC134" s="179"/>
      <c r="AD134" s="179"/>
      <c r="AE134" s="179"/>
      <c r="AF134" s="179"/>
      <c r="AG134" s="179"/>
      <c r="AH134" s="53">
        <f ca="1">TblImps[[#This Row],[Time]]</f>
        <v>46052.416666666351</v>
      </c>
      <c r="AI134" s="180">
        <f ca="1">MIN(25%,(TblConstr[[#This Row],[Tot Fac]]+TblConstr[[#This Row],[Dest Fac]])/(TblConstr[[#This Row],[Land]]-TblExplore[[#This Row],[Land Bonus]]*20))</f>
        <v>0</v>
      </c>
      <c r="AJ134" s="180">
        <f ca="1">MIN(25%,(TblConstr[[#This Row],[Tot Fac]]+TblConstr[[#This Row],[Dest Fac]])/TblConstr[[#This Row],[Land]])</f>
        <v>0</v>
      </c>
      <c r="AK134" s="94">
        <f ca="1">TblProd[[#This Row],[Platinum]]</f>
        <v>226651</v>
      </c>
      <c r="AL134" s="94">
        <f ca="1">TblProd[[#This Row],[Lumber]]</f>
        <v>76983</v>
      </c>
      <c r="AM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4" s="94">
        <f ca="1">ROUNDDOWN( MAX(1 - MIN(facs_constr_factor*TblConstr[[#This Row],[Facs -DB]],facs_constr_max) + tech_1_11*TblTech[[#This Row],[11-1]] + tech_6_3_2*TblTech[[#This Row],[6-3]] + tech_5_2_3*TblTech[[#This Row],[5-2]], 1-global_constr_cap) * TblConstr[[#This Row],[RCPA Lumber]],0)</f>
        <v>48</v>
      </c>
      <c r="AO134"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4" s="94">
        <f ca="1">ROUNDDOWN( MAX(1 - MIN(facs_constr_factor*TblConstr[[#This Row],[Facs DB]],facs_constr_max) + tech_1_11*TblTech[[#This Row],[1-11]] + tech_6_3_2*TblTech[[#This Row],[6-3]] + tech_5_2_3*TblTech[[#This Row],[5-2]], 1-global_constr_cap) * ROUND((TblConstr[[#This Row],[Land]]-250)*0.285 + 87.5 + 0/4.25,0),0)</f>
        <v>48</v>
      </c>
      <c r="AQ134" s="45">
        <f ca="1">TblConstr[[#This Row],[build -db]]*TblConstr[[#This Row],[CPA Platinum -DB]] + TblConstr[[#This Row],[build db]]*TblConstr[[#This Row],[CPA Platinum DB]]</f>
        <v>0</v>
      </c>
      <c r="AR134" s="45">
        <f ca="1">TblConstr[[#This Row],[build -db]]*TblConstr[[#This Row],[CPA Lumber -DB]] + TblConstr[[#This Row],[build db]]*TblConstr[[#This Row],[CPA Lumber DB]]</f>
        <v>0</v>
      </c>
      <c r="AS134" s="94">
        <f ca="1">MIN(SUM(OFFSET(TblConstr[[#This Row],[Plain]:[Water]],-1,0))+SUM(TblConstr[[#This Row],[Dest Hom]:[Dest Doc]])+IF(TblConstr[[#This Row],[Hour]]&gt;12,SUM(OFFSET(TblExplore[[#This Row],[Plains Explore]:[Water Explore]],-12,0)),0),SUM(TblConstr[[#This Row],[Hom]:[Doc]]))</f>
        <v>0</v>
      </c>
      <c r="AT134"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4" s="142"/>
      <c r="AV134" s="94">
        <f ca="1">ROUND((TblConstr[[#This Row],[Land]]-250 - IF(TblExplore[[#This Row],[Land Bonus]]&lt;&gt;0,20,0))*1.25 + 850 + 0,0)</f>
        <v>675</v>
      </c>
      <c r="AW134" s="94">
        <f ca="1">ROUND((TblConstr[[#This Row],[Land]]-250 - IF(TblExplore[[#This Row],[Land Bonus]]&lt;&gt;0,20,0))*0.285 + 87.5 + 0/4.25,0)</f>
        <v>48</v>
      </c>
      <c r="AX134" s="154"/>
      <c r="AY134" s="188" cm="1">
        <f t="array" aca="1" ref="AY134" ca="1">IF(TblConstr[[#This Row],[Hour]:[Hour]]&gt;12,OFFSET(TblConstr[[#This Row],[Hom]],-12,0),0)+OFFSET(TblConstr[[#This Row],[Tot Hom]],-1,0)-TblConstr[[#This Row],[Dest Hom]]</f>
        <v>0</v>
      </c>
      <c r="AZ134" s="189" cm="1">
        <f t="array" aca="1" ref="AZ134" ca="1">IF(TblConstr[[#This Row],[Hour]:[Hour]]&gt;12,OFFSET(TblConstr[[#This Row],[Alc]],-12,0),0)+OFFSET(TblConstr[[#This Row],[Tot Alc]],-1,0)-TblConstr[[#This Row],[Dest Alc]]</f>
        <v>0</v>
      </c>
      <c r="BA134" s="189" cm="1">
        <f t="array" aca="1" ref="BA134" ca="1">IF(TblConstr[[#This Row],[Hour]:[Hour]]&gt;12,OFFSET(TblConstr[[#This Row],[Far]],-12,0),0)+OFFSET(TblConstr[[#This Row],[Tot Farm]],-1,0)-TblConstr[[#This Row],[Dest Farm]]</f>
        <v>30</v>
      </c>
      <c r="BB134" s="189" cm="1">
        <f t="array" aca="1" ref="BB134" ca="1">IF(TblConstr[[#This Row],[Hour]:[Hour]]&gt;12,OFFSET(TblConstr[[#This Row],[Smi]],-12,0),0)+OFFSET(TblConstr[[#This Row],[Tot Smi]],-1,0)-TblConstr[[#This Row],[Dest Smi]]</f>
        <v>0</v>
      </c>
      <c r="BC134" s="189" cm="1">
        <f t="array" aca="1" ref="BC134" ca="1">IF(TblConstr[[#This Row],[Hour]:[Hour]]&gt;12,OFFSET(TblConstr[[#This Row],[Mas]],-12,0),0)+OFFSET(TblConstr[[#This Row],[Tot Mas]],-1,0)-TblConstr[[#This Row],[Dest Mas]]</f>
        <v>0</v>
      </c>
      <c r="BD134" s="190" cm="1">
        <f t="array" aca="1" ref="BD134" ca="1">IF(TblConstr[[#This Row],[Hour]:[Hour]]&gt;12,OFFSET(TblConstr[[#This Row],[Ly]],-12,0),0)+OFFSET(TblConstr[[#This Row],[Tot Ly]],-1,0)-TblConstr[[#This Row],[Dest Ly]]</f>
        <v>20</v>
      </c>
      <c r="BE134" s="190" cm="1">
        <f t="array" aca="1" ref="BE134" ca="1">IF(TblConstr[[#This Row],[Hour]:[Hour]]&gt;12,OFFSET(TblConstr[[#This Row],[Hav]],-12,0),0)+OFFSET(TblConstr[[#This Row],[Tot Hav]],-1,0)-TblConstr[[#This Row],[Dest Hav]]</f>
        <v>0</v>
      </c>
      <c r="BF134" s="361" cm="1">
        <f t="array" aca="1" ref="BF134" ca="1">IF(TblConstr[[#This Row],[Hour]:[Hour]]&gt;12,OFFSET(TblConstr[[#This Row],[OM]],-12,0),0)+OFFSET(TblConstr[[#This Row],[Tot OM]],-1,0)-TblConstr[[#This Row],[Dest OM]]</f>
        <v>0</v>
      </c>
      <c r="BG134" s="361" cm="1">
        <f t="array" aca="1" ref="BG134" ca="1">IF(TblConstr[[#This Row],[Hour]:[Hour]]&gt;12,OFFSET(TblConstr[[#This Row],[GN]],-12,0),0)+OFFSET(TblConstr[[#This Row],[Tot GN]],-1,0)-TblConstr[[#This Row],[Dest GN]]</f>
        <v>0</v>
      </c>
      <c r="BH134" s="365" cm="1">
        <f t="array" aca="1" ref="BH134" ca="1">IF(TblConstr[[#This Row],[Hour]:[Hour]]&gt;12,OFFSET(TblConstr[[#This Row],[Fac]],-12,0),0)+OFFSET(TblConstr[[#This Row],[Tot Fac]],-1,0)-TblConstr[[#This Row],[Dest Fac]]</f>
        <v>0</v>
      </c>
      <c r="BI134" s="365" cm="1">
        <f t="array" aca="1" ref="BI134" ca="1">IF(TblConstr[[#This Row],[Hour]:[Hour]]&gt;12,OFFSET(TblConstr[[#This Row],[GT]],-12,0),0)+OFFSET(TblConstr[[#This Row],[Tot GT]],-1,0)-TblConstr[[#This Row],[Dest GT]]</f>
        <v>0</v>
      </c>
      <c r="BJ134" s="365" cm="1">
        <f t="array" aca="1" ref="BJ134" ca="1">IF(TblConstr[[#This Row],[Hour]:[Hour]]&gt;12,OFFSET(TblConstr[[#This Row],[Bar]],-12,0),0)+OFFSET(TblConstr[[#This Row],[Tot Bar]],-1,0)-TblConstr[[#This Row],[Dest Bar]]</f>
        <v>0</v>
      </c>
      <c r="BK134" s="365" cm="1">
        <f t="array" aca="1" ref="BK134" ca="1">IF(TblConstr[[#This Row],[Hour]:[Hour]]&gt;12,OFFSET(TblConstr[[#This Row],[Shr]],-12,0),0)+OFFSET(TblConstr[[#This Row],[Tot Shr]],-1,0)-TblConstr[[#This Row],[Dest Shr]]</f>
        <v>0</v>
      </c>
      <c r="BL134" s="369" cm="1">
        <f t="array" aca="1" ref="BL134" ca="1">IF(TblConstr[[#This Row],[Hour]:[Hour]]&gt;12,OFFSET(TblConstr[[#This Row],[Tow]],-12,0),0)+OFFSET(TblConstr[[#This Row],[Tot Tow]],-1,0)-TblConstr[[#This Row],[Dest Tow]]</f>
        <v>0</v>
      </c>
      <c r="BM134" s="369" cm="1">
        <f t="array" aca="1" ref="BM134" ca="1">IF(TblConstr[[#This Row],[Hour]:[Hour]]&gt;12,OFFSET(TblConstr[[#This Row],[Tem]],-12,0),0)+OFFSET(TblConstr[[#This Row],[Tot Tem]],-1,0)-TblConstr[[#This Row],[Dest Tem]]</f>
        <v>0</v>
      </c>
      <c r="BN134" s="369" cm="1">
        <f t="array" aca="1" ref="BN134" ca="1">IF(TblConstr[[#This Row],[Hour]:[Hour]]&gt;12,OFFSET(TblConstr[[#This Row],[WG]],-12,0),0)+OFFSET(TblConstr[[#This Row],[Tot WG]],-1,0)-TblConstr[[#This Row],[Dest WG]]</f>
        <v>0</v>
      </c>
      <c r="BO134" s="191" cm="1">
        <f t="array" aca="1" ref="BO134" ca="1">IF(TblConstr[[#This Row],[Hour]:[Hour]]&gt;12,OFFSET(TblConstr[[#This Row],[DM]],-12,0),0)+OFFSET(TblConstr[[#This Row],[Tot DM]],-1,0)-TblConstr[[#This Row],[Dest DM]]</f>
        <v>0</v>
      </c>
      <c r="BP134" s="191" cm="1">
        <f t="array" aca="1" ref="BP134" ca="1">IF(TblConstr[[#This Row],[Hour]:[Hour]]&gt;12,OFFSET(TblConstr[[#This Row],[Sch]],-12,0),0)+OFFSET(TblConstr[[#This Row],[Tot Sch]],-1,0)-TblConstr[[#This Row],[Dest Sch]]</f>
        <v>0</v>
      </c>
      <c r="BQ134" s="192" cm="1">
        <f t="array" aca="1" ref="BQ134" ca="1">IF(TblConstr[[#This Row],[Hour]:[Hour]]&gt;12,OFFSET(TblConstr[[#This Row],[Doc]],-12,0),0)+OFFSET(TblConstr[[#This Row],[Tot Doc]],-1,0)-TblConstr[[#This Row],[Dest Doc]]</f>
        <v>0</v>
      </c>
      <c r="BR134" s="142"/>
      <c r="BS134" s="154"/>
      <c r="BT134" s="94">
        <f ca="1">TblConstr[[#This Row],[Land]]</f>
        <v>110</v>
      </c>
      <c r="BU134" s="159">
        <f ca="1">TblImps[[#This Row],[Time]]</f>
        <v>46052.416666666351</v>
      </c>
      <c r="BV134" s="142"/>
      <c r="BW134" s="179"/>
      <c r="BX134" s="179"/>
      <c r="BY134" s="179"/>
      <c r="BZ134" s="179"/>
      <c r="CA134" s="179"/>
      <c r="CB134" s="179"/>
      <c r="CC134" s="179"/>
      <c r="CD134" s="179"/>
      <c r="CE134" s="179"/>
      <c r="CF134" s="179"/>
      <c r="CG134" s="179"/>
      <c r="CH134" s="179"/>
      <c r="CI134" s="179"/>
      <c r="CJ134" s="179"/>
      <c r="CK134" s="179"/>
      <c r="CL134" s="179"/>
      <c r="CM134" s="179"/>
      <c r="CN134" s="179"/>
      <c r="CO134" s="179"/>
      <c r="CP134" s="142"/>
      <c r="CQ134" s="181">
        <f ca="1">-SUM(TblConstr[[#This Row],[Alc]:[Mas]])+SUM(TblConstr[[#This Row],[Dest Alc]:[Dest Mas]])+Rezone!L134+IF("Ch_"&amp; home_land=TblConstr[[#Headers],[Ch_Plain]],TblConstr[[#This Row],[Home Land]])+IF(TblConstr[[#This Row],[Hour]:[Hour]]&gt;12,OFFSET(TblExplore[[#This Row],[Plains Explore]],-12,0),0)</f>
        <v>0</v>
      </c>
      <c r="CR134" s="182">
        <f ca="1">-SUM(TblConstr[[#This Row],[Ly]:[Hav]])+SUM(TblConstr[[#This Row],[Dest Ly]:[Dest Hav]]) +Rezone!M134 + IF("Ch_"&amp; home_land=TblConstr[[#Headers],[Ch_Forest]],TblConstr[[#This Row],[Home Land]])+IF(TblConstr[[#This Row],[Hour]:[Hour]]&gt;12,OFFSET(TblExplore[[#This Row],[Forest Explore]],-12,0),0)</f>
        <v>0</v>
      </c>
      <c r="CS134" s="359">
        <f ca="1">-SUM(TblConstr[[#This Row],[OM]:[GN]])+SUM(TblConstr[[#This Row],[Dest OM]:[Dest GN]]) +Rezone!N134 + IF("Ch_"&amp; home_land=TblConstr[[#Headers],[Ch_Mountain]],TblConstr[[#This Row],[Home Land]])+IF(TblConstr[[#This Row],[Hour]:[Hour]]&gt;12,OFFSET(TblExplore[[#This Row],[Mountain Explore]],-12,0),0)</f>
        <v>0</v>
      </c>
      <c r="CT134" s="183">
        <f ca="1">-SUM(TblConstr[[#This Row],[Fac]:[Shr]])+SUM(TblConstr[[#This Row],[Dest Fac]:[Dest Shr]]) +Rezone!O134 + IF("Ch_" &amp; home_land=TblConstr[[#Headers],[Ch_Hill]],TblConstr[[#This Row],[Home Land]])+IF(TblConstr[[#This Row],[Hour]:[Hour]]&gt;12,OFFSET(TblExplore[[#This Row],[Hill Explore]],-12,0),0)</f>
        <v>0</v>
      </c>
      <c r="CU134" s="184">
        <f ca="1">-SUM(TblConstr[[#This Row],[Tow]:[WG]])+SUM(TblConstr[[#This Row],[Dest Tow]:[Dest WG]]) +Rezone!P134 + IF("Ch_" &amp; home_land=TblConstr[[#Headers],[Ch_Swamp]],TblConstr[[#This Row],[Home Land]])+IF(TblConstr[[#This Row],[Hour]:[Hour]]&gt;12,OFFSET(TblExplore[[#This Row],[Swamp Explore]],-12,0),0)</f>
        <v>0</v>
      </c>
      <c r="CV134" s="185">
        <f ca="1" xml:space="preserve"> - SUM(TblConstr[[#This Row],[DM]:[Sch]])+SUM(TblConstr[[#This Row],[Dest DM]:[Dest Sch]]) +Rezone!Q134 + IF("Ch_" &amp; home_land=TblConstr[[#Headers],[Ch_Cavern]],TblConstr[[#This Row],[Home Land]])+IF(TblConstr[[#This Row],[Hour]:[Hour]]&gt;12,OFFSET(TblExplore[[#This Row],[Cavern Explore]],-12,0),0)</f>
        <v>0</v>
      </c>
      <c r="CW134" s="186">
        <f ca="1">-TblConstr[[#This Row],[Doc]]+TblConstr[[#This Row],[Dest Doc]] +Rezone!R134 + IF("Ch_" &amp; home_land=TblConstr[[#Headers],[Ch_Water]],TblConstr[[#This Row],[Home Land]])+IF(TblConstr[[#This Row],[Hour]:[Hour]]&gt;12,OFFSET(TblExplore[[#This Row],[Water Explore]],-12,0),0)</f>
        <v>0</v>
      </c>
      <c r="CX134" s="45">
        <f>IF(Explore!S134=1,20) - TblConstr[[#This Row],[Hom]] + TblConstr[[#This Row],[Dest Hom]]</f>
        <v>0</v>
      </c>
      <c r="CY134" s="142"/>
      <c r="CZ134" s="94">
        <f ca="1">G134+SUM(P123:S134)+SUM(AZ134:BC134)</f>
        <v>90</v>
      </c>
      <c r="DA134" s="94">
        <f ca="1">H134+SUM(T123:U134)+SUM(BD134:BE134)</f>
        <v>20</v>
      </c>
      <c r="DB134" s="45">
        <f ca="1">I134+SUM(V123:W134)+SUM(BF134:BG134)</f>
        <v>0</v>
      </c>
      <c r="DC134" s="94">
        <f ca="1">J134+SUM(X123:Y134)+SUM(BH134:BI134)</f>
        <v>0</v>
      </c>
      <c r="DD134" s="94">
        <f ca="1">K134+SUM(AB123:AD134)+SUM(BL134:BN134)</f>
        <v>0</v>
      </c>
      <c r="DE134" s="45">
        <f ca="1">L134+SUM(AE123:AE134)+BO134</f>
        <v>0</v>
      </c>
      <c r="DF134" s="94">
        <f ca="1">M134+SUM(AG123:AG134)+BQ134</f>
        <v>0</v>
      </c>
      <c r="DG134" s="94" cm="1">
        <f t="array" aca="1" ref="DG134" ca="1">INDEX(TblConstr[[Total Plain]:[Total Water]],ROW()-ROW(TblConstr[#Headers]),MATCH("Total "&amp;home_land,TblConstr[[#Headers],[Total Plain]:[Total Water]],0))+TblConstr[[#This Row],[Homes]]</f>
        <v>90</v>
      </c>
      <c r="DH134" s="45">
        <f ca="1">SUM(O123:O134)+AY134</f>
        <v>0</v>
      </c>
      <c r="DI134" s="45">
        <f ca="1">MAX(BA134-BA133,0)</f>
        <v>0</v>
      </c>
      <c r="DJ134" s="45">
        <f ca="1">MAX(BQ134-BQ133,0)</f>
        <v>0</v>
      </c>
    </row>
    <row r="135" spans="1:114" x14ac:dyDescent="0.2">
      <c r="A135" s="175">
        <f>TblRezone[[#This Row],[Hour]]</f>
        <v>132</v>
      </c>
      <c r="B135" s="176">
        <f ca="1">SUM(TblConstr[[#This Row],[Plain]:[Water]])</f>
        <v>60</v>
      </c>
      <c r="C135" s="177">
        <f ca="1">SUM(TblConstr[[#This Row],[Tot Hom]:[Tot Doc]])</f>
        <v>50</v>
      </c>
      <c r="D135" s="177">
        <f>SUM(O124:AG135)</f>
        <v>0</v>
      </c>
      <c r="E135" s="178"/>
      <c r="F135" s="61">
        <f ca="1">TblConstr[[#This Row],[Barren]]+TblConstr[[#This Row],[Buildings]]+TblConstr[[#This Row],[Incoming]]</f>
        <v>110</v>
      </c>
      <c r="G135" s="187">
        <f ca="1">OFFSET(TblConstr[[#This Row],[Plain]],-1,0)+TblConstr[[#This Row],[Ch_Plain]]</f>
        <v>60</v>
      </c>
      <c r="H135" s="182">
        <f ca="1">OFFSET(TblConstr[[#This Row],[Forest]],-1,0)+TblConstr[[#This Row],[Ch_Forest]]</f>
        <v>0</v>
      </c>
      <c r="I135" s="359">
        <f ca="1">OFFSET(TblConstr[[#This Row],[Mountain]],-1,0)+TblConstr[[#This Row],[Ch_Mountain]]</f>
        <v>0</v>
      </c>
      <c r="J135" s="363">
        <f ca="1">OFFSET(TblConstr[[#This Row],[Hill]],-1,0)+TblConstr[[#This Row],[Ch_Hill]]</f>
        <v>0</v>
      </c>
      <c r="K135" s="367">
        <f ca="1">OFFSET(TblConstr[[#This Row],[Swamp]],-1,0)+TblConstr[[#This Row],[Ch_Swamp]]</f>
        <v>0</v>
      </c>
      <c r="L135" s="185">
        <f ca="1">OFFSET(TblConstr[[#This Row],[Cavern]],-1,0)+TblConstr[[#This Row],[Ch_Cavern]]</f>
        <v>0</v>
      </c>
      <c r="M135" s="186">
        <f ca="1">OFFSET(TblConstr[[#This Row],[Water]],-1,0)+TblConstr[[#This Row],[Ch_Water]]</f>
        <v>0</v>
      </c>
      <c r="N135" s="357">
        <f>TblRezone[[#This Row],[Hour]]</f>
        <v>132</v>
      </c>
      <c r="O135" s="179"/>
      <c r="P135" s="179"/>
      <c r="Q135" s="179"/>
      <c r="R135" s="179"/>
      <c r="S135" s="179"/>
      <c r="T135" s="179"/>
      <c r="U135" s="179"/>
      <c r="V135" s="179"/>
      <c r="W135" s="179"/>
      <c r="X135" s="179"/>
      <c r="Y135" s="179"/>
      <c r="Z135" s="179"/>
      <c r="AA135" s="179"/>
      <c r="AB135" s="179"/>
      <c r="AC135" s="179"/>
      <c r="AD135" s="179"/>
      <c r="AE135" s="179"/>
      <c r="AF135" s="179"/>
      <c r="AG135" s="179"/>
      <c r="AH135" s="53">
        <f ca="1">TblImps[[#This Row],[Time]]</f>
        <v>46052.458333333016</v>
      </c>
      <c r="AI135" s="180">
        <f ca="1">MIN(25%,(TblConstr[[#This Row],[Tot Fac]]+TblConstr[[#This Row],[Dest Fac]])/(TblConstr[[#This Row],[Land]]-TblExplore[[#This Row],[Land Bonus]]*20))</f>
        <v>0</v>
      </c>
      <c r="AJ135" s="180">
        <f ca="1">MIN(25%,(TblConstr[[#This Row],[Tot Fac]]+TblConstr[[#This Row],[Dest Fac]])/TblConstr[[#This Row],[Land]])</f>
        <v>0</v>
      </c>
      <c r="AK135" s="94">
        <f ca="1">TblProd[[#This Row],[Platinum]]</f>
        <v>227385</v>
      </c>
      <c r="AL135" s="94">
        <f ca="1">TblProd[[#This Row],[Lumber]]</f>
        <v>77213</v>
      </c>
      <c r="AM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5" s="94">
        <f ca="1">ROUNDDOWN( MAX(1 - MIN(facs_constr_factor*TblConstr[[#This Row],[Facs -DB]],facs_constr_max) + tech_1_11*TblTech[[#This Row],[11-1]] + tech_6_3_2*TblTech[[#This Row],[6-3]] + tech_5_2_3*TblTech[[#This Row],[5-2]], 1-global_constr_cap) * TblConstr[[#This Row],[RCPA Lumber]],0)</f>
        <v>48</v>
      </c>
      <c r="AO135"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5" s="94">
        <f ca="1">ROUNDDOWN( MAX(1 - MIN(facs_constr_factor*TblConstr[[#This Row],[Facs DB]],facs_constr_max) + tech_1_11*TblTech[[#This Row],[1-11]] + tech_6_3_2*TblTech[[#This Row],[6-3]] + tech_5_2_3*TblTech[[#This Row],[5-2]], 1-global_constr_cap) * ROUND((TblConstr[[#This Row],[Land]]-250)*0.285 + 87.5 + 0/4.25,0),0)</f>
        <v>48</v>
      </c>
      <c r="AQ135" s="45">
        <f ca="1">TblConstr[[#This Row],[build -db]]*TblConstr[[#This Row],[CPA Platinum -DB]] + TblConstr[[#This Row],[build db]]*TblConstr[[#This Row],[CPA Platinum DB]]</f>
        <v>0</v>
      </c>
      <c r="AR135" s="45">
        <f ca="1">TblConstr[[#This Row],[build -db]]*TblConstr[[#This Row],[CPA Lumber -DB]] + TblConstr[[#This Row],[build db]]*TblConstr[[#This Row],[CPA Lumber DB]]</f>
        <v>0</v>
      </c>
      <c r="AS135" s="94">
        <f ca="1">MIN(SUM(OFFSET(TblConstr[[#This Row],[Plain]:[Water]],-1,0))+SUM(TblConstr[[#This Row],[Dest Hom]:[Dest Doc]])+IF(TblConstr[[#This Row],[Hour]]&gt;12,SUM(OFFSET(TblExplore[[#This Row],[Plains Explore]:[Water Explore]],-12,0)),0),SUM(TblConstr[[#This Row],[Hom]:[Doc]]))</f>
        <v>0</v>
      </c>
      <c r="AT135"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5" s="142"/>
      <c r="AV135" s="94">
        <f ca="1">ROUND((TblConstr[[#This Row],[Land]]-250 - IF(TblExplore[[#This Row],[Land Bonus]]&lt;&gt;0,20,0))*1.25 + 850 + 0,0)</f>
        <v>675</v>
      </c>
      <c r="AW135" s="94">
        <f ca="1">ROUND((TblConstr[[#This Row],[Land]]-250 - IF(TblExplore[[#This Row],[Land Bonus]]&lt;&gt;0,20,0))*0.285 + 87.5 + 0/4.25,0)</f>
        <v>48</v>
      </c>
      <c r="AX135" s="154"/>
      <c r="AY135" s="188" cm="1">
        <f t="array" aca="1" ref="AY135" ca="1">IF(TblConstr[[#This Row],[Hour]:[Hour]]&gt;12,OFFSET(TblConstr[[#This Row],[Hom]],-12,0),0)+OFFSET(TblConstr[[#This Row],[Tot Hom]],-1,0)-TblConstr[[#This Row],[Dest Hom]]</f>
        <v>0</v>
      </c>
      <c r="AZ135" s="189" cm="1">
        <f t="array" aca="1" ref="AZ135" ca="1">IF(TblConstr[[#This Row],[Hour]:[Hour]]&gt;12,OFFSET(TblConstr[[#This Row],[Alc]],-12,0),0)+OFFSET(TblConstr[[#This Row],[Tot Alc]],-1,0)-TblConstr[[#This Row],[Dest Alc]]</f>
        <v>0</v>
      </c>
      <c r="BA135" s="189" cm="1">
        <f t="array" aca="1" ref="BA135" ca="1">IF(TblConstr[[#This Row],[Hour]:[Hour]]&gt;12,OFFSET(TblConstr[[#This Row],[Far]],-12,0),0)+OFFSET(TblConstr[[#This Row],[Tot Farm]],-1,0)-TblConstr[[#This Row],[Dest Farm]]</f>
        <v>30</v>
      </c>
      <c r="BB135" s="189" cm="1">
        <f t="array" aca="1" ref="BB135" ca="1">IF(TblConstr[[#This Row],[Hour]:[Hour]]&gt;12,OFFSET(TblConstr[[#This Row],[Smi]],-12,0),0)+OFFSET(TblConstr[[#This Row],[Tot Smi]],-1,0)-TblConstr[[#This Row],[Dest Smi]]</f>
        <v>0</v>
      </c>
      <c r="BC135" s="189" cm="1">
        <f t="array" aca="1" ref="BC135" ca="1">IF(TblConstr[[#This Row],[Hour]:[Hour]]&gt;12,OFFSET(TblConstr[[#This Row],[Mas]],-12,0),0)+OFFSET(TblConstr[[#This Row],[Tot Mas]],-1,0)-TblConstr[[#This Row],[Dest Mas]]</f>
        <v>0</v>
      </c>
      <c r="BD135" s="190" cm="1">
        <f t="array" aca="1" ref="BD135" ca="1">IF(TblConstr[[#This Row],[Hour]:[Hour]]&gt;12,OFFSET(TblConstr[[#This Row],[Ly]],-12,0),0)+OFFSET(TblConstr[[#This Row],[Tot Ly]],-1,0)-TblConstr[[#This Row],[Dest Ly]]</f>
        <v>20</v>
      </c>
      <c r="BE135" s="190" cm="1">
        <f t="array" aca="1" ref="BE135" ca="1">IF(TblConstr[[#This Row],[Hour]:[Hour]]&gt;12,OFFSET(TblConstr[[#This Row],[Hav]],-12,0),0)+OFFSET(TblConstr[[#This Row],[Tot Hav]],-1,0)-TblConstr[[#This Row],[Dest Hav]]</f>
        <v>0</v>
      </c>
      <c r="BF135" s="361" cm="1">
        <f t="array" aca="1" ref="BF135" ca="1">IF(TblConstr[[#This Row],[Hour]:[Hour]]&gt;12,OFFSET(TblConstr[[#This Row],[OM]],-12,0),0)+OFFSET(TblConstr[[#This Row],[Tot OM]],-1,0)-TblConstr[[#This Row],[Dest OM]]</f>
        <v>0</v>
      </c>
      <c r="BG135" s="361" cm="1">
        <f t="array" aca="1" ref="BG135" ca="1">IF(TblConstr[[#This Row],[Hour]:[Hour]]&gt;12,OFFSET(TblConstr[[#This Row],[GN]],-12,0),0)+OFFSET(TblConstr[[#This Row],[Tot GN]],-1,0)-TblConstr[[#This Row],[Dest GN]]</f>
        <v>0</v>
      </c>
      <c r="BH135" s="365" cm="1">
        <f t="array" aca="1" ref="BH135" ca="1">IF(TblConstr[[#This Row],[Hour]:[Hour]]&gt;12,OFFSET(TblConstr[[#This Row],[Fac]],-12,0),0)+OFFSET(TblConstr[[#This Row],[Tot Fac]],-1,0)-TblConstr[[#This Row],[Dest Fac]]</f>
        <v>0</v>
      </c>
      <c r="BI135" s="365" cm="1">
        <f t="array" aca="1" ref="BI135" ca="1">IF(TblConstr[[#This Row],[Hour]:[Hour]]&gt;12,OFFSET(TblConstr[[#This Row],[GT]],-12,0),0)+OFFSET(TblConstr[[#This Row],[Tot GT]],-1,0)-TblConstr[[#This Row],[Dest GT]]</f>
        <v>0</v>
      </c>
      <c r="BJ135" s="365" cm="1">
        <f t="array" aca="1" ref="BJ135" ca="1">IF(TblConstr[[#This Row],[Hour]:[Hour]]&gt;12,OFFSET(TblConstr[[#This Row],[Bar]],-12,0),0)+OFFSET(TblConstr[[#This Row],[Tot Bar]],-1,0)-TblConstr[[#This Row],[Dest Bar]]</f>
        <v>0</v>
      </c>
      <c r="BK135" s="365" cm="1">
        <f t="array" aca="1" ref="BK135" ca="1">IF(TblConstr[[#This Row],[Hour]:[Hour]]&gt;12,OFFSET(TblConstr[[#This Row],[Shr]],-12,0),0)+OFFSET(TblConstr[[#This Row],[Tot Shr]],-1,0)-TblConstr[[#This Row],[Dest Shr]]</f>
        <v>0</v>
      </c>
      <c r="BL135" s="369" cm="1">
        <f t="array" aca="1" ref="BL135" ca="1">IF(TblConstr[[#This Row],[Hour]:[Hour]]&gt;12,OFFSET(TblConstr[[#This Row],[Tow]],-12,0),0)+OFFSET(TblConstr[[#This Row],[Tot Tow]],-1,0)-TblConstr[[#This Row],[Dest Tow]]</f>
        <v>0</v>
      </c>
      <c r="BM135" s="369" cm="1">
        <f t="array" aca="1" ref="BM135" ca="1">IF(TblConstr[[#This Row],[Hour]:[Hour]]&gt;12,OFFSET(TblConstr[[#This Row],[Tem]],-12,0),0)+OFFSET(TblConstr[[#This Row],[Tot Tem]],-1,0)-TblConstr[[#This Row],[Dest Tem]]</f>
        <v>0</v>
      </c>
      <c r="BN135" s="369" cm="1">
        <f t="array" aca="1" ref="BN135" ca="1">IF(TblConstr[[#This Row],[Hour]:[Hour]]&gt;12,OFFSET(TblConstr[[#This Row],[WG]],-12,0),0)+OFFSET(TblConstr[[#This Row],[Tot WG]],-1,0)-TblConstr[[#This Row],[Dest WG]]</f>
        <v>0</v>
      </c>
      <c r="BO135" s="191" cm="1">
        <f t="array" aca="1" ref="BO135" ca="1">IF(TblConstr[[#This Row],[Hour]:[Hour]]&gt;12,OFFSET(TblConstr[[#This Row],[DM]],-12,0),0)+OFFSET(TblConstr[[#This Row],[Tot DM]],-1,0)-TblConstr[[#This Row],[Dest DM]]</f>
        <v>0</v>
      </c>
      <c r="BP135" s="191" cm="1">
        <f t="array" aca="1" ref="BP135" ca="1">IF(TblConstr[[#This Row],[Hour]:[Hour]]&gt;12,OFFSET(TblConstr[[#This Row],[Sch]],-12,0),0)+OFFSET(TblConstr[[#This Row],[Tot Sch]],-1,0)-TblConstr[[#This Row],[Dest Sch]]</f>
        <v>0</v>
      </c>
      <c r="BQ135" s="192" cm="1">
        <f t="array" aca="1" ref="BQ135" ca="1">IF(TblConstr[[#This Row],[Hour]:[Hour]]&gt;12,OFFSET(TblConstr[[#This Row],[Doc]],-12,0),0)+OFFSET(TblConstr[[#This Row],[Tot Doc]],-1,0)-TblConstr[[#This Row],[Dest Doc]]</f>
        <v>0</v>
      </c>
      <c r="BR135" s="142"/>
      <c r="BS135" s="154"/>
      <c r="BT135" s="94">
        <f ca="1">TblConstr[[#This Row],[Land]]</f>
        <v>110</v>
      </c>
      <c r="BU135" s="159">
        <f ca="1">TblImps[[#This Row],[Time]]</f>
        <v>46052.458333333016</v>
      </c>
      <c r="BV135" s="142"/>
      <c r="BW135" s="179"/>
      <c r="BX135" s="179"/>
      <c r="BY135" s="179"/>
      <c r="BZ135" s="179"/>
      <c r="CA135" s="179"/>
      <c r="CB135" s="179"/>
      <c r="CC135" s="179"/>
      <c r="CD135" s="179"/>
      <c r="CE135" s="179"/>
      <c r="CF135" s="179"/>
      <c r="CG135" s="179"/>
      <c r="CH135" s="179"/>
      <c r="CI135" s="179"/>
      <c r="CJ135" s="179"/>
      <c r="CK135" s="179"/>
      <c r="CL135" s="179"/>
      <c r="CM135" s="179"/>
      <c r="CN135" s="179"/>
      <c r="CO135" s="179"/>
      <c r="CP135" s="142"/>
      <c r="CQ135" s="181">
        <f ca="1">-SUM(TblConstr[[#This Row],[Alc]:[Mas]])+SUM(TblConstr[[#This Row],[Dest Alc]:[Dest Mas]])+Rezone!L135+IF("Ch_"&amp; home_land=TblConstr[[#Headers],[Ch_Plain]],TblConstr[[#This Row],[Home Land]])+IF(TblConstr[[#This Row],[Hour]:[Hour]]&gt;12,OFFSET(TblExplore[[#This Row],[Plains Explore]],-12,0),0)</f>
        <v>0</v>
      </c>
      <c r="CR135" s="182">
        <f ca="1">-SUM(TblConstr[[#This Row],[Ly]:[Hav]])+SUM(TblConstr[[#This Row],[Dest Ly]:[Dest Hav]]) +Rezone!M135 + IF("Ch_"&amp; home_land=TblConstr[[#Headers],[Ch_Forest]],TblConstr[[#This Row],[Home Land]])+IF(TblConstr[[#This Row],[Hour]:[Hour]]&gt;12,OFFSET(TblExplore[[#This Row],[Forest Explore]],-12,0),0)</f>
        <v>0</v>
      </c>
      <c r="CS135" s="359">
        <f ca="1">-SUM(TblConstr[[#This Row],[OM]:[GN]])+SUM(TblConstr[[#This Row],[Dest OM]:[Dest GN]]) +Rezone!N135 + IF("Ch_"&amp; home_land=TblConstr[[#Headers],[Ch_Mountain]],TblConstr[[#This Row],[Home Land]])+IF(TblConstr[[#This Row],[Hour]:[Hour]]&gt;12,OFFSET(TblExplore[[#This Row],[Mountain Explore]],-12,0),0)</f>
        <v>0</v>
      </c>
      <c r="CT135" s="183">
        <f ca="1">-SUM(TblConstr[[#This Row],[Fac]:[Shr]])+SUM(TblConstr[[#This Row],[Dest Fac]:[Dest Shr]]) +Rezone!O135 + IF("Ch_" &amp; home_land=TblConstr[[#Headers],[Ch_Hill]],TblConstr[[#This Row],[Home Land]])+IF(TblConstr[[#This Row],[Hour]:[Hour]]&gt;12,OFFSET(TblExplore[[#This Row],[Hill Explore]],-12,0),0)</f>
        <v>0</v>
      </c>
      <c r="CU135" s="184">
        <f ca="1">-SUM(TblConstr[[#This Row],[Tow]:[WG]])+SUM(TblConstr[[#This Row],[Dest Tow]:[Dest WG]]) +Rezone!P135 + IF("Ch_" &amp; home_land=TblConstr[[#Headers],[Ch_Swamp]],TblConstr[[#This Row],[Home Land]])+IF(TblConstr[[#This Row],[Hour]:[Hour]]&gt;12,OFFSET(TblExplore[[#This Row],[Swamp Explore]],-12,0),0)</f>
        <v>0</v>
      </c>
      <c r="CV135" s="185">
        <f ca="1" xml:space="preserve"> - SUM(TblConstr[[#This Row],[DM]:[Sch]])+SUM(TblConstr[[#This Row],[Dest DM]:[Dest Sch]]) +Rezone!Q135 + IF("Ch_" &amp; home_land=TblConstr[[#Headers],[Ch_Cavern]],TblConstr[[#This Row],[Home Land]])+IF(TblConstr[[#This Row],[Hour]:[Hour]]&gt;12,OFFSET(TblExplore[[#This Row],[Cavern Explore]],-12,0),0)</f>
        <v>0</v>
      </c>
      <c r="CW135" s="186">
        <f ca="1">-TblConstr[[#This Row],[Doc]]+TblConstr[[#This Row],[Dest Doc]] +Rezone!R135 + IF("Ch_" &amp; home_land=TblConstr[[#Headers],[Ch_Water]],TblConstr[[#This Row],[Home Land]])+IF(TblConstr[[#This Row],[Hour]:[Hour]]&gt;12,OFFSET(TblExplore[[#This Row],[Water Explore]],-12,0),0)</f>
        <v>0</v>
      </c>
      <c r="CX135" s="45">
        <f>IF(Explore!S135=1,20) - TblConstr[[#This Row],[Hom]] + TblConstr[[#This Row],[Dest Hom]]</f>
        <v>0</v>
      </c>
      <c r="CY135" s="142"/>
      <c r="CZ135" s="94">
        <f ca="1">G135+SUM(P124:S135)+SUM(AZ135:BC135)</f>
        <v>90</v>
      </c>
      <c r="DA135" s="94">
        <f ca="1">H135+SUM(T124:U135)+SUM(BD135:BE135)</f>
        <v>20</v>
      </c>
      <c r="DB135" s="45">
        <f ca="1">I135+SUM(V124:W135)+SUM(BF135:BG135)</f>
        <v>0</v>
      </c>
      <c r="DC135" s="94">
        <f ca="1">J135+SUM(X124:Y135)+SUM(BH135:BI135)</f>
        <v>0</v>
      </c>
      <c r="DD135" s="94">
        <f ca="1">K135+SUM(AB124:AD135)+SUM(BL135:BN135)</f>
        <v>0</v>
      </c>
      <c r="DE135" s="45">
        <f ca="1">L135+SUM(AE124:AE135)+BO135</f>
        <v>0</v>
      </c>
      <c r="DF135" s="94">
        <f ca="1">M135+SUM(AG124:AG135)+BQ135</f>
        <v>0</v>
      </c>
      <c r="DG135" s="94" cm="1">
        <f t="array" aca="1" ref="DG135" ca="1">INDEX(TblConstr[[Total Plain]:[Total Water]],ROW()-ROW(TblConstr[#Headers]),MATCH("Total "&amp;home_land,TblConstr[[#Headers],[Total Plain]:[Total Water]],0))+TblConstr[[#This Row],[Homes]]</f>
        <v>90</v>
      </c>
      <c r="DH135" s="45">
        <f ca="1">SUM(O124:O135)+AY135</f>
        <v>0</v>
      </c>
      <c r="DI135" s="45">
        <f ca="1">MAX(BA135-BA134,0)</f>
        <v>0</v>
      </c>
      <c r="DJ135" s="45">
        <f ca="1">MAX(BQ135-BQ134,0)</f>
        <v>0</v>
      </c>
    </row>
    <row r="136" spans="1:114" x14ac:dyDescent="0.2">
      <c r="A136" s="175">
        <f>TblRezone[[#This Row],[Hour]]</f>
        <v>133</v>
      </c>
      <c r="B136" s="176">
        <f ca="1">SUM(TblConstr[[#This Row],[Plain]:[Water]])</f>
        <v>60</v>
      </c>
      <c r="C136" s="177">
        <f ca="1">SUM(TblConstr[[#This Row],[Tot Hom]:[Tot Doc]])</f>
        <v>50</v>
      </c>
      <c r="D136" s="177">
        <f>SUM(O125:AG136)</f>
        <v>0</v>
      </c>
      <c r="E136" s="178"/>
      <c r="F136" s="61">
        <f ca="1">TblConstr[[#This Row],[Barren]]+TblConstr[[#This Row],[Buildings]]+TblConstr[[#This Row],[Incoming]]</f>
        <v>110</v>
      </c>
      <c r="G136" s="187">
        <f ca="1">OFFSET(TblConstr[[#This Row],[Plain]],-1,0)+TblConstr[[#This Row],[Ch_Plain]]</f>
        <v>60</v>
      </c>
      <c r="H136" s="182">
        <f ca="1">OFFSET(TblConstr[[#This Row],[Forest]],-1,0)+TblConstr[[#This Row],[Ch_Forest]]</f>
        <v>0</v>
      </c>
      <c r="I136" s="359">
        <f ca="1">OFFSET(TblConstr[[#This Row],[Mountain]],-1,0)+TblConstr[[#This Row],[Ch_Mountain]]</f>
        <v>0</v>
      </c>
      <c r="J136" s="363">
        <f ca="1">OFFSET(TblConstr[[#This Row],[Hill]],-1,0)+TblConstr[[#This Row],[Ch_Hill]]</f>
        <v>0</v>
      </c>
      <c r="K136" s="367">
        <f ca="1">OFFSET(TblConstr[[#This Row],[Swamp]],-1,0)+TblConstr[[#This Row],[Ch_Swamp]]</f>
        <v>0</v>
      </c>
      <c r="L136" s="185">
        <f ca="1">OFFSET(TblConstr[[#This Row],[Cavern]],-1,0)+TblConstr[[#This Row],[Ch_Cavern]]</f>
        <v>0</v>
      </c>
      <c r="M136" s="186">
        <f ca="1">OFFSET(TblConstr[[#This Row],[Water]],-1,0)+TblConstr[[#This Row],[Ch_Water]]</f>
        <v>0</v>
      </c>
      <c r="N136" s="357">
        <f>TblRezone[[#This Row],[Hour]]</f>
        <v>133</v>
      </c>
      <c r="O136" s="179"/>
      <c r="P136" s="179"/>
      <c r="Q136" s="179"/>
      <c r="R136" s="179"/>
      <c r="S136" s="179"/>
      <c r="T136" s="179"/>
      <c r="U136" s="179"/>
      <c r="V136" s="179"/>
      <c r="W136" s="179"/>
      <c r="X136" s="179"/>
      <c r="Y136" s="179"/>
      <c r="Z136" s="179"/>
      <c r="AA136" s="179"/>
      <c r="AB136" s="179"/>
      <c r="AC136" s="179"/>
      <c r="AD136" s="179"/>
      <c r="AE136" s="179"/>
      <c r="AF136" s="179"/>
      <c r="AG136" s="179"/>
      <c r="AH136" s="53">
        <f ca="1">TblImps[[#This Row],[Time]]</f>
        <v>46052.49999999968</v>
      </c>
      <c r="AI136" s="180">
        <f ca="1">MIN(25%,(TblConstr[[#This Row],[Tot Fac]]+TblConstr[[#This Row],[Dest Fac]])/(TblConstr[[#This Row],[Land]]-TblExplore[[#This Row],[Land Bonus]]*20))</f>
        <v>0</v>
      </c>
      <c r="AJ136" s="180">
        <f ca="1">MIN(25%,(TblConstr[[#This Row],[Tot Fac]]+TblConstr[[#This Row],[Dest Fac]])/TblConstr[[#This Row],[Land]])</f>
        <v>0</v>
      </c>
      <c r="AK136" s="94">
        <f ca="1">TblProd[[#This Row],[Platinum]]</f>
        <v>228111</v>
      </c>
      <c r="AL136" s="94">
        <f ca="1">TblProd[[#This Row],[Lumber]]</f>
        <v>77441</v>
      </c>
      <c r="AM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TblConstr[[#This Row],[RCPA Platinum ]],0)</f>
        <v>675</v>
      </c>
      <c r="AN136" s="94">
        <f ca="1">ROUNDDOWN( MAX(1 - MIN(facs_constr_factor*TblConstr[[#This Row],[Facs -DB]],facs_constr_max) + tech_1_11*TblTech[[#This Row],[11-1]] + tech_6_3_2*TblTech[[#This Row],[6-3]] + tech_5_2_3*TblTech[[#This Row],[5-2]], 1-global_constr_cap) * TblConstr[[#This Row],[RCPA Lumber]],0)</f>
        <v>48</v>
      </c>
      <c r="AO136" s="94">
        <f ca="1">ROUNDDOWN( MAX((1 - MIN(facs_constr_factor*TblConstr[[#This Row],[Facs DB]],facs_constr_max) + tech_2_3*TblTech[[#This Row],[2-3]] + tech_2_6_2*TblTech[[#This Row],[2-6]] + tech_2_10*TblTech[[#This Row],[2-10]] + tech_4_6*TblTech[[#This Row],[4-6]] + tech_6_3*TblTech[[#This Row],[6-3]] + tech_9_2*TblTech[[#This Row],[9-2]] + race_construction_cost), 1-global_constr_cap) * (ROUND((TblConstr[[#This Row],[Land]]-250)*1.25 + 850 + 0,0)),0)</f>
        <v>675</v>
      </c>
      <c r="AP136" s="94">
        <f ca="1">ROUNDDOWN( MAX(1 - MIN(facs_constr_factor*TblConstr[[#This Row],[Facs DB]],facs_constr_max) + tech_1_11*TblTech[[#This Row],[1-11]] + tech_6_3_2*TblTech[[#This Row],[6-3]] + tech_5_2_3*TblTech[[#This Row],[5-2]], 1-global_constr_cap) * ROUND((TblConstr[[#This Row],[Land]]-250)*0.285 + 87.5 + 0/4.25,0),0)</f>
        <v>48</v>
      </c>
      <c r="AQ136" s="45">
        <f ca="1">TblConstr[[#This Row],[build -db]]*TblConstr[[#This Row],[CPA Platinum -DB]] + TblConstr[[#This Row],[build db]]*TblConstr[[#This Row],[CPA Platinum DB]]</f>
        <v>0</v>
      </c>
      <c r="AR136" s="45">
        <f ca="1">TblConstr[[#This Row],[build -db]]*TblConstr[[#This Row],[CPA Lumber -DB]] + TblConstr[[#This Row],[build db]]*TblConstr[[#This Row],[CPA Lumber DB]]</f>
        <v>0</v>
      </c>
      <c r="AS136" s="94">
        <f ca="1">MIN(SUM(OFFSET(TblConstr[[#This Row],[Plain]:[Water]],-1,0))+SUM(TblConstr[[#This Row],[Dest Hom]:[Dest Doc]])+IF(TblConstr[[#This Row],[Hour]]&gt;12,SUM(OFFSET(TblExplore[[#This Row],[Plains Explore]:[Water Explore]],-12,0)),0),SUM(TblConstr[[#This Row],[Hom]:[Doc]]))</f>
        <v>0</v>
      </c>
      <c r="AT136" s="45">
        <f ca="1">IF(TblExplore[[#This Row],[Land Bonus]]&lt;&gt;0,MAX(0, MIN(20, 20 + SUM(TblConstr[[#This Row],[Hom]:[Doc]]) - SUM(TblConstr[[#This Row],[Dest Hom]:[Dest Doc]]) - SUM(OFFSET(TblConstr[[#This Row],[Plain]:[Water]],-1,0)) - IF(TblConstr[[#This Row],[Hour]]&gt;12,SUM(OFFSET(TblExplore[[#This Row],[Plains Explore]:[Water Explore]],-12,0)),0) - 20*TblExplore[[#This Row],[Land Bonus]])),0)</f>
        <v>0</v>
      </c>
      <c r="AU136" s="142"/>
      <c r="AV136" s="94">
        <f ca="1">ROUND((TblConstr[[#This Row],[Land]]-250 - IF(TblExplore[[#This Row],[Land Bonus]]&lt;&gt;0,20,0))*1.25 + 850 + 0,0)</f>
        <v>675</v>
      </c>
      <c r="AW136" s="94">
        <f ca="1">ROUND((TblConstr[[#This Row],[Land]]-250 - IF(TblExplore[[#This Row],[Land Bonus]]&lt;&gt;0,20,0))*0.285 + 87.5 + 0/4.25,0)</f>
        <v>48</v>
      </c>
      <c r="AX136" s="154"/>
      <c r="AY136" s="188" cm="1">
        <f t="array" aca="1" ref="AY136" ca="1">IF(TblConstr[[#This Row],[Hour]:[Hour]]&gt;12,OFFSET(TblConstr[[#This Row],[Hom]],-12,0),0)+OFFSET(TblConstr[[#This Row],[Tot Hom]],-1,0)-TblConstr[[#This Row],[Dest Hom]]</f>
        <v>0</v>
      </c>
      <c r="AZ136" s="189" cm="1">
        <f t="array" aca="1" ref="AZ136" ca="1">IF(TblConstr[[#This Row],[Hour]:[Hour]]&gt;12,OFFSET(TblConstr[[#This Row],[Alc]],-12,0),0)+OFFSET(TblConstr[[#This Row],[Tot Alc]],-1,0)-TblConstr[[#This Row],[Dest Alc]]</f>
        <v>0</v>
      </c>
      <c r="BA136" s="189" cm="1">
        <f t="array" aca="1" ref="BA136" ca="1">IF(TblConstr[[#This Row],[Hour]:[Hour]]&gt;12,OFFSET(TblConstr[[#This Row],[Far]],-12,0),0)+OFFSET(TblConstr[[#This Row],[Tot Farm]],-1,0)-TblConstr[[#This Row],[Dest Farm]]</f>
        <v>30</v>
      </c>
      <c r="BB136" s="189" cm="1">
        <f t="array" aca="1" ref="BB136" ca="1">IF(TblConstr[[#This Row],[Hour]:[Hour]]&gt;12,OFFSET(TblConstr[[#This Row],[Smi]],-12,0),0)+OFFSET(TblConstr[[#This Row],[Tot Smi]],-1,0)-TblConstr[[#This Row],[Dest Smi]]</f>
        <v>0</v>
      </c>
      <c r="BC136" s="189" cm="1">
        <f t="array" aca="1" ref="BC136" ca="1">IF(TblConstr[[#This Row],[Hour]:[Hour]]&gt;12,OFFSET(TblConstr[[#This Row],[Mas]],-12,0),0)+OFFSET(TblConstr[[#This Row],[Tot Mas]],-1,0)-TblConstr[[#This Row],[Dest Mas]]</f>
        <v>0</v>
      </c>
      <c r="BD136" s="190" cm="1">
        <f t="array" aca="1" ref="BD136" ca="1">IF(TblConstr[[#This Row],[Hour]:[Hour]]&gt;12,OFFSET(TblConstr[[#This Row],[Ly]],-12,0),0)+OFFSET(TblConstr[[#This Row],[Tot Ly]],-1,0)-TblConstr[[#This Row],[Dest Ly]]</f>
        <v>20</v>
      </c>
      <c r="BE136" s="190" cm="1">
        <f t="array" aca="1" ref="BE136" ca="1">IF(TblConstr[[#This Row],[Hour]:[Hour]]&gt;12,OFFSET(TblConstr[[#This Row],[Hav]],-12,0),0)+OFFSET(TblConstr[[#This Row],[Tot Hav]],-1,0)-TblConstr[[#This Row],[Dest Hav]]</f>
        <v>0</v>
      </c>
      <c r="BF136" s="361" cm="1">
        <f t="array" aca="1" ref="BF136" ca="1">IF(TblConstr[[#This Row],[Hour]:[Hour]]&gt;12,OFFSET(TblConstr[[#This Row],[OM]],-12,0),0)+OFFSET(TblConstr[[#This Row],[Tot OM]],-1,0)-TblConstr[[#This Row],[Dest OM]]</f>
        <v>0</v>
      </c>
      <c r="BG136" s="361" cm="1">
        <f t="array" aca="1" ref="BG136" ca="1">IF(TblConstr[[#This Row],[Hour]:[Hour]]&gt;12,OFFSET(TblConstr[[#This Row],[GN]],-12,0),0)+OFFSET(TblConstr[[#This Row],[Tot GN]],-1,0)-TblConstr[[#This Row],[Dest GN]]</f>
        <v>0</v>
      </c>
      <c r="BH136" s="365" cm="1">
        <f t="array" aca="1" ref="BH136" ca="1">IF(TblConstr[[#This Row],[Hour]:[Hour]]&gt;12,OFFSET(TblConstr[[#This Row],[Fac]],-12,0),0)+OFFSET(TblConstr[[#This Row],[Tot Fac]],-1,0)-TblConstr[[#This Row],[Dest Fac]]</f>
        <v>0</v>
      </c>
      <c r="BI136" s="365" cm="1">
        <f t="array" aca="1" ref="BI136" ca="1">IF(TblConstr[[#This Row],[Hour]:[Hour]]&gt;12,OFFSET(TblConstr[[#This Row],[GT]],-12,0),0)+OFFSET(TblConstr[[#This Row],[Tot GT]],-1,0)-TblConstr[[#This Row],[Dest GT]]</f>
        <v>0</v>
      </c>
      <c r="BJ136" s="365" cm="1">
        <f t="array" aca="1" ref="BJ136" ca="1">IF(TblConstr[[#This Row],[Hour]:[Hour]]&gt;12,OFFSET(TblConstr[[#This Row],[Bar]],-12,0),0)+OFFSET(TblConstr[[#This Row],[Tot Bar]],-1,0)-TblConstr[[#This Row],[Dest Bar]]</f>
        <v>0</v>
      </c>
      <c r="BK136" s="365" cm="1">
        <f t="array" aca="1" ref="BK136" ca="1">IF(TblConstr[[#This Row],[Hour]:[Hour]]&gt;12,OFFSET(TblConstr[[#This Row],[Shr]],-12,0),0)+OFFSET(TblConstr[[#This Row],[Tot Shr]],-1,0)-TblConstr[[#This Row],[Dest Shr]]</f>
        <v>0</v>
      </c>
      <c r="BL136" s="369" cm="1">
        <f t="array" aca="1" ref="BL136" ca="1">IF(TblConstr[[#This Row],[Hour]:[Hour]]&gt;12,OFFSET(TblConstr[[#This Row],[Tow]],-12,0),0)+OFFSET(TblConstr[[#This Row],[Tot Tow]],-1,0)-TblConstr[[#This Row],[Dest Tow]]</f>
        <v>0</v>
      </c>
      <c r="BM136" s="369" cm="1">
        <f t="array" aca="1" ref="BM136" ca="1">IF(TblConstr[[#This Row],[Hour]:[Hour]]&gt;12,OFFSET(TblConstr[[#This Row],[Tem]],-12,0),0)+OFFSET(TblConstr[[#This Row],[Tot Tem]],-1,0)-TblConstr[[#This Row],[Dest Tem]]</f>
        <v>0</v>
      </c>
      <c r="BN136" s="369" cm="1">
        <f t="array" aca="1" ref="BN136" ca="1">IF(TblConstr[[#This Row],[Hour]:[Hour]]&gt;12,OFFSET(TblConstr[[#This Row],[WG]],-12,0),0)+OFFSET(TblConstr[[#This Row],[Tot WG]],-1,0)-TblConstr[[#This Row],[Dest WG]]</f>
        <v>0</v>
      </c>
      <c r="BO136" s="191" cm="1">
        <f t="array" aca="1" ref="BO136" ca="1">IF(TblConstr[[#This Row],[Hour]:[Hour]]&gt;12,OFFSET(TblConstr[[#This Row],[DM]],-12,0),0)+OFFSET(TblConstr[[#This Row],[Tot DM]],-1,0)-TblConstr[[#This Row],[Dest DM]]</f>
        <v>0</v>
      </c>
      <c r="BP136" s="191" cm="1">
        <f t="array" aca="1" ref="BP136" ca="1">IF(TblConstr[[#This Row],[Hour]:[Hour]]&gt;12,OFFSET(TblConstr[[#This Row],[Sch]],-12,0),0)+OFFSET(TblConstr[[#This Row],[Tot Sch]],-1,0)-TblConstr[[#This Row],[Dest Sch]]</f>
        <v>0</v>
      </c>
      <c r="BQ136" s="192" cm="1">
        <f t="array" aca="1" ref="BQ136" ca="1">IF(TblConstr[[#This Row],[Hour]:[Hour]]&gt;12,OFFSET(TblConstr[[#This Row],[Doc]],-12,0),0)+OFFSET(TblConstr[[#This Row],[Tot Doc]],-1,0)-TblConstr[[#This Row],[Dest Doc]]</f>
        <v>0</v>
      </c>
      <c r="BR136" s="142"/>
      <c r="BS136" s="154"/>
      <c r="BT136" s="94">
        <f ca="1">TblConstr[[#This Row],[Land]]</f>
        <v>110</v>
      </c>
      <c r="BU136" s="159">
        <f ca="1">TblImps[[#This Row],[Time]]</f>
        <v>46052.49999999968</v>
      </c>
      <c r="BV136" s="142"/>
      <c r="BW136" s="179"/>
      <c r="BX136" s="179"/>
      <c r="BY136" s="179"/>
      <c r="BZ136" s="179"/>
      <c r="CA136" s="179"/>
      <c r="CB136" s="179"/>
      <c r="CC136" s="179"/>
      <c r="CD136" s="179"/>
      <c r="CE136" s="179"/>
      <c r="CF136" s="179"/>
      <c r="CG136" s="179"/>
      <c r="CH136" s="179"/>
      <c r="CI136" s="179"/>
      <c r="CJ136" s="179"/>
      <c r="CK136" s="179"/>
      <c r="CL136" s="179"/>
      <c r="CM136" s="179"/>
      <c r="CN136" s="179"/>
      <c r="CO136" s="179"/>
      <c r="CP136" s="142"/>
      <c r="CQ136" s="181">
        <f ca="1">-SUM(TblConstr[[#This Row],[Alc]:[Mas]])+SUM(TblConstr[[#This Row],[Dest Alc]:[Dest Mas]])+Rezone!L136+IF("Ch_"&amp; home_land=TblConstr[[#Headers],[Ch_Plain]],TblConstr[[#This Row],[Home Land]])+IF(TblConstr[[#This Row],[Hour]:[Hour]]&gt;12,OFFSET(TblExplore[[#This Row],[Plains Explore]],-12,0),0)</f>
        <v>0</v>
      </c>
      <c r="CR136" s="182">
        <f ca="1">-SUM(TblConstr[[#This Row],[Ly]:[Hav]])+SUM(TblConstr[[#This Row],[Dest Ly]:[Dest Hav]]) +Rezone!M136 + IF("Ch_"&amp; home_land=TblConstr[[#Headers],[Ch_Forest]],TblConstr[[#This Row],[Home Land]])+IF(TblConstr[[#This Row],[Hour]:[Hour]]&gt;12,OFFSET(TblExplore[[#This Row],[Forest Explore]],-12,0),0)</f>
        <v>0</v>
      </c>
      <c r="CS136" s="359">
        <f ca="1">-SUM(TblConstr[[#This Row],[OM]:[GN]])+SUM(TblConstr[[#This Row],[Dest OM]:[Dest GN]]) +Rezone!N136 + IF("Ch_"&amp; home_land=TblConstr[[#Headers],[Ch_Mountain]],TblConstr[[#This Row],[Home Land]])+IF(TblConstr[[#This Row],[Hour]:[Hour]]&gt;12,OFFSET(TblExplore[[#This Row],[Mountain Explore]],-12,0),0)</f>
        <v>0</v>
      </c>
      <c r="CT136" s="183">
        <f ca="1">-SUM(TblConstr[[#This Row],[Fac]:[Shr]])+SUM(TblConstr[[#This Row],[Dest Fac]:[Dest Shr]]) +Rezone!O136 + IF("Ch_" &amp; home_land=TblConstr[[#Headers],[Ch_Hill]],TblConstr[[#This Row],[Home Land]])+IF(TblConstr[[#This Row],[Hour]:[Hour]]&gt;12,OFFSET(TblExplore[[#This Row],[Hill Explore]],-12,0),0)</f>
        <v>0</v>
      </c>
      <c r="CU136" s="184">
        <f ca="1">-SUM(TblConstr[[#This Row],[Tow]:[WG]])+SUM(TblConstr[[#This Row],[Dest Tow]:[Dest WG]]) +Rezone!P136 + IF("Ch_" &amp; home_land=TblConstr[[#Headers],[Ch_Swamp]],TblConstr[[#This Row],[Home Land]])+IF(TblConstr[[#This Row],[Hour]:[Hour]]&gt;12,OFFSET(TblExplore[[#This Row],[Swamp Explore]],-12,0),0)</f>
        <v>0</v>
      </c>
      <c r="CV136" s="185">
        <f ca="1" xml:space="preserve"> - SUM(TblConstr[[#This Row],[DM]:[Sch]])+SUM(TblConstr[[#This Row],[Dest DM]:[Dest Sch]]) +Rezone!Q136 + IF("Ch_" &amp; home_land=TblConstr[[#Headers],[Ch_Cavern]],TblConstr[[#This Row],[Home Land]])+IF(TblConstr[[#This Row],[Hour]:[Hour]]&gt;12,OFFSET(TblExplore[[#This Row],[Cavern Explore]],-12,0),0)</f>
        <v>0</v>
      </c>
      <c r="CW136" s="186">
        <f ca="1">-TblConstr[[#This Row],[Doc]]+TblConstr[[#This Row],[Dest Doc]] +Rezone!R136 + IF("Ch_" &amp; home_land=TblConstr[[#Headers],[Ch_Water]],TblConstr[[#This Row],[Home Land]])+IF(TblConstr[[#This Row],[Hour]:[Hour]]&gt;12,OFFSET(TblExplore[[#This Row],[Water Explore]],-12,0),0)</f>
        <v>0</v>
      </c>
      <c r="CX136" s="45">
        <f>IF(Explore!S136=1,20) - TblConstr[[#This Row],[Hom]] + TblConstr[[#This Row],[Dest Hom]]</f>
        <v>0</v>
      </c>
      <c r="CY136" s="142"/>
      <c r="CZ136" s="94">
        <f ca="1">G136+SUM(P125:S136)+SUM(AZ136:BC136)</f>
        <v>90</v>
      </c>
      <c r="DA136" s="94">
        <f ca="1">H136+SUM(T125:U136)+SUM(BD136:BE136)</f>
        <v>20</v>
      </c>
      <c r="DB136" s="45">
        <f ca="1">I136+SUM(V125:W136)+SUM(BF136:BG136)</f>
        <v>0</v>
      </c>
      <c r="DC136" s="94">
        <f ca="1">J136+SUM(X125:Y136)+SUM(BH136:BI136)</f>
        <v>0</v>
      </c>
      <c r="DD136" s="94">
        <f ca="1">K136+SUM(AB125:AD136)+SUM(BL136:BN136)</f>
        <v>0</v>
      </c>
      <c r="DE136" s="45">
        <f ca="1">L136+SUM(AE125:AE136)+BO136</f>
        <v>0</v>
      </c>
      <c r="DF136" s="94">
        <f ca="1">M136+SUM(AG125:AG136)+BQ136</f>
        <v>0</v>
      </c>
      <c r="DG136" s="94" cm="1">
        <f t="array" aca="1" ref="DG136" ca="1">INDEX(TblConstr[[Total Plain]:[Total Water]],ROW()-ROW(TblConstr[#Headers]),MATCH("Total "&amp;home_land,TblConstr[[#Headers],[Total Plain]:[Total Water]],0))+TblConstr[[#This Row],[Homes]]</f>
        <v>90</v>
      </c>
      <c r="DH136" s="45">
        <f ca="1">SUM(O125:O136)+AY136</f>
        <v>0</v>
      </c>
      <c r="DI136" s="45">
        <f ca="1">MAX(BA136-BA135,0)</f>
        <v>0</v>
      </c>
      <c r="DJ136" s="45">
        <f ca="1">MAX(BQ136-BQ135,0)</f>
        <v>0</v>
      </c>
    </row>
    <row r="1269" spans="1:2" x14ac:dyDescent="0.2">
      <c r="A1269" s="530" t="s">
        <v>314</v>
      </c>
      <c r="B1269" s="486"/>
    </row>
    <row r="1270" spans="1:2" x14ac:dyDescent="0.2">
      <c r="A1270" s="28">
        <f>Overview!E17</f>
        <v>0</v>
      </c>
      <c r="B1270" s="28"/>
    </row>
  </sheetData>
  <mergeCells count="11">
    <mergeCell ref="AO1:AP1"/>
    <mergeCell ref="CZ1:DD1"/>
    <mergeCell ref="DG1:DH1"/>
    <mergeCell ref="A1269:B1269"/>
    <mergeCell ref="O1:Q1"/>
    <mergeCell ref="BW1:BX1"/>
    <mergeCell ref="CQ1:CR1"/>
    <mergeCell ref="AK1:AL1"/>
    <mergeCell ref="AY1:BA1"/>
    <mergeCell ref="AQ1:AR1"/>
    <mergeCell ref="AM1:AN1"/>
  </mergeCells>
  <phoneticPr fontId="0" type="noConversion"/>
  <conditionalFormatting sqref="M1271:N65537 M137:N1268">
    <cfRule type="expression" dxfId="737" priority="73" stopIfTrue="1">
      <formula>XEZ137&lt;0</formula>
    </cfRule>
  </conditionalFormatting>
  <conditionalFormatting sqref="A137:D1268 A1271:D65537 F1271:H65537 F137:H1268">
    <cfRule type="expression" dxfId="736" priority="74" stopIfTrue="1">
      <formula>XEV137&lt;0</formula>
    </cfRule>
  </conditionalFormatting>
  <conditionalFormatting sqref="E1271:E65537 E137:E1268">
    <cfRule type="expression" dxfId="735" priority="75" stopIfTrue="1">
      <formula>XEU137&lt;0</formula>
    </cfRule>
  </conditionalFormatting>
  <conditionalFormatting sqref="DI1271:DJ52023 O1271:AG52052 O137:AG1268 BV1271:DH52052 BV137:DJ1268">
    <cfRule type="expression" dxfId="734" priority="76" stopIfTrue="1">
      <formula>ROW()-2=#REF!</formula>
    </cfRule>
  </conditionalFormatting>
  <conditionalFormatting sqref="A1269:AG1270 BV1269:DJ1270">
    <cfRule type="expression" dxfId="733" priority="77" stopIfTrue="1">
      <formula>$A$1270&gt;144</formula>
    </cfRule>
  </conditionalFormatting>
  <conditionalFormatting sqref="K1271:L65537 K137:L1268">
    <cfRule type="expression" dxfId="732" priority="95" stopIfTrue="1">
      <formula>A137&lt;0</formula>
    </cfRule>
  </conditionalFormatting>
  <conditionalFormatting sqref="AY4:BQ136">
    <cfRule type="expression" dxfId="731" priority="7" stopIfTrue="1">
      <formula>OR(AY4&lt;0,ROW()-3=$A$1270)</formula>
    </cfRule>
  </conditionalFormatting>
  <conditionalFormatting sqref="I1271:J65537 I137:J1268">
    <cfRule type="expression" dxfId="730" priority="98" stopIfTrue="1">
      <formula>A137&lt;0</formula>
    </cfRule>
  </conditionalFormatting>
  <conditionalFormatting sqref="A4:DJ35 A36:O38 Q36:W38 A39:W39 Y36:DJ39 A40:DJ52 A60:DJ136 A53:Q59 S53:X59 Z53:DJ59">
    <cfRule type="expression" dxfId="729" priority="13" stopIfTrue="1">
      <formula>ROW()-3=$A$1270</formula>
    </cfRule>
    <cfRule type="expression" dxfId="728" priority="136">
      <formula>$A4=37</formula>
    </cfRule>
    <cfRule type="expression" dxfId="727" priority="137">
      <formula>ROUND(($A4-1)/12,0)=INT($A4-1)/12</formula>
    </cfRule>
  </conditionalFormatting>
  <conditionalFormatting sqref="A1:XFD3">
    <cfRule type="expression" dxfId="726" priority="138">
      <formula>$A$1270&lt;0</formula>
    </cfRule>
  </conditionalFormatting>
  <conditionalFormatting sqref="P36:P38">
    <cfRule type="expression" dxfId="725" priority="4" stopIfTrue="1">
      <formula>ROW()-3=$B$1270</formula>
    </cfRule>
  </conditionalFormatting>
  <conditionalFormatting sqref="P36:P38">
    <cfRule type="expression" dxfId="724" priority="5">
      <formula>$A36=37</formula>
    </cfRule>
    <cfRule type="expression" dxfId="723" priority="6">
      <formula>ROUND(($A36-1)/12,0)=INT($A36-1)/12</formula>
    </cfRule>
  </conditionalFormatting>
  <conditionalFormatting sqref="X36:X39">
    <cfRule type="expression" dxfId="722" priority="1" stopIfTrue="1">
      <formula>ROW()-3=$B$1270</formula>
    </cfRule>
  </conditionalFormatting>
  <conditionalFormatting sqref="X36:X39">
    <cfRule type="expression" dxfId="721" priority="2">
      <formula>$A36=37</formula>
    </cfRule>
    <cfRule type="expression" dxfId="720" priority="3">
      <formula>ROUND(($A36-1)/12,0)=INT($A36-1)/12</formula>
    </cfRule>
  </conditionalFormatting>
  <pageMargins left="0.75" right="0.75" top="1" bottom="1" header="0.5" footer="0.5"/>
  <pageSetup paperSize="9" orientation="portrait" horizontalDpi="300" verticalDpi="300" r:id="rId1"/>
  <headerFooter alignWithMargins="0"/>
  <ignoredErrors>
    <ignoredError sqref="AS4:AS15 AT4:AT59 AS77:AS136 AT77:AT136 AY4:AZ4 BB4:BC4 BE4:BQ4 G4:M4 AS16:AS59" calculatedColumn="1"/>
  </ignoredErrors>
  <tableParts count="1">
    <tablePart r:id="rId2"/>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theme="1"/>
  </sheetPr>
  <dimension ref="A1:AJ1270"/>
  <sheetViews>
    <sheetView topLeftCell="K1" zoomScale="85" zoomScaleNormal="85" workbookViewId="0">
      <pane ySplit="3" topLeftCell="A4" activePane="bottomLeft" state="frozenSplit"/>
      <selection activeCell="A3" sqref="A3"/>
      <selection pane="bottomLeft" activeCell="S4" sqref="S4"/>
    </sheetView>
  </sheetViews>
  <sheetFormatPr defaultColWidth="3.42578125" defaultRowHeight="12.75" x14ac:dyDescent="0.2"/>
  <cols>
    <col min="1" max="2" width="7.140625" style="57" customWidth="1"/>
    <col min="3" max="3" width="3" style="45" customWidth="1"/>
    <col min="4" max="10" width="8.5703125" style="45" customWidth="1"/>
    <col min="11" max="11" width="11.42578125" style="45" customWidth="1"/>
    <col min="12" max="12" width="12.85546875" style="45" customWidth="1"/>
    <col min="13" max="16" width="11.42578125" style="45" customWidth="1"/>
    <col min="17" max="17" width="7.140625" style="57" customWidth="1"/>
    <col min="18" max="18" width="7.140625" style="28" customWidth="1"/>
    <col min="19" max="19" width="5.7109375" style="45" customWidth="1"/>
    <col min="20" max="20" width="6.85546875" style="45" customWidth="1"/>
    <col min="21" max="21" width="7" style="45" customWidth="1"/>
    <col min="22" max="22" width="9.5703125" style="45" customWidth="1"/>
    <col min="23" max="23" width="4.42578125" style="45" customWidth="1"/>
    <col min="24" max="24" width="8.42578125" style="45" customWidth="1"/>
    <col min="25" max="25" width="7.42578125" style="45" customWidth="1"/>
    <col min="26" max="26" width="6.5703125" style="45" customWidth="1"/>
    <col min="27" max="29" width="11.42578125" style="45" customWidth="1"/>
    <col min="30" max="30" width="3.28515625" style="45" customWidth="1"/>
    <col min="31" max="32" width="11.42578125" style="45" customWidth="1"/>
    <col min="33" max="33" width="13.7109375" style="45" bestFit="1" customWidth="1"/>
    <col min="34" max="36" width="11.42578125" style="45" customWidth="1"/>
    <col min="37" max="37" width="3.42578125" style="45"/>
    <col min="38" max="38" width="8.42578125" style="45" bestFit="1" customWidth="1"/>
    <col min="39" max="16384" width="3.42578125" style="45"/>
  </cols>
  <sheetData>
    <row r="1" spans="1:36" s="5" customFormat="1" x14ac:dyDescent="0.2">
      <c r="A1" s="28"/>
      <c r="B1" s="28"/>
      <c r="D1" s="5" t="s">
        <v>54</v>
      </c>
      <c r="K1" s="208"/>
      <c r="L1" s="534" t="s">
        <v>299</v>
      </c>
      <c r="M1" s="486"/>
      <c r="N1" s="486"/>
      <c r="O1" s="486"/>
      <c r="P1" s="486"/>
      <c r="Q1" s="486"/>
      <c r="R1" s="28"/>
      <c r="S1" s="5" t="s">
        <v>353</v>
      </c>
      <c r="T1" s="5" t="s">
        <v>175</v>
      </c>
      <c r="AB1" s="533" t="s">
        <v>77</v>
      </c>
      <c r="AC1" s="533"/>
      <c r="AF1" s="5" t="s">
        <v>33</v>
      </c>
    </row>
    <row r="2" spans="1:36" s="5" customFormat="1" x14ac:dyDescent="0.2">
      <c r="A2" s="28"/>
      <c r="B2" s="28"/>
      <c r="K2" s="208"/>
      <c r="L2" s="209"/>
      <c r="M2" s="210"/>
      <c r="N2" s="45"/>
      <c r="O2" s="45"/>
      <c r="P2" s="45"/>
      <c r="Q2" s="57"/>
      <c r="R2" s="28"/>
    </row>
    <row r="3" spans="1:36" s="135" customFormat="1" ht="15" customHeight="1" x14ac:dyDescent="0.2">
      <c r="A3" s="135" t="s">
        <v>0</v>
      </c>
      <c r="B3" s="135" t="s">
        <v>1</v>
      </c>
      <c r="C3" s="135" t="s">
        <v>769</v>
      </c>
      <c r="D3" s="135" t="s">
        <v>55</v>
      </c>
      <c r="E3" s="135" t="s">
        <v>58</v>
      </c>
      <c r="F3" s="135" t="s">
        <v>1019</v>
      </c>
      <c r="G3" s="135" t="s">
        <v>59</v>
      </c>
      <c r="H3" s="135" t="s">
        <v>60</v>
      </c>
      <c r="I3" s="135" t="s">
        <v>61</v>
      </c>
      <c r="J3" s="135" t="s">
        <v>62</v>
      </c>
      <c r="K3" s="211" t="s">
        <v>872</v>
      </c>
      <c r="L3" s="211" t="s">
        <v>873</v>
      </c>
      <c r="M3" s="211" t="s">
        <v>874</v>
      </c>
      <c r="N3" s="212" t="s">
        <v>183</v>
      </c>
      <c r="O3" s="212" t="s">
        <v>363</v>
      </c>
      <c r="P3" s="212" t="s">
        <v>362</v>
      </c>
      <c r="Q3" s="135" t="s">
        <v>876</v>
      </c>
      <c r="R3" s="135" t="s">
        <v>849</v>
      </c>
      <c r="S3" s="135" t="s">
        <v>877</v>
      </c>
      <c r="T3" s="135" t="s">
        <v>1012</v>
      </c>
      <c r="U3" s="135" t="s">
        <v>1013</v>
      </c>
      <c r="V3" s="135" t="s">
        <v>1014</v>
      </c>
      <c r="W3" s="135" t="s">
        <v>1015</v>
      </c>
      <c r="X3" s="135" t="s">
        <v>1016</v>
      </c>
      <c r="Y3" s="135" t="s">
        <v>1017</v>
      </c>
      <c r="Z3" s="135" t="s">
        <v>1018</v>
      </c>
      <c r="AA3" s="135" t="s">
        <v>309</v>
      </c>
      <c r="AB3" s="135" t="s">
        <v>24</v>
      </c>
      <c r="AC3" s="135" t="s">
        <v>2</v>
      </c>
      <c r="AD3" s="135" t="s">
        <v>770</v>
      </c>
      <c r="AE3" s="135" t="s">
        <v>508</v>
      </c>
      <c r="AF3" s="135" t="s">
        <v>57</v>
      </c>
      <c r="AG3" s="135" t="s">
        <v>177</v>
      </c>
      <c r="AH3" s="135" t="s">
        <v>875</v>
      </c>
      <c r="AI3" s="135" t="s">
        <v>862</v>
      </c>
      <c r="AJ3" s="213" t="s">
        <v>757</v>
      </c>
    </row>
    <row r="4" spans="1:36" x14ac:dyDescent="0.2">
      <c r="A4" s="175">
        <f>TblRezone[[#This Row],[Hour]]</f>
        <v>1</v>
      </c>
      <c r="B4" s="214">
        <f ca="1">TblConstr[[#This Row],[Land]]</f>
        <v>50</v>
      </c>
      <c r="C4" s="215"/>
      <c r="D4" s="216">
        <f ca="1">TblConstr[[#This Row],[Plain]]</f>
        <v>0</v>
      </c>
      <c r="E4" s="182">
        <f ca="1">TblConstr[[#This Row],[Forest]]</f>
        <v>0</v>
      </c>
      <c r="F4" s="359">
        <f ca="1">TblConstr[[#This Row],[Mountain]]</f>
        <v>0</v>
      </c>
      <c r="G4" s="363">
        <f ca="1">TblConstr[[#This Row],[Hill]]</f>
        <v>0</v>
      </c>
      <c r="H4" s="367">
        <f ca="1">TblConstr[[#This Row],[Swamp]]</f>
        <v>0</v>
      </c>
      <c r="I4" s="185">
        <f ca="1">TblConstr[[#This Row],[Cavern]]</f>
        <v>0</v>
      </c>
      <c r="J4" s="186">
        <f ca="1">TblConstr[[#This Row],[Water]]</f>
        <v>0</v>
      </c>
      <c r="K4" s="210"/>
      <c r="L4" s="210"/>
      <c r="M4" s="210"/>
      <c r="N4" s="217">
        <f ca="1">TblMili[[#This Row],[Smithies]]</f>
        <v>0</v>
      </c>
      <c r="O4" s="217">
        <f ca="1">TblPop[[#This Row],[Employment]]</f>
        <v>1</v>
      </c>
      <c r="P4" s="217">
        <f ca="1">TblImps[[#This Row],[Population]]</f>
        <v>0.8049414824447334</v>
      </c>
      <c r="Q4" s="175">
        <f ca="1">TblExplore[[#This Row],[Land]]</f>
        <v>50</v>
      </c>
      <c r="R4" s="175">
        <f>TblExplore[[#This Row],[Hour]]</f>
        <v>1</v>
      </c>
      <c r="S4" s="218"/>
      <c r="T4" s="179"/>
      <c r="U4" s="179"/>
      <c r="V4" s="179"/>
      <c r="W4" s="179"/>
      <c r="X4" s="179"/>
      <c r="Y4" s="179"/>
      <c r="Z4" s="179"/>
      <c r="AA4" s="159">
        <f>TblImps[[#This Row],[Real time]]</f>
        <v>46047</v>
      </c>
      <c r="AB4" s="94">
        <f ca="1">TblMili[[#This Row],[Draftees]]</f>
        <v>150</v>
      </c>
      <c r="AC4" s="94">
        <f ca="1">TblProd[[#This Row],[Platinum]]</f>
        <v>50000</v>
      </c>
      <c r="AD4" s="215"/>
      <c r="AE4" s="45">
        <f ca="1">TblExplore[[#This Row],[Land]]-TblExplore[[#This Row],[Land Bonus]]*20</f>
        <v>50</v>
      </c>
      <c r="AF4" s="94">
        <f ca="1">ROUND((0.6*TblExplore[[#This Row],[Land-DB]]^1.299 + IF(TblExplore[[#This Row],[Land-DB]]&lt;1520, (-0.001*(TblExplore[[#This Row],[Land-DB]]^2)+1.91*TblExplore[[#This Row],[Land-DB]]-593), 0))*(1+ tech_2_6*Techs!AC4 + tech_2_9*Techs!AF4 + tech_3_7*Techs!AN4 + Overview!$I$33),0)</f>
        <v>-403</v>
      </c>
      <c r="AG4" s="94">
        <f ca="1">_xlfn.FLOOR.MATH(TblExplore[[#This Row],[Land-DB]]/150)+3+tech_2_9_2*TblTech[[#This Row],[2-9]]+tech_3_7_2*TblTech[[#This Row],[3-7]]</f>
        <v>3</v>
      </c>
      <c r="AH4" s="94">
        <f ca="1">SUM(TblExplore[[#This Row],[Plains Explore]:[Water Explore]])*TblExplore[[#This Row],[Plat/acre]]</f>
        <v>0</v>
      </c>
      <c r="AI4" s="94">
        <f ca="1">SUM(TblExplore[[#This Row],[Plains Explore]:[Water Explore]])*TblExplore[[#This Row],[Draftees/acre]]</f>
        <v>0</v>
      </c>
      <c r="AJ4" s="45">
        <f ca="1">_xlfn.FLOOR.MATH(MIN(TblExplore[[#This Row],[Platinum]]/TblExplore[[#This Row],[Plat/acre]],TblExplore[[#This Row],[Draftees]]/TblExplore[[#This Row],[Draftees/acre]]))</f>
        <v>-125</v>
      </c>
    </row>
    <row r="5" spans="1:36" hidden="1" x14ac:dyDescent="0.2">
      <c r="A5" s="175">
        <f>TblRezone[[#This Row],[Hour]]</f>
        <v>2</v>
      </c>
      <c r="B5" s="214">
        <f ca="1">TblConstr[[#This Row],[Land]]</f>
        <v>50</v>
      </c>
      <c r="C5" s="215"/>
      <c r="D5" s="216">
        <f ca="1">TblConstr[[#This Row],[Plain]]</f>
        <v>0</v>
      </c>
      <c r="E5" s="182">
        <f ca="1">TblConstr[[#This Row],[Forest]]</f>
        <v>0</v>
      </c>
      <c r="F5" s="359">
        <f ca="1">TblConstr[[#This Row],[Mountain]]</f>
        <v>0</v>
      </c>
      <c r="G5" s="363">
        <f ca="1">TblConstr[[#This Row],[Hill]]</f>
        <v>0</v>
      </c>
      <c r="H5" s="367">
        <f ca="1">TblConstr[[#This Row],[Swamp]]</f>
        <v>0</v>
      </c>
      <c r="I5" s="185">
        <f ca="1">TblConstr[[#This Row],[Cavern]]</f>
        <v>0</v>
      </c>
      <c r="J5" s="186">
        <f ca="1">TblConstr[[#This Row],[Water]]</f>
        <v>0</v>
      </c>
      <c r="K5" s="210"/>
      <c r="L5" s="210"/>
      <c r="M5" s="210"/>
      <c r="N5" s="217">
        <f ca="1">TblMili[[#This Row],[Smithies]]</f>
        <v>0</v>
      </c>
      <c r="O5" s="217">
        <f ca="1">TblPop[[#This Row],[Employment]]</f>
        <v>1</v>
      </c>
      <c r="P5" s="217">
        <f ca="1">TblImps[[#This Row],[Population]]</f>
        <v>0.82314694408322497</v>
      </c>
      <c r="Q5" s="175">
        <f ca="1">TblExplore[[#This Row],[Land]]</f>
        <v>50</v>
      </c>
      <c r="R5" s="175">
        <f>TblExplore[[#This Row],[Hour]]</f>
        <v>2</v>
      </c>
      <c r="S5" s="57"/>
      <c r="AA5" s="159">
        <f ca="1">TblImps[[#This Row],[Real time]]</f>
        <v>46047.041666666664</v>
      </c>
      <c r="AB5" s="94">
        <f ca="1">TblMili[[#This Row],[Draftees]]</f>
        <v>155</v>
      </c>
      <c r="AC5" s="94">
        <f ca="1">TblProd[[#This Row],[Platinum]]</f>
        <v>51266</v>
      </c>
      <c r="AD5" s="215"/>
      <c r="AE5" s="45">
        <f ca="1">TblExplore[[#This Row],[Land]]-TblExplore[[#This Row],[Land Bonus]]*20</f>
        <v>50</v>
      </c>
      <c r="AF5" s="94">
        <f ca="1">ROUND((0.6*TblExplore[[#This Row],[Land-DB]]^1.299 + IF(TblExplore[[#This Row],[Land-DB]]&lt;1520, (-0.001*(TblExplore[[#This Row],[Land-DB]]^2)+1.91*TblExplore[[#This Row],[Land-DB]]-593), 0))*(1+ tech_2_6*Techs!AC5 + tech_2_9*Techs!AF5 + tech_3_7*Techs!AN5 + Overview!$I$33),0)</f>
        <v>-403</v>
      </c>
      <c r="AG5" s="94">
        <f ca="1">_xlfn.FLOOR.MATH(TblExplore[[#This Row],[Land-DB]]/150)+3+tech_2_9_2*TblTech[[#This Row],[2-9]]+tech_3_7_2*TblTech[[#This Row],[3-7]]</f>
        <v>3</v>
      </c>
      <c r="AH5" s="94">
        <f ca="1">SUM(TblExplore[[#This Row],[Plains Explore]:[Water Explore]])*TblExplore[[#This Row],[Plat/acre]]</f>
        <v>0</v>
      </c>
      <c r="AI5" s="94">
        <f ca="1">SUM(TblExplore[[#This Row],[Plains Explore]:[Water Explore]])*TblExplore[[#This Row],[Draftees/acre]]</f>
        <v>0</v>
      </c>
      <c r="AJ5" s="45">
        <f ca="1">_xlfn.FLOOR.MATH(MIN(TblExplore[[#This Row],[Platinum]]/TblExplore[[#This Row],[Plat/acre]],TblExplore[[#This Row],[Draftees]]/TblExplore[[#This Row],[Draftees/acre]]))</f>
        <v>-128</v>
      </c>
    </row>
    <row r="6" spans="1:36" hidden="1" x14ac:dyDescent="0.2">
      <c r="A6" s="175">
        <f>TblRezone[[#This Row],[Hour]]</f>
        <v>3</v>
      </c>
      <c r="B6" s="214">
        <f ca="1">TblConstr[[#This Row],[Land]]</f>
        <v>50</v>
      </c>
      <c r="C6" s="215"/>
      <c r="D6" s="216">
        <f ca="1">TblConstr[[#This Row],[Plain]]</f>
        <v>0</v>
      </c>
      <c r="E6" s="182">
        <f ca="1">TblConstr[[#This Row],[Forest]]</f>
        <v>0</v>
      </c>
      <c r="F6" s="359">
        <f ca="1">TblConstr[[#This Row],[Mountain]]</f>
        <v>0</v>
      </c>
      <c r="G6" s="363">
        <f ca="1">TblConstr[[#This Row],[Hill]]</f>
        <v>0</v>
      </c>
      <c r="H6" s="367">
        <f ca="1">TblConstr[[#This Row],[Swamp]]</f>
        <v>0</v>
      </c>
      <c r="I6" s="185">
        <f ca="1">TblConstr[[#This Row],[Cavern]]</f>
        <v>0</v>
      </c>
      <c r="J6" s="186">
        <f ca="1">TblConstr[[#This Row],[Water]]</f>
        <v>0</v>
      </c>
      <c r="K6" s="210"/>
      <c r="L6" s="210"/>
      <c r="M6" s="210"/>
      <c r="N6" s="217">
        <f ca="1">TblMili[[#This Row],[Smithies]]</f>
        <v>0</v>
      </c>
      <c r="O6" s="217">
        <f ca="1">TblPop[[#This Row],[Employment]]</f>
        <v>1</v>
      </c>
      <c r="P6" s="217">
        <f ca="1">TblImps[[#This Row],[Population]]</f>
        <v>0.84135240572171655</v>
      </c>
      <c r="Q6" s="175">
        <f ca="1">TblExplore[[#This Row],[Land]]</f>
        <v>50</v>
      </c>
      <c r="R6" s="175">
        <f>TblExplore[[#This Row],[Hour]]</f>
        <v>3</v>
      </c>
      <c r="S6" s="57"/>
      <c r="AA6" s="159">
        <f ca="1">TblImps[[#This Row],[Real time]]</f>
        <v>46047.083333333328</v>
      </c>
      <c r="AB6" s="94">
        <f ca="1">TblMili[[#This Row],[Draftees]]</f>
        <v>160</v>
      </c>
      <c r="AC6" s="94">
        <f ca="1">TblProd[[#This Row],[Platinum]]</f>
        <v>52556</v>
      </c>
      <c r="AD6" s="215"/>
      <c r="AE6" s="45">
        <f ca="1">TblExplore[[#This Row],[Land]]-TblExplore[[#This Row],[Land Bonus]]*20</f>
        <v>50</v>
      </c>
      <c r="AF6" s="94">
        <f ca="1">ROUND((0.6*TblExplore[[#This Row],[Land-DB]]^1.299 + IF(TblExplore[[#This Row],[Land-DB]]&lt;1520, (-0.001*(TblExplore[[#This Row],[Land-DB]]^2)+1.91*TblExplore[[#This Row],[Land-DB]]-593), 0))*(1+ tech_2_6*Techs!AC6 + tech_2_9*Techs!AF6 + tech_3_7*Techs!AN6 + Overview!$I$33),0)</f>
        <v>-403</v>
      </c>
      <c r="AG6" s="94">
        <f ca="1">_xlfn.FLOOR.MATH(TblExplore[[#This Row],[Land-DB]]/150)+3+tech_2_9_2*TblTech[[#This Row],[2-9]]+tech_3_7_2*TblTech[[#This Row],[3-7]]</f>
        <v>3</v>
      </c>
      <c r="AH6" s="94">
        <f ca="1">SUM(TblExplore[[#This Row],[Plains Explore]:[Water Explore]])*TblExplore[[#This Row],[Plat/acre]]</f>
        <v>0</v>
      </c>
      <c r="AI6" s="94">
        <f ca="1">SUM(TblExplore[[#This Row],[Plains Explore]:[Water Explore]])*TblExplore[[#This Row],[Draftees/acre]]</f>
        <v>0</v>
      </c>
      <c r="AJ6" s="45">
        <f ca="1">_xlfn.FLOOR.MATH(MIN(TblExplore[[#This Row],[Platinum]]/TblExplore[[#This Row],[Plat/acre]],TblExplore[[#This Row],[Draftees]]/TblExplore[[#This Row],[Draftees/acre]]))</f>
        <v>-131</v>
      </c>
    </row>
    <row r="7" spans="1:36" hidden="1" x14ac:dyDescent="0.2">
      <c r="A7" s="175">
        <f>TblRezone[[#This Row],[Hour]]</f>
        <v>4</v>
      </c>
      <c r="B7" s="214">
        <f ca="1">TblConstr[[#This Row],[Land]]</f>
        <v>50</v>
      </c>
      <c r="C7" s="215"/>
      <c r="D7" s="216">
        <f ca="1">TblConstr[[#This Row],[Plain]]</f>
        <v>0</v>
      </c>
      <c r="E7" s="182">
        <f ca="1">TblConstr[[#This Row],[Forest]]</f>
        <v>0</v>
      </c>
      <c r="F7" s="359">
        <f ca="1">TblConstr[[#This Row],[Mountain]]</f>
        <v>0</v>
      </c>
      <c r="G7" s="363">
        <f ca="1">TblConstr[[#This Row],[Hill]]</f>
        <v>0</v>
      </c>
      <c r="H7" s="367">
        <f ca="1">TblConstr[[#This Row],[Swamp]]</f>
        <v>0</v>
      </c>
      <c r="I7" s="185">
        <f ca="1">TblConstr[[#This Row],[Cavern]]</f>
        <v>0</v>
      </c>
      <c r="J7" s="186">
        <f ca="1">TblConstr[[#This Row],[Water]]</f>
        <v>0</v>
      </c>
      <c r="K7" s="210"/>
      <c r="L7" s="210"/>
      <c r="M7" s="210"/>
      <c r="N7" s="217">
        <f ca="1">TblMili[[#This Row],[Smithies]]</f>
        <v>0</v>
      </c>
      <c r="O7" s="217">
        <f ca="1">TblPop[[#This Row],[Employment]]</f>
        <v>1</v>
      </c>
      <c r="P7" s="217">
        <f ca="1">TblImps[[#This Row],[Population]]</f>
        <v>0.85955786736020812</v>
      </c>
      <c r="Q7" s="175">
        <f ca="1">TblExplore[[#This Row],[Land]]</f>
        <v>50</v>
      </c>
      <c r="R7" s="175">
        <f>TblExplore[[#This Row],[Hour]]</f>
        <v>4</v>
      </c>
      <c r="S7" s="57"/>
      <c r="T7" s="94"/>
      <c r="AA7" s="159">
        <f ca="1">TblImps[[#This Row],[Real time]]</f>
        <v>46047.124999999993</v>
      </c>
      <c r="AB7" s="94">
        <f ca="1">TblMili[[#This Row],[Draftees]]</f>
        <v>165</v>
      </c>
      <c r="AC7" s="94">
        <f ca="1">TblProd[[#This Row],[Platinum]]</f>
        <v>53870</v>
      </c>
      <c r="AD7" s="215"/>
      <c r="AE7" s="45">
        <f ca="1">TblExplore[[#This Row],[Land]]-TblExplore[[#This Row],[Land Bonus]]*20</f>
        <v>50</v>
      </c>
      <c r="AF7" s="94">
        <f ca="1">ROUND((0.6*TblExplore[[#This Row],[Land-DB]]^1.299 + IF(TblExplore[[#This Row],[Land-DB]]&lt;1520, (-0.001*(TblExplore[[#This Row],[Land-DB]]^2)+1.91*TblExplore[[#This Row],[Land-DB]]-593), 0))*(1+ tech_2_6*Techs!AC7 + tech_2_9*Techs!AF7 + tech_3_7*Techs!AN7 + Overview!$I$33),0)</f>
        <v>-403</v>
      </c>
      <c r="AG7" s="94">
        <f ca="1">_xlfn.FLOOR.MATH(TblExplore[[#This Row],[Land-DB]]/150)+3+tech_2_9_2*TblTech[[#This Row],[2-9]]+tech_3_7_2*TblTech[[#This Row],[3-7]]</f>
        <v>3</v>
      </c>
      <c r="AH7" s="94">
        <f ca="1">SUM(TblExplore[[#This Row],[Plains Explore]:[Water Explore]])*TblExplore[[#This Row],[Plat/acre]]</f>
        <v>0</v>
      </c>
      <c r="AI7" s="94">
        <f ca="1">SUM(TblExplore[[#This Row],[Plains Explore]:[Water Explore]])*TblExplore[[#This Row],[Draftees/acre]]</f>
        <v>0</v>
      </c>
      <c r="AJ7" s="45">
        <f ca="1">_xlfn.FLOOR.MATH(MIN(TblExplore[[#This Row],[Platinum]]/TblExplore[[#This Row],[Plat/acre]],TblExplore[[#This Row],[Draftees]]/TblExplore[[#This Row],[Draftees/acre]]))</f>
        <v>-134</v>
      </c>
    </row>
    <row r="8" spans="1:36" hidden="1" x14ac:dyDescent="0.2">
      <c r="A8" s="175">
        <f>TblRezone[[#This Row],[Hour]]</f>
        <v>5</v>
      </c>
      <c r="B8" s="214">
        <f ca="1">TblConstr[[#This Row],[Land]]</f>
        <v>50</v>
      </c>
      <c r="C8" s="215"/>
      <c r="D8" s="216">
        <f ca="1">TblConstr[[#This Row],[Plain]]</f>
        <v>0</v>
      </c>
      <c r="E8" s="182">
        <f ca="1">TblConstr[[#This Row],[Forest]]</f>
        <v>0</v>
      </c>
      <c r="F8" s="359">
        <f ca="1">TblConstr[[#This Row],[Mountain]]</f>
        <v>0</v>
      </c>
      <c r="G8" s="363">
        <f ca="1">TblConstr[[#This Row],[Hill]]</f>
        <v>0</v>
      </c>
      <c r="H8" s="367">
        <f ca="1">TblConstr[[#This Row],[Swamp]]</f>
        <v>0</v>
      </c>
      <c r="I8" s="185">
        <f ca="1">TblConstr[[#This Row],[Cavern]]</f>
        <v>0</v>
      </c>
      <c r="J8" s="186">
        <f ca="1">TblConstr[[#This Row],[Water]]</f>
        <v>0</v>
      </c>
      <c r="K8" s="210"/>
      <c r="L8" s="210"/>
      <c r="M8" s="210"/>
      <c r="N8" s="217">
        <f ca="1">TblMili[[#This Row],[Smithies]]</f>
        <v>0</v>
      </c>
      <c r="O8" s="217">
        <f ca="1">TblPop[[#This Row],[Employment]]</f>
        <v>1</v>
      </c>
      <c r="P8" s="217">
        <f ca="1">TblImps[[#This Row],[Population]]</f>
        <v>0.87906371911573467</v>
      </c>
      <c r="Q8" s="175">
        <f ca="1">TblExplore[[#This Row],[Land]]</f>
        <v>50</v>
      </c>
      <c r="R8" s="175">
        <f>TblExplore[[#This Row],[Hour]]</f>
        <v>5</v>
      </c>
      <c r="S8" s="57"/>
      <c r="T8" s="94"/>
      <c r="AA8" s="159">
        <f ca="1">TblImps[[#This Row],[Real time]]</f>
        <v>46047.166666666657</v>
      </c>
      <c r="AB8" s="94">
        <f ca="1">TblMili[[#This Row],[Draftees]]</f>
        <v>170</v>
      </c>
      <c r="AC8" s="94">
        <f ca="1">TblProd[[#This Row],[Platinum]]</f>
        <v>55209</v>
      </c>
      <c r="AD8" s="215"/>
      <c r="AE8" s="45">
        <f ca="1">TblExplore[[#This Row],[Land]]-TblExplore[[#This Row],[Land Bonus]]*20</f>
        <v>50</v>
      </c>
      <c r="AF8" s="94">
        <f ca="1">ROUND((0.6*TblExplore[[#This Row],[Land-DB]]^1.299 + IF(TblExplore[[#This Row],[Land-DB]]&lt;1520, (-0.001*(TblExplore[[#This Row],[Land-DB]]^2)+1.91*TblExplore[[#This Row],[Land-DB]]-593), 0))*(1+ tech_2_6*Techs!AC8 + tech_2_9*Techs!AF8 + tech_3_7*Techs!AN8 + Overview!$I$33),0)</f>
        <v>-403</v>
      </c>
      <c r="AG8" s="94">
        <f ca="1">_xlfn.FLOOR.MATH(TblExplore[[#This Row],[Land-DB]]/150)+3+tech_2_9_2*TblTech[[#This Row],[2-9]]+tech_3_7_2*TblTech[[#This Row],[3-7]]</f>
        <v>3</v>
      </c>
      <c r="AH8" s="94">
        <f ca="1">SUM(TblExplore[[#This Row],[Plains Explore]:[Water Explore]])*TblExplore[[#This Row],[Plat/acre]]</f>
        <v>0</v>
      </c>
      <c r="AI8" s="94">
        <f ca="1">SUM(TblExplore[[#This Row],[Plains Explore]:[Water Explore]])*TblExplore[[#This Row],[Draftees/acre]]</f>
        <v>0</v>
      </c>
      <c r="AJ8" s="45">
        <f ca="1">_xlfn.FLOOR.MATH(MIN(TblExplore[[#This Row],[Platinum]]/TblExplore[[#This Row],[Plat/acre]],TblExplore[[#This Row],[Draftees]]/TblExplore[[#This Row],[Draftees/acre]]))</f>
        <v>-137</v>
      </c>
    </row>
    <row r="9" spans="1:36" hidden="1" x14ac:dyDescent="0.2">
      <c r="A9" s="175">
        <f>TblRezone[[#This Row],[Hour]]</f>
        <v>6</v>
      </c>
      <c r="B9" s="214">
        <f ca="1">TblConstr[[#This Row],[Land]]</f>
        <v>50</v>
      </c>
      <c r="C9" s="215"/>
      <c r="D9" s="216">
        <f ca="1">TblConstr[[#This Row],[Plain]]</f>
        <v>0</v>
      </c>
      <c r="E9" s="182">
        <f ca="1">TblConstr[[#This Row],[Forest]]</f>
        <v>0</v>
      </c>
      <c r="F9" s="359">
        <f ca="1">TblConstr[[#This Row],[Mountain]]</f>
        <v>0</v>
      </c>
      <c r="G9" s="363">
        <f ca="1">TblConstr[[#This Row],[Hill]]</f>
        <v>0</v>
      </c>
      <c r="H9" s="367">
        <f ca="1">TblConstr[[#This Row],[Swamp]]</f>
        <v>0</v>
      </c>
      <c r="I9" s="185">
        <f ca="1">TblConstr[[#This Row],[Cavern]]</f>
        <v>0</v>
      </c>
      <c r="J9" s="186">
        <f ca="1">TblConstr[[#This Row],[Water]]</f>
        <v>0</v>
      </c>
      <c r="K9" s="210"/>
      <c r="L9" s="210"/>
      <c r="M9" s="210"/>
      <c r="N9" s="217">
        <f ca="1">TblMili[[#This Row],[Smithies]]</f>
        <v>0</v>
      </c>
      <c r="O9" s="217">
        <f ca="1">TblPop[[#This Row],[Employment]]</f>
        <v>1</v>
      </c>
      <c r="P9" s="217">
        <f ca="1">TblImps[[#This Row],[Population]]</f>
        <v>0.89856957087126132</v>
      </c>
      <c r="Q9" s="175">
        <f ca="1">TblExplore[[#This Row],[Land]]</f>
        <v>50</v>
      </c>
      <c r="R9" s="175">
        <f>TblExplore[[#This Row],[Hour]]</f>
        <v>6</v>
      </c>
      <c r="S9" s="57"/>
      <c r="AA9" s="159">
        <f ca="1">TblImps[[#This Row],[Real time]]</f>
        <v>46047.208333333321</v>
      </c>
      <c r="AB9" s="94">
        <f ca="1">TblMili[[#This Row],[Draftees]]</f>
        <v>175</v>
      </c>
      <c r="AC9" s="94">
        <f ca="1">TblProd[[#This Row],[Platinum]]</f>
        <v>56575</v>
      </c>
      <c r="AD9" s="215"/>
      <c r="AE9" s="45">
        <f ca="1">TblExplore[[#This Row],[Land]]-TblExplore[[#This Row],[Land Bonus]]*20</f>
        <v>50</v>
      </c>
      <c r="AF9" s="94">
        <f ca="1">ROUND((0.6*TblExplore[[#This Row],[Land-DB]]^1.299 + IF(TblExplore[[#This Row],[Land-DB]]&lt;1520, (-0.001*(TblExplore[[#This Row],[Land-DB]]^2)+1.91*TblExplore[[#This Row],[Land-DB]]-593), 0))*(1+ tech_2_6*Techs!AC9 + tech_2_9*Techs!AF9 + tech_3_7*Techs!AN9 + Overview!$I$33),0)</f>
        <v>-403</v>
      </c>
      <c r="AG9" s="94">
        <f ca="1">_xlfn.FLOOR.MATH(TblExplore[[#This Row],[Land-DB]]/150)+3+tech_2_9_2*TblTech[[#This Row],[2-9]]+tech_3_7_2*TblTech[[#This Row],[3-7]]</f>
        <v>3</v>
      </c>
      <c r="AH9" s="94">
        <f ca="1">SUM(TblExplore[[#This Row],[Plains Explore]:[Water Explore]])*TblExplore[[#This Row],[Plat/acre]]</f>
        <v>0</v>
      </c>
      <c r="AI9" s="94">
        <f ca="1">SUM(TblExplore[[#This Row],[Plains Explore]:[Water Explore]])*TblExplore[[#This Row],[Draftees/acre]]</f>
        <v>0</v>
      </c>
      <c r="AJ9" s="45">
        <f ca="1">_xlfn.FLOOR.MATH(MIN(TblExplore[[#This Row],[Platinum]]/TblExplore[[#This Row],[Plat/acre]],TblExplore[[#This Row],[Draftees]]/TblExplore[[#This Row],[Draftees/acre]]))</f>
        <v>-141</v>
      </c>
    </row>
    <row r="10" spans="1:36" hidden="1" x14ac:dyDescent="0.2">
      <c r="A10" s="175">
        <f>TblRezone[[#This Row],[Hour]]</f>
        <v>7</v>
      </c>
      <c r="B10" s="214">
        <f ca="1">TblConstr[[#This Row],[Land]]</f>
        <v>50</v>
      </c>
      <c r="C10" s="215"/>
      <c r="D10" s="216">
        <f ca="1">TblConstr[[#This Row],[Plain]]</f>
        <v>0</v>
      </c>
      <c r="E10" s="182">
        <f ca="1">TblConstr[[#This Row],[Forest]]</f>
        <v>0</v>
      </c>
      <c r="F10" s="359">
        <f ca="1">TblConstr[[#This Row],[Mountain]]</f>
        <v>0</v>
      </c>
      <c r="G10" s="363">
        <f ca="1">TblConstr[[#This Row],[Hill]]</f>
        <v>0</v>
      </c>
      <c r="H10" s="367">
        <f ca="1">TblConstr[[#This Row],[Swamp]]</f>
        <v>0</v>
      </c>
      <c r="I10" s="185">
        <f ca="1">TblConstr[[#This Row],[Cavern]]</f>
        <v>0</v>
      </c>
      <c r="J10" s="186">
        <f ca="1">TblConstr[[#This Row],[Water]]</f>
        <v>0</v>
      </c>
      <c r="K10" s="210"/>
      <c r="L10" s="210"/>
      <c r="M10" s="210"/>
      <c r="N10" s="217">
        <f ca="1">TblMili[[#This Row],[Smithies]]</f>
        <v>0</v>
      </c>
      <c r="O10" s="217">
        <f ca="1">TblPop[[#This Row],[Employment]]</f>
        <v>1</v>
      </c>
      <c r="P10" s="217">
        <f ca="1">TblImps[[#This Row],[Population]]</f>
        <v>0.91807542262678798</v>
      </c>
      <c r="Q10" s="175">
        <f ca="1">TblExplore[[#This Row],[Land]]</f>
        <v>50</v>
      </c>
      <c r="R10" s="175">
        <f>TblExplore[[#This Row],[Hour]]</f>
        <v>7</v>
      </c>
      <c r="S10" s="57"/>
      <c r="AA10" s="159">
        <f ca="1">TblImps[[#This Row],[Real time]]</f>
        <v>46047.249999999985</v>
      </c>
      <c r="AB10" s="94">
        <f ca="1">TblMili[[#This Row],[Draftees]]</f>
        <v>180</v>
      </c>
      <c r="AC10" s="94">
        <f ca="1">TblProd[[#This Row],[Platinum]]</f>
        <v>57968</v>
      </c>
      <c r="AD10" s="215"/>
      <c r="AE10" s="45">
        <f ca="1">TblExplore[[#This Row],[Land]]-TblExplore[[#This Row],[Land Bonus]]*20</f>
        <v>50</v>
      </c>
      <c r="AF10" s="94">
        <f ca="1">ROUND((0.6*TblExplore[[#This Row],[Land-DB]]^1.299 + IF(TblExplore[[#This Row],[Land-DB]]&lt;1520, (-0.001*(TblExplore[[#This Row],[Land-DB]]^2)+1.91*TblExplore[[#This Row],[Land-DB]]-593), 0))*(1+ tech_2_6*Techs!AC10 + tech_2_9*Techs!AF10 + tech_3_7*Techs!AN10 + Overview!$I$33),0)</f>
        <v>-403</v>
      </c>
      <c r="AG10" s="94">
        <f ca="1">_xlfn.FLOOR.MATH(TblExplore[[#This Row],[Land-DB]]/150)+3+tech_2_9_2*TblTech[[#This Row],[2-9]]+tech_3_7_2*TblTech[[#This Row],[3-7]]</f>
        <v>3</v>
      </c>
      <c r="AH10" s="94">
        <f ca="1">SUM(TblExplore[[#This Row],[Plains Explore]:[Water Explore]])*TblExplore[[#This Row],[Plat/acre]]</f>
        <v>0</v>
      </c>
      <c r="AI10" s="94">
        <f ca="1">SUM(TblExplore[[#This Row],[Plains Explore]:[Water Explore]])*TblExplore[[#This Row],[Draftees/acre]]</f>
        <v>0</v>
      </c>
      <c r="AJ10" s="45">
        <f ca="1">_xlfn.FLOOR.MATH(MIN(TblExplore[[#This Row],[Platinum]]/TblExplore[[#This Row],[Plat/acre]],TblExplore[[#This Row],[Draftees]]/TblExplore[[#This Row],[Draftees/acre]]))</f>
        <v>-144</v>
      </c>
    </row>
    <row r="11" spans="1:36" hidden="1" x14ac:dyDescent="0.2">
      <c r="A11" s="175">
        <f>TblRezone[[#This Row],[Hour]]</f>
        <v>8</v>
      </c>
      <c r="B11" s="214">
        <f ca="1">TblConstr[[#This Row],[Land]]</f>
        <v>50</v>
      </c>
      <c r="C11" s="215"/>
      <c r="D11" s="216">
        <f ca="1">TblConstr[[#This Row],[Plain]]</f>
        <v>0</v>
      </c>
      <c r="E11" s="182">
        <f ca="1">TblConstr[[#This Row],[Forest]]</f>
        <v>0</v>
      </c>
      <c r="F11" s="359">
        <f ca="1">TblConstr[[#This Row],[Mountain]]</f>
        <v>0</v>
      </c>
      <c r="G11" s="363">
        <f ca="1">TblConstr[[#This Row],[Hill]]</f>
        <v>0</v>
      </c>
      <c r="H11" s="367">
        <f ca="1">TblConstr[[#This Row],[Swamp]]</f>
        <v>0</v>
      </c>
      <c r="I11" s="185">
        <f ca="1">TblConstr[[#This Row],[Cavern]]</f>
        <v>0</v>
      </c>
      <c r="J11" s="186">
        <f ca="1">TblConstr[[#This Row],[Water]]</f>
        <v>0</v>
      </c>
      <c r="K11" s="210"/>
      <c r="L11" s="210"/>
      <c r="M11" s="210"/>
      <c r="N11" s="217">
        <f ca="1">TblMili[[#This Row],[Smithies]]</f>
        <v>0</v>
      </c>
      <c r="O11" s="217">
        <f ca="1">TblPop[[#This Row],[Employment]]</f>
        <v>1</v>
      </c>
      <c r="P11" s="217">
        <f ca="1">TblImps[[#This Row],[Population]]</f>
        <v>0.93888166449934984</v>
      </c>
      <c r="Q11" s="175">
        <f ca="1">TblExplore[[#This Row],[Land]]</f>
        <v>50</v>
      </c>
      <c r="R11" s="175">
        <f>TblExplore[[#This Row],[Hour]]</f>
        <v>8</v>
      </c>
      <c r="S11" s="57"/>
      <c r="AA11" s="159">
        <f ca="1">TblImps[[#This Row],[Real time]]</f>
        <v>46047.29166666665</v>
      </c>
      <c r="AB11" s="94">
        <f ca="1">TblMili[[#This Row],[Draftees]]</f>
        <v>185</v>
      </c>
      <c r="AC11" s="94">
        <f ca="1">TblProd[[#This Row],[Platinum]]</f>
        <v>59388</v>
      </c>
      <c r="AD11" s="215"/>
      <c r="AE11" s="45">
        <f ca="1">TblExplore[[#This Row],[Land]]-TblExplore[[#This Row],[Land Bonus]]*20</f>
        <v>50</v>
      </c>
      <c r="AF11" s="94">
        <f ca="1">ROUND((0.6*TblExplore[[#This Row],[Land-DB]]^1.299 + IF(TblExplore[[#This Row],[Land-DB]]&lt;1520, (-0.001*(TblExplore[[#This Row],[Land-DB]]^2)+1.91*TblExplore[[#This Row],[Land-DB]]-593), 0))*(1+ tech_2_6*Techs!AC11 + tech_2_9*Techs!AF11 + tech_3_7*Techs!AN11 + Overview!$I$33),0)</f>
        <v>-403</v>
      </c>
      <c r="AG11" s="94">
        <f ca="1">_xlfn.FLOOR.MATH(TblExplore[[#This Row],[Land-DB]]/150)+3+tech_2_9_2*TblTech[[#This Row],[2-9]]+tech_3_7_2*TblTech[[#This Row],[3-7]]</f>
        <v>3</v>
      </c>
      <c r="AH11" s="94">
        <f ca="1">SUM(TblExplore[[#This Row],[Plains Explore]:[Water Explore]])*TblExplore[[#This Row],[Plat/acre]]</f>
        <v>0</v>
      </c>
      <c r="AI11" s="94">
        <f ca="1">SUM(TblExplore[[#This Row],[Plains Explore]:[Water Explore]])*TblExplore[[#This Row],[Draftees/acre]]</f>
        <v>0</v>
      </c>
      <c r="AJ11" s="45">
        <f ca="1">_xlfn.FLOOR.MATH(MIN(TblExplore[[#This Row],[Platinum]]/TblExplore[[#This Row],[Plat/acre]],TblExplore[[#This Row],[Draftees]]/TblExplore[[#This Row],[Draftees/acre]]))</f>
        <v>-148</v>
      </c>
    </row>
    <row r="12" spans="1:36" hidden="1" x14ac:dyDescent="0.2">
      <c r="A12" s="175">
        <f>TblRezone[[#This Row],[Hour]]</f>
        <v>9</v>
      </c>
      <c r="B12" s="214">
        <f ca="1">TblConstr[[#This Row],[Land]]</f>
        <v>50</v>
      </c>
      <c r="C12" s="215"/>
      <c r="D12" s="216">
        <f ca="1">TblConstr[[#This Row],[Plain]]</f>
        <v>0</v>
      </c>
      <c r="E12" s="182">
        <f ca="1">TblConstr[[#This Row],[Forest]]</f>
        <v>0</v>
      </c>
      <c r="F12" s="359">
        <f ca="1">TblConstr[[#This Row],[Mountain]]</f>
        <v>0</v>
      </c>
      <c r="G12" s="363">
        <f ca="1">TblConstr[[#This Row],[Hill]]</f>
        <v>0</v>
      </c>
      <c r="H12" s="367">
        <f ca="1">TblConstr[[#This Row],[Swamp]]</f>
        <v>0</v>
      </c>
      <c r="I12" s="185">
        <f ca="1">TblConstr[[#This Row],[Cavern]]</f>
        <v>0</v>
      </c>
      <c r="J12" s="186">
        <f ca="1">TblConstr[[#This Row],[Water]]</f>
        <v>0</v>
      </c>
      <c r="K12" s="210"/>
      <c r="L12" s="210"/>
      <c r="M12" s="210"/>
      <c r="N12" s="217">
        <f ca="1">TblMili[[#This Row],[Smithies]]</f>
        <v>0</v>
      </c>
      <c r="O12" s="217">
        <f ca="1">TblPop[[#This Row],[Employment]]</f>
        <v>1</v>
      </c>
      <c r="P12" s="217">
        <f ca="1">TblImps[[#This Row],[Population]]</f>
        <v>0.95968790637191159</v>
      </c>
      <c r="Q12" s="175">
        <f ca="1">TblExplore[[#This Row],[Land]]</f>
        <v>50</v>
      </c>
      <c r="R12" s="175">
        <f>TblExplore[[#This Row],[Hour]]</f>
        <v>9</v>
      </c>
      <c r="S12" s="57"/>
      <c r="AA12" s="159">
        <f ca="1">TblImps[[#This Row],[Real time]]</f>
        <v>46047.333333333314</v>
      </c>
      <c r="AB12" s="94">
        <f ca="1">TblMili[[#This Row],[Draftees]]</f>
        <v>190</v>
      </c>
      <c r="AC12" s="94">
        <f ca="1">TblProd[[#This Row],[Platinum]]</f>
        <v>60837</v>
      </c>
      <c r="AD12" s="215"/>
      <c r="AE12" s="45">
        <f ca="1">TblExplore[[#This Row],[Land]]-TblExplore[[#This Row],[Land Bonus]]*20</f>
        <v>50</v>
      </c>
      <c r="AF12" s="94">
        <f ca="1">ROUND((0.6*TblExplore[[#This Row],[Land-DB]]^1.299 + IF(TblExplore[[#This Row],[Land-DB]]&lt;1520, (-0.001*(TblExplore[[#This Row],[Land-DB]]^2)+1.91*TblExplore[[#This Row],[Land-DB]]-593), 0))*(1+ tech_2_6*Techs!AC12 + tech_2_9*Techs!AF12 + tech_3_7*Techs!AN12 + Overview!$I$33),0)</f>
        <v>-403</v>
      </c>
      <c r="AG12" s="94">
        <f ca="1">_xlfn.FLOOR.MATH(TblExplore[[#This Row],[Land-DB]]/150)+3+tech_2_9_2*TblTech[[#This Row],[2-9]]+tech_3_7_2*TblTech[[#This Row],[3-7]]</f>
        <v>3</v>
      </c>
      <c r="AH12" s="94">
        <f ca="1">SUM(TblExplore[[#This Row],[Plains Explore]:[Water Explore]])*TblExplore[[#This Row],[Plat/acre]]</f>
        <v>0</v>
      </c>
      <c r="AI12" s="94">
        <f ca="1">SUM(TblExplore[[#This Row],[Plains Explore]:[Water Explore]])*TblExplore[[#This Row],[Draftees/acre]]</f>
        <v>0</v>
      </c>
      <c r="AJ12" s="45">
        <f ca="1">_xlfn.FLOOR.MATH(MIN(TblExplore[[#This Row],[Platinum]]/TblExplore[[#This Row],[Plat/acre]],TblExplore[[#This Row],[Draftees]]/TblExplore[[#This Row],[Draftees/acre]]))</f>
        <v>-151</v>
      </c>
    </row>
    <row r="13" spans="1:36" hidden="1" x14ac:dyDescent="0.2">
      <c r="A13" s="175">
        <f>TblRezone[[#This Row],[Hour]]</f>
        <v>10</v>
      </c>
      <c r="B13" s="214">
        <f ca="1">TblConstr[[#This Row],[Land]]</f>
        <v>50</v>
      </c>
      <c r="C13" s="215"/>
      <c r="D13" s="216">
        <f ca="1">TblConstr[[#This Row],[Plain]]</f>
        <v>0</v>
      </c>
      <c r="E13" s="182">
        <f ca="1">TblConstr[[#This Row],[Forest]]</f>
        <v>0</v>
      </c>
      <c r="F13" s="359">
        <f ca="1">TblConstr[[#This Row],[Mountain]]</f>
        <v>0</v>
      </c>
      <c r="G13" s="363">
        <f ca="1">TblConstr[[#This Row],[Hill]]</f>
        <v>0</v>
      </c>
      <c r="H13" s="367">
        <f ca="1">TblConstr[[#This Row],[Swamp]]</f>
        <v>0</v>
      </c>
      <c r="I13" s="185">
        <f ca="1">TblConstr[[#This Row],[Cavern]]</f>
        <v>0</v>
      </c>
      <c r="J13" s="186">
        <f ca="1">TblConstr[[#This Row],[Water]]</f>
        <v>0</v>
      </c>
      <c r="K13" s="210"/>
      <c r="L13" s="210"/>
      <c r="M13" s="210"/>
      <c r="N13" s="217">
        <f ca="1">TblMili[[#This Row],[Smithies]]</f>
        <v>0</v>
      </c>
      <c r="O13" s="217">
        <f ca="1">TblPop[[#This Row],[Employment]]</f>
        <v>1</v>
      </c>
      <c r="P13" s="217">
        <f ca="1">TblImps[[#This Row],[Population]]</f>
        <v>0.98049414824447334</v>
      </c>
      <c r="Q13" s="175">
        <f ca="1">TblExplore[[#This Row],[Land]]</f>
        <v>50</v>
      </c>
      <c r="R13" s="175">
        <f>TblExplore[[#This Row],[Hour]]</f>
        <v>10</v>
      </c>
      <c r="S13" s="57"/>
      <c r="AA13" s="159">
        <f ca="1">TblImps[[#This Row],[Real time]]</f>
        <v>46047.374999999978</v>
      </c>
      <c r="AB13" s="94">
        <f ca="1">TblMili[[#This Row],[Draftees]]</f>
        <v>195</v>
      </c>
      <c r="AC13" s="94">
        <f ca="1">TblProd[[#This Row],[Platinum]]</f>
        <v>62316</v>
      </c>
      <c r="AD13" s="215"/>
      <c r="AE13" s="45">
        <f ca="1">TblExplore[[#This Row],[Land]]-TblExplore[[#This Row],[Land Bonus]]*20</f>
        <v>50</v>
      </c>
      <c r="AF13" s="94">
        <f ca="1">ROUND((0.6*TblExplore[[#This Row],[Land-DB]]^1.299 + IF(TblExplore[[#This Row],[Land-DB]]&lt;1520, (-0.001*(TblExplore[[#This Row],[Land-DB]]^2)+1.91*TblExplore[[#This Row],[Land-DB]]-593), 0))*(1+ tech_2_6*Techs!AC13 + tech_2_9*Techs!AF13 + tech_3_7*Techs!AN13 + Overview!$I$33),0)</f>
        <v>-403</v>
      </c>
      <c r="AG13" s="94">
        <f ca="1">_xlfn.FLOOR.MATH(TblExplore[[#This Row],[Land-DB]]/150)+3+tech_2_9_2*TblTech[[#This Row],[2-9]]+tech_3_7_2*TblTech[[#This Row],[3-7]]</f>
        <v>3</v>
      </c>
      <c r="AH13" s="94">
        <f ca="1">SUM(TblExplore[[#This Row],[Plains Explore]:[Water Explore]])*TblExplore[[#This Row],[Plat/acre]]</f>
        <v>0</v>
      </c>
      <c r="AI13" s="94">
        <f ca="1">SUM(TblExplore[[#This Row],[Plains Explore]:[Water Explore]])*TblExplore[[#This Row],[Draftees/acre]]</f>
        <v>0</v>
      </c>
      <c r="AJ13" s="45">
        <f ca="1">_xlfn.FLOOR.MATH(MIN(TblExplore[[#This Row],[Platinum]]/TblExplore[[#This Row],[Plat/acre]],TblExplore[[#This Row],[Draftees]]/TblExplore[[#This Row],[Draftees/acre]]))</f>
        <v>-155</v>
      </c>
    </row>
    <row r="14" spans="1:36" hidden="1" x14ac:dyDescent="0.2">
      <c r="A14" s="175">
        <f>TblRezone[[#This Row],[Hour]]</f>
        <v>11</v>
      </c>
      <c r="B14" s="214">
        <f ca="1">TblConstr[[#This Row],[Land]]</f>
        <v>50</v>
      </c>
      <c r="C14" s="215"/>
      <c r="D14" s="216">
        <f ca="1">TblConstr[[#This Row],[Plain]]</f>
        <v>0</v>
      </c>
      <c r="E14" s="182">
        <f ca="1">TblConstr[[#This Row],[Forest]]</f>
        <v>0</v>
      </c>
      <c r="F14" s="359">
        <f ca="1">TblConstr[[#This Row],[Mountain]]</f>
        <v>0</v>
      </c>
      <c r="G14" s="363">
        <f ca="1">TblConstr[[#This Row],[Hill]]</f>
        <v>0</v>
      </c>
      <c r="H14" s="367">
        <f ca="1">TblConstr[[#This Row],[Swamp]]</f>
        <v>0</v>
      </c>
      <c r="I14" s="185">
        <f ca="1">TblConstr[[#This Row],[Cavern]]</f>
        <v>0</v>
      </c>
      <c r="J14" s="186">
        <f ca="1">TblConstr[[#This Row],[Water]]</f>
        <v>0</v>
      </c>
      <c r="K14" s="210"/>
      <c r="L14" s="210"/>
      <c r="M14" s="210"/>
      <c r="N14" s="217">
        <f ca="1">TblMili[[#This Row],[Smithies]]</f>
        <v>0</v>
      </c>
      <c r="O14" s="217">
        <f ca="1">TblPop[[#This Row],[Employment]]</f>
        <v>1</v>
      </c>
      <c r="P14" s="217">
        <f ca="1">TblImps[[#This Row],[Population]]</f>
        <v>1</v>
      </c>
      <c r="Q14" s="175">
        <f ca="1">TblExplore[[#This Row],[Land]]</f>
        <v>50</v>
      </c>
      <c r="R14" s="175">
        <f>TblExplore[[#This Row],[Hour]]</f>
        <v>11</v>
      </c>
      <c r="S14" s="57"/>
      <c r="AA14" s="159">
        <f ca="1">TblImps[[#This Row],[Real time]]</f>
        <v>46047.416666666642</v>
      </c>
      <c r="AB14" s="94">
        <f ca="1">TblMili[[#This Row],[Draftees]]</f>
        <v>201</v>
      </c>
      <c r="AC14" s="94">
        <f ca="1">TblProd[[#This Row],[Platinum]]</f>
        <v>63825</v>
      </c>
      <c r="AD14" s="215"/>
      <c r="AE14" s="45">
        <f ca="1">TblExplore[[#This Row],[Land]]-TblExplore[[#This Row],[Land Bonus]]*20</f>
        <v>50</v>
      </c>
      <c r="AF14" s="94">
        <f ca="1">ROUND((0.6*TblExplore[[#This Row],[Land-DB]]^1.299 + IF(TblExplore[[#This Row],[Land-DB]]&lt;1520, (-0.001*(TblExplore[[#This Row],[Land-DB]]^2)+1.91*TblExplore[[#This Row],[Land-DB]]-593), 0))*(1+ tech_2_6*Techs!AC14 + tech_2_9*Techs!AF14 + tech_3_7*Techs!AN14 + Overview!$I$33),0)</f>
        <v>-403</v>
      </c>
      <c r="AG14" s="94">
        <f ca="1">_xlfn.FLOOR.MATH(TblExplore[[#This Row],[Land-DB]]/150)+3+tech_2_9_2*TblTech[[#This Row],[2-9]]+tech_3_7_2*TblTech[[#This Row],[3-7]]</f>
        <v>3</v>
      </c>
      <c r="AH14" s="94">
        <f ca="1">SUM(TblExplore[[#This Row],[Plains Explore]:[Water Explore]])*TblExplore[[#This Row],[Plat/acre]]</f>
        <v>0</v>
      </c>
      <c r="AI14" s="94">
        <f ca="1">SUM(TblExplore[[#This Row],[Plains Explore]:[Water Explore]])*TblExplore[[#This Row],[Draftees/acre]]</f>
        <v>0</v>
      </c>
      <c r="AJ14" s="45">
        <f ca="1">_xlfn.FLOOR.MATH(MIN(TblExplore[[#This Row],[Platinum]]/TblExplore[[#This Row],[Plat/acre]],TblExplore[[#This Row],[Draftees]]/TblExplore[[#This Row],[Draftees/acre]]))</f>
        <v>-159</v>
      </c>
    </row>
    <row r="15" spans="1:36" hidden="1" x14ac:dyDescent="0.2">
      <c r="A15" s="175">
        <f>TblRezone[[#This Row],[Hour]]</f>
        <v>12</v>
      </c>
      <c r="B15" s="214">
        <f ca="1">TblConstr[[#This Row],[Land]]</f>
        <v>50</v>
      </c>
      <c r="C15" s="215"/>
      <c r="D15" s="216">
        <f ca="1">TblConstr[[#This Row],[Plain]]</f>
        <v>0</v>
      </c>
      <c r="E15" s="182">
        <f ca="1">TblConstr[[#This Row],[Forest]]</f>
        <v>0</v>
      </c>
      <c r="F15" s="359">
        <f ca="1">TblConstr[[#This Row],[Mountain]]</f>
        <v>0</v>
      </c>
      <c r="G15" s="363">
        <f ca="1">TblConstr[[#This Row],[Hill]]</f>
        <v>0</v>
      </c>
      <c r="H15" s="367">
        <f ca="1">TblConstr[[#This Row],[Swamp]]</f>
        <v>0</v>
      </c>
      <c r="I15" s="185">
        <f ca="1">TblConstr[[#This Row],[Cavern]]</f>
        <v>0</v>
      </c>
      <c r="J15" s="186">
        <f ca="1">TblConstr[[#This Row],[Water]]</f>
        <v>0</v>
      </c>
      <c r="K15" s="210"/>
      <c r="L15" s="210"/>
      <c r="M15" s="219"/>
      <c r="N15" s="217">
        <f ca="1">TblMili[[#This Row],[Smithies]]</f>
        <v>0</v>
      </c>
      <c r="O15" s="217">
        <f ca="1">TblPop[[#This Row],[Employment]]</f>
        <v>1</v>
      </c>
      <c r="P15" s="217">
        <f ca="1">TblImps[[#This Row],[Population]]</f>
        <v>1</v>
      </c>
      <c r="Q15" s="175">
        <f ca="1">TblExplore[[#This Row],[Land]]</f>
        <v>50</v>
      </c>
      <c r="R15" s="175">
        <f>TblExplore[[#This Row],[Hour]]</f>
        <v>12</v>
      </c>
      <c r="S15" s="57"/>
      <c r="T15" s="94"/>
      <c r="AA15" s="159">
        <f ca="1">TblImps[[#This Row],[Real time]]</f>
        <v>46047.458333333307</v>
      </c>
      <c r="AB15" s="94">
        <f ca="1">TblMili[[#This Row],[Draftees]]</f>
        <v>207</v>
      </c>
      <c r="AC15" s="94">
        <f ca="1">TblProd[[#This Row],[Platinum]]</f>
        <v>65358</v>
      </c>
      <c r="AD15" s="215"/>
      <c r="AE15" s="45">
        <f ca="1">TblExplore[[#This Row],[Land]]-TblExplore[[#This Row],[Land Bonus]]*20</f>
        <v>50</v>
      </c>
      <c r="AF15" s="94">
        <f ca="1">ROUND((0.6*TblExplore[[#This Row],[Land-DB]]^1.299 + IF(TblExplore[[#This Row],[Land-DB]]&lt;1520, (-0.001*(TblExplore[[#This Row],[Land-DB]]^2)+1.91*TblExplore[[#This Row],[Land-DB]]-593), 0))*(1+ tech_2_6*Techs!AC15 + tech_2_9*Techs!AF15 + tech_3_7*Techs!AN15 + Overview!$I$33),0)</f>
        <v>-403</v>
      </c>
      <c r="AG15" s="94">
        <f ca="1">_xlfn.FLOOR.MATH(TblExplore[[#This Row],[Land-DB]]/150)+3+tech_2_9_2*TblTech[[#This Row],[2-9]]+tech_3_7_2*TblTech[[#This Row],[3-7]]</f>
        <v>3</v>
      </c>
      <c r="AH15" s="94">
        <f ca="1">SUM(TblExplore[[#This Row],[Plains Explore]:[Water Explore]])*TblExplore[[#This Row],[Plat/acre]]</f>
        <v>0</v>
      </c>
      <c r="AI15" s="94">
        <f ca="1">SUM(TblExplore[[#This Row],[Plains Explore]:[Water Explore]])*TblExplore[[#This Row],[Draftees/acre]]</f>
        <v>0</v>
      </c>
      <c r="AJ15" s="45">
        <f ca="1">_xlfn.FLOOR.MATH(MIN(TblExplore[[#This Row],[Platinum]]/TblExplore[[#This Row],[Plat/acre]],TblExplore[[#This Row],[Draftees]]/TblExplore[[#This Row],[Draftees/acre]]))</f>
        <v>-163</v>
      </c>
    </row>
    <row r="16" spans="1:36" x14ac:dyDescent="0.2">
      <c r="A16" s="175">
        <f>TblRezone[[#This Row],[Hour]]</f>
        <v>13</v>
      </c>
      <c r="B16" s="214">
        <f ca="1">TblConstr[[#This Row],[Land]]</f>
        <v>110</v>
      </c>
      <c r="C16" s="215"/>
      <c r="D16" s="216">
        <f ca="1">TblConstr[[#This Row],[Plain]]</f>
        <v>60</v>
      </c>
      <c r="E16" s="182">
        <f ca="1">TblConstr[[#This Row],[Forest]]</f>
        <v>0</v>
      </c>
      <c r="F16" s="359">
        <f ca="1">TblConstr[[#This Row],[Mountain]]</f>
        <v>0</v>
      </c>
      <c r="G16" s="363">
        <f ca="1">TblConstr[[#This Row],[Hill]]</f>
        <v>0</v>
      </c>
      <c r="H16" s="367">
        <f ca="1">TblConstr[[#This Row],[Swamp]]</f>
        <v>0</v>
      </c>
      <c r="I16" s="185">
        <f ca="1">TblConstr[[#This Row],[Cavern]]</f>
        <v>0</v>
      </c>
      <c r="J16" s="186">
        <f ca="1">TblConstr[[#This Row],[Water]]</f>
        <v>0</v>
      </c>
      <c r="K16" s="210"/>
      <c r="L16" s="220" t="s">
        <v>379</v>
      </c>
      <c r="M16" s="220"/>
      <c r="N16" s="217">
        <f ca="1">TblMili[[#This Row],[Smithies]]</f>
        <v>0</v>
      </c>
      <c r="O16" s="217">
        <f ca="1">TblPop[[#This Row],[Employment]]</f>
        <v>1</v>
      </c>
      <c r="P16" s="217">
        <f ca="1">TblImps[[#This Row],[Population]]</f>
        <v>0.73048327137546465</v>
      </c>
      <c r="Q16" s="175">
        <f ca="1">TblExplore[[#This Row],[Land]]</f>
        <v>110</v>
      </c>
      <c r="R16" s="175">
        <f>TblExplore[[#This Row],[Hour]]</f>
        <v>13</v>
      </c>
      <c r="S16" s="218"/>
      <c r="T16" s="179"/>
      <c r="U16" s="179"/>
      <c r="V16" s="179"/>
      <c r="W16" s="179"/>
      <c r="X16" s="179"/>
      <c r="Y16" s="179"/>
      <c r="Z16" s="179"/>
      <c r="AA16" s="159">
        <f ca="1">TblImps[[#This Row],[Real time]]</f>
        <v>46047.499999999971</v>
      </c>
      <c r="AB16" s="94">
        <f ca="1">TblMili[[#This Row],[Draftees]]</f>
        <v>213</v>
      </c>
      <c r="AC16" s="94">
        <f ca="1">TblProd[[#This Row],[Platinum]]</f>
        <v>66875</v>
      </c>
      <c r="AD16" s="215"/>
      <c r="AE16" s="45">
        <f ca="1">TblExplore[[#This Row],[Land]]-TblExplore[[#This Row],[Land Bonus]]*20</f>
        <v>110</v>
      </c>
      <c r="AF16" s="94">
        <f ca="1">ROUND((0.6*TblExplore[[#This Row],[Land-DB]]^1.299 + IF(TblExplore[[#This Row],[Land-DB]]&lt;1520, (-0.001*(TblExplore[[#This Row],[Land-DB]]^2)+1.91*TblExplore[[#This Row],[Land-DB]]-593), 0))*(1+ tech_2_6*Techs!AC16 + tech_2_9*Techs!AF16 + tech_3_7*Techs!AN16 + Overview!$I$33),0)</f>
        <v>-126</v>
      </c>
      <c r="AG16" s="94">
        <f ca="1">_xlfn.FLOOR.MATH(TblExplore[[#This Row],[Land-DB]]/150)+3+tech_2_9_2*TblTech[[#This Row],[2-9]]+tech_3_7_2*TblTech[[#This Row],[3-7]]</f>
        <v>3</v>
      </c>
      <c r="AH16" s="94">
        <f ca="1">SUM(TblExplore[[#This Row],[Plains Explore]:[Water Explore]])*TblExplore[[#This Row],[Plat/acre]]</f>
        <v>0</v>
      </c>
      <c r="AI16" s="94">
        <f ca="1">SUM(TblExplore[[#This Row],[Plains Explore]:[Water Explore]])*TblExplore[[#This Row],[Draftees/acre]]</f>
        <v>0</v>
      </c>
      <c r="AJ16" s="45">
        <f ca="1">_xlfn.FLOOR.MATH(MIN(TblExplore[[#This Row],[Platinum]]/TblExplore[[#This Row],[Plat/acre]],TblExplore[[#This Row],[Draftees]]/TblExplore[[#This Row],[Draftees/acre]]))</f>
        <v>-531</v>
      </c>
    </row>
    <row r="17" spans="1:36" hidden="1" x14ac:dyDescent="0.2">
      <c r="A17" s="175">
        <f>TblRezone[[#This Row],[Hour]]</f>
        <v>14</v>
      </c>
      <c r="B17" s="214">
        <f ca="1">TblConstr[[#This Row],[Land]]</f>
        <v>110</v>
      </c>
      <c r="C17" s="215"/>
      <c r="D17" s="216">
        <f ca="1">TblConstr[[#This Row],[Plain]]</f>
        <v>60</v>
      </c>
      <c r="E17" s="182">
        <f ca="1">TblConstr[[#This Row],[Forest]]</f>
        <v>0</v>
      </c>
      <c r="F17" s="359">
        <f ca="1">TblConstr[[#This Row],[Mountain]]</f>
        <v>0</v>
      </c>
      <c r="G17" s="363">
        <f ca="1">TblConstr[[#This Row],[Hill]]</f>
        <v>0</v>
      </c>
      <c r="H17" s="367">
        <f ca="1">TblConstr[[#This Row],[Swamp]]</f>
        <v>0</v>
      </c>
      <c r="I17" s="185">
        <f ca="1">TblConstr[[#This Row],[Cavern]]</f>
        <v>0</v>
      </c>
      <c r="J17" s="186">
        <f ca="1">TblConstr[[#This Row],[Water]]</f>
        <v>0</v>
      </c>
      <c r="K17" s="210"/>
      <c r="L17" s="221" t="s">
        <v>367</v>
      </c>
      <c r="M17" s="222"/>
      <c r="N17" s="217">
        <f ca="1">TblMili[[#This Row],[Smithies]]</f>
        <v>0</v>
      </c>
      <c r="O17" s="217">
        <f ca="1">TblPop[[#This Row],[Employment]]</f>
        <v>1</v>
      </c>
      <c r="P17" s="217">
        <f ca="1">TblImps[[#This Row],[Population]]</f>
        <v>0.74628252788104088</v>
      </c>
      <c r="Q17" s="175">
        <f ca="1">TblExplore[[#This Row],[Land]]</f>
        <v>110</v>
      </c>
      <c r="R17" s="175">
        <f>TblExplore[[#This Row],[Hour]]</f>
        <v>14</v>
      </c>
      <c r="S17" s="57"/>
      <c r="AA17" s="159">
        <f ca="1">TblImps[[#This Row],[Real time]]</f>
        <v>46047.541666666635</v>
      </c>
      <c r="AB17" s="94">
        <f ca="1">TblMili[[#This Row],[Draftees]]</f>
        <v>219</v>
      </c>
      <c r="AC17" s="94">
        <f ca="1">TblProd[[#This Row],[Platinum]]</f>
        <v>68422</v>
      </c>
      <c r="AD17" s="215"/>
      <c r="AE17" s="45">
        <f ca="1">TblExplore[[#This Row],[Land]]-TblExplore[[#This Row],[Land Bonus]]*20</f>
        <v>110</v>
      </c>
      <c r="AF17" s="94">
        <f ca="1">ROUND((0.6*TblExplore[[#This Row],[Land-DB]]^1.299 + IF(TblExplore[[#This Row],[Land-DB]]&lt;1520, (-0.001*(TblExplore[[#This Row],[Land-DB]]^2)+1.91*TblExplore[[#This Row],[Land-DB]]-593), 0))*(1+ tech_2_6*Techs!AC17 + tech_2_9*Techs!AF17 + tech_3_7*Techs!AN17 + Overview!$I$33),0)</f>
        <v>-126</v>
      </c>
      <c r="AG17" s="94">
        <f ca="1">_xlfn.FLOOR.MATH(TblExplore[[#This Row],[Land-DB]]/150)+3+tech_2_9_2*TblTech[[#This Row],[2-9]]+tech_3_7_2*TblTech[[#This Row],[3-7]]</f>
        <v>3</v>
      </c>
      <c r="AH17" s="94">
        <f ca="1">SUM(TblExplore[[#This Row],[Plains Explore]:[Water Explore]])*TblExplore[[#This Row],[Plat/acre]]</f>
        <v>0</v>
      </c>
      <c r="AI17" s="94">
        <f ca="1">SUM(TblExplore[[#This Row],[Plains Explore]:[Water Explore]])*TblExplore[[#This Row],[Draftees/acre]]</f>
        <v>0</v>
      </c>
      <c r="AJ17" s="45">
        <f ca="1">_xlfn.FLOOR.MATH(MIN(TblExplore[[#This Row],[Platinum]]/TblExplore[[#This Row],[Plat/acre]],TblExplore[[#This Row],[Draftees]]/TblExplore[[#This Row],[Draftees/acre]]))</f>
        <v>-544</v>
      </c>
    </row>
    <row r="18" spans="1:36" hidden="1" x14ac:dyDescent="0.2">
      <c r="A18" s="175">
        <f>TblRezone[[#This Row],[Hour]]</f>
        <v>15</v>
      </c>
      <c r="B18" s="214">
        <f ca="1">TblConstr[[#This Row],[Land]]</f>
        <v>110</v>
      </c>
      <c r="C18" s="215"/>
      <c r="D18" s="216">
        <f ca="1">TblConstr[[#This Row],[Plain]]</f>
        <v>60</v>
      </c>
      <c r="E18" s="182">
        <f ca="1">TblConstr[[#This Row],[Forest]]</f>
        <v>0</v>
      </c>
      <c r="F18" s="359">
        <f ca="1">TblConstr[[#This Row],[Mountain]]</f>
        <v>0</v>
      </c>
      <c r="G18" s="363">
        <f ca="1">TblConstr[[#This Row],[Hill]]</f>
        <v>0</v>
      </c>
      <c r="H18" s="367">
        <f ca="1">TblConstr[[#This Row],[Swamp]]</f>
        <v>0</v>
      </c>
      <c r="I18" s="185">
        <f ca="1">TblConstr[[#This Row],[Cavern]]</f>
        <v>0</v>
      </c>
      <c r="J18" s="186">
        <f ca="1">TblConstr[[#This Row],[Water]]</f>
        <v>0</v>
      </c>
      <c r="K18" s="210"/>
      <c r="L18" s="221" t="s">
        <v>366</v>
      </c>
      <c r="M18" s="222"/>
      <c r="N18" s="217">
        <f ca="1">TblMili[[#This Row],[Smithies]]</f>
        <v>0</v>
      </c>
      <c r="O18" s="217">
        <f ca="1">TblPop[[#This Row],[Employment]]</f>
        <v>1</v>
      </c>
      <c r="P18" s="217">
        <f ca="1">TblImps[[#This Row],[Population]]</f>
        <v>0.76208178438661711</v>
      </c>
      <c r="Q18" s="175">
        <f ca="1">TblExplore[[#This Row],[Land]]</f>
        <v>110</v>
      </c>
      <c r="R18" s="175">
        <f>TblExplore[[#This Row],[Hour]]</f>
        <v>15</v>
      </c>
      <c r="S18" s="57"/>
      <c r="AA18" s="159">
        <f ca="1">TblImps[[#This Row],[Real time]]</f>
        <v>46047.583333333299</v>
      </c>
      <c r="AB18" s="94">
        <f ca="1">TblMili[[#This Row],[Draftees]]</f>
        <v>225</v>
      </c>
      <c r="AC18" s="94">
        <f ca="1">TblProd[[#This Row],[Platinum]]</f>
        <v>69998</v>
      </c>
      <c r="AD18" s="215"/>
      <c r="AE18" s="45">
        <f ca="1">TblExplore[[#This Row],[Land]]-TblExplore[[#This Row],[Land Bonus]]*20</f>
        <v>110</v>
      </c>
      <c r="AF18" s="94">
        <f ca="1">ROUND((0.6*TblExplore[[#This Row],[Land-DB]]^1.299 + IF(TblExplore[[#This Row],[Land-DB]]&lt;1520, (-0.001*(TblExplore[[#This Row],[Land-DB]]^2)+1.91*TblExplore[[#This Row],[Land-DB]]-593), 0))*(1+ tech_2_6*Techs!AC18 + tech_2_9*Techs!AF18 + tech_3_7*Techs!AN18 + Overview!$I$33),0)</f>
        <v>-126</v>
      </c>
      <c r="AG18" s="94">
        <f ca="1">_xlfn.FLOOR.MATH(TblExplore[[#This Row],[Land-DB]]/150)+3+tech_2_9_2*TblTech[[#This Row],[2-9]]+tech_3_7_2*TblTech[[#This Row],[3-7]]</f>
        <v>3</v>
      </c>
      <c r="AH18" s="94">
        <f ca="1">SUM(TblExplore[[#This Row],[Plains Explore]:[Water Explore]])*TblExplore[[#This Row],[Plat/acre]]</f>
        <v>0</v>
      </c>
      <c r="AI18" s="94">
        <f ca="1">SUM(TblExplore[[#This Row],[Plains Explore]:[Water Explore]])*TblExplore[[#This Row],[Draftees/acre]]</f>
        <v>0</v>
      </c>
      <c r="AJ18" s="45">
        <f ca="1">_xlfn.FLOOR.MATH(MIN(TblExplore[[#This Row],[Platinum]]/TblExplore[[#This Row],[Plat/acre]],TblExplore[[#This Row],[Draftees]]/TblExplore[[#This Row],[Draftees/acre]]))</f>
        <v>-556</v>
      </c>
    </row>
    <row r="19" spans="1:36" hidden="1" x14ac:dyDescent="0.2">
      <c r="A19" s="175">
        <f>TblRezone[[#This Row],[Hour]]</f>
        <v>16</v>
      </c>
      <c r="B19" s="214">
        <f ca="1">TblConstr[[#This Row],[Land]]</f>
        <v>110</v>
      </c>
      <c r="C19" s="215"/>
      <c r="D19" s="216">
        <f ca="1">TblConstr[[#This Row],[Plain]]</f>
        <v>60</v>
      </c>
      <c r="E19" s="182">
        <f ca="1">TblConstr[[#This Row],[Forest]]</f>
        <v>0</v>
      </c>
      <c r="F19" s="359">
        <f ca="1">TblConstr[[#This Row],[Mountain]]</f>
        <v>0</v>
      </c>
      <c r="G19" s="363">
        <f ca="1">TblConstr[[#This Row],[Hill]]</f>
        <v>0</v>
      </c>
      <c r="H19" s="367">
        <f ca="1">TblConstr[[#This Row],[Swamp]]</f>
        <v>0</v>
      </c>
      <c r="I19" s="185">
        <f ca="1">TblConstr[[#This Row],[Cavern]]</f>
        <v>0</v>
      </c>
      <c r="J19" s="186">
        <f ca="1">TblConstr[[#This Row],[Water]]</f>
        <v>0</v>
      </c>
      <c r="K19" s="210"/>
      <c r="L19" s="221" t="s">
        <v>364</v>
      </c>
      <c r="M19" s="222"/>
      <c r="N19" s="217">
        <f ca="1">TblMili[[#This Row],[Smithies]]</f>
        <v>0</v>
      </c>
      <c r="O19" s="217">
        <f ca="1">TblPop[[#This Row],[Employment]]</f>
        <v>1</v>
      </c>
      <c r="P19" s="217">
        <f ca="1">TblImps[[#This Row],[Population]]</f>
        <v>0.77881040892193309</v>
      </c>
      <c r="Q19" s="175">
        <f ca="1">TblExplore[[#This Row],[Land]]</f>
        <v>110</v>
      </c>
      <c r="R19" s="175">
        <f>TblExplore[[#This Row],[Hour]]</f>
        <v>16</v>
      </c>
      <c r="S19" s="57"/>
      <c r="T19" s="94"/>
      <c r="AA19" s="159">
        <f ca="1">TblImps[[#This Row],[Real time]]</f>
        <v>46047.624999999964</v>
      </c>
      <c r="AB19" s="94">
        <f ca="1">TblMili[[#This Row],[Draftees]]</f>
        <v>231</v>
      </c>
      <c r="AC19" s="94">
        <f ca="1">TblProd[[#This Row],[Platinum]]</f>
        <v>71604</v>
      </c>
      <c r="AD19" s="215"/>
      <c r="AE19" s="45">
        <f ca="1">TblExplore[[#This Row],[Land]]-TblExplore[[#This Row],[Land Bonus]]*20</f>
        <v>110</v>
      </c>
      <c r="AF19" s="94">
        <f ca="1">ROUND((0.6*TblExplore[[#This Row],[Land-DB]]^1.299 + IF(TblExplore[[#This Row],[Land-DB]]&lt;1520, (-0.001*(TblExplore[[#This Row],[Land-DB]]^2)+1.91*TblExplore[[#This Row],[Land-DB]]-593), 0))*(1+ tech_2_6*Techs!AC19 + tech_2_9*Techs!AF19 + tech_3_7*Techs!AN19 + Overview!$I$33),0)</f>
        <v>-126</v>
      </c>
      <c r="AG19" s="94">
        <f ca="1">_xlfn.FLOOR.MATH(TblExplore[[#This Row],[Land-DB]]/150)+3+tech_2_9_2*TblTech[[#This Row],[2-9]]+tech_3_7_2*TblTech[[#This Row],[3-7]]</f>
        <v>3</v>
      </c>
      <c r="AH19" s="94">
        <f ca="1">SUM(TblExplore[[#This Row],[Plains Explore]:[Water Explore]])*TblExplore[[#This Row],[Plat/acre]]</f>
        <v>0</v>
      </c>
      <c r="AI19" s="94">
        <f ca="1">SUM(TblExplore[[#This Row],[Plains Explore]:[Water Explore]])*TblExplore[[#This Row],[Draftees/acre]]</f>
        <v>0</v>
      </c>
      <c r="AJ19" s="45">
        <f ca="1">_xlfn.FLOOR.MATH(MIN(TblExplore[[#This Row],[Platinum]]/TblExplore[[#This Row],[Plat/acre]],TblExplore[[#This Row],[Draftees]]/TblExplore[[#This Row],[Draftees/acre]]))</f>
        <v>-569</v>
      </c>
    </row>
    <row r="20" spans="1:36" hidden="1" x14ac:dyDescent="0.2">
      <c r="A20" s="175">
        <f>TblRezone[[#This Row],[Hour]]</f>
        <v>17</v>
      </c>
      <c r="B20" s="214">
        <f ca="1">TblConstr[[#This Row],[Land]]</f>
        <v>110</v>
      </c>
      <c r="C20" s="215"/>
      <c r="D20" s="216">
        <f ca="1">TblConstr[[#This Row],[Plain]]</f>
        <v>60</v>
      </c>
      <c r="E20" s="182">
        <f ca="1">TblConstr[[#This Row],[Forest]]</f>
        <v>0</v>
      </c>
      <c r="F20" s="359">
        <f ca="1">TblConstr[[#This Row],[Mountain]]</f>
        <v>0</v>
      </c>
      <c r="G20" s="363">
        <f ca="1">TblConstr[[#This Row],[Hill]]</f>
        <v>0</v>
      </c>
      <c r="H20" s="367">
        <f ca="1">TblConstr[[#This Row],[Swamp]]</f>
        <v>0</v>
      </c>
      <c r="I20" s="185">
        <f ca="1">TblConstr[[#This Row],[Cavern]]</f>
        <v>0</v>
      </c>
      <c r="J20" s="186">
        <f ca="1">TblConstr[[#This Row],[Water]]</f>
        <v>0</v>
      </c>
      <c r="K20" s="210"/>
      <c r="L20" s="221" t="s">
        <v>365</v>
      </c>
      <c r="M20" s="222"/>
      <c r="N20" s="217">
        <f ca="1">TblMili[[#This Row],[Smithies]]</f>
        <v>0</v>
      </c>
      <c r="O20" s="217">
        <f ca="1">TblPop[[#This Row],[Employment]]</f>
        <v>1</v>
      </c>
      <c r="P20" s="217">
        <f ca="1">TblImps[[#This Row],[Population]]</f>
        <v>0.79553903345724908</v>
      </c>
      <c r="Q20" s="175">
        <f ca="1">TblExplore[[#This Row],[Land]]</f>
        <v>110</v>
      </c>
      <c r="R20" s="175">
        <f>TblExplore[[#This Row],[Hour]]</f>
        <v>17</v>
      </c>
      <c r="S20" s="57"/>
      <c r="T20" s="94"/>
      <c r="AA20" s="159">
        <f ca="1">TblImps[[#This Row],[Real time]]</f>
        <v>46047.666666666628</v>
      </c>
      <c r="AB20" s="94">
        <f ca="1">TblMili[[#This Row],[Draftees]]</f>
        <v>237</v>
      </c>
      <c r="AC20" s="94">
        <f ca="1">TblProd[[#This Row],[Platinum]]</f>
        <v>73242</v>
      </c>
      <c r="AD20" s="215"/>
      <c r="AE20" s="45">
        <f ca="1">TblExplore[[#This Row],[Land]]-TblExplore[[#This Row],[Land Bonus]]*20</f>
        <v>110</v>
      </c>
      <c r="AF20" s="94">
        <f ca="1">ROUND((0.6*TblExplore[[#This Row],[Land-DB]]^1.299 + IF(TblExplore[[#This Row],[Land-DB]]&lt;1520, (-0.001*(TblExplore[[#This Row],[Land-DB]]^2)+1.91*TblExplore[[#This Row],[Land-DB]]-593), 0))*(1+ tech_2_6*Techs!AC20 + tech_2_9*Techs!AF20 + tech_3_7*Techs!AN20 + Overview!$I$33),0)</f>
        <v>-126</v>
      </c>
      <c r="AG20" s="94">
        <f ca="1">_xlfn.FLOOR.MATH(TblExplore[[#This Row],[Land-DB]]/150)+3+tech_2_9_2*TblTech[[#This Row],[2-9]]+tech_3_7_2*TblTech[[#This Row],[3-7]]</f>
        <v>3</v>
      </c>
      <c r="AH20" s="94">
        <f ca="1">SUM(TblExplore[[#This Row],[Plains Explore]:[Water Explore]])*TblExplore[[#This Row],[Plat/acre]]</f>
        <v>0</v>
      </c>
      <c r="AI20" s="94">
        <f ca="1">SUM(TblExplore[[#This Row],[Plains Explore]:[Water Explore]])*TblExplore[[#This Row],[Draftees/acre]]</f>
        <v>0</v>
      </c>
      <c r="AJ20" s="45">
        <f ca="1">_xlfn.FLOOR.MATH(MIN(TblExplore[[#This Row],[Platinum]]/TblExplore[[#This Row],[Plat/acre]],TblExplore[[#This Row],[Draftees]]/TblExplore[[#This Row],[Draftees/acre]]))</f>
        <v>-582</v>
      </c>
    </row>
    <row r="21" spans="1:36" hidden="1" x14ac:dyDescent="0.2">
      <c r="A21" s="175">
        <f>TblRezone[[#This Row],[Hour]]</f>
        <v>18</v>
      </c>
      <c r="B21" s="214">
        <f ca="1">TblConstr[[#This Row],[Land]]</f>
        <v>110</v>
      </c>
      <c r="C21" s="215"/>
      <c r="D21" s="216">
        <f ca="1">TblConstr[[#This Row],[Plain]]</f>
        <v>60</v>
      </c>
      <c r="E21" s="182">
        <f ca="1">TblConstr[[#This Row],[Forest]]</f>
        <v>0</v>
      </c>
      <c r="F21" s="359">
        <f ca="1">TblConstr[[#This Row],[Mountain]]</f>
        <v>0</v>
      </c>
      <c r="G21" s="363">
        <f ca="1">TblConstr[[#This Row],[Hill]]</f>
        <v>0</v>
      </c>
      <c r="H21" s="367">
        <f ca="1">TblConstr[[#This Row],[Swamp]]</f>
        <v>0</v>
      </c>
      <c r="I21" s="185">
        <f ca="1">TblConstr[[#This Row],[Cavern]]</f>
        <v>0</v>
      </c>
      <c r="J21" s="186">
        <f ca="1">TblConstr[[#This Row],[Water]]</f>
        <v>0</v>
      </c>
      <c r="K21" s="210"/>
      <c r="L21" s="210"/>
      <c r="M21" s="223"/>
      <c r="N21" s="217">
        <f ca="1">TblMili[[#This Row],[Smithies]]</f>
        <v>0</v>
      </c>
      <c r="O21" s="217">
        <f ca="1">TblPop[[#This Row],[Employment]]</f>
        <v>1</v>
      </c>
      <c r="P21" s="217">
        <f ca="1">TblImps[[#This Row],[Population]]</f>
        <v>0.81226765799256506</v>
      </c>
      <c r="Q21" s="175">
        <f ca="1">TblExplore[[#This Row],[Land]]</f>
        <v>110</v>
      </c>
      <c r="R21" s="175">
        <f>TblExplore[[#This Row],[Hour]]</f>
        <v>18</v>
      </c>
      <c r="S21" s="57"/>
      <c r="AA21" s="159">
        <f ca="1">TblImps[[#This Row],[Real time]]</f>
        <v>46047.708333333292</v>
      </c>
      <c r="AB21" s="94">
        <f ca="1">TblMili[[#This Row],[Draftees]]</f>
        <v>243</v>
      </c>
      <c r="AC21" s="94">
        <f ca="1">TblProd[[#This Row],[Platinum]]</f>
        <v>74913</v>
      </c>
      <c r="AD21" s="215"/>
      <c r="AE21" s="45">
        <f ca="1">TblExplore[[#This Row],[Land]]-TblExplore[[#This Row],[Land Bonus]]*20</f>
        <v>110</v>
      </c>
      <c r="AF21" s="94">
        <f ca="1">ROUND((0.6*TblExplore[[#This Row],[Land-DB]]^1.299 + IF(TblExplore[[#This Row],[Land-DB]]&lt;1520, (-0.001*(TblExplore[[#This Row],[Land-DB]]^2)+1.91*TblExplore[[#This Row],[Land-DB]]-593), 0))*(1+ tech_2_6*Techs!AC21 + tech_2_9*Techs!AF21 + tech_3_7*Techs!AN21 + Overview!$I$33),0)</f>
        <v>-126</v>
      </c>
      <c r="AG21" s="94">
        <f ca="1">_xlfn.FLOOR.MATH(TblExplore[[#This Row],[Land-DB]]/150)+3+tech_2_9_2*TblTech[[#This Row],[2-9]]+tech_3_7_2*TblTech[[#This Row],[3-7]]</f>
        <v>3</v>
      </c>
      <c r="AH21" s="94">
        <f ca="1">SUM(TblExplore[[#This Row],[Plains Explore]:[Water Explore]])*TblExplore[[#This Row],[Plat/acre]]</f>
        <v>0</v>
      </c>
      <c r="AI21" s="94">
        <f ca="1">SUM(TblExplore[[#This Row],[Plains Explore]:[Water Explore]])*TblExplore[[#This Row],[Draftees/acre]]</f>
        <v>0</v>
      </c>
      <c r="AJ21" s="45">
        <f ca="1">_xlfn.FLOOR.MATH(MIN(TblExplore[[#This Row],[Platinum]]/TblExplore[[#This Row],[Plat/acre]],TblExplore[[#This Row],[Draftees]]/TblExplore[[#This Row],[Draftees/acre]]))</f>
        <v>-595</v>
      </c>
    </row>
    <row r="22" spans="1:36" hidden="1" x14ac:dyDescent="0.2">
      <c r="A22" s="175">
        <f>TblRezone[[#This Row],[Hour]]</f>
        <v>19</v>
      </c>
      <c r="B22" s="214">
        <f ca="1">TblConstr[[#This Row],[Land]]</f>
        <v>110</v>
      </c>
      <c r="C22" s="215"/>
      <c r="D22" s="216">
        <f ca="1">TblConstr[[#This Row],[Plain]]</f>
        <v>60</v>
      </c>
      <c r="E22" s="182">
        <f ca="1">TblConstr[[#This Row],[Forest]]</f>
        <v>0</v>
      </c>
      <c r="F22" s="359">
        <f ca="1">TblConstr[[#This Row],[Mountain]]</f>
        <v>0</v>
      </c>
      <c r="G22" s="363">
        <f ca="1">TblConstr[[#This Row],[Hill]]</f>
        <v>0</v>
      </c>
      <c r="H22" s="367">
        <f ca="1">TblConstr[[#This Row],[Swamp]]</f>
        <v>0</v>
      </c>
      <c r="I22" s="185">
        <f ca="1">TblConstr[[#This Row],[Cavern]]</f>
        <v>0</v>
      </c>
      <c r="J22" s="186">
        <f ca="1">TblConstr[[#This Row],[Water]]</f>
        <v>0</v>
      </c>
      <c r="K22" s="210"/>
      <c r="L22" s="210"/>
      <c r="M22" s="223"/>
      <c r="N22" s="217">
        <f ca="1">TblMili[[#This Row],[Smithies]]</f>
        <v>0</v>
      </c>
      <c r="O22" s="217">
        <f ca="1">TblPop[[#This Row],[Employment]]</f>
        <v>1</v>
      </c>
      <c r="P22" s="217">
        <f ca="1">TblImps[[#This Row],[Population]]</f>
        <v>0.8299256505576208</v>
      </c>
      <c r="Q22" s="175">
        <f ca="1">TblExplore[[#This Row],[Land]]</f>
        <v>110</v>
      </c>
      <c r="R22" s="175">
        <f>TblExplore[[#This Row],[Hour]]</f>
        <v>19</v>
      </c>
      <c r="S22" s="57"/>
      <c r="AA22" s="159">
        <f ca="1">TblImps[[#This Row],[Real time]]</f>
        <v>46047.749999999956</v>
      </c>
      <c r="AB22" s="94">
        <f ca="1">TblMili[[#This Row],[Draftees]]</f>
        <v>249</v>
      </c>
      <c r="AC22" s="94">
        <f ca="1">TblProd[[#This Row],[Platinum]]</f>
        <v>76616</v>
      </c>
      <c r="AD22" s="215"/>
      <c r="AE22" s="45">
        <f ca="1">TblExplore[[#This Row],[Land]]-TblExplore[[#This Row],[Land Bonus]]*20</f>
        <v>110</v>
      </c>
      <c r="AF22" s="94">
        <f ca="1">ROUND((0.6*TblExplore[[#This Row],[Land-DB]]^1.299 + IF(TblExplore[[#This Row],[Land-DB]]&lt;1520, (-0.001*(TblExplore[[#This Row],[Land-DB]]^2)+1.91*TblExplore[[#This Row],[Land-DB]]-593), 0))*(1+ tech_2_6*Techs!AC22 + tech_2_9*Techs!AF22 + tech_3_7*Techs!AN22 + Overview!$I$33),0)</f>
        <v>-126</v>
      </c>
      <c r="AG22" s="94">
        <f ca="1">_xlfn.FLOOR.MATH(TblExplore[[#This Row],[Land-DB]]/150)+3+tech_2_9_2*TblTech[[#This Row],[2-9]]+tech_3_7_2*TblTech[[#This Row],[3-7]]</f>
        <v>3</v>
      </c>
      <c r="AH22" s="94">
        <f ca="1">SUM(TblExplore[[#This Row],[Plains Explore]:[Water Explore]])*TblExplore[[#This Row],[Plat/acre]]</f>
        <v>0</v>
      </c>
      <c r="AI22" s="94">
        <f ca="1">SUM(TblExplore[[#This Row],[Plains Explore]:[Water Explore]])*TblExplore[[#This Row],[Draftees/acre]]</f>
        <v>0</v>
      </c>
      <c r="AJ22" s="45">
        <f ca="1">_xlfn.FLOOR.MATH(MIN(TblExplore[[#This Row],[Platinum]]/TblExplore[[#This Row],[Plat/acre]],TblExplore[[#This Row],[Draftees]]/TblExplore[[#This Row],[Draftees/acre]]))</f>
        <v>-609</v>
      </c>
    </row>
    <row r="23" spans="1:36" hidden="1" x14ac:dyDescent="0.2">
      <c r="A23" s="175">
        <f>TblRezone[[#This Row],[Hour]]</f>
        <v>20</v>
      </c>
      <c r="B23" s="214">
        <f ca="1">TblConstr[[#This Row],[Land]]</f>
        <v>110</v>
      </c>
      <c r="C23" s="215"/>
      <c r="D23" s="216">
        <f ca="1">TblConstr[[#This Row],[Plain]]</f>
        <v>60</v>
      </c>
      <c r="E23" s="182">
        <f ca="1">TblConstr[[#This Row],[Forest]]</f>
        <v>0</v>
      </c>
      <c r="F23" s="359">
        <f ca="1">TblConstr[[#This Row],[Mountain]]</f>
        <v>0</v>
      </c>
      <c r="G23" s="363">
        <f ca="1">TblConstr[[#This Row],[Hill]]</f>
        <v>0</v>
      </c>
      <c r="H23" s="367">
        <f ca="1">TblConstr[[#This Row],[Swamp]]</f>
        <v>0</v>
      </c>
      <c r="I23" s="185">
        <f ca="1">TblConstr[[#This Row],[Cavern]]</f>
        <v>0</v>
      </c>
      <c r="J23" s="186">
        <f ca="1">TblConstr[[#This Row],[Water]]</f>
        <v>0</v>
      </c>
      <c r="K23" s="210"/>
      <c r="L23" s="210"/>
      <c r="M23" s="223"/>
      <c r="N23" s="217">
        <f ca="1">TblMili[[#This Row],[Smithies]]</f>
        <v>0</v>
      </c>
      <c r="O23" s="217">
        <f ca="1">TblPop[[#This Row],[Employment]]</f>
        <v>1</v>
      </c>
      <c r="P23" s="217">
        <f ca="1">TblImps[[#This Row],[Population]]</f>
        <v>0.84758364312267653</v>
      </c>
      <c r="Q23" s="175">
        <f ca="1">TblExplore[[#This Row],[Land]]</f>
        <v>110</v>
      </c>
      <c r="R23" s="175">
        <f>TblExplore[[#This Row],[Hour]]</f>
        <v>20</v>
      </c>
      <c r="S23" s="57"/>
      <c r="AA23" s="159">
        <f ca="1">TblImps[[#This Row],[Real time]]</f>
        <v>46047.791666666621</v>
      </c>
      <c r="AB23" s="94">
        <f ca="1">TblMili[[#This Row],[Draftees]]</f>
        <v>255</v>
      </c>
      <c r="AC23" s="94">
        <f ca="1">TblProd[[#This Row],[Platinum]]</f>
        <v>78354</v>
      </c>
      <c r="AD23" s="215"/>
      <c r="AE23" s="45">
        <f ca="1">TblExplore[[#This Row],[Land]]-TblExplore[[#This Row],[Land Bonus]]*20</f>
        <v>110</v>
      </c>
      <c r="AF23" s="94">
        <f ca="1">ROUND((0.6*TblExplore[[#This Row],[Land-DB]]^1.299 + IF(TblExplore[[#This Row],[Land-DB]]&lt;1520, (-0.001*(TblExplore[[#This Row],[Land-DB]]^2)+1.91*TblExplore[[#This Row],[Land-DB]]-593), 0))*(1+ tech_2_6*Techs!AC23 + tech_2_9*Techs!AF23 + tech_3_7*Techs!AN23 + Overview!$I$33),0)</f>
        <v>-126</v>
      </c>
      <c r="AG23" s="94">
        <f ca="1">_xlfn.FLOOR.MATH(TblExplore[[#This Row],[Land-DB]]/150)+3+tech_2_9_2*TblTech[[#This Row],[2-9]]+tech_3_7_2*TblTech[[#This Row],[3-7]]</f>
        <v>3</v>
      </c>
      <c r="AH23" s="94">
        <f ca="1">SUM(TblExplore[[#This Row],[Plains Explore]:[Water Explore]])*TblExplore[[#This Row],[Plat/acre]]</f>
        <v>0</v>
      </c>
      <c r="AI23" s="94">
        <f ca="1">SUM(TblExplore[[#This Row],[Plains Explore]:[Water Explore]])*TblExplore[[#This Row],[Draftees/acre]]</f>
        <v>0</v>
      </c>
      <c r="AJ23" s="45">
        <f ca="1">_xlfn.FLOOR.MATH(MIN(TblExplore[[#This Row],[Platinum]]/TblExplore[[#This Row],[Plat/acre]],TblExplore[[#This Row],[Draftees]]/TblExplore[[#This Row],[Draftees/acre]]))</f>
        <v>-622</v>
      </c>
    </row>
    <row r="24" spans="1:36" hidden="1" x14ac:dyDescent="0.2">
      <c r="A24" s="175">
        <f>TblRezone[[#This Row],[Hour]]</f>
        <v>21</v>
      </c>
      <c r="B24" s="214">
        <f ca="1">TblConstr[[#This Row],[Land]]</f>
        <v>110</v>
      </c>
      <c r="C24" s="215"/>
      <c r="D24" s="216">
        <f ca="1">TblConstr[[#This Row],[Plain]]</f>
        <v>60</v>
      </c>
      <c r="E24" s="182">
        <f ca="1">TblConstr[[#This Row],[Forest]]</f>
        <v>0</v>
      </c>
      <c r="F24" s="359">
        <f ca="1">TblConstr[[#This Row],[Mountain]]</f>
        <v>0</v>
      </c>
      <c r="G24" s="363">
        <f ca="1">TblConstr[[#This Row],[Hill]]</f>
        <v>0</v>
      </c>
      <c r="H24" s="367">
        <f ca="1">TblConstr[[#This Row],[Swamp]]</f>
        <v>0</v>
      </c>
      <c r="I24" s="185">
        <f ca="1">TblConstr[[#This Row],[Cavern]]</f>
        <v>0</v>
      </c>
      <c r="J24" s="186">
        <f ca="1">TblConstr[[#This Row],[Water]]</f>
        <v>0</v>
      </c>
      <c r="K24" s="210"/>
      <c r="L24" s="210"/>
      <c r="M24" s="210"/>
      <c r="N24" s="217">
        <f ca="1">TblMili[[#This Row],[Smithies]]</f>
        <v>0</v>
      </c>
      <c r="O24" s="217">
        <f ca="1">TblPop[[#This Row],[Employment]]</f>
        <v>1</v>
      </c>
      <c r="P24" s="217">
        <f ca="1">TblImps[[#This Row],[Population]]</f>
        <v>0.86617100371747213</v>
      </c>
      <c r="Q24" s="175">
        <f ca="1">TblExplore[[#This Row],[Land]]</f>
        <v>110</v>
      </c>
      <c r="R24" s="214">
        <f>TblExplore[[#This Row],[Hour]]</f>
        <v>21</v>
      </c>
      <c r="S24" s="57"/>
      <c r="AA24" s="159">
        <f ca="1">TblImps[[#This Row],[Real time]]</f>
        <v>46047.833333333285</v>
      </c>
      <c r="AB24" s="94">
        <f ca="1">TblMili[[#This Row],[Draftees]]</f>
        <v>262</v>
      </c>
      <c r="AC24" s="94">
        <f ca="1">TblProd[[#This Row],[Platinum]]</f>
        <v>80127</v>
      </c>
      <c r="AD24" s="215"/>
      <c r="AE24" s="45">
        <f ca="1">TblExplore[[#This Row],[Land]]-TblExplore[[#This Row],[Land Bonus]]*20</f>
        <v>110</v>
      </c>
      <c r="AF24" s="94">
        <f ca="1">ROUND((0.6*TblExplore[[#This Row],[Land-DB]]^1.299 + IF(TblExplore[[#This Row],[Land-DB]]&lt;1520, (-0.001*(TblExplore[[#This Row],[Land-DB]]^2)+1.91*TblExplore[[#This Row],[Land-DB]]-593), 0))*(1+ tech_2_6*Techs!AC24 + tech_2_9*Techs!AF24 + tech_3_7*Techs!AN24 + Overview!$I$33),0)</f>
        <v>-126</v>
      </c>
      <c r="AG24" s="94">
        <f ca="1">_xlfn.FLOOR.MATH(TblExplore[[#This Row],[Land-DB]]/150)+3+tech_2_9_2*TblTech[[#This Row],[2-9]]+tech_3_7_2*TblTech[[#This Row],[3-7]]</f>
        <v>3</v>
      </c>
      <c r="AH24" s="94">
        <f ca="1">SUM(TblExplore[[#This Row],[Plains Explore]:[Water Explore]])*TblExplore[[#This Row],[Plat/acre]]</f>
        <v>0</v>
      </c>
      <c r="AI24" s="94">
        <f ca="1">SUM(TblExplore[[#This Row],[Plains Explore]:[Water Explore]])*TblExplore[[#This Row],[Draftees/acre]]</f>
        <v>0</v>
      </c>
      <c r="AJ24" s="45">
        <f ca="1">_xlfn.FLOOR.MATH(MIN(TblExplore[[#This Row],[Platinum]]/TblExplore[[#This Row],[Plat/acre]],TblExplore[[#This Row],[Draftees]]/TblExplore[[#This Row],[Draftees/acre]]))</f>
        <v>-636</v>
      </c>
    </row>
    <row r="25" spans="1:36" hidden="1" x14ac:dyDescent="0.2">
      <c r="A25" s="175">
        <f>TblRezone[[#This Row],[Hour]]</f>
        <v>22</v>
      </c>
      <c r="B25" s="214">
        <f ca="1">TblConstr[[#This Row],[Land]]</f>
        <v>110</v>
      </c>
      <c r="C25" s="215"/>
      <c r="D25" s="216">
        <f ca="1">TblConstr[[#This Row],[Plain]]</f>
        <v>60</v>
      </c>
      <c r="E25" s="182">
        <f ca="1">TblConstr[[#This Row],[Forest]]</f>
        <v>0</v>
      </c>
      <c r="F25" s="359">
        <f ca="1">TblConstr[[#This Row],[Mountain]]</f>
        <v>0</v>
      </c>
      <c r="G25" s="363">
        <f ca="1">TblConstr[[#This Row],[Hill]]</f>
        <v>0</v>
      </c>
      <c r="H25" s="367">
        <f ca="1">TblConstr[[#This Row],[Swamp]]</f>
        <v>0</v>
      </c>
      <c r="I25" s="185">
        <f ca="1">TblConstr[[#This Row],[Cavern]]</f>
        <v>0</v>
      </c>
      <c r="J25" s="186">
        <f ca="1">TblConstr[[#This Row],[Water]]</f>
        <v>0</v>
      </c>
      <c r="K25" s="210"/>
      <c r="L25" s="224" t="s">
        <v>380</v>
      </c>
      <c r="M25" s="224"/>
      <c r="N25" s="217">
        <f ca="1">TblMili[[#This Row],[Smithies]]</f>
        <v>0</v>
      </c>
      <c r="O25" s="217">
        <f ca="1">TblPop[[#This Row],[Employment]]</f>
        <v>1</v>
      </c>
      <c r="P25" s="217">
        <f ca="1">TblImps[[#This Row],[Population]]</f>
        <v>0.88475836431226762</v>
      </c>
      <c r="Q25" s="175">
        <f ca="1">TblExplore[[#This Row],[Land]]</f>
        <v>110</v>
      </c>
      <c r="R25" s="214">
        <f>TblExplore[[#This Row],[Hour]]</f>
        <v>22</v>
      </c>
      <c r="S25" s="57"/>
      <c r="AA25" s="159">
        <f ca="1">TblImps[[#This Row],[Real time]]</f>
        <v>46047.874999999949</v>
      </c>
      <c r="AB25" s="94">
        <f ca="1">TblMili[[#This Row],[Draftees]]</f>
        <v>269</v>
      </c>
      <c r="AC25" s="94">
        <f ca="1">TblProd[[#This Row],[Platinum]]</f>
        <v>81936</v>
      </c>
      <c r="AD25" s="215"/>
      <c r="AE25" s="45">
        <f ca="1">TblExplore[[#This Row],[Land]]-TblExplore[[#This Row],[Land Bonus]]*20</f>
        <v>110</v>
      </c>
      <c r="AF25" s="94">
        <f ca="1">ROUND((0.6*TblExplore[[#This Row],[Land-DB]]^1.299 + IF(TblExplore[[#This Row],[Land-DB]]&lt;1520, (-0.001*(TblExplore[[#This Row],[Land-DB]]^2)+1.91*TblExplore[[#This Row],[Land-DB]]-593), 0))*(1+ tech_2_6*Techs!AC25 + tech_2_9*Techs!AF25 + tech_3_7*Techs!AN25 + Overview!$I$33),0)</f>
        <v>-126</v>
      </c>
      <c r="AG25" s="94">
        <f ca="1">_xlfn.FLOOR.MATH(TblExplore[[#This Row],[Land-DB]]/150)+3+tech_2_9_2*TblTech[[#This Row],[2-9]]+tech_3_7_2*TblTech[[#This Row],[3-7]]</f>
        <v>3</v>
      </c>
      <c r="AH25" s="94">
        <f ca="1">SUM(TblExplore[[#This Row],[Plains Explore]:[Water Explore]])*TblExplore[[#This Row],[Plat/acre]]</f>
        <v>0</v>
      </c>
      <c r="AI25" s="94">
        <f ca="1">SUM(TblExplore[[#This Row],[Plains Explore]:[Water Explore]])*TblExplore[[#This Row],[Draftees/acre]]</f>
        <v>0</v>
      </c>
      <c r="AJ25" s="45">
        <f ca="1">_xlfn.FLOOR.MATH(MIN(TblExplore[[#This Row],[Platinum]]/TblExplore[[#This Row],[Plat/acre]],TblExplore[[#This Row],[Draftees]]/TblExplore[[#This Row],[Draftees/acre]]))</f>
        <v>-651</v>
      </c>
    </row>
    <row r="26" spans="1:36" hidden="1" x14ac:dyDescent="0.2">
      <c r="A26" s="175">
        <f>TblRezone[[#This Row],[Hour]]</f>
        <v>23</v>
      </c>
      <c r="B26" s="214">
        <f ca="1">TblConstr[[#This Row],[Land]]</f>
        <v>110</v>
      </c>
      <c r="C26" s="215"/>
      <c r="D26" s="216">
        <f ca="1">TblConstr[[#This Row],[Plain]]</f>
        <v>60</v>
      </c>
      <c r="E26" s="182">
        <f ca="1">TblConstr[[#This Row],[Forest]]</f>
        <v>0</v>
      </c>
      <c r="F26" s="359">
        <f ca="1">TblConstr[[#This Row],[Mountain]]</f>
        <v>0</v>
      </c>
      <c r="G26" s="363">
        <f ca="1">TblConstr[[#This Row],[Hill]]</f>
        <v>0</v>
      </c>
      <c r="H26" s="367">
        <f ca="1">TblConstr[[#This Row],[Swamp]]</f>
        <v>0</v>
      </c>
      <c r="I26" s="185">
        <f ca="1">TblConstr[[#This Row],[Cavern]]</f>
        <v>0</v>
      </c>
      <c r="J26" s="186">
        <f ca="1">TblConstr[[#This Row],[Water]]</f>
        <v>0</v>
      </c>
      <c r="K26" s="210"/>
      <c r="L26" s="224" t="s">
        <v>367</v>
      </c>
      <c r="M26" s="225">
        <f ca="1">Military!AQ67</f>
        <v>156179</v>
      </c>
      <c r="N26" s="217">
        <f ca="1">TblMili[[#This Row],[Smithies]]</f>
        <v>0</v>
      </c>
      <c r="O26" s="217">
        <f ca="1">TblPop[[#This Row],[Employment]]</f>
        <v>1</v>
      </c>
      <c r="P26" s="217">
        <f ca="1">TblImps[[#This Row],[Population]]</f>
        <v>0.90334572490706322</v>
      </c>
      <c r="Q26" s="175">
        <f ca="1">TblExplore[[#This Row],[Land]]</f>
        <v>110</v>
      </c>
      <c r="R26" s="175">
        <f>TblExplore[[#This Row],[Hour]]</f>
        <v>23</v>
      </c>
      <c r="S26" s="57"/>
      <c r="AA26" s="159">
        <f ca="1">TblImps[[#This Row],[Real time]]</f>
        <v>46047.916666666613</v>
      </c>
      <c r="AB26" s="94">
        <f ca="1">TblMili[[#This Row],[Draftees]]</f>
        <v>276</v>
      </c>
      <c r="AC26" s="94">
        <f ca="1">TblProd[[#This Row],[Platinum]]</f>
        <v>83780</v>
      </c>
      <c r="AD26" s="215"/>
      <c r="AE26" s="45">
        <f ca="1">TblExplore[[#This Row],[Land]]-TblExplore[[#This Row],[Land Bonus]]*20</f>
        <v>110</v>
      </c>
      <c r="AF26" s="94">
        <f ca="1">ROUND((0.6*TblExplore[[#This Row],[Land-DB]]^1.299 + IF(TblExplore[[#This Row],[Land-DB]]&lt;1520, (-0.001*(TblExplore[[#This Row],[Land-DB]]^2)+1.91*TblExplore[[#This Row],[Land-DB]]-593), 0))*(1+ tech_2_6*Techs!AC26 + tech_2_9*Techs!AF26 + tech_3_7*Techs!AN26 + Overview!$I$33),0)</f>
        <v>-126</v>
      </c>
      <c r="AG26" s="94">
        <f ca="1">_xlfn.FLOOR.MATH(TblExplore[[#This Row],[Land-DB]]/150)+3+tech_2_9_2*TblTech[[#This Row],[2-9]]+tech_3_7_2*TblTech[[#This Row],[3-7]]</f>
        <v>3</v>
      </c>
      <c r="AH26" s="94">
        <f ca="1">SUM(TblExplore[[#This Row],[Plains Explore]:[Water Explore]])*TblExplore[[#This Row],[Plat/acre]]</f>
        <v>0</v>
      </c>
      <c r="AI26" s="94">
        <f ca="1">SUM(TblExplore[[#This Row],[Plains Explore]:[Water Explore]])*TblExplore[[#This Row],[Draftees/acre]]</f>
        <v>0</v>
      </c>
      <c r="AJ26" s="45">
        <f ca="1">_xlfn.FLOOR.MATH(MIN(TblExplore[[#This Row],[Platinum]]/TblExplore[[#This Row],[Plat/acre]],TblExplore[[#This Row],[Draftees]]/TblExplore[[#This Row],[Draftees/acre]]))</f>
        <v>-665</v>
      </c>
    </row>
    <row r="27" spans="1:36" hidden="1" x14ac:dyDescent="0.2">
      <c r="A27" s="175">
        <f>TblRezone[[#This Row],[Hour]]</f>
        <v>24</v>
      </c>
      <c r="B27" s="214">
        <f ca="1">TblConstr[[#This Row],[Land]]</f>
        <v>110</v>
      </c>
      <c r="C27" s="215"/>
      <c r="D27" s="216">
        <f ca="1">TblConstr[[#This Row],[Plain]]</f>
        <v>60</v>
      </c>
      <c r="E27" s="182">
        <f ca="1">TblConstr[[#This Row],[Forest]]</f>
        <v>0</v>
      </c>
      <c r="F27" s="359">
        <f ca="1">TblConstr[[#This Row],[Mountain]]</f>
        <v>0</v>
      </c>
      <c r="G27" s="363">
        <f ca="1">TblConstr[[#This Row],[Hill]]</f>
        <v>0</v>
      </c>
      <c r="H27" s="367">
        <f ca="1">TblConstr[[#This Row],[Swamp]]</f>
        <v>0</v>
      </c>
      <c r="I27" s="185">
        <f ca="1">TblConstr[[#This Row],[Cavern]]</f>
        <v>0</v>
      </c>
      <c r="J27" s="186">
        <f ca="1">TblConstr[[#This Row],[Water]]</f>
        <v>0</v>
      </c>
      <c r="K27" s="210"/>
      <c r="L27" s="224" t="s">
        <v>366</v>
      </c>
      <c r="M27" s="225">
        <f ca="1">Production!S76</f>
        <v>1314</v>
      </c>
      <c r="N27" s="217">
        <f ca="1">TblMili[[#This Row],[Smithies]]</f>
        <v>0</v>
      </c>
      <c r="O27" s="217">
        <f ca="1">TblPop[[#This Row],[Employment]]</f>
        <v>1</v>
      </c>
      <c r="P27" s="217">
        <f ca="1">TblImps[[#This Row],[Population]]</f>
        <v>0.92286245353159846</v>
      </c>
      <c r="Q27" s="175">
        <f ca="1">TblExplore[[#This Row],[Land]]</f>
        <v>110</v>
      </c>
      <c r="R27" s="175">
        <f>TblExplore[[#This Row],[Hour]]</f>
        <v>24</v>
      </c>
      <c r="S27" s="57"/>
      <c r="T27" s="94"/>
      <c r="AA27" s="159">
        <f ca="1">TblImps[[#This Row],[Real time]]</f>
        <v>46047.958333333278</v>
      </c>
      <c r="AB27" s="94">
        <f ca="1">TblMili[[#This Row],[Draftees]]</f>
        <v>283</v>
      </c>
      <c r="AC27" s="94">
        <f ca="1">TblProd[[#This Row],[Platinum]]</f>
        <v>85659</v>
      </c>
      <c r="AD27" s="215"/>
      <c r="AE27" s="45">
        <f ca="1">TblExplore[[#This Row],[Land]]-TblExplore[[#This Row],[Land Bonus]]*20</f>
        <v>110</v>
      </c>
      <c r="AF27" s="94">
        <f ca="1">ROUND((0.6*TblExplore[[#This Row],[Land-DB]]^1.299 + IF(TblExplore[[#This Row],[Land-DB]]&lt;1520, (-0.001*(TblExplore[[#This Row],[Land-DB]]^2)+1.91*TblExplore[[#This Row],[Land-DB]]-593), 0))*(1+ tech_2_6*Techs!AC27 + tech_2_9*Techs!AF27 + tech_3_7*Techs!AN27 + Overview!$I$33),0)</f>
        <v>-126</v>
      </c>
      <c r="AG27" s="94">
        <f ca="1">_xlfn.FLOOR.MATH(TblExplore[[#This Row],[Land-DB]]/150)+3+tech_2_9_2*TblTech[[#This Row],[2-9]]+tech_3_7_2*TblTech[[#This Row],[3-7]]</f>
        <v>3</v>
      </c>
      <c r="AH27" s="94">
        <f ca="1">SUM(TblExplore[[#This Row],[Plains Explore]:[Water Explore]])*TblExplore[[#This Row],[Plat/acre]]</f>
        <v>0</v>
      </c>
      <c r="AI27" s="94">
        <f ca="1">SUM(TblExplore[[#This Row],[Plains Explore]:[Water Explore]])*TblExplore[[#This Row],[Draftees/acre]]</f>
        <v>0</v>
      </c>
      <c r="AJ27" s="45">
        <f ca="1">_xlfn.FLOOR.MATH(MIN(TblExplore[[#This Row],[Platinum]]/TblExplore[[#This Row],[Plat/acre]],TblExplore[[#This Row],[Draftees]]/TblExplore[[#This Row],[Draftees/acre]]))</f>
        <v>-680</v>
      </c>
    </row>
    <row r="28" spans="1:36" x14ac:dyDescent="0.2">
      <c r="A28" s="175">
        <f>TblRezone[[#This Row],[Hour]]</f>
        <v>25</v>
      </c>
      <c r="B28" s="214">
        <f ca="1">TblConstr[[#This Row],[Land]]</f>
        <v>110</v>
      </c>
      <c r="C28" s="215"/>
      <c r="D28" s="216">
        <f ca="1">TblConstr[[#This Row],[Plain]]</f>
        <v>60</v>
      </c>
      <c r="E28" s="182">
        <f ca="1">TblConstr[[#This Row],[Forest]]</f>
        <v>0</v>
      </c>
      <c r="F28" s="359">
        <f ca="1">TblConstr[[#This Row],[Mountain]]</f>
        <v>0</v>
      </c>
      <c r="G28" s="363">
        <f ca="1">TblConstr[[#This Row],[Hill]]</f>
        <v>0</v>
      </c>
      <c r="H28" s="367">
        <f ca="1">TblConstr[[#This Row],[Swamp]]</f>
        <v>0</v>
      </c>
      <c r="I28" s="185">
        <f ca="1">TblConstr[[#This Row],[Cavern]]</f>
        <v>0</v>
      </c>
      <c r="J28" s="186">
        <f ca="1">TblConstr[[#This Row],[Water]]</f>
        <v>0</v>
      </c>
      <c r="K28" s="210"/>
      <c r="L28" s="224" t="s">
        <v>364</v>
      </c>
      <c r="M28" s="225">
        <f ca="1">Military!AA64</f>
        <v>529</v>
      </c>
      <c r="N28" s="217">
        <f ca="1">TblMili[[#This Row],[Smithies]]</f>
        <v>0</v>
      </c>
      <c r="O28" s="217">
        <f ca="1">TblPop[[#This Row],[Employment]]</f>
        <v>1</v>
      </c>
      <c r="P28" s="217">
        <f ca="1">TblImps[[#This Row],[Population]]</f>
        <v>0.94237918215613381</v>
      </c>
      <c r="Q28" s="175">
        <f ca="1">TblExplore[[#This Row],[Land]]</f>
        <v>110</v>
      </c>
      <c r="R28" s="175">
        <f>TblExplore[[#This Row],[Hour]]</f>
        <v>25</v>
      </c>
      <c r="S28" s="218"/>
      <c r="T28" s="179"/>
      <c r="U28" s="179"/>
      <c r="V28" s="179"/>
      <c r="W28" s="179"/>
      <c r="X28" s="179"/>
      <c r="Y28" s="179"/>
      <c r="Z28" s="179"/>
      <c r="AA28" s="159">
        <f ca="1">TblImps[[#This Row],[Real time]]</f>
        <v>46047.999999999942</v>
      </c>
      <c r="AB28" s="94">
        <f ca="1">TblMili[[#This Row],[Draftees]]</f>
        <v>290</v>
      </c>
      <c r="AC28" s="94">
        <f ca="1">TblProd[[#This Row],[Platinum]]</f>
        <v>87576</v>
      </c>
      <c r="AD28" s="215"/>
      <c r="AE28" s="45">
        <f ca="1">TblExplore[[#This Row],[Land]]-TblExplore[[#This Row],[Land Bonus]]*20</f>
        <v>110</v>
      </c>
      <c r="AF28" s="94">
        <f ca="1">ROUND((0.6*TblExplore[[#This Row],[Land-DB]]^1.299 + IF(TblExplore[[#This Row],[Land-DB]]&lt;1520, (-0.001*(TblExplore[[#This Row],[Land-DB]]^2)+1.91*TblExplore[[#This Row],[Land-DB]]-593), 0))*(1+ tech_2_6*Techs!AC28 + tech_2_9*Techs!AF28 + tech_3_7*Techs!AN28 + Overview!$I$33),0)</f>
        <v>-126</v>
      </c>
      <c r="AG28" s="94">
        <f ca="1">_xlfn.FLOOR.MATH(TblExplore[[#This Row],[Land-DB]]/150)+3+tech_2_9_2*TblTech[[#This Row],[2-9]]+tech_3_7_2*TblTech[[#This Row],[3-7]]</f>
        <v>3</v>
      </c>
      <c r="AH28" s="94">
        <f ca="1">SUM(TblExplore[[#This Row],[Plains Explore]:[Water Explore]])*TblExplore[[#This Row],[Plat/acre]]</f>
        <v>0</v>
      </c>
      <c r="AI28" s="94">
        <f ca="1">SUM(TblExplore[[#This Row],[Plains Explore]:[Water Explore]])*TblExplore[[#This Row],[Draftees/acre]]</f>
        <v>0</v>
      </c>
      <c r="AJ28" s="45">
        <f ca="1">_xlfn.FLOOR.MATH(MIN(TblExplore[[#This Row],[Platinum]]/TblExplore[[#This Row],[Plat/acre]],TblExplore[[#This Row],[Draftees]]/TblExplore[[#This Row],[Draftees/acre]]))</f>
        <v>-696</v>
      </c>
    </row>
    <row r="29" spans="1:36" x14ac:dyDescent="0.2">
      <c r="A29" s="175">
        <f>TblRezone[[#This Row],[Hour]]</f>
        <v>26</v>
      </c>
      <c r="B29" s="214">
        <f ca="1">TblConstr[[#This Row],[Land]]</f>
        <v>110</v>
      </c>
      <c r="C29" s="215"/>
      <c r="D29" s="216">
        <f ca="1">TblConstr[[#This Row],[Plain]]</f>
        <v>60</v>
      </c>
      <c r="E29" s="182">
        <f ca="1">TblConstr[[#This Row],[Forest]]</f>
        <v>0</v>
      </c>
      <c r="F29" s="359">
        <f ca="1">TblConstr[[#This Row],[Mountain]]</f>
        <v>0</v>
      </c>
      <c r="G29" s="363">
        <f ca="1">TblConstr[[#This Row],[Hill]]</f>
        <v>0</v>
      </c>
      <c r="H29" s="367">
        <f ca="1">TblConstr[[#This Row],[Swamp]]</f>
        <v>0</v>
      </c>
      <c r="I29" s="185">
        <f ca="1">TblConstr[[#This Row],[Cavern]]</f>
        <v>0</v>
      </c>
      <c r="J29" s="186">
        <f ca="1">TblConstr[[#This Row],[Water]]</f>
        <v>0</v>
      </c>
      <c r="K29" s="210"/>
      <c r="L29" s="224" t="s">
        <v>365</v>
      </c>
      <c r="M29" s="226">
        <f ca="1">Q76</f>
        <v>110</v>
      </c>
      <c r="N29" s="217">
        <f ca="1">TblMili[[#This Row],[Smithies]]</f>
        <v>0</v>
      </c>
      <c r="O29" s="217">
        <f ca="1">TblPop[[#This Row],[Employment]]</f>
        <v>1</v>
      </c>
      <c r="P29" s="217">
        <f ca="1">TblImps[[#This Row],[Population]]</f>
        <v>0.96282527881040891</v>
      </c>
      <c r="Q29" s="175">
        <f ca="1">TblExplore[[#This Row],[Land]]</f>
        <v>110</v>
      </c>
      <c r="R29" s="175">
        <f>TblExplore[[#This Row],[Hour]]</f>
        <v>26</v>
      </c>
      <c r="S29" s="218"/>
      <c r="T29" s="158"/>
      <c r="U29" s="179"/>
      <c r="V29" s="179"/>
      <c r="W29" s="179"/>
      <c r="X29" s="179"/>
      <c r="Y29" s="179"/>
      <c r="Z29" s="179"/>
      <c r="AA29" s="159">
        <f ca="1">TblImps[[#This Row],[Real time]]</f>
        <v>46048.041666666606</v>
      </c>
      <c r="AB29" s="94">
        <f ca="1">TblMili[[#This Row],[Draftees]]</f>
        <v>297</v>
      </c>
      <c r="AC29" s="94">
        <f ca="1">TblProd[[#This Row],[Platinum]]</f>
        <v>89530</v>
      </c>
      <c r="AD29" s="215"/>
      <c r="AE29" s="45">
        <f ca="1">TblExplore[[#This Row],[Land]]-TblExplore[[#This Row],[Land Bonus]]*20</f>
        <v>110</v>
      </c>
      <c r="AF29" s="94">
        <f ca="1">ROUND((0.6*TblExplore[[#This Row],[Land-DB]]^1.299 + IF(TblExplore[[#This Row],[Land-DB]]&lt;1520, (-0.001*(TblExplore[[#This Row],[Land-DB]]^2)+1.91*TblExplore[[#This Row],[Land-DB]]-593), 0))*(1+ tech_2_6*Techs!AC29 + tech_2_9*Techs!AF29 + tech_3_7*Techs!AN29 + Overview!$I$33),0)</f>
        <v>-126</v>
      </c>
      <c r="AG29" s="94">
        <f ca="1">_xlfn.FLOOR.MATH(TblExplore[[#This Row],[Land-DB]]/150)+3+tech_2_9_2*TblTech[[#This Row],[2-9]]+tech_3_7_2*TblTech[[#This Row],[3-7]]</f>
        <v>3</v>
      </c>
      <c r="AH29" s="94">
        <f ca="1">SUM(TblExplore[[#This Row],[Plains Explore]:[Water Explore]])*TblExplore[[#This Row],[Plat/acre]]</f>
        <v>0</v>
      </c>
      <c r="AI29" s="94">
        <f ca="1">SUM(TblExplore[[#This Row],[Plains Explore]:[Water Explore]])*TblExplore[[#This Row],[Draftees/acre]]</f>
        <v>0</v>
      </c>
      <c r="AJ29" s="45">
        <f ca="1">_xlfn.FLOOR.MATH(MIN(TblExplore[[#This Row],[Platinum]]/TblExplore[[#This Row],[Plat/acre]],TblExplore[[#This Row],[Draftees]]/TblExplore[[#This Row],[Draftees/acre]]))</f>
        <v>-711</v>
      </c>
    </row>
    <row r="30" spans="1:36" x14ac:dyDescent="0.2">
      <c r="A30" s="175">
        <f>TblRezone[[#This Row],[Hour]]</f>
        <v>27</v>
      </c>
      <c r="B30" s="214">
        <f ca="1">TblConstr[[#This Row],[Land]]</f>
        <v>110</v>
      </c>
      <c r="C30" s="215"/>
      <c r="D30" s="216">
        <f ca="1">TblConstr[[#This Row],[Plain]]</f>
        <v>60</v>
      </c>
      <c r="E30" s="182">
        <f ca="1">TblConstr[[#This Row],[Forest]]</f>
        <v>0</v>
      </c>
      <c r="F30" s="359">
        <f ca="1">TblConstr[[#This Row],[Mountain]]</f>
        <v>0</v>
      </c>
      <c r="G30" s="363">
        <f ca="1">TblConstr[[#This Row],[Hill]]</f>
        <v>0</v>
      </c>
      <c r="H30" s="367">
        <f ca="1">TblConstr[[#This Row],[Swamp]]</f>
        <v>0</v>
      </c>
      <c r="I30" s="185">
        <f ca="1">TblConstr[[#This Row],[Cavern]]</f>
        <v>0</v>
      </c>
      <c r="J30" s="186">
        <f ca="1">TblConstr[[#This Row],[Water]]</f>
        <v>0</v>
      </c>
      <c r="K30" s="210"/>
      <c r="L30" s="210"/>
      <c r="M30" s="223"/>
      <c r="N30" s="217">
        <f ca="1">TblMili[[#This Row],[Smithies]]</f>
        <v>0</v>
      </c>
      <c r="O30" s="217">
        <f ca="1">TblPop[[#This Row],[Employment]]</f>
        <v>1</v>
      </c>
      <c r="P30" s="217">
        <f ca="1">TblImps[[#This Row],[Population]]</f>
        <v>0.98327137546468402</v>
      </c>
      <c r="Q30" s="175">
        <f ca="1">TblExplore[[#This Row],[Land]]</f>
        <v>110</v>
      </c>
      <c r="R30" s="175">
        <f>TblExplore[[#This Row],[Hour]]</f>
        <v>27</v>
      </c>
      <c r="S30" s="218"/>
      <c r="T30" s="158"/>
      <c r="U30" s="179"/>
      <c r="V30" s="179"/>
      <c r="W30" s="179"/>
      <c r="X30" s="179"/>
      <c r="Y30" s="179"/>
      <c r="Z30" s="179"/>
      <c r="AA30" s="159">
        <f ca="1">TblImps[[#This Row],[Real time]]</f>
        <v>46048.08333333327</v>
      </c>
      <c r="AB30" s="94">
        <f ca="1">TblMili[[#This Row],[Draftees]]</f>
        <v>304</v>
      </c>
      <c r="AC30" s="94">
        <f ca="1">TblProd[[#This Row],[Platinum]]</f>
        <v>91525</v>
      </c>
      <c r="AD30" s="215"/>
      <c r="AE30" s="45">
        <f ca="1">TblExplore[[#This Row],[Land]]-TblExplore[[#This Row],[Land Bonus]]*20</f>
        <v>110</v>
      </c>
      <c r="AF30" s="94">
        <f ca="1">ROUND((0.6*TblExplore[[#This Row],[Land-DB]]^1.299 + IF(TblExplore[[#This Row],[Land-DB]]&lt;1520, (-0.001*(TblExplore[[#This Row],[Land-DB]]^2)+1.91*TblExplore[[#This Row],[Land-DB]]-593), 0))*(1+ tech_2_6*Techs!AC30 + tech_2_9*Techs!AF30 + tech_3_7*Techs!AN30 + Overview!$I$33),0)</f>
        <v>-126</v>
      </c>
      <c r="AG30" s="94">
        <f ca="1">_xlfn.FLOOR.MATH(TblExplore[[#This Row],[Land-DB]]/150)+3+tech_2_9_2*TblTech[[#This Row],[2-9]]+tech_3_7_2*TblTech[[#This Row],[3-7]]</f>
        <v>3</v>
      </c>
      <c r="AH30" s="94">
        <f ca="1">SUM(TblExplore[[#This Row],[Plains Explore]:[Water Explore]])*TblExplore[[#This Row],[Plat/acre]]</f>
        <v>0</v>
      </c>
      <c r="AI30" s="94">
        <f ca="1">SUM(TblExplore[[#This Row],[Plains Explore]:[Water Explore]])*TblExplore[[#This Row],[Draftees/acre]]</f>
        <v>0</v>
      </c>
      <c r="AJ30" s="45">
        <f ca="1">_xlfn.FLOOR.MATH(MIN(TblExplore[[#This Row],[Platinum]]/TblExplore[[#This Row],[Plat/acre]],TblExplore[[#This Row],[Draftees]]/TblExplore[[#This Row],[Draftees/acre]]))</f>
        <v>-727</v>
      </c>
    </row>
    <row r="31" spans="1:36" x14ac:dyDescent="0.2">
      <c r="A31" s="175">
        <f>TblRezone[[#This Row],[Hour]]</f>
        <v>28</v>
      </c>
      <c r="B31" s="214">
        <f ca="1">TblConstr[[#This Row],[Land]]</f>
        <v>110</v>
      </c>
      <c r="C31" s="215"/>
      <c r="D31" s="216">
        <f ca="1">TblConstr[[#This Row],[Plain]]</f>
        <v>60</v>
      </c>
      <c r="E31" s="182">
        <f ca="1">TblConstr[[#This Row],[Forest]]</f>
        <v>0</v>
      </c>
      <c r="F31" s="359">
        <f ca="1">TblConstr[[#This Row],[Mountain]]</f>
        <v>0</v>
      </c>
      <c r="G31" s="363">
        <f ca="1">TblConstr[[#This Row],[Hill]]</f>
        <v>0</v>
      </c>
      <c r="H31" s="367">
        <f ca="1">TblConstr[[#This Row],[Swamp]]</f>
        <v>0</v>
      </c>
      <c r="I31" s="185">
        <f ca="1">TblConstr[[#This Row],[Cavern]]</f>
        <v>0</v>
      </c>
      <c r="J31" s="186">
        <f ca="1">TblConstr[[#This Row],[Water]]</f>
        <v>0</v>
      </c>
      <c r="K31" s="210"/>
      <c r="L31" s="210"/>
      <c r="M31" s="223"/>
      <c r="N31" s="217">
        <f ca="1">TblMili[[#This Row],[Smithies]]</f>
        <v>0</v>
      </c>
      <c r="O31" s="217">
        <f ca="1">TblPop[[#This Row],[Employment]]</f>
        <v>1</v>
      </c>
      <c r="P31" s="217">
        <f ca="1">TblImps[[#This Row],[Population]]</f>
        <v>1</v>
      </c>
      <c r="Q31" s="175">
        <f ca="1">TblExplore[[#This Row],[Land]]</f>
        <v>110</v>
      </c>
      <c r="R31" s="175">
        <f>TblExplore[[#This Row],[Hour]]</f>
        <v>28</v>
      </c>
      <c r="S31" s="218"/>
      <c r="T31" s="158"/>
      <c r="U31" s="179"/>
      <c r="V31" s="179"/>
      <c r="W31" s="179"/>
      <c r="X31" s="179"/>
      <c r="Y31" s="179"/>
      <c r="Z31" s="179"/>
      <c r="AA31" s="159">
        <f ca="1">TblImps[[#This Row],[Real time]]</f>
        <v>46048.124999999935</v>
      </c>
      <c r="AB31" s="94">
        <f ca="1">TblMili[[#This Row],[Draftees]]</f>
        <v>312</v>
      </c>
      <c r="AC31" s="94">
        <f ca="1">TblProd[[#This Row],[Platinum]]</f>
        <v>93560</v>
      </c>
      <c r="AD31" s="215"/>
      <c r="AE31" s="45">
        <f ca="1">TblExplore[[#This Row],[Land]]-TblExplore[[#This Row],[Land Bonus]]*20</f>
        <v>110</v>
      </c>
      <c r="AF31" s="94">
        <f ca="1">ROUND((0.6*TblExplore[[#This Row],[Land-DB]]^1.299 + IF(TblExplore[[#This Row],[Land-DB]]&lt;1520, (-0.001*(TblExplore[[#This Row],[Land-DB]]^2)+1.91*TblExplore[[#This Row],[Land-DB]]-593), 0))*(1+ tech_2_6*Techs!AC31 + tech_2_9*Techs!AF31 + tech_3_7*Techs!AN31 + Overview!$I$33),0)</f>
        <v>-126</v>
      </c>
      <c r="AG31" s="94">
        <f ca="1">_xlfn.FLOOR.MATH(TblExplore[[#This Row],[Land-DB]]/150)+3+tech_2_9_2*TblTech[[#This Row],[2-9]]+tech_3_7_2*TblTech[[#This Row],[3-7]]</f>
        <v>3</v>
      </c>
      <c r="AH31" s="94">
        <f ca="1">SUM(TblExplore[[#This Row],[Plains Explore]:[Water Explore]])*TblExplore[[#This Row],[Plat/acre]]</f>
        <v>0</v>
      </c>
      <c r="AI31" s="94">
        <f ca="1">SUM(TblExplore[[#This Row],[Plains Explore]:[Water Explore]])*TblExplore[[#This Row],[Draftees/acre]]</f>
        <v>0</v>
      </c>
      <c r="AJ31" s="45">
        <f ca="1">_xlfn.FLOOR.MATH(MIN(TblExplore[[#This Row],[Platinum]]/TblExplore[[#This Row],[Plat/acre]],TblExplore[[#This Row],[Draftees]]/TblExplore[[#This Row],[Draftees/acre]]))</f>
        <v>-743</v>
      </c>
    </row>
    <row r="32" spans="1:36" x14ac:dyDescent="0.2">
      <c r="A32" s="175">
        <f>TblRezone[[#This Row],[Hour]]</f>
        <v>29</v>
      </c>
      <c r="B32" s="214">
        <f ca="1">TblConstr[[#This Row],[Land]]</f>
        <v>110</v>
      </c>
      <c r="C32" s="215"/>
      <c r="D32" s="216">
        <f ca="1">TblConstr[[#This Row],[Plain]]</f>
        <v>60</v>
      </c>
      <c r="E32" s="182">
        <f ca="1">TblConstr[[#This Row],[Forest]]</f>
        <v>0</v>
      </c>
      <c r="F32" s="359">
        <f ca="1">TblConstr[[#This Row],[Mountain]]</f>
        <v>0</v>
      </c>
      <c r="G32" s="363">
        <f ca="1">TblConstr[[#This Row],[Hill]]</f>
        <v>0</v>
      </c>
      <c r="H32" s="367">
        <f ca="1">TblConstr[[#This Row],[Swamp]]</f>
        <v>0</v>
      </c>
      <c r="I32" s="185">
        <f ca="1">TblConstr[[#This Row],[Cavern]]</f>
        <v>0</v>
      </c>
      <c r="J32" s="186">
        <f ca="1">TblConstr[[#This Row],[Water]]</f>
        <v>0</v>
      </c>
      <c r="K32" s="210"/>
      <c r="L32" s="210"/>
      <c r="M32" s="223"/>
      <c r="N32" s="217">
        <f ca="1">TblMili[[#This Row],[Smithies]]</f>
        <v>0</v>
      </c>
      <c r="O32" s="217">
        <f ca="1">TblPop[[#This Row],[Employment]]</f>
        <v>1</v>
      </c>
      <c r="P32" s="217">
        <f ca="1">TblImps[[#This Row],[Population]]</f>
        <v>1</v>
      </c>
      <c r="Q32" s="175">
        <f ca="1">TblExplore[[#This Row],[Land]]</f>
        <v>110</v>
      </c>
      <c r="R32" s="175">
        <f>TblExplore[[#This Row],[Hour]]</f>
        <v>29</v>
      </c>
      <c r="S32" s="218"/>
      <c r="T32" s="158"/>
      <c r="U32" s="179"/>
      <c r="V32" s="179"/>
      <c r="W32" s="179"/>
      <c r="X32" s="179"/>
      <c r="Y32" s="179"/>
      <c r="Z32" s="179"/>
      <c r="AA32" s="159">
        <f ca="1">TblImps[[#This Row],[Real time]]</f>
        <v>46048.166666666599</v>
      </c>
      <c r="AB32" s="94">
        <f ca="1">TblMili[[#This Row],[Draftees]]</f>
        <v>320</v>
      </c>
      <c r="AC32" s="94">
        <f ca="1">TblProd[[#This Row],[Platinum]]</f>
        <v>95622</v>
      </c>
      <c r="AD32" s="215"/>
      <c r="AE32" s="45">
        <f ca="1">TblExplore[[#This Row],[Land]]-TblExplore[[#This Row],[Land Bonus]]*20</f>
        <v>110</v>
      </c>
      <c r="AF32" s="94">
        <f ca="1">ROUND((0.6*TblExplore[[#This Row],[Land-DB]]^1.299 + IF(TblExplore[[#This Row],[Land-DB]]&lt;1520, (-0.001*(TblExplore[[#This Row],[Land-DB]]^2)+1.91*TblExplore[[#This Row],[Land-DB]]-593), 0))*(1+ tech_2_6*Techs!AC32 + tech_2_9*Techs!AF32 + tech_3_7*Techs!AN32 + Overview!$I$33),0)</f>
        <v>-126</v>
      </c>
      <c r="AG32" s="94">
        <f ca="1">_xlfn.FLOOR.MATH(TblExplore[[#This Row],[Land-DB]]/150)+3+tech_2_9_2*TblTech[[#This Row],[2-9]]+tech_3_7_2*TblTech[[#This Row],[3-7]]</f>
        <v>3</v>
      </c>
      <c r="AH32" s="94">
        <f ca="1">SUM(TblExplore[[#This Row],[Plains Explore]:[Water Explore]])*TblExplore[[#This Row],[Plat/acre]]</f>
        <v>0</v>
      </c>
      <c r="AI32" s="94">
        <f ca="1">SUM(TblExplore[[#This Row],[Plains Explore]:[Water Explore]])*TblExplore[[#This Row],[Draftees/acre]]</f>
        <v>0</v>
      </c>
      <c r="AJ32" s="45">
        <f ca="1">_xlfn.FLOOR.MATH(MIN(TblExplore[[#This Row],[Platinum]]/TblExplore[[#This Row],[Plat/acre]],TblExplore[[#This Row],[Draftees]]/TblExplore[[#This Row],[Draftees/acre]]))</f>
        <v>-759</v>
      </c>
    </row>
    <row r="33" spans="1:36" x14ac:dyDescent="0.2">
      <c r="A33" s="175">
        <f>TblRezone[[#This Row],[Hour]]</f>
        <v>30</v>
      </c>
      <c r="B33" s="214">
        <f ca="1">TblConstr[[#This Row],[Land]]</f>
        <v>110</v>
      </c>
      <c r="C33" s="215"/>
      <c r="D33" s="216">
        <f ca="1">TblConstr[[#This Row],[Plain]]</f>
        <v>60</v>
      </c>
      <c r="E33" s="182">
        <f ca="1">TblConstr[[#This Row],[Forest]]</f>
        <v>0</v>
      </c>
      <c r="F33" s="359">
        <f ca="1">TblConstr[[#This Row],[Mountain]]</f>
        <v>0</v>
      </c>
      <c r="G33" s="363">
        <f ca="1">TblConstr[[#This Row],[Hill]]</f>
        <v>0</v>
      </c>
      <c r="H33" s="367">
        <f ca="1">TblConstr[[#This Row],[Swamp]]</f>
        <v>0</v>
      </c>
      <c r="I33" s="185">
        <f ca="1">TblConstr[[#This Row],[Cavern]]</f>
        <v>0</v>
      </c>
      <c r="J33" s="186">
        <f ca="1">TblConstr[[#This Row],[Water]]</f>
        <v>0</v>
      </c>
      <c r="K33" s="210"/>
      <c r="L33" s="210"/>
      <c r="M33" s="210"/>
      <c r="N33" s="217">
        <f ca="1">TblMili[[#This Row],[Smithies]]</f>
        <v>0</v>
      </c>
      <c r="O33" s="217">
        <f ca="1">TblPop[[#This Row],[Employment]]</f>
        <v>1</v>
      </c>
      <c r="P33" s="217">
        <f ca="1">TblImps[[#This Row],[Population]]</f>
        <v>1</v>
      </c>
      <c r="Q33" s="175">
        <f ca="1">TblExplore[[#This Row],[Land]]</f>
        <v>110</v>
      </c>
      <c r="R33" s="175">
        <f>TblExplore[[#This Row],[Hour]]</f>
        <v>30</v>
      </c>
      <c r="S33" s="218"/>
      <c r="T33" s="158"/>
      <c r="U33" s="179"/>
      <c r="V33" s="179"/>
      <c r="W33" s="179"/>
      <c r="X33" s="179"/>
      <c r="Y33" s="179"/>
      <c r="Z33" s="179"/>
      <c r="AA33" s="159">
        <f ca="1">TblImps[[#This Row],[Real time]]</f>
        <v>46048.208333333263</v>
      </c>
      <c r="AB33" s="94">
        <f ca="1">TblMili[[#This Row],[Draftees]]</f>
        <v>328</v>
      </c>
      <c r="AC33" s="94">
        <f ca="1">TblProd[[#This Row],[Platinum]]</f>
        <v>97663</v>
      </c>
      <c r="AD33" s="215"/>
      <c r="AE33" s="45">
        <f ca="1">TblExplore[[#This Row],[Land]]-TblExplore[[#This Row],[Land Bonus]]*20</f>
        <v>110</v>
      </c>
      <c r="AF33" s="94">
        <f ca="1">ROUND((0.6*TblExplore[[#This Row],[Land-DB]]^1.299 + IF(TblExplore[[#This Row],[Land-DB]]&lt;1520, (-0.001*(TblExplore[[#This Row],[Land-DB]]^2)+1.91*TblExplore[[#This Row],[Land-DB]]-593), 0))*(1+ tech_2_6*Techs!AC33 + tech_2_9*Techs!AF33 + tech_3_7*Techs!AN33 + Overview!$I$33),0)</f>
        <v>-126</v>
      </c>
      <c r="AG33" s="94">
        <f ca="1">_xlfn.FLOOR.MATH(TblExplore[[#This Row],[Land-DB]]/150)+3+tech_2_9_2*TblTech[[#This Row],[2-9]]+tech_3_7_2*TblTech[[#This Row],[3-7]]</f>
        <v>3</v>
      </c>
      <c r="AH33" s="94">
        <f ca="1">SUM(TblExplore[[#This Row],[Plains Explore]:[Water Explore]])*TblExplore[[#This Row],[Plat/acre]]</f>
        <v>0</v>
      </c>
      <c r="AI33" s="94">
        <f ca="1">SUM(TblExplore[[#This Row],[Plains Explore]:[Water Explore]])*TblExplore[[#This Row],[Draftees/acre]]</f>
        <v>0</v>
      </c>
      <c r="AJ33" s="45">
        <f ca="1">_xlfn.FLOOR.MATH(MIN(TblExplore[[#This Row],[Platinum]]/TblExplore[[#This Row],[Plat/acre]],TblExplore[[#This Row],[Draftees]]/TblExplore[[#This Row],[Draftees/acre]]))</f>
        <v>-776</v>
      </c>
    </row>
    <row r="34" spans="1:36" x14ac:dyDescent="0.2">
      <c r="A34" s="175">
        <f>TblRezone[[#This Row],[Hour]]</f>
        <v>31</v>
      </c>
      <c r="B34" s="214">
        <f ca="1">TblConstr[[#This Row],[Land]]</f>
        <v>110</v>
      </c>
      <c r="C34" s="215"/>
      <c r="D34" s="216">
        <f ca="1">TblConstr[[#This Row],[Plain]]</f>
        <v>60</v>
      </c>
      <c r="E34" s="182">
        <f ca="1">TblConstr[[#This Row],[Forest]]</f>
        <v>0</v>
      </c>
      <c r="F34" s="359">
        <f ca="1">TblConstr[[#This Row],[Mountain]]</f>
        <v>0</v>
      </c>
      <c r="G34" s="363">
        <f ca="1">TblConstr[[#This Row],[Hill]]</f>
        <v>0</v>
      </c>
      <c r="H34" s="367">
        <f ca="1">TblConstr[[#This Row],[Swamp]]</f>
        <v>0</v>
      </c>
      <c r="I34" s="185">
        <f ca="1">TblConstr[[#This Row],[Cavern]]</f>
        <v>0</v>
      </c>
      <c r="J34" s="186">
        <f ca="1">TblConstr[[#This Row],[Water]]</f>
        <v>0</v>
      </c>
      <c r="K34" s="210"/>
      <c r="L34" s="210"/>
      <c r="M34" s="227"/>
      <c r="N34" s="217">
        <f ca="1">TblMili[[#This Row],[Smithies]]</f>
        <v>0</v>
      </c>
      <c r="O34" s="217">
        <f ca="1">TblPop[[#This Row],[Employment]]</f>
        <v>1</v>
      </c>
      <c r="P34" s="217">
        <f ca="1">TblImps[[#This Row],[Population]]</f>
        <v>1</v>
      </c>
      <c r="Q34" s="175">
        <f ca="1">TblExplore[[#This Row],[Land]]</f>
        <v>110</v>
      </c>
      <c r="R34" s="175">
        <f>TblExplore[[#This Row],[Hour]]</f>
        <v>31</v>
      </c>
      <c r="S34" s="218"/>
      <c r="T34" s="179"/>
      <c r="U34" s="179"/>
      <c r="V34" s="179"/>
      <c r="W34" s="179"/>
      <c r="X34" s="179"/>
      <c r="Y34" s="179"/>
      <c r="Z34" s="179"/>
      <c r="AA34" s="159">
        <f ca="1">TblImps[[#This Row],[Real time]]</f>
        <v>46048.249999999927</v>
      </c>
      <c r="AB34" s="94">
        <f ca="1">TblMili[[#This Row],[Draftees]]</f>
        <v>335</v>
      </c>
      <c r="AC34" s="94">
        <f ca="1">TblProd[[#This Row],[Platinum]]</f>
        <v>99682</v>
      </c>
      <c r="AD34" s="215"/>
      <c r="AE34" s="45">
        <f ca="1">TblExplore[[#This Row],[Land]]-TblExplore[[#This Row],[Land Bonus]]*20</f>
        <v>110</v>
      </c>
      <c r="AF34" s="94">
        <f ca="1">ROUND((0.6*TblExplore[[#This Row],[Land-DB]]^1.299 + IF(TblExplore[[#This Row],[Land-DB]]&lt;1520, (-0.001*(TblExplore[[#This Row],[Land-DB]]^2)+1.91*TblExplore[[#This Row],[Land-DB]]-593), 0))*(1+ tech_2_6*Techs!AC34 + tech_2_9*Techs!AF34 + tech_3_7*Techs!AN34 + Overview!$I$33),0)</f>
        <v>-126</v>
      </c>
      <c r="AG34" s="94">
        <f ca="1">_xlfn.FLOOR.MATH(TblExplore[[#This Row],[Land-DB]]/150)+3+tech_2_9_2*TblTech[[#This Row],[2-9]]+tech_3_7_2*TblTech[[#This Row],[3-7]]</f>
        <v>3</v>
      </c>
      <c r="AH34" s="94">
        <f ca="1">SUM(TblExplore[[#This Row],[Plains Explore]:[Water Explore]])*TblExplore[[#This Row],[Plat/acre]]</f>
        <v>0</v>
      </c>
      <c r="AI34" s="94">
        <f ca="1">SUM(TblExplore[[#This Row],[Plains Explore]:[Water Explore]])*TblExplore[[#This Row],[Draftees/acre]]</f>
        <v>0</v>
      </c>
      <c r="AJ34" s="45">
        <f ca="1">_xlfn.FLOOR.MATH(MIN(TblExplore[[#This Row],[Platinum]]/TblExplore[[#This Row],[Plat/acre]],TblExplore[[#This Row],[Draftees]]/TblExplore[[#This Row],[Draftees/acre]]))</f>
        <v>-792</v>
      </c>
    </row>
    <row r="35" spans="1:36" x14ac:dyDescent="0.2">
      <c r="A35" s="175">
        <f>TblRezone[[#This Row],[Hour]]</f>
        <v>32</v>
      </c>
      <c r="B35" s="214">
        <f ca="1">TblConstr[[#This Row],[Land]]</f>
        <v>110</v>
      </c>
      <c r="C35" s="215"/>
      <c r="D35" s="216">
        <f ca="1">TblConstr[[#This Row],[Plain]]</f>
        <v>60</v>
      </c>
      <c r="E35" s="182">
        <f ca="1">TblConstr[[#This Row],[Forest]]</f>
        <v>0</v>
      </c>
      <c r="F35" s="359">
        <f ca="1">TblConstr[[#This Row],[Mountain]]</f>
        <v>0</v>
      </c>
      <c r="G35" s="363">
        <f ca="1">TblConstr[[#This Row],[Hill]]</f>
        <v>0</v>
      </c>
      <c r="H35" s="367">
        <f ca="1">TblConstr[[#This Row],[Swamp]]</f>
        <v>0</v>
      </c>
      <c r="I35" s="185">
        <f ca="1">TblConstr[[#This Row],[Cavern]]</f>
        <v>0</v>
      </c>
      <c r="J35" s="186">
        <f ca="1">TblConstr[[#This Row],[Water]]</f>
        <v>0</v>
      </c>
      <c r="K35" s="210"/>
      <c r="L35" s="210"/>
      <c r="M35" s="227"/>
      <c r="N35" s="217">
        <f ca="1">TblMili[[#This Row],[Smithies]]</f>
        <v>0</v>
      </c>
      <c r="O35" s="217">
        <f ca="1">TblPop[[#This Row],[Employment]]</f>
        <v>1</v>
      </c>
      <c r="P35" s="217">
        <f ca="1">TblImps[[#This Row],[Population]]</f>
        <v>1</v>
      </c>
      <c r="Q35" s="175">
        <f ca="1">TblExplore[[#This Row],[Land]]</f>
        <v>110</v>
      </c>
      <c r="R35" s="175">
        <f>TblExplore[[#This Row],[Hour]]</f>
        <v>32</v>
      </c>
      <c r="S35" s="218"/>
      <c r="T35" s="179"/>
      <c r="U35" s="179"/>
      <c r="V35" s="179"/>
      <c r="W35" s="179"/>
      <c r="X35" s="179"/>
      <c r="Y35" s="179"/>
      <c r="Z35" s="179"/>
      <c r="AA35" s="159">
        <f ca="1">TblImps[[#This Row],[Real time]]</f>
        <v>46048.291666666591</v>
      </c>
      <c r="AB35" s="94">
        <f ca="1">TblMili[[#This Row],[Draftees]]</f>
        <v>342</v>
      </c>
      <c r="AC35" s="94">
        <f ca="1">TblProd[[#This Row],[Platinum]]</f>
        <v>101682</v>
      </c>
      <c r="AD35" s="215"/>
      <c r="AE35" s="45">
        <f ca="1">TblExplore[[#This Row],[Land]]-TblExplore[[#This Row],[Land Bonus]]*20</f>
        <v>110</v>
      </c>
      <c r="AF35" s="94">
        <f ca="1">ROUND((0.6*TblExplore[[#This Row],[Land-DB]]^1.299 + IF(TblExplore[[#This Row],[Land-DB]]&lt;1520, (-0.001*(TblExplore[[#This Row],[Land-DB]]^2)+1.91*TblExplore[[#This Row],[Land-DB]]-593), 0))*(1+ tech_2_6*Techs!AC35 + tech_2_9*Techs!AF35 + tech_3_7*Techs!AN35 + Overview!$I$33),0)</f>
        <v>-126</v>
      </c>
      <c r="AG35" s="94">
        <f ca="1">_xlfn.FLOOR.MATH(TblExplore[[#This Row],[Land-DB]]/150)+3+tech_2_9_2*TblTech[[#This Row],[2-9]]+tech_3_7_2*TblTech[[#This Row],[3-7]]</f>
        <v>3</v>
      </c>
      <c r="AH35" s="94">
        <f ca="1">SUM(TblExplore[[#This Row],[Plains Explore]:[Water Explore]])*TblExplore[[#This Row],[Plat/acre]]</f>
        <v>0</v>
      </c>
      <c r="AI35" s="94">
        <f ca="1">SUM(TblExplore[[#This Row],[Plains Explore]:[Water Explore]])*TblExplore[[#This Row],[Draftees/acre]]</f>
        <v>0</v>
      </c>
      <c r="AJ35" s="45">
        <f ca="1">_xlfn.FLOOR.MATH(MIN(TblExplore[[#This Row],[Platinum]]/TblExplore[[#This Row],[Plat/acre]],TblExplore[[#This Row],[Draftees]]/TblExplore[[#This Row],[Draftees/acre]]))</f>
        <v>-807</v>
      </c>
    </row>
    <row r="36" spans="1:36" x14ac:dyDescent="0.2">
      <c r="A36" s="175">
        <f>TblRezone[[#This Row],[Hour]]</f>
        <v>33</v>
      </c>
      <c r="B36" s="214">
        <f ca="1">TblConstr[[#This Row],[Land]]</f>
        <v>110</v>
      </c>
      <c r="C36" s="215"/>
      <c r="D36" s="216">
        <f ca="1">TblConstr[[#This Row],[Plain]]</f>
        <v>60</v>
      </c>
      <c r="E36" s="182">
        <f ca="1">TblConstr[[#This Row],[Forest]]</f>
        <v>0</v>
      </c>
      <c r="F36" s="359">
        <f ca="1">TblConstr[[#This Row],[Mountain]]</f>
        <v>0</v>
      </c>
      <c r="G36" s="363">
        <f ca="1">TblConstr[[#This Row],[Hill]]</f>
        <v>0</v>
      </c>
      <c r="H36" s="367">
        <f ca="1">TblConstr[[#This Row],[Swamp]]</f>
        <v>0</v>
      </c>
      <c r="I36" s="185">
        <f ca="1">TblConstr[[#This Row],[Cavern]]</f>
        <v>0</v>
      </c>
      <c r="J36" s="186">
        <f ca="1">TblConstr[[#This Row],[Water]]</f>
        <v>0</v>
      </c>
      <c r="K36" s="210"/>
      <c r="L36" s="210"/>
      <c r="M36" s="210"/>
      <c r="N36" s="217">
        <f ca="1">TblMili[[#This Row],[Smithies]]</f>
        <v>0</v>
      </c>
      <c r="O36" s="217">
        <f ca="1">TblPop[[#This Row],[Employment]]</f>
        <v>1</v>
      </c>
      <c r="P36" s="217">
        <f ca="1">TblImps[[#This Row],[Population]]</f>
        <v>1</v>
      </c>
      <c r="Q36" s="175">
        <f ca="1">TblExplore[[#This Row],[Land]]</f>
        <v>110</v>
      </c>
      <c r="R36" s="175">
        <f>TblExplore[[#This Row],[Hour]]</f>
        <v>33</v>
      </c>
      <c r="S36" s="218"/>
      <c r="T36" s="179"/>
      <c r="U36" s="179"/>
      <c r="V36" s="179"/>
      <c r="W36" s="179"/>
      <c r="X36" s="179"/>
      <c r="Y36" s="179"/>
      <c r="Z36" s="179"/>
      <c r="AA36" s="159">
        <f ca="1">TblImps[[#This Row],[Real time]]</f>
        <v>46048.333333333256</v>
      </c>
      <c r="AB36" s="94">
        <f ca="1">TblMili[[#This Row],[Draftees]]</f>
        <v>349</v>
      </c>
      <c r="AC36" s="94">
        <f ca="1">TblProd[[#This Row],[Platinum]]</f>
        <v>103663</v>
      </c>
      <c r="AD36" s="215"/>
      <c r="AE36" s="45">
        <f ca="1">TblExplore[[#This Row],[Land]]-TblExplore[[#This Row],[Land Bonus]]*20</f>
        <v>110</v>
      </c>
      <c r="AF36" s="94">
        <f ca="1">ROUND((0.6*TblExplore[[#This Row],[Land-DB]]^1.299 + IF(TblExplore[[#This Row],[Land-DB]]&lt;1520, (-0.001*(TblExplore[[#This Row],[Land-DB]]^2)+1.91*TblExplore[[#This Row],[Land-DB]]-593), 0))*(1+ tech_2_6*Techs!AC36 + tech_2_9*Techs!AF36 + tech_3_7*Techs!AN36 + Overview!$I$33),0)</f>
        <v>-126</v>
      </c>
      <c r="AG36" s="94">
        <f ca="1">_xlfn.FLOOR.MATH(TblExplore[[#This Row],[Land-DB]]/150)+3+tech_2_9_2*TblTech[[#This Row],[2-9]]+tech_3_7_2*TblTech[[#This Row],[3-7]]</f>
        <v>3</v>
      </c>
      <c r="AH36" s="94">
        <f ca="1">SUM(TblExplore[[#This Row],[Plains Explore]:[Water Explore]])*TblExplore[[#This Row],[Plat/acre]]</f>
        <v>0</v>
      </c>
      <c r="AI36" s="94">
        <f ca="1">SUM(TblExplore[[#This Row],[Plains Explore]:[Water Explore]])*TblExplore[[#This Row],[Draftees/acre]]</f>
        <v>0</v>
      </c>
      <c r="AJ36" s="45">
        <f ca="1">_xlfn.FLOOR.MATH(MIN(TblExplore[[#This Row],[Platinum]]/TblExplore[[#This Row],[Plat/acre]],TblExplore[[#This Row],[Draftees]]/TblExplore[[#This Row],[Draftees/acre]]))</f>
        <v>-823</v>
      </c>
    </row>
    <row r="37" spans="1:36" x14ac:dyDescent="0.2">
      <c r="A37" s="175">
        <f>TblRezone[[#This Row],[Hour]]</f>
        <v>34</v>
      </c>
      <c r="B37" s="214">
        <f ca="1">TblConstr[[#This Row],[Land]]</f>
        <v>110</v>
      </c>
      <c r="C37" s="215"/>
      <c r="D37" s="216">
        <f ca="1">TblConstr[[#This Row],[Plain]]</f>
        <v>60</v>
      </c>
      <c r="E37" s="182">
        <f ca="1">TblConstr[[#This Row],[Forest]]</f>
        <v>0</v>
      </c>
      <c r="F37" s="359">
        <f ca="1">TblConstr[[#This Row],[Mountain]]</f>
        <v>0</v>
      </c>
      <c r="G37" s="363">
        <f ca="1">TblConstr[[#This Row],[Hill]]</f>
        <v>0</v>
      </c>
      <c r="H37" s="367">
        <f ca="1">TblConstr[[#This Row],[Swamp]]</f>
        <v>0</v>
      </c>
      <c r="I37" s="185">
        <f ca="1">TblConstr[[#This Row],[Cavern]]</f>
        <v>0</v>
      </c>
      <c r="J37" s="186">
        <f ca="1">TblConstr[[#This Row],[Water]]</f>
        <v>0</v>
      </c>
      <c r="K37" s="210"/>
      <c r="L37" s="210"/>
      <c r="M37" s="210"/>
      <c r="N37" s="217">
        <f ca="1">TblMili[[#This Row],[Smithies]]</f>
        <v>0</v>
      </c>
      <c r="O37" s="217">
        <f ca="1">TblPop[[#This Row],[Employment]]</f>
        <v>1</v>
      </c>
      <c r="P37" s="217">
        <f ca="1">TblImps[[#This Row],[Population]]</f>
        <v>1</v>
      </c>
      <c r="Q37" s="175">
        <f ca="1">TblExplore[[#This Row],[Land]]</f>
        <v>110</v>
      </c>
      <c r="R37" s="175">
        <f>TblExplore[[#This Row],[Hour]]</f>
        <v>34</v>
      </c>
      <c r="S37" s="218"/>
      <c r="T37" s="179"/>
      <c r="U37" s="179"/>
      <c r="V37" s="179"/>
      <c r="W37" s="179"/>
      <c r="X37" s="179"/>
      <c r="Y37" s="179"/>
      <c r="Z37" s="179"/>
      <c r="AA37" s="159">
        <f ca="1">TblImps[[#This Row],[Real time]]</f>
        <v>46048.37499999992</v>
      </c>
      <c r="AB37" s="94">
        <f ca="1">TblMili[[#This Row],[Draftees]]</f>
        <v>356</v>
      </c>
      <c r="AC37" s="94">
        <f ca="1">TblProd[[#This Row],[Platinum]]</f>
        <v>105625</v>
      </c>
      <c r="AD37" s="215"/>
      <c r="AE37" s="45">
        <f ca="1">TblExplore[[#This Row],[Land]]-TblExplore[[#This Row],[Land Bonus]]*20</f>
        <v>110</v>
      </c>
      <c r="AF37" s="94">
        <f ca="1">ROUND((0.6*TblExplore[[#This Row],[Land-DB]]^1.299 + IF(TblExplore[[#This Row],[Land-DB]]&lt;1520, (-0.001*(TblExplore[[#This Row],[Land-DB]]^2)+1.91*TblExplore[[#This Row],[Land-DB]]-593), 0))*(1+ tech_2_6*Techs!AC37 + tech_2_9*Techs!AF37 + tech_3_7*Techs!AN37 + Overview!$I$33),0)</f>
        <v>-126</v>
      </c>
      <c r="AG37" s="94">
        <f ca="1">_xlfn.FLOOR.MATH(TblExplore[[#This Row],[Land-DB]]/150)+3+tech_2_9_2*TblTech[[#This Row],[2-9]]+tech_3_7_2*TblTech[[#This Row],[3-7]]</f>
        <v>3</v>
      </c>
      <c r="AH37" s="94">
        <f ca="1">SUM(TblExplore[[#This Row],[Plains Explore]:[Water Explore]])*TblExplore[[#This Row],[Plat/acre]]</f>
        <v>0</v>
      </c>
      <c r="AI37" s="94">
        <f ca="1">SUM(TblExplore[[#This Row],[Plains Explore]:[Water Explore]])*TblExplore[[#This Row],[Draftees/acre]]</f>
        <v>0</v>
      </c>
      <c r="AJ37" s="45">
        <f ca="1">_xlfn.FLOOR.MATH(MIN(TblExplore[[#This Row],[Platinum]]/TblExplore[[#This Row],[Plat/acre]],TblExplore[[#This Row],[Draftees]]/TblExplore[[#This Row],[Draftees/acre]]))</f>
        <v>-839</v>
      </c>
    </row>
    <row r="38" spans="1:36" x14ac:dyDescent="0.2">
      <c r="A38" s="175">
        <f>TblRezone[[#This Row],[Hour]]</f>
        <v>35</v>
      </c>
      <c r="B38" s="214">
        <f ca="1">TblConstr[[#This Row],[Land]]</f>
        <v>110</v>
      </c>
      <c r="C38" s="215"/>
      <c r="D38" s="216">
        <f ca="1">TblConstr[[#This Row],[Plain]]</f>
        <v>60</v>
      </c>
      <c r="E38" s="182">
        <f ca="1">TblConstr[[#This Row],[Forest]]</f>
        <v>0</v>
      </c>
      <c r="F38" s="359">
        <f ca="1">TblConstr[[#This Row],[Mountain]]</f>
        <v>0</v>
      </c>
      <c r="G38" s="363">
        <f ca="1">TblConstr[[#This Row],[Hill]]</f>
        <v>0</v>
      </c>
      <c r="H38" s="367">
        <f ca="1">TblConstr[[#This Row],[Swamp]]</f>
        <v>0</v>
      </c>
      <c r="I38" s="185">
        <f ca="1">TblConstr[[#This Row],[Cavern]]</f>
        <v>0</v>
      </c>
      <c r="J38" s="186">
        <f ca="1">TblConstr[[#This Row],[Water]]</f>
        <v>0</v>
      </c>
      <c r="K38" s="210"/>
      <c r="L38" s="210"/>
      <c r="M38" s="210"/>
      <c r="N38" s="217">
        <f ca="1">TblMili[[#This Row],[Smithies]]</f>
        <v>0</v>
      </c>
      <c r="O38" s="217">
        <f ca="1">TblPop[[#This Row],[Employment]]</f>
        <v>1</v>
      </c>
      <c r="P38" s="217">
        <f ca="1">TblImps[[#This Row],[Population]]</f>
        <v>1</v>
      </c>
      <c r="Q38" s="175">
        <f ca="1">TblExplore[[#This Row],[Land]]</f>
        <v>110</v>
      </c>
      <c r="R38" s="175">
        <f>TblExplore[[#This Row],[Hour]]</f>
        <v>35</v>
      </c>
      <c r="S38" s="218"/>
      <c r="T38" s="158"/>
      <c r="U38" s="179"/>
      <c r="V38" s="179"/>
      <c r="W38" s="179"/>
      <c r="X38" s="179"/>
      <c r="Y38" s="179"/>
      <c r="Z38" s="179"/>
      <c r="AA38" s="159">
        <f ca="1">TblImps[[#This Row],[Real time]]</f>
        <v>46048.416666666584</v>
      </c>
      <c r="AB38" s="94">
        <f ca="1">TblMili[[#This Row],[Draftees]]</f>
        <v>363</v>
      </c>
      <c r="AC38" s="94">
        <f ca="1">TblProd[[#This Row],[Platinum]]</f>
        <v>107569</v>
      </c>
      <c r="AD38" s="215"/>
      <c r="AE38" s="45">
        <f ca="1">TblExplore[[#This Row],[Land]]-TblExplore[[#This Row],[Land Bonus]]*20</f>
        <v>110</v>
      </c>
      <c r="AF38" s="94">
        <f ca="1">ROUND((0.6*TblExplore[[#This Row],[Land-DB]]^1.299 + IF(TblExplore[[#This Row],[Land-DB]]&lt;1520, (-0.001*(TblExplore[[#This Row],[Land-DB]]^2)+1.91*TblExplore[[#This Row],[Land-DB]]-593), 0))*(1+ tech_2_6*Techs!AC38 + tech_2_9*Techs!AF38 + tech_3_7*Techs!AN38 + Overview!$I$33),0)</f>
        <v>-126</v>
      </c>
      <c r="AG38" s="94">
        <f ca="1">_xlfn.FLOOR.MATH(TblExplore[[#This Row],[Land-DB]]/150)+3+tech_2_9_2*TblTech[[#This Row],[2-9]]+tech_3_7_2*TblTech[[#This Row],[3-7]]</f>
        <v>3</v>
      </c>
      <c r="AH38" s="94">
        <f ca="1">SUM(TblExplore[[#This Row],[Plains Explore]:[Water Explore]])*TblExplore[[#This Row],[Plat/acre]]</f>
        <v>0</v>
      </c>
      <c r="AI38" s="94">
        <f ca="1">SUM(TblExplore[[#This Row],[Plains Explore]:[Water Explore]])*TblExplore[[#This Row],[Draftees/acre]]</f>
        <v>0</v>
      </c>
      <c r="AJ38" s="45">
        <f ca="1">_xlfn.FLOOR.MATH(MIN(TblExplore[[#This Row],[Platinum]]/TblExplore[[#This Row],[Plat/acre]],TblExplore[[#This Row],[Draftees]]/TblExplore[[#This Row],[Draftees/acre]]))</f>
        <v>-854</v>
      </c>
    </row>
    <row r="39" spans="1:36" x14ac:dyDescent="0.2">
      <c r="A39" s="175">
        <f>TblRezone[[#This Row],[Hour]]</f>
        <v>36</v>
      </c>
      <c r="B39" s="214">
        <f ca="1">TblConstr[[#This Row],[Land]]</f>
        <v>110</v>
      </c>
      <c r="C39" s="215"/>
      <c r="D39" s="216">
        <f ca="1">TblConstr[[#This Row],[Plain]]</f>
        <v>60</v>
      </c>
      <c r="E39" s="182">
        <f ca="1">TblConstr[[#This Row],[Forest]]</f>
        <v>0</v>
      </c>
      <c r="F39" s="359">
        <f ca="1">TblConstr[[#This Row],[Mountain]]</f>
        <v>0</v>
      </c>
      <c r="G39" s="363">
        <f ca="1">TblConstr[[#This Row],[Hill]]</f>
        <v>0</v>
      </c>
      <c r="H39" s="367">
        <f ca="1">TblConstr[[#This Row],[Swamp]]</f>
        <v>0</v>
      </c>
      <c r="I39" s="185">
        <f ca="1">TblConstr[[#This Row],[Cavern]]</f>
        <v>0</v>
      </c>
      <c r="J39" s="186">
        <f ca="1">TblConstr[[#This Row],[Water]]</f>
        <v>0</v>
      </c>
      <c r="K39" s="210"/>
      <c r="L39" s="210"/>
      <c r="M39" s="210"/>
      <c r="N39" s="217">
        <f ca="1">TblMili[[#This Row],[Smithies]]</f>
        <v>0</v>
      </c>
      <c r="O39" s="217">
        <f ca="1">TblPop[[#This Row],[Employment]]</f>
        <v>1</v>
      </c>
      <c r="P39" s="217">
        <f ca="1">TblImps[[#This Row],[Population]]</f>
        <v>1</v>
      </c>
      <c r="Q39" s="175">
        <f ca="1">TblExplore[[#This Row],[Land]]</f>
        <v>110</v>
      </c>
      <c r="R39" s="175">
        <f>TblExplore[[#This Row],[Hour]]</f>
        <v>36</v>
      </c>
      <c r="S39" s="218"/>
      <c r="T39" s="179"/>
      <c r="U39" s="179"/>
      <c r="V39" s="179"/>
      <c r="W39" s="179"/>
      <c r="X39" s="179"/>
      <c r="Y39" s="179"/>
      <c r="Z39" s="179"/>
      <c r="AA39" s="159">
        <f ca="1">TblImps[[#This Row],[Real time]]</f>
        <v>46048.458333333248</v>
      </c>
      <c r="AB39" s="94">
        <f ca="1">TblMili[[#This Row],[Draftees]]</f>
        <v>370</v>
      </c>
      <c r="AC39" s="94">
        <f ca="1">TblProd[[#This Row],[Platinum]]</f>
        <v>109494</v>
      </c>
      <c r="AD39" s="215"/>
      <c r="AE39" s="45">
        <f ca="1">TblExplore[[#This Row],[Land]]-TblExplore[[#This Row],[Land Bonus]]*20</f>
        <v>110</v>
      </c>
      <c r="AF39" s="94">
        <f ca="1">ROUND((0.6*TblExplore[[#This Row],[Land-DB]]^1.299 + IF(TblExplore[[#This Row],[Land-DB]]&lt;1520, (-0.001*(TblExplore[[#This Row],[Land-DB]]^2)+1.91*TblExplore[[#This Row],[Land-DB]]-593), 0))*(1+ tech_2_6*Techs!AC39 + tech_2_9*Techs!AF39 + tech_3_7*Techs!AN39 + Overview!$I$33),0)</f>
        <v>-126</v>
      </c>
      <c r="AG39" s="94">
        <f ca="1">_xlfn.FLOOR.MATH(TblExplore[[#This Row],[Land-DB]]/150)+3+tech_2_9_2*TblTech[[#This Row],[2-9]]+tech_3_7_2*TblTech[[#This Row],[3-7]]</f>
        <v>3</v>
      </c>
      <c r="AH39" s="94">
        <f ca="1">SUM(TblExplore[[#This Row],[Plains Explore]:[Water Explore]])*TblExplore[[#This Row],[Plat/acre]]</f>
        <v>0</v>
      </c>
      <c r="AI39" s="94">
        <f ca="1">SUM(TblExplore[[#This Row],[Plains Explore]:[Water Explore]])*TblExplore[[#This Row],[Draftees/acre]]</f>
        <v>0</v>
      </c>
      <c r="AJ39" s="45">
        <f ca="1">_xlfn.FLOOR.MATH(MIN(TblExplore[[#This Row],[Platinum]]/TblExplore[[#This Row],[Plat/acre]],TblExplore[[#This Row],[Draftees]]/TblExplore[[#This Row],[Draftees/acre]]))</f>
        <v>-869</v>
      </c>
    </row>
    <row r="40" spans="1:36" s="5" customFormat="1" ht="12.75" customHeight="1" x14ac:dyDescent="0.2">
      <c r="A40" s="193">
        <f>TblRezone[[#This Row],[Hour]]</f>
        <v>37</v>
      </c>
      <c r="B40" s="230">
        <f ca="1">TblConstr[[#This Row],[Land]]</f>
        <v>110</v>
      </c>
      <c r="C40" s="231"/>
      <c r="D40" s="232">
        <f ca="1">TblConstr[[#This Row],[Plain]]</f>
        <v>60</v>
      </c>
      <c r="E40" s="196">
        <f ca="1">TblConstr[[#This Row],[Forest]]</f>
        <v>0</v>
      </c>
      <c r="F40" s="360">
        <f ca="1">TblConstr[[#This Row],[Mountain]]</f>
        <v>0</v>
      </c>
      <c r="G40" s="364">
        <f ca="1">TblConstr[[#This Row],[Hill]]</f>
        <v>0</v>
      </c>
      <c r="H40" s="368">
        <f ca="1">TblConstr[[#This Row],[Swamp]]</f>
        <v>0</v>
      </c>
      <c r="I40" s="199">
        <f ca="1">TblConstr[[#This Row],[Cavern]]</f>
        <v>0</v>
      </c>
      <c r="J40" s="200">
        <f ca="1">TblConstr[[#This Row],[Water]]</f>
        <v>0</v>
      </c>
      <c r="K40" s="208"/>
      <c r="L40" s="208"/>
      <c r="M40" s="208"/>
      <c r="N40" s="439">
        <f ca="1">TblMili[[#This Row],[Smithies]]</f>
        <v>0</v>
      </c>
      <c r="O40" s="439">
        <f ca="1">TblPop[[#This Row],[Employment]]</f>
        <v>1</v>
      </c>
      <c r="P40" s="439">
        <f ca="1">TblImps[[#This Row],[Population]]</f>
        <v>1</v>
      </c>
      <c r="Q40" s="193">
        <f ca="1">TblExplore[[#This Row],[Land]]</f>
        <v>110</v>
      </c>
      <c r="R40" s="193">
        <f>TblExplore[[#This Row],[Hour]]</f>
        <v>37</v>
      </c>
      <c r="S40" s="233"/>
      <c r="T40" s="201"/>
      <c r="U40" s="201"/>
      <c r="V40" s="201"/>
      <c r="W40" s="201"/>
      <c r="X40" s="201"/>
      <c r="Y40" s="201"/>
      <c r="Z40" s="201"/>
      <c r="AA40" s="167">
        <f ca="1">TblImps[[#This Row],[Real time]]</f>
        <v>46048.499999999913</v>
      </c>
      <c r="AB40" s="35">
        <f ca="1">TblMili[[#This Row],[Draftees]]</f>
        <v>377</v>
      </c>
      <c r="AC40" s="35">
        <f ca="1">TblProd[[#This Row],[Platinum]]</f>
        <v>111400</v>
      </c>
      <c r="AD40" s="231"/>
      <c r="AE40" s="5">
        <f ca="1">TblExplore[[#This Row],[Land]]-TblExplore[[#This Row],[Land Bonus]]*20</f>
        <v>110</v>
      </c>
      <c r="AF40" s="35">
        <f ca="1">ROUND((0.6*TblExplore[[#This Row],[Land-DB]]^1.299 + IF(TblExplore[[#This Row],[Land-DB]]&lt;1520, (-0.001*(TblExplore[[#This Row],[Land-DB]]^2)+1.91*TblExplore[[#This Row],[Land-DB]]-593), 0))*(1+ tech_2_6*Techs!AC40 + tech_2_9*Techs!AF40 + tech_3_7*Techs!AN40 + Overview!$I$33),0)</f>
        <v>-126</v>
      </c>
      <c r="AG40" s="35">
        <f ca="1">_xlfn.FLOOR.MATH(TblExplore[[#This Row],[Land-DB]]/150)+3+tech_2_9_2*TblTech[[#This Row],[2-9]]+tech_3_7_2*TblTech[[#This Row],[3-7]]</f>
        <v>3</v>
      </c>
      <c r="AH40" s="35">
        <f ca="1">SUM(TblExplore[[#This Row],[Plains Explore]:[Water Explore]])*TblExplore[[#This Row],[Plat/acre]]</f>
        <v>0</v>
      </c>
      <c r="AI40" s="35">
        <f ca="1">SUM(TblExplore[[#This Row],[Plains Explore]:[Water Explore]])*TblExplore[[#This Row],[Draftees/acre]]</f>
        <v>0</v>
      </c>
      <c r="AJ40" s="5">
        <f ca="1">_xlfn.FLOOR.MATH(MIN(TblExplore[[#This Row],[Platinum]]/TblExplore[[#This Row],[Plat/acre]],TblExplore[[#This Row],[Draftees]]/TblExplore[[#This Row],[Draftees/acre]]))</f>
        <v>-885</v>
      </c>
    </row>
    <row r="41" spans="1:36" x14ac:dyDescent="0.2">
      <c r="A41" s="175">
        <f>TblRezone[[#This Row],[Hour]]</f>
        <v>38</v>
      </c>
      <c r="B41" s="214">
        <f ca="1">TblConstr[[#This Row],[Land]]</f>
        <v>110</v>
      </c>
      <c r="C41" s="215"/>
      <c r="D41" s="216">
        <f ca="1">TblConstr[[#This Row],[Plain]]</f>
        <v>60</v>
      </c>
      <c r="E41" s="182">
        <f ca="1">TblConstr[[#This Row],[Forest]]</f>
        <v>0</v>
      </c>
      <c r="F41" s="359">
        <f ca="1">TblConstr[[#This Row],[Mountain]]</f>
        <v>0</v>
      </c>
      <c r="G41" s="363">
        <f ca="1">TblConstr[[#This Row],[Hill]]</f>
        <v>0</v>
      </c>
      <c r="H41" s="367">
        <f ca="1">TblConstr[[#This Row],[Swamp]]</f>
        <v>0</v>
      </c>
      <c r="I41" s="185">
        <f ca="1">TblConstr[[#This Row],[Cavern]]</f>
        <v>0</v>
      </c>
      <c r="J41" s="186">
        <f ca="1">TblConstr[[#This Row],[Water]]</f>
        <v>0</v>
      </c>
      <c r="K41" s="210"/>
      <c r="L41" s="210"/>
      <c r="M41" s="210"/>
      <c r="N41" s="217">
        <f ca="1">TblMili[[#This Row],[Smithies]]</f>
        <v>0</v>
      </c>
      <c r="O41" s="217">
        <f ca="1">TblPop[[#This Row],[Employment]]</f>
        <v>1</v>
      </c>
      <c r="P41" s="217">
        <f ca="1">TblImps[[#This Row],[Population]]</f>
        <v>1</v>
      </c>
      <c r="Q41" s="175">
        <f ca="1">TblExplore[[#This Row],[Land]]</f>
        <v>110</v>
      </c>
      <c r="R41" s="175">
        <f>TblExplore[[#This Row],[Hour]]</f>
        <v>38</v>
      </c>
      <c r="S41" s="218"/>
      <c r="T41" s="179"/>
      <c r="U41" s="179"/>
      <c r="V41" s="179"/>
      <c r="W41" s="179"/>
      <c r="X41" s="179"/>
      <c r="Y41" s="179"/>
      <c r="Z41" s="179"/>
      <c r="AA41" s="159">
        <f ca="1">TblImps[[#This Row],[Real time]]</f>
        <v>46048.541666666577</v>
      </c>
      <c r="AB41" s="94">
        <f ca="1">TblMili[[#This Row],[Draftees]]</f>
        <v>384</v>
      </c>
      <c r="AC41" s="94">
        <f ca="1">TblProd[[#This Row],[Platinum]]</f>
        <v>113287</v>
      </c>
      <c r="AD41" s="215"/>
      <c r="AE41" s="45">
        <f ca="1">TblExplore[[#This Row],[Land]]-TblExplore[[#This Row],[Land Bonus]]*20</f>
        <v>110</v>
      </c>
      <c r="AF41" s="94">
        <f ca="1">ROUND((0.6*TblExplore[[#This Row],[Land-DB]]^1.299 + IF(TblExplore[[#This Row],[Land-DB]]&lt;1520, (-0.001*(TblExplore[[#This Row],[Land-DB]]^2)+1.91*TblExplore[[#This Row],[Land-DB]]-593), 0))*(1+ tech_2_6*Techs!AC41 + tech_2_9*Techs!AF41 + tech_3_7*Techs!AN41 + Overview!$I$33),0)</f>
        <v>-126</v>
      </c>
      <c r="AG41" s="94">
        <f ca="1">_xlfn.FLOOR.MATH(TblExplore[[#This Row],[Land-DB]]/150)+3+tech_2_9_2*TblTech[[#This Row],[2-9]]+tech_3_7_2*TblTech[[#This Row],[3-7]]</f>
        <v>3</v>
      </c>
      <c r="AH41" s="94">
        <f ca="1">SUM(TblExplore[[#This Row],[Plains Explore]:[Water Explore]])*TblExplore[[#This Row],[Plat/acre]]</f>
        <v>0</v>
      </c>
      <c r="AI41" s="94">
        <f ca="1">SUM(TblExplore[[#This Row],[Plains Explore]:[Water Explore]])*TblExplore[[#This Row],[Draftees/acre]]</f>
        <v>0</v>
      </c>
      <c r="AJ41" s="45">
        <f ca="1">_xlfn.FLOOR.MATH(MIN(TblExplore[[#This Row],[Platinum]]/TblExplore[[#This Row],[Plat/acre]],TblExplore[[#This Row],[Draftees]]/TblExplore[[#This Row],[Draftees/acre]]))</f>
        <v>-900</v>
      </c>
    </row>
    <row r="42" spans="1:36" x14ac:dyDescent="0.2">
      <c r="A42" s="175">
        <f>TblRezone[[#This Row],[Hour]]</f>
        <v>39</v>
      </c>
      <c r="B42" s="214">
        <f ca="1">TblConstr[[#This Row],[Land]]</f>
        <v>110</v>
      </c>
      <c r="C42" s="215"/>
      <c r="D42" s="216">
        <f ca="1">TblConstr[[#This Row],[Plain]]</f>
        <v>60</v>
      </c>
      <c r="E42" s="182">
        <f ca="1">TblConstr[[#This Row],[Forest]]</f>
        <v>0</v>
      </c>
      <c r="F42" s="359">
        <f ca="1">TblConstr[[#This Row],[Mountain]]</f>
        <v>0</v>
      </c>
      <c r="G42" s="363">
        <f ca="1">TblConstr[[#This Row],[Hill]]</f>
        <v>0</v>
      </c>
      <c r="H42" s="367">
        <f ca="1">TblConstr[[#This Row],[Swamp]]</f>
        <v>0</v>
      </c>
      <c r="I42" s="185">
        <f ca="1">TblConstr[[#This Row],[Cavern]]</f>
        <v>0</v>
      </c>
      <c r="J42" s="186">
        <f ca="1">TblConstr[[#This Row],[Water]]</f>
        <v>0</v>
      </c>
      <c r="K42" s="210"/>
      <c r="L42" s="210"/>
      <c r="M42" s="210"/>
      <c r="N42" s="217">
        <f ca="1">TblMili[[#This Row],[Smithies]]</f>
        <v>0</v>
      </c>
      <c r="O42" s="217">
        <f ca="1">TblPop[[#This Row],[Employment]]</f>
        <v>1</v>
      </c>
      <c r="P42" s="217">
        <f ca="1">TblImps[[#This Row],[Population]]</f>
        <v>1</v>
      </c>
      <c r="Q42" s="175">
        <f ca="1">TblExplore[[#This Row],[Land]]</f>
        <v>110</v>
      </c>
      <c r="R42" s="175">
        <f>TblExplore[[#This Row],[Hour]]</f>
        <v>39</v>
      </c>
      <c r="S42" s="218"/>
      <c r="T42" s="179"/>
      <c r="U42" s="179"/>
      <c r="V42" s="179"/>
      <c r="W42" s="179"/>
      <c r="X42" s="179"/>
      <c r="Y42" s="179"/>
      <c r="Z42" s="179"/>
      <c r="AA42" s="159">
        <f ca="1">TblImps[[#This Row],[Real time]]</f>
        <v>46048.583333333241</v>
      </c>
      <c r="AB42" s="94">
        <f ca="1">TblMili[[#This Row],[Draftees]]</f>
        <v>391</v>
      </c>
      <c r="AC42" s="94">
        <f ca="1">TblProd[[#This Row],[Platinum]]</f>
        <v>115155</v>
      </c>
      <c r="AD42" s="215"/>
      <c r="AE42" s="45">
        <f ca="1">TblExplore[[#This Row],[Land]]-TblExplore[[#This Row],[Land Bonus]]*20</f>
        <v>110</v>
      </c>
      <c r="AF42" s="94">
        <f ca="1">ROUND((0.6*TblExplore[[#This Row],[Land-DB]]^1.299 + IF(TblExplore[[#This Row],[Land-DB]]&lt;1520, (-0.001*(TblExplore[[#This Row],[Land-DB]]^2)+1.91*TblExplore[[#This Row],[Land-DB]]-593), 0))*(1+ tech_2_6*Techs!AC42 + tech_2_9*Techs!AF42 + tech_3_7*Techs!AN42 + Overview!$I$33),0)</f>
        <v>-126</v>
      </c>
      <c r="AG42" s="94">
        <f ca="1">_xlfn.FLOOR.MATH(TblExplore[[#This Row],[Land-DB]]/150)+3+tech_2_9_2*TblTech[[#This Row],[2-9]]+tech_3_7_2*TblTech[[#This Row],[3-7]]</f>
        <v>3</v>
      </c>
      <c r="AH42" s="94">
        <f ca="1">SUM(TblExplore[[#This Row],[Plains Explore]:[Water Explore]])*TblExplore[[#This Row],[Plat/acre]]</f>
        <v>0</v>
      </c>
      <c r="AI42" s="94">
        <f ca="1">SUM(TblExplore[[#This Row],[Plains Explore]:[Water Explore]])*TblExplore[[#This Row],[Draftees/acre]]</f>
        <v>0</v>
      </c>
      <c r="AJ42" s="45">
        <f ca="1">_xlfn.FLOOR.MATH(MIN(TblExplore[[#This Row],[Platinum]]/TblExplore[[#This Row],[Plat/acre]],TblExplore[[#This Row],[Draftees]]/TblExplore[[#This Row],[Draftees/acre]]))</f>
        <v>-914</v>
      </c>
    </row>
    <row r="43" spans="1:36" x14ac:dyDescent="0.2">
      <c r="A43" s="175">
        <f>TblRezone[[#This Row],[Hour]]</f>
        <v>40</v>
      </c>
      <c r="B43" s="214">
        <f ca="1">TblConstr[[#This Row],[Land]]</f>
        <v>110</v>
      </c>
      <c r="C43" s="215"/>
      <c r="D43" s="216">
        <f ca="1">TblConstr[[#This Row],[Plain]]</f>
        <v>60</v>
      </c>
      <c r="E43" s="182">
        <f ca="1">TblConstr[[#This Row],[Forest]]</f>
        <v>0</v>
      </c>
      <c r="F43" s="359">
        <f ca="1">TblConstr[[#This Row],[Mountain]]</f>
        <v>0</v>
      </c>
      <c r="G43" s="363">
        <f ca="1">TblConstr[[#This Row],[Hill]]</f>
        <v>0</v>
      </c>
      <c r="H43" s="367">
        <f ca="1">TblConstr[[#This Row],[Swamp]]</f>
        <v>0</v>
      </c>
      <c r="I43" s="185">
        <f ca="1">TblConstr[[#This Row],[Cavern]]</f>
        <v>0</v>
      </c>
      <c r="J43" s="186">
        <f ca="1">TblConstr[[#This Row],[Water]]</f>
        <v>0</v>
      </c>
      <c r="K43" s="210"/>
      <c r="L43" s="210"/>
      <c r="M43" s="210"/>
      <c r="N43" s="217">
        <f ca="1">TblMili[[#This Row],[Smithies]]</f>
        <v>0</v>
      </c>
      <c r="O43" s="217">
        <f ca="1">TblPop[[#This Row],[Employment]]</f>
        <v>1</v>
      </c>
      <c r="P43" s="217">
        <f ca="1">TblImps[[#This Row],[Population]]</f>
        <v>1</v>
      </c>
      <c r="Q43" s="175">
        <f ca="1">TblExplore[[#This Row],[Land]]</f>
        <v>110</v>
      </c>
      <c r="R43" s="175">
        <f>TblExplore[[#This Row],[Hour]]</f>
        <v>40</v>
      </c>
      <c r="S43" s="218"/>
      <c r="T43" s="179"/>
      <c r="U43" s="179"/>
      <c r="V43" s="179"/>
      <c r="W43" s="179"/>
      <c r="X43" s="179"/>
      <c r="Y43" s="179"/>
      <c r="Z43" s="179"/>
      <c r="AA43" s="159">
        <f ca="1">TblImps[[#This Row],[Real time]]</f>
        <v>46048.624999999905</v>
      </c>
      <c r="AB43" s="94">
        <f ca="1">TblMili[[#This Row],[Draftees]]</f>
        <v>398</v>
      </c>
      <c r="AC43" s="94">
        <f ca="1">TblProd[[#This Row],[Platinum]]</f>
        <v>117004</v>
      </c>
      <c r="AD43" s="215"/>
      <c r="AE43" s="45">
        <f ca="1">TblExplore[[#This Row],[Land]]-TblExplore[[#This Row],[Land Bonus]]*20</f>
        <v>110</v>
      </c>
      <c r="AF43" s="94">
        <f ca="1">ROUND((0.6*TblExplore[[#This Row],[Land-DB]]^1.299 + IF(TblExplore[[#This Row],[Land-DB]]&lt;1520, (-0.001*(TblExplore[[#This Row],[Land-DB]]^2)+1.91*TblExplore[[#This Row],[Land-DB]]-593), 0))*(1+ tech_2_6*Techs!AC43 + tech_2_9*Techs!AF43 + tech_3_7*Techs!AN43 + Overview!$I$33),0)</f>
        <v>-126</v>
      </c>
      <c r="AG43" s="94">
        <f ca="1">_xlfn.FLOOR.MATH(TblExplore[[#This Row],[Land-DB]]/150)+3+tech_2_9_2*TblTech[[#This Row],[2-9]]+tech_3_7_2*TblTech[[#This Row],[3-7]]</f>
        <v>3</v>
      </c>
      <c r="AH43" s="94">
        <f ca="1">SUM(TblExplore[[#This Row],[Plains Explore]:[Water Explore]])*TblExplore[[#This Row],[Plat/acre]]</f>
        <v>0</v>
      </c>
      <c r="AI43" s="94">
        <f ca="1">SUM(TblExplore[[#This Row],[Plains Explore]:[Water Explore]])*TblExplore[[#This Row],[Draftees/acre]]</f>
        <v>0</v>
      </c>
      <c r="AJ43" s="45">
        <f ca="1">_xlfn.FLOOR.MATH(MIN(TblExplore[[#This Row],[Platinum]]/TblExplore[[#This Row],[Plat/acre]],TblExplore[[#This Row],[Draftees]]/TblExplore[[#This Row],[Draftees/acre]]))</f>
        <v>-929</v>
      </c>
    </row>
    <row r="44" spans="1:36" x14ac:dyDescent="0.2">
      <c r="A44" s="175">
        <f>TblRezone[[#This Row],[Hour]]</f>
        <v>41</v>
      </c>
      <c r="B44" s="214">
        <f ca="1">TblConstr[[#This Row],[Land]]</f>
        <v>110</v>
      </c>
      <c r="C44" s="215"/>
      <c r="D44" s="216">
        <f ca="1">TblConstr[[#This Row],[Plain]]</f>
        <v>60</v>
      </c>
      <c r="E44" s="182">
        <f ca="1">TblConstr[[#This Row],[Forest]]</f>
        <v>0</v>
      </c>
      <c r="F44" s="359">
        <f ca="1">TblConstr[[#This Row],[Mountain]]</f>
        <v>0</v>
      </c>
      <c r="G44" s="363">
        <f ca="1">TblConstr[[#This Row],[Hill]]</f>
        <v>0</v>
      </c>
      <c r="H44" s="367">
        <f ca="1">TblConstr[[#This Row],[Swamp]]</f>
        <v>0</v>
      </c>
      <c r="I44" s="185">
        <f ca="1">TblConstr[[#This Row],[Cavern]]</f>
        <v>0</v>
      </c>
      <c r="J44" s="186">
        <f ca="1">TblConstr[[#This Row],[Water]]</f>
        <v>0</v>
      </c>
      <c r="K44" s="210"/>
      <c r="L44" s="210"/>
      <c r="M44" s="210"/>
      <c r="N44" s="217">
        <f ca="1">TblMili[[#This Row],[Smithies]]</f>
        <v>0</v>
      </c>
      <c r="O44" s="217">
        <f ca="1">TblPop[[#This Row],[Employment]]</f>
        <v>1</v>
      </c>
      <c r="P44" s="217">
        <f ca="1">TblImps[[#This Row],[Population]]</f>
        <v>1</v>
      </c>
      <c r="Q44" s="175">
        <f ca="1">TblExplore[[#This Row],[Land]]</f>
        <v>110</v>
      </c>
      <c r="R44" s="175">
        <f>TblExplore[[#This Row],[Hour]]</f>
        <v>41</v>
      </c>
      <c r="S44" s="218"/>
      <c r="T44" s="179"/>
      <c r="U44" s="179"/>
      <c r="V44" s="179"/>
      <c r="W44" s="179"/>
      <c r="X44" s="179"/>
      <c r="Y44" s="179"/>
      <c r="Z44" s="179"/>
      <c r="AA44" s="159">
        <f ca="1">TblImps[[#This Row],[Real time]]</f>
        <v>46048.66666666657</v>
      </c>
      <c r="AB44" s="94">
        <f ca="1">TblMili[[#This Row],[Draftees]]</f>
        <v>405</v>
      </c>
      <c r="AC44" s="94">
        <f ca="1">TblProd[[#This Row],[Platinum]]</f>
        <v>118834</v>
      </c>
      <c r="AD44" s="215"/>
      <c r="AE44" s="45">
        <f ca="1">TblExplore[[#This Row],[Land]]-TblExplore[[#This Row],[Land Bonus]]*20</f>
        <v>110</v>
      </c>
      <c r="AF44" s="94">
        <f ca="1">ROUND((0.6*TblExplore[[#This Row],[Land-DB]]^1.299 + IF(TblExplore[[#This Row],[Land-DB]]&lt;1520, (-0.001*(TblExplore[[#This Row],[Land-DB]]^2)+1.91*TblExplore[[#This Row],[Land-DB]]-593), 0))*(1+ tech_2_6*Techs!AC44 + tech_2_9*Techs!AF44 + tech_3_7*Techs!AN44 + Overview!$I$33),0)</f>
        <v>-126</v>
      </c>
      <c r="AG44" s="94">
        <f ca="1">_xlfn.FLOOR.MATH(TblExplore[[#This Row],[Land-DB]]/150)+3+tech_2_9_2*TblTech[[#This Row],[2-9]]+tech_3_7_2*TblTech[[#This Row],[3-7]]</f>
        <v>3</v>
      </c>
      <c r="AH44" s="94">
        <f ca="1">SUM(TblExplore[[#This Row],[Plains Explore]:[Water Explore]])*TblExplore[[#This Row],[Plat/acre]]</f>
        <v>0</v>
      </c>
      <c r="AI44" s="94">
        <f ca="1">SUM(TblExplore[[#This Row],[Plains Explore]:[Water Explore]])*TblExplore[[#This Row],[Draftees/acre]]</f>
        <v>0</v>
      </c>
      <c r="AJ44" s="45">
        <f ca="1">_xlfn.FLOOR.MATH(MIN(TblExplore[[#This Row],[Platinum]]/TblExplore[[#This Row],[Plat/acre]],TblExplore[[#This Row],[Draftees]]/TblExplore[[#This Row],[Draftees/acre]]))</f>
        <v>-944</v>
      </c>
    </row>
    <row r="45" spans="1:36" x14ac:dyDescent="0.2">
      <c r="A45" s="175">
        <f>TblRezone[[#This Row],[Hour]]</f>
        <v>42</v>
      </c>
      <c r="B45" s="214">
        <f ca="1">TblConstr[[#This Row],[Land]]</f>
        <v>110</v>
      </c>
      <c r="C45" s="215"/>
      <c r="D45" s="216">
        <f ca="1">TblConstr[[#This Row],[Plain]]</f>
        <v>60</v>
      </c>
      <c r="E45" s="182">
        <f ca="1">TblConstr[[#This Row],[Forest]]</f>
        <v>0</v>
      </c>
      <c r="F45" s="359">
        <f ca="1">TblConstr[[#This Row],[Mountain]]</f>
        <v>0</v>
      </c>
      <c r="G45" s="363">
        <f ca="1">TblConstr[[#This Row],[Hill]]</f>
        <v>0</v>
      </c>
      <c r="H45" s="367">
        <f ca="1">TblConstr[[#This Row],[Swamp]]</f>
        <v>0</v>
      </c>
      <c r="I45" s="185">
        <f ca="1">TblConstr[[#This Row],[Cavern]]</f>
        <v>0</v>
      </c>
      <c r="J45" s="186">
        <f ca="1">TblConstr[[#This Row],[Water]]</f>
        <v>0</v>
      </c>
      <c r="K45" s="210"/>
      <c r="L45" s="210"/>
      <c r="M45" s="210"/>
      <c r="N45" s="217">
        <f ca="1">TblMili[[#This Row],[Smithies]]</f>
        <v>0</v>
      </c>
      <c r="O45" s="217">
        <f ca="1">TblPop[[#This Row],[Employment]]</f>
        <v>1</v>
      </c>
      <c r="P45" s="217">
        <f ca="1">TblImps[[#This Row],[Population]]</f>
        <v>1</v>
      </c>
      <c r="Q45" s="175">
        <f ca="1">TblExplore[[#This Row],[Land]]</f>
        <v>110</v>
      </c>
      <c r="R45" s="175">
        <f>TblExplore[[#This Row],[Hour]]</f>
        <v>42</v>
      </c>
      <c r="S45" s="218"/>
      <c r="T45" s="179"/>
      <c r="U45" s="179"/>
      <c r="V45" s="179"/>
      <c r="W45" s="179"/>
      <c r="X45" s="179"/>
      <c r="Y45" s="179"/>
      <c r="Z45" s="179"/>
      <c r="AA45" s="159">
        <f ca="1">TblImps[[#This Row],[Real time]]</f>
        <v>46048.708333333234</v>
      </c>
      <c r="AB45" s="94">
        <f ca="1">TblMili[[#This Row],[Draftees]]</f>
        <v>412</v>
      </c>
      <c r="AC45" s="94">
        <f ca="1">TblProd[[#This Row],[Platinum]]</f>
        <v>120645</v>
      </c>
      <c r="AD45" s="215"/>
      <c r="AE45" s="45">
        <f ca="1">TblExplore[[#This Row],[Land]]-TblExplore[[#This Row],[Land Bonus]]*20</f>
        <v>110</v>
      </c>
      <c r="AF45" s="94">
        <f ca="1">ROUND((0.6*TblExplore[[#This Row],[Land-DB]]^1.299 + IF(TblExplore[[#This Row],[Land-DB]]&lt;1520, (-0.001*(TblExplore[[#This Row],[Land-DB]]^2)+1.91*TblExplore[[#This Row],[Land-DB]]-593), 0))*(1+ tech_2_6*Techs!AC45 + tech_2_9*Techs!AF45 + tech_3_7*Techs!AN45 + Overview!$I$33),0)</f>
        <v>-126</v>
      </c>
      <c r="AG45" s="94">
        <f ca="1">_xlfn.FLOOR.MATH(TblExplore[[#This Row],[Land-DB]]/150)+3+tech_2_9_2*TblTech[[#This Row],[2-9]]+tech_3_7_2*TblTech[[#This Row],[3-7]]</f>
        <v>3</v>
      </c>
      <c r="AH45" s="94">
        <f ca="1">SUM(TblExplore[[#This Row],[Plains Explore]:[Water Explore]])*TblExplore[[#This Row],[Plat/acre]]</f>
        <v>0</v>
      </c>
      <c r="AI45" s="94">
        <f ca="1">SUM(TblExplore[[#This Row],[Plains Explore]:[Water Explore]])*TblExplore[[#This Row],[Draftees/acre]]</f>
        <v>0</v>
      </c>
      <c r="AJ45" s="45">
        <f ca="1">_xlfn.FLOOR.MATH(MIN(TblExplore[[#This Row],[Platinum]]/TblExplore[[#This Row],[Plat/acre]],TblExplore[[#This Row],[Draftees]]/TblExplore[[#This Row],[Draftees/acre]]))</f>
        <v>-958</v>
      </c>
    </row>
    <row r="46" spans="1:36" x14ac:dyDescent="0.2">
      <c r="A46" s="175">
        <f>TblRezone[[#This Row],[Hour]]</f>
        <v>43</v>
      </c>
      <c r="B46" s="214">
        <f ca="1">TblConstr[[#This Row],[Land]]</f>
        <v>110</v>
      </c>
      <c r="C46" s="215"/>
      <c r="D46" s="216">
        <f ca="1">TblConstr[[#This Row],[Plain]]</f>
        <v>60</v>
      </c>
      <c r="E46" s="182">
        <f ca="1">TblConstr[[#This Row],[Forest]]</f>
        <v>0</v>
      </c>
      <c r="F46" s="359">
        <f ca="1">TblConstr[[#This Row],[Mountain]]</f>
        <v>0</v>
      </c>
      <c r="G46" s="363">
        <f ca="1">TblConstr[[#This Row],[Hill]]</f>
        <v>0</v>
      </c>
      <c r="H46" s="367">
        <f ca="1">TblConstr[[#This Row],[Swamp]]</f>
        <v>0</v>
      </c>
      <c r="I46" s="185">
        <f ca="1">TblConstr[[#This Row],[Cavern]]</f>
        <v>0</v>
      </c>
      <c r="J46" s="186">
        <f ca="1">TblConstr[[#This Row],[Water]]</f>
        <v>0</v>
      </c>
      <c r="K46" s="210"/>
      <c r="L46" s="210"/>
      <c r="M46" s="210"/>
      <c r="N46" s="217">
        <f ca="1">TblMili[[#This Row],[Smithies]]</f>
        <v>0</v>
      </c>
      <c r="O46" s="217">
        <f ca="1">TblPop[[#This Row],[Employment]]</f>
        <v>1</v>
      </c>
      <c r="P46" s="217">
        <f ca="1">TblImps[[#This Row],[Population]]</f>
        <v>1</v>
      </c>
      <c r="Q46" s="175">
        <f ca="1">TblExplore[[#This Row],[Land]]</f>
        <v>110</v>
      </c>
      <c r="R46" s="175">
        <f>TblExplore[[#This Row],[Hour]]</f>
        <v>43</v>
      </c>
      <c r="S46" s="218"/>
      <c r="T46" s="179"/>
      <c r="U46" s="179"/>
      <c r="V46" s="179"/>
      <c r="W46" s="179"/>
      <c r="X46" s="179"/>
      <c r="Y46" s="179"/>
      <c r="Z46" s="179"/>
      <c r="AA46" s="159">
        <f ca="1">TblImps[[#This Row],[Real time]]</f>
        <v>46048.749999999898</v>
      </c>
      <c r="AB46" s="94">
        <f ca="1">TblMili[[#This Row],[Draftees]]</f>
        <v>419</v>
      </c>
      <c r="AC46" s="94">
        <f ca="1">TblProd[[#This Row],[Platinum]]</f>
        <v>122437</v>
      </c>
      <c r="AD46" s="215"/>
      <c r="AE46" s="45">
        <f ca="1">TblExplore[[#This Row],[Land]]-TblExplore[[#This Row],[Land Bonus]]*20</f>
        <v>110</v>
      </c>
      <c r="AF46" s="94">
        <f ca="1">ROUND((0.6*TblExplore[[#This Row],[Land-DB]]^1.299 + IF(TblExplore[[#This Row],[Land-DB]]&lt;1520, (-0.001*(TblExplore[[#This Row],[Land-DB]]^2)+1.91*TblExplore[[#This Row],[Land-DB]]-593), 0))*(1+ tech_2_6*Techs!AC46 + tech_2_9*Techs!AF46 + tech_3_7*Techs!AN46 + Overview!$I$33),0)</f>
        <v>-126</v>
      </c>
      <c r="AG46" s="94">
        <f ca="1">_xlfn.FLOOR.MATH(TblExplore[[#This Row],[Land-DB]]/150)+3+tech_2_9_2*TblTech[[#This Row],[2-9]]+tech_3_7_2*TblTech[[#This Row],[3-7]]</f>
        <v>3</v>
      </c>
      <c r="AH46" s="94">
        <f ca="1">SUM(TblExplore[[#This Row],[Plains Explore]:[Water Explore]])*TblExplore[[#This Row],[Plat/acre]]</f>
        <v>0</v>
      </c>
      <c r="AI46" s="94">
        <f ca="1">SUM(TblExplore[[#This Row],[Plains Explore]:[Water Explore]])*TblExplore[[#This Row],[Draftees/acre]]</f>
        <v>0</v>
      </c>
      <c r="AJ46" s="45">
        <f ca="1">_xlfn.FLOOR.MATH(MIN(TblExplore[[#This Row],[Platinum]]/TblExplore[[#This Row],[Plat/acre]],TblExplore[[#This Row],[Draftees]]/TblExplore[[#This Row],[Draftees/acre]]))</f>
        <v>-972</v>
      </c>
    </row>
    <row r="47" spans="1:36" x14ac:dyDescent="0.2">
      <c r="A47" s="175">
        <f>TblRezone[[#This Row],[Hour]]</f>
        <v>44</v>
      </c>
      <c r="B47" s="214">
        <f ca="1">TblConstr[[#This Row],[Land]]</f>
        <v>110</v>
      </c>
      <c r="C47" s="215"/>
      <c r="D47" s="216">
        <f ca="1">TblConstr[[#This Row],[Plain]]</f>
        <v>60</v>
      </c>
      <c r="E47" s="182">
        <f ca="1">TblConstr[[#This Row],[Forest]]</f>
        <v>0</v>
      </c>
      <c r="F47" s="359">
        <f ca="1">TblConstr[[#This Row],[Mountain]]</f>
        <v>0</v>
      </c>
      <c r="G47" s="363">
        <f ca="1">TblConstr[[#This Row],[Hill]]</f>
        <v>0</v>
      </c>
      <c r="H47" s="367">
        <f ca="1">TblConstr[[#This Row],[Swamp]]</f>
        <v>0</v>
      </c>
      <c r="I47" s="185">
        <f ca="1">TblConstr[[#This Row],[Cavern]]</f>
        <v>0</v>
      </c>
      <c r="J47" s="186">
        <f ca="1">TblConstr[[#This Row],[Water]]</f>
        <v>0</v>
      </c>
      <c r="K47" s="210"/>
      <c r="L47" s="210"/>
      <c r="M47" s="210"/>
      <c r="N47" s="217">
        <f ca="1">TblMili[[#This Row],[Smithies]]</f>
        <v>0</v>
      </c>
      <c r="O47" s="217">
        <f ca="1">TblPop[[#This Row],[Employment]]</f>
        <v>1</v>
      </c>
      <c r="P47" s="217">
        <f ca="1">TblImps[[#This Row],[Population]]</f>
        <v>1</v>
      </c>
      <c r="Q47" s="175">
        <f ca="1">TblExplore[[#This Row],[Land]]</f>
        <v>110</v>
      </c>
      <c r="R47" s="175">
        <f>TblExplore[[#This Row],[Hour]]</f>
        <v>44</v>
      </c>
      <c r="S47" s="218"/>
      <c r="T47" s="179"/>
      <c r="U47" s="179"/>
      <c r="V47" s="179"/>
      <c r="W47" s="179"/>
      <c r="X47" s="179"/>
      <c r="Y47" s="179"/>
      <c r="Z47" s="179"/>
      <c r="AA47" s="159">
        <f ca="1">TblImps[[#This Row],[Real time]]</f>
        <v>46048.791666666562</v>
      </c>
      <c r="AB47" s="94">
        <f ca="1">TblMili[[#This Row],[Draftees]]</f>
        <v>426</v>
      </c>
      <c r="AC47" s="94">
        <f ca="1">TblProd[[#This Row],[Platinum]]</f>
        <v>124210</v>
      </c>
      <c r="AD47" s="215"/>
      <c r="AE47" s="45">
        <f ca="1">TblExplore[[#This Row],[Land]]-TblExplore[[#This Row],[Land Bonus]]*20</f>
        <v>110</v>
      </c>
      <c r="AF47" s="94">
        <f ca="1">ROUND((0.6*TblExplore[[#This Row],[Land-DB]]^1.299 + IF(TblExplore[[#This Row],[Land-DB]]&lt;1520, (-0.001*(TblExplore[[#This Row],[Land-DB]]^2)+1.91*TblExplore[[#This Row],[Land-DB]]-593), 0))*(1+ tech_2_6*Techs!AC47 + tech_2_9*Techs!AF47 + tech_3_7*Techs!AN47 + Overview!$I$33),0)</f>
        <v>-126</v>
      </c>
      <c r="AG47" s="94">
        <f ca="1">_xlfn.FLOOR.MATH(TblExplore[[#This Row],[Land-DB]]/150)+3+tech_2_9_2*TblTech[[#This Row],[2-9]]+tech_3_7_2*TblTech[[#This Row],[3-7]]</f>
        <v>3</v>
      </c>
      <c r="AH47" s="94">
        <f ca="1">SUM(TblExplore[[#This Row],[Plains Explore]:[Water Explore]])*TblExplore[[#This Row],[Plat/acre]]</f>
        <v>0</v>
      </c>
      <c r="AI47" s="94">
        <f ca="1">SUM(TblExplore[[#This Row],[Plains Explore]:[Water Explore]])*TblExplore[[#This Row],[Draftees/acre]]</f>
        <v>0</v>
      </c>
      <c r="AJ47" s="45">
        <f ca="1">_xlfn.FLOOR.MATH(MIN(TblExplore[[#This Row],[Platinum]]/TblExplore[[#This Row],[Plat/acre]],TblExplore[[#This Row],[Draftees]]/TblExplore[[#This Row],[Draftees/acre]]))</f>
        <v>-986</v>
      </c>
    </row>
    <row r="48" spans="1:36" x14ac:dyDescent="0.2">
      <c r="A48" s="175">
        <f>TblRezone[[#This Row],[Hour]]</f>
        <v>45</v>
      </c>
      <c r="B48" s="214">
        <f ca="1">TblConstr[[#This Row],[Land]]</f>
        <v>110</v>
      </c>
      <c r="C48" s="215"/>
      <c r="D48" s="216">
        <f ca="1">TblConstr[[#This Row],[Plain]]</f>
        <v>60</v>
      </c>
      <c r="E48" s="182">
        <f ca="1">TblConstr[[#This Row],[Forest]]</f>
        <v>0</v>
      </c>
      <c r="F48" s="359">
        <f ca="1">TblConstr[[#This Row],[Mountain]]</f>
        <v>0</v>
      </c>
      <c r="G48" s="363">
        <f ca="1">TblConstr[[#This Row],[Hill]]</f>
        <v>0</v>
      </c>
      <c r="H48" s="367">
        <f ca="1">TblConstr[[#This Row],[Swamp]]</f>
        <v>0</v>
      </c>
      <c r="I48" s="185">
        <f ca="1">TblConstr[[#This Row],[Cavern]]</f>
        <v>0</v>
      </c>
      <c r="J48" s="186">
        <f ca="1">TblConstr[[#This Row],[Water]]</f>
        <v>0</v>
      </c>
      <c r="K48" s="210"/>
      <c r="L48" s="210"/>
      <c r="M48" s="210"/>
      <c r="N48" s="217">
        <f ca="1">TblMili[[#This Row],[Smithies]]</f>
        <v>0</v>
      </c>
      <c r="O48" s="217">
        <f ca="1">TblPop[[#This Row],[Employment]]</f>
        <v>1</v>
      </c>
      <c r="P48" s="217">
        <f ca="1">TblImps[[#This Row],[Population]]</f>
        <v>1</v>
      </c>
      <c r="Q48" s="175">
        <f ca="1">TblExplore[[#This Row],[Land]]</f>
        <v>110</v>
      </c>
      <c r="R48" s="175">
        <f>TblExplore[[#This Row],[Hour]]</f>
        <v>45</v>
      </c>
      <c r="S48" s="218"/>
      <c r="T48" s="179"/>
      <c r="U48" s="179"/>
      <c r="V48" s="179"/>
      <c r="W48" s="179"/>
      <c r="X48" s="179"/>
      <c r="Y48" s="179"/>
      <c r="Z48" s="179"/>
      <c r="AA48" s="159">
        <f ca="1">TblImps[[#This Row],[Real time]]</f>
        <v>46048.833333333227</v>
      </c>
      <c r="AB48" s="94">
        <f ca="1">TblMili[[#This Row],[Draftees]]</f>
        <v>433</v>
      </c>
      <c r="AC48" s="94">
        <f ca="1">TblProd[[#This Row],[Platinum]]</f>
        <v>125965</v>
      </c>
      <c r="AD48" s="215"/>
      <c r="AE48" s="45">
        <f ca="1">TblExplore[[#This Row],[Land]]-TblExplore[[#This Row],[Land Bonus]]*20</f>
        <v>110</v>
      </c>
      <c r="AF48" s="94">
        <f ca="1">ROUND((0.6*TblExplore[[#This Row],[Land-DB]]^1.299 + IF(TblExplore[[#This Row],[Land-DB]]&lt;1520, (-0.001*(TblExplore[[#This Row],[Land-DB]]^2)+1.91*TblExplore[[#This Row],[Land-DB]]-593), 0))*(1+ tech_2_6*Techs!AC48 + tech_2_9*Techs!AF48 + tech_3_7*Techs!AN48 + Overview!$I$33),0)</f>
        <v>-126</v>
      </c>
      <c r="AG48" s="94">
        <f ca="1">_xlfn.FLOOR.MATH(TblExplore[[#This Row],[Land-DB]]/150)+3+tech_2_9_2*TblTech[[#This Row],[2-9]]+tech_3_7_2*TblTech[[#This Row],[3-7]]</f>
        <v>3</v>
      </c>
      <c r="AH48" s="94">
        <f ca="1">SUM(TblExplore[[#This Row],[Plains Explore]:[Water Explore]])*TblExplore[[#This Row],[Plat/acre]]</f>
        <v>0</v>
      </c>
      <c r="AI48" s="94">
        <f ca="1">SUM(TblExplore[[#This Row],[Plains Explore]:[Water Explore]])*TblExplore[[#This Row],[Draftees/acre]]</f>
        <v>0</v>
      </c>
      <c r="AJ48" s="45">
        <f ca="1">_xlfn.FLOOR.MATH(MIN(TblExplore[[#This Row],[Platinum]]/TblExplore[[#This Row],[Plat/acre]],TblExplore[[#This Row],[Draftees]]/TblExplore[[#This Row],[Draftees/acre]]))</f>
        <v>-1000</v>
      </c>
    </row>
    <row r="49" spans="1:36" x14ac:dyDescent="0.2">
      <c r="A49" s="175">
        <f>TblRezone[[#This Row],[Hour]]</f>
        <v>46</v>
      </c>
      <c r="B49" s="214">
        <f ca="1">TblConstr[[#This Row],[Land]]</f>
        <v>110</v>
      </c>
      <c r="C49" s="215"/>
      <c r="D49" s="216">
        <f ca="1">TblConstr[[#This Row],[Plain]]</f>
        <v>60</v>
      </c>
      <c r="E49" s="182">
        <f ca="1">TblConstr[[#This Row],[Forest]]</f>
        <v>0</v>
      </c>
      <c r="F49" s="359">
        <f ca="1">TblConstr[[#This Row],[Mountain]]</f>
        <v>0</v>
      </c>
      <c r="G49" s="363">
        <f ca="1">TblConstr[[#This Row],[Hill]]</f>
        <v>0</v>
      </c>
      <c r="H49" s="367">
        <f ca="1">TblConstr[[#This Row],[Swamp]]</f>
        <v>0</v>
      </c>
      <c r="I49" s="185">
        <f ca="1">TblConstr[[#This Row],[Cavern]]</f>
        <v>0</v>
      </c>
      <c r="J49" s="186">
        <f ca="1">TblConstr[[#This Row],[Water]]</f>
        <v>0</v>
      </c>
      <c r="K49" s="210"/>
      <c r="L49" s="210"/>
      <c r="M49" s="210"/>
      <c r="N49" s="217">
        <f ca="1">TblMili[[#This Row],[Smithies]]</f>
        <v>0</v>
      </c>
      <c r="O49" s="217">
        <f ca="1">TblPop[[#This Row],[Employment]]</f>
        <v>1</v>
      </c>
      <c r="P49" s="217">
        <f ca="1">TblImps[[#This Row],[Population]]</f>
        <v>1</v>
      </c>
      <c r="Q49" s="175">
        <f ca="1">TblExplore[[#This Row],[Land]]</f>
        <v>110</v>
      </c>
      <c r="R49" s="175">
        <f>TblExplore[[#This Row],[Hour]]</f>
        <v>46</v>
      </c>
      <c r="S49" s="218"/>
      <c r="T49" s="179"/>
      <c r="U49" s="179"/>
      <c r="V49" s="179"/>
      <c r="W49" s="179"/>
      <c r="X49" s="179"/>
      <c r="Y49" s="179"/>
      <c r="Z49" s="179"/>
      <c r="AA49" s="159">
        <f ca="1">TblImps[[#This Row],[Real time]]</f>
        <v>46048.874999999891</v>
      </c>
      <c r="AB49" s="94">
        <f ca="1">TblMili[[#This Row],[Draftees]]</f>
        <v>439</v>
      </c>
      <c r="AC49" s="94">
        <f ca="1">TblProd[[#This Row],[Platinum]]</f>
        <v>127701</v>
      </c>
      <c r="AD49" s="215"/>
      <c r="AE49" s="45">
        <f ca="1">TblExplore[[#This Row],[Land]]-TblExplore[[#This Row],[Land Bonus]]*20</f>
        <v>110</v>
      </c>
      <c r="AF49" s="94">
        <f ca="1">ROUND((0.6*TblExplore[[#This Row],[Land-DB]]^1.299 + IF(TblExplore[[#This Row],[Land-DB]]&lt;1520, (-0.001*(TblExplore[[#This Row],[Land-DB]]^2)+1.91*TblExplore[[#This Row],[Land-DB]]-593), 0))*(1+ tech_2_6*Techs!AC49 + tech_2_9*Techs!AF49 + tech_3_7*Techs!AN49 + Overview!$I$33),0)</f>
        <v>-126</v>
      </c>
      <c r="AG49" s="94">
        <f ca="1">_xlfn.FLOOR.MATH(TblExplore[[#This Row],[Land-DB]]/150)+3+tech_2_9_2*TblTech[[#This Row],[2-9]]+tech_3_7_2*TblTech[[#This Row],[3-7]]</f>
        <v>3</v>
      </c>
      <c r="AH49" s="94">
        <f ca="1">SUM(TblExplore[[#This Row],[Plains Explore]:[Water Explore]])*TblExplore[[#This Row],[Plat/acre]]</f>
        <v>0</v>
      </c>
      <c r="AI49" s="94">
        <f ca="1">SUM(TblExplore[[#This Row],[Plains Explore]:[Water Explore]])*TblExplore[[#This Row],[Draftees/acre]]</f>
        <v>0</v>
      </c>
      <c r="AJ49" s="45">
        <f ca="1">_xlfn.FLOOR.MATH(MIN(TblExplore[[#This Row],[Platinum]]/TblExplore[[#This Row],[Plat/acre]],TblExplore[[#This Row],[Draftees]]/TblExplore[[#This Row],[Draftees/acre]]))</f>
        <v>-1014</v>
      </c>
    </row>
    <row r="50" spans="1:36" x14ac:dyDescent="0.2">
      <c r="A50" s="175">
        <f>TblRezone[[#This Row],[Hour]]</f>
        <v>47</v>
      </c>
      <c r="B50" s="214">
        <f ca="1">TblConstr[[#This Row],[Land]]</f>
        <v>110</v>
      </c>
      <c r="C50" s="215"/>
      <c r="D50" s="216">
        <f ca="1">TblConstr[[#This Row],[Plain]]</f>
        <v>60</v>
      </c>
      <c r="E50" s="182">
        <f ca="1">TblConstr[[#This Row],[Forest]]</f>
        <v>0</v>
      </c>
      <c r="F50" s="359">
        <f ca="1">TblConstr[[#This Row],[Mountain]]</f>
        <v>0</v>
      </c>
      <c r="G50" s="363">
        <f ca="1">TblConstr[[#This Row],[Hill]]</f>
        <v>0</v>
      </c>
      <c r="H50" s="367">
        <f ca="1">TblConstr[[#This Row],[Swamp]]</f>
        <v>0</v>
      </c>
      <c r="I50" s="185">
        <f ca="1">TblConstr[[#This Row],[Cavern]]</f>
        <v>0</v>
      </c>
      <c r="J50" s="186">
        <f ca="1">TblConstr[[#This Row],[Water]]</f>
        <v>0</v>
      </c>
      <c r="K50" s="210"/>
      <c r="L50" s="210"/>
      <c r="M50" s="210"/>
      <c r="N50" s="217">
        <f ca="1">TblMili[[#This Row],[Smithies]]</f>
        <v>0</v>
      </c>
      <c r="O50" s="217">
        <f ca="1">TblPop[[#This Row],[Employment]]</f>
        <v>1</v>
      </c>
      <c r="P50" s="217">
        <f ca="1">TblImps[[#This Row],[Population]]</f>
        <v>1</v>
      </c>
      <c r="Q50" s="175">
        <f ca="1">TblExplore[[#This Row],[Land]]</f>
        <v>110</v>
      </c>
      <c r="R50" s="175">
        <f>TblExplore[[#This Row],[Hour]]</f>
        <v>47</v>
      </c>
      <c r="S50" s="218"/>
      <c r="T50" s="179"/>
      <c r="U50" s="179"/>
      <c r="V50" s="179"/>
      <c r="W50" s="179"/>
      <c r="X50" s="179"/>
      <c r="Y50" s="179"/>
      <c r="Z50" s="179"/>
      <c r="AA50" s="159">
        <f ca="1">TblImps[[#This Row],[Real time]]</f>
        <v>46048.916666666555</v>
      </c>
      <c r="AB50" s="94">
        <f ca="1">TblMili[[#This Row],[Draftees]]</f>
        <v>445</v>
      </c>
      <c r="AC50" s="94">
        <f ca="1">TblProd[[#This Row],[Platinum]]</f>
        <v>129420</v>
      </c>
      <c r="AD50" s="215"/>
      <c r="AE50" s="45">
        <f ca="1">TblExplore[[#This Row],[Land]]-TblExplore[[#This Row],[Land Bonus]]*20</f>
        <v>110</v>
      </c>
      <c r="AF50" s="94">
        <f ca="1">ROUND((0.6*TblExplore[[#This Row],[Land-DB]]^1.299 + IF(TblExplore[[#This Row],[Land-DB]]&lt;1520, (-0.001*(TblExplore[[#This Row],[Land-DB]]^2)+1.91*TblExplore[[#This Row],[Land-DB]]-593), 0))*(1+ tech_2_6*Techs!AC50 + tech_2_9*Techs!AF50 + tech_3_7*Techs!AN50 + Overview!$I$33),0)</f>
        <v>-126</v>
      </c>
      <c r="AG50" s="94">
        <f ca="1">_xlfn.FLOOR.MATH(TblExplore[[#This Row],[Land-DB]]/150)+3+tech_2_9_2*TblTech[[#This Row],[2-9]]+tech_3_7_2*TblTech[[#This Row],[3-7]]</f>
        <v>3</v>
      </c>
      <c r="AH50" s="94">
        <f ca="1">SUM(TblExplore[[#This Row],[Plains Explore]:[Water Explore]])*TblExplore[[#This Row],[Plat/acre]]</f>
        <v>0</v>
      </c>
      <c r="AI50" s="94">
        <f ca="1">SUM(TblExplore[[#This Row],[Plains Explore]:[Water Explore]])*TblExplore[[#This Row],[Draftees/acre]]</f>
        <v>0</v>
      </c>
      <c r="AJ50" s="45">
        <f ca="1">_xlfn.FLOOR.MATH(MIN(TblExplore[[#This Row],[Platinum]]/TblExplore[[#This Row],[Plat/acre]],TblExplore[[#This Row],[Draftees]]/TblExplore[[#This Row],[Draftees/acre]]))</f>
        <v>-1028</v>
      </c>
    </row>
    <row r="51" spans="1:36" x14ac:dyDescent="0.2">
      <c r="A51" s="175">
        <f>TblRezone[[#This Row],[Hour]]</f>
        <v>48</v>
      </c>
      <c r="B51" s="214">
        <f ca="1">TblConstr[[#This Row],[Land]]</f>
        <v>110</v>
      </c>
      <c r="C51" s="215"/>
      <c r="D51" s="216">
        <f ca="1">TblConstr[[#This Row],[Plain]]</f>
        <v>60</v>
      </c>
      <c r="E51" s="182">
        <f ca="1">TblConstr[[#This Row],[Forest]]</f>
        <v>0</v>
      </c>
      <c r="F51" s="359">
        <f ca="1">TblConstr[[#This Row],[Mountain]]</f>
        <v>0</v>
      </c>
      <c r="G51" s="363">
        <f ca="1">TblConstr[[#This Row],[Hill]]</f>
        <v>0</v>
      </c>
      <c r="H51" s="367">
        <f ca="1">TblConstr[[#This Row],[Swamp]]</f>
        <v>0</v>
      </c>
      <c r="I51" s="185">
        <f ca="1">TblConstr[[#This Row],[Cavern]]</f>
        <v>0</v>
      </c>
      <c r="J51" s="186">
        <f ca="1">TblConstr[[#This Row],[Water]]</f>
        <v>0</v>
      </c>
      <c r="K51" s="210"/>
      <c r="L51" s="210"/>
      <c r="M51" s="210"/>
      <c r="N51" s="217">
        <f ca="1">TblMili[[#This Row],[Smithies]]</f>
        <v>0</v>
      </c>
      <c r="O51" s="217">
        <f ca="1">TblPop[[#This Row],[Employment]]</f>
        <v>1</v>
      </c>
      <c r="P51" s="217">
        <f ca="1">TblImps[[#This Row],[Population]]</f>
        <v>1</v>
      </c>
      <c r="Q51" s="175">
        <f ca="1">TblExplore[[#This Row],[Land]]</f>
        <v>110</v>
      </c>
      <c r="R51" s="175">
        <f>TblExplore[[#This Row],[Hour]]</f>
        <v>48</v>
      </c>
      <c r="S51" s="218"/>
      <c r="T51" s="179"/>
      <c r="U51" s="179"/>
      <c r="V51" s="179"/>
      <c r="W51" s="179"/>
      <c r="X51" s="179"/>
      <c r="Y51" s="179"/>
      <c r="Z51" s="179"/>
      <c r="AA51" s="159">
        <f ca="1">TblImps[[#This Row],[Real time]]</f>
        <v>46048.958333333219</v>
      </c>
      <c r="AB51" s="94">
        <f ca="1">TblMili[[#This Row],[Draftees]]</f>
        <v>451</v>
      </c>
      <c r="AC51" s="94">
        <f ca="1">TblProd[[#This Row],[Platinum]]</f>
        <v>131123</v>
      </c>
      <c r="AD51" s="215"/>
      <c r="AE51" s="45">
        <f ca="1">TblExplore[[#This Row],[Land]]-TblExplore[[#This Row],[Land Bonus]]*20</f>
        <v>110</v>
      </c>
      <c r="AF51" s="94">
        <f ca="1">ROUND((0.6*TblExplore[[#This Row],[Land-DB]]^1.299 + IF(TblExplore[[#This Row],[Land-DB]]&lt;1520, (-0.001*(TblExplore[[#This Row],[Land-DB]]^2)+1.91*TblExplore[[#This Row],[Land-DB]]-593), 0))*(1+ tech_2_6*Techs!AC51 + tech_2_9*Techs!AF51 + tech_3_7*Techs!AN51 + Overview!$I$33),0)</f>
        <v>-126</v>
      </c>
      <c r="AG51" s="94">
        <f ca="1">_xlfn.FLOOR.MATH(TblExplore[[#This Row],[Land-DB]]/150)+3+tech_2_9_2*TblTech[[#This Row],[2-9]]+tech_3_7_2*TblTech[[#This Row],[3-7]]</f>
        <v>3</v>
      </c>
      <c r="AH51" s="94">
        <f ca="1">SUM(TblExplore[[#This Row],[Plains Explore]:[Water Explore]])*TblExplore[[#This Row],[Plat/acre]]</f>
        <v>0</v>
      </c>
      <c r="AI51" s="94">
        <f ca="1">SUM(TblExplore[[#This Row],[Plains Explore]:[Water Explore]])*TblExplore[[#This Row],[Draftees/acre]]</f>
        <v>0</v>
      </c>
      <c r="AJ51" s="45">
        <f ca="1">_xlfn.FLOOR.MATH(MIN(TblExplore[[#This Row],[Platinum]]/TblExplore[[#This Row],[Plat/acre]],TblExplore[[#This Row],[Draftees]]/TblExplore[[#This Row],[Draftees/acre]]))</f>
        <v>-1041</v>
      </c>
    </row>
    <row r="52" spans="1:36" x14ac:dyDescent="0.2">
      <c r="A52" s="175">
        <f>TblRezone[[#This Row],[Hour]]</f>
        <v>49</v>
      </c>
      <c r="B52" s="214">
        <f ca="1">TblConstr[[#This Row],[Land]]</f>
        <v>110</v>
      </c>
      <c r="C52" s="215"/>
      <c r="D52" s="216">
        <f ca="1">TblConstr[[#This Row],[Plain]]</f>
        <v>60</v>
      </c>
      <c r="E52" s="182">
        <f ca="1">TblConstr[[#This Row],[Forest]]</f>
        <v>0</v>
      </c>
      <c r="F52" s="359">
        <f ca="1">TblConstr[[#This Row],[Mountain]]</f>
        <v>0</v>
      </c>
      <c r="G52" s="363">
        <f ca="1">TblConstr[[#This Row],[Hill]]</f>
        <v>0</v>
      </c>
      <c r="H52" s="367">
        <f ca="1">TblConstr[[#This Row],[Swamp]]</f>
        <v>0</v>
      </c>
      <c r="I52" s="185">
        <f ca="1">TblConstr[[#This Row],[Cavern]]</f>
        <v>0</v>
      </c>
      <c r="J52" s="186">
        <f ca="1">TblConstr[[#This Row],[Water]]</f>
        <v>0</v>
      </c>
      <c r="K52" s="210"/>
      <c r="L52" s="479"/>
      <c r="M52" s="228"/>
      <c r="N52" s="217">
        <f ca="1">TblMili[[#This Row],[Smithies]]</f>
        <v>0</v>
      </c>
      <c r="O52" s="217">
        <f ca="1">TblPop[[#This Row],[Employment]]</f>
        <v>1</v>
      </c>
      <c r="P52" s="217">
        <f ca="1">TblImps[[#This Row],[Population]]</f>
        <v>1</v>
      </c>
      <c r="Q52" s="175">
        <f ca="1">TblExplore[[#This Row],[Land]]</f>
        <v>110</v>
      </c>
      <c r="R52" s="175">
        <f>TblExplore[[#This Row],[Hour]]</f>
        <v>49</v>
      </c>
      <c r="S52" s="218"/>
      <c r="T52" s="179"/>
      <c r="U52" s="179"/>
      <c r="V52" s="179"/>
      <c r="W52" s="179"/>
      <c r="X52" s="179"/>
      <c r="Y52" s="179"/>
      <c r="Z52" s="179"/>
      <c r="AA52" s="159">
        <f ca="1">TblImps[[#This Row],[Real time]]</f>
        <v>46048.999999999884</v>
      </c>
      <c r="AB52" s="94">
        <f ca="1">TblMili[[#This Row],[Draftees]]</f>
        <v>457</v>
      </c>
      <c r="AC52" s="94">
        <f ca="1">TblProd[[#This Row],[Platinum]]</f>
        <v>132810</v>
      </c>
      <c r="AD52" s="215"/>
      <c r="AE52" s="45">
        <f ca="1">TblExplore[[#This Row],[Land]]-TblExplore[[#This Row],[Land Bonus]]*20</f>
        <v>110</v>
      </c>
      <c r="AF52" s="94">
        <f ca="1">ROUND((0.6*TblExplore[[#This Row],[Land-DB]]^1.299 + IF(TblExplore[[#This Row],[Land-DB]]&lt;1520, (-0.001*(TblExplore[[#This Row],[Land-DB]]^2)+1.91*TblExplore[[#This Row],[Land-DB]]-593), 0))*(1+ tech_2_6*Techs!AC52 + tech_2_9*Techs!AF52 + tech_3_7*Techs!AN52 + Overview!$I$33),0)</f>
        <v>-126</v>
      </c>
      <c r="AG52" s="94">
        <f ca="1">_xlfn.FLOOR.MATH(TblExplore[[#This Row],[Land-DB]]/150)+3+tech_2_9_2*TblTech[[#This Row],[2-9]]+tech_3_7_2*TblTech[[#This Row],[3-7]]</f>
        <v>3</v>
      </c>
      <c r="AH52" s="94">
        <f ca="1">SUM(TblExplore[[#This Row],[Plains Explore]:[Water Explore]])*TblExplore[[#This Row],[Plat/acre]]</f>
        <v>0</v>
      </c>
      <c r="AI52" s="94">
        <f ca="1">SUM(TblExplore[[#This Row],[Plains Explore]:[Water Explore]])*TblExplore[[#This Row],[Draftees/acre]]</f>
        <v>0</v>
      </c>
      <c r="AJ52" s="45">
        <f ca="1">_xlfn.FLOOR.MATH(MIN(TblExplore[[#This Row],[Platinum]]/TblExplore[[#This Row],[Plat/acre]],TblExplore[[#This Row],[Draftees]]/TblExplore[[#This Row],[Draftees/acre]]))</f>
        <v>-1055</v>
      </c>
    </row>
    <row r="53" spans="1:36" x14ac:dyDescent="0.2">
      <c r="A53" s="175">
        <f>TblRezone[[#This Row],[Hour]]</f>
        <v>50</v>
      </c>
      <c r="B53" s="214">
        <f ca="1">TblConstr[[#This Row],[Land]]</f>
        <v>110</v>
      </c>
      <c r="C53" s="215"/>
      <c r="D53" s="216">
        <f ca="1">TblConstr[[#This Row],[Plain]]</f>
        <v>60</v>
      </c>
      <c r="E53" s="182">
        <f ca="1">TblConstr[[#This Row],[Forest]]</f>
        <v>0</v>
      </c>
      <c r="F53" s="359">
        <f ca="1">TblConstr[[#This Row],[Mountain]]</f>
        <v>0</v>
      </c>
      <c r="G53" s="363">
        <f ca="1">TblConstr[[#This Row],[Hill]]</f>
        <v>0</v>
      </c>
      <c r="H53" s="367">
        <f ca="1">TblConstr[[#This Row],[Swamp]]</f>
        <v>0</v>
      </c>
      <c r="I53" s="185">
        <f ca="1">TblConstr[[#This Row],[Cavern]]</f>
        <v>0</v>
      </c>
      <c r="J53" s="186">
        <f ca="1">TblConstr[[#This Row],[Water]]</f>
        <v>0</v>
      </c>
      <c r="K53" s="210"/>
      <c r="L53" s="229"/>
      <c r="M53" s="228"/>
      <c r="N53" s="217">
        <f ca="1">TblMili[[#This Row],[Smithies]]</f>
        <v>0</v>
      </c>
      <c r="O53" s="217">
        <f ca="1">TblPop[[#This Row],[Employment]]</f>
        <v>1</v>
      </c>
      <c r="P53" s="217">
        <f ca="1">TblImps[[#This Row],[Population]]</f>
        <v>1</v>
      </c>
      <c r="Q53" s="175">
        <f ca="1">TblExplore[[#This Row],[Land]]</f>
        <v>110</v>
      </c>
      <c r="R53" s="175">
        <f>TblExplore[[#This Row],[Hour]]</f>
        <v>50</v>
      </c>
      <c r="S53" s="218"/>
      <c r="T53" s="179"/>
      <c r="U53" s="179"/>
      <c r="V53" s="179"/>
      <c r="W53" s="179"/>
      <c r="X53" s="179"/>
      <c r="Y53" s="179"/>
      <c r="Z53" s="179"/>
      <c r="AA53" s="159">
        <f ca="1">TblImps[[#This Row],[Real time]]</f>
        <v>46049.041666666548</v>
      </c>
      <c r="AB53" s="94">
        <f ca="1">TblMili[[#This Row],[Draftees]]</f>
        <v>463</v>
      </c>
      <c r="AC53" s="94">
        <f ca="1">TblProd[[#This Row],[Platinum]]</f>
        <v>134481</v>
      </c>
      <c r="AD53" s="215"/>
      <c r="AE53" s="45">
        <f ca="1">TblExplore[[#This Row],[Land]]-TblExplore[[#This Row],[Land Bonus]]*20</f>
        <v>110</v>
      </c>
      <c r="AF53" s="94">
        <f ca="1">ROUND((0.6*TblExplore[[#This Row],[Land-DB]]^1.299 + IF(TblExplore[[#This Row],[Land-DB]]&lt;1520, (-0.001*(TblExplore[[#This Row],[Land-DB]]^2)+1.91*TblExplore[[#This Row],[Land-DB]]-593), 0))*(1+ tech_2_6*Techs!AC53 + tech_2_9*Techs!AF53 + tech_3_7*Techs!AN53 + Overview!$I$33),0)</f>
        <v>-126</v>
      </c>
      <c r="AG53" s="94">
        <f ca="1">_xlfn.FLOOR.MATH(TblExplore[[#This Row],[Land-DB]]/150)+3+tech_2_9_2*TblTech[[#This Row],[2-9]]+tech_3_7_2*TblTech[[#This Row],[3-7]]</f>
        <v>3</v>
      </c>
      <c r="AH53" s="94">
        <f ca="1">SUM(TblExplore[[#This Row],[Plains Explore]:[Water Explore]])*TblExplore[[#This Row],[Plat/acre]]</f>
        <v>0</v>
      </c>
      <c r="AI53" s="94">
        <f ca="1">SUM(TblExplore[[#This Row],[Plains Explore]:[Water Explore]])*TblExplore[[#This Row],[Draftees/acre]]</f>
        <v>0</v>
      </c>
      <c r="AJ53" s="45">
        <f ca="1">_xlfn.FLOOR.MATH(MIN(TblExplore[[#This Row],[Platinum]]/TblExplore[[#This Row],[Plat/acre]],TblExplore[[#This Row],[Draftees]]/TblExplore[[#This Row],[Draftees/acre]]))</f>
        <v>-1068</v>
      </c>
    </row>
    <row r="54" spans="1:36" x14ac:dyDescent="0.2">
      <c r="A54" s="175">
        <f>TblRezone[[#This Row],[Hour]]</f>
        <v>51</v>
      </c>
      <c r="B54" s="214">
        <f ca="1">TblConstr[[#This Row],[Land]]</f>
        <v>110</v>
      </c>
      <c r="C54" s="215"/>
      <c r="D54" s="216">
        <f ca="1">TblConstr[[#This Row],[Plain]]</f>
        <v>60</v>
      </c>
      <c r="E54" s="182">
        <f ca="1">TblConstr[[#This Row],[Forest]]</f>
        <v>0</v>
      </c>
      <c r="F54" s="359">
        <f ca="1">TblConstr[[#This Row],[Mountain]]</f>
        <v>0</v>
      </c>
      <c r="G54" s="363">
        <f ca="1">TblConstr[[#This Row],[Hill]]</f>
        <v>0</v>
      </c>
      <c r="H54" s="367">
        <f ca="1">TblConstr[[#This Row],[Swamp]]</f>
        <v>0</v>
      </c>
      <c r="I54" s="185">
        <f ca="1">TblConstr[[#This Row],[Cavern]]</f>
        <v>0</v>
      </c>
      <c r="J54" s="186">
        <f ca="1">TblConstr[[#This Row],[Water]]</f>
        <v>0</v>
      </c>
      <c r="K54" s="210"/>
      <c r="L54" s="371" t="s">
        <v>1037</v>
      </c>
      <c r="M54" s="372" t="s">
        <v>301</v>
      </c>
      <c r="N54" s="217">
        <f ca="1">TblMili[[#This Row],[Smithies]]</f>
        <v>0</v>
      </c>
      <c r="O54" s="217">
        <f ca="1">TblPop[[#This Row],[Employment]]</f>
        <v>1</v>
      </c>
      <c r="P54" s="217">
        <f ca="1">TblImps[[#This Row],[Population]]</f>
        <v>1</v>
      </c>
      <c r="Q54" s="175">
        <f ca="1">TblExplore[[#This Row],[Land]]</f>
        <v>110</v>
      </c>
      <c r="R54" s="175">
        <f>TblExplore[[#This Row],[Hour]]</f>
        <v>51</v>
      </c>
      <c r="S54" s="218"/>
      <c r="T54" s="179"/>
      <c r="U54" s="179"/>
      <c r="V54" s="179"/>
      <c r="W54" s="179"/>
      <c r="X54" s="179"/>
      <c r="Y54" s="179"/>
      <c r="Z54" s="179"/>
      <c r="AA54" s="159">
        <f ca="1">TblImps[[#This Row],[Real time]]</f>
        <v>46049.083333333212</v>
      </c>
      <c r="AB54" s="94">
        <f ca="1">TblMili[[#This Row],[Draftees]]</f>
        <v>469</v>
      </c>
      <c r="AC54" s="94">
        <f ca="1">TblProd[[#This Row],[Platinum]]</f>
        <v>136136</v>
      </c>
      <c r="AD54" s="215"/>
      <c r="AE54" s="45">
        <f ca="1">TblExplore[[#This Row],[Land]]-TblExplore[[#This Row],[Land Bonus]]*20</f>
        <v>110</v>
      </c>
      <c r="AF54" s="94">
        <f ca="1">ROUND((0.6*TblExplore[[#This Row],[Land-DB]]^1.299 + IF(TblExplore[[#This Row],[Land-DB]]&lt;1520, (-0.001*(TblExplore[[#This Row],[Land-DB]]^2)+1.91*TblExplore[[#This Row],[Land-DB]]-593), 0))*(1+ tech_2_6*Techs!AC54 + tech_2_9*Techs!AF54 + tech_3_7*Techs!AN54 + Overview!$I$33),0)</f>
        <v>-126</v>
      </c>
      <c r="AG54" s="94">
        <f ca="1">_xlfn.FLOOR.MATH(TblExplore[[#This Row],[Land-DB]]/150)+3+tech_2_9_2*TblTech[[#This Row],[2-9]]+tech_3_7_2*TblTech[[#This Row],[3-7]]</f>
        <v>3</v>
      </c>
      <c r="AH54" s="94">
        <f ca="1">SUM(TblExplore[[#This Row],[Plains Explore]:[Water Explore]])*TblExplore[[#This Row],[Plat/acre]]</f>
        <v>0</v>
      </c>
      <c r="AI54" s="94">
        <f ca="1">SUM(TblExplore[[#This Row],[Plains Explore]:[Water Explore]])*TblExplore[[#This Row],[Draftees/acre]]</f>
        <v>0</v>
      </c>
      <c r="AJ54" s="45">
        <f ca="1">_xlfn.FLOOR.MATH(MIN(TblExplore[[#This Row],[Platinum]]/TblExplore[[#This Row],[Plat/acre]],TblExplore[[#This Row],[Draftees]]/TblExplore[[#This Row],[Draftees/acre]]))</f>
        <v>-1081</v>
      </c>
    </row>
    <row r="55" spans="1:36" x14ac:dyDescent="0.2">
      <c r="A55" s="175">
        <f>TblRezone[[#This Row],[Hour]]</f>
        <v>52</v>
      </c>
      <c r="B55" s="214">
        <f ca="1">TblConstr[[#This Row],[Land]]</f>
        <v>110</v>
      </c>
      <c r="C55" s="215"/>
      <c r="D55" s="216">
        <f ca="1">TblConstr[[#This Row],[Plain]]</f>
        <v>60</v>
      </c>
      <c r="E55" s="182">
        <f ca="1">TblConstr[[#This Row],[Forest]]</f>
        <v>0</v>
      </c>
      <c r="F55" s="359">
        <f ca="1">TblConstr[[#This Row],[Mountain]]</f>
        <v>0</v>
      </c>
      <c r="G55" s="363">
        <f ca="1">TblConstr[[#This Row],[Hill]]</f>
        <v>0</v>
      </c>
      <c r="H55" s="367">
        <f ca="1">TblConstr[[#This Row],[Swamp]]</f>
        <v>0</v>
      </c>
      <c r="I55" s="185">
        <f ca="1">TblConstr[[#This Row],[Cavern]]</f>
        <v>0</v>
      </c>
      <c r="J55" s="186">
        <f ca="1">TblConstr[[#This Row],[Water]]</f>
        <v>0</v>
      </c>
      <c r="K55" s="210"/>
      <c r="L55" s="373">
        <v>5</v>
      </c>
      <c r="M55" s="374">
        <f>(TblExplore[[#This Row],[Column3]]-3+1)*150-1</f>
        <v>449</v>
      </c>
      <c r="N55" s="217">
        <f ca="1">TblMili[[#This Row],[Smithies]]</f>
        <v>0</v>
      </c>
      <c r="O55" s="217">
        <f ca="1">TblPop[[#This Row],[Employment]]</f>
        <v>1</v>
      </c>
      <c r="P55" s="217">
        <f ca="1">TblImps[[#This Row],[Population]]</f>
        <v>1</v>
      </c>
      <c r="Q55" s="175">
        <f ca="1">TblExplore[[#This Row],[Land]]</f>
        <v>110</v>
      </c>
      <c r="R55" s="175">
        <f>TblExplore[[#This Row],[Hour]]</f>
        <v>52</v>
      </c>
      <c r="S55" s="218"/>
      <c r="T55" s="179"/>
      <c r="U55" s="179"/>
      <c r="V55" s="179"/>
      <c r="W55" s="179"/>
      <c r="X55" s="179"/>
      <c r="Y55" s="179"/>
      <c r="Z55" s="179"/>
      <c r="AA55" s="159">
        <f ca="1">TblImps[[#This Row],[Real time]]</f>
        <v>46049.124999999876</v>
      </c>
      <c r="AB55" s="94">
        <f ca="1">TblMili[[#This Row],[Draftees]]</f>
        <v>475</v>
      </c>
      <c r="AC55" s="94">
        <f ca="1">TblProd[[#This Row],[Platinum]]</f>
        <v>137774</v>
      </c>
      <c r="AD55" s="215"/>
      <c r="AE55" s="45">
        <f ca="1">TblExplore[[#This Row],[Land]]-TblExplore[[#This Row],[Land Bonus]]*20</f>
        <v>110</v>
      </c>
      <c r="AF55" s="94">
        <f ca="1">ROUND((0.6*TblExplore[[#This Row],[Land-DB]]^1.299 + IF(TblExplore[[#This Row],[Land-DB]]&lt;1520, (-0.001*(TblExplore[[#This Row],[Land-DB]]^2)+1.91*TblExplore[[#This Row],[Land-DB]]-593), 0))*(1+ tech_2_6*Techs!AC55 + tech_2_9*Techs!AF55 + tech_3_7*Techs!AN55 + Overview!$I$33),0)</f>
        <v>-126</v>
      </c>
      <c r="AG55" s="94">
        <f ca="1">_xlfn.FLOOR.MATH(TblExplore[[#This Row],[Land-DB]]/150)+3+tech_2_9_2*TblTech[[#This Row],[2-9]]+tech_3_7_2*TblTech[[#This Row],[3-7]]</f>
        <v>3</v>
      </c>
      <c r="AH55" s="94">
        <f ca="1">SUM(TblExplore[[#This Row],[Plains Explore]:[Water Explore]])*TblExplore[[#This Row],[Plat/acre]]</f>
        <v>0</v>
      </c>
      <c r="AI55" s="94">
        <f ca="1">SUM(TblExplore[[#This Row],[Plains Explore]:[Water Explore]])*TblExplore[[#This Row],[Draftees/acre]]</f>
        <v>0</v>
      </c>
      <c r="AJ55" s="45">
        <f ca="1">_xlfn.FLOOR.MATH(MIN(TblExplore[[#This Row],[Platinum]]/TblExplore[[#This Row],[Plat/acre]],TblExplore[[#This Row],[Draftees]]/TblExplore[[#This Row],[Draftees/acre]]))</f>
        <v>-1094</v>
      </c>
    </row>
    <row r="56" spans="1:36" x14ac:dyDescent="0.2">
      <c r="A56" s="175">
        <f>TblRezone[[#This Row],[Hour]]</f>
        <v>53</v>
      </c>
      <c r="B56" s="214">
        <f ca="1">TblConstr[[#This Row],[Land]]</f>
        <v>110</v>
      </c>
      <c r="C56" s="215"/>
      <c r="D56" s="216">
        <f ca="1">TblConstr[[#This Row],[Plain]]</f>
        <v>60</v>
      </c>
      <c r="E56" s="182">
        <f ca="1">TblConstr[[#This Row],[Forest]]</f>
        <v>0</v>
      </c>
      <c r="F56" s="359">
        <f ca="1">TblConstr[[#This Row],[Mountain]]</f>
        <v>0</v>
      </c>
      <c r="G56" s="363">
        <f ca="1">TblConstr[[#This Row],[Hill]]</f>
        <v>0</v>
      </c>
      <c r="H56" s="367">
        <f ca="1">TblConstr[[#This Row],[Swamp]]</f>
        <v>0</v>
      </c>
      <c r="I56" s="185">
        <f ca="1">TblConstr[[#This Row],[Cavern]]</f>
        <v>0</v>
      </c>
      <c r="J56" s="186">
        <f ca="1">TblConstr[[#This Row],[Water]]</f>
        <v>0</v>
      </c>
      <c r="K56" s="210"/>
      <c r="L56" s="373">
        <f>L55+1</f>
        <v>6</v>
      </c>
      <c r="M56" s="374">
        <f>(TblExplore[[#This Row],[Column3]]-3+1)*150-1</f>
        <v>599</v>
      </c>
      <c r="N56" s="217">
        <f ca="1">TblMili[[#This Row],[Smithies]]</f>
        <v>0</v>
      </c>
      <c r="O56" s="217">
        <f ca="1">TblPop[[#This Row],[Employment]]</f>
        <v>1</v>
      </c>
      <c r="P56" s="217">
        <f ca="1">TblImps[[#This Row],[Population]]</f>
        <v>1</v>
      </c>
      <c r="Q56" s="175">
        <f ca="1">TblExplore[[#This Row],[Land]]</f>
        <v>110</v>
      </c>
      <c r="R56" s="175">
        <f>TblExplore[[#This Row],[Hour]]</f>
        <v>53</v>
      </c>
      <c r="S56" s="218"/>
      <c r="T56" s="179"/>
      <c r="U56" s="179"/>
      <c r="V56" s="179"/>
      <c r="W56" s="179"/>
      <c r="X56" s="179"/>
      <c r="Y56" s="179"/>
      <c r="Z56" s="179"/>
      <c r="AA56" s="159">
        <f ca="1">TblImps[[#This Row],[Real time]]</f>
        <v>46049.166666666541</v>
      </c>
      <c r="AB56" s="94">
        <f ca="1">TblMili[[#This Row],[Draftees]]</f>
        <v>481</v>
      </c>
      <c r="AC56" s="94">
        <f ca="1">TblProd[[#This Row],[Platinum]]</f>
        <v>139396</v>
      </c>
      <c r="AD56" s="215"/>
      <c r="AE56" s="45">
        <f ca="1">TblExplore[[#This Row],[Land]]-TblExplore[[#This Row],[Land Bonus]]*20</f>
        <v>110</v>
      </c>
      <c r="AF56" s="94">
        <f ca="1">ROUND((0.6*TblExplore[[#This Row],[Land-DB]]^1.299 + IF(TblExplore[[#This Row],[Land-DB]]&lt;1520, (-0.001*(TblExplore[[#This Row],[Land-DB]]^2)+1.91*TblExplore[[#This Row],[Land-DB]]-593), 0))*(1+ tech_2_6*Techs!AC56 + tech_2_9*Techs!AF56 + tech_3_7*Techs!AN56 + Overview!$I$33),0)</f>
        <v>-126</v>
      </c>
      <c r="AG56" s="94">
        <f ca="1">_xlfn.FLOOR.MATH(TblExplore[[#This Row],[Land-DB]]/150)+3+tech_2_9_2*TblTech[[#This Row],[2-9]]+tech_3_7_2*TblTech[[#This Row],[3-7]]</f>
        <v>3</v>
      </c>
      <c r="AH56" s="94">
        <f ca="1">SUM(TblExplore[[#This Row],[Plains Explore]:[Water Explore]])*TblExplore[[#This Row],[Plat/acre]]</f>
        <v>0</v>
      </c>
      <c r="AI56" s="94">
        <f ca="1">SUM(TblExplore[[#This Row],[Plains Explore]:[Water Explore]])*TblExplore[[#This Row],[Draftees/acre]]</f>
        <v>0</v>
      </c>
      <c r="AJ56" s="45">
        <f ca="1">_xlfn.FLOOR.MATH(MIN(TblExplore[[#This Row],[Platinum]]/TblExplore[[#This Row],[Plat/acre]],TblExplore[[#This Row],[Draftees]]/TblExplore[[#This Row],[Draftees/acre]]))</f>
        <v>-1107</v>
      </c>
    </row>
    <row r="57" spans="1:36" x14ac:dyDescent="0.2">
      <c r="A57" s="175">
        <f>TblRezone[[#This Row],[Hour]]</f>
        <v>54</v>
      </c>
      <c r="B57" s="214">
        <f ca="1">TblConstr[[#This Row],[Land]]</f>
        <v>110</v>
      </c>
      <c r="C57" s="215"/>
      <c r="D57" s="216">
        <f ca="1">TblConstr[[#This Row],[Plain]]</f>
        <v>60</v>
      </c>
      <c r="E57" s="182">
        <f ca="1">TblConstr[[#This Row],[Forest]]</f>
        <v>0</v>
      </c>
      <c r="F57" s="359">
        <f ca="1">TblConstr[[#This Row],[Mountain]]</f>
        <v>0</v>
      </c>
      <c r="G57" s="363">
        <f ca="1">TblConstr[[#This Row],[Hill]]</f>
        <v>0</v>
      </c>
      <c r="H57" s="367">
        <f ca="1">TblConstr[[#This Row],[Swamp]]</f>
        <v>0</v>
      </c>
      <c r="I57" s="185">
        <f ca="1">TblConstr[[#This Row],[Cavern]]</f>
        <v>0</v>
      </c>
      <c r="J57" s="186">
        <f ca="1">TblConstr[[#This Row],[Water]]</f>
        <v>0</v>
      </c>
      <c r="K57" s="210"/>
      <c r="L57" s="373">
        <f t="shared" ref="L57:L69" si="0">L56+1</f>
        <v>7</v>
      </c>
      <c r="M57" s="374">
        <f>(TblExplore[[#This Row],[Column3]]-3+1)*150-1</f>
        <v>749</v>
      </c>
      <c r="N57" s="217">
        <f ca="1">TblMili[[#This Row],[Smithies]]</f>
        <v>0</v>
      </c>
      <c r="O57" s="217">
        <f ca="1">TblPop[[#This Row],[Employment]]</f>
        <v>1</v>
      </c>
      <c r="P57" s="217">
        <f ca="1">TblImps[[#This Row],[Population]]</f>
        <v>1</v>
      </c>
      <c r="Q57" s="175">
        <f ca="1">TblExplore[[#This Row],[Land]]</f>
        <v>110</v>
      </c>
      <c r="R57" s="175">
        <f>TblExplore[[#This Row],[Hour]]</f>
        <v>54</v>
      </c>
      <c r="S57" s="218"/>
      <c r="T57" s="179"/>
      <c r="U57" s="179"/>
      <c r="V57" s="179"/>
      <c r="W57" s="179"/>
      <c r="X57" s="179"/>
      <c r="Y57" s="179"/>
      <c r="Z57" s="179"/>
      <c r="AA57" s="159">
        <f ca="1">TblImps[[#This Row],[Real time]]</f>
        <v>46049.208333333205</v>
      </c>
      <c r="AB57" s="94">
        <f ca="1">TblMili[[#This Row],[Draftees]]</f>
        <v>487</v>
      </c>
      <c r="AC57" s="94">
        <f ca="1">TblProd[[#This Row],[Platinum]]</f>
        <v>141002</v>
      </c>
      <c r="AD57" s="215"/>
      <c r="AE57" s="45">
        <f ca="1">TblExplore[[#This Row],[Land]]-TblExplore[[#This Row],[Land Bonus]]*20</f>
        <v>110</v>
      </c>
      <c r="AF57" s="94">
        <f ca="1">ROUND((0.6*TblExplore[[#This Row],[Land-DB]]^1.299 + IF(TblExplore[[#This Row],[Land-DB]]&lt;1520, (-0.001*(TblExplore[[#This Row],[Land-DB]]^2)+1.91*TblExplore[[#This Row],[Land-DB]]-593), 0))*(1+ tech_2_6*Techs!AC57 + tech_2_9*Techs!AF57 + tech_3_7*Techs!AN57 + Overview!$I$33),0)</f>
        <v>-126</v>
      </c>
      <c r="AG57" s="94">
        <f ca="1">_xlfn.FLOOR.MATH(TblExplore[[#This Row],[Land-DB]]/150)+3+tech_2_9_2*TblTech[[#This Row],[2-9]]+tech_3_7_2*TblTech[[#This Row],[3-7]]</f>
        <v>3</v>
      </c>
      <c r="AH57" s="94">
        <f ca="1">SUM(TblExplore[[#This Row],[Plains Explore]:[Water Explore]])*TblExplore[[#This Row],[Plat/acre]]</f>
        <v>0</v>
      </c>
      <c r="AI57" s="94">
        <f ca="1">SUM(TblExplore[[#This Row],[Plains Explore]:[Water Explore]])*TblExplore[[#This Row],[Draftees/acre]]</f>
        <v>0</v>
      </c>
      <c r="AJ57" s="45">
        <f ca="1">_xlfn.FLOOR.MATH(MIN(TblExplore[[#This Row],[Platinum]]/TblExplore[[#This Row],[Plat/acre]],TblExplore[[#This Row],[Draftees]]/TblExplore[[#This Row],[Draftees/acre]]))</f>
        <v>-1120</v>
      </c>
    </row>
    <row r="58" spans="1:36" x14ac:dyDescent="0.2">
      <c r="A58" s="175">
        <f>TblRezone[[#This Row],[Hour]]</f>
        <v>55</v>
      </c>
      <c r="B58" s="214">
        <f ca="1">TblConstr[[#This Row],[Land]]</f>
        <v>110</v>
      </c>
      <c r="C58" s="215"/>
      <c r="D58" s="216">
        <f ca="1">TblConstr[[#This Row],[Plain]]</f>
        <v>60</v>
      </c>
      <c r="E58" s="182">
        <f ca="1">TblConstr[[#This Row],[Forest]]</f>
        <v>0</v>
      </c>
      <c r="F58" s="359">
        <f ca="1">TblConstr[[#This Row],[Mountain]]</f>
        <v>0</v>
      </c>
      <c r="G58" s="363">
        <f ca="1">TblConstr[[#This Row],[Hill]]</f>
        <v>0</v>
      </c>
      <c r="H58" s="367">
        <f ca="1">TblConstr[[#This Row],[Swamp]]</f>
        <v>0</v>
      </c>
      <c r="I58" s="185">
        <f ca="1">TblConstr[[#This Row],[Cavern]]</f>
        <v>0</v>
      </c>
      <c r="J58" s="186">
        <f ca="1">TblConstr[[#This Row],[Water]]</f>
        <v>0</v>
      </c>
      <c r="K58" s="210"/>
      <c r="L58" s="373">
        <f t="shared" si="0"/>
        <v>8</v>
      </c>
      <c r="M58" s="374">
        <f>(TblExplore[[#This Row],[Column3]]-3+1)*150-1</f>
        <v>899</v>
      </c>
      <c r="N58" s="217">
        <f ca="1">TblMili[[#This Row],[Smithies]]</f>
        <v>0</v>
      </c>
      <c r="O58" s="217">
        <f ca="1">TblPop[[#This Row],[Employment]]</f>
        <v>1</v>
      </c>
      <c r="P58" s="217">
        <f ca="1">TblImps[[#This Row],[Population]]</f>
        <v>1</v>
      </c>
      <c r="Q58" s="175">
        <f ca="1">TblExplore[[#This Row],[Land]]</f>
        <v>110</v>
      </c>
      <c r="R58" s="175">
        <f>TblExplore[[#This Row],[Hour]]</f>
        <v>55</v>
      </c>
      <c r="S58" s="218"/>
      <c r="T58" s="179"/>
      <c r="U58" s="179"/>
      <c r="V58" s="179"/>
      <c r="W58" s="179"/>
      <c r="X58" s="179"/>
      <c r="Y58" s="179"/>
      <c r="Z58" s="179"/>
      <c r="AA58" s="159">
        <f ca="1">TblImps[[#This Row],[Real time]]</f>
        <v>46049.249999999869</v>
      </c>
      <c r="AB58" s="94">
        <f ca="1">TblMili[[#This Row],[Draftees]]</f>
        <v>493</v>
      </c>
      <c r="AC58" s="94">
        <f ca="1">TblProd[[#This Row],[Platinum]]</f>
        <v>142592</v>
      </c>
      <c r="AD58" s="215"/>
      <c r="AE58" s="45">
        <f ca="1">TblExplore[[#This Row],[Land]]-TblExplore[[#This Row],[Land Bonus]]*20</f>
        <v>110</v>
      </c>
      <c r="AF58" s="94">
        <f ca="1">ROUND((0.6*TblExplore[[#This Row],[Land-DB]]^1.299 + IF(TblExplore[[#This Row],[Land-DB]]&lt;1520, (-0.001*(TblExplore[[#This Row],[Land-DB]]^2)+1.91*TblExplore[[#This Row],[Land-DB]]-593), 0))*(1+ tech_2_6*Techs!AC58 + tech_2_9*Techs!AF58 + tech_3_7*Techs!AN58 + Overview!$I$33),0)</f>
        <v>-126</v>
      </c>
      <c r="AG58" s="94">
        <f ca="1">_xlfn.FLOOR.MATH(TblExplore[[#This Row],[Land-DB]]/150)+3+tech_2_9_2*TblTech[[#This Row],[2-9]]+tech_3_7_2*TblTech[[#This Row],[3-7]]</f>
        <v>3</v>
      </c>
      <c r="AH58" s="94">
        <f ca="1">SUM(TblExplore[[#This Row],[Plains Explore]:[Water Explore]])*TblExplore[[#This Row],[Plat/acre]]</f>
        <v>0</v>
      </c>
      <c r="AI58" s="94">
        <f ca="1">SUM(TblExplore[[#This Row],[Plains Explore]:[Water Explore]])*TblExplore[[#This Row],[Draftees/acre]]</f>
        <v>0</v>
      </c>
      <c r="AJ58" s="45">
        <f ca="1">_xlfn.FLOOR.MATH(MIN(TblExplore[[#This Row],[Platinum]]/TblExplore[[#This Row],[Plat/acre]],TblExplore[[#This Row],[Draftees]]/TblExplore[[#This Row],[Draftees/acre]]))</f>
        <v>-1132</v>
      </c>
    </row>
    <row r="59" spans="1:36" x14ac:dyDescent="0.2">
      <c r="A59" s="175">
        <f>TblRezone[[#This Row],[Hour]]</f>
        <v>56</v>
      </c>
      <c r="B59" s="214">
        <f ca="1">TblConstr[[#This Row],[Land]]</f>
        <v>110</v>
      </c>
      <c r="C59" s="215"/>
      <c r="D59" s="216">
        <f ca="1">TblConstr[[#This Row],[Plain]]</f>
        <v>60</v>
      </c>
      <c r="E59" s="182">
        <f ca="1">TblConstr[[#This Row],[Forest]]</f>
        <v>0</v>
      </c>
      <c r="F59" s="359">
        <f ca="1">TblConstr[[#This Row],[Mountain]]</f>
        <v>0</v>
      </c>
      <c r="G59" s="363">
        <f ca="1">TblConstr[[#This Row],[Hill]]</f>
        <v>0</v>
      </c>
      <c r="H59" s="367">
        <f ca="1">TblConstr[[#This Row],[Swamp]]</f>
        <v>0</v>
      </c>
      <c r="I59" s="185">
        <f ca="1">TblConstr[[#This Row],[Cavern]]</f>
        <v>0</v>
      </c>
      <c r="J59" s="186">
        <f ca="1">TblConstr[[#This Row],[Water]]</f>
        <v>0</v>
      </c>
      <c r="K59" s="210"/>
      <c r="L59" s="373">
        <f t="shared" si="0"/>
        <v>9</v>
      </c>
      <c r="M59" s="374">
        <f>(TblExplore[[#This Row],[Column3]]-3+1)*150-1</f>
        <v>1049</v>
      </c>
      <c r="N59" s="217">
        <f ca="1">TblMili[[#This Row],[Smithies]]</f>
        <v>0</v>
      </c>
      <c r="O59" s="217">
        <f ca="1">TblPop[[#This Row],[Employment]]</f>
        <v>1</v>
      </c>
      <c r="P59" s="217">
        <f ca="1">TblImps[[#This Row],[Population]]</f>
        <v>1</v>
      </c>
      <c r="Q59" s="175">
        <f ca="1">TblExplore[[#This Row],[Land]]</f>
        <v>110</v>
      </c>
      <c r="R59" s="175">
        <f>TblExplore[[#This Row],[Hour]]</f>
        <v>56</v>
      </c>
      <c r="S59" s="218"/>
      <c r="T59" s="179"/>
      <c r="U59" s="179"/>
      <c r="V59" s="179"/>
      <c r="W59" s="179"/>
      <c r="X59" s="179"/>
      <c r="Y59" s="179"/>
      <c r="Z59" s="179"/>
      <c r="AA59" s="159">
        <f ca="1">TblImps[[#This Row],[Real time]]</f>
        <v>46049.291666666533</v>
      </c>
      <c r="AB59" s="94">
        <f ca="1">TblMili[[#This Row],[Draftees]]</f>
        <v>499</v>
      </c>
      <c r="AC59" s="94">
        <f ca="1">TblProd[[#This Row],[Platinum]]</f>
        <v>144166</v>
      </c>
      <c r="AD59" s="215"/>
      <c r="AE59" s="45">
        <f ca="1">TblExplore[[#This Row],[Land]]-TblExplore[[#This Row],[Land Bonus]]*20</f>
        <v>110</v>
      </c>
      <c r="AF59" s="94">
        <f ca="1">ROUND((0.6*TblExplore[[#This Row],[Land-DB]]^1.299 + IF(TblExplore[[#This Row],[Land-DB]]&lt;1520, (-0.001*(TblExplore[[#This Row],[Land-DB]]^2)+1.91*TblExplore[[#This Row],[Land-DB]]-593), 0))*(1+ tech_2_6*Techs!AC59 + tech_2_9*Techs!AF59 + tech_3_7*Techs!AN59 + Overview!$I$33),0)</f>
        <v>-126</v>
      </c>
      <c r="AG59" s="94">
        <f ca="1">_xlfn.FLOOR.MATH(TblExplore[[#This Row],[Land-DB]]/150)+3+tech_2_9_2*TblTech[[#This Row],[2-9]]+tech_3_7_2*TblTech[[#This Row],[3-7]]</f>
        <v>3</v>
      </c>
      <c r="AH59" s="94">
        <f ca="1">SUM(TblExplore[[#This Row],[Plains Explore]:[Water Explore]])*TblExplore[[#This Row],[Plat/acre]]</f>
        <v>0</v>
      </c>
      <c r="AI59" s="94">
        <f ca="1">SUM(TblExplore[[#This Row],[Plains Explore]:[Water Explore]])*TblExplore[[#This Row],[Draftees/acre]]</f>
        <v>0</v>
      </c>
      <c r="AJ59" s="45">
        <f ca="1">_xlfn.FLOOR.MATH(MIN(TblExplore[[#This Row],[Platinum]]/TblExplore[[#This Row],[Plat/acre]],TblExplore[[#This Row],[Draftees]]/TblExplore[[#This Row],[Draftees/acre]]))</f>
        <v>-1145</v>
      </c>
    </row>
    <row r="60" spans="1:36" x14ac:dyDescent="0.2">
      <c r="A60" s="175">
        <f>TblRezone[[#This Row],[Hour]]</f>
        <v>57</v>
      </c>
      <c r="B60" s="214">
        <f ca="1">TblConstr[[#This Row],[Land]]</f>
        <v>110</v>
      </c>
      <c r="C60" s="215"/>
      <c r="D60" s="216">
        <f ca="1">TblConstr[[#This Row],[Plain]]</f>
        <v>60</v>
      </c>
      <c r="E60" s="182">
        <f ca="1">TblConstr[[#This Row],[Forest]]</f>
        <v>0</v>
      </c>
      <c r="F60" s="359">
        <f ca="1">TblConstr[[#This Row],[Mountain]]</f>
        <v>0</v>
      </c>
      <c r="G60" s="363">
        <f ca="1">TblConstr[[#This Row],[Hill]]</f>
        <v>0</v>
      </c>
      <c r="H60" s="367">
        <f ca="1">TblConstr[[#This Row],[Swamp]]</f>
        <v>0</v>
      </c>
      <c r="I60" s="185">
        <f ca="1">TblConstr[[#This Row],[Cavern]]</f>
        <v>0</v>
      </c>
      <c r="J60" s="186">
        <f ca="1">TblConstr[[#This Row],[Water]]</f>
        <v>0</v>
      </c>
      <c r="K60" s="210"/>
      <c r="L60" s="373">
        <f t="shared" si="0"/>
        <v>10</v>
      </c>
      <c r="M60" s="374">
        <f>(TblExplore[[#This Row],[Column3]]-3+1)*150-1</f>
        <v>1199</v>
      </c>
      <c r="N60" s="217">
        <f ca="1">TblMili[[#This Row],[Smithies]]</f>
        <v>0</v>
      </c>
      <c r="O60" s="217">
        <f ca="1">TblPop[[#This Row],[Employment]]</f>
        <v>1</v>
      </c>
      <c r="P60" s="217">
        <f ca="1">TblImps[[#This Row],[Population]]</f>
        <v>1</v>
      </c>
      <c r="Q60" s="175">
        <f ca="1">TblExplore[[#This Row],[Land]]</f>
        <v>110</v>
      </c>
      <c r="R60" s="175">
        <f>TblExplore[[#This Row],[Hour]]</f>
        <v>57</v>
      </c>
      <c r="S60" s="218"/>
      <c r="T60" s="179"/>
      <c r="U60" s="179"/>
      <c r="V60" s="179"/>
      <c r="W60" s="179"/>
      <c r="X60" s="179"/>
      <c r="Y60" s="179"/>
      <c r="Z60" s="179"/>
      <c r="AA60" s="159">
        <f ca="1">TblImps[[#This Row],[Real time]]</f>
        <v>46049.333333333198</v>
      </c>
      <c r="AB60" s="94">
        <f ca="1">TblMili[[#This Row],[Draftees]]</f>
        <v>505</v>
      </c>
      <c r="AC60" s="94">
        <f ca="1">TblProd[[#This Row],[Platinum]]</f>
        <v>145723</v>
      </c>
      <c r="AD60" s="215"/>
      <c r="AE60" s="45">
        <f ca="1">TblExplore[[#This Row],[Land]]-TblExplore[[#This Row],[Land Bonus]]*20</f>
        <v>110</v>
      </c>
      <c r="AF60" s="94">
        <f ca="1">ROUND((0.6*TblExplore[[#This Row],[Land-DB]]^1.299 + IF(TblExplore[[#This Row],[Land-DB]]&lt;1520, (-0.001*(TblExplore[[#This Row],[Land-DB]]^2)+1.91*TblExplore[[#This Row],[Land-DB]]-593), 0))*(1+ tech_2_6*Techs!AC60 + tech_2_9*Techs!AF60 + tech_3_7*Techs!AN60 + Overview!$I$33),0)</f>
        <v>-126</v>
      </c>
      <c r="AG60" s="94">
        <f ca="1">_xlfn.FLOOR.MATH(TblExplore[[#This Row],[Land-DB]]/150)+3+tech_2_9_2*TblTech[[#This Row],[2-9]]+tech_3_7_2*TblTech[[#This Row],[3-7]]</f>
        <v>3</v>
      </c>
      <c r="AH60" s="94">
        <f ca="1">SUM(TblExplore[[#This Row],[Plains Explore]:[Water Explore]])*TblExplore[[#This Row],[Plat/acre]]</f>
        <v>0</v>
      </c>
      <c r="AI60" s="94">
        <f ca="1">SUM(TblExplore[[#This Row],[Plains Explore]:[Water Explore]])*TblExplore[[#This Row],[Draftees/acre]]</f>
        <v>0</v>
      </c>
      <c r="AJ60" s="45">
        <f ca="1">_xlfn.FLOOR.MATH(MIN(TblExplore[[#This Row],[Platinum]]/TblExplore[[#This Row],[Plat/acre]],TblExplore[[#This Row],[Draftees]]/TblExplore[[#This Row],[Draftees/acre]]))</f>
        <v>-1157</v>
      </c>
    </row>
    <row r="61" spans="1:36" x14ac:dyDescent="0.2">
      <c r="A61" s="175">
        <f>TblRezone[[#This Row],[Hour]]</f>
        <v>58</v>
      </c>
      <c r="B61" s="214">
        <f ca="1">TblConstr[[#This Row],[Land]]</f>
        <v>110</v>
      </c>
      <c r="C61" s="215"/>
      <c r="D61" s="216">
        <f ca="1">TblConstr[[#This Row],[Plain]]</f>
        <v>60</v>
      </c>
      <c r="E61" s="182">
        <f ca="1">TblConstr[[#This Row],[Forest]]</f>
        <v>0</v>
      </c>
      <c r="F61" s="359">
        <f ca="1">TblConstr[[#This Row],[Mountain]]</f>
        <v>0</v>
      </c>
      <c r="G61" s="363">
        <f ca="1">TblConstr[[#This Row],[Hill]]</f>
        <v>0</v>
      </c>
      <c r="H61" s="367">
        <f ca="1">TblConstr[[#This Row],[Swamp]]</f>
        <v>0</v>
      </c>
      <c r="I61" s="185">
        <f ca="1">TblConstr[[#This Row],[Cavern]]</f>
        <v>0</v>
      </c>
      <c r="J61" s="186">
        <f ca="1">TblConstr[[#This Row],[Water]]</f>
        <v>0</v>
      </c>
      <c r="K61" s="210"/>
      <c r="L61" s="373">
        <f t="shared" si="0"/>
        <v>11</v>
      </c>
      <c r="M61" s="374">
        <f>(TblExplore[[#This Row],[Column3]]-3+1)*150-1</f>
        <v>1349</v>
      </c>
      <c r="N61" s="217">
        <f ca="1">TblMili[[#This Row],[Smithies]]</f>
        <v>0</v>
      </c>
      <c r="O61" s="217">
        <f ca="1">TblPop[[#This Row],[Employment]]</f>
        <v>1</v>
      </c>
      <c r="P61" s="217">
        <f ca="1">TblImps[[#This Row],[Population]]</f>
        <v>1</v>
      </c>
      <c r="Q61" s="175">
        <f ca="1">TblExplore[[#This Row],[Land]]</f>
        <v>110</v>
      </c>
      <c r="R61" s="175">
        <f>TblExplore[[#This Row],[Hour]]</f>
        <v>58</v>
      </c>
      <c r="S61" s="218"/>
      <c r="T61" s="179"/>
      <c r="U61" s="179"/>
      <c r="V61" s="179"/>
      <c r="W61" s="179"/>
      <c r="X61" s="179"/>
      <c r="Y61" s="179"/>
      <c r="Z61" s="179"/>
      <c r="AA61" s="159">
        <f ca="1">TblImps[[#This Row],[Real time]]</f>
        <v>46049.374999999862</v>
      </c>
      <c r="AB61" s="94">
        <f ca="1">TblMili[[#This Row],[Draftees]]</f>
        <v>511</v>
      </c>
      <c r="AC61" s="94">
        <f ca="1">TblProd[[#This Row],[Platinum]]</f>
        <v>147264</v>
      </c>
      <c r="AD61" s="215"/>
      <c r="AE61" s="45">
        <f ca="1">TblExplore[[#This Row],[Land]]-TblExplore[[#This Row],[Land Bonus]]*20</f>
        <v>110</v>
      </c>
      <c r="AF61" s="94">
        <f ca="1">ROUND((0.6*TblExplore[[#This Row],[Land-DB]]^1.299 + IF(TblExplore[[#This Row],[Land-DB]]&lt;1520, (-0.001*(TblExplore[[#This Row],[Land-DB]]^2)+1.91*TblExplore[[#This Row],[Land-DB]]-593), 0))*(1+ tech_2_6*Techs!AC61 + tech_2_9*Techs!AF61 + tech_3_7*Techs!AN61 + Overview!$I$33),0)</f>
        <v>-126</v>
      </c>
      <c r="AG61" s="94">
        <f ca="1">_xlfn.FLOOR.MATH(TblExplore[[#This Row],[Land-DB]]/150)+3+tech_2_9_2*TblTech[[#This Row],[2-9]]+tech_3_7_2*TblTech[[#This Row],[3-7]]</f>
        <v>3</v>
      </c>
      <c r="AH61" s="94">
        <f ca="1">SUM(TblExplore[[#This Row],[Plains Explore]:[Water Explore]])*TblExplore[[#This Row],[Plat/acre]]</f>
        <v>0</v>
      </c>
      <c r="AI61" s="94">
        <f ca="1">SUM(TblExplore[[#This Row],[Plains Explore]:[Water Explore]])*TblExplore[[#This Row],[Draftees/acre]]</f>
        <v>0</v>
      </c>
      <c r="AJ61" s="45">
        <f ca="1">_xlfn.FLOOR.MATH(MIN(TblExplore[[#This Row],[Platinum]]/TblExplore[[#This Row],[Plat/acre]],TblExplore[[#This Row],[Draftees]]/TblExplore[[#This Row],[Draftees/acre]]))</f>
        <v>-1169</v>
      </c>
    </row>
    <row r="62" spans="1:36" x14ac:dyDescent="0.2">
      <c r="A62" s="175">
        <f>TblRezone[[#This Row],[Hour]]</f>
        <v>59</v>
      </c>
      <c r="B62" s="214">
        <f ca="1">TblConstr[[#This Row],[Land]]</f>
        <v>110</v>
      </c>
      <c r="C62" s="215"/>
      <c r="D62" s="216">
        <f ca="1">TblConstr[[#This Row],[Plain]]</f>
        <v>60</v>
      </c>
      <c r="E62" s="182">
        <f ca="1">TblConstr[[#This Row],[Forest]]</f>
        <v>0</v>
      </c>
      <c r="F62" s="359">
        <f ca="1">TblConstr[[#This Row],[Mountain]]</f>
        <v>0</v>
      </c>
      <c r="G62" s="363">
        <f ca="1">TblConstr[[#This Row],[Hill]]</f>
        <v>0</v>
      </c>
      <c r="H62" s="367">
        <f ca="1">TblConstr[[#This Row],[Swamp]]</f>
        <v>0</v>
      </c>
      <c r="I62" s="185">
        <f ca="1">TblConstr[[#This Row],[Cavern]]</f>
        <v>0</v>
      </c>
      <c r="J62" s="186">
        <f ca="1">TblConstr[[#This Row],[Water]]</f>
        <v>0</v>
      </c>
      <c r="K62" s="210"/>
      <c r="L62" s="373">
        <f t="shared" si="0"/>
        <v>12</v>
      </c>
      <c r="M62" s="374">
        <f>(TblExplore[[#This Row],[Column3]]-3+1)*150-1</f>
        <v>1499</v>
      </c>
      <c r="N62" s="217">
        <f ca="1">TblMili[[#This Row],[Smithies]]</f>
        <v>0</v>
      </c>
      <c r="O62" s="217">
        <f ca="1">TblPop[[#This Row],[Employment]]</f>
        <v>1</v>
      </c>
      <c r="P62" s="217">
        <f ca="1">TblImps[[#This Row],[Population]]</f>
        <v>1</v>
      </c>
      <c r="Q62" s="175">
        <f ca="1">TblExplore[[#This Row],[Land]]</f>
        <v>110</v>
      </c>
      <c r="R62" s="175">
        <f>TblExplore[[#This Row],[Hour]]</f>
        <v>59</v>
      </c>
      <c r="S62" s="218"/>
      <c r="T62" s="179"/>
      <c r="U62" s="179"/>
      <c r="V62" s="179"/>
      <c r="W62" s="179"/>
      <c r="X62" s="179"/>
      <c r="Y62" s="179"/>
      <c r="Z62" s="179"/>
      <c r="AA62" s="159">
        <f ca="1">TblImps[[#This Row],[Real time]]</f>
        <v>46049.416666666526</v>
      </c>
      <c r="AB62" s="94">
        <f ca="1">TblMili[[#This Row],[Draftees]]</f>
        <v>517</v>
      </c>
      <c r="AC62" s="94">
        <f ca="1">TblProd[[#This Row],[Platinum]]</f>
        <v>148789</v>
      </c>
      <c r="AD62" s="215"/>
      <c r="AE62" s="45">
        <f ca="1">TblExplore[[#This Row],[Land]]-TblExplore[[#This Row],[Land Bonus]]*20</f>
        <v>110</v>
      </c>
      <c r="AF62" s="94">
        <f ca="1">ROUND((0.6*TblExplore[[#This Row],[Land-DB]]^1.299 + IF(TblExplore[[#This Row],[Land-DB]]&lt;1520, (-0.001*(TblExplore[[#This Row],[Land-DB]]^2)+1.91*TblExplore[[#This Row],[Land-DB]]-593), 0))*(1+ tech_2_6*Techs!AC62 + tech_2_9*Techs!AF62 + tech_3_7*Techs!AN62 + Overview!$I$33),0)</f>
        <v>-126</v>
      </c>
      <c r="AG62" s="94">
        <f ca="1">_xlfn.FLOOR.MATH(TblExplore[[#This Row],[Land-DB]]/150)+3+tech_2_9_2*TblTech[[#This Row],[2-9]]+tech_3_7_2*TblTech[[#This Row],[3-7]]</f>
        <v>3</v>
      </c>
      <c r="AH62" s="94">
        <f ca="1">SUM(TblExplore[[#This Row],[Plains Explore]:[Water Explore]])*TblExplore[[#This Row],[Plat/acre]]</f>
        <v>0</v>
      </c>
      <c r="AI62" s="94">
        <f ca="1">SUM(TblExplore[[#This Row],[Plains Explore]:[Water Explore]])*TblExplore[[#This Row],[Draftees/acre]]</f>
        <v>0</v>
      </c>
      <c r="AJ62" s="45">
        <f ca="1">_xlfn.FLOOR.MATH(MIN(TblExplore[[#This Row],[Platinum]]/TblExplore[[#This Row],[Plat/acre]],TblExplore[[#This Row],[Draftees]]/TblExplore[[#This Row],[Draftees/acre]]))</f>
        <v>-1181</v>
      </c>
    </row>
    <row r="63" spans="1:36" x14ac:dyDescent="0.2">
      <c r="A63" s="175">
        <f>TblRezone[[#This Row],[Hour]]</f>
        <v>60</v>
      </c>
      <c r="B63" s="214">
        <f ca="1">TblConstr[[#This Row],[Land]]</f>
        <v>110</v>
      </c>
      <c r="C63" s="215"/>
      <c r="D63" s="216">
        <f ca="1">TblConstr[[#This Row],[Plain]]</f>
        <v>60</v>
      </c>
      <c r="E63" s="182">
        <f ca="1">TblConstr[[#This Row],[Forest]]</f>
        <v>0</v>
      </c>
      <c r="F63" s="359">
        <f ca="1">TblConstr[[#This Row],[Mountain]]</f>
        <v>0</v>
      </c>
      <c r="G63" s="363">
        <f ca="1">TblConstr[[#This Row],[Hill]]</f>
        <v>0</v>
      </c>
      <c r="H63" s="367">
        <f ca="1">TblConstr[[#This Row],[Swamp]]</f>
        <v>0</v>
      </c>
      <c r="I63" s="185">
        <f ca="1">TblConstr[[#This Row],[Cavern]]</f>
        <v>0</v>
      </c>
      <c r="J63" s="186">
        <f ca="1">TblConstr[[#This Row],[Water]]</f>
        <v>0</v>
      </c>
      <c r="K63" s="210"/>
      <c r="L63" s="373">
        <f t="shared" si="0"/>
        <v>13</v>
      </c>
      <c r="M63" s="374">
        <f>(TblExplore[[#This Row],[Column3]]-3+1)*150-1</f>
        <v>1649</v>
      </c>
      <c r="N63" s="217">
        <f ca="1">TblMili[[#This Row],[Smithies]]</f>
        <v>0</v>
      </c>
      <c r="O63" s="217">
        <f ca="1">TblPop[[#This Row],[Employment]]</f>
        <v>1</v>
      </c>
      <c r="P63" s="217">
        <f ca="1">TblImps[[#This Row],[Population]]</f>
        <v>1</v>
      </c>
      <c r="Q63" s="175">
        <f ca="1">TblExplore[[#This Row],[Land]]</f>
        <v>110</v>
      </c>
      <c r="R63" s="175">
        <f>TblExplore[[#This Row],[Hour]]</f>
        <v>60</v>
      </c>
      <c r="S63" s="218"/>
      <c r="T63" s="179"/>
      <c r="U63" s="179"/>
      <c r="V63" s="179"/>
      <c r="W63" s="179"/>
      <c r="X63" s="179"/>
      <c r="Y63" s="179"/>
      <c r="Z63" s="179"/>
      <c r="AA63" s="159">
        <f ca="1">TblImps[[#This Row],[Real time]]</f>
        <v>46049.45833333319</v>
      </c>
      <c r="AB63" s="94">
        <f ca="1">TblMili[[#This Row],[Draftees]]</f>
        <v>523</v>
      </c>
      <c r="AC63" s="94">
        <f ca="1">TblProd[[#This Row],[Platinum]]</f>
        <v>150298</v>
      </c>
      <c r="AD63" s="215"/>
      <c r="AE63" s="45">
        <f ca="1">TblExplore[[#This Row],[Land]]-TblExplore[[#This Row],[Land Bonus]]*20</f>
        <v>110</v>
      </c>
      <c r="AF63" s="94">
        <f ca="1">ROUND((0.6*TblExplore[[#This Row],[Land-DB]]^1.299 + IF(TblExplore[[#This Row],[Land-DB]]&lt;1520, (-0.001*(TblExplore[[#This Row],[Land-DB]]^2)+1.91*TblExplore[[#This Row],[Land-DB]]-593), 0))*(1+ tech_2_6*Techs!AC63 + tech_2_9*Techs!AF63 + tech_3_7*Techs!AN63 + Overview!$I$33),0)</f>
        <v>-126</v>
      </c>
      <c r="AG63" s="94">
        <f ca="1">_xlfn.FLOOR.MATH(TblExplore[[#This Row],[Land-DB]]/150)+3+tech_2_9_2*TblTech[[#This Row],[2-9]]+tech_3_7_2*TblTech[[#This Row],[3-7]]</f>
        <v>3</v>
      </c>
      <c r="AH63" s="94">
        <f ca="1">SUM(TblExplore[[#This Row],[Plains Explore]:[Water Explore]])*TblExplore[[#This Row],[Plat/acre]]</f>
        <v>0</v>
      </c>
      <c r="AI63" s="94">
        <f ca="1">SUM(TblExplore[[#This Row],[Plains Explore]:[Water Explore]])*TblExplore[[#This Row],[Draftees/acre]]</f>
        <v>0</v>
      </c>
      <c r="AJ63" s="45">
        <f ca="1">_xlfn.FLOOR.MATH(MIN(TblExplore[[#This Row],[Platinum]]/TblExplore[[#This Row],[Plat/acre]],TblExplore[[#This Row],[Draftees]]/TblExplore[[#This Row],[Draftees/acre]]))</f>
        <v>-1193</v>
      </c>
    </row>
    <row r="64" spans="1:36" x14ac:dyDescent="0.2">
      <c r="A64" s="175">
        <f>TblRezone[[#This Row],[Hour]]</f>
        <v>61</v>
      </c>
      <c r="B64" s="214">
        <f ca="1">TblConstr[[#This Row],[Land]]</f>
        <v>110</v>
      </c>
      <c r="C64" s="215"/>
      <c r="D64" s="216">
        <f ca="1">TblConstr[[#This Row],[Plain]]</f>
        <v>60</v>
      </c>
      <c r="E64" s="182">
        <f ca="1">TblConstr[[#This Row],[Forest]]</f>
        <v>0</v>
      </c>
      <c r="F64" s="359">
        <f ca="1">TblConstr[[#This Row],[Mountain]]</f>
        <v>0</v>
      </c>
      <c r="G64" s="363">
        <f ca="1">TblConstr[[#This Row],[Hill]]</f>
        <v>0</v>
      </c>
      <c r="H64" s="367">
        <f ca="1">TblConstr[[#This Row],[Swamp]]</f>
        <v>0</v>
      </c>
      <c r="I64" s="185">
        <f ca="1">TblConstr[[#This Row],[Cavern]]</f>
        <v>0</v>
      </c>
      <c r="J64" s="186">
        <f ca="1">TblConstr[[#This Row],[Water]]</f>
        <v>0</v>
      </c>
      <c r="K64" s="210"/>
      <c r="L64" s="373">
        <f t="shared" si="0"/>
        <v>14</v>
      </c>
      <c r="M64" s="374">
        <f>(TblExplore[[#This Row],[Column3]]-3+1)*150-1</f>
        <v>1799</v>
      </c>
      <c r="N64" s="217">
        <f ca="1">TblMili[[#This Row],[Smithies]]</f>
        <v>0</v>
      </c>
      <c r="O64" s="217">
        <f ca="1">TblPop[[#This Row],[Employment]]</f>
        <v>1</v>
      </c>
      <c r="P64" s="217">
        <f ca="1">TblImps[[#This Row],[Population]]</f>
        <v>1</v>
      </c>
      <c r="Q64" s="175">
        <f ca="1">TblExplore[[#This Row],[Land]]</f>
        <v>110</v>
      </c>
      <c r="R64" s="175">
        <f>TblExplore[[#This Row],[Hour]]</f>
        <v>61</v>
      </c>
      <c r="S64" s="218"/>
      <c r="T64" s="179"/>
      <c r="U64" s="179"/>
      <c r="V64" s="179"/>
      <c r="W64" s="179"/>
      <c r="X64" s="179"/>
      <c r="Y64" s="179"/>
      <c r="Z64" s="179"/>
      <c r="AA64" s="159">
        <f ca="1">TblImps[[#This Row],[Real time]]</f>
        <v>46049.499999999854</v>
      </c>
      <c r="AB64" s="94">
        <f ca="1">TblMili[[#This Row],[Draftees]]</f>
        <v>529</v>
      </c>
      <c r="AC64" s="94">
        <f ca="1">TblProd[[#This Row],[Platinum]]</f>
        <v>151791</v>
      </c>
      <c r="AD64" s="215"/>
      <c r="AE64" s="45">
        <f ca="1">TblExplore[[#This Row],[Land]]-TblExplore[[#This Row],[Land Bonus]]*20</f>
        <v>110</v>
      </c>
      <c r="AF64" s="94">
        <f ca="1">ROUND((0.6*TblExplore[[#This Row],[Land-DB]]^1.299 + IF(TblExplore[[#This Row],[Land-DB]]&lt;1520, (-0.001*(TblExplore[[#This Row],[Land-DB]]^2)+1.91*TblExplore[[#This Row],[Land-DB]]-593), 0))*(1+ tech_2_6*Techs!AC64 + tech_2_9*Techs!AF64 + tech_3_7*Techs!AN64 + Overview!$I$33),0)</f>
        <v>-126</v>
      </c>
      <c r="AG64" s="94">
        <f ca="1">_xlfn.FLOOR.MATH(TblExplore[[#This Row],[Land-DB]]/150)+3+tech_2_9_2*TblTech[[#This Row],[2-9]]+tech_3_7_2*TblTech[[#This Row],[3-7]]</f>
        <v>3</v>
      </c>
      <c r="AH64" s="94">
        <f ca="1">SUM(TblExplore[[#This Row],[Plains Explore]:[Water Explore]])*TblExplore[[#This Row],[Plat/acre]]</f>
        <v>0</v>
      </c>
      <c r="AI64" s="94">
        <f ca="1">SUM(TblExplore[[#This Row],[Plains Explore]:[Water Explore]])*TblExplore[[#This Row],[Draftees/acre]]</f>
        <v>0</v>
      </c>
      <c r="AJ64" s="45">
        <f ca="1">_xlfn.FLOOR.MATH(MIN(TblExplore[[#This Row],[Platinum]]/TblExplore[[#This Row],[Plat/acre]],TblExplore[[#This Row],[Draftees]]/TblExplore[[#This Row],[Draftees/acre]]))</f>
        <v>-1205</v>
      </c>
    </row>
    <row r="65" spans="1:36" x14ac:dyDescent="0.2">
      <c r="A65" s="175">
        <f>TblRezone[[#This Row],[Hour]]</f>
        <v>62</v>
      </c>
      <c r="B65" s="214">
        <f ca="1">TblConstr[[#This Row],[Land]]</f>
        <v>110</v>
      </c>
      <c r="C65" s="215"/>
      <c r="D65" s="216">
        <f ca="1">TblConstr[[#This Row],[Plain]]</f>
        <v>60</v>
      </c>
      <c r="E65" s="182">
        <f ca="1">TblConstr[[#This Row],[Forest]]</f>
        <v>0</v>
      </c>
      <c r="F65" s="359">
        <f ca="1">TblConstr[[#This Row],[Mountain]]</f>
        <v>0</v>
      </c>
      <c r="G65" s="363">
        <f ca="1">TblConstr[[#This Row],[Hill]]</f>
        <v>0</v>
      </c>
      <c r="H65" s="367">
        <f ca="1">TblConstr[[#This Row],[Swamp]]</f>
        <v>0</v>
      </c>
      <c r="I65" s="185">
        <f ca="1">TblConstr[[#This Row],[Cavern]]</f>
        <v>0</v>
      </c>
      <c r="J65" s="186">
        <f ca="1">TblConstr[[#This Row],[Water]]</f>
        <v>0</v>
      </c>
      <c r="K65" s="210"/>
      <c r="L65" s="373">
        <f t="shared" si="0"/>
        <v>15</v>
      </c>
      <c r="M65" s="374">
        <f>(TblExplore[[#This Row],[Column3]]-3+1)*150-1</f>
        <v>1949</v>
      </c>
      <c r="N65" s="217">
        <f ca="1">TblMili[[#This Row],[Smithies]]</f>
        <v>0</v>
      </c>
      <c r="O65" s="217">
        <f ca="1">TblPop[[#This Row],[Employment]]</f>
        <v>1</v>
      </c>
      <c r="P65" s="217">
        <f ca="1">TblImps[[#This Row],[Population]]</f>
        <v>1</v>
      </c>
      <c r="Q65" s="175">
        <f ca="1">TblExplore[[#This Row],[Land]]</f>
        <v>110</v>
      </c>
      <c r="R65" s="175">
        <f>TblExplore[[#This Row],[Hour]]</f>
        <v>62</v>
      </c>
      <c r="S65" s="218"/>
      <c r="T65" s="179"/>
      <c r="U65" s="179"/>
      <c r="V65" s="179"/>
      <c r="W65" s="179"/>
      <c r="X65" s="179"/>
      <c r="Y65" s="179"/>
      <c r="Z65" s="179"/>
      <c r="AA65" s="159">
        <f ca="1">TblImps[[#This Row],[Real time]]</f>
        <v>46049.541666666519</v>
      </c>
      <c r="AB65" s="94">
        <f ca="1">TblMili[[#This Row],[Draftees]]</f>
        <v>534</v>
      </c>
      <c r="AC65" s="94">
        <f ca="1">TblProd[[#This Row],[Platinum]]</f>
        <v>153267</v>
      </c>
      <c r="AD65" s="215"/>
      <c r="AE65" s="45">
        <f ca="1">TblExplore[[#This Row],[Land]]-TblExplore[[#This Row],[Land Bonus]]*20</f>
        <v>110</v>
      </c>
      <c r="AF65" s="94">
        <f ca="1">ROUND((0.6*TblExplore[[#This Row],[Land-DB]]^1.299 + IF(TblExplore[[#This Row],[Land-DB]]&lt;1520, (-0.001*(TblExplore[[#This Row],[Land-DB]]^2)+1.91*TblExplore[[#This Row],[Land-DB]]-593), 0))*(1+ tech_2_6*Techs!AC65 + tech_2_9*Techs!AF65 + tech_3_7*Techs!AN65 + Overview!$I$33),0)</f>
        <v>-126</v>
      </c>
      <c r="AG65" s="94">
        <f ca="1">_xlfn.FLOOR.MATH(TblExplore[[#This Row],[Land-DB]]/150)+3+tech_2_9_2*TblTech[[#This Row],[2-9]]+tech_3_7_2*TblTech[[#This Row],[3-7]]</f>
        <v>3</v>
      </c>
      <c r="AH65" s="94">
        <f ca="1">SUM(TblExplore[[#This Row],[Plains Explore]:[Water Explore]])*TblExplore[[#This Row],[Plat/acre]]</f>
        <v>0</v>
      </c>
      <c r="AI65" s="94">
        <f ca="1">SUM(TblExplore[[#This Row],[Plains Explore]:[Water Explore]])*TblExplore[[#This Row],[Draftees/acre]]</f>
        <v>0</v>
      </c>
      <c r="AJ65" s="45">
        <f ca="1">_xlfn.FLOOR.MATH(MIN(TblExplore[[#This Row],[Platinum]]/TblExplore[[#This Row],[Plat/acre]],TblExplore[[#This Row],[Draftees]]/TblExplore[[#This Row],[Draftees/acre]]))</f>
        <v>-1217</v>
      </c>
    </row>
    <row r="66" spans="1:36" x14ac:dyDescent="0.2">
      <c r="A66" s="175">
        <f>TblRezone[[#This Row],[Hour]]</f>
        <v>63</v>
      </c>
      <c r="B66" s="214">
        <f ca="1">TblConstr[[#This Row],[Land]]</f>
        <v>110</v>
      </c>
      <c r="C66" s="215"/>
      <c r="D66" s="216">
        <f ca="1">TblConstr[[#This Row],[Plain]]</f>
        <v>60</v>
      </c>
      <c r="E66" s="182">
        <f ca="1">TblConstr[[#This Row],[Forest]]</f>
        <v>0</v>
      </c>
      <c r="F66" s="359">
        <f ca="1">TblConstr[[#This Row],[Mountain]]</f>
        <v>0</v>
      </c>
      <c r="G66" s="363">
        <f ca="1">TblConstr[[#This Row],[Hill]]</f>
        <v>0</v>
      </c>
      <c r="H66" s="367">
        <f ca="1">TblConstr[[#This Row],[Swamp]]</f>
        <v>0</v>
      </c>
      <c r="I66" s="185">
        <f ca="1">TblConstr[[#This Row],[Cavern]]</f>
        <v>0</v>
      </c>
      <c r="J66" s="186">
        <f ca="1">TblConstr[[#This Row],[Water]]</f>
        <v>0</v>
      </c>
      <c r="K66" s="210"/>
      <c r="L66" s="373">
        <f t="shared" si="0"/>
        <v>16</v>
      </c>
      <c r="M66" s="374">
        <f>(TblExplore[[#This Row],[Column3]]-3+1)*150-1</f>
        <v>2099</v>
      </c>
      <c r="N66" s="217">
        <f ca="1">TblMili[[#This Row],[Smithies]]</f>
        <v>0</v>
      </c>
      <c r="O66" s="217">
        <f ca="1">TblPop[[#This Row],[Employment]]</f>
        <v>1</v>
      </c>
      <c r="P66" s="217">
        <f ca="1">TblImps[[#This Row],[Population]]</f>
        <v>1</v>
      </c>
      <c r="Q66" s="175">
        <f ca="1">TblExplore[[#This Row],[Land]]</f>
        <v>110</v>
      </c>
      <c r="R66" s="175">
        <f>TblExplore[[#This Row],[Hour]]</f>
        <v>63</v>
      </c>
      <c r="S66" s="218"/>
      <c r="T66" s="179"/>
      <c r="U66" s="179"/>
      <c r="V66" s="179"/>
      <c r="W66" s="179"/>
      <c r="X66" s="179"/>
      <c r="Y66" s="179"/>
      <c r="Z66" s="179"/>
      <c r="AA66" s="159">
        <f ca="1">TblImps[[#This Row],[Real time]]</f>
        <v>46049.583333333183</v>
      </c>
      <c r="AB66" s="94">
        <f ca="1">TblMili[[#This Row],[Draftees]]</f>
        <v>539</v>
      </c>
      <c r="AC66" s="94">
        <f ca="1">TblProd[[#This Row],[Platinum]]</f>
        <v>154730</v>
      </c>
      <c r="AD66" s="215"/>
      <c r="AE66" s="45">
        <f ca="1">TblExplore[[#This Row],[Land]]-TblExplore[[#This Row],[Land Bonus]]*20</f>
        <v>110</v>
      </c>
      <c r="AF66" s="94">
        <f ca="1">ROUND((0.6*TblExplore[[#This Row],[Land-DB]]^1.299 + IF(TblExplore[[#This Row],[Land-DB]]&lt;1520, (-0.001*(TblExplore[[#This Row],[Land-DB]]^2)+1.91*TblExplore[[#This Row],[Land-DB]]-593), 0))*(1+ tech_2_6*Techs!AC66 + tech_2_9*Techs!AF66 + tech_3_7*Techs!AN66 + Overview!$I$33),0)</f>
        <v>-126</v>
      </c>
      <c r="AG66" s="94">
        <f ca="1">_xlfn.FLOOR.MATH(TblExplore[[#This Row],[Land-DB]]/150)+3+tech_2_9_2*TblTech[[#This Row],[2-9]]+tech_3_7_2*TblTech[[#This Row],[3-7]]</f>
        <v>3</v>
      </c>
      <c r="AH66" s="94">
        <f ca="1">SUM(TblExplore[[#This Row],[Plains Explore]:[Water Explore]])*TblExplore[[#This Row],[Plat/acre]]</f>
        <v>0</v>
      </c>
      <c r="AI66" s="94">
        <f ca="1">SUM(TblExplore[[#This Row],[Plains Explore]:[Water Explore]])*TblExplore[[#This Row],[Draftees/acre]]</f>
        <v>0</v>
      </c>
      <c r="AJ66" s="45">
        <f ca="1">_xlfn.FLOOR.MATH(MIN(TblExplore[[#This Row],[Platinum]]/TblExplore[[#This Row],[Plat/acre]],TblExplore[[#This Row],[Draftees]]/TblExplore[[#This Row],[Draftees/acre]]))</f>
        <v>-1229</v>
      </c>
    </row>
    <row r="67" spans="1:36" x14ac:dyDescent="0.2">
      <c r="A67" s="175">
        <f>TblRezone[[#This Row],[Hour]]</f>
        <v>64</v>
      </c>
      <c r="B67" s="214">
        <f ca="1">TblConstr[[#This Row],[Land]]</f>
        <v>110</v>
      </c>
      <c r="C67" s="215"/>
      <c r="D67" s="216">
        <f ca="1">TblConstr[[#This Row],[Plain]]</f>
        <v>60</v>
      </c>
      <c r="E67" s="182">
        <f ca="1">TblConstr[[#This Row],[Forest]]</f>
        <v>0</v>
      </c>
      <c r="F67" s="359">
        <f ca="1">TblConstr[[#This Row],[Mountain]]</f>
        <v>0</v>
      </c>
      <c r="G67" s="363">
        <f ca="1">TblConstr[[#This Row],[Hill]]</f>
        <v>0</v>
      </c>
      <c r="H67" s="367">
        <f ca="1">TblConstr[[#This Row],[Swamp]]</f>
        <v>0</v>
      </c>
      <c r="I67" s="185">
        <f ca="1">TblConstr[[#This Row],[Cavern]]</f>
        <v>0</v>
      </c>
      <c r="J67" s="186">
        <f ca="1">TblConstr[[#This Row],[Water]]</f>
        <v>0</v>
      </c>
      <c r="K67" s="210"/>
      <c r="L67" s="373">
        <f t="shared" si="0"/>
        <v>17</v>
      </c>
      <c r="M67" s="374">
        <f>(TblExplore[[#This Row],[Column3]]-3+1)*150-1</f>
        <v>2249</v>
      </c>
      <c r="N67" s="217">
        <f ca="1">TblMili[[#This Row],[Smithies]]</f>
        <v>0</v>
      </c>
      <c r="O67" s="217">
        <f ca="1">TblPop[[#This Row],[Employment]]</f>
        <v>1</v>
      </c>
      <c r="P67" s="217">
        <f ca="1">TblImps[[#This Row],[Population]]</f>
        <v>1</v>
      </c>
      <c r="Q67" s="175">
        <f ca="1">TblExplore[[#This Row],[Land]]</f>
        <v>110</v>
      </c>
      <c r="R67" s="175">
        <f>TblExplore[[#This Row],[Hour]]</f>
        <v>64</v>
      </c>
      <c r="S67" s="218"/>
      <c r="T67" s="179"/>
      <c r="U67" s="179"/>
      <c r="V67" s="179"/>
      <c r="W67" s="179"/>
      <c r="X67" s="179"/>
      <c r="Y67" s="179"/>
      <c r="Z67" s="179"/>
      <c r="AA67" s="159">
        <f ca="1">TblImps[[#This Row],[Real time]]</f>
        <v>46049.624999999847</v>
      </c>
      <c r="AB67" s="94">
        <f ca="1">TblMili[[#This Row],[Draftees]]</f>
        <v>544</v>
      </c>
      <c r="AC67" s="94">
        <f ca="1">TblProd[[#This Row],[Platinum]]</f>
        <v>156179</v>
      </c>
      <c r="AD67" s="215"/>
      <c r="AE67" s="45">
        <f ca="1">TblExplore[[#This Row],[Land]]-TblExplore[[#This Row],[Land Bonus]]*20</f>
        <v>110</v>
      </c>
      <c r="AF67" s="94">
        <f ca="1">ROUND((0.6*TblExplore[[#This Row],[Land-DB]]^1.299 + IF(TblExplore[[#This Row],[Land-DB]]&lt;1520, (-0.001*(TblExplore[[#This Row],[Land-DB]]^2)+1.91*TblExplore[[#This Row],[Land-DB]]-593), 0))*(1+ tech_2_6*Techs!AC67 + tech_2_9*Techs!AF67 + tech_3_7*Techs!AN67 + Overview!$I$33),0)</f>
        <v>-126</v>
      </c>
      <c r="AG67" s="94">
        <f ca="1">_xlfn.FLOOR.MATH(TblExplore[[#This Row],[Land-DB]]/150)+3+tech_2_9_2*TblTech[[#This Row],[2-9]]+tech_3_7_2*TblTech[[#This Row],[3-7]]</f>
        <v>3</v>
      </c>
      <c r="AH67" s="94">
        <f ca="1">SUM(TblExplore[[#This Row],[Plains Explore]:[Water Explore]])*TblExplore[[#This Row],[Plat/acre]]</f>
        <v>0</v>
      </c>
      <c r="AI67" s="94">
        <f ca="1">SUM(TblExplore[[#This Row],[Plains Explore]:[Water Explore]])*TblExplore[[#This Row],[Draftees/acre]]</f>
        <v>0</v>
      </c>
      <c r="AJ67" s="45">
        <f ca="1">_xlfn.FLOOR.MATH(MIN(TblExplore[[#This Row],[Platinum]]/TblExplore[[#This Row],[Plat/acre]],TblExplore[[#This Row],[Draftees]]/TblExplore[[#This Row],[Draftees/acre]]))</f>
        <v>-1240</v>
      </c>
    </row>
    <row r="68" spans="1:36" x14ac:dyDescent="0.2">
      <c r="A68" s="175">
        <f>TblRezone[[#This Row],[Hour]]</f>
        <v>65</v>
      </c>
      <c r="B68" s="214">
        <f ca="1">TblConstr[[#This Row],[Land]]</f>
        <v>110</v>
      </c>
      <c r="C68" s="215"/>
      <c r="D68" s="216">
        <f ca="1">TblConstr[[#This Row],[Plain]]</f>
        <v>60</v>
      </c>
      <c r="E68" s="182">
        <f ca="1">TblConstr[[#This Row],[Forest]]</f>
        <v>0</v>
      </c>
      <c r="F68" s="359">
        <f ca="1">TblConstr[[#This Row],[Mountain]]</f>
        <v>0</v>
      </c>
      <c r="G68" s="363">
        <f ca="1">TblConstr[[#This Row],[Hill]]</f>
        <v>0</v>
      </c>
      <c r="H68" s="367">
        <f ca="1">TblConstr[[#This Row],[Swamp]]</f>
        <v>0</v>
      </c>
      <c r="I68" s="185">
        <f ca="1">TblConstr[[#This Row],[Cavern]]</f>
        <v>0</v>
      </c>
      <c r="J68" s="186">
        <f ca="1">TblConstr[[#This Row],[Water]]</f>
        <v>0</v>
      </c>
      <c r="K68" s="210"/>
      <c r="L68" s="373">
        <f t="shared" si="0"/>
        <v>18</v>
      </c>
      <c r="M68" s="374">
        <f>(TblExplore[[#This Row],[Column3]]-3+1)*150-1</f>
        <v>2399</v>
      </c>
      <c r="N68" s="217">
        <f ca="1">TblMili[[#This Row],[Smithies]]</f>
        <v>0</v>
      </c>
      <c r="O68" s="217">
        <f ca="1">TblPop[[#This Row],[Employment]]</f>
        <v>1</v>
      </c>
      <c r="P68" s="217">
        <f ca="1">TblImps[[#This Row],[Population]]</f>
        <v>1</v>
      </c>
      <c r="Q68" s="175">
        <f ca="1">TblExplore[[#This Row],[Land]]</f>
        <v>110</v>
      </c>
      <c r="R68" s="175">
        <f>TblExplore[[#This Row],[Hour]]</f>
        <v>65</v>
      </c>
      <c r="S68" s="218"/>
      <c r="T68" s="179"/>
      <c r="U68" s="179"/>
      <c r="V68" s="179"/>
      <c r="W68" s="179"/>
      <c r="X68" s="179"/>
      <c r="Y68" s="179"/>
      <c r="Z68" s="179"/>
      <c r="AA68" s="159">
        <f ca="1">TblImps[[#This Row],[Real time]]</f>
        <v>46049.666666666511</v>
      </c>
      <c r="AB68" s="94">
        <f ca="1">TblMili[[#This Row],[Draftees]]</f>
        <v>549</v>
      </c>
      <c r="AC68" s="94">
        <f ca="1">TblProd[[#This Row],[Platinum]]</f>
        <v>157615</v>
      </c>
      <c r="AD68" s="215"/>
      <c r="AE68" s="45">
        <f ca="1">TblExplore[[#This Row],[Land]]-TblExplore[[#This Row],[Land Bonus]]*20</f>
        <v>110</v>
      </c>
      <c r="AF68" s="94">
        <f ca="1">ROUND((0.6*TblExplore[[#This Row],[Land-DB]]^1.299 + IF(TblExplore[[#This Row],[Land-DB]]&lt;1520, (-0.001*(TblExplore[[#This Row],[Land-DB]]^2)+1.91*TblExplore[[#This Row],[Land-DB]]-593), 0))*(1+ tech_2_6*Techs!AC68 + tech_2_9*Techs!AF68 + tech_3_7*Techs!AN68 + Overview!$I$33),0)</f>
        <v>-126</v>
      </c>
      <c r="AG68" s="94">
        <f ca="1">_xlfn.FLOOR.MATH(TblExplore[[#This Row],[Land-DB]]/150)+3+tech_2_9_2*TblTech[[#This Row],[2-9]]+tech_3_7_2*TblTech[[#This Row],[3-7]]</f>
        <v>3</v>
      </c>
      <c r="AH68" s="94">
        <f ca="1">SUM(TblExplore[[#This Row],[Plains Explore]:[Water Explore]])*TblExplore[[#This Row],[Plat/acre]]</f>
        <v>0</v>
      </c>
      <c r="AI68" s="94">
        <f ca="1">SUM(TblExplore[[#This Row],[Plains Explore]:[Water Explore]])*TblExplore[[#This Row],[Draftees/acre]]</f>
        <v>0</v>
      </c>
      <c r="AJ68" s="45">
        <f ca="1">_xlfn.FLOOR.MATH(MIN(TblExplore[[#This Row],[Platinum]]/TblExplore[[#This Row],[Plat/acre]],TblExplore[[#This Row],[Draftees]]/TblExplore[[#This Row],[Draftees/acre]]))</f>
        <v>-1251</v>
      </c>
    </row>
    <row r="69" spans="1:36" x14ac:dyDescent="0.2">
      <c r="A69" s="175">
        <f>TblRezone[[#This Row],[Hour]]</f>
        <v>66</v>
      </c>
      <c r="B69" s="214">
        <f ca="1">TblConstr[[#This Row],[Land]]</f>
        <v>110</v>
      </c>
      <c r="C69" s="215"/>
      <c r="D69" s="216">
        <f ca="1">TblConstr[[#This Row],[Plain]]</f>
        <v>60</v>
      </c>
      <c r="E69" s="182">
        <f ca="1">TblConstr[[#This Row],[Forest]]</f>
        <v>0</v>
      </c>
      <c r="F69" s="359">
        <f ca="1">TblConstr[[#This Row],[Mountain]]</f>
        <v>0</v>
      </c>
      <c r="G69" s="363">
        <f ca="1">TblConstr[[#This Row],[Hill]]</f>
        <v>0</v>
      </c>
      <c r="H69" s="367">
        <f ca="1">TblConstr[[#This Row],[Swamp]]</f>
        <v>0</v>
      </c>
      <c r="I69" s="185">
        <f ca="1">TblConstr[[#This Row],[Cavern]]</f>
        <v>0</v>
      </c>
      <c r="J69" s="186">
        <f ca="1">TblConstr[[#This Row],[Water]]</f>
        <v>0</v>
      </c>
      <c r="K69" s="210"/>
      <c r="L69" s="375">
        <f t="shared" si="0"/>
        <v>19</v>
      </c>
      <c r="M69" s="376">
        <f>(TblExplore[[#This Row],[Column3]]-3+1)*150-1</f>
        <v>2549</v>
      </c>
      <c r="N69" s="217">
        <f ca="1">TblMili[[#This Row],[Smithies]]</f>
        <v>0</v>
      </c>
      <c r="O69" s="217">
        <f ca="1">TblPop[[#This Row],[Employment]]</f>
        <v>1</v>
      </c>
      <c r="P69" s="217">
        <f ca="1">TblImps[[#This Row],[Population]]</f>
        <v>1</v>
      </c>
      <c r="Q69" s="175">
        <f ca="1">TblExplore[[#This Row],[Land]]</f>
        <v>110</v>
      </c>
      <c r="R69" s="175">
        <f>TblExplore[[#This Row],[Hour]]</f>
        <v>66</v>
      </c>
      <c r="S69" s="218"/>
      <c r="T69" s="179"/>
      <c r="U69" s="179"/>
      <c r="V69" s="179"/>
      <c r="W69" s="179"/>
      <c r="X69" s="179"/>
      <c r="Y69" s="179"/>
      <c r="Z69" s="179"/>
      <c r="AA69" s="159">
        <f ca="1">TblImps[[#This Row],[Real time]]</f>
        <v>46049.708333333176</v>
      </c>
      <c r="AB69" s="94">
        <f ca="1">TblMili[[#This Row],[Draftees]]</f>
        <v>554</v>
      </c>
      <c r="AC69" s="94">
        <f ca="1">TblProd[[#This Row],[Platinum]]</f>
        <v>159037</v>
      </c>
      <c r="AD69" s="215"/>
      <c r="AE69" s="45">
        <f ca="1">TblExplore[[#This Row],[Land]]-TblExplore[[#This Row],[Land Bonus]]*20</f>
        <v>110</v>
      </c>
      <c r="AF69" s="94">
        <f ca="1">ROUND((0.6*TblExplore[[#This Row],[Land-DB]]^1.299 + IF(TblExplore[[#This Row],[Land-DB]]&lt;1520, (-0.001*(TblExplore[[#This Row],[Land-DB]]^2)+1.91*TblExplore[[#This Row],[Land-DB]]-593), 0))*(1+ tech_2_6*Techs!AC69 + tech_2_9*Techs!AF69 + tech_3_7*Techs!AN69 + Overview!$I$33),0)</f>
        <v>-126</v>
      </c>
      <c r="AG69" s="94">
        <f ca="1">_xlfn.FLOOR.MATH(TblExplore[[#This Row],[Land-DB]]/150)+3+tech_2_9_2*TblTech[[#This Row],[2-9]]+tech_3_7_2*TblTech[[#This Row],[3-7]]</f>
        <v>3</v>
      </c>
      <c r="AH69" s="94">
        <f ca="1">SUM(TblExplore[[#This Row],[Plains Explore]:[Water Explore]])*TblExplore[[#This Row],[Plat/acre]]</f>
        <v>0</v>
      </c>
      <c r="AI69" s="94">
        <f ca="1">SUM(TblExplore[[#This Row],[Plains Explore]:[Water Explore]])*TblExplore[[#This Row],[Draftees/acre]]</f>
        <v>0</v>
      </c>
      <c r="AJ69" s="45">
        <f ca="1">_xlfn.FLOOR.MATH(MIN(TblExplore[[#This Row],[Platinum]]/TblExplore[[#This Row],[Plat/acre]],TblExplore[[#This Row],[Draftees]]/TblExplore[[#This Row],[Draftees/acre]]))</f>
        <v>-1263</v>
      </c>
    </row>
    <row r="70" spans="1:36" x14ac:dyDescent="0.2">
      <c r="A70" s="175">
        <f>TblRezone[[#This Row],[Hour]]</f>
        <v>67</v>
      </c>
      <c r="B70" s="214">
        <f ca="1">TblConstr[[#This Row],[Land]]</f>
        <v>110</v>
      </c>
      <c r="C70" s="215"/>
      <c r="D70" s="216">
        <f ca="1">TblConstr[[#This Row],[Plain]]</f>
        <v>60</v>
      </c>
      <c r="E70" s="182">
        <f ca="1">TblConstr[[#This Row],[Forest]]</f>
        <v>0</v>
      </c>
      <c r="F70" s="359">
        <f ca="1">TblConstr[[#This Row],[Mountain]]</f>
        <v>0</v>
      </c>
      <c r="G70" s="363">
        <f ca="1">TblConstr[[#This Row],[Hill]]</f>
        <v>0</v>
      </c>
      <c r="H70" s="367">
        <f ca="1">TblConstr[[#This Row],[Swamp]]</f>
        <v>0</v>
      </c>
      <c r="I70" s="185">
        <f ca="1">TblConstr[[#This Row],[Cavern]]</f>
        <v>0</v>
      </c>
      <c r="J70" s="186">
        <f ca="1">TblConstr[[#This Row],[Water]]</f>
        <v>0</v>
      </c>
      <c r="K70" s="210"/>
      <c r="L70" s="210"/>
      <c r="M70" s="210"/>
      <c r="N70" s="217">
        <f ca="1">TblMili[[#This Row],[Smithies]]</f>
        <v>0</v>
      </c>
      <c r="O70" s="217">
        <f ca="1">TblPop[[#This Row],[Employment]]</f>
        <v>1</v>
      </c>
      <c r="P70" s="217">
        <f ca="1">TblImps[[#This Row],[Population]]</f>
        <v>1</v>
      </c>
      <c r="Q70" s="175">
        <f ca="1">TblExplore[[#This Row],[Land]]</f>
        <v>110</v>
      </c>
      <c r="R70" s="175">
        <f>TblExplore[[#This Row],[Hour]]</f>
        <v>67</v>
      </c>
      <c r="S70" s="218"/>
      <c r="T70" s="179"/>
      <c r="U70" s="179"/>
      <c r="V70" s="179"/>
      <c r="W70" s="179"/>
      <c r="X70" s="179"/>
      <c r="Y70" s="179"/>
      <c r="Z70" s="179"/>
      <c r="AA70" s="159">
        <f ca="1">TblImps[[#This Row],[Real time]]</f>
        <v>46049.74999999984</v>
      </c>
      <c r="AB70" s="94">
        <f ca="1">TblMili[[#This Row],[Draftees]]</f>
        <v>559</v>
      </c>
      <c r="AC70" s="94">
        <f ca="1">TblProd[[#This Row],[Platinum]]</f>
        <v>160446</v>
      </c>
      <c r="AD70" s="215"/>
      <c r="AE70" s="45">
        <f ca="1">TblExplore[[#This Row],[Land]]-TblExplore[[#This Row],[Land Bonus]]*20</f>
        <v>110</v>
      </c>
      <c r="AF70" s="94">
        <f ca="1">ROUND((0.6*TblExplore[[#This Row],[Land-DB]]^1.299 + IF(TblExplore[[#This Row],[Land-DB]]&lt;1520, (-0.001*(TblExplore[[#This Row],[Land-DB]]^2)+1.91*TblExplore[[#This Row],[Land-DB]]-593), 0))*(1+ tech_2_6*Techs!AC70 + tech_2_9*Techs!AF70 + tech_3_7*Techs!AN70 + Overview!$I$33),0)</f>
        <v>-126</v>
      </c>
      <c r="AG70" s="94">
        <f ca="1">_xlfn.FLOOR.MATH(TblExplore[[#This Row],[Land-DB]]/150)+3+tech_2_9_2*TblTech[[#This Row],[2-9]]+tech_3_7_2*TblTech[[#This Row],[3-7]]</f>
        <v>3</v>
      </c>
      <c r="AH70" s="94">
        <f ca="1">SUM(TblExplore[[#This Row],[Plains Explore]:[Water Explore]])*TblExplore[[#This Row],[Plat/acre]]</f>
        <v>0</v>
      </c>
      <c r="AI70" s="94">
        <f ca="1">SUM(TblExplore[[#This Row],[Plains Explore]:[Water Explore]])*TblExplore[[#This Row],[Draftees/acre]]</f>
        <v>0</v>
      </c>
      <c r="AJ70" s="45">
        <f ca="1">_xlfn.FLOOR.MATH(MIN(TblExplore[[#This Row],[Platinum]]/TblExplore[[#This Row],[Plat/acre]],TblExplore[[#This Row],[Draftees]]/TblExplore[[#This Row],[Draftees/acre]]))</f>
        <v>-1274</v>
      </c>
    </row>
    <row r="71" spans="1:36" x14ac:dyDescent="0.2">
      <c r="A71" s="175">
        <f>TblRezone[[#This Row],[Hour]]</f>
        <v>68</v>
      </c>
      <c r="B71" s="214">
        <f ca="1">TblConstr[[#This Row],[Land]]</f>
        <v>110</v>
      </c>
      <c r="C71" s="215"/>
      <c r="D71" s="216">
        <f ca="1">TblConstr[[#This Row],[Plain]]</f>
        <v>60</v>
      </c>
      <c r="E71" s="182">
        <f ca="1">TblConstr[[#This Row],[Forest]]</f>
        <v>0</v>
      </c>
      <c r="F71" s="359">
        <f ca="1">TblConstr[[#This Row],[Mountain]]</f>
        <v>0</v>
      </c>
      <c r="G71" s="363">
        <f ca="1">TblConstr[[#This Row],[Hill]]</f>
        <v>0</v>
      </c>
      <c r="H71" s="367">
        <f ca="1">TblConstr[[#This Row],[Swamp]]</f>
        <v>0</v>
      </c>
      <c r="I71" s="185">
        <f ca="1">TblConstr[[#This Row],[Cavern]]</f>
        <v>0</v>
      </c>
      <c r="J71" s="186">
        <f ca="1">TblConstr[[#This Row],[Water]]</f>
        <v>0</v>
      </c>
      <c r="K71" s="210"/>
      <c r="L71" s="210"/>
      <c r="M71" s="210"/>
      <c r="N71" s="217">
        <f ca="1">TblMili[[#This Row],[Smithies]]</f>
        <v>0</v>
      </c>
      <c r="O71" s="217">
        <f ca="1">TblPop[[#This Row],[Employment]]</f>
        <v>1</v>
      </c>
      <c r="P71" s="217">
        <f ca="1">TblImps[[#This Row],[Population]]</f>
        <v>1</v>
      </c>
      <c r="Q71" s="175">
        <f ca="1">TblExplore[[#This Row],[Land]]</f>
        <v>110</v>
      </c>
      <c r="R71" s="175">
        <f>TblExplore[[#This Row],[Hour]]</f>
        <v>68</v>
      </c>
      <c r="S71" s="218"/>
      <c r="T71" s="179"/>
      <c r="U71" s="179"/>
      <c r="V71" s="179"/>
      <c r="W71" s="179"/>
      <c r="X71" s="179"/>
      <c r="Y71" s="179"/>
      <c r="Z71" s="179"/>
      <c r="AA71" s="159">
        <f ca="1">TblImps[[#This Row],[Real time]]</f>
        <v>46049.791666666504</v>
      </c>
      <c r="AB71" s="94">
        <f ca="1">TblMili[[#This Row],[Draftees]]</f>
        <v>564</v>
      </c>
      <c r="AC71" s="94">
        <f ca="1">TblProd[[#This Row],[Platinum]]</f>
        <v>161841</v>
      </c>
      <c r="AD71" s="215"/>
      <c r="AE71" s="45">
        <f ca="1">TblExplore[[#This Row],[Land]]-TblExplore[[#This Row],[Land Bonus]]*20</f>
        <v>110</v>
      </c>
      <c r="AF71" s="94">
        <f ca="1">ROUND((0.6*TblExplore[[#This Row],[Land-DB]]^1.299 + IF(TblExplore[[#This Row],[Land-DB]]&lt;1520, (-0.001*(TblExplore[[#This Row],[Land-DB]]^2)+1.91*TblExplore[[#This Row],[Land-DB]]-593), 0))*(1+ tech_2_6*Techs!AC71 + tech_2_9*Techs!AF71 + tech_3_7*Techs!AN71 + Overview!$I$33),0)</f>
        <v>-126</v>
      </c>
      <c r="AG71" s="94">
        <f ca="1">_xlfn.FLOOR.MATH(TblExplore[[#This Row],[Land-DB]]/150)+3+tech_2_9_2*TblTech[[#This Row],[2-9]]+tech_3_7_2*TblTech[[#This Row],[3-7]]</f>
        <v>3</v>
      </c>
      <c r="AH71" s="94">
        <f ca="1">SUM(TblExplore[[#This Row],[Plains Explore]:[Water Explore]])*TblExplore[[#This Row],[Plat/acre]]</f>
        <v>0</v>
      </c>
      <c r="AI71" s="94">
        <f ca="1">SUM(TblExplore[[#This Row],[Plains Explore]:[Water Explore]])*TblExplore[[#This Row],[Draftees/acre]]</f>
        <v>0</v>
      </c>
      <c r="AJ71" s="45">
        <f ca="1">_xlfn.FLOOR.MATH(MIN(TblExplore[[#This Row],[Platinum]]/TblExplore[[#This Row],[Plat/acre]],TblExplore[[#This Row],[Draftees]]/TblExplore[[#This Row],[Draftees/acre]]))</f>
        <v>-1285</v>
      </c>
    </row>
    <row r="72" spans="1:36" x14ac:dyDescent="0.2">
      <c r="A72" s="175">
        <f>TblRezone[[#This Row],[Hour]]</f>
        <v>69</v>
      </c>
      <c r="B72" s="214">
        <f ca="1">TblConstr[[#This Row],[Land]]</f>
        <v>110</v>
      </c>
      <c r="C72" s="215"/>
      <c r="D72" s="216">
        <f ca="1">TblConstr[[#This Row],[Plain]]</f>
        <v>60</v>
      </c>
      <c r="E72" s="182">
        <f ca="1">TblConstr[[#This Row],[Forest]]</f>
        <v>0</v>
      </c>
      <c r="F72" s="359">
        <f ca="1">TblConstr[[#This Row],[Mountain]]</f>
        <v>0</v>
      </c>
      <c r="G72" s="363">
        <f ca="1">TblConstr[[#This Row],[Hill]]</f>
        <v>0</v>
      </c>
      <c r="H72" s="367">
        <f ca="1">TblConstr[[#This Row],[Swamp]]</f>
        <v>0</v>
      </c>
      <c r="I72" s="185">
        <f ca="1">TblConstr[[#This Row],[Cavern]]</f>
        <v>0</v>
      </c>
      <c r="J72" s="186">
        <f ca="1">TblConstr[[#This Row],[Water]]</f>
        <v>0</v>
      </c>
      <c r="K72" s="210"/>
      <c r="L72" s="210"/>
      <c r="M72" s="210"/>
      <c r="N72" s="217">
        <f ca="1">TblMili[[#This Row],[Smithies]]</f>
        <v>0</v>
      </c>
      <c r="O72" s="217">
        <f ca="1">TblPop[[#This Row],[Employment]]</f>
        <v>1</v>
      </c>
      <c r="P72" s="217">
        <f ca="1">TblImps[[#This Row],[Population]]</f>
        <v>1</v>
      </c>
      <c r="Q72" s="175">
        <f ca="1">TblExplore[[#This Row],[Land]]</f>
        <v>110</v>
      </c>
      <c r="R72" s="175">
        <f>TblExplore[[#This Row],[Hour]]</f>
        <v>69</v>
      </c>
      <c r="S72" s="218"/>
      <c r="T72" s="179"/>
      <c r="U72" s="179"/>
      <c r="V72" s="179"/>
      <c r="W72" s="179"/>
      <c r="X72" s="179"/>
      <c r="Y72" s="179"/>
      <c r="Z72" s="179"/>
      <c r="AA72" s="159">
        <f ca="1">TblImps[[#This Row],[Real time]]</f>
        <v>46049.833333333168</v>
      </c>
      <c r="AB72" s="94">
        <f ca="1">TblMili[[#This Row],[Draftees]]</f>
        <v>569</v>
      </c>
      <c r="AC72" s="94">
        <f ca="1">TblProd[[#This Row],[Platinum]]</f>
        <v>163223</v>
      </c>
      <c r="AD72" s="215"/>
      <c r="AE72" s="45">
        <f ca="1">TblExplore[[#This Row],[Land]]-TblExplore[[#This Row],[Land Bonus]]*20</f>
        <v>110</v>
      </c>
      <c r="AF72" s="94">
        <f ca="1">ROUND((0.6*TblExplore[[#This Row],[Land-DB]]^1.299 + IF(TblExplore[[#This Row],[Land-DB]]&lt;1520, (-0.001*(TblExplore[[#This Row],[Land-DB]]^2)+1.91*TblExplore[[#This Row],[Land-DB]]-593), 0))*(1+ tech_2_6*Techs!AC72 + tech_2_9*Techs!AF72 + tech_3_7*Techs!AN72 + Overview!$I$33),0)</f>
        <v>-126</v>
      </c>
      <c r="AG72" s="94">
        <f ca="1">_xlfn.FLOOR.MATH(TblExplore[[#This Row],[Land-DB]]/150)+3+tech_2_9_2*TblTech[[#This Row],[2-9]]+tech_3_7_2*TblTech[[#This Row],[3-7]]</f>
        <v>3</v>
      </c>
      <c r="AH72" s="94">
        <f ca="1">SUM(TblExplore[[#This Row],[Plains Explore]:[Water Explore]])*TblExplore[[#This Row],[Plat/acre]]</f>
        <v>0</v>
      </c>
      <c r="AI72" s="94">
        <f ca="1">SUM(TblExplore[[#This Row],[Plains Explore]:[Water Explore]])*TblExplore[[#This Row],[Draftees/acre]]</f>
        <v>0</v>
      </c>
      <c r="AJ72" s="45">
        <f ca="1">_xlfn.FLOOR.MATH(MIN(TblExplore[[#This Row],[Platinum]]/TblExplore[[#This Row],[Plat/acre]],TblExplore[[#This Row],[Draftees]]/TblExplore[[#This Row],[Draftees/acre]]))</f>
        <v>-1296</v>
      </c>
    </row>
    <row r="73" spans="1:36" x14ac:dyDescent="0.2">
      <c r="A73" s="175">
        <f>TblRezone[[#This Row],[Hour]]</f>
        <v>70</v>
      </c>
      <c r="B73" s="214">
        <f ca="1">TblConstr[[#This Row],[Land]]</f>
        <v>110</v>
      </c>
      <c r="C73" s="215"/>
      <c r="D73" s="216">
        <f ca="1">TblConstr[[#This Row],[Plain]]</f>
        <v>60</v>
      </c>
      <c r="E73" s="182">
        <f ca="1">TblConstr[[#This Row],[Forest]]</f>
        <v>0</v>
      </c>
      <c r="F73" s="359">
        <f ca="1">TblConstr[[#This Row],[Mountain]]</f>
        <v>0</v>
      </c>
      <c r="G73" s="363">
        <f ca="1">TblConstr[[#This Row],[Hill]]</f>
        <v>0</v>
      </c>
      <c r="H73" s="367">
        <f ca="1">TblConstr[[#This Row],[Swamp]]</f>
        <v>0</v>
      </c>
      <c r="I73" s="185">
        <f ca="1">TblConstr[[#This Row],[Cavern]]</f>
        <v>0</v>
      </c>
      <c r="J73" s="186">
        <f ca="1">TblConstr[[#This Row],[Water]]</f>
        <v>0</v>
      </c>
      <c r="K73" s="210"/>
      <c r="L73" s="210"/>
      <c r="M73" s="210"/>
      <c r="N73" s="217">
        <f ca="1">TblMili[[#This Row],[Smithies]]</f>
        <v>0</v>
      </c>
      <c r="O73" s="217">
        <f ca="1">TblPop[[#This Row],[Employment]]</f>
        <v>1</v>
      </c>
      <c r="P73" s="217">
        <f ca="1">TblImps[[#This Row],[Population]]</f>
        <v>1</v>
      </c>
      <c r="Q73" s="175">
        <f ca="1">TblExplore[[#This Row],[Land]]</f>
        <v>110</v>
      </c>
      <c r="R73" s="175">
        <f>TblExplore[[#This Row],[Hour]]</f>
        <v>70</v>
      </c>
      <c r="S73" s="218"/>
      <c r="T73" s="179"/>
      <c r="U73" s="179"/>
      <c r="V73" s="179"/>
      <c r="W73" s="179"/>
      <c r="X73" s="179"/>
      <c r="Y73" s="179"/>
      <c r="Z73" s="179"/>
      <c r="AA73" s="159">
        <f ca="1">TblImps[[#This Row],[Real time]]</f>
        <v>46049.874999999833</v>
      </c>
      <c r="AB73" s="94">
        <f ca="1">TblMili[[#This Row],[Draftees]]</f>
        <v>574</v>
      </c>
      <c r="AC73" s="94">
        <f ca="1">TblProd[[#This Row],[Platinum]]</f>
        <v>164591</v>
      </c>
      <c r="AD73" s="215"/>
      <c r="AE73" s="45">
        <f ca="1">TblExplore[[#This Row],[Land]]-TblExplore[[#This Row],[Land Bonus]]*20</f>
        <v>110</v>
      </c>
      <c r="AF73" s="94">
        <f ca="1">ROUND((0.6*TblExplore[[#This Row],[Land-DB]]^1.299 + IF(TblExplore[[#This Row],[Land-DB]]&lt;1520, (-0.001*(TblExplore[[#This Row],[Land-DB]]^2)+1.91*TblExplore[[#This Row],[Land-DB]]-593), 0))*(1+ tech_2_6*Techs!AC73 + tech_2_9*Techs!AF73 + tech_3_7*Techs!AN73 + Overview!$I$33),0)</f>
        <v>-126</v>
      </c>
      <c r="AG73" s="94">
        <f ca="1">_xlfn.FLOOR.MATH(TblExplore[[#This Row],[Land-DB]]/150)+3+tech_2_9_2*TblTech[[#This Row],[2-9]]+tech_3_7_2*TblTech[[#This Row],[3-7]]</f>
        <v>3</v>
      </c>
      <c r="AH73" s="94">
        <f ca="1">SUM(TblExplore[[#This Row],[Plains Explore]:[Water Explore]])*TblExplore[[#This Row],[Plat/acre]]</f>
        <v>0</v>
      </c>
      <c r="AI73" s="94">
        <f ca="1">SUM(TblExplore[[#This Row],[Plains Explore]:[Water Explore]])*TblExplore[[#This Row],[Draftees/acre]]</f>
        <v>0</v>
      </c>
      <c r="AJ73" s="45">
        <f ca="1">_xlfn.FLOOR.MATH(MIN(TblExplore[[#This Row],[Platinum]]/TblExplore[[#This Row],[Plat/acre]],TblExplore[[#This Row],[Draftees]]/TblExplore[[#This Row],[Draftees/acre]]))</f>
        <v>-1307</v>
      </c>
    </row>
    <row r="74" spans="1:36" x14ac:dyDescent="0.2">
      <c r="A74" s="175">
        <f>TblRezone[[#This Row],[Hour]]</f>
        <v>71</v>
      </c>
      <c r="B74" s="214">
        <f ca="1">TblConstr[[#This Row],[Land]]</f>
        <v>110</v>
      </c>
      <c r="C74" s="215"/>
      <c r="D74" s="216">
        <f ca="1">TblConstr[[#This Row],[Plain]]</f>
        <v>60</v>
      </c>
      <c r="E74" s="182">
        <f ca="1">TblConstr[[#This Row],[Forest]]</f>
        <v>0</v>
      </c>
      <c r="F74" s="359">
        <f ca="1">TblConstr[[#This Row],[Mountain]]</f>
        <v>0</v>
      </c>
      <c r="G74" s="363">
        <f ca="1">TblConstr[[#This Row],[Hill]]</f>
        <v>0</v>
      </c>
      <c r="H74" s="367">
        <f ca="1">TblConstr[[#This Row],[Swamp]]</f>
        <v>0</v>
      </c>
      <c r="I74" s="185">
        <f ca="1">TblConstr[[#This Row],[Cavern]]</f>
        <v>0</v>
      </c>
      <c r="J74" s="186">
        <f ca="1">TblConstr[[#This Row],[Water]]</f>
        <v>0</v>
      </c>
      <c r="K74" s="210"/>
      <c r="L74" s="210"/>
      <c r="M74" s="210"/>
      <c r="N74" s="217">
        <f ca="1">TblMili[[#This Row],[Smithies]]</f>
        <v>0</v>
      </c>
      <c r="O74" s="217">
        <f ca="1">TblPop[[#This Row],[Employment]]</f>
        <v>1</v>
      </c>
      <c r="P74" s="217">
        <f ca="1">TblImps[[#This Row],[Population]]</f>
        <v>1</v>
      </c>
      <c r="Q74" s="175">
        <f ca="1">TblExplore[[#This Row],[Land]]</f>
        <v>110</v>
      </c>
      <c r="R74" s="175">
        <f>TblExplore[[#This Row],[Hour]]</f>
        <v>71</v>
      </c>
      <c r="S74" s="218"/>
      <c r="T74" s="179"/>
      <c r="U74" s="179"/>
      <c r="V74" s="179"/>
      <c r="W74" s="179"/>
      <c r="X74" s="179"/>
      <c r="Y74" s="179"/>
      <c r="Z74" s="179"/>
      <c r="AA74" s="159">
        <f ca="1">TblImps[[#This Row],[Real time]]</f>
        <v>46049.916666666497</v>
      </c>
      <c r="AB74" s="94">
        <f ca="1">TblMili[[#This Row],[Draftees]]</f>
        <v>579</v>
      </c>
      <c r="AC74" s="94">
        <f ca="1">TblProd[[#This Row],[Platinum]]</f>
        <v>165946</v>
      </c>
      <c r="AD74" s="215"/>
      <c r="AE74" s="45">
        <f ca="1">TblExplore[[#This Row],[Land]]-TblExplore[[#This Row],[Land Bonus]]*20</f>
        <v>110</v>
      </c>
      <c r="AF74" s="94">
        <f ca="1">ROUND((0.6*TblExplore[[#This Row],[Land-DB]]^1.299 + IF(TblExplore[[#This Row],[Land-DB]]&lt;1520, (-0.001*(TblExplore[[#This Row],[Land-DB]]^2)+1.91*TblExplore[[#This Row],[Land-DB]]-593), 0))*(1+ tech_2_6*Techs!AC74 + tech_2_9*Techs!AF74 + tech_3_7*Techs!AN74 + Overview!$I$33),0)</f>
        <v>-126</v>
      </c>
      <c r="AG74" s="94">
        <f ca="1">_xlfn.FLOOR.MATH(TblExplore[[#This Row],[Land-DB]]/150)+3+tech_2_9_2*TblTech[[#This Row],[2-9]]+tech_3_7_2*TblTech[[#This Row],[3-7]]</f>
        <v>3</v>
      </c>
      <c r="AH74" s="94">
        <f ca="1">SUM(TblExplore[[#This Row],[Plains Explore]:[Water Explore]])*TblExplore[[#This Row],[Plat/acre]]</f>
        <v>0</v>
      </c>
      <c r="AI74" s="94">
        <f ca="1">SUM(TblExplore[[#This Row],[Plains Explore]:[Water Explore]])*TblExplore[[#This Row],[Draftees/acre]]</f>
        <v>0</v>
      </c>
      <c r="AJ74" s="45">
        <f ca="1">_xlfn.FLOOR.MATH(MIN(TblExplore[[#This Row],[Platinum]]/TblExplore[[#This Row],[Plat/acre]],TblExplore[[#This Row],[Draftees]]/TblExplore[[#This Row],[Draftees/acre]]))</f>
        <v>-1318</v>
      </c>
    </row>
    <row r="75" spans="1:36" x14ac:dyDescent="0.2">
      <c r="A75" s="175">
        <f>TblRezone[[#This Row],[Hour]]</f>
        <v>72</v>
      </c>
      <c r="B75" s="214">
        <f ca="1">TblConstr[[#This Row],[Land]]</f>
        <v>110</v>
      </c>
      <c r="C75" s="215"/>
      <c r="D75" s="216">
        <f ca="1">TblConstr[[#This Row],[Plain]]</f>
        <v>60</v>
      </c>
      <c r="E75" s="182">
        <f ca="1">TblConstr[[#This Row],[Forest]]</f>
        <v>0</v>
      </c>
      <c r="F75" s="359">
        <f ca="1">TblConstr[[#This Row],[Mountain]]</f>
        <v>0</v>
      </c>
      <c r="G75" s="363">
        <f ca="1">TblConstr[[#This Row],[Hill]]</f>
        <v>0</v>
      </c>
      <c r="H75" s="367">
        <f ca="1">TblConstr[[#This Row],[Swamp]]</f>
        <v>0</v>
      </c>
      <c r="I75" s="185">
        <f ca="1">TblConstr[[#This Row],[Cavern]]</f>
        <v>0</v>
      </c>
      <c r="J75" s="186">
        <f ca="1">TblConstr[[#This Row],[Water]]</f>
        <v>0</v>
      </c>
      <c r="K75" s="210"/>
      <c r="L75" s="210"/>
      <c r="M75" s="210"/>
      <c r="N75" s="217">
        <f ca="1">TblMili[[#This Row],[Smithies]]</f>
        <v>0</v>
      </c>
      <c r="O75" s="217">
        <f ca="1">TblPop[[#This Row],[Employment]]</f>
        <v>1</v>
      </c>
      <c r="P75" s="217">
        <f ca="1">TblImps[[#This Row],[Population]]</f>
        <v>1</v>
      </c>
      <c r="Q75" s="175">
        <f ca="1">TblExplore[[#This Row],[Land]]</f>
        <v>110</v>
      </c>
      <c r="R75" s="175">
        <f>TblExplore[[#This Row],[Hour]]</f>
        <v>72</v>
      </c>
      <c r="S75" s="218"/>
      <c r="T75" s="179"/>
      <c r="U75" s="179"/>
      <c r="V75" s="179"/>
      <c r="W75" s="179"/>
      <c r="X75" s="179"/>
      <c r="Y75" s="179"/>
      <c r="Z75" s="179"/>
      <c r="AA75" s="159">
        <f ca="1">TblImps[[#This Row],[Real time]]</f>
        <v>46049.958333333161</v>
      </c>
      <c r="AB75" s="94">
        <f ca="1">TblMili[[#This Row],[Draftees]]</f>
        <v>584</v>
      </c>
      <c r="AC75" s="94">
        <f ca="1">TblProd[[#This Row],[Platinum]]</f>
        <v>167287</v>
      </c>
      <c r="AD75" s="215"/>
      <c r="AE75" s="45">
        <f ca="1">TblExplore[[#This Row],[Land]]-TblExplore[[#This Row],[Land Bonus]]*20</f>
        <v>110</v>
      </c>
      <c r="AF75" s="94">
        <f ca="1">ROUND((0.6*TblExplore[[#This Row],[Land-DB]]^1.299 + IF(TblExplore[[#This Row],[Land-DB]]&lt;1520, (-0.001*(TblExplore[[#This Row],[Land-DB]]^2)+1.91*TblExplore[[#This Row],[Land-DB]]-593), 0))*(1+ tech_2_6*Techs!AC75 + tech_2_9*Techs!AF75 + tech_3_7*Techs!AN75 + Overview!$I$33),0)</f>
        <v>-126</v>
      </c>
      <c r="AG75" s="94">
        <f ca="1">_xlfn.FLOOR.MATH(TblExplore[[#This Row],[Land-DB]]/150)+3+tech_2_9_2*TblTech[[#This Row],[2-9]]+tech_3_7_2*TblTech[[#This Row],[3-7]]</f>
        <v>3</v>
      </c>
      <c r="AH75" s="94">
        <f ca="1">SUM(TblExplore[[#This Row],[Plains Explore]:[Water Explore]])*TblExplore[[#This Row],[Plat/acre]]</f>
        <v>0</v>
      </c>
      <c r="AI75" s="94">
        <f ca="1">SUM(TblExplore[[#This Row],[Plains Explore]:[Water Explore]])*TblExplore[[#This Row],[Draftees/acre]]</f>
        <v>0</v>
      </c>
      <c r="AJ75" s="45">
        <f ca="1">_xlfn.FLOOR.MATH(MIN(TblExplore[[#This Row],[Platinum]]/TblExplore[[#This Row],[Plat/acre]],TblExplore[[#This Row],[Draftees]]/TblExplore[[#This Row],[Draftees/acre]]))</f>
        <v>-1328</v>
      </c>
    </row>
    <row r="76" spans="1:36" x14ac:dyDescent="0.2">
      <c r="A76" s="175">
        <f>TblRezone[[#This Row],[Hour]]</f>
        <v>73</v>
      </c>
      <c r="B76" s="214">
        <f ca="1">TblConstr[[#This Row],[Land]]</f>
        <v>110</v>
      </c>
      <c r="C76" s="215"/>
      <c r="D76" s="216">
        <f ca="1">TblConstr[[#This Row],[Plain]]</f>
        <v>60</v>
      </c>
      <c r="E76" s="182">
        <f ca="1">TblConstr[[#This Row],[Forest]]</f>
        <v>0</v>
      </c>
      <c r="F76" s="359">
        <f ca="1">TblConstr[[#This Row],[Mountain]]</f>
        <v>0</v>
      </c>
      <c r="G76" s="363">
        <f ca="1">TblConstr[[#This Row],[Hill]]</f>
        <v>0</v>
      </c>
      <c r="H76" s="367">
        <f ca="1">TblConstr[[#This Row],[Swamp]]</f>
        <v>0</v>
      </c>
      <c r="I76" s="185">
        <f ca="1">TblConstr[[#This Row],[Cavern]]</f>
        <v>0</v>
      </c>
      <c r="J76" s="186">
        <f ca="1">TblConstr[[#This Row],[Water]]</f>
        <v>0</v>
      </c>
      <c r="K76" s="210"/>
      <c r="L76" s="210"/>
      <c r="M76" s="210"/>
      <c r="N76" s="438">
        <f ca="1">TblMili[[#This Row],[Smithies]]</f>
        <v>0</v>
      </c>
      <c r="O76" s="438">
        <f ca="1">TblPop[[#This Row],[Employment]]</f>
        <v>1</v>
      </c>
      <c r="P76" s="438">
        <f ca="1">TblImps[[#This Row],[Population]]</f>
        <v>1</v>
      </c>
      <c r="Q76" s="175">
        <f ca="1">TblExplore[[#This Row],[Land]]</f>
        <v>110</v>
      </c>
      <c r="R76" s="175">
        <f>TblExplore[[#This Row],[Hour]]</f>
        <v>73</v>
      </c>
      <c r="S76" s="218"/>
      <c r="T76" s="179"/>
      <c r="U76" s="179"/>
      <c r="V76" s="179"/>
      <c r="W76" s="179"/>
      <c r="X76" s="179"/>
      <c r="Y76" s="179"/>
      <c r="Z76" s="179"/>
      <c r="AA76" s="432">
        <f ca="1">TblImps[[#This Row],[Real time]]</f>
        <v>46049.999999999825</v>
      </c>
      <c r="AB76" s="430">
        <f ca="1">TblMili[[#This Row],[Draftees]]</f>
        <v>589</v>
      </c>
      <c r="AC76" s="430">
        <f ca="1">TblProd[[#This Row],[Platinum]]</f>
        <v>168615</v>
      </c>
      <c r="AD76" s="215"/>
      <c r="AE76" s="433">
        <f ca="1">TblExplore[[#This Row],[Land]]-TblExplore[[#This Row],[Land Bonus]]*20</f>
        <v>110</v>
      </c>
      <c r="AF76" s="430">
        <f ca="1">ROUND((0.6*TblExplore[[#This Row],[Land-DB]]^1.299 + IF(TblExplore[[#This Row],[Land-DB]]&lt;1520, (-0.001*(TblExplore[[#This Row],[Land-DB]]^2)+1.91*TblExplore[[#This Row],[Land-DB]]-593), 0))*(1+ tech_2_6*Techs!AC76 + tech_2_9*Techs!AF76 + tech_3_7*Techs!AN76 + Overview!$I$33),0)</f>
        <v>-126</v>
      </c>
      <c r="AG76" s="430">
        <f ca="1">_xlfn.FLOOR.MATH(TblExplore[[#This Row],[Land-DB]]/150)+3+tech_2_9_2*TblTech[[#This Row],[2-9]]+tech_3_7_2*TblTech[[#This Row],[3-7]]</f>
        <v>3</v>
      </c>
      <c r="AH76" s="430">
        <f ca="1">SUM(TblExplore[[#This Row],[Plains Explore]:[Water Explore]])*TblExplore[[#This Row],[Plat/acre]]</f>
        <v>0</v>
      </c>
      <c r="AI76" s="430">
        <f ca="1">SUM(TblExplore[[#This Row],[Plains Explore]:[Water Explore]])*TblExplore[[#This Row],[Draftees/acre]]</f>
        <v>0</v>
      </c>
      <c r="AJ76" s="433">
        <f ca="1">_xlfn.FLOOR.MATH(MIN(TblExplore[[#This Row],[Platinum]]/TblExplore[[#This Row],[Plat/acre]],TblExplore[[#This Row],[Draftees]]/TblExplore[[#This Row],[Draftees/acre]]))</f>
        <v>-1339</v>
      </c>
    </row>
    <row r="77" spans="1:36" x14ac:dyDescent="0.2">
      <c r="A77" s="175">
        <f>TblRezone[[#This Row],[Hour]]</f>
        <v>74</v>
      </c>
      <c r="B77" s="214">
        <f ca="1">TblConstr[[#This Row],[Land]]</f>
        <v>110</v>
      </c>
      <c r="C77" s="215"/>
      <c r="D77" s="216">
        <f ca="1">TblConstr[[#This Row],[Plain]]</f>
        <v>60</v>
      </c>
      <c r="E77" s="182">
        <f ca="1">TblConstr[[#This Row],[Forest]]</f>
        <v>0</v>
      </c>
      <c r="F77" s="359">
        <f ca="1">TblConstr[[#This Row],[Mountain]]</f>
        <v>0</v>
      </c>
      <c r="G77" s="363">
        <f ca="1">TblConstr[[#This Row],[Hill]]</f>
        <v>0</v>
      </c>
      <c r="H77" s="367">
        <f ca="1">TblConstr[[#This Row],[Swamp]]</f>
        <v>0</v>
      </c>
      <c r="I77" s="185">
        <f ca="1">TblConstr[[#This Row],[Cavern]]</f>
        <v>0</v>
      </c>
      <c r="J77" s="186">
        <f ca="1">TblConstr[[#This Row],[Water]]</f>
        <v>0</v>
      </c>
      <c r="K77" s="210"/>
      <c r="L77" s="210"/>
      <c r="M77" s="210"/>
      <c r="N77" s="217">
        <f ca="1">TblMili[[#This Row],[Smithies]]</f>
        <v>0</v>
      </c>
      <c r="O77" s="217">
        <f ca="1">TblPop[[#This Row],[Employment]]</f>
        <v>1</v>
      </c>
      <c r="P77" s="217">
        <f ca="1">TblImps[[#This Row],[Population]]</f>
        <v>1</v>
      </c>
      <c r="Q77" s="175">
        <f ca="1">TblExplore[[#This Row],[Land]]</f>
        <v>110</v>
      </c>
      <c r="R77" s="175">
        <f>TblExplore[[#This Row],[Hour]]</f>
        <v>74</v>
      </c>
      <c r="S77" s="218"/>
      <c r="T77" s="179"/>
      <c r="U77" s="179"/>
      <c r="V77" s="179"/>
      <c r="W77" s="179"/>
      <c r="X77" s="179"/>
      <c r="Y77" s="179"/>
      <c r="Z77" s="179"/>
      <c r="AA77" s="159">
        <f ca="1">TblImps[[#This Row],[Real time]]</f>
        <v>46050.04166666649</v>
      </c>
      <c r="AB77" s="94">
        <f ca="1">TblMili[[#This Row],[Draftees]]</f>
        <v>594</v>
      </c>
      <c r="AC77" s="94">
        <f ca="1">TblProd[[#This Row],[Platinum]]</f>
        <v>169929</v>
      </c>
      <c r="AD77" s="215"/>
      <c r="AE77" s="45">
        <f ca="1">TblExplore[[#This Row],[Land]]-TblExplore[[#This Row],[Land Bonus]]*20</f>
        <v>110</v>
      </c>
      <c r="AF77" s="94">
        <f ca="1">ROUND((0.6*TblExplore[[#This Row],[Land-DB]]^1.299 + IF(TblExplore[[#This Row],[Land-DB]]&lt;1520, (-0.001*(TblExplore[[#This Row],[Land-DB]]^2)+1.91*TblExplore[[#This Row],[Land-DB]]-593), 0))*(1+ tech_2_6*Techs!AC77 + tech_2_9*Techs!AF77 + tech_3_7*Techs!AN77 + Overview!$I$33),0)</f>
        <v>-126</v>
      </c>
      <c r="AG77" s="94">
        <f ca="1">_xlfn.FLOOR.MATH(TblExplore[[#This Row],[Land-DB]]/150)+3+tech_2_9_2*TblTech[[#This Row],[2-9]]+tech_3_7_2*TblTech[[#This Row],[3-7]]</f>
        <v>3</v>
      </c>
      <c r="AH77" s="94">
        <f ca="1">SUM(TblExplore[[#This Row],[Plains Explore]:[Water Explore]])*TblExplore[[#This Row],[Plat/acre]]</f>
        <v>0</v>
      </c>
      <c r="AI77" s="94">
        <f ca="1">SUM(TblExplore[[#This Row],[Plains Explore]:[Water Explore]])*TblExplore[[#This Row],[Draftees/acre]]</f>
        <v>0</v>
      </c>
      <c r="AJ77" s="45">
        <f ca="1">_xlfn.FLOOR.MATH(MIN(TblExplore[[#This Row],[Platinum]]/TblExplore[[#This Row],[Plat/acre]],TblExplore[[#This Row],[Draftees]]/TblExplore[[#This Row],[Draftees/acre]]))</f>
        <v>-1349</v>
      </c>
    </row>
    <row r="78" spans="1:36" x14ac:dyDescent="0.2">
      <c r="A78" s="175">
        <f>TblRezone[[#This Row],[Hour]]</f>
        <v>75</v>
      </c>
      <c r="B78" s="214">
        <f ca="1">TblConstr[[#This Row],[Land]]</f>
        <v>110</v>
      </c>
      <c r="C78" s="215"/>
      <c r="D78" s="216">
        <f ca="1">TblConstr[[#This Row],[Plain]]</f>
        <v>60</v>
      </c>
      <c r="E78" s="182">
        <f ca="1">TblConstr[[#This Row],[Forest]]</f>
        <v>0</v>
      </c>
      <c r="F78" s="359">
        <f ca="1">TblConstr[[#This Row],[Mountain]]</f>
        <v>0</v>
      </c>
      <c r="G78" s="363">
        <f ca="1">TblConstr[[#This Row],[Hill]]</f>
        <v>0</v>
      </c>
      <c r="H78" s="367">
        <f ca="1">TblConstr[[#This Row],[Swamp]]</f>
        <v>0</v>
      </c>
      <c r="I78" s="185">
        <f ca="1">TblConstr[[#This Row],[Cavern]]</f>
        <v>0</v>
      </c>
      <c r="J78" s="186">
        <f ca="1">TblConstr[[#This Row],[Water]]</f>
        <v>0</v>
      </c>
      <c r="K78" s="210"/>
      <c r="L78" s="210"/>
      <c r="M78" s="210"/>
      <c r="N78" s="217">
        <f ca="1">TblMili[[#This Row],[Smithies]]</f>
        <v>0</v>
      </c>
      <c r="O78" s="217">
        <f ca="1">TblPop[[#This Row],[Employment]]</f>
        <v>1</v>
      </c>
      <c r="P78" s="217">
        <f ca="1">TblImps[[#This Row],[Population]]</f>
        <v>1</v>
      </c>
      <c r="Q78" s="175">
        <f ca="1">TblExplore[[#This Row],[Land]]</f>
        <v>110</v>
      </c>
      <c r="R78" s="175">
        <f>TblExplore[[#This Row],[Hour]]</f>
        <v>75</v>
      </c>
      <c r="S78" s="218"/>
      <c r="T78" s="179"/>
      <c r="U78" s="179"/>
      <c r="V78" s="179"/>
      <c r="W78" s="179"/>
      <c r="X78" s="179"/>
      <c r="Y78" s="179"/>
      <c r="Z78" s="179"/>
      <c r="AA78" s="159">
        <f ca="1">TblImps[[#This Row],[Real time]]</f>
        <v>46050.083333333154</v>
      </c>
      <c r="AB78" s="94">
        <f ca="1">TblMili[[#This Row],[Draftees]]</f>
        <v>599</v>
      </c>
      <c r="AC78" s="94">
        <f ca="1">TblProd[[#This Row],[Platinum]]</f>
        <v>171230</v>
      </c>
      <c r="AD78" s="215"/>
      <c r="AE78" s="45">
        <f ca="1">TblExplore[[#This Row],[Land]]-TblExplore[[#This Row],[Land Bonus]]*20</f>
        <v>110</v>
      </c>
      <c r="AF78" s="94">
        <f ca="1">ROUND((0.6*TblExplore[[#This Row],[Land-DB]]^1.299 + IF(TblExplore[[#This Row],[Land-DB]]&lt;1520, (-0.001*(TblExplore[[#This Row],[Land-DB]]^2)+1.91*TblExplore[[#This Row],[Land-DB]]-593), 0))*(1+ tech_2_6*Techs!AC78 + tech_2_9*Techs!AF78 + tech_3_7*Techs!AN78 + Overview!$I$33),0)</f>
        <v>-126</v>
      </c>
      <c r="AG78" s="94">
        <f ca="1">_xlfn.FLOOR.MATH(TblExplore[[#This Row],[Land-DB]]/150)+3+tech_2_9_2*TblTech[[#This Row],[2-9]]+tech_3_7_2*TblTech[[#This Row],[3-7]]</f>
        <v>3</v>
      </c>
      <c r="AH78" s="94">
        <f ca="1">SUM(TblExplore[[#This Row],[Plains Explore]:[Water Explore]])*TblExplore[[#This Row],[Plat/acre]]</f>
        <v>0</v>
      </c>
      <c r="AI78" s="94">
        <f ca="1">SUM(TblExplore[[#This Row],[Plains Explore]:[Water Explore]])*TblExplore[[#This Row],[Draftees/acre]]</f>
        <v>0</v>
      </c>
      <c r="AJ78" s="45">
        <f ca="1">_xlfn.FLOOR.MATH(MIN(TblExplore[[#This Row],[Platinum]]/TblExplore[[#This Row],[Plat/acre]],TblExplore[[#This Row],[Draftees]]/TblExplore[[#This Row],[Draftees/acre]]))</f>
        <v>-1359</v>
      </c>
    </row>
    <row r="79" spans="1:36" x14ac:dyDescent="0.2">
      <c r="A79" s="175">
        <f>TblRezone[[#This Row],[Hour]]</f>
        <v>76</v>
      </c>
      <c r="B79" s="214">
        <f ca="1">TblConstr[[#This Row],[Land]]</f>
        <v>110</v>
      </c>
      <c r="C79" s="215"/>
      <c r="D79" s="216">
        <f ca="1">TblConstr[[#This Row],[Plain]]</f>
        <v>60</v>
      </c>
      <c r="E79" s="182">
        <f ca="1">TblConstr[[#This Row],[Forest]]</f>
        <v>0</v>
      </c>
      <c r="F79" s="359">
        <f ca="1">TblConstr[[#This Row],[Mountain]]</f>
        <v>0</v>
      </c>
      <c r="G79" s="363">
        <f ca="1">TblConstr[[#This Row],[Hill]]</f>
        <v>0</v>
      </c>
      <c r="H79" s="367">
        <f ca="1">TblConstr[[#This Row],[Swamp]]</f>
        <v>0</v>
      </c>
      <c r="I79" s="185">
        <f ca="1">TblConstr[[#This Row],[Cavern]]</f>
        <v>0</v>
      </c>
      <c r="J79" s="186">
        <f ca="1">TblConstr[[#This Row],[Water]]</f>
        <v>0</v>
      </c>
      <c r="K79" s="210"/>
      <c r="L79" s="210"/>
      <c r="M79" s="210"/>
      <c r="N79" s="217">
        <f ca="1">TblMili[[#This Row],[Smithies]]</f>
        <v>0</v>
      </c>
      <c r="O79" s="217">
        <f ca="1">TblPop[[#This Row],[Employment]]</f>
        <v>1</v>
      </c>
      <c r="P79" s="217">
        <f ca="1">TblImps[[#This Row],[Population]]</f>
        <v>1</v>
      </c>
      <c r="Q79" s="175">
        <f ca="1">TblExplore[[#This Row],[Land]]</f>
        <v>110</v>
      </c>
      <c r="R79" s="175">
        <f>TblExplore[[#This Row],[Hour]]</f>
        <v>76</v>
      </c>
      <c r="S79" s="218"/>
      <c r="T79" s="158"/>
      <c r="U79" s="179"/>
      <c r="V79" s="179"/>
      <c r="W79" s="179"/>
      <c r="X79" s="179"/>
      <c r="Y79" s="179"/>
      <c r="Z79" s="179"/>
      <c r="AA79" s="159">
        <f ca="1">TblImps[[#This Row],[Real time]]</f>
        <v>46050.124999999818</v>
      </c>
      <c r="AB79" s="94">
        <f ca="1">TblMili[[#This Row],[Draftees]]</f>
        <v>604</v>
      </c>
      <c r="AC79" s="94">
        <f ca="1">TblProd[[#This Row],[Platinum]]</f>
        <v>172517</v>
      </c>
      <c r="AD79" s="215"/>
      <c r="AE79" s="45">
        <f ca="1">TblExplore[[#This Row],[Land]]-TblExplore[[#This Row],[Land Bonus]]*20</f>
        <v>110</v>
      </c>
      <c r="AF79" s="94">
        <f ca="1">ROUND((0.6*TblExplore[[#This Row],[Land-DB]]^1.299 + IF(TblExplore[[#This Row],[Land-DB]]&lt;1520, (-0.001*(TblExplore[[#This Row],[Land-DB]]^2)+1.91*TblExplore[[#This Row],[Land-DB]]-593), 0))*(1+ tech_2_6*Techs!AC79 + tech_2_9*Techs!AF79 + tech_3_7*Techs!AN79 + Overview!$I$33),0)</f>
        <v>-126</v>
      </c>
      <c r="AG79" s="94">
        <f ca="1">_xlfn.FLOOR.MATH(TblExplore[[#This Row],[Land-DB]]/150)+3+tech_2_9_2*TblTech[[#This Row],[2-9]]+tech_3_7_2*TblTech[[#This Row],[3-7]]</f>
        <v>3</v>
      </c>
      <c r="AH79" s="94">
        <f ca="1">SUM(TblExplore[[#This Row],[Plains Explore]:[Water Explore]])*TblExplore[[#This Row],[Plat/acre]]</f>
        <v>0</v>
      </c>
      <c r="AI79" s="94">
        <f ca="1">SUM(TblExplore[[#This Row],[Plains Explore]:[Water Explore]])*TblExplore[[#This Row],[Draftees/acre]]</f>
        <v>0</v>
      </c>
      <c r="AJ79" s="45">
        <f ca="1">_xlfn.FLOOR.MATH(MIN(TblExplore[[#This Row],[Platinum]]/TblExplore[[#This Row],[Plat/acre]],TblExplore[[#This Row],[Draftees]]/TblExplore[[#This Row],[Draftees/acre]]))</f>
        <v>-1370</v>
      </c>
    </row>
    <row r="80" spans="1:36" x14ac:dyDescent="0.2">
      <c r="A80" s="175">
        <f>TblRezone[[#This Row],[Hour]]</f>
        <v>77</v>
      </c>
      <c r="B80" s="214">
        <f ca="1">TblConstr[[#This Row],[Land]]</f>
        <v>110</v>
      </c>
      <c r="C80" s="215"/>
      <c r="D80" s="216">
        <f ca="1">TblConstr[[#This Row],[Plain]]</f>
        <v>60</v>
      </c>
      <c r="E80" s="182">
        <f ca="1">TblConstr[[#This Row],[Forest]]</f>
        <v>0</v>
      </c>
      <c r="F80" s="359">
        <f ca="1">TblConstr[[#This Row],[Mountain]]</f>
        <v>0</v>
      </c>
      <c r="G80" s="363">
        <f ca="1">TblConstr[[#This Row],[Hill]]</f>
        <v>0</v>
      </c>
      <c r="H80" s="367">
        <f ca="1">TblConstr[[#This Row],[Swamp]]</f>
        <v>0</v>
      </c>
      <c r="I80" s="185">
        <f ca="1">TblConstr[[#This Row],[Cavern]]</f>
        <v>0</v>
      </c>
      <c r="J80" s="186">
        <f ca="1">TblConstr[[#This Row],[Water]]</f>
        <v>0</v>
      </c>
      <c r="K80" s="210"/>
      <c r="L80" s="210"/>
      <c r="M80" s="210"/>
      <c r="N80" s="217">
        <f ca="1">TblMili[[#This Row],[Smithies]]</f>
        <v>0</v>
      </c>
      <c r="O80" s="217">
        <f ca="1">TblPop[[#This Row],[Employment]]</f>
        <v>1</v>
      </c>
      <c r="P80" s="217">
        <f ca="1">TblImps[[#This Row],[Population]]</f>
        <v>1</v>
      </c>
      <c r="Q80" s="175">
        <f ca="1">TblExplore[[#This Row],[Land]]</f>
        <v>110</v>
      </c>
      <c r="R80" s="175">
        <f>TblExplore[[#This Row],[Hour]]</f>
        <v>77</v>
      </c>
      <c r="S80" s="218"/>
      <c r="T80" s="158"/>
      <c r="U80" s="179"/>
      <c r="V80" s="179"/>
      <c r="W80" s="179"/>
      <c r="X80" s="179"/>
      <c r="Y80" s="179"/>
      <c r="Z80" s="179"/>
      <c r="AA80" s="159">
        <f ca="1">TblImps[[#This Row],[Real time]]</f>
        <v>46050.166666666482</v>
      </c>
      <c r="AB80" s="94">
        <f ca="1">TblMili[[#This Row],[Draftees]]</f>
        <v>609</v>
      </c>
      <c r="AC80" s="94">
        <f ca="1">TblProd[[#This Row],[Platinum]]</f>
        <v>173791</v>
      </c>
      <c r="AD80" s="215"/>
      <c r="AE80" s="45">
        <f ca="1">TblExplore[[#This Row],[Land]]-TblExplore[[#This Row],[Land Bonus]]*20</f>
        <v>110</v>
      </c>
      <c r="AF80" s="94">
        <f ca="1">ROUND((0.6*TblExplore[[#This Row],[Land-DB]]^1.299 + IF(TblExplore[[#This Row],[Land-DB]]&lt;1520, (-0.001*(TblExplore[[#This Row],[Land-DB]]^2)+1.91*TblExplore[[#This Row],[Land-DB]]-593), 0))*(1+ tech_2_6*Techs!AC80 + tech_2_9*Techs!AF80 + tech_3_7*Techs!AN80 + Overview!$I$33),0)</f>
        <v>-126</v>
      </c>
      <c r="AG80" s="94">
        <f ca="1">_xlfn.FLOOR.MATH(TblExplore[[#This Row],[Land-DB]]/150)+3+tech_2_9_2*TblTech[[#This Row],[2-9]]+tech_3_7_2*TblTech[[#This Row],[3-7]]</f>
        <v>3</v>
      </c>
      <c r="AH80" s="94">
        <f ca="1">SUM(TblExplore[[#This Row],[Plains Explore]:[Water Explore]])*TblExplore[[#This Row],[Plat/acre]]</f>
        <v>0</v>
      </c>
      <c r="AI80" s="94">
        <f ca="1">SUM(TblExplore[[#This Row],[Plains Explore]:[Water Explore]])*TblExplore[[#This Row],[Draftees/acre]]</f>
        <v>0</v>
      </c>
      <c r="AJ80" s="45">
        <f ca="1">_xlfn.FLOOR.MATH(MIN(TblExplore[[#This Row],[Platinum]]/TblExplore[[#This Row],[Plat/acre]],TblExplore[[#This Row],[Draftees]]/TblExplore[[#This Row],[Draftees/acre]]))</f>
        <v>-1380</v>
      </c>
    </row>
    <row r="81" spans="1:36" x14ac:dyDescent="0.2">
      <c r="A81" s="175">
        <f>TblRezone[[#This Row],[Hour]]</f>
        <v>78</v>
      </c>
      <c r="B81" s="214">
        <f ca="1">TblConstr[[#This Row],[Land]]</f>
        <v>110</v>
      </c>
      <c r="C81" s="215"/>
      <c r="D81" s="216">
        <f ca="1">TblConstr[[#This Row],[Plain]]</f>
        <v>60</v>
      </c>
      <c r="E81" s="182">
        <f ca="1">TblConstr[[#This Row],[Forest]]</f>
        <v>0</v>
      </c>
      <c r="F81" s="359">
        <f ca="1">TblConstr[[#This Row],[Mountain]]</f>
        <v>0</v>
      </c>
      <c r="G81" s="363">
        <f ca="1">TblConstr[[#This Row],[Hill]]</f>
        <v>0</v>
      </c>
      <c r="H81" s="367">
        <f ca="1">TblConstr[[#This Row],[Swamp]]</f>
        <v>0</v>
      </c>
      <c r="I81" s="185">
        <f ca="1">TblConstr[[#This Row],[Cavern]]</f>
        <v>0</v>
      </c>
      <c r="J81" s="186">
        <f ca="1">TblConstr[[#This Row],[Water]]</f>
        <v>0</v>
      </c>
      <c r="K81" s="210"/>
      <c r="L81" s="210"/>
      <c r="M81" s="210"/>
      <c r="N81" s="217">
        <f ca="1">TblMili[[#This Row],[Smithies]]</f>
        <v>0</v>
      </c>
      <c r="O81" s="217">
        <f ca="1">TblPop[[#This Row],[Employment]]</f>
        <v>1</v>
      </c>
      <c r="P81" s="217">
        <f ca="1">TblImps[[#This Row],[Population]]</f>
        <v>1</v>
      </c>
      <c r="Q81" s="175">
        <f ca="1">TblExplore[[#This Row],[Land]]</f>
        <v>110</v>
      </c>
      <c r="R81" s="175">
        <f>TblExplore[[#This Row],[Hour]]</f>
        <v>78</v>
      </c>
      <c r="S81" s="218"/>
      <c r="T81" s="179"/>
      <c r="U81" s="179"/>
      <c r="V81" s="179"/>
      <c r="W81" s="179"/>
      <c r="X81" s="179"/>
      <c r="Y81" s="179"/>
      <c r="Z81" s="179"/>
      <c r="AA81" s="159">
        <f ca="1">TblImps[[#This Row],[Real time]]</f>
        <v>46050.208333333147</v>
      </c>
      <c r="AB81" s="94">
        <f ca="1">TblMili[[#This Row],[Draftees]]</f>
        <v>614</v>
      </c>
      <c r="AC81" s="94">
        <f ca="1">TblProd[[#This Row],[Platinum]]</f>
        <v>175051</v>
      </c>
      <c r="AD81" s="215"/>
      <c r="AE81" s="45">
        <f ca="1">TblExplore[[#This Row],[Land]]-TblExplore[[#This Row],[Land Bonus]]*20</f>
        <v>110</v>
      </c>
      <c r="AF81" s="94">
        <f ca="1">ROUND((0.6*TblExplore[[#This Row],[Land-DB]]^1.299 + IF(TblExplore[[#This Row],[Land-DB]]&lt;1520, (-0.001*(TblExplore[[#This Row],[Land-DB]]^2)+1.91*TblExplore[[#This Row],[Land-DB]]-593), 0))*(1+ tech_2_6*Techs!AC81 + tech_2_9*Techs!AF81 + tech_3_7*Techs!AN81 + Overview!$I$33),0)</f>
        <v>-126</v>
      </c>
      <c r="AG81" s="94">
        <f ca="1">_xlfn.FLOOR.MATH(TblExplore[[#This Row],[Land-DB]]/150)+3+tech_2_9_2*TblTech[[#This Row],[2-9]]+tech_3_7_2*TblTech[[#This Row],[3-7]]</f>
        <v>3</v>
      </c>
      <c r="AH81" s="94">
        <f ca="1">SUM(TblExplore[[#This Row],[Plains Explore]:[Water Explore]])*TblExplore[[#This Row],[Plat/acre]]</f>
        <v>0</v>
      </c>
      <c r="AI81" s="94">
        <f ca="1">SUM(TblExplore[[#This Row],[Plains Explore]:[Water Explore]])*TblExplore[[#This Row],[Draftees/acre]]</f>
        <v>0</v>
      </c>
      <c r="AJ81" s="45">
        <f ca="1">_xlfn.FLOOR.MATH(MIN(TblExplore[[#This Row],[Platinum]]/TblExplore[[#This Row],[Plat/acre]],TblExplore[[#This Row],[Draftees]]/TblExplore[[#This Row],[Draftees/acre]]))</f>
        <v>-1390</v>
      </c>
    </row>
    <row r="82" spans="1:36" x14ac:dyDescent="0.2">
      <c r="A82" s="175">
        <f>TblRezone[[#This Row],[Hour]]</f>
        <v>79</v>
      </c>
      <c r="B82" s="214">
        <f ca="1">TblConstr[[#This Row],[Land]]</f>
        <v>110</v>
      </c>
      <c r="C82" s="215"/>
      <c r="D82" s="216">
        <f ca="1">TblConstr[[#This Row],[Plain]]</f>
        <v>60</v>
      </c>
      <c r="E82" s="182">
        <f ca="1">TblConstr[[#This Row],[Forest]]</f>
        <v>0</v>
      </c>
      <c r="F82" s="359">
        <f ca="1">TblConstr[[#This Row],[Mountain]]</f>
        <v>0</v>
      </c>
      <c r="G82" s="363">
        <f ca="1">TblConstr[[#This Row],[Hill]]</f>
        <v>0</v>
      </c>
      <c r="H82" s="367">
        <f ca="1">TblConstr[[#This Row],[Swamp]]</f>
        <v>0</v>
      </c>
      <c r="I82" s="185">
        <f ca="1">TblConstr[[#This Row],[Cavern]]</f>
        <v>0</v>
      </c>
      <c r="J82" s="186">
        <f ca="1">TblConstr[[#This Row],[Water]]</f>
        <v>0</v>
      </c>
      <c r="K82" s="210"/>
      <c r="L82" s="210"/>
      <c r="M82" s="210"/>
      <c r="N82" s="217">
        <f ca="1">TblMili[[#This Row],[Smithies]]</f>
        <v>0</v>
      </c>
      <c r="O82" s="217">
        <f ca="1">TblPop[[#This Row],[Employment]]</f>
        <v>1</v>
      </c>
      <c r="P82" s="217">
        <f ca="1">TblImps[[#This Row],[Population]]</f>
        <v>1</v>
      </c>
      <c r="Q82" s="175">
        <f ca="1">TblExplore[[#This Row],[Land]]</f>
        <v>110</v>
      </c>
      <c r="R82" s="175">
        <f>TblExplore[[#This Row],[Hour]]</f>
        <v>79</v>
      </c>
      <c r="S82" s="218"/>
      <c r="T82" s="179"/>
      <c r="U82" s="179"/>
      <c r="V82" s="179"/>
      <c r="W82" s="179"/>
      <c r="X82" s="179"/>
      <c r="Y82" s="179"/>
      <c r="Z82" s="179"/>
      <c r="AA82" s="159">
        <f ca="1">TblImps[[#This Row],[Real time]]</f>
        <v>46050.249999999811</v>
      </c>
      <c r="AB82" s="94">
        <f ca="1">TblMili[[#This Row],[Draftees]]</f>
        <v>619</v>
      </c>
      <c r="AC82" s="94">
        <f ca="1">TblProd[[#This Row],[Platinum]]</f>
        <v>176298</v>
      </c>
      <c r="AD82" s="215"/>
      <c r="AE82" s="45">
        <f ca="1">TblExplore[[#This Row],[Land]]-TblExplore[[#This Row],[Land Bonus]]*20</f>
        <v>110</v>
      </c>
      <c r="AF82" s="94">
        <f ca="1">ROUND((0.6*TblExplore[[#This Row],[Land-DB]]^1.299 + IF(TblExplore[[#This Row],[Land-DB]]&lt;1520, (-0.001*(TblExplore[[#This Row],[Land-DB]]^2)+1.91*TblExplore[[#This Row],[Land-DB]]-593), 0))*(1+ tech_2_6*Techs!AC82 + tech_2_9*Techs!AF82 + tech_3_7*Techs!AN82 + Overview!$I$33),0)</f>
        <v>-126</v>
      </c>
      <c r="AG82" s="94">
        <f ca="1">_xlfn.FLOOR.MATH(TblExplore[[#This Row],[Land-DB]]/150)+3+tech_2_9_2*TblTech[[#This Row],[2-9]]+tech_3_7_2*TblTech[[#This Row],[3-7]]</f>
        <v>3</v>
      </c>
      <c r="AH82" s="94">
        <f ca="1">SUM(TblExplore[[#This Row],[Plains Explore]:[Water Explore]])*TblExplore[[#This Row],[Plat/acre]]</f>
        <v>0</v>
      </c>
      <c r="AI82" s="94">
        <f ca="1">SUM(TblExplore[[#This Row],[Plains Explore]:[Water Explore]])*TblExplore[[#This Row],[Draftees/acre]]</f>
        <v>0</v>
      </c>
      <c r="AJ82" s="45">
        <f ca="1">_xlfn.FLOOR.MATH(MIN(TblExplore[[#This Row],[Platinum]]/TblExplore[[#This Row],[Plat/acre]],TblExplore[[#This Row],[Draftees]]/TblExplore[[#This Row],[Draftees/acre]]))</f>
        <v>-1400</v>
      </c>
    </row>
    <row r="83" spans="1:36" x14ac:dyDescent="0.2">
      <c r="A83" s="175">
        <f>TblRezone[[#This Row],[Hour]]</f>
        <v>80</v>
      </c>
      <c r="B83" s="214">
        <f ca="1">TblConstr[[#This Row],[Land]]</f>
        <v>110</v>
      </c>
      <c r="C83" s="215"/>
      <c r="D83" s="216">
        <f ca="1">TblConstr[[#This Row],[Plain]]</f>
        <v>60</v>
      </c>
      <c r="E83" s="182">
        <f ca="1">TblConstr[[#This Row],[Forest]]</f>
        <v>0</v>
      </c>
      <c r="F83" s="359">
        <f ca="1">TblConstr[[#This Row],[Mountain]]</f>
        <v>0</v>
      </c>
      <c r="G83" s="363">
        <f ca="1">TblConstr[[#This Row],[Hill]]</f>
        <v>0</v>
      </c>
      <c r="H83" s="367">
        <f ca="1">TblConstr[[#This Row],[Swamp]]</f>
        <v>0</v>
      </c>
      <c r="I83" s="185">
        <f ca="1">TblConstr[[#This Row],[Cavern]]</f>
        <v>0</v>
      </c>
      <c r="J83" s="186">
        <f ca="1">TblConstr[[#This Row],[Water]]</f>
        <v>0</v>
      </c>
      <c r="K83" s="210"/>
      <c r="L83" s="210"/>
      <c r="M83" s="210"/>
      <c r="N83" s="217">
        <f ca="1">TblMili[[#This Row],[Smithies]]</f>
        <v>0</v>
      </c>
      <c r="O83" s="217">
        <f ca="1">TblPop[[#This Row],[Employment]]</f>
        <v>1</v>
      </c>
      <c r="P83" s="217">
        <f ca="1">TblImps[[#This Row],[Population]]</f>
        <v>1</v>
      </c>
      <c r="Q83" s="175">
        <f ca="1">TblExplore[[#This Row],[Land]]</f>
        <v>110</v>
      </c>
      <c r="R83" s="175">
        <f>TblExplore[[#This Row],[Hour]]</f>
        <v>80</v>
      </c>
      <c r="S83" s="218"/>
      <c r="T83" s="179"/>
      <c r="U83" s="179"/>
      <c r="V83" s="179"/>
      <c r="W83" s="179"/>
      <c r="X83" s="179"/>
      <c r="Y83" s="179"/>
      <c r="Z83" s="179"/>
      <c r="AA83" s="159">
        <f ca="1">TblImps[[#This Row],[Real time]]</f>
        <v>46050.291666666475</v>
      </c>
      <c r="AB83" s="94">
        <f ca="1">TblMili[[#This Row],[Draftees]]</f>
        <v>624</v>
      </c>
      <c r="AC83" s="94">
        <f ca="1">TblProd[[#This Row],[Platinum]]</f>
        <v>177531</v>
      </c>
      <c r="AD83" s="215"/>
      <c r="AE83" s="45">
        <f ca="1">TblExplore[[#This Row],[Land]]-TblExplore[[#This Row],[Land Bonus]]*20</f>
        <v>110</v>
      </c>
      <c r="AF83" s="94">
        <f ca="1">ROUND((0.6*TblExplore[[#This Row],[Land-DB]]^1.299 + IF(TblExplore[[#This Row],[Land-DB]]&lt;1520, (-0.001*(TblExplore[[#This Row],[Land-DB]]^2)+1.91*TblExplore[[#This Row],[Land-DB]]-593), 0))*(1+ tech_2_6*Techs!AC83 + tech_2_9*Techs!AF83 + tech_3_7*Techs!AN83 + Overview!$I$33),0)</f>
        <v>-126</v>
      </c>
      <c r="AG83" s="94">
        <f ca="1">_xlfn.FLOOR.MATH(TblExplore[[#This Row],[Land-DB]]/150)+3+tech_2_9_2*TblTech[[#This Row],[2-9]]+tech_3_7_2*TblTech[[#This Row],[3-7]]</f>
        <v>3</v>
      </c>
      <c r="AH83" s="94">
        <f ca="1">SUM(TblExplore[[#This Row],[Plains Explore]:[Water Explore]])*TblExplore[[#This Row],[Plat/acre]]</f>
        <v>0</v>
      </c>
      <c r="AI83" s="94">
        <f ca="1">SUM(TblExplore[[#This Row],[Plains Explore]:[Water Explore]])*TblExplore[[#This Row],[Draftees/acre]]</f>
        <v>0</v>
      </c>
      <c r="AJ83" s="45">
        <f ca="1">_xlfn.FLOOR.MATH(MIN(TblExplore[[#This Row],[Platinum]]/TblExplore[[#This Row],[Plat/acre]],TblExplore[[#This Row],[Draftees]]/TblExplore[[#This Row],[Draftees/acre]]))</f>
        <v>-1409</v>
      </c>
    </row>
    <row r="84" spans="1:36" x14ac:dyDescent="0.2">
      <c r="A84" s="175">
        <f>TblRezone[[#This Row],[Hour]]</f>
        <v>81</v>
      </c>
      <c r="B84" s="214">
        <f ca="1">TblConstr[[#This Row],[Land]]</f>
        <v>110</v>
      </c>
      <c r="C84" s="215"/>
      <c r="D84" s="216">
        <f ca="1">TblConstr[[#This Row],[Plain]]</f>
        <v>60</v>
      </c>
      <c r="E84" s="182">
        <f ca="1">TblConstr[[#This Row],[Forest]]</f>
        <v>0</v>
      </c>
      <c r="F84" s="359">
        <f ca="1">TblConstr[[#This Row],[Mountain]]</f>
        <v>0</v>
      </c>
      <c r="G84" s="363">
        <f ca="1">TblConstr[[#This Row],[Hill]]</f>
        <v>0</v>
      </c>
      <c r="H84" s="367">
        <f ca="1">TblConstr[[#This Row],[Swamp]]</f>
        <v>0</v>
      </c>
      <c r="I84" s="185">
        <f ca="1">TblConstr[[#This Row],[Cavern]]</f>
        <v>0</v>
      </c>
      <c r="J84" s="186">
        <f ca="1">TblConstr[[#This Row],[Water]]</f>
        <v>0</v>
      </c>
      <c r="K84" s="210"/>
      <c r="L84" s="210"/>
      <c r="M84" s="210"/>
      <c r="N84" s="217">
        <f ca="1">TblMili[[#This Row],[Smithies]]</f>
        <v>0</v>
      </c>
      <c r="O84" s="217">
        <f ca="1">TblPop[[#This Row],[Employment]]</f>
        <v>1</v>
      </c>
      <c r="P84" s="217">
        <f ca="1">TblImps[[#This Row],[Population]]</f>
        <v>1</v>
      </c>
      <c r="Q84" s="175">
        <f ca="1">TblExplore[[#This Row],[Land]]</f>
        <v>110</v>
      </c>
      <c r="R84" s="175">
        <f>TblExplore[[#This Row],[Hour]]</f>
        <v>81</v>
      </c>
      <c r="S84" s="218"/>
      <c r="T84" s="179"/>
      <c r="U84" s="179"/>
      <c r="V84" s="179"/>
      <c r="W84" s="179"/>
      <c r="X84" s="179"/>
      <c r="Y84" s="179"/>
      <c r="Z84" s="179"/>
      <c r="AA84" s="159">
        <f ca="1">TblImps[[#This Row],[Real time]]</f>
        <v>46050.333333333139</v>
      </c>
      <c r="AB84" s="94">
        <f ca="1">TblMili[[#This Row],[Draftees]]</f>
        <v>629</v>
      </c>
      <c r="AC84" s="94">
        <f ca="1">TblProd[[#This Row],[Platinum]]</f>
        <v>178751</v>
      </c>
      <c r="AD84" s="215"/>
      <c r="AE84" s="45">
        <f ca="1">TblExplore[[#This Row],[Land]]-TblExplore[[#This Row],[Land Bonus]]*20</f>
        <v>110</v>
      </c>
      <c r="AF84" s="94">
        <f ca="1">ROUND((0.6*TblExplore[[#This Row],[Land-DB]]^1.299 + IF(TblExplore[[#This Row],[Land-DB]]&lt;1520, (-0.001*(TblExplore[[#This Row],[Land-DB]]^2)+1.91*TblExplore[[#This Row],[Land-DB]]-593), 0))*(1+ tech_2_6*Techs!AC84 + tech_2_9*Techs!AF84 + tech_3_7*Techs!AN84 + Overview!$I$33),0)</f>
        <v>-126</v>
      </c>
      <c r="AG84" s="94">
        <f ca="1">_xlfn.FLOOR.MATH(TblExplore[[#This Row],[Land-DB]]/150)+3+tech_2_9_2*TblTech[[#This Row],[2-9]]+tech_3_7_2*TblTech[[#This Row],[3-7]]</f>
        <v>3</v>
      </c>
      <c r="AH84" s="94">
        <f ca="1">SUM(TblExplore[[#This Row],[Plains Explore]:[Water Explore]])*TblExplore[[#This Row],[Plat/acre]]</f>
        <v>0</v>
      </c>
      <c r="AI84" s="94">
        <f ca="1">SUM(TblExplore[[#This Row],[Plains Explore]:[Water Explore]])*TblExplore[[#This Row],[Draftees/acre]]</f>
        <v>0</v>
      </c>
      <c r="AJ84" s="45">
        <f ca="1">_xlfn.FLOOR.MATH(MIN(TblExplore[[#This Row],[Platinum]]/TblExplore[[#This Row],[Plat/acre]],TblExplore[[#This Row],[Draftees]]/TblExplore[[#This Row],[Draftees/acre]]))</f>
        <v>-1419</v>
      </c>
    </row>
    <row r="85" spans="1:36" x14ac:dyDescent="0.2">
      <c r="A85" s="175">
        <f>TblRezone[[#This Row],[Hour]]</f>
        <v>82</v>
      </c>
      <c r="B85" s="214">
        <f ca="1">TblConstr[[#This Row],[Land]]</f>
        <v>110</v>
      </c>
      <c r="C85" s="215"/>
      <c r="D85" s="216">
        <f ca="1">TblConstr[[#This Row],[Plain]]</f>
        <v>60</v>
      </c>
      <c r="E85" s="182">
        <f ca="1">TblConstr[[#This Row],[Forest]]</f>
        <v>0</v>
      </c>
      <c r="F85" s="359">
        <f ca="1">TblConstr[[#This Row],[Mountain]]</f>
        <v>0</v>
      </c>
      <c r="G85" s="363">
        <f ca="1">TblConstr[[#This Row],[Hill]]</f>
        <v>0</v>
      </c>
      <c r="H85" s="367">
        <f ca="1">TblConstr[[#This Row],[Swamp]]</f>
        <v>0</v>
      </c>
      <c r="I85" s="185">
        <f ca="1">TblConstr[[#This Row],[Cavern]]</f>
        <v>0</v>
      </c>
      <c r="J85" s="186">
        <f ca="1">TblConstr[[#This Row],[Water]]</f>
        <v>0</v>
      </c>
      <c r="K85" s="210"/>
      <c r="L85" s="210"/>
      <c r="M85" s="210"/>
      <c r="N85" s="217">
        <f ca="1">TblMili[[#This Row],[Smithies]]</f>
        <v>0</v>
      </c>
      <c r="O85" s="217">
        <f ca="1">TblPop[[#This Row],[Employment]]</f>
        <v>1</v>
      </c>
      <c r="P85" s="217">
        <f ca="1">TblImps[[#This Row],[Population]]</f>
        <v>1</v>
      </c>
      <c r="Q85" s="175">
        <f ca="1">TblExplore[[#This Row],[Land]]</f>
        <v>110</v>
      </c>
      <c r="R85" s="175">
        <f>TblExplore[[#This Row],[Hour]]</f>
        <v>82</v>
      </c>
      <c r="S85" s="218"/>
      <c r="T85" s="179"/>
      <c r="U85" s="179"/>
      <c r="V85" s="179"/>
      <c r="W85" s="179"/>
      <c r="X85" s="179"/>
      <c r="Y85" s="179"/>
      <c r="Z85" s="179"/>
      <c r="AA85" s="159">
        <f ca="1">TblImps[[#This Row],[Real time]]</f>
        <v>46050.374999999804</v>
      </c>
      <c r="AB85" s="94">
        <f ca="1">TblMili[[#This Row],[Draftees]]</f>
        <v>633</v>
      </c>
      <c r="AC85" s="94">
        <f ca="1">TblProd[[#This Row],[Platinum]]</f>
        <v>179957</v>
      </c>
      <c r="AD85" s="215"/>
      <c r="AE85" s="45">
        <f ca="1">TblExplore[[#This Row],[Land]]-TblExplore[[#This Row],[Land Bonus]]*20</f>
        <v>110</v>
      </c>
      <c r="AF85" s="94">
        <f ca="1">ROUND((0.6*TblExplore[[#This Row],[Land-DB]]^1.299 + IF(TblExplore[[#This Row],[Land-DB]]&lt;1520, (-0.001*(TblExplore[[#This Row],[Land-DB]]^2)+1.91*TblExplore[[#This Row],[Land-DB]]-593), 0))*(1+ tech_2_6*Techs!AC85 + tech_2_9*Techs!AF85 + tech_3_7*Techs!AN85 + Overview!$I$33),0)</f>
        <v>-126</v>
      </c>
      <c r="AG85" s="94">
        <f ca="1">_xlfn.FLOOR.MATH(TblExplore[[#This Row],[Land-DB]]/150)+3+tech_2_9_2*TblTech[[#This Row],[2-9]]+tech_3_7_2*TblTech[[#This Row],[3-7]]</f>
        <v>3</v>
      </c>
      <c r="AH85" s="94">
        <f ca="1">SUM(TblExplore[[#This Row],[Plains Explore]:[Water Explore]])*TblExplore[[#This Row],[Plat/acre]]</f>
        <v>0</v>
      </c>
      <c r="AI85" s="94">
        <f ca="1">SUM(TblExplore[[#This Row],[Plains Explore]:[Water Explore]])*TblExplore[[#This Row],[Draftees/acre]]</f>
        <v>0</v>
      </c>
      <c r="AJ85" s="45">
        <f ca="1">_xlfn.FLOOR.MATH(MIN(TblExplore[[#This Row],[Platinum]]/TblExplore[[#This Row],[Plat/acre]],TblExplore[[#This Row],[Draftees]]/TblExplore[[#This Row],[Draftees/acre]]))</f>
        <v>-1429</v>
      </c>
    </row>
    <row r="86" spans="1:36" x14ac:dyDescent="0.2">
      <c r="A86" s="175">
        <f>TblRezone[[#This Row],[Hour]]</f>
        <v>83</v>
      </c>
      <c r="B86" s="214">
        <f ca="1">TblConstr[[#This Row],[Land]]</f>
        <v>110</v>
      </c>
      <c r="C86" s="215"/>
      <c r="D86" s="216">
        <f ca="1">TblConstr[[#This Row],[Plain]]</f>
        <v>60</v>
      </c>
      <c r="E86" s="182">
        <f ca="1">TblConstr[[#This Row],[Forest]]</f>
        <v>0</v>
      </c>
      <c r="F86" s="359">
        <f ca="1">TblConstr[[#This Row],[Mountain]]</f>
        <v>0</v>
      </c>
      <c r="G86" s="363">
        <f ca="1">TblConstr[[#This Row],[Hill]]</f>
        <v>0</v>
      </c>
      <c r="H86" s="367">
        <f ca="1">TblConstr[[#This Row],[Swamp]]</f>
        <v>0</v>
      </c>
      <c r="I86" s="185">
        <f ca="1">TblConstr[[#This Row],[Cavern]]</f>
        <v>0</v>
      </c>
      <c r="J86" s="186">
        <f ca="1">TblConstr[[#This Row],[Water]]</f>
        <v>0</v>
      </c>
      <c r="K86" s="210"/>
      <c r="L86" s="210"/>
      <c r="M86" s="210"/>
      <c r="N86" s="217">
        <f ca="1">TblMili[[#This Row],[Smithies]]</f>
        <v>0</v>
      </c>
      <c r="O86" s="217">
        <f ca="1">TblPop[[#This Row],[Employment]]</f>
        <v>1</v>
      </c>
      <c r="P86" s="217">
        <f ca="1">TblImps[[#This Row],[Population]]</f>
        <v>1</v>
      </c>
      <c r="Q86" s="175">
        <f ca="1">TblExplore[[#This Row],[Land]]</f>
        <v>110</v>
      </c>
      <c r="R86" s="175">
        <f>TblExplore[[#This Row],[Hour]]</f>
        <v>83</v>
      </c>
      <c r="S86" s="218"/>
      <c r="T86" s="179"/>
      <c r="U86" s="179"/>
      <c r="V86" s="179"/>
      <c r="W86" s="179"/>
      <c r="X86" s="179"/>
      <c r="Y86" s="179"/>
      <c r="Z86" s="179"/>
      <c r="AA86" s="159">
        <f ca="1">TblImps[[#This Row],[Real time]]</f>
        <v>46050.416666666468</v>
      </c>
      <c r="AB86" s="94">
        <f ca="1">TblMili[[#This Row],[Draftees]]</f>
        <v>637</v>
      </c>
      <c r="AC86" s="94">
        <f ca="1">TblProd[[#This Row],[Platinum]]</f>
        <v>181153</v>
      </c>
      <c r="AD86" s="215"/>
      <c r="AE86" s="45">
        <f ca="1">TblExplore[[#This Row],[Land]]-TblExplore[[#This Row],[Land Bonus]]*20</f>
        <v>110</v>
      </c>
      <c r="AF86" s="94">
        <f ca="1">ROUND((0.6*TblExplore[[#This Row],[Land-DB]]^1.299 + IF(TblExplore[[#This Row],[Land-DB]]&lt;1520, (-0.001*(TblExplore[[#This Row],[Land-DB]]^2)+1.91*TblExplore[[#This Row],[Land-DB]]-593), 0))*(1+ tech_2_6*Techs!AC86 + tech_2_9*Techs!AF86 + tech_3_7*Techs!AN86 + Overview!$I$33),0)</f>
        <v>-126</v>
      </c>
      <c r="AG86" s="94">
        <f ca="1">_xlfn.FLOOR.MATH(TblExplore[[#This Row],[Land-DB]]/150)+3+tech_2_9_2*TblTech[[#This Row],[2-9]]+tech_3_7_2*TblTech[[#This Row],[3-7]]</f>
        <v>3</v>
      </c>
      <c r="AH86" s="94">
        <f ca="1">SUM(TblExplore[[#This Row],[Plains Explore]:[Water Explore]])*TblExplore[[#This Row],[Plat/acre]]</f>
        <v>0</v>
      </c>
      <c r="AI86" s="94">
        <f ca="1">SUM(TblExplore[[#This Row],[Plains Explore]:[Water Explore]])*TblExplore[[#This Row],[Draftees/acre]]</f>
        <v>0</v>
      </c>
      <c r="AJ86" s="45">
        <f ca="1">_xlfn.FLOOR.MATH(MIN(TblExplore[[#This Row],[Platinum]]/TblExplore[[#This Row],[Plat/acre]],TblExplore[[#This Row],[Draftees]]/TblExplore[[#This Row],[Draftees/acre]]))</f>
        <v>-1438</v>
      </c>
    </row>
    <row r="87" spans="1:36" x14ac:dyDescent="0.2">
      <c r="A87" s="175">
        <f>TblRezone[[#This Row],[Hour]]</f>
        <v>84</v>
      </c>
      <c r="B87" s="214">
        <f ca="1">TblConstr[[#This Row],[Land]]</f>
        <v>110</v>
      </c>
      <c r="C87" s="215"/>
      <c r="D87" s="216">
        <f ca="1">TblConstr[[#This Row],[Plain]]</f>
        <v>60</v>
      </c>
      <c r="E87" s="182">
        <f ca="1">TblConstr[[#This Row],[Forest]]</f>
        <v>0</v>
      </c>
      <c r="F87" s="359">
        <f ca="1">TblConstr[[#This Row],[Mountain]]</f>
        <v>0</v>
      </c>
      <c r="G87" s="363">
        <f ca="1">TblConstr[[#This Row],[Hill]]</f>
        <v>0</v>
      </c>
      <c r="H87" s="367">
        <f ca="1">TblConstr[[#This Row],[Swamp]]</f>
        <v>0</v>
      </c>
      <c r="I87" s="185">
        <f ca="1">TblConstr[[#This Row],[Cavern]]</f>
        <v>0</v>
      </c>
      <c r="J87" s="186">
        <f ca="1">TblConstr[[#This Row],[Water]]</f>
        <v>0</v>
      </c>
      <c r="K87" s="210"/>
      <c r="L87" s="210"/>
      <c r="M87" s="219"/>
      <c r="N87" s="217">
        <f ca="1">TblMili[[#This Row],[Smithies]]</f>
        <v>0</v>
      </c>
      <c r="O87" s="217">
        <f ca="1">TblPop[[#This Row],[Employment]]</f>
        <v>1</v>
      </c>
      <c r="P87" s="217">
        <f ca="1">TblImps[[#This Row],[Population]]</f>
        <v>1</v>
      </c>
      <c r="Q87" s="175">
        <f ca="1">TblExplore[[#This Row],[Land]]</f>
        <v>110</v>
      </c>
      <c r="R87" s="175">
        <f>TblExplore[[#This Row],[Hour]]</f>
        <v>84</v>
      </c>
      <c r="S87" s="218"/>
      <c r="T87" s="158"/>
      <c r="U87" s="179"/>
      <c r="V87" s="179"/>
      <c r="W87" s="179"/>
      <c r="X87" s="179"/>
      <c r="Y87" s="179"/>
      <c r="Z87" s="179"/>
      <c r="AA87" s="159">
        <f ca="1">TblImps[[#This Row],[Real time]]</f>
        <v>46050.458333333132</v>
      </c>
      <c r="AB87" s="94">
        <f ca="1">TblMili[[#This Row],[Draftees]]</f>
        <v>641</v>
      </c>
      <c r="AC87" s="94">
        <f ca="1">TblProd[[#This Row],[Platinum]]</f>
        <v>182338</v>
      </c>
      <c r="AD87" s="215"/>
      <c r="AE87" s="45">
        <f ca="1">TblExplore[[#This Row],[Land]]-TblExplore[[#This Row],[Land Bonus]]*20</f>
        <v>110</v>
      </c>
      <c r="AF87" s="94">
        <f ca="1">ROUND((0.6*TblExplore[[#This Row],[Land-DB]]^1.299 + IF(TblExplore[[#This Row],[Land-DB]]&lt;1520, (-0.001*(TblExplore[[#This Row],[Land-DB]]^2)+1.91*TblExplore[[#This Row],[Land-DB]]-593), 0))*(1+ tech_2_6*Techs!AC87 + tech_2_9*Techs!AF87 + tech_3_7*Techs!AN87 + Overview!$I$33),0)</f>
        <v>-126</v>
      </c>
      <c r="AG87" s="94">
        <f ca="1">_xlfn.FLOOR.MATH(TblExplore[[#This Row],[Land-DB]]/150)+3+tech_2_9_2*TblTech[[#This Row],[2-9]]+tech_3_7_2*TblTech[[#This Row],[3-7]]</f>
        <v>3</v>
      </c>
      <c r="AH87" s="94">
        <f ca="1">SUM(TblExplore[[#This Row],[Plains Explore]:[Water Explore]])*TblExplore[[#This Row],[Plat/acre]]</f>
        <v>0</v>
      </c>
      <c r="AI87" s="94">
        <f ca="1">SUM(TblExplore[[#This Row],[Plains Explore]:[Water Explore]])*TblExplore[[#This Row],[Draftees/acre]]</f>
        <v>0</v>
      </c>
      <c r="AJ87" s="45">
        <f ca="1">_xlfn.FLOOR.MATH(MIN(TblExplore[[#This Row],[Platinum]]/TblExplore[[#This Row],[Plat/acre]],TblExplore[[#This Row],[Draftees]]/TblExplore[[#This Row],[Draftees/acre]]))</f>
        <v>-1448</v>
      </c>
    </row>
    <row r="88" spans="1:36" x14ac:dyDescent="0.2">
      <c r="A88" s="175">
        <f>TblRezone[[#This Row],[Hour]]</f>
        <v>85</v>
      </c>
      <c r="B88" s="214">
        <f ca="1">TblConstr[[#This Row],[Land]]</f>
        <v>110</v>
      </c>
      <c r="C88" s="215"/>
      <c r="D88" s="216">
        <f ca="1">TblConstr[[#This Row],[Plain]]</f>
        <v>60</v>
      </c>
      <c r="E88" s="182">
        <f ca="1">TblConstr[[#This Row],[Forest]]</f>
        <v>0</v>
      </c>
      <c r="F88" s="359">
        <f ca="1">TblConstr[[#This Row],[Mountain]]</f>
        <v>0</v>
      </c>
      <c r="G88" s="363">
        <f ca="1">TblConstr[[#This Row],[Hill]]</f>
        <v>0</v>
      </c>
      <c r="H88" s="367">
        <f ca="1">TblConstr[[#This Row],[Swamp]]</f>
        <v>0</v>
      </c>
      <c r="I88" s="185">
        <f ca="1">TblConstr[[#This Row],[Cavern]]</f>
        <v>0</v>
      </c>
      <c r="J88" s="186">
        <f ca="1">TblConstr[[#This Row],[Water]]</f>
        <v>0</v>
      </c>
      <c r="K88" s="210"/>
      <c r="L88" s="210"/>
      <c r="M88" s="210"/>
      <c r="N88" s="217">
        <f ca="1">TblMili[[#This Row],[Smithies]]</f>
        <v>0</v>
      </c>
      <c r="O88" s="217">
        <f ca="1">TblPop[[#This Row],[Employment]]</f>
        <v>1</v>
      </c>
      <c r="P88" s="217">
        <f ca="1">TblImps[[#This Row],[Population]]</f>
        <v>1</v>
      </c>
      <c r="Q88" s="175">
        <f ca="1">TblExplore[[#This Row],[Land]]</f>
        <v>110</v>
      </c>
      <c r="R88" s="175">
        <f>TblExplore[[#This Row],[Hour]]</f>
        <v>85</v>
      </c>
      <c r="S88" s="218"/>
      <c r="T88" s="179"/>
      <c r="U88" s="179"/>
      <c r="V88" s="179"/>
      <c r="W88" s="179"/>
      <c r="X88" s="179"/>
      <c r="Y88" s="179"/>
      <c r="Z88" s="179"/>
      <c r="AA88" s="159">
        <f ca="1">TblImps[[#This Row],[Real time]]</f>
        <v>46050.499999999796</v>
      </c>
      <c r="AB88" s="94">
        <f ca="1">TblMili[[#This Row],[Draftees]]</f>
        <v>645</v>
      </c>
      <c r="AC88" s="94">
        <f ca="1">TblProd[[#This Row],[Platinum]]</f>
        <v>183512</v>
      </c>
      <c r="AD88" s="215"/>
      <c r="AE88" s="45">
        <f ca="1">TblExplore[[#This Row],[Land]]-TblExplore[[#This Row],[Land Bonus]]*20</f>
        <v>110</v>
      </c>
      <c r="AF88" s="94">
        <f ca="1">ROUND((0.6*TblExplore[[#This Row],[Land-DB]]^1.299 + IF(TblExplore[[#This Row],[Land-DB]]&lt;1520, (-0.001*(TblExplore[[#This Row],[Land-DB]]^2)+1.91*TblExplore[[#This Row],[Land-DB]]-593), 0))*(1+ tech_2_6*Techs!AC88 + tech_2_9*Techs!AF88 + tech_3_7*Techs!AN88 + Overview!$I$33),0)</f>
        <v>-126</v>
      </c>
      <c r="AG88" s="94">
        <f ca="1">_xlfn.FLOOR.MATH(TblExplore[[#This Row],[Land-DB]]/150)+3+tech_2_9_2*TblTech[[#This Row],[2-9]]+tech_3_7_2*TblTech[[#This Row],[3-7]]</f>
        <v>3</v>
      </c>
      <c r="AH88" s="94">
        <f ca="1">SUM(TblExplore[[#This Row],[Plains Explore]:[Water Explore]])*TblExplore[[#This Row],[Plat/acre]]</f>
        <v>0</v>
      </c>
      <c r="AI88" s="94">
        <f ca="1">SUM(TblExplore[[#This Row],[Plains Explore]:[Water Explore]])*TblExplore[[#This Row],[Draftees/acre]]</f>
        <v>0</v>
      </c>
      <c r="AJ88" s="45">
        <f ca="1">_xlfn.FLOOR.MATH(MIN(TblExplore[[#This Row],[Platinum]]/TblExplore[[#This Row],[Plat/acre]],TblExplore[[#This Row],[Draftees]]/TblExplore[[#This Row],[Draftees/acre]]))</f>
        <v>-1457</v>
      </c>
    </row>
    <row r="89" spans="1:36" x14ac:dyDescent="0.2">
      <c r="A89" s="175">
        <f>TblRezone[[#This Row],[Hour]]</f>
        <v>86</v>
      </c>
      <c r="B89" s="214">
        <f ca="1">TblConstr[[#This Row],[Land]]</f>
        <v>110</v>
      </c>
      <c r="C89" s="215"/>
      <c r="D89" s="216">
        <f ca="1">TblConstr[[#This Row],[Plain]]</f>
        <v>60</v>
      </c>
      <c r="E89" s="182">
        <f ca="1">TblConstr[[#This Row],[Forest]]</f>
        <v>0</v>
      </c>
      <c r="F89" s="359">
        <f ca="1">TblConstr[[#This Row],[Mountain]]</f>
        <v>0</v>
      </c>
      <c r="G89" s="363">
        <f ca="1">TblConstr[[#This Row],[Hill]]</f>
        <v>0</v>
      </c>
      <c r="H89" s="367">
        <f ca="1">TblConstr[[#This Row],[Swamp]]</f>
        <v>0</v>
      </c>
      <c r="I89" s="185">
        <f ca="1">TblConstr[[#This Row],[Cavern]]</f>
        <v>0</v>
      </c>
      <c r="J89" s="186">
        <f ca="1">TblConstr[[#This Row],[Water]]</f>
        <v>0</v>
      </c>
      <c r="K89" s="210"/>
      <c r="L89" s="210"/>
      <c r="M89" s="223"/>
      <c r="N89" s="217">
        <f ca="1">TblMili[[#This Row],[Smithies]]</f>
        <v>0</v>
      </c>
      <c r="O89" s="217">
        <f ca="1">TblPop[[#This Row],[Employment]]</f>
        <v>1</v>
      </c>
      <c r="P89" s="217">
        <f ca="1">TblImps[[#This Row],[Population]]</f>
        <v>1</v>
      </c>
      <c r="Q89" s="175">
        <f ca="1">TblExplore[[#This Row],[Land]]</f>
        <v>110</v>
      </c>
      <c r="R89" s="175">
        <f>TblExplore[[#This Row],[Hour]]</f>
        <v>86</v>
      </c>
      <c r="S89" s="218"/>
      <c r="T89" s="179"/>
      <c r="U89" s="179"/>
      <c r="V89" s="179"/>
      <c r="W89" s="179"/>
      <c r="X89" s="179"/>
      <c r="Y89" s="179"/>
      <c r="Z89" s="179"/>
      <c r="AA89" s="159">
        <f ca="1">TblImps[[#This Row],[Real time]]</f>
        <v>46050.541666666461</v>
      </c>
      <c r="AB89" s="94">
        <f ca="1">TblMili[[#This Row],[Draftees]]</f>
        <v>649</v>
      </c>
      <c r="AC89" s="94">
        <f ca="1">TblProd[[#This Row],[Platinum]]</f>
        <v>184675</v>
      </c>
      <c r="AD89" s="215"/>
      <c r="AE89" s="45">
        <f ca="1">TblExplore[[#This Row],[Land]]-TblExplore[[#This Row],[Land Bonus]]*20</f>
        <v>110</v>
      </c>
      <c r="AF89" s="94">
        <f ca="1">ROUND((0.6*TblExplore[[#This Row],[Land-DB]]^1.299 + IF(TblExplore[[#This Row],[Land-DB]]&lt;1520, (-0.001*(TblExplore[[#This Row],[Land-DB]]^2)+1.91*TblExplore[[#This Row],[Land-DB]]-593), 0))*(1+ tech_2_6*Techs!AC89 + tech_2_9*Techs!AF89 + tech_3_7*Techs!AN89 + Overview!$I$33),0)</f>
        <v>-126</v>
      </c>
      <c r="AG89" s="94">
        <f ca="1">_xlfn.FLOOR.MATH(TblExplore[[#This Row],[Land-DB]]/150)+3+tech_2_9_2*TblTech[[#This Row],[2-9]]+tech_3_7_2*TblTech[[#This Row],[3-7]]</f>
        <v>3</v>
      </c>
      <c r="AH89" s="94">
        <f ca="1">SUM(TblExplore[[#This Row],[Plains Explore]:[Water Explore]])*TblExplore[[#This Row],[Plat/acre]]</f>
        <v>0</v>
      </c>
      <c r="AI89" s="94">
        <f ca="1">SUM(TblExplore[[#This Row],[Plains Explore]:[Water Explore]])*TblExplore[[#This Row],[Draftees/acre]]</f>
        <v>0</v>
      </c>
      <c r="AJ89" s="45">
        <f ca="1">_xlfn.FLOOR.MATH(MIN(TblExplore[[#This Row],[Platinum]]/TblExplore[[#This Row],[Plat/acre]],TblExplore[[#This Row],[Draftees]]/TblExplore[[#This Row],[Draftees/acre]]))</f>
        <v>-1466</v>
      </c>
    </row>
    <row r="90" spans="1:36" x14ac:dyDescent="0.2">
      <c r="A90" s="175">
        <f>TblRezone[[#This Row],[Hour]]</f>
        <v>87</v>
      </c>
      <c r="B90" s="214">
        <f ca="1">TblConstr[[#This Row],[Land]]</f>
        <v>110</v>
      </c>
      <c r="C90" s="215"/>
      <c r="D90" s="216">
        <f ca="1">TblConstr[[#This Row],[Plain]]</f>
        <v>60</v>
      </c>
      <c r="E90" s="182">
        <f ca="1">TblConstr[[#This Row],[Forest]]</f>
        <v>0</v>
      </c>
      <c r="F90" s="359">
        <f ca="1">TblConstr[[#This Row],[Mountain]]</f>
        <v>0</v>
      </c>
      <c r="G90" s="363">
        <f ca="1">TblConstr[[#This Row],[Hill]]</f>
        <v>0</v>
      </c>
      <c r="H90" s="367">
        <f ca="1">TblConstr[[#This Row],[Swamp]]</f>
        <v>0</v>
      </c>
      <c r="I90" s="185">
        <f ca="1">TblConstr[[#This Row],[Cavern]]</f>
        <v>0</v>
      </c>
      <c r="J90" s="186">
        <f ca="1">TblConstr[[#This Row],[Water]]</f>
        <v>0</v>
      </c>
      <c r="K90" s="210"/>
      <c r="L90" s="210"/>
      <c r="M90" s="223"/>
      <c r="N90" s="217">
        <f ca="1">TblMili[[#This Row],[Smithies]]</f>
        <v>0</v>
      </c>
      <c r="O90" s="217">
        <f ca="1">TblPop[[#This Row],[Employment]]</f>
        <v>1</v>
      </c>
      <c r="P90" s="217">
        <f ca="1">TblImps[[#This Row],[Population]]</f>
        <v>1</v>
      </c>
      <c r="Q90" s="175">
        <f ca="1">TblExplore[[#This Row],[Land]]</f>
        <v>110</v>
      </c>
      <c r="R90" s="175">
        <f>TblExplore[[#This Row],[Hour]]</f>
        <v>87</v>
      </c>
      <c r="S90" s="218"/>
      <c r="T90" s="179"/>
      <c r="U90" s="179"/>
      <c r="V90" s="179"/>
      <c r="W90" s="179"/>
      <c r="X90" s="179"/>
      <c r="Y90" s="179"/>
      <c r="Z90" s="179"/>
      <c r="AA90" s="159">
        <f ca="1">TblImps[[#This Row],[Real time]]</f>
        <v>46050.583333333125</v>
      </c>
      <c r="AB90" s="94">
        <f ca="1">TblMili[[#This Row],[Draftees]]</f>
        <v>653</v>
      </c>
      <c r="AC90" s="94">
        <f ca="1">TblProd[[#This Row],[Platinum]]</f>
        <v>185827</v>
      </c>
      <c r="AD90" s="215"/>
      <c r="AE90" s="45">
        <f ca="1">TblExplore[[#This Row],[Land]]-TblExplore[[#This Row],[Land Bonus]]*20</f>
        <v>110</v>
      </c>
      <c r="AF90" s="94">
        <f ca="1">ROUND((0.6*TblExplore[[#This Row],[Land-DB]]^1.299 + IF(TblExplore[[#This Row],[Land-DB]]&lt;1520, (-0.001*(TblExplore[[#This Row],[Land-DB]]^2)+1.91*TblExplore[[#This Row],[Land-DB]]-593), 0))*(1+ tech_2_6*Techs!AC90 + tech_2_9*Techs!AF90 + tech_3_7*Techs!AN90 + Overview!$I$33),0)</f>
        <v>-126</v>
      </c>
      <c r="AG90" s="94">
        <f ca="1">_xlfn.FLOOR.MATH(TblExplore[[#This Row],[Land-DB]]/150)+3+tech_2_9_2*TblTech[[#This Row],[2-9]]+tech_3_7_2*TblTech[[#This Row],[3-7]]</f>
        <v>3</v>
      </c>
      <c r="AH90" s="94">
        <f ca="1">SUM(TblExplore[[#This Row],[Plains Explore]:[Water Explore]])*TblExplore[[#This Row],[Plat/acre]]</f>
        <v>0</v>
      </c>
      <c r="AI90" s="94">
        <f ca="1">SUM(TblExplore[[#This Row],[Plains Explore]:[Water Explore]])*TblExplore[[#This Row],[Draftees/acre]]</f>
        <v>0</v>
      </c>
      <c r="AJ90" s="45">
        <f ca="1">_xlfn.FLOOR.MATH(MIN(TblExplore[[#This Row],[Platinum]]/TblExplore[[#This Row],[Plat/acre]],TblExplore[[#This Row],[Draftees]]/TblExplore[[#This Row],[Draftees/acre]]))</f>
        <v>-1475</v>
      </c>
    </row>
    <row r="91" spans="1:36" x14ac:dyDescent="0.2">
      <c r="A91" s="175">
        <f>TblRezone[[#This Row],[Hour]]</f>
        <v>88</v>
      </c>
      <c r="B91" s="214">
        <f ca="1">TblConstr[[#This Row],[Land]]</f>
        <v>110</v>
      </c>
      <c r="C91" s="215"/>
      <c r="D91" s="216">
        <f ca="1">TblConstr[[#This Row],[Plain]]</f>
        <v>60</v>
      </c>
      <c r="E91" s="182">
        <f ca="1">TblConstr[[#This Row],[Forest]]</f>
        <v>0</v>
      </c>
      <c r="F91" s="359">
        <f ca="1">TblConstr[[#This Row],[Mountain]]</f>
        <v>0</v>
      </c>
      <c r="G91" s="363">
        <f ca="1">TblConstr[[#This Row],[Hill]]</f>
        <v>0</v>
      </c>
      <c r="H91" s="367">
        <f ca="1">TblConstr[[#This Row],[Swamp]]</f>
        <v>0</v>
      </c>
      <c r="I91" s="185">
        <f ca="1">TblConstr[[#This Row],[Cavern]]</f>
        <v>0</v>
      </c>
      <c r="J91" s="186">
        <f ca="1">TblConstr[[#This Row],[Water]]</f>
        <v>0</v>
      </c>
      <c r="K91" s="210"/>
      <c r="L91" s="210"/>
      <c r="M91" s="223"/>
      <c r="N91" s="217">
        <f ca="1">TblMili[[#This Row],[Smithies]]</f>
        <v>0</v>
      </c>
      <c r="O91" s="217">
        <f ca="1">TblPop[[#This Row],[Employment]]</f>
        <v>1</v>
      </c>
      <c r="P91" s="217">
        <f ca="1">TblImps[[#This Row],[Population]]</f>
        <v>1</v>
      </c>
      <c r="Q91" s="175">
        <f ca="1">TblExplore[[#This Row],[Land]]</f>
        <v>110</v>
      </c>
      <c r="R91" s="175">
        <f>TblExplore[[#This Row],[Hour]]</f>
        <v>88</v>
      </c>
      <c r="S91" s="218"/>
      <c r="T91" s="158"/>
      <c r="U91" s="179"/>
      <c r="V91" s="179"/>
      <c r="W91" s="179"/>
      <c r="X91" s="179"/>
      <c r="Y91" s="179"/>
      <c r="Z91" s="179"/>
      <c r="AA91" s="159">
        <f ca="1">TblImps[[#This Row],[Real time]]</f>
        <v>46050.624999999789</v>
      </c>
      <c r="AB91" s="94">
        <f ca="1">TblMili[[#This Row],[Draftees]]</f>
        <v>657</v>
      </c>
      <c r="AC91" s="94">
        <f ca="1">TblProd[[#This Row],[Platinum]]</f>
        <v>186969</v>
      </c>
      <c r="AD91" s="215"/>
      <c r="AE91" s="45">
        <f ca="1">TblExplore[[#This Row],[Land]]-TblExplore[[#This Row],[Land Bonus]]*20</f>
        <v>110</v>
      </c>
      <c r="AF91" s="94">
        <f ca="1">ROUND((0.6*TblExplore[[#This Row],[Land-DB]]^1.299 + IF(TblExplore[[#This Row],[Land-DB]]&lt;1520, (-0.001*(TblExplore[[#This Row],[Land-DB]]^2)+1.91*TblExplore[[#This Row],[Land-DB]]-593), 0))*(1+ tech_2_6*Techs!AC91 + tech_2_9*Techs!AF91 + tech_3_7*Techs!AN91 + Overview!$I$33),0)</f>
        <v>-126</v>
      </c>
      <c r="AG91" s="94">
        <f ca="1">_xlfn.FLOOR.MATH(TblExplore[[#This Row],[Land-DB]]/150)+3+tech_2_9_2*TblTech[[#This Row],[2-9]]+tech_3_7_2*TblTech[[#This Row],[3-7]]</f>
        <v>3</v>
      </c>
      <c r="AH91" s="94">
        <f ca="1">SUM(TblExplore[[#This Row],[Plains Explore]:[Water Explore]])*TblExplore[[#This Row],[Plat/acre]]</f>
        <v>0</v>
      </c>
      <c r="AI91" s="94">
        <f ca="1">SUM(TblExplore[[#This Row],[Plains Explore]:[Water Explore]])*TblExplore[[#This Row],[Draftees/acre]]</f>
        <v>0</v>
      </c>
      <c r="AJ91" s="45">
        <f ca="1">_xlfn.FLOOR.MATH(MIN(TblExplore[[#This Row],[Platinum]]/TblExplore[[#This Row],[Plat/acre]],TblExplore[[#This Row],[Draftees]]/TblExplore[[#This Row],[Draftees/acre]]))</f>
        <v>-1484</v>
      </c>
    </row>
    <row r="92" spans="1:36" x14ac:dyDescent="0.2">
      <c r="A92" s="175">
        <f>TblRezone[[#This Row],[Hour]]</f>
        <v>89</v>
      </c>
      <c r="B92" s="214">
        <f ca="1">TblConstr[[#This Row],[Land]]</f>
        <v>110</v>
      </c>
      <c r="C92" s="215"/>
      <c r="D92" s="216">
        <f ca="1">TblConstr[[#This Row],[Plain]]</f>
        <v>60</v>
      </c>
      <c r="E92" s="182">
        <f ca="1">TblConstr[[#This Row],[Forest]]</f>
        <v>0</v>
      </c>
      <c r="F92" s="359">
        <f ca="1">TblConstr[[#This Row],[Mountain]]</f>
        <v>0</v>
      </c>
      <c r="G92" s="363">
        <f ca="1">TblConstr[[#This Row],[Hill]]</f>
        <v>0</v>
      </c>
      <c r="H92" s="367">
        <f ca="1">TblConstr[[#This Row],[Swamp]]</f>
        <v>0</v>
      </c>
      <c r="I92" s="185">
        <f ca="1">TblConstr[[#This Row],[Cavern]]</f>
        <v>0</v>
      </c>
      <c r="J92" s="186">
        <f ca="1">TblConstr[[#This Row],[Water]]</f>
        <v>0</v>
      </c>
      <c r="K92" s="210"/>
      <c r="L92" s="210"/>
      <c r="M92" s="223"/>
      <c r="N92" s="217">
        <f ca="1">TblMili[[#This Row],[Smithies]]</f>
        <v>0</v>
      </c>
      <c r="O92" s="217">
        <f ca="1">TblPop[[#This Row],[Employment]]</f>
        <v>1</v>
      </c>
      <c r="P92" s="217">
        <f ca="1">TblImps[[#This Row],[Population]]</f>
        <v>1</v>
      </c>
      <c r="Q92" s="175">
        <f ca="1">TblExplore[[#This Row],[Land]]</f>
        <v>110</v>
      </c>
      <c r="R92" s="175">
        <f>TblExplore[[#This Row],[Hour]]</f>
        <v>89</v>
      </c>
      <c r="S92" s="218"/>
      <c r="T92" s="158"/>
      <c r="U92" s="179"/>
      <c r="V92" s="179"/>
      <c r="W92" s="179"/>
      <c r="X92" s="179"/>
      <c r="Y92" s="179"/>
      <c r="Z92" s="179"/>
      <c r="AA92" s="159">
        <f ca="1">TblImps[[#This Row],[Real time]]</f>
        <v>46050.666666666453</v>
      </c>
      <c r="AB92" s="94">
        <f ca="1">TblMili[[#This Row],[Draftees]]</f>
        <v>661</v>
      </c>
      <c r="AC92" s="94">
        <f ca="1">TblProd[[#This Row],[Platinum]]</f>
        <v>188100</v>
      </c>
      <c r="AD92" s="215"/>
      <c r="AE92" s="45">
        <f ca="1">TblExplore[[#This Row],[Land]]-TblExplore[[#This Row],[Land Bonus]]*20</f>
        <v>110</v>
      </c>
      <c r="AF92" s="94">
        <f ca="1">ROUND((0.6*TblExplore[[#This Row],[Land-DB]]^1.299 + IF(TblExplore[[#This Row],[Land-DB]]&lt;1520, (-0.001*(TblExplore[[#This Row],[Land-DB]]^2)+1.91*TblExplore[[#This Row],[Land-DB]]-593), 0))*(1+ tech_2_6*Techs!AC92 + tech_2_9*Techs!AF92 + tech_3_7*Techs!AN92 + Overview!$I$33),0)</f>
        <v>-126</v>
      </c>
      <c r="AG92" s="94">
        <f ca="1">_xlfn.FLOOR.MATH(TblExplore[[#This Row],[Land-DB]]/150)+3+tech_2_9_2*TblTech[[#This Row],[2-9]]+tech_3_7_2*TblTech[[#This Row],[3-7]]</f>
        <v>3</v>
      </c>
      <c r="AH92" s="94">
        <f ca="1">SUM(TblExplore[[#This Row],[Plains Explore]:[Water Explore]])*TblExplore[[#This Row],[Plat/acre]]</f>
        <v>0</v>
      </c>
      <c r="AI92" s="94">
        <f ca="1">SUM(TblExplore[[#This Row],[Plains Explore]:[Water Explore]])*TblExplore[[#This Row],[Draftees/acre]]</f>
        <v>0</v>
      </c>
      <c r="AJ92" s="45">
        <f ca="1">_xlfn.FLOOR.MATH(MIN(TblExplore[[#This Row],[Platinum]]/TblExplore[[#This Row],[Plat/acre]],TblExplore[[#This Row],[Draftees]]/TblExplore[[#This Row],[Draftees/acre]]))</f>
        <v>-1493</v>
      </c>
    </row>
    <row r="93" spans="1:36" x14ac:dyDescent="0.2">
      <c r="A93" s="175">
        <f>TblRezone[[#This Row],[Hour]]</f>
        <v>90</v>
      </c>
      <c r="B93" s="214">
        <f ca="1">TblConstr[[#This Row],[Land]]</f>
        <v>110</v>
      </c>
      <c r="C93" s="215"/>
      <c r="D93" s="216">
        <f ca="1">TblConstr[[#This Row],[Plain]]</f>
        <v>60</v>
      </c>
      <c r="E93" s="182">
        <f ca="1">TblConstr[[#This Row],[Forest]]</f>
        <v>0</v>
      </c>
      <c r="F93" s="359">
        <f ca="1">TblConstr[[#This Row],[Mountain]]</f>
        <v>0</v>
      </c>
      <c r="G93" s="363">
        <f ca="1">TblConstr[[#This Row],[Hill]]</f>
        <v>0</v>
      </c>
      <c r="H93" s="367">
        <f ca="1">TblConstr[[#This Row],[Swamp]]</f>
        <v>0</v>
      </c>
      <c r="I93" s="185">
        <f ca="1">TblConstr[[#This Row],[Cavern]]</f>
        <v>0</v>
      </c>
      <c r="J93" s="186">
        <f ca="1">TblConstr[[#This Row],[Water]]</f>
        <v>0</v>
      </c>
      <c r="K93" s="210"/>
      <c r="L93" s="210"/>
      <c r="M93" s="223"/>
      <c r="N93" s="217">
        <f ca="1">TblMili[[#This Row],[Smithies]]</f>
        <v>0</v>
      </c>
      <c r="O93" s="217">
        <f ca="1">TblPop[[#This Row],[Employment]]</f>
        <v>1</v>
      </c>
      <c r="P93" s="217">
        <f ca="1">TblImps[[#This Row],[Population]]</f>
        <v>1</v>
      </c>
      <c r="Q93" s="175">
        <f ca="1">TblExplore[[#This Row],[Land]]</f>
        <v>110</v>
      </c>
      <c r="R93" s="175">
        <f>TblExplore[[#This Row],[Hour]]</f>
        <v>90</v>
      </c>
      <c r="S93" s="218"/>
      <c r="T93" s="179"/>
      <c r="U93" s="179"/>
      <c r="V93" s="179"/>
      <c r="W93" s="179"/>
      <c r="X93" s="179"/>
      <c r="Y93" s="179"/>
      <c r="Z93" s="179"/>
      <c r="AA93" s="159">
        <f ca="1">TblImps[[#This Row],[Real time]]</f>
        <v>46050.708333333117</v>
      </c>
      <c r="AB93" s="94">
        <f ca="1">TblMili[[#This Row],[Draftees]]</f>
        <v>665</v>
      </c>
      <c r="AC93" s="94">
        <f ca="1">TblProd[[#This Row],[Platinum]]</f>
        <v>189220</v>
      </c>
      <c r="AD93" s="215"/>
      <c r="AE93" s="45">
        <f ca="1">TblExplore[[#This Row],[Land]]-TblExplore[[#This Row],[Land Bonus]]*20</f>
        <v>110</v>
      </c>
      <c r="AF93" s="94">
        <f ca="1">ROUND((0.6*TblExplore[[#This Row],[Land-DB]]^1.299 + IF(TblExplore[[#This Row],[Land-DB]]&lt;1520, (-0.001*(TblExplore[[#This Row],[Land-DB]]^2)+1.91*TblExplore[[#This Row],[Land-DB]]-593), 0))*(1+ tech_2_6*Techs!AC93 + tech_2_9*Techs!AF93 + tech_3_7*Techs!AN93 + Overview!$I$33),0)</f>
        <v>-126</v>
      </c>
      <c r="AG93" s="94">
        <f ca="1">_xlfn.FLOOR.MATH(TblExplore[[#This Row],[Land-DB]]/150)+3+tech_2_9_2*TblTech[[#This Row],[2-9]]+tech_3_7_2*TblTech[[#This Row],[3-7]]</f>
        <v>3</v>
      </c>
      <c r="AH93" s="94">
        <f ca="1">SUM(TblExplore[[#This Row],[Plains Explore]:[Water Explore]])*TblExplore[[#This Row],[Plat/acre]]</f>
        <v>0</v>
      </c>
      <c r="AI93" s="94">
        <f ca="1">SUM(TblExplore[[#This Row],[Plains Explore]:[Water Explore]])*TblExplore[[#This Row],[Draftees/acre]]</f>
        <v>0</v>
      </c>
      <c r="AJ93" s="45">
        <f ca="1">_xlfn.FLOOR.MATH(MIN(TblExplore[[#This Row],[Platinum]]/TblExplore[[#This Row],[Plat/acre]],TblExplore[[#This Row],[Draftees]]/TblExplore[[#This Row],[Draftees/acre]]))</f>
        <v>-1502</v>
      </c>
    </row>
    <row r="94" spans="1:36" x14ac:dyDescent="0.2">
      <c r="A94" s="175">
        <f>TblRezone[[#This Row],[Hour]]</f>
        <v>91</v>
      </c>
      <c r="B94" s="214">
        <f ca="1">TblConstr[[#This Row],[Land]]</f>
        <v>110</v>
      </c>
      <c r="C94" s="215"/>
      <c r="D94" s="216">
        <f ca="1">TblConstr[[#This Row],[Plain]]</f>
        <v>60</v>
      </c>
      <c r="E94" s="182">
        <f ca="1">TblConstr[[#This Row],[Forest]]</f>
        <v>0</v>
      </c>
      <c r="F94" s="359">
        <f ca="1">TblConstr[[#This Row],[Mountain]]</f>
        <v>0</v>
      </c>
      <c r="G94" s="363">
        <f ca="1">TblConstr[[#This Row],[Hill]]</f>
        <v>0</v>
      </c>
      <c r="H94" s="367">
        <f ca="1">TblConstr[[#This Row],[Swamp]]</f>
        <v>0</v>
      </c>
      <c r="I94" s="185">
        <f ca="1">TblConstr[[#This Row],[Cavern]]</f>
        <v>0</v>
      </c>
      <c r="J94" s="186">
        <f ca="1">TblConstr[[#This Row],[Water]]</f>
        <v>0</v>
      </c>
      <c r="K94" s="210"/>
      <c r="L94" s="210"/>
      <c r="M94" s="223"/>
      <c r="N94" s="217">
        <f ca="1">TblMili[[#This Row],[Smithies]]</f>
        <v>0</v>
      </c>
      <c r="O94" s="217">
        <f ca="1">TblPop[[#This Row],[Employment]]</f>
        <v>1</v>
      </c>
      <c r="P94" s="217">
        <f ca="1">TblImps[[#This Row],[Population]]</f>
        <v>1</v>
      </c>
      <c r="Q94" s="175">
        <f ca="1">TblExplore[[#This Row],[Land]]</f>
        <v>110</v>
      </c>
      <c r="R94" s="175">
        <f>TblExplore[[#This Row],[Hour]]</f>
        <v>91</v>
      </c>
      <c r="S94" s="218"/>
      <c r="T94" s="179"/>
      <c r="U94" s="179"/>
      <c r="V94" s="179"/>
      <c r="W94" s="179"/>
      <c r="X94" s="179"/>
      <c r="Y94" s="179"/>
      <c r="Z94" s="179"/>
      <c r="AA94" s="159">
        <f ca="1">TblImps[[#This Row],[Real time]]</f>
        <v>46050.749999999782</v>
      </c>
      <c r="AB94" s="94">
        <f ca="1">TblMili[[#This Row],[Draftees]]</f>
        <v>669</v>
      </c>
      <c r="AC94" s="94">
        <f ca="1">TblProd[[#This Row],[Platinum]]</f>
        <v>190329</v>
      </c>
      <c r="AD94" s="215"/>
      <c r="AE94" s="45">
        <f ca="1">TblExplore[[#This Row],[Land]]-TblExplore[[#This Row],[Land Bonus]]*20</f>
        <v>110</v>
      </c>
      <c r="AF94" s="94">
        <f ca="1">ROUND((0.6*TblExplore[[#This Row],[Land-DB]]^1.299 + IF(TblExplore[[#This Row],[Land-DB]]&lt;1520, (-0.001*(TblExplore[[#This Row],[Land-DB]]^2)+1.91*TblExplore[[#This Row],[Land-DB]]-593), 0))*(1+ tech_2_6*Techs!AC94 + tech_2_9*Techs!AF94 + tech_3_7*Techs!AN94 + Overview!$I$33),0)</f>
        <v>-126</v>
      </c>
      <c r="AG94" s="94">
        <f ca="1">_xlfn.FLOOR.MATH(TblExplore[[#This Row],[Land-DB]]/150)+3+tech_2_9_2*TblTech[[#This Row],[2-9]]+tech_3_7_2*TblTech[[#This Row],[3-7]]</f>
        <v>3</v>
      </c>
      <c r="AH94" s="94">
        <f ca="1">SUM(TblExplore[[#This Row],[Plains Explore]:[Water Explore]])*TblExplore[[#This Row],[Plat/acre]]</f>
        <v>0</v>
      </c>
      <c r="AI94" s="94">
        <f ca="1">SUM(TblExplore[[#This Row],[Plains Explore]:[Water Explore]])*TblExplore[[#This Row],[Draftees/acre]]</f>
        <v>0</v>
      </c>
      <c r="AJ94" s="45">
        <f ca="1">_xlfn.FLOOR.MATH(MIN(TblExplore[[#This Row],[Platinum]]/TblExplore[[#This Row],[Plat/acre]],TblExplore[[#This Row],[Draftees]]/TblExplore[[#This Row],[Draftees/acre]]))</f>
        <v>-1511</v>
      </c>
    </row>
    <row r="95" spans="1:36" x14ac:dyDescent="0.2">
      <c r="A95" s="175">
        <f>TblRezone[[#This Row],[Hour]]</f>
        <v>92</v>
      </c>
      <c r="B95" s="214">
        <f ca="1">TblConstr[[#This Row],[Land]]</f>
        <v>110</v>
      </c>
      <c r="C95" s="215"/>
      <c r="D95" s="216">
        <f ca="1">TblConstr[[#This Row],[Plain]]</f>
        <v>60</v>
      </c>
      <c r="E95" s="182">
        <f ca="1">TblConstr[[#This Row],[Forest]]</f>
        <v>0</v>
      </c>
      <c r="F95" s="359">
        <f ca="1">TblConstr[[#This Row],[Mountain]]</f>
        <v>0</v>
      </c>
      <c r="G95" s="363">
        <f ca="1">TblConstr[[#This Row],[Hill]]</f>
        <v>0</v>
      </c>
      <c r="H95" s="367">
        <f ca="1">TblConstr[[#This Row],[Swamp]]</f>
        <v>0</v>
      </c>
      <c r="I95" s="185">
        <f ca="1">TblConstr[[#This Row],[Cavern]]</f>
        <v>0</v>
      </c>
      <c r="J95" s="186">
        <f ca="1">TblConstr[[#This Row],[Water]]</f>
        <v>0</v>
      </c>
      <c r="K95" s="210"/>
      <c r="L95" s="210"/>
      <c r="M95" s="223"/>
      <c r="N95" s="217">
        <f ca="1">TblMili[[#This Row],[Smithies]]</f>
        <v>0</v>
      </c>
      <c r="O95" s="217">
        <f ca="1">TblPop[[#This Row],[Employment]]</f>
        <v>1</v>
      </c>
      <c r="P95" s="217">
        <f ca="1">TblImps[[#This Row],[Population]]</f>
        <v>1</v>
      </c>
      <c r="Q95" s="175">
        <f ca="1">TblExplore[[#This Row],[Land]]</f>
        <v>110</v>
      </c>
      <c r="R95" s="175">
        <f>TblExplore[[#This Row],[Hour]]</f>
        <v>92</v>
      </c>
      <c r="S95" s="218"/>
      <c r="T95" s="179"/>
      <c r="U95" s="179"/>
      <c r="V95" s="179"/>
      <c r="W95" s="179"/>
      <c r="X95" s="179"/>
      <c r="Y95" s="179"/>
      <c r="Z95" s="179"/>
      <c r="AA95" s="159">
        <f ca="1">TblImps[[#This Row],[Real time]]</f>
        <v>46050.791666666446</v>
      </c>
      <c r="AB95" s="94">
        <f ca="1">TblMili[[#This Row],[Draftees]]</f>
        <v>673</v>
      </c>
      <c r="AC95" s="94">
        <f ca="1">TblProd[[#This Row],[Platinum]]</f>
        <v>191427</v>
      </c>
      <c r="AD95" s="215"/>
      <c r="AE95" s="45">
        <f ca="1">TblExplore[[#This Row],[Land]]-TblExplore[[#This Row],[Land Bonus]]*20</f>
        <v>110</v>
      </c>
      <c r="AF95" s="94">
        <f ca="1">ROUND((0.6*TblExplore[[#This Row],[Land-DB]]^1.299 + IF(TblExplore[[#This Row],[Land-DB]]&lt;1520, (-0.001*(TblExplore[[#This Row],[Land-DB]]^2)+1.91*TblExplore[[#This Row],[Land-DB]]-593), 0))*(1+ tech_2_6*Techs!AC95 + tech_2_9*Techs!AF95 + tech_3_7*Techs!AN95 + Overview!$I$33),0)</f>
        <v>-126</v>
      </c>
      <c r="AG95" s="94">
        <f ca="1">_xlfn.FLOOR.MATH(TblExplore[[#This Row],[Land-DB]]/150)+3+tech_2_9_2*TblTech[[#This Row],[2-9]]+tech_3_7_2*TblTech[[#This Row],[3-7]]</f>
        <v>3</v>
      </c>
      <c r="AH95" s="94">
        <f ca="1">SUM(TblExplore[[#This Row],[Plains Explore]:[Water Explore]])*TblExplore[[#This Row],[Plat/acre]]</f>
        <v>0</v>
      </c>
      <c r="AI95" s="94">
        <f ca="1">SUM(TblExplore[[#This Row],[Plains Explore]:[Water Explore]])*TblExplore[[#This Row],[Draftees/acre]]</f>
        <v>0</v>
      </c>
      <c r="AJ95" s="45">
        <f ca="1">_xlfn.FLOOR.MATH(MIN(TblExplore[[#This Row],[Platinum]]/TblExplore[[#This Row],[Plat/acre]],TblExplore[[#This Row],[Draftees]]/TblExplore[[#This Row],[Draftees/acre]]))</f>
        <v>-1520</v>
      </c>
    </row>
    <row r="96" spans="1:36" x14ac:dyDescent="0.2">
      <c r="A96" s="175">
        <f>TblRezone[[#This Row],[Hour]]</f>
        <v>93</v>
      </c>
      <c r="B96" s="214">
        <f ca="1">TblConstr[[#This Row],[Land]]</f>
        <v>110</v>
      </c>
      <c r="C96" s="215"/>
      <c r="D96" s="216">
        <f ca="1">TblConstr[[#This Row],[Plain]]</f>
        <v>60</v>
      </c>
      <c r="E96" s="182">
        <f ca="1">TblConstr[[#This Row],[Forest]]</f>
        <v>0</v>
      </c>
      <c r="F96" s="359">
        <f ca="1">TblConstr[[#This Row],[Mountain]]</f>
        <v>0</v>
      </c>
      <c r="G96" s="363">
        <f ca="1">TblConstr[[#This Row],[Hill]]</f>
        <v>0</v>
      </c>
      <c r="H96" s="367">
        <f ca="1">TblConstr[[#This Row],[Swamp]]</f>
        <v>0</v>
      </c>
      <c r="I96" s="185">
        <f ca="1">TblConstr[[#This Row],[Cavern]]</f>
        <v>0</v>
      </c>
      <c r="J96" s="186">
        <f ca="1">TblConstr[[#This Row],[Water]]</f>
        <v>0</v>
      </c>
      <c r="K96" s="210"/>
      <c r="L96" s="210"/>
      <c r="M96" s="210"/>
      <c r="N96" s="217">
        <f ca="1">TblMili[[#This Row],[Smithies]]</f>
        <v>0</v>
      </c>
      <c r="O96" s="217">
        <f ca="1">TblPop[[#This Row],[Employment]]</f>
        <v>1</v>
      </c>
      <c r="P96" s="217">
        <f ca="1">TblImps[[#This Row],[Population]]</f>
        <v>1</v>
      </c>
      <c r="Q96" s="175">
        <f ca="1">TblExplore[[#This Row],[Land]]</f>
        <v>110</v>
      </c>
      <c r="R96" s="214">
        <f>TblExplore[[#This Row],[Hour]]</f>
        <v>93</v>
      </c>
      <c r="S96" s="218"/>
      <c r="T96" s="179"/>
      <c r="U96" s="179"/>
      <c r="V96" s="179"/>
      <c r="W96" s="179"/>
      <c r="X96" s="179"/>
      <c r="Y96" s="179"/>
      <c r="Z96" s="179"/>
      <c r="AA96" s="159">
        <f ca="1">TblImps[[#This Row],[Real time]]</f>
        <v>46050.83333333311</v>
      </c>
      <c r="AB96" s="94">
        <f ca="1">TblMili[[#This Row],[Draftees]]</f>
        <v>677</v>
      </c>
      <c r="AC96" s="94">
        <f ca="1">TblProd[[#This Row],[Platinum]]</f>
        <v>192515</v>
      </c>
      <c r="AD96" s="215"/>
      <c r="AE96" s="45">
        <f ca="1">TblExplore[[#This Row],[Land]]-TblExplore[[#This Row],[Land Bonus]]*20</f>
        <v>110</v>
      </c>
      <c r="AF96" s="94">
        <f ca="1">ROUND((0.6*TblExplore[[#This Row],[Land-DB]]^1.299 + IF(TblExplore[[#This Row],[Land-DB]]&lt;1520, (-0.001*(TblExplore[[#This Row],[Land-DB]]^2)+1.91*TblExplore[[#This Row],[Land-DB]]-593), 0))*(1+ tech_2_6*Techs!AC96 + tech_2_9*Techs!AF96 + tech_3_7*Techs!AN96 + Overview!$I$33),0)</f>
        <v>-126</v>
      </c>
      <c r="AG96" s="94">
        <f ca="1">_xlfn.FLOOR.MATH(TblExplore[[#This Row],[Land-DB]]/150)+3+tech_2_9_2*TblTech[[#This Row],[2-9]]+tech_3_7_2*TblTech[[#This Row],[3-7]]</f>
        <v>3</v>
      </c>
      <c r="AH96" s="94">
        <f ca="1">SUM(TblExplore[[#This Row],[Plains Explore]:[Water Explore]])*TblExplore[[#This Row],[Plat/acre]]</f>
        <v>0</v>
      </c>
      <c r="AI96" s="94">
        <f ca="1">SUM(TblExplore[[#This Row],[Plains Explore]:[Water Explore]])*TblExplore[[#This Row],[Draftees/acre]]</f>
        <v>0</v>
      </c>
      <c r="AJ96" s="45">
        <f ca="1">_xlfn.FLOOR.MATH(MIN(TblExplore[[#This Row],[Platinum]]/TblExplore[[#This Row],[Plat/acre]],TblExplore[[#This Row],[Draftees]]/TblExplore[[#This Row],[Draftees/acre]]))</f>
        <v>-1528</v>
      </c>
    </row>
    <row r="97" spans="1:36" x14ac:dyDescent="0.2">
      <c r="A97" s="175">
        <f>TblRezone[[#This Row],[Hour]]</f>
        <v>94</v>
      </c>
      <c r="B97" s="214">
        <f ca="1">TblConstr[[#This Row],[Land]]</f>
        <v>110</v>
      </c>
      <c r="C97" s="215"/>
      <c r="D97" s="216">
        <f ca="1">TblConstr[[#This Row],[Plain]]</f>
        <v>60</v>
      </c>
      <c r="E97" s="182">
        <f ca="1">TblConstr[[#This Row],[Forest]]</f>
        <v>0</v>
      </c>
      <c r="F97" s="359">
        <f ca="1">TblConstr[[#This Row],[Mountain]]</f>
        <v>0</v>
      </c>
      <c r="G97" s="363">
        <f ca="1">TblConstr[[#This Row],[Hill]]</f>
        <v>0</v>
      </c>
      <c r="H97" s="367">
        <f ca="1">TblConstr[[#This Row],[Swamp]]</f>
        <v>0</v>
      </c>
      <c r="I97" s="185">
        <f ca="1">TblConstr[[#This Row],[Cavern]]</f>
        <v>0</v>
      </c>
      <c r="J97" s="186">
        <f ca="1">TblConstr[[#This Row],[Water]]</f>
        <v>0</v>
      </c>
      <c r="K97" s="210"/>
      <c r="L97" s="210"/>
      <c r="M97" s="210"/>
      <c r="N97" s="217">
        <f ca="1">TblMili[[#This Row],[Smithies]]</f>
        <v>0</v>
      </c>
      <c r="O97" s="217">
        <f ca="1">TblPop[[#This Row],[Employment]]</f>
        <v>1</v>
      </c>
      <c r="P97" s="217">
        <f ca="1">TblImps[[#This Row],[Population]]</f>
        <v>1</v>
      </c>
      <c r="Q97" s="175">
        <f ca="1">TblExplore[[#This Row],[Land]]</f>
        <v>110</v>
      </c>
      <c r="R97" s="214">
        <f>TblExplore[[#This Row],[Hour]]</f>
        <v>94</v>
      </c>
      <c r="S97" s="218"/>
      <c r="T97" s="179"/>
      <c r="U97" s="179"/>
      <c r="V97" s="179"/>
      <c r="W97" s="179"/>
      <c r="X97" s="179"/>
      <c r="Y97" s="179"/>
      <c r="Z97" s="179"/>
      <c r="AA97" s="159">
        <f ca="1">TblImps[[#This Row],[Real time]]</f>
        <v>46050.874999999774</v>
      </c>
      <c r="AB97" s="94">
        <f ca="1">TblMili[[#This Row],[Draftees]]</f>
        <v>681</v>
      </c>
      <c r="AC97" s="94">
        <f ca="1">TblProd[[#This Row],[Platinum]]</f>
        <v>193592</v>
      </c>
      <c r="AD97" s="215"/>
      <c r="AE97" s="45">
        <f ca="1">TblExplore[[#This Row],[Land]]-TblExplore[[#This Row],[Land Bonus]]*20</f>
        <v>110</v>
      </c>
      <c r="AF97" s="94">
        <f ca="1">ROUND((0.6*TblExplore[[#This Row],[Land-DB]]^1.299 + IF(TblExplore[[#This Row],[Land-DB]]&lt;1520, (-0.001*(TblExplore[[#This Row],[Land-DB]]^2)+1.91*TblExplore[[#This Row],[Land-DB]]-593), 0))*(1+ tech_2_6*Techs!AC97 + tech_2_9*Techs!AF97 + tech_3_7*Techs!AN97 + Overview!$I$33),0)</f>
        <v>-126</v>
      </c>
      <c r="AG97" s="94">
        <f ca="1">_xlfn.FLOOR.MATH(TblExplore[[#This Row],[Land-DB]]/150)+3+tech_2_9_2*TblTech[[#This Row],[2-9]]+tech_3_7_2*TblTech[[#This Row],[3-7]]</f>
        <v>3</v>
      </c>
      <c r="AH97" s="94">
        <f ca="1">SUM(TblExplore[[#This Row],[Plains Explore]:[Water Explore]])*TblExplore[[#This Row],[Plat/acre]]</f>
        <v>0</v>
      </c>
      <c r="AI97" s="94">
        <f ca="1">SUM(TblExplore[[#This Row],[Plains Explore]:[Water Explore]])*TblExplore[[#This Row],[Draftees/acre]]</f>
        <v>0</v>
      </c>
      <c r="AJ97" s="45">
        <f ca="1">_xlfn.FLOOR.MATH(MIN(TblExplore[[#This Row],[Platinum]]/TblExplore[[#This Row],[Plat/acre]],TblExplore[[#This Row],[Draftees]]/TblExplore[[#This Row],[Draftees/acre]]))</f>
        <v>-1537</v>
      </c>
    </row>
    <row r="98" spans="1:36" x14ac:dyDescent="0.2">
      <c r="A98" s="175">
        <f>TblRezone[[#This Row],[Hour]]</f>
        <v>95</v>
      </c>
      <c r="B98" s="214">
        <f ca="1">TblConstr[[#This Row],[Land]]</f>
        <v>110</v>
      </c>
      <c r="C98" s="215"/>
      <c r="D98" s="216">
        <f ca="1">TblConstr[[#This Row],[Plain]]</f>
        <v>60</v>
      </c>
      <c r="E98" s="182">
        <f ca="1">TblConstr[[#This Row],[Forest]]</f>
        <v>0</v>
      </c>
      <c r="F98" s="359">
        <f ca="1">TblConstr[[#This Row],[Mountain]]</f>
        <v>0</v>
      </c>
      <c r="G98" s="363">
        <f ca="1">TblConstr[[#This Row],[Hill]]</f>
        <v>0</v>
      </c>
      <c r="H98" s="367">
        <f ca="1">TblConstr[[#This Row],[Swamp]]</f>
        <v>0</v>
      </c>
      <c r="I98" s="185">
        <f ca="1">TblConstr[[#This Row],[Cavern]]</f>
        <v>0</v>
      </c>
      <c r="J98" s="186">
        <f ca="1">TblConstr[[#This Row],[Water]]</f>
        <v>0</v>
      </c>
      <c r="K98" s="210"/>
      <c r="L98" s="210"/>
      <c r="M98" s="223"/>
      <c r="N98" s="217">
        <f ca="1">TblMili[[#This Row],[Smithies]]</f>
        <v>0</v>
      </c>
      <c r="O98" s="217">
        <f ca="1">TblPop[[#This Row],[Employment]]</f>
        <v>1</v>
      </c>
      <c r="P98" s="217">
        <f ca="1">TblImps[[#This Row],[Population]]</f>
        <v>1</v>
      </c>
      <c r="Q98" s="175">
        <f ca="1">TblExplore[[#This Row],[Land]]</f>
        <v>110</v>
      </c>
      <c r="R98" s="175">
        <f>TblExplore[[#This Row],[Hour]]</f>
        <v>95</v>
      </c>
      <c r="S98" s="218"/>
      <c r="T98" s="179"/>
      <c r="U98" s="179"/>
      <c r="V98" s="179"/>
      <c r="W98" s="179"/>
      <c r="X98" s="179"/>
      <c r="Y98" s="179"/>
      <c r="Z98" s="179"/>
      <c r="AA98" s="159">
        <f ca="1">TblImps[[#This Row],[Real time]]</f>
        <v>46050.916666666439</v>
      </c>
      <c r="AB98" s="94">
        <f ca="1">TblMili[[#This Row],[Draftees]]</f>
        <v>685</v>
      </c>
      <c r="AC98" s="94">
        <f ca="1">TblProd[[#This Row],[Platinum]]</f>
        <v>194658</v>
      </c>
      <c r="AD98" s="215"/>
      <c r="AE98" s="45">
        <f ca="1">TblExplore[[#This Row],[Land]]-TblExplore[[#This Row],[Land Bonus]]*20</f>
        <v>110</v>
      </c>
      <c r="AF98" s="94">
        <f ca="1">ROUND((0.6*TblExplore[[#This Row],[Land-DB]]^1.299 + IF(TblExplore[[#This Row],[Land-DB]]&lt;1520, (-0.001*(TblExplore[[#This Row],[Land-DB]]^2)+1.91*TblExplore[[#This Row],[Land-DB]]-593), 0))*(1+ tech_2_6*Techs!AC98 + tech_2_9*Techs!AF98 + tech_3_7*Techs!AN98 + Overview!$I$33),0)</f>
        <v>-126</v>
      </c>
      <c r="AG98" s="94">
        <f ca="1">_xlfn.FLOOR.MATH(TblExplore[[#This Row],[Land-DB]]/150)+3+tech_2_9_2*TblTech[[#This Row],[2-9]]+tech_3_7_2*TblTech[[#This Row],[3-7]]</f>
        <v>3</v>
      </c>
      <c r="AH98" s="94">
        <f ca="1">SUM(TblExplore[[#This Row],[Plains Explore]:[Water Explore]])*TblExplore[[#This Row],[Plat/acre]]</f>
        <v>0</v>
      </c>
      <c r="AI98" s="94">
        <f ca="1">SUM(TblExplore[[#This Row],[Plains Explore]:[Water Explore]])*TblExplore[[#This Row],[Draftees/acre]]</f>
        <v>0</v>
      </c>
      <c r="AJ98" s="45">
        <f ca="1">_xlfn.FLOOR.MATH(MIN(TblExplore[[#This Row],[Platinum]]/TblExplore[[#This Row],[Plat/acre]],TblExplore[[#This Row],[Draftees]]/TblExplore[[#This Row],[Draftees/acre]]))</f>
        <v>-1545</v>
      </c>
    </row>
    <row r="99" spans="1:36" x14ac:dyDescent="0.2">
      <c r="A99" s="175">
        <f>TblRezone[[#This Row],[Hour]]</f>
        <v>96</v>
      </c>
      <c r="B99" s="214">
        <f ca="1">TblConstr[[#This Row],[Land]]</f>
        <v>110</v>
      </c>
      <c r="C99" s="215"/>
      <c r="D99" s="216">
        <f ca="1">TblConstr[[#This Row],[Plain]]</f>
        <v>60</v>
      </c>
      <c r="E99" s="182">
        <f ca="1">TblConstr[[#This Row],[Forest]]</f>
        <v>0</v>
      </c>
      <c r="F99" s="359">
        <f ca="1">TblConstr[[#This Row],[Mountain]]</f>
        <v>0</v>
      </c>
      <c r="G99" s="363">
        <f ca="1">TblConstr[[#This Row],[Hill]]</f>
        <v>0</v>
      </c>
      <c r="H99" s="367">
        <f ca="1">TblConstr[[#This Row],[Swamp]]</f>
        <v>0</v>
      </c>
      <c r="I99" s="185">
        <f ca="1">TblConstr[[#This Row],[Cavern]]</f>
        <v>0</v>
      </c>
      <c r="J99" s="186">
        <f ca="1">TblConstr[[#This Row],[Water]]</f>
        <v>0</v>
      </c>
      <c r="K99" s="210"/>
      <c r="L99" s="210"/>
      <c r="M99" s="223"/>
      <c r="N99" s="217">
        <f ca="1">TblMili[[#This Row],[Smithies]]</f>
        <v>0</v>
      </c>
      <c r="O99" s="217">
        <f ca="1">TblPop[[#This Row],[Employment]]</f>
        <v>1</v>
      </c>
      <c r="P99" s="217">
        <f ca="1">TblImps[[#This Row],[Population]]</f>
        <v>1</v>
      </c>
      <c r="Q99" s="175">
        <f ca="1">TblExplore[[#This Row],[Land]]</f>
        <v>110</v>
      </c>
      <c r="R99" s="175">
        <f>TblExplore[[#This Row],[Hour]]</f>
        <v>96</v>
      </c>
      <c r="S99" s="218"/>
      <c r="T99" s="158"/>
      <c r="U99" s="179"/>
      <c r="V99" s="179"/>
      <c r="W99" s="179"/>
      <c r="X99" s="179"/>
      <c r="Y99" s="179"/>
      <c r="Z99" s="179"/>
      <c r="AA99" s="159">
        <f ca="1">TblImps[[#This Row],[Real time]]</f>
        <v>46050.958333333103</v>
      </c>
      <c r="AB99" s="94">
        <f ca="1">TblMili[[#This Row],[Draftees]]</f>
        <v>689</v>
      </c>
      <c r="AC99" s="94">
        <f ca="1">TblProd[[#This Row],[Platinum]]</f>
        <v>195713</v>
      </c>
      <c r="AD99" s="215"/>
      <c r="AE99" s="45">
        <f ca="1">TblExplore[[#This Row],[Land]]-TblExplore[[#This Row],[Land Bonus]]*20</f>
        <v>110</v>
      </c>
      <c r="AF99" s="94">
        <f ca="1">ROUND((0.6*TblExplore[[#This Row],[Land-DB]]^1.299 + IF(TblExplore[[#This Row],[Land-DB]]&lt;1520, (-0.001*(TblExplore[[#This Row],[Land-DB]]^2)+1.91*TblExplore[[#This Row],[Land-DB]]-593), 0))*(1+ tech_2_6*Techs!AC99 + tech_2_9*Techs!AF99 + tech_3_7*Techs!AN99 + Overview!$I$33),0)</f>
        <v>-126</v>
      </c>
      <c r="AG99" s="94">
        <f ca="1">_xlfn.FLOOR.MATH(TblExplore[[#This Row],[Land-DB]]/150)+3+tech_2_9_2*TblTech[[#This Row],[2-9]]+tech_3_7_2*TblTech[[#This Row],[3-7]]</f>
        <v>3</v>
      </c>
      <c r="AH99" s="94">
        <f ca="1">SUM(TblExplore[[#This Row],[Plains Explore]:[Water Explore]])*TblExplore[[#This Row],[Plat/acre]]</f>
        <v>0</v>
      </c>
      <c r="AI99" s="94">
        <f ca="1">SUM(TblExplore[[#This Row],[Plains Explore]:[Water Explore]])*TblExplore[[#This Row],[Draftees/acre]]</f>
        <v>0</v>
      </c>
      <c r="AJ99" s="45">
        <f ca="1">_xlfn.FLOOR.MATH(MIN(TblExplore[[#This Row],[Platinum]]/TblExplore[[#This Row],[Plat/acre]],TblExplore[[#This Row],[Draftees]]/TblExplore[[#This Row],[Draftees/acre]]))</f>
        <v>-1554</v>
      </c>
    </row>
    <row r="100" spans="1:36" x14ac:dyDescent="0.2">
      <c r="A100" s="175">
        <f>TblRezone[[#This Row],[Hour]]</f>
        <v>97</v>
      </c>
      <c r="B100" s="214">
        <f ca="1">TblConstr[[#This Row],[Land]]</f>
        <v>110</v>
      </c>
      <c r="C100" s="215"/>
      <c r="D100" s="216">
        <f ca="1">TblConstr[[#This Row],[Plain]]</f>
        <v>60</v>
      </c>
      <c r="E100" s="182">
        <f ca="1">TblConstr[[#This Row],[Forest]]</f>
        <v>0</v>
      </c>
      <c r="F100" s="359">
        <f ca="1">TblConstr[[#This Row],[Mountain]]</f>
        <v>0</v>
      </c>
      <c r="G100" s="363">
        <f ca="1">TblConstr[[#This Row],[Hill]]</f>
        <v>0</v>
      </c>
      <c r="H100" s="367">
        <f ca="1">TblConstr[[#This Row],[Swamp]]</f>
        <v>0</v>
      </c>
      <c r="I100" s="185">
        <f ca="1">TblConstr[[#This Row],[Cavern]]</f>
        <v>0</v>
      </c>
      <c r="J100" s="186">
        <f ca="1">TblConstr[[#This Row],[Water]]</f>
        <v>0</v>
      </c>
      <c r="K100" s="210"/>
      <c r="L100" s="210"/>
      <c r="M100" s="223"/>
      <c r="N100" s="217">
        <f ca="1">TblMili[[#This Row],[Smithies]]</f>
        <v>0</v>
      </c>
      <c r="O100" s="217">
        <f ca="1">TblPop[[#This Row],[Employment]]</f>
        <v>1</v>
      </c>
      <c r="P100" s="217">
        <f ca="1">TblImps[[#This Row],[Population]]</f>
        <v>1</v>
      </c>
      <c r="Q100" s="175">
        <f ca="1">TblExplore[[#This Row],[Land]]</f>
        <v>110</v>
      </c>
      <c r="R100" s="175">
        <f>TblExplore[[#This Row],[Hour]]</f>
        <v>97</v>
      </c>
      <c r="S100" s="218"/>
      <c r="T100" s="179"/>
      <c r="U100" s="179"/>
      <c r="V100" s="179"/>
      <c r="W100" s="179"/>
      <c r="X100" s="179"/>
      <c r="Y100" s="179"/>
      <c r="Z100" s="179"/>
      <c r="AA100" s="159">
        <f ca="1">TblImps[[#This Row],[Real time]]</f>
        <v>46050.999999999767</v>
      </c>
      <c r="AB100" s="94">
        <f ca="1">TblMili[[#This Row],[Draftees]]</f>
        <v>693</v>
      </c>
      <c r="AC100" s="94">
        <f ca="1">TblProd[[#This Row],[Platinum]]</f>
        <v>196757</v>
      </c>
      <c r="AD100" s="215"/>
      <c r="AE100" s="45">
        <f ca="1">TblExplore[[#This Row],[Land]]-TblExplore[[#This Row],[Land Bonus]]*20</f>
        <v>110</v>
      </c>
      <c r="AF100" s="94">
        <f ca="1">ROUND((0.6*TblExplore[[#This Row],[Land-DB]]^1.299 + IF(TblExplore[[#This Row],[Land-DB]]&lt;1520, (-0.001*(TblExplore[[#This Row],[Land-DB]]^2)+1.91*TblExplore[[#This Row],[Land-DB]]-593), 0))*(1+ tech_2_6*Techs!AC100 + tech_2_9*Techs!AF100 + tech_3_7*Techs!AN100 + Overview!$I$33),0)</f>
        <v>-126</v>
      </c>
      <c r="AG100" s="94">
        <f ca="1">_xlfn.FLOOR.MATH(TblExplore[[#This Row],[Land-DB]]/150)+3+tech_2_9_2*TblTech[[#This Row],[2-9]]+tech_3_7_2*TblTech[[#This Row],[3-7]]</f>
        <v>3</v>
      </c>
      <c r="AH100" s="94">
        <f ca="1">SUM(TblExplore[[#This Row],[Plains Explore]:[Water Explore]])*TblExplore[[#This Row],[Plat/acre]]</f>
        <v>0</v>
      </c>
      <c r="AI100" s="94">
        <f ca="1">SUM(TblExplore[[#This Row],[Plains Explore]:[Water Explore]])*TblExplore[[#This Row],[Draftees/acre]]</f>
        <v>0</v>
      </c>
      <c r="AJ100" s="45">
        <f ca="1">_xlfn.FLOOR.MATH(MIN(TblExplore[[#This Row],[Platinum]]/TblExplore[[#This Row],[Plat/acre]],TblExplore[[#This Row],[Draftees]]/TblExplore[[#This Row],[Draftees/acre]]))</f>
        <v>-1562</v>
      </c>
    </row>
    <row r="101" spans="1:36" x14ac:dyDescent="0.2">
      <c r="A101" s="175">
        <f>TblRezone[[#This Row],[Hour]]</f>
        <v>98</v>
      </c>
      <c r="B101" s="214">
        <f ca="1">TblConstr[[#This Row],[Land]]</f>
        <v>110</v>
      </c>
      <c r="C101" s="215"/>
      <c r="D101" s="216">
        <f ca="1">TblConstr[[#This Row],[Plain]]</f>
        <v>60</v>
      </c>
      <c r="E101" s="182">
        <f ca="1">TblConstr[[#This Row],[Forest]]</f>
        <v>0</v>
      </c>
      <c r="F101" s="359">
        <f ca="1">TblConstr[[#This Row],[Mountain]]</f>
        <v>0</v>
      </c>
      <c r="G101" s="363">
        <f ca="1">TblConstr[[#This Row],[Hill]]</f>
        <v>0</v>
      </c>
      <c r="H101" s="367">
        <f ca="1">TblConstr[[#This Row],[Swamp]]</f>
        <v>0</v>
      </c>
      <c r="I101" s="185">
        <f ca="1">TblConstr[[#This Row],[Cavern]]</f>
        <v>0</v>
      </c>
      <c r="J101" s="186">
        <f ca="1">TblConstr[[#This Row],[Water]]</f>
        <v>0</v>
      </c>
      <c r="K101" s="210"/>
      <c r="L101" s="210"/>
      <c r="M101" s="219"/>
      <c r="N101" s="217">
        <f ca="1">TblMili[[#This Row],[Smithies]]</f>
        <v>0</v>
      </c>
      <c r="O101" s="217">
        <f ca="1">TblPop[[#This Row],[Employment]]</f>
        <v>1</v>
      </c>
      <c r="P101" s="217">
        <f ca="1">TblImps[[#This Row],[Population]]</f>
        <v>1</v>
      </c>
      <c r="Q101" s="175">
        <f ca="1">TblExplore[[#This Row],[Land]]</f>
        <v>110</v>
      </c>
      <c r="R101" s="175">
        <f>TblExplore[[#This Row],[Hour]]</f>
        <v>98</v>
      </c>
      <c r="S101" s="218"/>
      <c r="T101" s="158"/>
      <c r="U101" s="179"/>
      <c r="V101" s="179"/>
      <c r="W101" s="179"/>
      <c r="X101" s="179"/>
      <c r="Y101" s="179"/>
      <c r="Z101" s="179"/>
      <c r="AA101" s="159">
        <f ca="1">TblImps[[#This Row],[Real time]]</f>
        <v>46051.041666666431</v>
      </c>
      <c r="AB101" s="94">
        <f ca="1">TblMili[[#This Row],[Draftees]]</f>
        <v>697</v>
      </c>
      <c r="AC101" s="94">
        <f ca="1">TblProd[[#This Row],[Platinum]]</f>
        <v>197791</v>
      </c>
      <c r="AD101" s="215"/>
      <c r="AE101" s="45">
        <f ca="1">TblExplore[[#This Row],[Land]]-TblExplore[[#This Row],[Land Bonus]]*20</f>
        <v>110</v>
      </c>
      <c r="AF101" s="94">
        <f ca="1">ROUND((0.6*TblExplore[[#This Row],[Land-DB]]^1.299 + IF(TblExplore[[#This Row],[Land-DB]]&lt;1520, (-0.001*(TblExplore[[#This Row],[Land-DB]]^2)+1.91*TblExplore[[#This Row],[Land-DB]]-593), 0))*(1+ tech_2_6*Techs!AC101 + tech_2_9*Techs!AF101 + tech_3_7*Techs!AN101 + Overview!$I$33),0)</f>
        <v>-126</v>
      </c>
      <c r="AG101" s="94">
        <f ca="1">_xlfn.FLOOR.MATH(TblExplore[[#This Row],[Land-DB]]/150)+3+tech_2_9_2*TblTech[[#This Row],[2-9]]+tech_3_7_2*TblTech[[#This Row],[3-7]]</f>
        <v>3</v>
      </c>
      <c r="AH101" s="94">
        <f ca="1">SUM(TblExplore[[#This Row],[Plains Explore]:[Water Explore]])*TblExplore[[#This Row],[Plat/acre]]</f>
        <v>0</v>
      </c>
      <c r="AI101" s="94">
        <f ca="1">SUM(TblExplore[[#This Row],[Plains Explore]:[Water Explore]])*TblExplore[[#This Row],[Draftees/acre]]</f>
        <v>0</v>
      </c>
      <c r="AJ101" s="45">
        <f ca="1">_xlfn.FLOOR.MATH(MIN(TblExplore[[#This Row],[Platinum]]/TblExplore[[#This Row],[Plat/acre]],TblExplore[[#This Row],[Draftees]]/TblExplore[[#This Row],[Draftees/acre]]))</f>
        <v>-1570</v>
      </c>
    </row>
    <row r="102" spans="1:36" x14ac:dyDescent="0.2">
      <c r="A102" s="175">
        <f>TblRezone[[#This Row],[Hour]]</f>
        <v>99</v>
      </c>
      <c r="B102" s="214">
        <f ca="1">TblConstr[[#This Row],[Land]]</f>
        <v>110</v>
      </c>
      <c r="C102" s="215"/>
      <c r="D102" s="216">
        <f ca="1">TblConstr[[#This Row],[Plain]]</f>
        <v>60</v>
      </c>
      <c r="E102" s="182">
        <f ca="1">TblConstr[[#This Row],[Forest]]</f>
        <v>0</v>
      </c>
      <c r="F102" s="359">
        <f ca="1">TblConstr[[#This Row],[Mountain]]</f>
        <v>0</v>
      </c>
      <c r="G102" s="363">
        <f ca="1">TblConstr[[#This Row],[Hill]]</f>
        <v>0</v>
      </c>
      <c r="H102" s="367">
        <f ca="1">TblConstr[[#This Row],[Swamp]]</f>
        <v>0</v>
      </c>
      <c r="I102" s="185">
        <f ca="1">TblConstr[[#This Row],[Cavern]]</f>
        <v>0</v>
      </c>
      <c r="J102" s="186">
        <f ca="1">TblConstr[[#This Row],[Water]]</f>
        <v>0</v>
      </c>
      <c r="K102" s="210"/>
      <c r="L102" s="210"/>
      <c r="M102" s="223"/>
      <c r="N102" s="217">
        <f ca="1">TblMili[[#This Row],[Smithies]]</f>
        <v>0</v>
      </c>
      <c r="O102" s="217">
        <f ca="1">TblPop[[#This Row],[Employment]]</f>
        <v>1</v>
      </c>
      <c r="P102" s="217">
        <f ca="1">TblImps[[#This Row],[Population]]</f>
        <v>1</v>
      </c>
      <c r="Q102" s="175">
        <f ca="1">TblExplore[[#This Row],[Land]]</f>
        <v>110</v>
      </c>
      <c r="R102" s="175">
        <f>TblExplore[[#This Row],[Hour]]</f>
        <v>99</v>
      </c>
      <c r="S102" s="218"/>
      <c r="T102" s="158"/>
      <c r="U102" s="179"/>
      <c r="V102" s="179"/>
      <c r="W102" s="179"/>
      <c r="X102" s="179"/>
      <c r="Y102" s="179"/>
      <c r="Z102" s="179"/>
      <c r="AA102" s="159">
        <f ca="1">TblImps[[#This Row],[Real time]]</f>
        <v>46051.083333333096</v>
      </c>
      <c r="AB102" s="94">
        <f ca="1">TblMili[[#This Row],[Draftees]]</f>
        <v>701</v>
      </c>
      <c r="AC102" s="94">
        <f ca="1">TblProd[[#This Row],[Platinum]]</f>
        <v>198814</v>
      </c>
      <c r="AD102" s="215"/>
      <c r="AE102" s="45">
        <f ca="1">TblExplore[[#This Row],[Land]]-TblExplore[[#This Row],[Land Bonus]]*20</f>
        <v>110</v>
      </c>
      <c r="AF102" s="94">
        <f ca="1">ROUND((0.6*TblExplore[[#This Row],[Land-DB]]^1.299 + IF(TblExplore[[#This Row],[Land-DB]]&lt;1520, (-0.001*(TblExplore[[#This Row],[Land-DB]]^2)+1.91*TblExplore[[#This Row],[Land-DB]]-593), 0))*(1+ tech_2_6*Techs!AC102 + tech_2_9*Techs!AF102 + tech_3_7*Techs!AN102 + Overview!$I$33),0)</f>
        <v>-126</v>
      </c>
      <c r="AG102" s="94">
        <f ca="1">_xlfn.FLOOR.MATH(TblExplore[[#This Row],[Land-DB]]/150)+3+tech_2_9_2*TblTech[[#This Row],[2-9]]+tech_3_7_2*TblTech[[#This Row],[3-7]]</f>
        <v>3</v>
      </c>
      <c r="AH102" s="94">
        <f ca="1">SUM(TblExplore[[#This Row],[Plains Explore]:[Water Explore]])*TblExplore[[#This Row],[Plat/acre]]</f>
        <v>0</v>
      </c>
      <c r="AI102" s="94">
        <f ca="1">SUM(TblExplore[[#This Row],[Plains Explore]:[Water Explore]])*TblExplore[[#This Row],[Draftees/acre]]</f>
        <v>0</v>
      </c>
      <c r="AJ102" s="45">
        <f ca="1">_xlfn.FLOOR.MATH(MIN(TblExplore[[#This Row],[Platinum]]/TblExplore[[#This Row],[Plat/acre]],TblExplore[[#This Row],[Draftees]]/TblExplore[[#This Row],[Draftees/acre]]))</f>
        <v>-1578</v>
      </c>
    </row>
    <row r="103" spans="1:36" x14ac:dyDescent="0.2">
      <c r="A103" s="175">
        <f>TblRezone[[#This Row],[Hour]]</f>
        <v>100</v>
      </c>
      <c r="B103" s="214">
        <f ca="1">TblConstr[[#This Row],[Land]]</f>
        <v>110</v>
      </c>
      <c r="C103" s="215"/>
      <c r="D103" s="216">
        <f ca="1">TblConstr[[#This Row],[Plain]]</f>
        <v>60</v>
      </c>
      <c r="E103" s="182">
        <f ca="1">TblConstr[[#This Row],[Forest]]</f>
        <v>0</v>
      </c>
      <c r="F103" s="359">
        <f ca="1">TblConstr[[#This Row],[Mountain]]</f>
        <v>0</v>
      </c>
      <c r="G103" s="363">
        <f ca="1">TblConstr[[#This Row],[Hill]]</f>
        <v>0</v>
      </c>
      <c r="H103" s="367">
        <f ca="1">TblConstr[[#This Row],[Swamp]]</f>
        <v>0</v>
      </c>
      <c r="I103" s="185">
        <f ca="1">TblConstr[[#This Row],[Cavern]]</f>
        <v>0</v>
      </c>
      <c r="J103" s="186">
        <f ca="1">TblConstr[[#This Row],[Water]]</f>
        <v>0</v>
      </c>
      <c r="K103" s="210"/>
      <c r="L103" s="210"/>
      <c r="M103" s="223"/>
      <c r="N103" s="217">
        <f ca="1">TblMili[[#This Row],[Smithies]]</f>
        <v>0</v>
      </c>
      <c r="O103" s="217">
        <f ca="1">TblPop[[#This Row],[Employment]]</f>
        <v>1</v>
      </c>
      <c r="P103" s="217">
        <f ca="1">TblImps[[#This Row],[Population]]</f>
        <v>1</v>
      </c>
      <c r="Q103" s="175">
        <f ca="1">TblExplore[[#This Row],[Land]]</f>
        <v>110</v>
      </c>
      <c r="R103" s="175">
        <f>TblExplore[[#This Row],[Hour]]</f>
        <v>100</v>
      </c>
      <c r="S103" s="218"/>
      <c r="T103" s="158"/>
      <c r="U103" s="179"/>
      <c r="V103" s="179"/>
      <c r="W103" s="179"/>
      <c r="X103" s="179"/>
      <c r="Y103" s="179"/>
      <c r="Z103" s="179"/>
      <c r="AA103" s="159">
        <f ca="1">TblImps[[#This Row],[Real time]]</f>
        <v>46051.12499999976</v>
      </c>
      <c r="AB103" s="94">
        <f ca="1">TblMili[[#This Row],[Draftees]]</f>
        <v>705</v>
      </c>
      <c r="AC103" s="94">
        <f ca="1">TblProd[[#This Row],[Platinum]]</f>
        <v>199826</v>
      </c>
      <c r="AD103" s="215"/>
      <c r="AE103" s="45">
        <f ca="1">TblExplore[[#This Row],[Land]]-TblExplore[[#This Row],[Land Bonus]]*20</f>
        <v>110</v>
      </c>
      <c r="AF103" s="94">
        <f ca="1">ROUND((0.6*TblExplore[[#This Row],[Land-DB]]^1.299 + IF(TblExplore[[#This Row],[Land-DB]]&lt;1520, (-0.001*(TblExplore[[#This Row],[Land-DB]]^2)+1.91*TblExplore[[#This Row],[Land-DB]]-593), 0))*(1+ tech_2_6*Techs!AC103 + tech_2_9*Techs!AF103 + tech_3_7*Techs!AN103 + Overview!$I$33),0)</f>
        <v>-126</v>
      </c>
      <c r="AG103" s="94">
        <f ca="1">_xlfn.FLOOR.MATH(TblExplore[[#This Row],[Land-DB]]/150)+3+tech_2_9_2*TblTech[[#This Row],[2-9]]+tech_3_7_2*TblTech[[#This Row],[3-7]]</f>
        <v>3</v>
      </c>
      <c r="AH103" s="94">
        <f ca="1">SUM(TblExplore[[#This Row],[Plains Explore]:[Water Explore]])*TblExplore[[#This Row],[Plat/acre]]</f>
        <v>0</v>
      </c>
      <c r="AI103" s="94">
        <f ca="1">SUM(TblExplore[[#This Row],[Plains Explore]:[Water Explore]])*TblExplore[[#This Row],[Draftees/acre]]</f>
        <v>0</v>
      </c>
      <c r="AJ103" s="45">
        <f ca="1">_xlfn.FLOOR.MATH(MIN(TblExplore[[#This Row],[Platinum]]/TblExplore[[#This Row],[Plat/acre]],TblExplore[[#This Row],[Draftees]]/TblExplore[[#This Row],[Draftees/acre]]))</f>
        <v>-1586</v>
      </c>
    </row>
    <row r="104" spans="1:36" x14ac:dyDescent="0.2">
      <c r="A104" s="175">
        <f>TblRezone[[#This Row],[Hour]]</f>
        <v>101</v>
      </c>
      <c r="B104" s="214">
        <f ca="1">TblConstr[[#This Row],[Land]]</f>
        <v>110</v>
      </c>
      <c r="C104" s="215"/>
      <c r="D104" s="216">
        <f ca="1">TblConstr[[#This Row],[Plain]]</f>
        <v>60</v>
      </c>
      <c r="E104" s="182">
        <f ca="1">TblConstr[[#This Row],[Forest]]</f>
        <v>0</v>
      </c>
      <c r="F104" s="359">
        <f ca="1">TblConstr[[#This Row],[Mountain]]</f>
        <v>0</v>
      </c>
      <c r="G104" s="363">
        <f ca="1">TblConstr[[#This Row],[Hill]]</f>
        <v>0</v>
      </c>
      <c r="H104" s="367">
        <f ca="1">TblConstr[[#This Row],[Swamp]]</f>
        <v>0</v>
      </c>
      <c r="I104" s="185">
        <f ca="1">TblConstr[[#This Row],[Cavern]]</f>
        <v>0</v>
      </c>
      <c r="J104" s="186">
        <f ca="1">TblConstr[[#This Row],[Water]]</f>
        <v>0</v>
      </c>
      <c r="K104" s="210"/>
      <c r="L104" s="210"/>
      <c r="M104" s="223"/>
      <c r="N104" s="217">
        <f ca="1">TblMili[[#This Row],[Smithies]]</f>
        <v>0</v>
      </c>
      <c r="O104" s="217">
        <f ca="1">TblPop[[#This Row],[Employment]]</f>
        <v>1</v>
      </c>
      <c r="P104" s="217">
        <f ca="1">TblImps[[#This Row],[Population]]</f>
        <v>1</v>
      </c>
      <c r="Q104" s="175">
        <f ca="1">TblExplore[[#This Row],[Land]]</f>
        <v>110</v>
      </c>
      <c r="R104" s="175">
        <f>TblExplore[[#This Row],[Hour]]</f>
        <v>101</v>
      </c>
      <c r="S104" s="218"/>
      <c r="T104" s="158"/>
      <c r="U104" s="179"/>
      <c r="V104" s="179"/>
      <c r="W104" s="179"/>
      <c r="X104" s="179"/>
      <c r="Y104" s="179"/>
      <c r="Z104" s="179"/>
      <c r="AA104" s="159">
        <f ca="1">TblImps[[#This Row],[Real time]]</f>
        <v>46051.166666666424</v>
      </c>
      <c r="AB104" s="94">
        <f ca="1">TblMili[[#This Row],[Draftees]]</f>
        <v>709</v>
      </c>
      <c r="AC104" s="94">
        <f ca="1">TblProd[[#This Row],[Platinum]]</f>
        <v>200827</v>
      </c>
      <c r="AD104" s="215"/>
      <c r="AE104" s="45">
        <f ca="1">TblExplore[[#This Row],[Land]]-TblExplore[[#This Row],[Land Bonus]]*20</f>
        <v>110</v>
      </c>
      <c r="AF104" s="94">
        <f ca="1">ROUND((0.6*TblExplore[[#This Row],[Land-DB]]^1.299 + IF(TblExplore[[#This Row],[Land-DB]]&lt;1520, (-0.001*(TblExplore[[#This Row],[Land-DB]]^2)+1.91*TblExplore[[#This Row],[Land-DB]]-593), 0))*(1+ tech_2_6*Techs!AC104 + tech_2_9*Techs!AF104 + tech_3_7*Techs!AN104 + Overview!$I$33),0)</f>
        <v>-126</v>
      </c>
      <c r="AG104" s="94">
        <f ca="1">_xlfn.FLOOR.MATH(TblExplore[[#This Row],[Land-DB]]/150)+3+tech_2_9_2*TblTech[[#This Row],[2-9]]+tech_3_7_2*TblTech[[#This Row],[3-7]]</f>
        <v>3</v>
      </c>
      <c r="AH104" s="94">
        <f ca="1">SUM(TblExplore[[#This Row],[Plains Explore]:[Water Explore]])*TblExplore[[#This Row],[Plat/acre]]</f>
        <v>0</v>
      </c>
      <c r="AI104" s="94">
        <f ca="1">SUM(TblExplore[[#This Row],[Plains Explore]:[Water Explore]])*TblExplore[[#This Row],[Draftees/acre]]</f>
        <v>0</v>
      </c>
      <c r="AJ104" s="45">
        <f ca="1">_xlfn.FLOOR.MATH(MIN(TblExplore[[#This Row],[Platinum]]/TblExplore[[#This Row],[Plat/acre]],TblExplore[[#This Row],[Draftees]]/TblExplore[[#This Row],[Draftees/acre]]))</f>
        <v>-1594</v>
      </c>
    </row>
    <row r="105" spans="1:36" x14ac:dyDescent="0.2">
      <c r="A105" s="175">
        <f>TblRezone[[#This Row],[Hour]]</f>
        <v>102</v>
      </c>
      <c r="B105" s="214">
        <f ca="1">TblConstr[[#This Row],[Land]]</f>
        <v>110</v>
      </c>
      <c r="C105" s="215"/>
      <c r="D105" s="216">
        <f ca="1">TblConstr[[#This Row],[Plain]]</f>
        <v>60</v>
      </c>
      <c r="E105" s="182">
        <f ca="1">TblConstr[[#This Row],[Forest]]</f>
        <v>0</v>
      </c>
      <c r="F105" s="359">
        <f ca="1">TblConstr[[#This Row],[Mountain]]</f>
        <v>0</v>
      </c>
      <c r="G105" s="363">
        <f ca="1">TblConstr[[#This Row],[Hill]]</f>
        <v>0</v>
      </c>
      <c r="H105" s="367">
        <f ca="1">TblConstr[[#This Row],[Swamp]]</f>
        <v>0</v>
      </c>
      <c r="I105" s="185">
        <f ca="1">TblConstr[[#This Row],[Cavern]]</f>
        <v>0</v>
      </c>
      <c r="J105" s="186">
        <f ca="1">TblConstr[[#This Row],[Water]]</f>
        <v>0</v>
      </c>
      <c r="K105" s="210"/>
      <c r="L105" s="210"/>
      <c r="M105" s="210"/>
      <c r="N105" s="217">
        <f ca="1">TblMili[[#This Row],[Smithies]]</f>
        <v>0</v>
      </c>
      <c r="O105" s="217">
        <f ca="1">TblPop[[#This Row],[Employment]]</f>
        <v>1</v>
      </c>
      <c r="P105" s="217">
        <f ca="1">TblImps[[#This Row],[Population]]</f>
        <v>1</v>
      </c>
      <c r="Q105" s="175">
        <f ca="1">TblExplore[[#This Row],[Land]]</f>
        <v>110</v>
      </c>
      <c r="R105" s="175">
        <f>TblExplore[[#This Row],[Hour]]</f>
        <v>102</v>
      </c>
      <c r="S105" s="218"/>
      <c r="T105" s="179"/>
      <c r="U105" s="179"/>
      <c r="V105" s="179"/>
      <c r="W105" s="179"/>
      <c r="X105" s="179"/>
      <c r="Y105" s="179"/>
      <c r="Z105" s="179"/>
      <c r="AA105" s="159">
        <f ca="1">TblImps[[#This Row],[Real time]]</f>
        <v>46051.208333333088</v>
      </c>
      <c r="AB105" s="94">
        <f ca="1">TblMili[[#This Row],[Draftees]]</f>
        <v>713</v>
      </c>
      <c r="AC105" s="94">
        <f ca="1">TblProd[[#This Row],[Platinum]]</f>
        <v>201817</v>
      </c>
      <c r="AD105" s="215"/>
      <c r="AE105" s="45">
        <f ca="1">TblExplore[[#This Row],[Land]]-TblExplore[[#This Row],[Land Bonus]]*20</f>
        <v>110</v>
      </c>
      <c r="AF105" s="94">
        <f ca="1">ROUND((0.6*TblExplore[[#This Row],[Land-DB]]^1.299 + IF(TblExplore[[#This Row],[Land-DB]]&lt;1520, (-0.001*(TblExplore[[#This Row],[Land-DB]]^2)+1.91*TblExplore[[#This Row],[Land-DB]]-593), 0))*(1+ tech_2_6*Techs!AC105 + tech_2_9*Techs!AF105 + tech_3_7*Techs!AN105 + Overview!$I$33),0)</f>
        <v>-126</v>
      </c>
      <c r="AG105" s="94">
        <f ca="1">_xlfn.FLOOR.MATH(TblExplore[[#This Row],[Land-DB]]/150)+3+tech_2_9_2*TblTech[[#This Row],[2-9]]+tech_3_7_2*TblTech[[#This Row],[3-7]]</f>
        <v>3</v>
      </c>
      <c r="AH105" s="94">
        <f ca="1">SUM(TblExplore[[#This Row],[Plains Explore]:[Water Explore]])*TblExplore[[#This Row],[Plat/acre]]</f>
        <v>0</v>
      </c>
      <c r="AI105" s="94">
        <f ca="1">SUM(TblExplore[[#This Row],[Plains Explore]:[Water Explore]])*TblExplore[[#This Row],[Draftees/acre]]</f>
        <v>0</v>
      </c>
      <c r="AJ105" s="45">
        <f ca="1">_xlfn.FLOOR.MATH(MIN(TblExplore[[#This Row],[Platinum]]/TblExplore[[#This Row],[Plat/acre]],TblExplore[[#This Row],[Draftees]]/TblExplore[[#This Row],[Draftees/acre]]))</f>
        <v>-1602</v>
      </c>
    </row>
    <row r="106" spans="1:36" x14ac:dyDescent="0.2">
      <c r="A106" s="175">
        <f>TblRezone[[#This Row],[Hour]]</f>
        <v>103</v>
      </c>
      <c r="B106" s="214">
        <f ca="1">TblConstr[[#This Row],[Land]]</f>
        <v>110</v>
      </c>
      <c r="C106" s="215"/>
      <c r="D106" s="216">
        <f ca="1">TblConstr[[#This Row],[Plain]]</f>
        <v>60</v>
      </c>
      <c r="E106" s="182">
        <f ca="1">TblConstr[[#This Row],[Forest]]</f>
        <v>0</v>
      </c>
      <c r="F106" s="359">
        <f ca="1">TblConstr[[#This Row],[Mountain]]</f>
        <v>0</v>
      </c>
      <c r="G106" s="363">
        <f ca="1">TblConstr[[#This Row],[Hill]]</f>
        <v>0</v>
      </c>
      <c r="H106" s="367">
        <f ca="1">TblConstr[[#This Row],[Swamp]]</f>
        <v>0</v>
      </c>
      <c r="I106" s="185">
        <f ca="1">TblConstr[[#This Row],[Cavern]]</f>
        <v>0</v>
      </c>
      <c r="J106" s="186">
        <f ca="1">TblConstr[[#This Row],[Water]]</f>
        <v>0</v>
      </c>
      <c r="K106" s="210"/>
      <c r="L106" s="210"/>
      <c r="M106" s="227"/>
      <c r="N106" s="217">
        <f ca="1">TblMili[[#This Row],[Smithies]]</f>
        <v>0</v>
      </c>
      <c r="O106" s="217">
        <f ca="1">TblPop[[#This Row],[Employment]]</f>
        <v>1</v>
      </c>
      <c r="P106" s="217">
        <f ca="1">TblImps[[#This Row],[Population]]</f>
        <v>1</v>
      </c>
      <c r="Q106" s="175">
        <f ca="1">TblExplore[[#This Row],[Land]]</f>
        <v>110</v>
      </c>
      <c r="R106" s="175">
        <f>TblExplore[[#This Row],[Hour]]</f>
        <v>103</v>
      </c>
      <c r="S106" s="218"/>
      <c r="T106" s="179"/>
      <c r="U106" s="179"/>
      <c r="V106" s="179"/>
      <c r="W106" s="179"/>
      <c r="X106" s="179"/>
      <c r="Y106" s="179"/>
      <c r="Z106" s="179"/>
      <c r="AA106" s="159">
        <f ca="1">TblImps[[#This Row],[Real time]]</f>
        <v>46051.249999999753</v>
      </c>
      <c r="AB106" s="94">
        <f ca="1">TblMili[[#This Row],[Draftees]]</f>
        <v>717</v>
      </c>
      <c r="AC106" s="94">
        <f ca="1">TblProd[[#This Row],[Platinum]]</f>
        <v>202797</v>
      </c>
      <c r="AD106" s="215"/>
      <c r="AE106" s="45">
        <f ca="1">TblExplore[[#This Row],[Land]]-TblExplore[[#This Row],[Land Bonus]]*20</f>
        <v>110</v>
      </c>
      <c r="AF106" s="94">
        <f ca="1">ROUND((0.6*TblExplore[[#This Row],[Land-DB]]^1.299 + IF(TblExplore[[#This Row],[Land-DB]]&lt;1520, (-0.001*(TblExplore[[#This Row],[Land-DB]]^2)+1.91*TblExplore[[#This Row],[Land-DB]]-593), 0))*(1+ tech_2_6*Techs!AC106 + tech_2_9*Techs!AF106 + tech_3_7*Techs!AN106 + Overview!$I$33),0)</f>
        <v>-126</v>
      </c>
      <c r="AG106" s="94">
        <f ca="1">_xlfn.FLOOR.MATH(TblExplore[[#This Row],[Land-DB]]/150)+3+tech_2_9_2*TblTech[[#This Row],[2-9]]+tech_3_7_2*TblTech[[#This Row],[3-7]]</f>
        <v>3</v>
      </c>
      <c r="AH106" s="94">
        <f ca="1">SUM(TblExplore[[#This Row],[Plains Explore]:[Water Explore]])*TblExplore[[#This Row],[Plat/acre]]</f>
        <v>0</v>
      </c>
      <c r="AI106" s="94">
        <f ca="1">SUM(TblExplore[[#This Row],[Plains Explore]:[Water Explore]])*TblExplore[[#This Row],[Draftees/acre]]</f>
        <v>0</v>
      </c>
      <c r="AJ106" s="45">
        <f ca="1">_xlfn.FLOOR.MATH(MIN(TblExplore[[#This Row],[Platinum]]/TblExplore[[#This Row],[Plat/acre]],TblExplore[[#This Row],[Draftees]]/TblExplore[[#This Row],[Draftees/acre]]))</f>
        <v>-1610</v>
      </c>
    </row>
    <row r="107" spans="1:36" x14ac:dyDescent="0.2">
      <c r="A107" s="175">
        <f>TblRezone[[#This Row],[Hour]]</f>
        <v>104</v>
      </c>
      <c r="B107" s="214">
        <f ca="1">TblConstr[[#This Row],[Land]]</f>
        <v>110</v>
      </c>
      <c r="C107" s="215"/>
      <c r="D107" s="216">
        <f ca="1">TblConstr[[#This Row],[Plain]]</f>
        <v>60</v>
      </c>
      <c r="E107" s="182">
        <f ca="1">TblConstr[[#This Row],[Forest]]</f>
        <v>0</v>
      </c>
      <c r="F107" s="359">
        <f ca="1">TblConstr[[#This Row],[Mountain]]</f>
        <v>0</v>
      </c>
      <c r="G107" s="363">
        <f ca="1">TblConstr[[#This Row],[Hill]]</f>
        <v>0</v>
      </c>
      <c r="H107" s="367">
        <f ca="1">TblConstr[[#This Row],[Swamp]]</f>
        <v>0</v>
      </c>
      <c r="I107" s="185">
        <f ca="1">TblConstr[[#This Row],[Cavern]]</f>
        <v>0</v>
      </c>
      <c r="J107" s="186">
        <f ca="1">TblConstr[[#This Row],[Water]]</f>
        <v>0</v>
      </c>
      <c r="K107" s="210"/>
      <c r="L107" s="210"/>
      <c r="M107" s="227"/>
      <c r="N107" s="217">
        <f ca="1">TblMili[[#This Row],[Smithies]]</f>
        <v>0</v>
      </c>
      <c r="O107" s="217">
        <f ca="1">TblPop[[#This Row],[Employment]]</f>
        <v>1</v>
      </c>
      <c r="P107" s="217">
        <f ca="1">TblImps[[#This Row],[Population]]</f>
        <v>1</v>
      </c>
      <c r="Q107" s="175">
        <f ca="1">TblExplore[[#This Row],[Land]]</f>
        <v>110</v>
      </c>
      <c r="R107" s="175">
        <f>TblExplore[[#This Row],[Hour]]</f>
        <v>104</v>
      </c>
      <c r="S107" s="218"/>
      <c r="T107" s="179"/>
      <c r="U107" s="179"/>
      <c r="V107" s="179"/>
      <c r="W107" s="179"/>
      <c r="X107" s="179"/>
      <c r="Y107" s="179"/>
      <c r="Z107" s="179"/>
      <c r="AA107" s="159">
        <f ca="1">TblImps[[#This Row],[Real time]]</f>
        <v>46051.291666666417</v>
      </c>
      <c r="AB107" s="94">
        <f ca="1">TblMili[[#This Row],[Draftees]]</f>
        <v>721</v>
      </c>
      <c r="AC107" s="94">
        <f ca="1">TblProd[[#This Row],[Platinum]]</f>
        <v>203766</v>
      </c>
      <c r="AD107" s="215"/>
      <c r="AE107" s="45">
        <f ca="1">TblExplore[[#This Row],[Land]]-TblExplore[[#This Row],[Land Bonus]]*20</f>
        <v>110</v>
      </c>
      <c r="AF107" s="94">
        <f ca="1">ROUND((0.6*TblExplore[[#This Row],[Land-DB]]^1.299 + IF(TblExplore[[#This Row],[Land-DB]]&lt;1520, (-0.001*(TblExplore[[#This Row],[Land-DB]]^2)+1.91*TblExplore[[#This Row],[Land-DB]]-593), 0))*(1+ tech_2_6*Techs!AC107 + tech_2_9*Techs!AF107 + tech_3_7*Techs!AN107 + Overview!$I$33),0)</f>
        <v>-126</v>
      </c>
      <c r="AG107" s="94">
        <f ca="1">_xlfn.FLOOR.MATH(TblExplore[[#This Row],[Land-DB]]/150)+3+tech_2_9_2*TblTech[[#This Row],[2-9]]+tech_3_7_2*TblTech[[#This Row],[3-7]]</f>
        <v>3</v>
      </c>
      <c r="AH107" s="94">
        <f ca="1">SUM(TblExplore[[#This Row],[Plains Explore]:[Water Explore]])*TblExplore[[#This Row],[Plat/acre]]</f>
        <v>0</v>
      </c>
      <c r="AI107" s="94">
        <f ca="1">SUM(TblExplore[[#This Row],[Plains Explore]:[Water Explore]])*TblExplore[[#This Row],[Draftees/acre]]</f>
        <v>0</v>
      </c>
      <c r="AJ107" s="45">
        <f ca="1">_xlfn.FLOOR.MATH(MIN(TblExplore[[#This Row],[Platinum]]/TblExplore[[#This Row],[Plat/acre]],TblExplore[[#This Row],[Draftees]]/TblExplore[[#This Row],[Draftees/acre]]))</f>
        <v>-1618</v>
      </c>
    </row>
    <row r="108" spans="1:36" x14ac:dyDescent="0.2">
      <c r="A108" s="175">
        <f>TblRezone[[#This Row],[Hour]]</f>
        <v>105</v>
      </c>
      <c r="B108" s="214">
        <f ca="1">TblConstr[[#This Row],[Land]]</f>
        <v>110</v>
      </c>
      <c r="C108" s="215"/>
      <c r="D108" s="216">
        <f ca="1">TblConstr[[#This Row],[Plain]]</f>
        <v>60</v>
      </c>
      <c r="E108" s="182">
        <f ca="1">TblConstr[[#This Row],[Forest]]</f>
        <v>0</v>
      </c>
      <c r="F108" s="359">
        <f ca="1">TblConstr[[#This Row],[Mountain]]</f>
        <v>0</v>
      </c>
      <c r="G108" s="363">
        <f ca="1">TblConstr[[#This Row],[Hill]]</f>
        <v>0</v>
      </c>
      <c r="H108" s="367">
        <f ca="1">TblConstr[[#This Row],[Swamp]]</f>
        <v>0</v>
      </c>
      <c r="I108" s="185">
        <f ca="1">TblConstr[[#This Row],[Cavern]]</f>
        <v>0</v>
      </c>
      <c r="J108" s="186">
        <f ca="1">TblConstr[[#This Row],[Water]]</f>
        <v>0</v>
      </c>
      <c r="K108" s="210"/>
      <c r="L108" s="210"/>
      <c r="M108" s="210"/>
      <c r="N108" s="217">
        <f ca="1">TblMili[[#This Row],[Smithies]]</f>
        <v>0</v>
      </c>
      <c r="O108" s="217">
        <f ca="1">TblPop[[#This Row],[Employment]]</f>
        <v>1</v>
      </c>
      <c r="P108" s="217">
        <f ca="1">TblImps[[#This Row],[Population]]</f>
        <v>1</v>
      </c>
      <c r="Q108" s="175">
        <f ca="1">TblExplore[[#This Row],[Land]]</f>
        <v>110</v>
      </c>
      <c r="R108" s="175">
        <f>TblExplore[[#This Row],[Hour]]</f>
        <v>105</v>
      </c>
      <c r="S108" s="218"/>
      <c r="T108" s="179"/>
      <c r="U108" s="179"/>
      <c r="V108" s="179"/>
      <c r="W108" s="179"/>
      <c r="X108" s="179"/>
      <c r="Y108" s="179"/>
      <c r="Z108" s="179"/>
      <c r="AA108" s="159">
        <f ca="1">TblImps[[#This Row],[Real time]]</f>
        <v>46051.333333333081</v>
      </c>
      <c r="AB108" s="94">
        <f ca="1">TblMili[[#This Row],[Draftees]]</f>
        <v>725</v>
      </c>
      <c r="AC108" s="94">
        <f ca="1">TblProd[[#This Row],[Platinum]]</f>
        <v>204724</v>
      </c>
      <c r="AD108" s="215"/>
      <c r="AE108" s="45">
        <f ca="1">TblExplore[[#This Row],[Land]]-TblExplore[[#This Row],[Land Bonus]]*20</f>
        <v>110</v>
      </c>
      <c r="AF108" s="94">
        <f ca="1">ROUND((0.6*TblExplore[[#This Row],[Land-DB]]^1.299 + IF(TblExplore[[#This Row],[Land-DB]]&lt;1520, (-0.001*(TblExplore[[#This Row],[Land-DB]]^2)+1.91*TblExplore[[#This Row],[Land-DB]]-593), 0))*(1+ tech_2_6*Techs!AC108 + tech_2_9*Techs!AF108 + tech_3_7*Techs!AN108 + Overview!$I$33),0)</f>
        <v>-126</v>
      </c>
      <c r="AG108" s="94">
        <f ca="1">_xlfn.FLOOR.MATH(TblExplore[[#This Row],[Land-DB]]/150)+3+tech_2_9_2*TblTech[[#This Row],[2-9]]+tech_3_7_2*TblTech[[#This Row],[3-7]]</f>
        <v>3</v>
      </c>
      <c r="AH108" s="94">
        <f ca="1">SUM(TblExplore[[#This Row],[Plains Explore]:[Water Explore]])*TblExplore[[#This Row],[Plat/acre]]</f>
        <v>0</v>
      </c>
      <c r="AI108" s="94">
        <f ca="1">SUM(TblExplore[[#This Row],[Plains Explore]:[Water Explore]])*TblExplore[[#This Row],[Draftees/acre]]</f>
        <v>0</v>
      </c>
      <c r="AJ108" s="45">
        <f ca="1">_xlfn.FLOOR.MATH(MIN(TblExplore[[#This Row],[Platinum]]/TblExplore[[#This Row],[Plat/acre]],TblExplore[[#This Row],[Draftees]]/TblExplore[[#This Row],[Draftees/acre]]))</f>
        <v>-1625</v>
      </c>
    </row>
    <row r="109" spans="1:36" x14ac:dyDescent="0.2">
      <c r="A109" s="175">
        <f>TblRezone[[#This Row],[Hour]]</f>
        <v>106</v>
      </c>
      <c r="B109" s="214">
        <f ca="1">TblConstr[[#This Row],[Land]]</f>
        <v>110</v>
      </c>
      <c r="C109" s="215"/>
      <c r="D109" s="216">
        <f ca="1">TblConstr[[#This Row],[Plain]]</f>
        <v>60</v>
      </c>
      <c r="E109" s="182">
        <f ca="1">TblConstr[[#This Row],[Forest]]</f>
        <v>0</v>
      </c>
      <c r="F109" s="359">
        <f ca="1">TblConstr[[#This Row],[Mountain]]</f>
        <v>0</v>
      </c>
      <c r="G109" s="363">
        <f ca="1">TblConstr[[#This Row],[Hill]]</f>
        <v>0</v>
      </c>
      <c r="H109" s="367">
        <f ca="1">TblConstr[[#This Row],[Swamp]]</f>
        <v>0</v>
      </c>
      <c r="I109" s="185">
        <f ca="1">TblConstr[[#This Row],[Cavern]]</f>
        <v>0</v>
      </c>
      <c r="J109" s="186">
        <f ca="1">TblConstr[[#This Row],[Water]]</f>
        <v>0</v>
      </c>
      <c r="K109" s="210"/>
      <c r="L109" s="210"/>
      <c r="M109" s="210"/>
      <c r="N109" s="217">
        <f ca="1">TblMili[[#This Row],[Smithies]]</f>
        <v>0</v>
      </c>
      <c r="O109" s="217">
        <f ca="1">TblPop[[#This Row],[Employment]]</f>
        <v>1</v>
      </c>
      <c r="P109" s="217">
        <f ca="1">TblImps[[#This Row],[Population]]</f>
        <v>1</v>
      </c>
      <c r="Q109" s="175">
        <f ca="1">TblExplore[[#This Row],[Land]]</f>
        <v>110</v>
      </c>
      <c r="R109" s="175">
        <f>TblExplore[[#This Row],[Hour]]</f>
        <v>106</v>
      </c>
      <c r="S109" s="218"/>
      <c r="T109" s="179"/>
      <c r="U109" s="179"/>
      <c r="V109" s="179"/>
      <c r="W109" s="179"/>
      <c r="X109" s="179"/>
      <c r="Y109" s="179"/>
      <c r="Z109" s="179"/>
      <c r="AA109" s="159">
        <f ca="1">TblImps[[#This Row],[Real time]]</f>
        <v>46051.374999999745</v>
      </c>
      <c r="AB109" s="94">
        <f ca="1">TblMili[[#This Row],[Draftees]]</f>
        <v>729</v>
      </c>
      <c r="AC109" s="94">
        <f ca="1">TblProd[[#This Row],[Platinum]]</f>
        <v>205671</v>
      </c>
      <c r="AD109" s="215"/>
      <c r="AE109" s="45">
        <f ca="1">TblExplore[[#This Row],[Land]]-TblExplore[[#This Row],[Land Bonus]]*20</f>
        <v>110</v>
      </c>
      <c r="AF109" s="94">
        <f ca="1">ROUND((0.6*TblExplore[[#This Row],[Land-DB]]^1.299 + IF(TblExplore[[#This Row],[Land-DB]]&lt;1520, (-0.001*(TblExplore[[#This Row],[Land-DB]]^2)+1.91*TblExplore[[#This Row],[Land-DB]]-593), 0))*(1+ tech_2_6*Techs!AC109 + tech_2_9*Techs!AF109 + tech_3_7*Techs!AN109 + Overview!$I$33),0)</f>
        <v>-126</v>
      </c>
      <c r="AG109" s="94">
        <f ca="1">_xlfn.FLOOR.MATH(TblExplore[[#This Row],[Land-DB]]/150)+3+tech_2_9_2*TblTech[[#This Row],[2-9]]+tech_3_7_2*TblTech[[#This Row],[3-7]]</f>
        <v>3</v>
      </c>
      <c r="AH109" s="94">
        <f ca="1">SUM(TblExplore[[#This Row],[Plains Explore]:[Water Explore]])*TblExplore[[#This Row],[Plat/acre]]</f>
        <v>0</v>
      </c>
      <c r="AI109" s="94">
        <f ca="1">SUM(TblExplore[[#This Row],[Plains Explore]:[Water Explore]])*TblExplore[[#This Row],[Draftees/acre]]</f>
        <v>0</v>
      </c>
      <c r="AJ109" s="45">
        <f ca="1">_xlfn.FLOOR.MATH(MIN(TblExplore[[#This Row],[Platinum]]/TblExplore[[#This Row],[Plat/acre]],TblExplore[[#This Row],[Draftees]]/TblExplore[[#This Row],[Draftees/acre]]))</f>
        <v>-1633</v>
      </c>
    </row>
    <row r="110" spans="1:36" x14ac:dyDescent="0.2">
      <c r="A110" s="175">
        <f>TblRezone[[#This Row],[Hour]]</f>
        <v>107</v>
      </c>
      <c r="B110" s="214">
        <f ca="1">TblConstr[[#This Row],[Land]]</f>
        <v>110</v>
      </c>
      <c r="C110" s="215"/>
      <c r="D110" s="216">
        <f ca="1">TblConstr[[#This Row],[Plain]]</f>
        <v>60</v>
      </c>
      <c r="E110" s="182">
        <f ca="1">TblConstr[[#This Row],[Forest]]</f>
        <v>0</v>
      </c>
      <c r="F110" s="359">
        <f ca="1">TblConstr[[#This Row],[Mountain]]</f>
        <v>0</v>
      </c>
      <c r="G110" s="363">
        <f ca="1">TblConstr[[#This Row],[Hill]]</f>
        <v>0</v>
      </c>
      <c r="H110" s="367">
        <f ca="1">TblConstr[[#This Row],[Swamp]]</f>
        <v>0</v>
      </c>
      <c r="I110" s="185">
        <f ca="1">TblConstr[[#This Row],[Cavern]]</f>
        <v>0</v>
      </c>
      <c r="J110" s="186">
        <f ca="1">TblConstr[[#This Row],[Water]]</f>
        <v>0</v>
      </c>
      <c r="K110" s="210"/>
      <c r="L110" s="210"/>
      <c r="M110" s="210"/>
      <c r="N110" s="217">
        <f ca="1">TblMili[[#This Row],[Smithies]]</f>
        <v>0</v>
      </c>
      <c r="O110" s="217">
        <f ca="1">TblPop[[#This Row],[Employment]]</f>
        <v>1</v>
      </c>
      <c r="P110" s="217">
        <f ca="1">TblImps[[#This Row],[Population]]</f>
        <v>1</v>
      </c>
      <c r="Q110" s="175">
        <f ca="1">TblExplore[[#This Row],[Land]]</f>
        <v>110</v>
      </c>
      <c r="R110" s="175">
        <f>TblExplore[[#This Row],[Hour]]</f>
        <v>107</v>
      </c>
      <c r="S110" s="218"/>
      <c r="T110" s="158"/>
      <c r="U110" s="179"/>
      <c r="V110" s="179"/>
      <c r="W110" s="179"/>
      <c r="X110" s="179"/>
      <c r="Y110" s="179"/>
      <c r="Z110" s="179"/>
      <c r="AA110" s="159">
        <f ca="1">TblImps[[#This Row],[Real time]]</f>
        <v>46051.41666666641</v>
      </c>
      <c r="AB110" s="94">
        <f ca="1">TblMili[[#This Row],[Draftees]]</f>
        <v>732</v>
      </c>
      <c r="AC110" s="94">
        <f ca="1">TblProd[[#This Row],[Platinum]]</f>
        <v>206607</v>
      </c>
      <c r="AD110" s="215"/>
      <c r="AE110" s="45">
        <f ca="1">TblExplore[[#This Row],[Land]]-TblExplore[[#This Row],[Land Bonus]]*20</f>
        <v>110</v>
      </c>
      <c r="AF110" s="94">
        <f ca="1">ROUND((0.6*TblExplore[[#This Row],[Land-DB]]^1.299 + IF(TblExplore[[#This Row],[Land-DB]]&lt;1520, (-0.001*(TblExplore[[#This Row],[Land-DB]]^2)+1.91*TblExplore[[#This Row],[Land-DB]]-593), 0))*(1+ tech_2_6*Techs!AC110 + tech_2_9*Techs!AF110 + tech_3_7*Techs!AN110 + Overview!$I$33),0)</f>
        <v>-126</v>
      </c>
      <c r="AG110" s="94">
        <f ca="1">_xlfn.FLOOR.MATH(TblExplore[[#This Row],[Land-DB]]/150)+3+tech_2_9_2*TblTech[[#This Row],[2-9]]+tech_3_7_2*TblTech[[#This Row],[3-7]]</f>
        <v>3</v>
      </c>
      <c r="AH110" s="94">
        <f ca="1">SUM(TblExplore[[#This Row],[Plains Explore]:[Water Explore]])*TblExplore[[#This Row],[Plat/acre]]</f>
        <v>0</v>
      </c>
      <c r="AI110" s="94">
        <f ca="1">SUM(TblExplore[[#This Row],[Plains Explore]:[Water Explore]])*TblExplore[[#This Row],[Draftees/acre]]</f>
        <v>0</v>
      </c>
      <c r="AJ110" s="45">
        <f ca="1">_xlfn.FLOOR.MATH(MIN(TblExplore[[#This Row],[Platinum]]/TblExplore[[#This Row],[Plat/acre]],TblExplore[[#This Row],[Draftees]]/TblExplore[[#This Row],[Draftees/acre]]))</f>
        <v>-1640</v>
      </c>
    </row>
    <row r="111" spans="1:36" x14ac:dyDescent="0.2">
      <c r="A111" s="175">
        <f>TblRezone[[#This Row],[Hour]]</f>
        <v>108</v>
      </c>
      <c r="B111" s="214">
        <f ca="1">TblConstr[[#This Row],[Land]]</f>
        <v>110</v>
      </c>
      <c r="C111" s="215"/>
      <c r="D111" s="216">
        <f ca="1">TblConstr[[#This Row],[Plain]]</f>
        <v>60</v>
      </c>
      <c r="E111" s="182">
        <f ca="1">TblConstr[[#This Row],[Forest]]</f>
        <v>0</v>
      </c>
      <c r="F111" s="359">
        <f ca="1">TblConstr[[#This Row],[Mountain]]</f>
        <v>0</v>
      </c>
      <c r="G111" s="363">
        <f ca="1">TblConstr[[#This Row],[Hill]]</f>
        <v>0</v>
      </c>
      <c r="H111" s="367">
        <f ca="1">TblConstr[[#This Row],[Swamp]]</f>
        <v>0</v>
      </c>
      <c r="I111" s="185">
        <f ca="1">TblConstr[[#This Row],[Cavern]]</f>
        <v>0</v>
      </c>
      <c r="J111" s="186">
        <f ca="1">TblConstr[[#This Row],[Water]]</f>
        <v>0</v>
      </c>
      <c r="K111" s="210"/>
      <c r="L111" s="210"/>
      <c r="M111" s="210"/>
      <c r="N111" s="217">
        <f ca="1">TblMili[[#This Row],[Smithies]]</f>
        <v>0</v>
      </c>
      <c r="O111" s="217">
        <f ca="1">TblPop[[#This Row],[Employment]]</f>
        <v>1</v>
      </c>
      <c r="P111" s="217">
        <f ca="1">TblImps[[#This Row],[Population]]</f>
        <v>1</v>
      </c>
      <c r="Q111" s="175">
        <f ca="1">TblExplore[[#This Row],[Land]]</f>
        <v>110</v>
      </c>
      <c r="R111" s="175">
        <f>TblExplore[[#This Row],[Hour]]</f>
        <v>108</v>
      </c>
      <c r="S111" s="218"/>
      <c r="T111" s="179"/>
      <c r="U111" s="179"/>
      <c r="V111" s="179"/>
      <c r="W111" s="179"/>
      <c r="X111" s="179"/>
      <c r="Y111" s="179"/>
      <c r="Z111" s="179"/>
      <c r="AA111" s="159">
        <f ca="1">TblImps[[#This Row],[Real time]]</f>
        <v>46051.458333333074</v>
      </c>
      <c r="AB111" s="94">
        <f ca="1">TblMili[[#This Row],[Draftees]]</f>
        <v>735</v>
      </c>
      <c r="AC111" s="94">
        <f ca="1">TblProd[[#This Row],[Platinum]]</f>
        <v>207535</v>
      </c>
      <c r="AD111" s="215"/>
      <c r="AE111" s="45">
        <f ca="1">TblExplore[[#This Row],[Land]]-TblExplore[[#This Row],[Land Bonus]]*20</f>
        <v>110</v>
      </c>
      <c r="AF111" s="94">
        <f ca="1">ROUND((0.6*TblExplore[[#This Row],[Land-DB]]^1.299 + IF(TblExplore[[#This Row],[Land-DB]]&lt;1520, (-0.001*(TblExplore[[#This Row],[Land-DB]]^2)+1.91*TblExplore[[#This Row],[Land-DB]]-593), 0))*(1+ tech_2_6*Techs!AC111 + tech_2_9*Techs!AF111 + tech_3_7*Techs!AN111 + Overview!$I$33),0)</f>
        <v>-126</v>
      </c>
      <c r="AG111" s="94">
        <f ca="1">_xlfn.FLOOR.MATH(TblExplore[[#This Row],[Land-DB]]/150)+3+tech_2_9_2*TblTech[[#This Row],[2-9]]+tech_3_7_2*TblTech[[#This Row],[3-7]]</f>
        <v>3</v>
      </c>
      <c r="AH111" s="94">
        <f ca="1">SUM(TblExplore[[#This Row],[Plains Explore]:[Water Explore]])*TblExplore[[#This Row],[Plat/acre]]</f>
        <v>0</v>
      </c>
      <c r="AI111" s="94">
        <f ca="1">SUM(TblExplore[[#This Row],[Plains Explore]:[Water Explore]])*TblExplore[[#This Row],[Draftees/acre]]</f>
        <v>0</v>
      </c>
      <c r="AJ111" s="45">
        <f ca="1">_xlfn.FLOOR.MATH(MIN(TblExplore[[#This Row],[Platinum]]/TblExplore[[#This Row],[Plat/acre]],TblExplore[[#This Row],[Draftees]]/TblExplore[[#This Row],[Draftees/acre]]))</f>
        <v>-1648</v>
      </c>
    </row>
    <row r="112" spans="1:36" ht="12.75" customHeight="1" x14ac:dyDescent="0.2">
      <c r="A112" s="175">
        <f>TblRezone[[#This Row],[Hour]]</f>
        <v>109</v>
      </c>
      <c r="B112" s="214">
        <f ca="1">TblConstr[[#This Row],[Land]]</f>
        <v>110</v>
      </c>
      <c r="C112" s="215"/>
      <c r="D112" s="216">
        <f ca="1">TblConstr[[#This Row],[Plain]]</f>
        <v>60</v>
      </c>
      <c r="E112" s="182">
        <f ca="1">TblConstr[[#This Row],[Forest]]</f>
        <v>0</v>
      </c>
      <c r="F112" s="359">
        <f ca="1">TblConstr[[#This Row],[Mountain]]</f>
        <v>0</v>
      </c>
      <c r="G112" s="363">
        <f ca="1">TblConstr[[#This Row],[Hill]]</f>
        <v>0</v>
      </c>
      <c r="H112" s="367">
        <f ca="1">TblConstr[[#This Row],[Swamp]]</f>
        <v>0</v>
      </c>
      <c r="I112" s="185">
        <f ca="1">TblConstr[[#This Row],[Cavern]]</f>
        <v>0</v>
      </c>
      <c r="J112" s="186">
        <f ca="1">TblConstr[[#This Row],[Water]]</f>
        <v>0</v>
      </c>
      <c r="K112" s="210"/>
      <c r="L112" s="210"/>
      <c r="M112" s="210"/>
      <c r="N112" s="217">
        <f ca="1">TblMili[[#This Row],[Smithies]]</f>
        <v>0</v>
      </c>
      <c r="O112" s="217">
        <f ca="1">TblPop[[#This Row],[Employment]]</f>
        <v>1</v>
      </c>
      <c r="P112" s="217">
        <f ca="1">TblImps[[#This Row],[Population]]</f>
        <v>1</v>
      </c>
      <c r="Q112" s="175">
        <f ca="1">TblExplore[[#This Row],[Land]]</f>
        <v>110</v>
      </c>
      <c r="R112" s="175">
        <f>TblExplore[[#This Row],[Hour]]</f>
        <v>109</v>
      </c>
      <c r="S112" s="218"/>
      <c r="T112" s="179"/>
      <c r="U112" s="179"/>
      <c r="V112" s="179"/>
      <c r="W112" s="179"/>
      <c r="X112" s="179"/>
      <c r="Y112" s="179"/>
      <c r="Z112" s="179"/>
      <c r="AA112" s="159">
        <f ca="1">TblImps[[#This Row],[Real time]]</f>
        <v>46051.499999999738</v>
      </c>
      <c r="AB112" s="94">
        <f ca="1">TblMili[[#This Row],[Draftees]]</f>
        <v>738</v>
      </c>
      <c r="AC112" s="94">
        <f ca="1">TblProd[[#This Row],[Platinum]]</f>
        <v>208455</v>
      </c>
      <c r="AD112" s="215"/>
      <c r="AE112" s="45">
        <f ca="1">TblExplore[[#This Row],[Land]]-TblExplore[[#This Row],[Land Bonus]]*20</f>
        <v>110</v>
      </c>
      <c r="AF112" s="94">
        <f ca="1">ROUND((0.6*TblExplore[[#This Row],[Land-DB]]^1.299 + IF(TblExplore[[#This Row],[Land-DB]]&lt;1520, (-0.001*(TblExplore[[#This Row],[Land-DB]]^2)+1.91*TblExplore[[#This Row],[Land-DB]]-593), 0))*(1+ tech_2_6*Techs!AC112 + tech_2_9*Techs!AF112 + tech_3_7*Techs!AN112 + Overview!$I$33),0)</f>
        <v>-126</v>
      </c>
      <c r="AG112" s="94">
        <f ca="1">_xlfn.FLOOR.MATH(TblExplore[[#This Row],[Land-DB]]/150)+3+tech_2_9_2*TblTech[[#This Row],[2-9]]+tech_3_7_2*TblTech[[#This Row],[3-7]]</f>
        <v>3</v>
      </c>
      <c r="AH112" s="94">
        <f ca="1">SUM(TblExplore[[#This Row],[Plains Explore]:[Water Explore]])*TblExplore[[#This Row],[Plat/acre]]</f>
        <v>0</v>
      </c>
      <c r="AI112" s="94">
        <f ca="1">SUM(TblExplore[[#This Row],[Plains Explore]:[Water Explore]])*TblExplore[[#This Row],[Draftees/acre]]</f>
        <v>0</v>
      </c>
      <c r="AJ112" s="45">
        <f ca="1">_xlfn.FLOOR.MATH(MIN(TblExplore[[#This Row],[Platinum]]/TblExplore[[#This Row],[Plat/acre]],TblExplore[[#This Row],[Draftees]]/TblExplore[[#This Row],[Draftees/acre]]))</f>
        <v>-1655</v>
      </c>
    </row>
    <row r="113" spans="1:36" x14ac:dyDescent="0.2">
      <c r="A113" s="175">
        <f>TblRezone[[#This Row],[Hour]]</f>
        <v>110</v>
      </c>
      <c r="B113" s="214">
        <f ca="1">TblConstr[[#This Row],[Land]]</f>
        <v>110</v>
      </c>
      <c r="C113" s="215"/>
      <c r="D113" s="216">
        <f ca="1">TblConstr[[#This Row],[Plain]]</f>
        <v>60</v>
      </c>
      <c r="E113" s="182">
        <f ca="1">TblConstr[[#This Row],[Forest]]</f>
        <v>0</v>
      </c>
      <c r="F113" s="359">
        <f ca="1">TblConstr[[#This Row],[Mountain]]</f>
        <v>0</v>
      </c>
      <c r="G113" s="363">
        <f ca="1">TblConstr[[#This Row],[Hill]]</f>
        <v>0</v>
      </c>
      <c r="H113" s="367">
        <f ca="1">TblConstr[[#This Row],[Swamp]]</f>
        <v>0</v>
      </c>
      <c r="I113" s="185">
        <f ca="1">TblConstr[[#This Row],[Cavern]]</f>
        <v>0</v>
      </c>
      <c r="J113" s="186">
        <f ca="1">TblConstr[[#This Row],[Water]]</f>
        <v>0</v>
      </c>
      <c r="K113" s="210"/>
      <c r="L113" s="210"/>
      <c r="M113" s="210"/>
      <c r="N113" s="217">
        <f ca="1">TblMili[[#This Row],[Smithies]]</f>
        <v>0</v>
      </c>
      <c r="O113" s="217">
        <f ca="1">TblPop[[#This Row],[Employment]]</f>
        <v>1</v>
      </c>
      <c r="P113" s="217">
        <f ca="1">TblImps[[#This Row],[Population]]</f>
        <v>1</v>
      </c>
      <c r="Q113" s="175">
        <f ca="1">TblExplore[[#This Row],[Land]]</f>
        <v>110</v>
      </c>
      <c r="R113" s="175">
        <f>TblExplore[[#This Row],[Hour]]</f>
        <v>110</v>
      </c>
      <c r="S113" s="218"/>
      <c r="T113" s="179"/>
      <c r="U113" s="179"/>
      <c r="V113" s="179"/>
      <c r="W113" s="179"/>
      <c r="X113" s="179"/>
      <c r="Y113" s="179"/>
      <c r="Z113" s="179"/>
      <c r="AA113" s="159">
        <f ca="1">TblImps[[#This Row],[Real time]]</f>
        <v>46051.541666666402</v>
      </c>
      <c r="AB113" s="94">
        <f ca="1">TblMili[[#This Row],[Draftees]]</f>
        <v>741</v>
      </c>
      <c r="AC113" s="94">
        <f ca="1">TblProd[[#This Row],[Platinum]]</f>
        <v>209367</v>
      </c>
      <c r="AD113" s="215"/>
      <c r="AE113" s="45">
        <f ca="1">TblExplore[[#This Row],[Land]]-TblExplore[[#This Row],[Land Bonus]]*20</f>
        <v>110</v>
      </c>
      <c r="AF113" s="94">
        <f ca="1">ROUND((0.6*TblExplore[[#This Row],[Land-DB]]^1.299 + IF(TblExplore[[#This Row],[Land-DB]]&lt;1520, (-0.001*(TblExplore[[#This Row],[Land-DB]]^2)+1.91*TblExplore[[#This Row],[Land-DB]]-593), 0))*(1+ tech_2_6*Techs!AC113 + tech_2_9*Techs!AF113 + tech_3_7*Techs!AN113 + Overview!$I$33),0)</f>
        <v>-126</v>
      </c>
      <c r="AG113" s="94">
        <f ca="1">_xlfn.FLOOR.MATH(TblExplore[[#This Row],[Land-DB]]/150)+3+tech_2_9_2*TblTech[[#This Row],[2-9]]+tech_3_7_2*TblTech[[#This Row],[3-7]]</f>
        <v>3</v>
      </c>
      <c r="AH113" s="94">
        <f ca="1">SUM(TblExplore[[#This Row],[Plains Explore]:[Water Explore]])*TblExplore[[#This Row],[Plat/acre]]</f>
        <v>0</v>
      </c>
      <c r="AI113" s="94">
        <f ca="1">SUM(TblExplore[[#This Row],[Plains Explore]:[Water Explore]])*TblExplore[[#This Row],[Draftees/acre]]</f>
        <v>0</v>
      </c>
      <c r="AJ113" s="45">
        <f ca="1">_xlfn.FLOOR.MATH(MIN(TblExplore[[#This Row],[Platinum]]/TblExplore[[#This Row],[Plat/acre]],TblExplore[[#This Row],[Draftees]]/TblExplore[[#This Row],[Draftees/acre]]))</f>
        <v>-1662</v>
      </c>
    </row>
    <row r="114" spans="1:36" x14ac:dyDescent="0.2">
      <c r="A114" s="175">
        <f>TblRezone[[#This Row],[Hour]]</f>
        <v>111</v>
      </c>
      <c r="B114" s="214">
        <f ca="1">TblConstr[[#This Row],[Land]]</f>
        <v>110</v>
      </c>
      <c r="C114" s="215"/>
      <c r="D114" s="216">
        <f ca="1">TblConstr[[#This Row],[Plain]]</f>
        <v>60</v>
      </c>
      <c r="E114" s="182">
        <f ca="1">TblConstr[[#This Row],[Forest]]</f>
        <v>0</v>
      </c>
      <c r="F114" s="359">
        <f ca="1">TblConstr[[#This Row],[Mountain]]</f>
        <v>0</v>
      </c>
      <c r="G114" s="363">
        <f ca="1">TblConstr[[#This Row],[Hill]]</f>
        <v>0</v>
      </c>
      <c r="H114" s="367">
        <f ca="1">TblConstr[[#This Row],[Swamp]]</f>
        <v>0</v>
      </c>
      <c r="I114" s="185">
        <f ca="1">TblConstr[[#This Row],[Cavern]]</f>
        <v>0</v>
      </c>
      <c r="J114" s="186">
        <f ca="1">TblConstr[[#This Row],[Water]]</f>
        <v>0</v>
      </c>
      <c r="K114" s="210"/>
      <c r="L114" s="210"/>
      <c r="M114" s="210"/>
      <c r="N114" s="217">
        <f ca="1">TblMili[[#This Row],[Smithies]]</f>
        <v>0</v>
      </c>
      <c r="O114" s="217">
        <f ca="1">TblPop[[#This Row],[Employment]]</f>
        <v>1</v>
      </c>
      <c r="P114" s="217">
        <f ca="1">TblImps[[#This Row],[Population]]</f>
        <v>1</v>
      </c>
      <c r="Q114" s="175">
        <f ca="1">TblExplore[[#This Row],[Land]]</f>
        <v>110</v>
      </c>
      <c r="R114" s="175">
        <f>TblExplore[[#This Row],[Hour]]</f>
        <v>111</v>
      </c>
      <c r="S114" s="218"/>
      <c r="T114" s="179"/>
      <c r="U114" s="179"/>
      <c r="V114" s="179"/>
      <c r="W114" s="179"/>
      <c r="X114" s="179"/>
      <c r="Y114" s="179"/>
      <c r="Z114" s="179"/>
      <c r="AA114" s="159">
        <f ca="1">TblImps[[#This Row],[Real time]]</f>
        <v>46051.583333333067</v>
      </c>
      <c r="AB114" s="94">
        <f ca="1">TblMili[[#This Row],[Draftees]]</f>
        <v>744</v>
      </c>
      <c r="AC114" s="94">
        <f ca="1">TblProd[[#This Row],[Platinum]]</f>
        <v>210271</v>
      </c>
      <c r="AD114" s="215"/>
      <c r="AE114" s="45">
        <f ca="1">TblExplore[[#This Row],[Land]]-TblExplore[[#This Row],[Land Bonus]]*20</f>
        <v>110</v>
      </c>
      <c r="AF114" s="94">
        <f ca="1">ROUND((0.6*TblExplore[[#This Row],[Land-DB]]^1.299 + IF(TblExplore[[#This Row],[Land-DB]]&lt;1520, (-0.001*(TblExplore[[#This Row],[Land-DB]]^2)+1.91*TblExplore[[#This Row],[Land-DB]]-593), 0))*(1+ tech_2_6*Techs!AC114 + tech_2_9*Techs!AF114 + tech_3_7*Techs!AN114 + Overview!$I$33),0)</f>
        <v>-126</v>
      </c>
      <c r="AG114" s="94">
        <f ca="1">_xlfn.FLOOR.MATH(TblExplore[[#This Row],[Land-DB]]/150)+3+tech_2_9_2*TblTech[[#This Row],[2-9]]+tech_3_7_2*TblTech[[#This Row],[3-7]]</f>
        <v>3</v>
      </c>
      <c r="AH114" s="94">
        <f ca="1">SUM(TblExplore[[#This Row],[Plains Explore]:[Water Explore]])*TblExplore[[#This Row],[Plat/acre]]</f>
        <v>0</v>
      </c>
      <c r="AI114" s="94">
        <f ca="1">SUM(TblExplore[[#This Row],[Plains Explore]:[Water Explore]])*TblExplore[[#This Row],[Draftees/acre]]</f>
        <v>0</v>
      </c>
      <c r="AJ114" s="45">
        <f ca="1">_xlfn.FLOOR.MATH(MIN(TblExplore[[#This Row],[Platinum]]/TblExplore[[#This Row],[Plat/acre]],TblExplore[[#This Row],[Draftees]]/TblExplore[[#This Row],[Draftees/acre]]))</f>
        <v>-1669</v>
      </c>
    </row>
    <row r="115" spans="1:36" x14ac:dyDescent="0.2">
      <c r="A115" s="175">
        <f>TblRezone[[#This Row],[Hour]]</f>
        <v>112</v>
      </c>
      <c r="B115" s="214">
        <f ca="1">TblConstr[[#This Row],[Land]]</f>
        <v>110</v>
      </c>
      <c r="C115" s="215"/>
      <c r="D115" s="216">
        <f ca="1">TblConstr[[#This Row],[Plain]]</f>
        <v>60</v>
      </c>
      <c r="E115" s="182">
        <f ca="1">TblConstr[[#This Row],[Forest]]</f>
        <v>0</v>
      </c>
      <c r="F115" s="359">
        <f ca="1">TblConstr[[#This Row],[Mountain]]</f>
        <v>0</v>
      </c>
      <c r="G115" s="363">
        <f ca="1">TblConstr[[#This Row],[Hill]]</f>
        <v>0</v>
      </c>
      <c r="H115" s="367">
        <f ca="1">TblConstr[[#This Row],[Swamp]]</f>
        <v>0</v>
      </c>
      <c r="I115" s="185">
        <f ca="1">TblConstr[[#This Row],[Cavern]]</f>
        <v>0</v>
      </c>
      <c r="J115" s="186">
        <f ca="1">TblConstr[[#This Row],[Water]]</f>
        <v>0</v>
      </c>
      <c r="K115" s="210"/>
      <c r="L115" s="210"/>
      <c r="M115" s="210"/>
      <c r="N115" s="217">
        <f ca="1">TblMili[[#This Row],[Smithies]]</f>
        <v>0</v>
      </c>
      <c r="O115" s="217">
        <f ca="1">TblPop[[#This Row],[Employment]]</f>
        <v>1</v>
      </c>
      <c r="P115" s="217">
        <f ca="1">TblImps[[#This Row],[Population]]</f>
        <v>1</v>
      </c>
      <c r="Q115" s="175">
        <f ca="1">TblExplore[[#This Row],[Land]]</f>
        <v>110</v>
      </c>
      <c r="R115" s="175">
        <f>TblExplore[[#This Row],[Hour]]</f>
        <v>112</v>
      </c>
      <c r="S115" s="218"/>
      <c r="T115" s="179"/>
      <c r="U115" s="179"/>
      <c r="V115" s="179"/>
      <c r="W115" s="179"/>
      <c r="X115" s="179"/>
      <c r="Y115" s="179"/>
      <c r="Z115" s="179"/>
      <c r="AA115" s="159">
        <f ca="1">TblImps[[#This Row],[Real time]]</f>
        <v>46051.624999999731</v>
      </c>
      <c r="AB115" s="94">
        <f ca="1">TblMili[[#This Row],[Draftees]]</f>
        <v>747</v>
      </c>
      <c r="AC115" s="94">
        <f ca="1">TblProd[[#This Row],[Platinum]]</f>
        <v>211167</v>
      </c>
      <c r="AD115" s="215"/>
      <c r="AE115" s="45">
        <f ca="1">TblExplore[[#This Row],[Land]]-TblExplore[[#This Row],[Land Bonus]]*20</f>
        <v>110</v>
      </c>
      <c r="AF115" s="94">
        <f ca="1">ROUND((0.6*TblExplore[[#This Row],[Land-DB]]^1.299 + IF(TblExplore[[#This Row],[Land-DB]]&lt;1520, (-0.001*(TblExplore[[#This Row],[Land-DB]]^2)+1.91*TblExplore[[#This Row],[Land-DB]]-593), 0))*(1+ tech_2_6*Techs!AC115 + tech_2_9*Techs!AF115 + tech_3_7*Techs!AN115 + Overview!$I$33),0)</f>
        <v>-126</v>
      </c>
      <c r="AG115" s="94">
        <f ca="1">_xlfn.FLOOR.MATH(TblExplore[[#This Row],[Land-DB]]/150)+3+tech_2_9_2*TblTech[[#This Row],[2-9]]+tech_3_7_2*TblTech[[#This Row],[3-7]]</f>
        <v>3</v>
      </c>
      <c r="AH115" s="94">
        <f ca="1">SUM(TblExplore[[#This Row],[Plains Explore]:[Water Explore]])*TblExplore[[#This Row],[Plat/acre]]</f>
        <v>0</v>
      </c>
      <c r="AI115" s="94">
        <f ca="1">SUM(TblExplore[[#This Row],[Plains Explore]:[Water Explore]])*TblExplore[[#This Row],[Draftees/acre]]</f>
        <v>0</v>
      </c>
      <c r="AJ115" s="45">
        <f ca="1">_xlfn.FLOOR.MATH(MIN(TblExplore[[#This Row],[Platinum]]/TblExplore[[#This Row],[Plat/acre]],TblExplore[[#This Row],[Draftees]]/TblExplore[[#This Row],[Draftees/acre]]))</f>
        <v>-1676</v>
      </c>
    </row>
    <row r="116" spans="1:36" x14ac:dyDescent="0.2">
      <c r="A116" s="175">
        <f>TblRezone[[#This Row],[Hour]]</f>
        <v>113</v>
      </c>
      <c r="B116" s="214">
        <f ca="1">TblConstr[[#This Row],[Land]]</f>
        <v>110</v>
      </c>
      <c r="C116" s="215"/>
      <c r="D116" s="216">
        <f ca="1">TblConstr[[#This Row],[Plain]]</f>
        <v>60</v>
      </c>
      <c r="E116" s="182">
        <f ca="1">TblConstr[[#This Row],[Forest]]</f>
        <v>0</v>
      </c>
      <c r="F116" s="359">
        <f ca="1">TblConstr[[#This Row],[Mountain]]</f>
        <v>0</v>
      </c>
      <c r="G116" s="363">
        <f ca="1">TblConstr[[#This Row],[Hill]]</f>
        <v>0</v>
      </c>
      <c r="H116" s="367">
        <f ca="1">TblConstr[[#This Row],[Swamp]]</f>
        <v>0</v>
      </c>
      <c r="I116" s="185">
        <f ca="1">TblConstr[[#This Row],[Cavern]]</f>
        <v>0</v>
      </c>
      <c r="J116" s="186">
        <f ca="1">TblConstr[[#This Row],[Water]]</f>
        <v>0</v>
      </c>
      <c r="K116" s="210"/>
      <c r="L116" s="210"/>
      <c r="M116" s="210"/>
      <c r="N116" s="217">
        <f ca="1">TblMili[[#This Row],[Smithies]]</f>
        <v>0</v>
      </c>
      <c r="O116" s="217">
        <f ca="1">TblPop[[#This Row],[Employment]]</f>
        <v>1</v>
      </c>
      <c r="P116" s="217">
        <f ca="1">TblImps[[#This Row],[Population]]</f>
        <v>1</v>
      </c>
      <c r="Q116" s="175">
        <f ca="1">TblExplore[[#This Row],[Land]]</f>
        <v>110</v>
      </c>
      <c r="R116" s="175">
        <f>TblExplore[[#This Row],[Hour]]</f>
        <v>113</v>
      </c>
      <c r="S116" s="218"/>
      <c r="T116" s="179"/>
      <c r="U116" s="179"/>
      <c r="V116" s="179"/>
      <c r="W116" s="179"/>
      <c r="X116" s="179"/>
      <c r="Y116" s="179"/>
      <c r="Z116" s="179"/>
      <c r="AA116" s="159">
        <f ca="1">TblImps[[#This Row],[Real time]]</f>
        <v>46051.666666666395</v>
      </c>
      <c r="AB116" s="94">
        <f ca="1">TblMili[[#This Row],[Draftees]]</f>
        <v>750</v>
      </c>
      <c r="AC116" s="94">
        <f ca="1">TblProd[[#This Row],[Platinum]]</f>
        <v>212055</v>
      </c>
      <c r="AD116" s="215"/>
      <c r="AE116" s="45">
        <f ca="1">TblExplore[[#This Row],[Land]]-TblExplore[[#This Row],[Land Bonus]]*20</f>
        <v>110</v>
      </c>
      <c r="AF116" s="94">
        <f ca="1">ROUND((0.6*TblExplore[[#This Row],[Land-DB]]^1.299 + IF(TblExplore[[#This Row],[Land-DB]]&lt;1520, (-0.001*(TblExplore[[#This Row],[Land-DB]]^2)+1.91*TblExplore[[#This Row],[Land-DB]]-593), 0))*(1+ tech_2_6*Techs!AC116 + tech_2_9*Techs!AF116 + tech_3_7*Techs!AN116 + Overview!$I$33),0)</f>
        <v>-126</v>
      </c>
      <c r="AG116" s="94">
        <f ca="1">_xlfn.FLOOR.MATH(TblExplore[[#This Row],[Land-DB]]/150)+3+tech_2_9_2*TblTech[[#This Row],[2-9]]+tech_3_7_2*TblTech[[#This Row],[3-7]]</f>
        <v>3</v>
      </c>
      <c r="AH116" s="94">
        <f ca="1">SUM(TblExplore[[#This Row],[Plains Explore]:[Water Explore]])*TblExplore[[#This Row],[Plat/acre]]</f>
        <v>0</v>
      </c>
      <c r="AI116" s="94">
        <f ca="1">SUM(TblExplore[[#This Row],[Plains Explore]:[Water Explore]])*TblExplore[[#This Row],[Draftees/acre]]</f>
        <v>0</v>
      </c>
      <c r="AJ116" s="45">
        <f ca="1">_xlfn.FLOOR.MATH(MIN(TblExplore[[#This Row],[Platinum]]/TblExplore[[#This Row],[Plat/acre]],TblExplore[[#This Row],[Draftees]]/TblExplore[[#This Row],[Draftees/acre]]))</f>
        <v>-1683</v>
      </c>
    </row>
    <row r="117" spans="1:36" x14ac:dyDescent="0.2">
      <c r="A117" s="175">
        <f>TblRezone[[#This Row],[Hour]]</f>
        <v>114</v>
      </c>
      <c r="B117" s="214">
        <f ca="1">TblConstr[[#This Row],[Land]]</f>
        <v>110</v>
      </c>
      <c r="C117" s="215"/>
      <c r="D117" s="216">
        <f ca="1">TblConstr[[#This Row],[Plain]]</f>
        <v>60</v>
      </c>
      <c r="E117" s="182">
        <f ca="1">TblConstr[[#This Row],[Forest]]</f>
        <v>0</v>
      </c>
      <c r="F117" s="359">
        <f ca="1">TblConstr[[#This Row],[Mountain]]</f>
        <v>0</v>
      </c>
      <c r="G117" s="363">
        <f ca="1">TblConstr[[#This Row],[Hill]]</f>
        <v>0</v>
      </c>
      <c r="H117" s="367">
        <f ca="1">TblConstr[[#This Row],[Swamp]]</f>
        <v>0</v>
      </c>
      <c r="I117" s="185">
        <f ca="1">TblConstr[[#This Row],[Cavern]]</f>
        <v>0</v>
      </c>
      <c r="J117" s="186">
        <f ca="1">TblConstr[[#This Row],[Water]]</f>
        <v>0</v>
      </c>
      <c r="K117" s="210"/>
      <c r="L117" s="210"/>
      <c r="M117" s="210"/>
      <c r="N117" s="217">
        <f ca="1">TblMili[[#This Row],[Smithies]]</f>
        <v>0</v>
      </c>
      <c r="O117" s="217">
        <f ca="1">TblPop[[#This Row],[Employment]]</f>
        <v>1</v>
      </c>
      <c r="P117" s="217">
        <f ca="1">TblImps[[#This Row],[Population]]</f>
        <v>1</v>
      </c>
      <c r="Q117" s="175">
        <f ca="1">TblExplore[[#This Row],[Land]]</f>
        <v>110</v>
      </c>
      <c r="R117" s="175">
        <f>TblExplore[[#This Row],[Hour]]</f>
        <v>114</v>
      </c>
      <c r="S117" s="218"/>
      <c r="T117" s="179"/>
      <c r="U117" s="179"/>
      <c r="V117" s="179"/>
      <c r="W117" s="179"/>
      <c r="X117" s="179"/>
      <c r="Y117" s="179"/>
      <c r="Z117" s="179"/>
      <c r="AA117" s="159">
        <f ca="1">TblImps[[#This Row],[Real time]]</f>
        <v>46051.708333333059</v>
      </c>
      <c r="AB117" s="94">
        <f ca="1">TblMili[[#This Row],[Draftees]]</f>
        <v>753</v>
      </c>
      <c r="AC117" s="94">
        <f ca="1">TblProd[[#This Row],[Platinum]]</f>
        <v>212935</v>
      </c>
      <c r="AD117" s="215"/>
      <c r="AE117" s="45">
        <f ca="1">TblExplore[[#This Row],[Land]]-TblExplore[[#This Row],[Land Bonus]]*20</f>
        <v>110</v>
      </c>
      <c r="AF117" s="94">
        <f ca="1">ROUND((0.6*TblExplore[[#This Row],[Land-DB]]^1.299 + IF(TblExplore[[#This Row],[Land-DB]]&lt;1520, (-0.001*(TblExplore[[#This Row],[Land-DB]]^2)+1.91*TblExplore[[#This Row],[Land-DB]]-593), 0))*(1+ tech_2_6*Techs!AC117 + tech_2_9*Techs!AF117 + tech_3_7*Techs!AN117 + Overview!$I$33),0)</f>
        <v>-126</v>
      </c>
      <c r="AG117" s="94">
        <f ca="1">_xlfn.FLOOR.MATH(TblExplore[[#This Row],[Land-DB]]/150)+3+tech_2_9_2*TblTech[[#This Row],[2-9]]+tech_3_7_2*TblTech[[#This Row],[3-7]]</f>
        <v>3</v>
      </c>
      <c r="AH117" s="94">
        <f ca="1">SUM(TblExplore[[#This Row],[Plains Explore]:[Water Explore]])*TblExplore[[#This Row],[Plat/acre]]</f>
        <v>0</v>
      </c>
      <c r="AI117" s="94">
        <f ca="1">SUM(TblExplore[[#This Row],[Plains Explore]:[Water Explore]])*TblExplore[[#This Row],[Draftees/acre]]</f>
        <v>0</v>
      </c>
      <c r="AJ117" s="45">
        <f ca="1">_xlfn.FLOOR.MATH(MIN(TblExplore[[#This Row],[Platinum]]/TblExplore[[#This Row],[Plat/acre]],TblExplore[[#This Row],[Draftees]]/TblExplore[[#This Row],[Draftees/acre]]))</f>
        <v>-1690</v>
      </c>
    </row>
    <row r="118" spans="1:36" x14ac:dyDescent="0.2">
      <c r="A118" s="175">
        <f>TblRezone[[#This Row],[Hour]]</f>
        <v>115</v>
      </c>
      <c r="B118" s="214">
        <f ca="1">TblConstr[[#This Row],[Land]]</f>
        <v>110</v>
      </c>
      <c r="C118" s="215"/>
      <c r="D118" s="216">
        <f ca="1">TblConstr[[#This Row],[Plain]]</f>
        <v>60</v>
      </c>
      <c r="E118" s="182">
        <f ca="1">TblConstr[[#This Row],[Forest]]</f>
        <v>0</v>
      </c>
      <c r="F118" s="359">
        <f ca="1">TblConstr[[#This Row],[Mountain]]</f>
        <v>0</v>
      </c>
      <c r="G118" s="363">
        <f ca="1">TblConstr[[#This Row],[Hill]]</f>
        <v>0</v>
      </c>
      <c r="H118" s="367">
        <f ca="1">TblConstr[[#This Row],[Swamp]]</f>
        <v>0</v>
      </c>
      <c r="I118" s="185">
        <f ca="1">TblConstr[[#This Row],[Cavern]]</f>
        <v>0</v>
      </c>
      <c r="J118" s="186">
        <f ca="1">TblConstr[[#This Row],[Water]]</f>
        <v>0</v>
      </c>
      <c r="K118" s="210"/>
      <c r="L118" s="210"/>
      <c r="M118" s="210"/>
      <c r="N118" s="217">
        <f ca="1">TblMili[[#This Row],[Smithies]]</f>
        <v>0</v>
      </c>
      <c r="O118" s="217">
        <f ca="1">TblPop[[#This Row],[Employment]]</f>
        <v>1</v>
      </c>
      <c r="P118" s="217">
        <f ca="1">TblImps[[#This Row],[Population]]</f>
        <v>1</v>
      </c>
      <c r="Q118" s="175">
        <f ca="1">TblExplore[[#This Row],[Land]]</f>
        <v>110</v>
      </c>
      <c r="R118" s="175">
        <f>TblExplore[[#This Row],[Hour]]</f>
        <v>115</v>
      </c>
      <c r="S118" s="218"/>
      <c r="T118" s="179"/>
      <c r="U118" s="179"/>
      <c r="V118" s="179"/>
      <c r="W118" s="179"/>
      <c r="X118" s="179"/>
      <c r="Y118" s="179"/>
      <c r="Z118" s="179"/>
      <c r="AA118" s="159">
        <f ca="1">TblImps[[#This Row],[Real time]]</f>
        <v>46051.749999999724</v>
      </c>
      <c r="AB118" s="94">
        <f ca="1">TblMili[[#This Row],[Draftees]]</f>
        <v>756</v>
      </c>
      <c r="AC118" s="94">
        <f ca="1">TblProd[[#This Row],[Platinum]]</f>
        <v>213807</v>
      </c>
      <c r="AD118" s="215"/>
      <c r="AE118" s="45">
        <f ca="1">TblExplore[[#This Row],[Land]]-TblExplore[[#This Row],[Land Bonus]]*20</f>
        <v>110</v>
      </c>
      <c r="AF118" s="94">
        <f ca="1">ROUND((0.6*TblExplore[[#This Row],[Land-DB]]^1.299 + IF(TblExplore[[#This Row],[Land-DB]]&lt;1520, (-0.001*(TblExplore[[#This Row],[Land-DB]]^2)+1.91*TblExplore[[#This Row],[Land-DB]]-593), 0))*(1+ tech_2_6*Techs!AC118 + tech_2_9*Techs!AF118 + tech_3_7*Techs!AN118 + Overview!$I$33),0)</f>
        <v>-126</v>
      </c>
      <c r="AG118" s="94">
        <f ca="1">_xlfn.FLOOR.MATH(TblExplore[[#This Row],[Land-DB]]/150)+3+tech_2_9_2*TblTech[[#This Row],[2-9]]+tech_3_7_2*TblTech[[#This Row],[3-7]]</f>
        <v>3</v>
      </c>
      <c r="AH118" s="94">
        <f ca="1">SUM(TblExplore[[#This Row],[Plains Explore]:[Water Explore]])*TblExplore[[#This Row],[Plat/acre]]</f>
        <v>0</v>
      </c>
      <c r="AI118" s="94">
        <f ca="1">SUM(TblExplore[[#This Row],[Plains Explore]:[Water Explore]])*TblExplore[[#This Row],[Draftees/acre]]</f>
        <v>0</v>
      </c>
      <c r="AJ118" s="45">
        <f ca="1">_xlfn.FLOOR.MATH(MIN(TblExplore[[#This Row],[Platinum]]/TblExplore[[#This Row],[Plat/acre]],TblExplore[[#This Row],[Draftees]]/TblExplore[[#This Row],[Draftees/acre]]))</f>
        <v>-1697</v>
      </c>
    </row>
    <row r="119" spans="1:36" x14ac:dyDescent="0.2">
      <c r="A119" s="175">
        <f>TblRezone[[#This Row],[Hour]]</f>
        <v>116</v>
      </c>
      <c r="B119" s="214">
        <f ca="1">TblConstr[[#This Row],[Land]]</f>
        <v>110</v>
      </c>
      <c r="C119" s="215"/>
      <c r="D119" s="216">
        <f ca="1">TblConstr[[#This Row],[Plain]]</f>
        <v>60</v>
      </c>
      <c r="E119" s="182">
        <f ca="1">TblConstr[[#This Row],[Forest]]</f>
        <v>0</v>
      </c>
      <c r="F119" s="359">
        <f ca="1">TblConstr[[#This Row],[Mountain]]</f>
        <v>0</v>
      </c>
      <c r="G119" s="363">
        <f ca="1">TblConstr[[#This Row],[Hill]]</f>
        <v>0</v>
      </c>
      <c r="H119" s="367">
        <f ca="1">TblConstr[[#This Row],[Swamp]]</f>
        <v>0</v>
      </c>
      <c r="I119" s="185">
        <f ca="1">TblConstr[[#This Row],[Cavern]]</f>
        <v>0</v>
      </c>
      <c r="J119" s="186">
        <f ca="1">TblConstr[[#This Row],[Water]]</f>
        <v>0</v>
      </c>
      <c r="K119" s="210"/>
      <c r="L119" s="210"/>
      <c r="M119" s="210"/>
      <c r="N119" s="217">
        <f ca="1">TblMili[[#This Row],[Smithies]]</f>
        <v>0</v>
      </c>
      <c r="O119" s="217">
        <f ca="1">TblPop[[#This Row],[Employment]]</f>
        <v>1</v>
      </c>
      <c r="P119" s="217">
        <f ca="1">TblImps[[#This Row],[Population]]</f>
        <v>1</v>
      </c>
      <c r="Q119" s="175">
        <f ca="1">TblExplore[[#This Row],[Land]]</f>
        <v>110</v>
      </c>
      <c r="R119" s="175">
        <f>TblExplore[[#This Row],[Hour]]</f>
        <v>116</v>
      </c>
      <c r="S119" s="218"/>
      <c r="T119" s="179"/>
      <c r="U119" s="179"/>
      <c r="V119" s="179"/>
      <c r="W119" s="179"/>
      <c r="X119" s="179"/>
      <c r="Y119" s="179"/>
      <c r="Z119" s="179"/>
      <c r="AA119" s="159">
        <f ca="1">TblImps[[#This Row],[Real time]]</f>
        <v>46051.791666666388</v>
      </c>
      <c r="AB119" s="94">
        <f ca="1">TblMili[[#This Row],[Draftees]]</f>
        <v>759</v>
      </c>
      <c r="AC119" s="94">
        <f ca="1">TblProd[[#This Row],[Platinum]]</f>
        <v>214671</v>
      </c>
      <c r="AD119" s="215"/>
      <c r="AE119" s="45">
        <f ca="1">TblExplore[[#This Row],[Land]]-TblExplore[[#This Row],[Land Bonus]]*20</f>
        <v>110</v>
      </c>
      <c r="AF119" s="94">
        <f ca="1">ROUND((0.6*TblExplore[[#This Row],[Land-DB]]^1.299 + IF(TblExplore[[#This Row],[Land-DB]]&lt;1520, (-0.001*(TblExplore[[#This Row],[Land-DB]]^2)+1.91*TblExplore[[#This Row],[Land-DB]]-593), 0))*(1+ tech_2_6*Techs!AC119 + tech_2_9*Techs!AF119 + tech_3_7*Techs!AN119 + Overview!$I$33),0)</f>
        <v>-126</v>
      </c>
      <c r="AG119" s="94">
        <f ca="1">_xlfn.FLOOR.MATH(TblExplore[[#This Row],[Land-DB]]/150)+3+tech_2_9_2*TblTech[[#This Row],[2-9]]+tech_3_7_2*TblTech[[#This Row],[3-7]]</f>
        <v>3</v>
      </c>
      <c r="AH119" s="94">
        <f ca="1">SUM(TblExplore[[#This Row],[Plains Explore]:[Water Explore]])*TblExplore[[#This Row],[Plat/acre]]</f>
        <v>0</v>
      </c>
      <c r="AI119" s="94">
        <f ca="1">SUM(TblExplore[[#This Row],[Plains Explore]:[Water Explore]])*TblExplore[[#This Row],[Draftees/acre]]</f>
        <v>0</v>
      </c>
      <c r="AJ119" s="45">
        <f ca="1">_xlfn.FLOOR.MATH(MIN(TblExplore[[#This Row],[Platinum]]/TblExplore[[#This Row],[Plat/acre]],TblExplore[[#This Row],[Draftees]]/TblExplore[[#This Row],[Draftees/acre]]))</f>
        <v>-1704</v>
      </c>
    </row>
    <row r="120" spans="1:36" x14ac:dyDescent="0.2">
      <c r="A120" s="175">
        <f>TblRezone[[#This Row],[Hour]]</f>
        <v>117</v>
      </c>
      <c r="B120" s="214">
        <f ca="1">TblConstr[[#This Row],[Land]]</f>
        <v>110</v>
      </c>
      <c r="C120" s="215"/>
      <c r="D120" s="216">
        <f ca="1">TblConstr[[#This Row],[Plain]]</f>
        <v>60</v>
      </c>
      <c r="E120" s="182">
        <f ca="1">TblConstr[[#This Row],[Forest]]</f>
        <v>0</v>
      </c>
      <c r="F120" s="359">
        <f ca="1">TblConstr[[#This Row],[Mountain]]</f>
        <v>0</v>
      </c>
      <c r="G120" s="363">
        <f ca="1">TblConstr[[#This Row],[Hill]]</f>
        <v>0</v>
      </c>
      <c r="H120" s="367">
        <f ca="1">TblConstr[[#This Row],[Swamp]]</f>
        <v>0</v>
      </c>
      <c r="I120" s="185">
        <f ca="1">TblConstr[[#This Row],[Cavern]]</f>
        <v>0</v>
      </c>
      <c r="J120" s="186">
        <f ca="1">TblConstr[[#This Row],[Water]]</f>
        <v>0</v>
      </c>
      <c r="K120" s="210"/>
      <c r="L120" s="210"/>
      <c r="M120" s="210"/>
      <c r="N120" s="217">
        <f ca="1">TblMili[[#This Row],[Smithies]]</f>
        <v>0</v>
      </c>
      <c r="O120" s="217">
        <f ca="1">TblPop[[#This Row],[Employment]]</f>
        <v>1</v>
      </c>
      <c r="P120" s="217">
        <f ca="1">TblImps[[#This Row],[Population]]</f>
        <v>1</v>
      </c>
      <c r="Q120" s="175">
        <f ca="1">TblExplore[[#This Row],[Land]]</f>
        <v>110</v>
      </c>
      <c r="R120" s="175">
        <f>TblExplore[[#This Row],[Hour]]</f>
        <v>117</v>
      </c>
      <c r="S120" s="218"/>
      <c r="T120" s="179"/>
      <c r="U120" s="179"/>
      <c r="V120" s="179"/>
      <c r="W120" s="179"/>
      <c r="X120" s="179"/>
      <c r="Y120" s="179"/>
      <c r="Z120" s="179"/>
      <c r="AA120" s="159">
        <f ca="1">TblImps[[#This Row],[Real time]]</f>
        <v>46051.833333333052</v>
      </c>
      <c r="AB120" s="94">
        <f ca="1">TblMili[[#This Row],[Draftees]]</f>
        <v>762</v>
      </c>
      <c r="AC120" s="94">
        <f ca="1">TblProd[[#This Row],[Platinum]]</f>
        <v>215526</v>
      </c>
      <c r="AD120" s="215"/>
      <c r="AE120" s="45">
        <f ca="1">TblExplore[[#This Row],[Land]]-TblExplore[[#This Row],[Land Bonus]]*20</f>
        <v>110</v>
      </c>
      <c r="AF120" s="94">
        <f ca="1">ROUND((0.6*TblExplore[[#This Row],[Land-DB]]^1.299 + IF(TblExplore[[#This Row],[Land-DB]]&lt;1520, (-0.001*(TblExplore[[#This Row],[Land-DB]]^2)+1.91*TblExplore[[#This Row],[Land-DB]]-593), 0))*(1+ tech_2_6*Techs!AC120 + tech_2_9*Techs!AF120 + tech_3_7*Techs!AN120 + Overview!$I$33),0)</f>
        <v>-126</v>
      </c>
      <c r="AG120" s="94">
        <f ca="1">_xlfn.FLOOR.MATH(TblExplore[[#This Row],[Land-DB]]/150)+3+tech_2_9_2*TblTech[[#This Row],[2-9]]+tech_3_7_2*TblTech[[#This Row],[3-7]]</f>
        <v>3</v>
      </c>
      <c r="AH120" s="94">
        <f ca="1">SUM(TblExplore[[#This Row],[Plains Explore]:[Water Explore]])*TblExplore[[#This Row],[Plat/acre]]</f>
        <v>0</v>
      </c>
      <c r="AI120" s="94">
        <f ca="1">SUM(TblExplore[[#This Row],[Plains Explore]:[Water Explore]])*TblExplore[[#This Row],[Draftees/acre]]</f>
        <v>0</v>
      </c>
      <c r="AJ120" s="45">
        <f ca="1">_xlfn.FLOOR.MATH(MIN(TblExplore[[#This Row],[Platinum]]/TblExplore[[#This Row],[Plat/acre]],TblExplore[[#This Row],[Draftees]]/TblExplore[[#This Row],[Draftees/acre]]))</f>
        <v>-1711</v>
      </c>
    </row>
    <row r="121" spans="1:36" x14ac:dyDescent="0.2">
      <c r="A121" s="175">
        <f>TblRezone[[#This Row],[Hour]]</f>
        <v>118</v>
      </c>
      <c r="B121" s="214">
        <f ca="1">TblConstr[[#This Row],[Land]]</f>
        <v>110</v>
      </c>
      <c r="C121" s="215"/>
      <c r="D121" s="216">
        <f ca="1">TblConstr[[#This Row],[Plain]]</f>
        <v>60</v>
      </c>
      <c r="E121" s="182">
        <f ca="1">TblConstr[[#This Row],[Forest]]</f>
        <v>0</v>
      </c>
      <c r="F121" s="359">
        <f ca="1">TblConstr[[#This Row],[Mountain]]</f>
        <v>0</v>
      </c>
      <c r="G121" s="363">
        <f ca="1">TblConstr[[#This Row],[Hill]]</f>
        <v>0</v>
      </c>
      <c r="H121" s="367">
        <f ca="1">TblConstr[[#This Row],[Swamp]]</f>
        <v>0</v>
      </c>
      <c r="I121" s="185">
        <f ca="1">TblConstr[[#This Row],[Cavern]]</f>
        <v>0</v>
      </c>
      <c r="J121" s="186">
        <f ca="1">TblConstr[[#This Row],[Water]]</f>
        <v>0</v>
      </c>
      <c r="K121" s="210"/>
      <c r="L121" s="210"/>
      <c r="M121" s="210"/>
      <c r="N121" s="217">
        <f ca="1">TblMili[[#This Row],[Smithies]]</f>
        <v>0</v>
      </c>
      <c r="O121" s="217">
        <f ca="1">TblPop[[#This Row],[Employment]]</f>
        <v>1</v>
      </c>
      <c r="P121" s="217">
        <f ca="1">TblImps[[#This Row],[Population]]</f>
        <v>1</v>
      </c>
      <c r="Q121" s="175">
        <f ca="1">TblExplore[[#This Row],[Land]]</f>
        <v>110</v>
      </c>
      <c r="R121" s="175">
        <f>TblExplore[[#This Row],[Hour]]</f>
        <v>118</v>
      </c>
      <c r="S121" s="218"/>
      <c r="T121" s="179"/>
      <c r="U121" s="179"/>
      <c r="V121" s="179"/>
      <c r="W121" s="179"/>
      <c r="X121" s="179"/>
      <c r="Y121" s="179"/>
      <c r="Z121" s="179"/>
      <c r="AA121" s="159">
        <f ca="1">TblImps[[#This Row],[Real time]]</f>
        <v>46051.874999999716</v>
      </c>
      <c r="AB121" s="94">
        <f ca="1">TblMili[[#This Row],[Draftees]]</f>
        <v>765</v>
      </c>
      <c r="AC121" s="94">
        <f ca="1">TblProd[[#This Row],[Platinum]]</f>
        <v>216373</v>
      </c>
      <c r="AD121" s="215"/>
      <c r="AE121" s="45">
        <f ca="1">TblExplore[[#This Row],[Land]]-TblExplore[[#This Row],[Land Bonus]]*20</f>
        <v>110</v>
      </c>
      <c r="AF121" s="94">
        <f ca="1">ROUND((0.6*TblExplore[[#This Row],[Land-DB]]^1.299 + IF(TblExplore[[#This Row],[Land-DB]]&lt;1520, (-0.001*(TblExplore[[#This Row],[Land-DB]]^2)+1.91*TblExplore[[#This Row],[Land-DB]]-593), 0))*(1+ tech_2_6*Techs!AC121 + tech_2_9*Techs!AF121 + tech_3_7*Techs!AN121 + Overview!$I$33),0)</f>
        <v>-126</v>
      </c>
      <c r="AG121" s="94">
        <f ca="1">_xlfn.FLOOR.MATH(TblExplore[[#This Row],[Land-DB]]/150)+3+tech_2_9_2*TblTech[[#This Row],[2-9]]+tech_3_7_2*TblTech[[#This Row],[3-7]]</f>
        <v>3</v>
      </c>
      <c r="AH121" s="94">
        <f ca="1">SUM(TblExplore[[#This Row],[Plains Explore]:[Water Explore]])*TblExplore[[#This Row],[Plat/acre]]</f>
        <v>0</v>
      </c>
      <c r="AI121" s="94">
        <f ca="1">SUM(TblExplore[[#This Row],[Plains Explore]:[Water Explore]])*TblExplore[[#This Row],[Draftees/acre]]</f>
        <v>0</v>
      </c>
      <c r="AJ121" s="45">
        <f ca="1">_xlfn.FLOOR.MATH(MIN(TblExplore[[#This Row],[Platinum]]/TblExplore[[#This Row],[Plat/acre]],TblExplore[[#This Row],[Draftees]]/TblExplore[[#This Row],[Draftees/acre]]))</f>
        <v>-1718</v>
      </c>
    </row>
    <row r="122" spans="1:36" x14ac:dyDescent="0.2">
      <c r="A122" s="175">
        <f>TblRezone[[#This Row],[Hour]]</f>
        <v>119</v>
      </c>
      <c r="B122" s="214">
        <f ca="1">TblConstr[[#This Row],[Land]]</f>
        <v>110</v>
      </c>
      <c r="C122" s="215"/>
      <c r="D122" s="216">
        <f ca="1">TblConstr[[#This Row],[Plain]]</f>
        <v>60</v>
      </c>
      <c r="E122" s="182">
        <f ca="1">TblConstr[[#This Row],[Forest]]</f>
        <v>0</v>
      </c>
      <c r="F122" s="359">
        <f ca="1">TblConstr[[#This Row],[Mountain]]</f>
        <v>0</v>
      </c>
      <c r="G122" s="363">
        <f ca="1">TblConstr[[#This Row],[Hill]]</f>
        <v>0</v>
      </c>
      <c r="H122" s="367">
        <f ca="1">TblConstr[[#This Row],[Swamp]]</f>
        <v>0</v>
      </c>
      <c r="I122" s="185">
        <f ca="1">TblConstr[[#This Row],[Cavern]]</f>
        <v>0</v>
      </c>
      <c r="J122" s="186">
        <f ca="1">TblConstr[[#This Row],[Water]]</f>
        <v>0</v>
      </c>
      <c r="K122" s="210"/>
      <c r="L122" s="210"/>
      <c r="M122" s="210"/>
      <c r="N122" s="217">
        <f ca="1">TblMili[[#This Row],[Smithies]]</f>
        <v>0</v>
      </c>
      <c r="O122" s="217">
        <f ca="1">TblPop[[#This Row],[Employment]]</f>
        <v>1</v>
      </c>
      <c r="P122" s="217">
        <f ca="1">TblImps[[#This Row],[Population]]</f>
        <v>1</v>
      </c>
      <c r="Q122" s="175">
        <f ca="1">TblExplore[[#This Row],[Land]]</f>
        <v>110</v>
      </c>
      <c r="R122" s="175">
        <f>TblExplore[[#This Row],[Hour]]</f>
        <v>119</v>
      </c>
      <c r="S122" s="218"/>
      <c r="T122" s="179"/>
      <c r="U122" s="179"/>
      <c r="V122" s="179"/>
      <c r="W122" s="179"/>
      <c r="X122" s="179"/>
      <c r="Y122" s="179"/>
      <c r="Z122" s="179"/>
      <c r="AA122" s="159">
        <f ca="1">TblImps[[#This Row],[Real time]]</f>
        <v>46051.91666666638</v>
      </c>
      <c r="AB122" s="94">
        <f ca="1">TblMili[[#This Row],[Draftees]]</f>
        <v>768</v>
      </c>
      <c r="AC122" s="94">
        <f ca="1">TblProd[[#This Row],[Platinum]]</f>
        <v>217212</v>
      </c>
      <c r="AD122" s="215"/>
      <c r="AE122" s="45">
        <f ca="1">TblExplore[[#This Row],[Land]]-TblExplore[[#This Row],[Land Bonus]]*20</f>
        <v>110</v>
      </c>
      <c r="AF122" s="94">
        <f ca="1">ROUND((0.6*TblExplore[[#This Row],[Land-DB]]^1.299 + IF(TblExplore[[#This Row],[Land-DB]]&lt;1520, (-0.001*(TblExplore[[#This Row],[Land-DB]]^2)+1.91*TblExplore[[#This Row],[Land-DB]]-593), 0))*(1+ tech_2_6*Techs!AC122 + tech_2_9*Techs!AF122 + tech_3_7*Techs!AN122 + Overview!$I$33),0)</f>
        <v>-126</v>
      </c>
      <c r="AG122" s="94">
        <f ca="1">_xlfn.FLOOR.MATH(TblExplore[[#This Row],[Land-DB]]/150)+3+tech_2_9_2*TblTech[[#This Row],[2-9]]+tech_3_7_2*TblTech[[#This Row],[3-7]]</f>
        <v>3</v>
      </c>
      <c r="AH122" s="94">
        <f ca="1">SUM(TblExplore[[#This Row],[Plains Explore]:[Water Explore]])*TblExplore[[#This Row],[Plat/acre]]</f>
        <v>0</v>
      </c>
      <c r="AI122" s="94">
        <f ca="1">SUM(TblExplore[[#This Row],[Plains Explore]:[Water Explore]])*TblExplore[[#This Row],[Draftees/acre]]</f>
        <v>0</v>
      </c>
      <c r="AJ122" s="45">
        <f ca="1">_xlfn.FLOOR.MATH(MIN(TblExplore[[#This Row],[Platinum]]/TblExplore[[#This Row],[Plat/acre]],TblExplore[[#This Row],[Draftees]]/TblExplore[[#This Row],[Draftees/acre]]))</f>
        <v>-1724</v>
      </c>
    </row>
    <row r="123" spans="1:36" x14ac:dyDescent="0.2">
      <c r="A123" s="175">
        <f>TblRezone[[#This Row],[Hour]]</f>
        <v>120</v>
      </c>
      <c r="B123" s="214">
        <f ca="1">TblConstr[[#This Row],[Land]]</f>
        <v>110</v>
      </c>
      <c r="C123" s="215"/>
      <c r="D123" s="216">
        <f ca="1">TblConstr[[#This Row],[Plain]]</f>
        <v>60</v>
      </c>
      <c r="E123" s="182">
        <f ca="1">TblConstr[[#This Row],[Forest]]</f>
        <v>0</v>
      </c>
      <c r="F123" s="359">
        <f ca="1">TblConstr[[#This Row],[Mountain]]</f>
        <v>0</v>
      </c>
      <c r="G123" s="363">
        <f ca="1">TblConstr[[#This Row],[Hill]]</f>
        <v>0</v>
      </c>
      <c r="H123" s="367">
        <f ca="1">TblConstr[[#This Row],[Swamp]]</f>
        <v>0</v>
      </c>
      <c r="I123" s="185">
        <f ca="1">TblConstr[[#This Row],[Cavern]]</f>
        <v>0</v>
      </c>
      <c r="J123" s="186">
        <f ca="1">TblConstr[[#This Row],[Water]]</f>
        <v>0</v>
      </c>
      <c r="K123" s="210"/>
      <c r="L123" s="210"/>
      <c r="M123" s="210"/>
      <c r="N123" s="217">
        <f ca="1">TblMili[[#This Row],[Smithies]]</f>
        <v>0</v>
      </c>
      <c r="O123" s="217">
        <f ca="1">TblPop[[#This Row],[Employment]]</f>
        <v>1</v>
      </c>
      <c r="P123" s="217">
        <f ca="1">TblImps[[#This Row],[Population]]</f>
        <v>1</v>
      </c>
      <c r="Q123" s="175">
        <f ca="1">TblExplore[[#This Row],[Land]]</f>
        <v>110</v>
      </c>
      <c r="R123" s="175">
        <f>TblExplore[[#This Row],[Hour]]</f>
        <v>120</v>
      </c>
      <c r="S123" s="218"/>
      <c r="T123" s="179"/>
      <c r="U123" s="179"/>
      <c r="V123" s="179"/>
      <c r="W123" s="179"/>
      <c r="X123" s="179"/>
      <c r="Y123" s="179"/>
      <c r="Z123" s="179"/>
      <c r="AA123" s="159">
        <f ca="1">TblImps[[#This Row],[Real time]]</f>
        <v>46051.958333333045</v>
      </c>
      <c r="AB123" s="94">
        <f ca="1">TblMili[[#This Row],[Draftees]]</f>
        <v>771</v>
      </c>
      <c r="AC123" s="94">
        <f ca="1">TblProd[[#This Row],[Platinum]]</f>
        <v>218043</v>
      </c>
      <c r="AD123" s="215"/>
      <c r="AE123" s="45">
        <f ca="1">TblExplore[[#This Row],[Land]]-TblExplore[[#This Row],[Land Bonus]]*20</f>
        <v>110</v>
      </c>
      <c r="AF123" s="94">
        <f ca="1">ROUND((0.6*TblExplore[[#This Row],[Land-DB]]^1.299 + IF(TblExplore[[#This Row],[Land-DB]]&lt;1520, (-0.001*(TblExplore[[#This Row],[Land-DB]]^2)+1.91*TblExplore[[#This Row],[Land-DB]]-593), 0))*(1+ tech_2_6*Techs!AC123 + tech_2_9*Techs!AF123 + tech_3_7*Techs!AN123 + Overview!$I$33),0)</f>
        <v>-126</v>
      </c>
      <c r="AG123" s="94">
        <f ca="1">_xlfn.FLOOR.MATH(TblExplore[[#This Row],[Land-DB]]/150)+3+tech_2_9_2*TblTech[[#This Row],[2-9]]+tech_3_7_2*TblTech[[#This Row],[3-7]]</f>
        <v>3</v>
      </c>
      <c r="AH123" s="94">
        <f ca="1">SUM(TblExplore[[#This Row],[Plains Explore]:[Water Explore]])*TblExplore[[#This Row],[Plat/acre]]</f>
        <v>0</v>
      </c>
      <c r="AI123" s="94">
        <f ca="1">SUM(TblExplore[[#This Row],[Plains Explore]:[Water Explore]])*TblExplore[[#This Row],[Draftees/acre]]</f>
        <v>0</v>
      </c>
      <c r="AJ123" s="45">
        <f ca="1">_xlfn.FLOOR.MATH(MIN(TblExplore[[#This Row],[Platinum]]/TblExplore[[#This Row],[Plat/acre]],TblExplore[[#This Row],[Draftees]]/TblExplore[[#This Row],[Draftees/acre]]))</f>
        <v>-1731</v>
      </c>
    </row>
    <row r="124" spans="1:36" x14ac:dyDescent="0.2">
      <c r="A124" s="175">
        <f>TblRezone[[#This Row],[Hour]]</f>
        <v>121</v>
      </c>
      <c r="B124" s="214">
        <f ca="1">TblConstr[[#This Row],[Land]]</f>
        <v>110</v>
      </c>
      <c r="C124" s="215"/>
      <c r="D124" s="216">
        <f ca="1">TblConstr[[#This Row],[Plain]]</f>
        <v>60</v>
      </c>
      <c r="E124" s="182">
        <f ca="1">TblConstr[[#This Row],[Forest]]</f>
        <v>0</v>
      </c>
      <c r="F124" s="359">
        <f ca="1">TblConstr[[#This Row],[Mountain]]</f>
        <v>0</v>
      </c>
      <c r="G124" s="363">
        <f ca="1">TblConstr[[#This Row],[Hill]]</f>
        <v>0</v>
      </c>
      <c r="H124" s="367">
        <f ca="1">TblConstr[[#This Row],[Swamp]]</f>
        <v>0</v>
      </c>
      <c r="I124" s="185">
        <f ca="1">TblConstr[[#This Row],[Cavern]]</f>
        <v>0</v>
      </c>
      <c r="J124" s="186">
        <f ca="1">TblConstr[[#This Row],[Water]]</f>
        <v>0</v>
      </c>
      <c r="K124" s="210"/>
      <c r="L124" s="229" t="s">
        <v>298</v>
      </c>
      <c r="M124" s="228" t="s">
        <v>301</v>
      </c>
      <c r="N124" s="217">
        <f ca="1">TblMili[[#This Row],[Smithies]]</f>
        <v>0</v>
      </c>
      <c r="O124" s="217">
        <f ca="1">TblPop[[#This Row],[Employment]]</f>
        <v>1</v>
      </c>
      <c r="P124" s="217">
        <f ca="1">TblImps[[#This Row],[Population]]</f>
        <v>1</v>
      </c>
      <c r="Q124" s="175">
        <f ca="1">TblExplore[[#This Row],[Land]]</f>
        <v>110</v>
      </c>
      <c r="R124" s="175">
        <f>TblExplore[[#This Row],[Hour]]</f>
        <v>121</v>
      </c>
      <c r="S124" s="218"/>
      <c r="T124" s="179"/>
      <c r="U124" s="179"/>
      <c r="V124" s="179"/>
      <c r="W124" s="179"/>
      <c r="X124" s="179"/>
      <c r="Y124" s="179"/>
      <c r="Z124" s="179"/>
      <c r="AA124" s="159">
        <f ca="1">TblImps[[#This Row],[Real time]]</f>
        <v>46051.999999999709</v>
      </c>
      <c r="AB124" s="94">
        <f ca="1">TblMili[[#This Row],[Draftees]]</f>
        <v>774</v>
      </c>
      <c r="AC124" s="94">
        <f ca="1">TblProd[[#This Row],[Platinum]]</f>
        <v>218866</v>
      </c>
      <c r="AD124" s="215"/>
      <c r="AE124" s="45">
        <f ca="1">TblExplore[[#This Row],[Land]]-TblExplore[[#This Row],[Land Bonus]]*20</f>
        <v>110</v>
      </c>
      <c r="AF124" s="94">
        <f ca="1">ROUND((0.6*TblExplore[[#This Row],[Land-DB]]^1.299 + IF(TblExplore[[#This Row],[Land-DB]]&lt;1520, (-0.001*(TblExplore[[#This Row],[Land-DB]]^2)+1.91*TblExplore[[#This Row],[Land-DB]]-593), 0))*(1+ tech_2_6*Techs!AC124 + tech_2_9*Techs!AF124 + tech_3_7*Techs!AN124 + Overview!$I$33),0)</f>
        <v>-126</v>
      </c>
      <c r="AG124" s="94">
        <f ca="1">_xlfn.FLOOR.MATH(TblExplore[[#This Row],[Land-DB]]/150)+3+tech_2_9_2*TblTech[[#This Row],[2-9]]+tech_3_7_2*TblTech[[#This Row],[3-7]]</f>
        <v>3</v>
      </c>
      <c r="AH124" s="94">
        <f ca="1">SUM(TblExplore[[#This Row],[Plains Explore]:[Water Explore]])*TblExplore[[#This Row],[Plat/acre]]</f>
        <v>0</v>
      </c>
      <c r="AI124" s="94">
        <f ca="1">SUM(TblExplore[[#This Row],[Plains Explore]:[Water Explore]])*TblExplore[[#This Row],[Draftees/acre]]</f>
        <v>0</v>
      </c>
      <c r="AJ124" s="45">
        <f ca="1">_xlfn.FLOOR.MATH(MIN(TblExplore[[#This Row],[Platinum]]/TblExplore[[#This Row],[Plat/acre]],TblExplore[[#This Row],[Draftees]]/TblExplore[[#This Row],[Draftees/acre]]))</f>
        <v>-1738</v>
      </c>
    </row>
    <row r="125" spans="1:36" x14ac:dyDescent="0.2">
      <c r="A125" s="175">
        <f>TblRezone[[#This Row],[Hour]]</f>
        <v>122</v>
      </c>
      <c r="B125" s="214">
        <f ca="1">TblConstr[[#This Row],[Land]]</f>
        <v>110</v>
      </c>
      <c r="C125" s="215"/>
      <c r="D125" s="216">
        <f ca="1">TblConstr[[#This Row],[Plain]]</f>
        <v>60</v>
      </c>
      <c r="E125" s="182">
        <f ca="1">TblConstr[[#This Row],[Forest]]</f>
        <v>0</v>
      </c>
      <c r="F125" s="359">
        <f ca="1">TblConstr[[#This Row],[Mountain]]</f>
        <v>0</v>
      </c>
      <c r="G125" s="363">
        <f ca="1">TblConstr[[#This Row],[Hill]]</f>
        <v>0</v>
      </c>
      <c r="H125" s="367">
        <f ca="1">TblConstr[[#This Row],[Swamp]]</f>
        <v>0</v>
      </c>
      <c r="I125" s="185">
        <f ca="1">TblConstr[[#This Row],[Cavern]]</f>
        <v>0</v>
      </c>
      <c r="J125" s="186">
        <f ca="1">TblConstr[[#This Row],[Water]]</f>
        <v>0</v>
      </c>
      <c r="K125" s="210"/>
      <c r="L125" s="229"/>
      <c r="M125" s="228"/>
      <c r="N125" s="217">
        <f ca="1">TblMili[[#This Row],[Smithies]]</f>
        <v>0</v>
      </c>
      <c r="O125" s="217">
        <f ca="1">TblPop[[#This Row],[Employment]]</f>
        <v>1</v>
      </c>
      <c r="P125" s="217">
        <f ca="1">TblImps[[#This Row],[Population]]</f>
        <v>1</v>
      </c>
      <c r="Q125" s="175">
        <f ca="1">TblExplore[[#This Row],[Land]]</f>
        <v>110</v>
      </c>
      <c r="R125" s="175">
        <f>TblExplore[[#This Row],[Hour]]</f>
        <v>122</v>
      </c>
      <c r="S125" s="218"/>
      <c r="T125" s="179"/>
      <c r="U125" s="179"/>
      <c r="V125" s="179"/>
      <c r="W125" s="179"/>
      <c r="X125" s="179"/>
      <c r="Y125" s="179"/>
      <c r="Z125" s="179"/>
      <c r="AA125" s="159">
        <f ca="1">TblImps[[#This Row],[Real time]]</f>
        <v>46052.041666666373</v>
      </c>
      <c r="AB125" s="94">
        <f ca="1">TblMili[[#This Row],[Draftees]]</f>
        <v>777</v>
      </c>
      <c r="AC125" s="94">
        <f ca="1">TblProd[[#This Row],[Platinum]]</f>
        <v>219681</v>
      </c>
      <c r="AD125" s="215"/>
      <c r="AE125" s="45">
        <f ca="1">TblExplore[[#This Row],[Land]]-TblExplore[[#This Row],[Land Bonus]]*20</f>
        <v>110</v>
      </c>
      <c r="AF125" s="94">
        <f ca="1">ROUND((0.6*TblExplore[[#This Row],[Land-DB]]^1.299 + IF(TblExplore[[#This Row],[Land-DB]]&lt;1520, (-0.001*(TblExplore[[#This Row],[Land-DB]]^2)+1.91*TblExplore[[#This Row],[Land-DB]]-593), 0))*(1+ tech_2_6*Techs!AC125 + tech_2_9*Techs!AF125 + tech_3_7*Techs!AN125 + Overview!$I$33),0)</f>
        <v>-126</v>
      </c>
      <c r="AG125" s="94">
        <f ca="1">_xlfn.FLOOR.MATH(TblExplore[[#This Row],[Land-DB]]/150)+3+tech_2_9_2*TblTech[[#This Row],[2-9]]+tech_3_7_2*TblTech[[#This Row],[3-7]]</f>
        <v>3</v>
      </c>
      <c r="AH125" s="94">
        <f ca="1">SUM(TblExplore[[#This Row],[Plains Explore]:[Water Explore]])*TblExplore[[#This Row],[Plat/acre]]</f>
        <v>0</v>
      </c>
      <c r="AI125" s="94">
        <f ca="1">SUM(TblExplore[[#This Row],[Plains Explore]:[Water Explore]])*TblExplore[[#This Row],[Draftees/acre]]</f>
        <v>0</v>
      </c>
      <c r="AJ125" s="45">
        <f ca="1">_xlfn.FLOOR.MATH(MIN(TblExplore[[#This Row],[Platinum]]/TblExplore[[#This Row],[Plat/acre]],TblExplore[[#This Row],[Draftees]]/TblExplore[[#This Row],[Draftees/acre]]))</f>
        <v>-1744</v>
      </c>
    </row>
    <row r="126" spans="1:36" x14ac:dyDescent="0.2">
      <c r="A126" s="175">
        <f>TblRezone[[#This Row],[Hour]]</f>
        <v>123</v>
      </c>
      <c r="B126" s="214">
        <f ca="1">TblConstr[[#This Row],[Land]]</f>
        <v>110</v>
      </c>
      <c r="C126" s="215"/>
      <c r="D126" s="216">
        <f ca="1">TblConstr[[#This Row],[Plain]]</f>
        <v>60</v>
      </c>
      <c r="E126" s="182">
        <f ca="1">TblConstr[[#This Row],[Forest]]</f>
        <v>0</v>
      </c>
      <c r="F126" s="359">
        <f ca="1">TblConstr[[#This Row],[Mountain]]</f>
        <v>0</v>
      </c>
      <c r="G126" s="363">
        <f ca="1">TblConstr[[#This Row],[Hill]]</f>
        <v>0</v>
      </c>
      <c r="H126" s="367">
        <f ca="1">TblConstr[[#This Row],[Swamp]]</f>
        <v>0</v>
      </c>
      <c r="I126" s="185">
        <f ca="1">TblConstr[[#This Row],[Cavern]]</f>
        <v>0</v>
      </c>
      <c r="J126" s="186">
        <f ca="1">TblConstr[[#This Row],[Water]]</f>
        <v>0</v>
      </c>
      <c r="K126" s="210"/>
      <c r="L126" s="229"/>
      <c r="M126" s="228"/>
      <c r="N126" s="217">
        <f ca="1">TblMili[[#This Row],[Smithies]]</f>
        <v>0</v>
      </c>
      <c r="O126" s="217">
        <f ca="1">TblPop[[#This Row],[Employment]]</f>
        <v>1</v>
      </c>
      <c r="P126" s="217">
        <f ca="1">TblImps[[#This Row],[Population]]</f>
        <v>1</v>
      </c>
      <c r="Q126" s="175">
        <f ca="1">TblExplore[[#This Row],[Land]]</f>
        <v>110</v>
      </c>
      <c r="R126" s="175">
        <f>TblExplore[[#This Row],[Hour]]</f>
        <v>123</v>
      </c>
      <c r="S126" s="218"/>
      <c r="T126" s="179"/>
      <c r="U126" s="179"/>
      <c r="V126" s="179"/>
      <c r="W126" s="179"/>
      <c r="X126" s="179"/>
      <c r="Y126" s="179"/>
      <c r="Z126" s="179"/>
      <c r="AA126" s="159">
        <f ca="1">TblImps[[#This Row],[Real time]]</f>
        <v>46052.083333333037</v>
      </c>
      <c r="AB126" s="94">
        <f ca="1">TblMili[[#This Row],[Draftees]]</f>
        <v>780</v>
      </c>
      <c r="AC126" s="94">
        <f ca="1">TblProd[[#This Row],[Platinum]]</f>
        <v>220488</v>
      </c>
      <c r="AD126" s="215"/>
      <c r="AE126" s="45">
        <f ca="1">TblExplore[[#This Row],[Land]]-TblExplore[[#This Row],[Land Bonus]]*20</f>
        <v>110</v>
      </c>
      <c r="AF126" s="94">
        <f ca="1">ROUND((0.6*TblExplore[[#This Row],[Land-DB]]^1.299 + IF(TblExplore[[#This Row],[Land-DB]]&lt;1520, (-0.001*(TblExplore[[#This Row],[Land-DB]]^2)+1.91*TblExplore[[#This Row],[Land-DB]]-593), 0))*(1+ tech_2_6*Techs!AC126 + tech_2_9*Techs!AF126 + tech_3_7*Techs!AN126 + Overview!$I$33),0)</f>
        <v>-126</v>
      </c>
      <c r="AG126" s="94">
        <f ca="1">_xlfn.FLOOR.MATH(TblExplore[[#This Row],[Land-DB]]/150)+3+tech_2_9_2*TblTech[[#This Row],[2-9]]+tech_3_7_2*TblTech[[#This Row],[3-7]]</f>
        <v>3</v>
      </c>
      <c r="AH126" s="94">
        <f ca="1">SUM(TblExplore[[#This Row],[Plains Explore]:[Water Explore]])*TblExplore[[#This Row],[Plat/acre]]</f>
        <v>0</v>
      </c>
      <c r="AI126" s="94">
        <f ca="1">SUM(TblExplore[[#This Row],[Plains Explore]:[Water Explore]])*TblExplore[[#This Row],[Draftees/acre]]</f>
        <v>0</v>
      </c>
      <c r="AJ126" s="45">
        <f ca="1">_xlfn.FLOOR.MATH(MIN(TblExplore[[#This Row],[Platinum]]/TblExplore[[#This Row],[Plat/acre]],TblExplore[[#This Row],[Draftees]]/TblExplore[[#This Row],[Draftees/acre]]))</f>
        <v>-1750</v>
      </c>
    </row>
    <row r="127" spans="1:36" x14ac:dyDescent="0.2">
      <c r="A127" s="175">
        <f>TblRezone[[#This Row],[Hour]]</f>
        <v>124</v>
      </c>
      <c r="B127" s="214">
        <f ca="1">TblConstr[[#This Row],[Land]]</f>
        <v>110</v>
      </c>
      <c r="C127" s="215"/>
      <c r="D127" s="216">
        <f ca="1">TblConstr[[#This Row],[Plain]]</f>
        <v>60</v>
      </c>
      <c r="E127" s="182">
        <f ca="1">TblConstr[[#This Row],[Forest]]</f>
        <v>0</v>
      </c>
      <c r="F127" s="359">
        <f ca="1">TblConstr[[#This Row],[Mountain]]</f>
        <v>0</v>
      </c>
      <c r="G127" s="363">
        <f ca="1">TblConstr[[#This Row],[Hill]]</f>
        <v>0</v>
      </c>
      <c r="H127" s="367">
        <f ca="1">TblConstr[[#This Row],[Swamp]]</f>
        <v>0</v>
      </c>
      <c r="I127" s="185">
        <f ca="1">TblConstr[[#This Row],[Cavern]]</f>
        <v>0</v>
      </c>
      <c r="J127" s="186">
        <f ca="1">TblConstr[[#This Row],[Water]]</f>
        <v>0</v>
      </c>
      <c r="K127" s="210"/>
      <c r="L127" s="210">
        <v>4</v>
      </c>
      <c r="M127" s="210">
        <v>299</v>
      </c>
      <c r="N127" s="217">
        <f ca="1">TblMili[[#This Row],[Smithies]]</f>
        <v>0</v>
      </c>
      <c r="O127" s="217">
        <f ca="1">TblPop[[#This Row],[Employment]]</f>
        <v>1</v>
      </c>
      <c r="P127" s="217">
        <f ca="1">TblImps[[#This Row],[Population]]</f>
        <v>1</v>
      </c>
      <c r="Q127" s="175">
        <f ca="1">TblExplore[[#This Row],[Land]]</f>
        <v>110</v>
      </c>
      <c r="R127" s="175">
        <f>TblExplore[[#This Row],[Hour]]</f>
        <v>124</v>
      </c>
      <c r="S127" s="218"/>
      <c r="T127" s="179"/>
      <c r="U127" s="179"/>
      <c r="V127" s="179"/>
      <c r="W127" s="179"/>
      <c r="X127" s="179"/>
      <c r="Y127" s="179"/>
      <c r="Z127" s="179"/>
      <c r="AA127" s="159">
        <f ca="1">TblImps[[#This Row],[Real time]]</f>
        <v>46052.124999999702</v>
      </c>
      <c r="AB127" s="94">
        <f ca="1">TblMili[[#This Row],[Draftees]]</f>
        <v>783</v>
      </c>
      <c r="AC127" s="94">
        <f ca="1">TblProd[[#This Row],[Platinum]]</f>
        <v>221287</v>
      </c>
      <c r="AD127" s="215"/>
      <c r="AE127" s="45">
        <f ca="1">TblExplore[[#This Row],[Land]]-TblExplore[[#This Row],[Land Bonus]]*20</f>
        <v>110</v>
      </c>
      <c r="AF127" s="94">
        <f ca="1">ROUND((0.6*TblExplore[[#This Row],[Land-DB]]^1.299 + IF(TblExplore[[#This Row],[Land-DB]]&lt;1520, (-0.001*(TblExplore[[#This Row],[Land-DB]]^2)+1.91*TblExplore[[#This Row],[Land-DB]]-593), 0))*(1+ tech_2_6*Techs!AC127 + tech_2_9*Techs!AF127 + tech_3_7*Techs!AN127 + Overview!$I$33),0)</f>
        <v>-126</v>
      </c>
      <c r="AG127" s="94">
        <f ca="1">_xlfn.FLOOR.MATH(TblExplore[[#This Row],[Land-DB]]/150)+3+tech_2_9_2*TblTech[[#This Row],[2-9]]+tech_3_7_2*TblTech[[#This Row],[3-7]]</f>
        <v>3</v>
      </c>
      <c r="AH127" s="94">
        <f ca="1">SUM(TblExplore[[#This Row],[Plains Explore]:[Water Explore]])*TblExplore[[#This Row],[Plat/acre]]</f>
        <v>0</v>
      </c>
      <c r="AI127" s="94">
        <f ca="1">SUM(TblExplore[[#This Row],[Plains Explore]:[Water Explore]])*TblExplore[[#This Row],[Draftees/acre]]</f>
        <v>0</v>
      </c>
      <c r="AJ127" s="45">
        <f ca="1">_xlfn.FLOOR.MATH(MIN(TblExplore[[#This Row],[Platinum]]/TblExplore[[#This Row],[Plat/acre]],TblExplore[[#This Row],[Draftees]]/TblExplore[[#This Row],[Draftees/acre]]))</f>
        <v>-1757</v>
      </c>
    </row>
    <row r="128" spans="1:36" x14ac:dyDescent="0.2">
      <c r="A128" s="175">
        <f>TblRezone[[#This Row],[Hour]]</f>
        <v>125</v>
      </c>
      <c r="B128" s="214">
        <f ca="1">TblConstr[[#This Row],[Land]]</f>
        <v>110</v>
      </c>
      <c r="C128" s="215"/>
      <c r="D128" s="216">
        <f ca="1">TblConstr[[#This Row],[Plain]]</f>
        <v>60</v>
      </c>
      <c r="E128" s="182">
        <f ca="1">TblConstr[[#This Row],[Forest]]</f>
        <v>0</v>
      </c>
      <c r="F128" s="359">
        <f ca="1">TblConstr[[#This Row],[Mountain]]</f>
        <v>0</v>
      </c>
      <c r="G128" s="363">
        <f ca="1">TblConstr[[#This Row],[Hill]]</f>
        <v>0</v>
      </c>
      <c r="H128" s="367">
        <f ca="1">TblConstr[[#This Row],[Swamp]]</f>
        <v>0</v>
      </c>
      <c r="I128" s="185">
        <f ca="1">TblConstr[[#This Row],[Cavern]]</f>
        <v>0</v>
      </c>
      <c r="J128" s="186">
        <f ca="1">TblConstr[[#This Row],[Water]]</f>
        <v>0</v>
      </c>
      <c r="K128" s="210"/>
      <c r="L128" s="210">
        <v>5</v>
      </c>
      <c r="M128" s="210">
        <v>419</v>
      </c>
      <c r="N128" s="217">
        <f ca="1">TblMili[[#This Row],[Smithies]]</f>
        <v>0</v>
      </c>
      <c r="O128" s="217">
        <f ca="1">TblPop[[#This Row],[Employment]]</f>
        <v>1</v>
      </c>
      <c r="P128" s="217">
        <f ca="1">TblImps[[#This Row],[Population]]</f>
        <v>1</v>
      </c>
      <c r="Q128" s="175">
        <f ca="1">TblExplore[[#This Row],[Land]]</f>
        <v>110</v>
      </c>
      <c r="R128" s="175">
        <f>TblExplore[[#This Row],[Hour]]</f>
        <v>125</v>
      </c>
      <c r="S128" s="218"/>
      <c r="T128" s="179"/>
      <c r="U128" s="179"/>
      <c r="V128" s="179"/>
      <c r="W128" s="179"/>
      <c r="X128" s="179"/>
      <c r="Y128" s="179"/>
      <c r="Z128" s="179"/>
      <c r="AA128" s="159">
        <f ca="1">TblImps[[#This Row],[Real time]]</f>
        <v>46052.166666666366</v>
      </c>
      <c r="AB128" s="94">
        <f ca="1">TblMili[[#This Row],[Draftees]]</f>
        <v>786</v>
      </c>
      <c r="AC128" s="94">
        <f ca="1">TblProd[[#This Row],[Platinum]]</f>
        <v>222078</v>
      </c>
      <c r="AD128" s="215"/>
      <c r="AE128" s="45">
        <f ca="1">TblExplore[[#This Row],[Land]]-TblExplore[[#This Row],[Land Bonus]]*20</f>
        <v>110</v>
      </c>
      <c r="AF128" s="94">
        <f ca="1">ROUND((0.6*TblExplore[[#This Row],[Land-DB]]^1.299 + IF(TblExplore[[#This Row],[Land-DB]]&lt;1520, (-0.001*(TblExplore[[#This Row],[Land-DB]]^2)+1.91*TblExplore[[#This Row],[Land-DB]]-593), 0))*(1+ tech_2_6*Techs!AC128 + tech_2_9*Techs!AF128 + tech_3_7*Techs!AN128 + Overview!$I$33),0)</f>
        <v>-126</v>
      </c>
      <c r="AG128" s="94">
        <f ca="1">_xlfn.FLOOR.MATH(TblExplore[[#This Row],[Land-DB]]/150)+3+tech_2_9_2*TblTech[[#This Row],[2-9]]+tech_3_7_2*TblTech[[#This Row],[3-7]]</f>
        <v>3</v>
      </c>
      <c r="AH128" s="94">
        <f ca="1">SUM(TblExplore[[#This Row],[Plains Explore]:[Water Explore]])*TblExplore[[#This Row],[Plat/acre]]</f>
        <v>0</v>
      </c>
      <c r="AI128" s="94">
        <f ca="1">SUM(TblExplore[[#This Row],[Plains Explore]:[Water Explore]])*TblExplore[[#This Row],[Draftees/acre]]</f>
        <v>0</v>
      </c>
      <c r="AJ128" s="45">
        <f ca="1">_xlfn.FLOOR.MATH(MIN(TblExplore[[#This Row],[Platinum]]/TblExplore[[#This Row],[Plat/acre]],TblExplore[[#This Row],[Draftees]]/TblExplore[[#This Row],[Draftees/acre]]))</f>
        <v>-1763</v>
      </c>
    </row>
    <row r="129" spans="1:36" x14ac:dyDescent="0.2">
      <c r="A129" s="175">
        <f>TblRezone[[#This Row],[Hour]]</f>
        <v>126</v>
      </c>
      <c r="B129" s="214">
        <f ca="1">TblConstr[[#This Row],[Land]]</f>
        <v>110</v>
      </c>
      <c r="C129" s="215"/>
      <c r="D129" s="216">
        <f ca="1">TblConstr[[#This Row],[Plain]]</f>
        <v>60</v>
      </c>
      <c r="E129" s="182">
        <f ca="1">TblConstr[[#This Row],[Forest]]</f>
        <v>0</v>
      </c>
      <c r="F129" s="359">
        <f ca="1">TblConstr[[#This Row],[Mountain]]</f>
        <v>0</v>
      </c>
      <c r="G129" s="363">
        <f ca="1">TblConstr[[#This Row],[Hill]]</f>
        <v>0</v>
      </c>
      <c r="H129" s="367">
        <f ca="1">TblConstr[[#This Row],[Swamp]]</f>
        <v>0</v>
      </c>
      <c r="I129" s="185">
        <f ca="1">TblConstr[[#This Row],[Cavern]]</f>
        <v>0</v>
      </c>
      <c r="J129" s="186">
        <f ca="1">TblConstr[[#This Row],[Water]]</f>
        <v>0</v>
      </c>
      <c r="K129" s="210"/>
      <c r="L129" s="210">
        <v>6</v>
      </c>
      <c r="M129" s="210">
        <v>632</v>
      </c>
      <c r="N129" s="217">
        <f ca="1">TblMili[[#This Row],[Smithies]]</f>
        <v>0</v>
      </c>
      <c r="O129" s="217">
        <f ca="1">TblPop[[#This Row],[Employment]]</f>
        <v>1</v>
      </c>
      <c r="P129" s="217">
        <f ca="1">TblImps[[#This Row],[Population]]</f>
        <v>1</v>
      </c>
      <c r="Q129" s="175">
        <f ca="1">TblExplore[[#This Row],[Land]]</f>
        <v>110</v>
      </c>
      <c r="R129" s="175">
        <f>TblExplore[[#This Row],[Hour]]</f>
        <v>126</v>
      </c>
      <c r="S129" s="218"/>
      <c r="T129" s="179"/>
      <c r="U129" s="179"/>
      <c r="V129" s="179"/>
      <c r="W129" s="179"/>
      <c r="X129" s="179"/>
      <c r="Y129" s="179"/>
      <c r="Z129" s="179"/>
      <c r="AA129" s="159">
        <f ca="1">TblImps[[#This Row],[Real time]]</f>
        <v>46052.20833333303</v>
      </c>
      <c r="AB129" s="94">
        <f ca="1">TblMili[[#This Row],[Draftees]]</f>
        <v>789</v>
      </c>
      <c r="AC129" s="94">
        <f ca="1">TblProd[[#This Row],[Platinum]]</f>
        <v>222861</v>
      </c>
      <c r="AD129" s="215"/>
      <c r="AE129" s="45">
        <f ca="1">TblExplore[[#This Row],[Land]]-TblExplore[[#This Row],[Land Bonus]]*20</f>
        <v>110</v>
      </c>
      <c r="AF129" s="94">
        <f ca="1">ROUND((0.6*TblExplore[[#This Row],[Land-DB]]^1.299 + IF(TblExplore[[#This Row],[Land-DB]]&lt;1520, (-0.001*(TblExplore[[#This Row],[Land-DB]]^2)+1.91*TblExplore[[#This Row],[Land-DB]]-593), 0))*(1+ tech_2_6*Techs!AC129 + tech_2_9*Techs!AF129 + tech_3_7*Techs!AN129 + Overview!$I$33),0)</f>
        <v>-126</v>
      </c>
      <c r="AG129" s="94">
        <f ca="1">_xlfn.FLOOR.MATH(TblExplore[[#This Row],[Land-DB]]/150)+3+tech_2_9_2*TblTech[[#This Row],[2-9]]+tech_3_7_2*TblTech[[#This Row],[3-7]]</f>
        <v>3</v>
      </c>
      <c r="AH129" s="94">
        <f ca="1">SUM(TblExplore[[#This Row],[Plains Explore]:[Water Explore]])*TblExplore[[#This Row],[Plat/acre]]</f>
        <v>0</v>
      </c>
      <c r="AI129" s="94">
        <f ca="1">SUM(TblExplore[[#This Row],[Plains Explore]:[Water Explore]])*TblExplore[[#This Row],[Draftees/acre]]</f>
        <v>0</v>
      </c>
      <c r="AJ129" s="45">
        <f ca="1">_xlfn.FLOOR.MATH(MIN(TblExplore[[#This Row],[Platinum]]/TblExplore[[#This Row],[Plat/acre]],TblExplore[[#This Row],[Draftees]]/TblExplore[[#This Row],[Draftees/acre]]))</f>
        <v>-1769</v>
      </c>
    </row>
    <row r="130" spans="1:36" x14ac:dyDescent="0.2">
      <c r="A130" s="175">
        <f>TblRezone[[#This Row],[Hour]]</f>
        <v>127</v>
      </c>
      <c r="B130" s="214">
        <f ca="1">TblConstr[[#This Row],[Land]]</f>
        <v>110</v>
      </c>
      <c r="C130" s="215"/>
      <c r="D130" s="216">
        <f ca="1">TblConstr[[#This Row],[Plain]]</f>
        <v>60</v>
      </c>
      <c r="E130" s="182">
        <f ca="1">TblConstr[[#This Row],[Forest]]</f>
        <v>0</v>
      </c>
      <c r="F130" s="359">
        <f ca="1">TblConstr[[#This Row],[Mountain]]</f>
        <v>0</v>
      </c>
      <c r="G130" s="363">
        <f ca="1">TblConstr[[#This Row],[Hill]]</f>
        <v>0</v>
      </c>
      <c r="H130" s="367">
        <f ca="1">TblConstr[[#This Row],[Swamp]]</f>
        <v>0</v>
      </c>
      <c r="I130" s="185">
        <f ca="1">TblConstr[[#This Row],[Cavern]]</f>
        <v>0</v>
      </c>
      <c r="J130" s="186">
        <f ca="1">TblConstr[[#This Row],[Water]]</f>
        <v>0</v>
      </c>
      <c r="K130" s="210"/>
      <c r="L130" s="210">
        <v>7</v>
      </c>
      <c r="M130" s="210">
        <v>836</v>
      </c>
      <c r="N130" s="217">
        <f ca="1">TblMili[[#This Row],[Smithies]]</f>
        <v>0</v>
      </c>
      <c r="O130" s="217">
        <f ca="1">TblPop[[#This Row],[Employment]]</f>
        <v>1</v>
      </c>
      <c r="P130" s="217">
        <f ca="1">TblImps[[#This Row],[Population]]</f>
        <v>1</v>
      </c>
      <c r="Q130" s="175">
        <f ca="1">TblExplore[[#This Row],[Land]]</f>
        <v>110</v>
      </c>
      <c r="R130" s="175">
        <f>TblExplore[[#This Row],[Hour]]</f>
        <v>127</v>
      </c>
      <c r="S130" s="218"/>
      <c r="T130" s="179"/>
      <c r="U130" s="179"/>
      <c r="V130" s="179"/>
      <c r="W130" s="179"/>
      <c r="X130" s="179"/>
      <c r="Y130" s="179"/>
      <c r="Z130" s="179"/>
      <c r="AA130" s="159">
        <f ca="1">TblImps[[#This Row],[Real time]]</f>
        <v>46052.249999999694</v>
      </c>
      <c r="AB130" s="94">
        <f ca="1">TblMili[[#This Row],[Draftees]]</f>
        <v>792</v>
      </c>
      <c r="AC130" s="94">
        <f ca="1">TblProd[[#This Row],[Platinum]]</f>
        <v>223635</v>
      </c>
      <c r="AD130" s="215"/>
      <c r="AE130" s="45">
        <f ca="1">TblExplore[[#This Row],[Land]]-TblExplore[[#This Row],[Land Bonus]]*20</f>
        <v>110</v>
      </c>
      <c r="AF130" s="94">
        <f ca="1">ROUND((0.6*TblExplore[[#This Row],[Land-DB]]^1.299 + IF(TblExplore[[#This Row],[Land-DB]]&lt;1520, (-0.001*(TblExplore[[#This Row],[Land-DB]]^2)+1.91*TblExplore[[#This Row],[Land-DB]]-593), 0))*(1+ tech_2_6*Techs!AC130 + tech_2_9*Techs!AF130 + tech_3_7*Techs!AN130 + Overview!$I$33),0)</f>
        <v>-126</v>
      </c>
      <c r="AG130" s="94">
        <f ca="1">_xlfn.FLOOR.MATH(TblExplore[[#This Row],[Land-DB]]/150)+3+tech_2_9_2*TblTech[[#This Row],[2-9]]+tech_3_7_2*TblTech[[#This Row],[3-7]]</f>
        <v>3</v>
      </c>
      <c r="AH130" s="94">
        <f ca="1">SUM(TblExplore[[#This Row],[Plains Explore]:[Water Explore]])*TblExplore[[#This Row],[Plat/acre]]</f>
        <v>0</v>
      </c>
      <c r="AI130" s="94">
        <f ca="1">SUM(TblExplore[[#This Row],[Plains Explore]:[Water Explore]])*TblExplore[[#This Row],[Draftees/acre]]</f>
        <v>0</v>
      </c>
      <c r="AJ130" s="45">
        <f ca="1">_xlfn.FLOOR.MATH(MIN(TblExplore[[#This Row],[Platinum]]/TblExplore[[#This Row],[Plat/acre]],TblExplore[[#This Row],[Draftees]]/TblExplore[[#This Row],[Draftees/acre]]))</f>
        <v>-1775</v>
      </c>
    </row>
    <row r="131" spans="1:36" x14ac:dyDescent="0.2">
      <c r="A131" s="175">
        <f>TblRezone[[#This Row],[Hour]]</f>
        <v>128</v>
      </c>
      <c r="B131" s="214">
        <f ca="1">TblConstr[[#This Row],[Land]]</f>
        <v>110</v>
      </c>
      <c r="C131" s="215"/>
      <c r="D131" s="216">
        <f ca="1">TblConstr[[#This Row],[Plain]]</f>
        <v>60</v>
      </c>
      <c r="E131" s="182">
        <f ca="1">TblConstr[[#This Row],[Forest]]</f>
        <v>0</v>
      </c>
      <c r="F131" s="359">
        <f ca="1">TblConstr[[#This Row],[Mountain]]</f>
        <v>0</v>
      </c>
      <c r="G131" s="363">
        <f ca="1">TblConstr[[#This Row],[Hill]]</f>
        <v>0</v>
      </c>
      <c r="H131" s="367">
        <f ca="1">TblConstr[[#This Row],[Swamp]]</f>
        <v>0</v>
      </c>
      <c r="I131" s="185">
        <f ca="1">TblConstr[[#This Row],[Cavern]]</f>
        <v>0</v>
      </c>
      <c r="J131" s="186">
        <f ca="1">TblConstr[[#This Row],[Water]]</f>
        <v>0</v>
      </c>
      <c r="K131" s="210"/>
      <c r="L131" s="210">
        <v>8</v>
      </c>
      <c r="M131" s="210">
        <v>1035</v>
      </c>
      <c r="N131" s="217">
        <f ca="1">TblMili[[#This Row],[Smithies]]</f>
        <v>0</v>
      </c>
      <c r="O131" s="217">
        <f ca="1">TblPop[[#This Row],[Employment]]</f>
        <v>1</v>
      </c>
      <c r="P131" s="217">
        <f ca="1">TblImps[[#This Row],[Population]]</f>
        <v>1</v>
      </c>
      <c r="Q131" s="175">
        <f ca="1">TblExplore[[#This Row],[Land]]</f>
        <v>110</v>
      </c>
      <c r="R131" s="175">
        <f>TblExplore[[#This Row],[Hour]]</f>
        <v>128</v>
      </c>
      <c r="S131" s="218"/>
      <c r="T131" s="179"/>
      <c r="U131" s="179"/>
      <c r="V131" s="179"/>
      <c r="W131" s="179"/>
      <c r="X131" s="179"/>
      <c r="Y131" s="179"/>
      <c r="Z131" s="179"/>
      <c r="AA131" s="159">
        <f ca="1">TblImps[[#This Row],[Real time]]</f>
        <v>46052.291666666359</v>
      </c>
      <c r="AB131" s="94">
        <f ca="1">TblMili[[#This Row],[Draftees]]</f>
        <v>795</v>
      </c>
      <c r="AC131" s="94">
        <f ca="1">TblProd[[#This Row],[Platinum]]</f>
        <v>224401</v>
      </c>
      <c r="AD131" s="215"/>
      <c r="AE131" s="45">
        <f ca="1">TblExplore[[#This Row],[Land]]-TblExplore[[#This Row],[Land Bonus]]*20</f>
        <v>110</v>
      </c>
      <c r="AF131" s="94">
        <f ca="1">ROUND((0.6*TblExplore[[#This Row],[Land-DB]]^1.299 + IF(TblExplore[[#This Row],[Land-DB]]&lt;1520, (-0.001*(TblExplore[[#This Row],[Land-DB]]^2)+1.91*TblExplore[[#This Row],[Land-DB]]-593), 0))*(1+ tech_2_6*Techs!AC131 + tech_2_9*Techs!AF131 + tech_3_7*Techs!AN131 + Overview!$I$33),0)</f>
        <v>-126</v>
      </c>
      <c r="AG131" s="94">
        <f ca="1">_xlfn.FLOOR.MATH(TblExplore[[#This Row],[Land-DB]]/150)+3+tech_2_9_2*TblTech[[#This Row],[2-9]]+tech_3_7_2*TblTech[[#This Row],[3-7]]</f>
        <v>3</v>
      </c>
      <c r="AH131" s="94">
        <f ca="1">SUM(TblExplore[[#This Row],[Plains Explore]:[Water Explore]])*TblExplore[[#This Row],[Plat/acre]]</f>
        <v>0</v>
      </c>
      <c r="AI131" s="94">
        <f ca="1">SUM(TblExplore[[#This Row],[Plains Explore]:[Water Explore]])*TblExplore[[#This Row],[Draftees/acre]]</f>
        <v>0</v>
      </c>
      <c r="AJ131" s="45">
        <f ca="1">_xlfn.FLOOR.MATH(MIN(TblExplore[[#This Row],[Platinum]]/TblExplore[[#This Row],[Plat/acre]],TblExplore[[#This Row],[Draftees]]/TblExplore[[#This Row],[Draftees/acre]]))</f>
        <v>-1781</v>
      </c>
    </row>
    <row r="132" spans="1:36" x14ac:dyDescent="0.2">
      <c r="A132" s="175">
        <f>TblRezone[[#This Row],[Hour]]</f>
        <v>129</v>
      </c>
      <c r="B132" s="214">
        <f ca="1">TblConstr[[#This Row],[Land]]</f>
        <v>110</v>
      </c>
      <c r="C132" s="215"/>
      <c r="D132" s="216">
        <f ca="1">TblConstr[[#This Row],[Plain]]</f>
        <v>60</v>
      </c>
      <c r="E132" s="182">
        <f ca="1">TblConstr[[#This Row],[Forest]]</f>
        <v>0</v>
      </c>
      <c r="F132" s="359">
        <f ca="1">TblConstr[[#This Row],[Mountain]]</f>
        <v>0</v>
      </c>
      <c r="G132" s="363">
        <f ca="1">TblConstr[[#This Row],[Hill]]</f>
        <v>0</v>
      </c>
      <c r="H132" s="367">
        <f ca="1">TblConstr[[#This Row],[Swamp]]</f>
        <v>0</v>
      </c>
      <c r="I132" s="185">
        <f ca="1">TblConstr[[#This Row],[Cavern]]</f>
        <v>0</v>
      </c>
      <c r="J132" s="186">
        <f ca="1">TblConstr[[#This Row],[Water]]</f>
        <v>0</v>
      </c>
      <c r="K132" s="210"/>
      <c r="L132" s="210">
        <v>9</v>
      </c>
      <c r="M132" s="210">
        <v>1229</v>
      </c>
      <c r="N132" s="217">
        <f ca="1">TblMili[[#This Row],[Smithies]]</f>
        <v>0</v>
      </c>
      <c r="O132" s="217">
        <f ca="1">TblPop[[#This Row],[Employment]]</f>
        <v>1</v>
      </c>
      <c r="P132" s="217">
        <f ca="1">TblImps[[#This Row],[Population]]</f>
        <v>1</v>
      </c>
      <c r="Q132" s="175">
        <f ca="1">TblExplore[[#This Row],[Land]]</f>
        <v>110</v>
      </c>
      <c r="R132" s="175">
        <f>TblExplore[[#This Row],[Hour]]</f>
        <v>129</v>
      </c>
      <c r="S132" s="218"/>
      <c r="T132" s="179"/>
      <c r="U132" s="179"/>
      <c r="V132" s="179"/>
      <c r="W132" s="179"/>
      <c r="X132" s="179"/>
      <c r="Y132" s="179"/>
      <c r="Z132" s="179"/>
      <c r="AA132" s="159">
        <f ca="1">TblImps[[#This Row],[Real time]]</f>
        <v>46052.333333333023</v>
      </c>
      <c r="AB132" s="94">
        <f ca="1">TblMili[[#This Row],[Draftees]]</f>
        <v>798</v>
      </c>
      <c r="AC132" s="94">
        <f ca="1">TblProd[[#This Row],[Platinum]]</f>
        <v>225159</v>
      </c>
      <c r="AD132" s="215"/>
      <c r="AE132" s="45">
        <f ca="1">TblExplore[[#This Row],[Land]]-TblExplore[[#This Row],[Land Bonus]]*20</f>
        <v>110</v>
      </c>
      <c r="AF132" s="94">
        <f ca="1">ROUND((0.6*TblExplore[[#This Row],[Land-DB]]^1.299 + IF(TblExplore[[#This Row],[Land-DB]]&lt;1520, (-0.001*(TblExplore[[#This Row],[Land-DB]]^2)+1.91*TblExplore[[#This Row],[Land-DB]]-593), 0))*(1+ tech_2_6*Techs!AC132 + tech_2_9*Techs!AF132 + tech_3_7*Techs!AN132 + Overview!$I$33),0)</f>
        <v>-126</v>
      </c>
      <c r="AG132" s="94">
        <f ca="1">_xlfn.FLOOR.MATH(TblExplore[[#This Row],[Land-DB]]/150)+3+tech_2_9_2*TblTech[[#This Row],[2-9]]+tech_3_7_2*TblTech[[#This Row],[3-7]]</f>
        <v>3</v>
      </c>
      <c r="AH132" s="94">
        <f ca="1">SUM(TblExplore[[#This Row],[Plains Explore]:[Water Explore]])*TblExplore[[#This Row],[Plat/acre]]</f>
        <v>0</v>
      </c>
      <c r="AI132" s="94">
        <f ca="1">SUM(TblExplore[[#This Row],[Plains Explore]:[Water Explore]])*TblExplore[[#This Row],[Draftees/acre]]</f>
        <v>0</v>
      </c>
      <c r="AJ132" s="45">
        <f ca="1">_xlfn.FLOOR.MATH(MIN(TblExplore[[#This Row],[Platinum]]/TblExplore[[#This Row],[Plat/acre]],TblExplore[[#This Row],[Draftees]]/TblExplore[[#This Row],[Draftees/acre]]))</f>
        <v>-1787</v>
      </c>
    </row>
    <row r="133" spans="1:36" x14ac:dyDescent="0.2">
      <c r="A133" s="175">
        <f>TblRezone[[#This Row],[Hour]]</f>
        <v>130</v>
      </c>
      <c r="B133" s="214">
        <f ca="1">TblConstr[[#This Row],[Land]]</f>
        <v>110</v>
      </c>
      <c r="C133" s="215"/>
      <c r="D133" s="216">
        <f ca="1">TblConstr[[#This Row],[Plain]]</f>
        <v>60</v>
      </c>
      <c r="E133" s="182">
        <f ca="1">TblConstr[[#This Row],[Forest]]</f>
        <v>0</v>
      </c>
      <c r="F133" s="359">
        <f ca="1">TblConstr[[#This Row],[Mountain]]</f>
        <v>0</v>
      </c>
      <c r="G133" s="363">
        <f ca="1">TblConstr[[#This Row],[Hill]]</f>
        <v>0</v>
      </c>
      <c r="H133" s="367">
        <f ca="1">TblConstr[[#This Row],[Swamp]]</f>
        <v>0</v>
      </c>
      <c r="I133" s="185">
        <f ca="1">TblConstr[[#This Row],[Cavern]]</f>
        <v>0</v>
      </c>
      <c r="J133" s="186">
        <f ca="1">TblConstr[[#This Row],[Water]]</f>
        <v>0</v>
      </c>
      <c r="K133" s="210"/>
      <c r="L133" s="210">
        <v>10</v>
      </c>
      <c r="M133" s="210">
        <v>1421</v>
      </c>
      <c r="N133" s="217">
        <f ca="1">TblMili[[#This Row],[Smithies]]</f>
        <v>0</v>
      </c>
      <c r="O133" s="217">
        <f ca="1">TblPop[[#This Row],[Employment]]</f>
        <v>1</v>
      </c>
      <c r="P133" s="217">
        <f ca="1">TblImps[[#This Row],[Population]]</f>
        <v>1</v>
      </c>
      <c r="Q133" s="175">
        <f ca="1">TblExplore[[#This Row],[Land]]</f>
        <v>110</v>
      </c>
      <c r="R133" s="175">
        <f>TblExplore[[#This Row],[Hour]]</f>
        <v>130</v>
      </c>
      <c r="S133" s="218"/>
      <c r="T133" s="179"/>
      <c r="U133" s="179"/>
      <c r="V133" s="179"/>
      <c r="W133" s="179"/>
      <c r="X133" s="179"/>
      <c r="Y133" s="179"/>
      <c r="Z133" s="179"/>
      <c r="AA133" s="159">
        <f ca="1">TblImps[[#This Row],[Real time]]</f>
        <v>46052.374999999687</v>
      </c>
      <c r="AB133" s="94">
        <f ca="1">TblMili[[#This Row],[Draftees]]</f>
        <v>801</v>
      </c>
      <c r="AC133" s="94">
        <f ca="1">TblProd[[#This Row],[Platinum]]</f>
        <v>225909</v>
      </c>
      <c r="AD133" s="215"/>
      <c r="AE133" s="45">
        <f ca="1">TblExplore[[#This Row],[Land]]-TblExplore[[#This Row],[Land Bonus]]*20</f>
        <v>110</v>
      </c>
      <c r="AF133" s="94">
        <f ca="1">ROUND((0.6*TblExplore[[#This Row],[Land-DB]]^1.299 + IF(TblExplore[[#This Row],[Land-DB]]&lt;1520, (-0.001*(TblExplore[[#This Row],[Land-DB]]^2)+1.91*TblExplore[[#This Row],[Land-DB]]-593), 0))*(1+ tech_2_6*Techs!AC133 + tech_2_9*Techs!AF133 + tech_3_7*Techs!AN133 + Overview!$I$33),0)</f>
        <v>-126</v>
      </c>
      <c r="AG133" s="94">
        <f ca="1">_xlfn.FLOOR.MATH(TblExplore[[#This Row],[Land-DB]]/150)+3+tech_2_9_2*TblTech[[#This Row],[2-9]]+tech_3_7_2*TblTech[[#This Row],[3-7]]</f>
        <v>3</v>
      </c>
      <c r="AH133" s="94">
        <f ca="1">SUM(TblExplore[[#This Row],[Plains Explore]:[Water Explore]])*TblExplore[[#This Row],[Plat/acre]]</f>
        <v>0</v>
      </c>
      <c r="AI133" s="94">
        <f ca="1">SUM(TblExplore[[#This Row],[Plains Explore]:[Water Explore]])*TblExplore[[#This Row],[Draftees/acre]]</f>
        <v>0</v>
      </c>
      <c r="AJ133" s="45">
        <f ca="1">_xlfn.FLOOR.MATH(MIN(TblExplore[[#This Row],[Platinum]]/TblExplore[[#This Row],[Plat/acre]],TblExplore[[#This Row],[Draftees]]/TblExplore[[#This Row],[Draftees/acre]]))</f>
        <v>-1793</v>
      </c>
    </row>
    <row r="134" spans="1:36" x14ac:dyDescent="0.2">
      <c r="A134" s="175">
        <f>TblRezone[[#This Row],[Hour]]</f>
        <v>131</v>
      </c>
      <c r="B134" s="214">
        <f ca="1">TblConstr[[#This Row],[Land]]</f>
        <v>110</v>
      </c>
      <c r="C134" s="215"/>
      <c r="D134" s="216">
        <f ca="1">TblConstr[[#This Row],[Plain]]</f>
        <v>60</v>
      </c>
      <c r="E134" s="182">
        <f ca="1">TblConstr[[#This Row],[Forest]]</f>
        <v>0</v>
      </c>
      <c r="F134" s="359">
        <f ca="1">TblConstr[[#This Row],[Mountain]]</f>
        <v>0</v>
      </c>
      <c r="G134" s="363">
        <f ca="1">TblConstr[[#This Row],[Hill]]</f>
        <v>0</v>
      </c>
      <c r="H134" s="367">
        <f ca="1">TblConstr[[#This Row],[Swamp]]</f>
        <v>0</v>
      </c>
      <c r="I134" s="185">
        <f ca="1">TblConstr[[#This Row],[Cavern]]</f>
        <v>0</v>
      </c>
      <c r="J134" s="186">
        <f ca="1">TblConstr[[#This Row],[Water]]</f>
        <v>0</v>
      </c>
      <c r="K134" s="210"/>
      <c r="L134" s="210">
        <v>11</v>
      </c>
      <c r="M134" s="210">
        <v>1610</v>
      </c>
      <c r="N134" s="217">
        <f ca="1">TblMili[[#This Row],[Smithies]]</f>
        <v>0</v>
      </c>
      <c r="O134" s="217">
        <f ca="1">TblPop[[#This Row],[Employment]]</f>
        <v>1</v>
      </c>
      <c r="P134" s="217">
        <f ca="1">TblImps[[#This Row],[Population]]</f>
        <v>1</v>
      </c>
      <c r="Q134" s="175">
        <f ca="1">TblExplore[[#This Row],[Land]]</f>
        <v>110</v>
      </c>
      <c r="R134" s="175">
        <f>TblExplore[[#This Row],[Hour]]</f>
        <v>131</v>
      </c>
      <c r="S134" s="218"/>
      <c r="T134" s="179"/>
      <c r="U134" s="179"/>
      <c r="V134" s="179"/>
      <c r="W134" s="179"/>
      <c r="X134" s="179"/>
      <c r="Y134" s="179"/>
      <c r="Z134" s="179"/>
      <c r="AA134" s="159">
        <f ca="1">TblImps[[#This Row],[Real time]]</f>
        <v>46052.416666666351</v>
      </c>
      <c r="AB134" s="94">
        <f ca="1">TblMili[[#This Row],[Draftees]]</f>
        <v>804</v>
      </c>
      <c r="AC134" s="94">
        <f ca="1">TblProd[[#This Row],[Platinum]]</f>
        <v>226651</v>
      </c>
      <c r="AD134" s="215"/>
      <c r="AE134" s="45">
        <f ca="1">TblExplore[[#This Row],[Land]]-TblExplore[[#This Row],[Land Bonus]]*20</f>
        <v>110</v>
      </c>
      <c r="AF134" s="94">
        <f ca="1">ROUND((0.6*TblExplore[[#This Row],[Land-DB]]^1.299 + IF(TblExplore[[#This Row],[Land-DB]]&lt;1520, (-0.001*(TblExplore[[#This Row],[Land-DB]]^2)+1.91*TblExplore[[#This Row],[Land-DB]]-593), 0))*(1+ tech_2_6*Techs!AC134 + tech_2_9*Techs!AF134 + tech_3_7*Techs!AN134 + Overview!$I$33),0)</f>
        <v>-126</v>
      </c>
      <c r="AG134" s="94">
        <f ca="1">_xlfn.FLOOR.MATH(TblExplore[[#This Row],[Land-DB]]/150)+3+tech_2_9_2*TblTech[[#This Row],[2-9]]+tech_3_7_2*TblTech[[#This Row],[3-7]]</f>
        <v>3</v>
      </c>
      <c r="AH134" s="94">
        <f ca="1">SUM(TblExplore[[#This Row],[Plains Explore]:[Water Explore]])*TblExplore[[#This Row],[Plat/acre]]</f>
        <v>0</v>
      </c>
      <c r="AI134" s="94">
        <f ca="1">SUM(TblExplore[[#This Row],[Plains Explore]:[Water Explore]])*TblExplore[[#This Row],[Draftees/acre]]</f>
        <v>0</v>
      </c>
      <c r="AJ134" s="45">
        <f ca="1">_xlfn.FLOOR.MATH(MIN(TblExplore[[#This Row],[Platinum]]/TblExplore[[#This Row],[Plat/acre]],TblExplore[[#This Row],[Draftees]]/TblExplore[[#This Row],[Draftees/acre]]))</f>
        <v>-1799</v>
      </c>
    </row>
    <row r="135" spans="1:36" x14ac:dyDescent="0.2">
      <c r="A135" s="175">
        <f>TblRezone[[#This Row],[Hour]]</f>
        <v>132</v>
      </c>
      <c r="B135" s="214">
        <f ca="1">TblConstr[[#This Row],[Land]]</f>
        <v>110</v>
      </c>
      <c r="C135" s="215"/>
      <c r="D135" s="216">
        <f ca="1">TblConstr[[#This Row],[Plain]]</f>
        <v>60</v>
      </c>
      <c r="E135" s="182">
        <f ca="1">TblConstr[[#This Row],[Forest]]</f>
        <v>0</v>
      </c>
      <c r="F135" s="359">
        <f ca="1">TblConstr[[#This Row],[Mountain]]</f>
        <v>0</v>
      </c>
      <c r="G135" s="363">
        <f ca="1">TblConstr[[#This Row],[Hill]]</f>
        <v>0</v>
      </c>
      <c r="H135" s="367">
        <f ca="1">TblConstr[[#This Row],[Swamp]]</f>
        <v>0</v>
      </c>
      <c r="I135" s="185">
        <f ca="1">TblConstr[[#This Row],[Cavern]]</f>
        <v>0</v>
      </c>
      <c r="J135" s="186">
        <f ca="1">TblConstr[[#This Row],[Water]]</f>
        <v>0</v>
      </c>
      <c r="K135" s="210"/>
      <c r="L135" s="210">
        <v>12</v>
      </c>
      <c r="M135" s="210">
        <v>1798</v>
      </c>
      <c r="N135" s="217">
        <f ca="1">TblMili[[#This Row],[Smithies]]</f>
        <v>0</v>
      </c>
      <c r="O135" s="217">
        <f ca="1">TblPop[[#This Row],[Employment]]</f>
        <v>1</v>
      </c>
      <c r="P135" s="217">
        <f ca="1">TblImps[[#This Row],[Population]]</f>
        <v>1</v>
      </c>
      <c r="Q135" s="175">
        <f ca="1">TblExplore[[#This Row],[Land]]</f>
        <v>110</v>
      </c>
      <c r="R135" s="175">
        <f>TblExplore[[#This Row],[Hour]]</f>
        <v>132</v>
      </c>
      <c r="S135" s="218"/>
      <c r="T135" s="179"/>
      <c r="U135" s="179"/>
      <c r="V135" s="179"/>
      <c r="W135" s="179"/>
      <c r="X135" s="179"/>
      <c r="Y135" s="179"/>
      <c r="Z135" s="179"/>
      <c r="AA135" s="159">
        <f ca="1">TblImps[[#This Row],[Real time]]</f>
        <v>46052.458333333016</v>
      </c>
      <c r="AB135" s="94">
        <f ca="1">TblMili[[#This Row],[Draftees]]</f>
        <v>807</v>
      </c>
      <c r="AC135" s="94">
        <f ca="1">TblProd[[#This Row],[Platinum]]</f>
        <v>227385</v>
      </c>
      <c r="AD135" s="215"/>
      <c r="AE135" s="45">
        <f ca="1">TblExplore[[#This Row],[Land]]-TblExplore[[#This Row],[Land Bonus]]*20</f>
        <v>110</v>
      </c>
      <c r="AF135" s="94">
        <f ca="1">ROUND((0.6*TblExplore[[#This Row],[Land-DB]]^1.299 + IF(TblExplore[[#This Row],[Land-DB]]&lt;1520, (-0.001*(TblExplore[[#This Row],[Land-DB]]^2)+1.91*TblExplore[[#This Row],[Land-DB]]-593), 0))*(1+ tech_2_6*Techs!AC135 + tech_2_9*Techs!AF135 + tech_3_7*Techs!AN135 + Overview!$I$33),0)</f>
        <v>-126</v>
      </c>
      <c r="AG135" s="94">
        <f ca="1">_xlfn.FLOOR.MATH(TblExplore[[#This Row],[Land-DB]]/150)+3+tech_2_9_2*TblTech[[#This Row],[2-9]]+tech_3_7_2*TblTech[[#This Row],[3-7]]</f>
        <v>3</v>
      </c>
      <c r="AH135" s="94">
        <f ca="1">SUM(TblExplore[[#This Row],[Plains Explore]:[Water Explore]])*TblExplore[[#This Row],[Plat/acre]]</f>
        <v>0</v>
      </c>
      <c r="AI135" s="94">
        <f ca="1">SUM(TblExplore[[#This Row],[Plains Explore]:[Water Explore]])*TblExplore[[#This Row],[Draftees/acre]]</f>
        <v>0</v>
      </c>
      <c r="AJ135" s="45">
        <f ca="1">_xlfn.FLOOR.MATH(MIN(TblExplore[[#This Row],[Platinum]]/TblExplore[[#This Row],[Plat/acre]],TblExplore[[#This Row],[Draftees]]/TblExplore[[#This Row],[Draftees/acre]]))</f>
        <v>-1805</v>
      </c>
    </row>
    <row r="136" spans="1:36" x14ac:dyDescent="0.2">
      <c r="A136" s="175">
        <f>TblRezone[[#This Row],[Hour]]</f>
        <v>133</v>
      </c>
      <c r="B136" s="214">
        <f ca="1">TblConstr[[#This Row],[Land]]</f>
        <v>110</v>
      </c>
      <c r="C136" s="215"/>
      <c r="D136" s="216">
        <f ca="1">TblConstr[[#This Row],[Plain]]</f>
        <v>60</v>
      </c>
      <c r="E136" s="182">
        <f ca="1">TblConstr[[#This Row],[Forest]]</f>
        <v>0</v>
      </c>
      <c r="F136" s="359">
        <f ca="1">TblConstr[[#This Row],[Mountain]]</f>
        <v>0</v>
      </c>
      <c r="G136" s="363">
        <f ca="1">TblConstr[[#This Row],[Hill]]</f>
        <v>0</v>
      </c>
      <c r="H136" s="367">
        <f ca="1">TblConstr[[#This Row],[Swamp]]</f>
        <v>0</v>
      </c>
      <c r="I136" s="185">
        <f ca="1">TblConstr[[#This Row],[Cavern]]</f>
        <v>0</v>
      </c>
      <c r="J136" s="186">
        <f ca="1">TblConstr[[#This Row],[Water]]</f>
        <v>0</v>
      </c>
      <c r="K136" s="210"/>
      <c r="L136" s="210">
        <v>13</v>
      </c>
      <c r="M136" s="210">
        <v>1984</v>
      </c>
      <c r="N136" s="217">
        <f ca="1">TblMili[[#This Row],[Smithies]]</f>
        <v>0</v>
      </c>
      <c r="O136" s="217">
        <f ca="1">TblPop[[#This Row],[Employment]]</f>
        <v>0</v>
      </c>
      <c r="P136" s="217">
        <f ca="1">TblImps[[#This Row],[Population]]</f>
        <v>1</v>
      </c>
      <c r="Q136" s="175">
        <f ca="1">TblExplore[[#This Row],[Land]]</f>
        <v>110</v>
      </c>
      <c r="R136" s="175">
        <f>TblExplore[[#This Row],[Hour]]</f>
        <v>133</v>
      </c>
      <c r="S136" s="218"/>
      <c r="T136" s="179"/>
      <c r="U136" s="179"/>
      <c r="V136" s="179"/>
      <c r="W136" s="179"/>
      <c r="X136" s="179"/>
      <c r="Y136" s="179"/>
      <c r="Z136" s="179"/>
      <c r="AA136" s="159">
        <f ca="1">TblImps[[#This Row],[Real time]]</f>
        <v>46052.49999999968</v>
      </c>
      <c r="AB136" s="94">
        <f ca="1">TblMili[[#This Row],[Draftees]]</f>
        <v>810</v>
      </c>
      <c r="AC136" s="94">
        <f ca="1">TblProd[[#This Row],[Platinum]]</f>
        <v>228111</v>
      </c>
      <c r="AD136" s="215"/>
      <c r="AE136" s="45">
        <f ca="1">TblExplore[[#This Row],[Land]]-TblExplore[[#This Row],[Land Bonus]]*20</f>
        <v>110</v>
      </c>
      <c r="AF136" s="94">
        <f ca="1">ROUND((0.6*TblExplore[[#This Row],[Land-DB]]^1.299 + IF(TblExplore[[#This Row],[Land-DB]]&lt;1520, (-0.001*(TblExplore[[#This Row],[Land-DB]]^2)+1.91*TblExplore[[#This Row],[Land-DB]]-593), 0))*(1+ tech_2_6*Techs!AC136 + tech_2_9*Techs!AF136 + tech_3_7*Techs!AN136 + Overview!$I$33),0)</f>
        <v>-126</v>
      </c>
      <c r="AG136" s="94">
        <f ca="1">_xlfn.FLOOR.MATH(TblExplore[[#This Row],[Land-DB]]/150)+3+tech_2_9_2*TblTech[[#This Row],[2-9]]+tech_3_7_2*TblTech[[#This Row],[3-7]]</f>
        <v>3</v>
      </c>
      <c r="AH136" s="94">
        <f ca="1">SUM(TblExplore[[#This Row],[Plains Explore]:[Water Explore]])*TblExplore[[#This Row],[Plat/acre]]</f>
        <v>0</v>
      </c>
      <c r="AI136" s="94">
        <f ca="1">SUM(TblExplore[[#This Row],[Plains Explore]:[Water Explore]])*TblExplore[[#This Row],[Draftees/acre]]</f>
        <v>0</v>
      </c>
      <c r="AJ136" s="45">
        <f ca="1">_xlfn.FLOOR.MATH(MIN(TblExplore[[#This Row],[Platinum]]/TblExplore[[#This Row],[Plat/acre]],TblExplore[[#This Row],[Draftees]]/TblExplore[[#This Row],[Draftees/acre]]))</f>
        <v>-1811</v>
      </c>
    </row>
    <row r="1269" spans="2:13" x14ac:dyDescent="0.2">
      <c r="B1269" s="530" t="s">
        <v>314</v>
      </c>
      <c r="C1269" s="530"/>
      <c r="L1269" s="234"/>
      <c r="M1269" s="234"/>
    </row>
    <row r="1270" spans="2:13" x14ac:dyDescent="0.2">
      <c r="B1270" s="28">
        <f>Overview!E17</f>
        <v>0</v>
      </c>
      <c r="C1270" s="28"/>
      <c r="L1270" s="234"/>
      <c r="M1270" s="234"/>
    </row>
  </sheetData>
  <mergeCells count="3">
    <mergeCell ref="AB1:AC1"/>
    <mergeCell ref="L1:Q1"/>
    <mergeCell ref="B1269:C1269"/>
  </mergeCells>
  <phoneticPr fontId="0" type="noConversion"/>
  <conditionalFormatting sqref="M26:M32 M98:M104">
    <cfRule type="expression" dxfId="487" priority="19" stopIfTrue="1">
      <formula>$M26&lt;$M17</formula>
    </cfRule>
    <cfRule type="expression" dxfId="486" priority="20" stopIfTrue="1">
      <formula>$M17&lt;$M26</formula>
    </cfRule>
  </conditionalFormatting>
  <conditionalFormatting sqref="C1270 D1269:AJ1270 A1269:B1270">
    <cfRule type="expression" dxfId="485" priority="17" stopIfTrue="1">
      <formula>$B$1270&gt;144</formula>
    </cfRule>
  </conditionalFormatting>
  <conditionalFormatting sqref="A4:J136 N4:AJ12 N49:AJ136 N41:S48 U41:AJ48 N16:AJ23 N13:V15 X13:AJ15 N27:AJ40 N24:V26 X24:AJ26">
    <cfRule type="expression" dxfId="484" priority="7" stopIfTrue="1">
      <formula>ROW()-3=$B$1270</formula>
    </cfRule>
  </conditionalFormatting>
  <conditionalFormatting sqref="D4:J136">
    <cfRule type="expression" dxfId="483" priority="8" stopIfTrue="1">
      <formula>OR(ROW()-3=$B$1270,D4&lt;0)</formula>
    </cfRule>
  </conditionalFormatting>
  <conditionalFormatting sqref="A1:XFD3">
    <cfRule type="expression" dxfId="482" priority="22" stopIfTrue="1">
      <formula>$B$1270&lt;0</formula>
    </cfRule>
  </conditionalFormatting>
  <conditionalFormatting sqref="A4:AJ12 A41:S48 U41:AJ48 A16:AJ23 A13:V15 X13:AJ15 A27:AJ40 A24:V26 X24:AJ26 A49:AJ136">
    <cfRule type="expression" dxfId="481" priority="9">
      <formula>$A4=37</formula>
    </cfRule>
    <cfRule type="expression" dxfId="480" priority="16">
      <formula>ROUND(($A4-1)/12,0)=INT($A4-1)/12</formula>
    </cfRule>
  </conditionalFormatting>
  <conditionalFormatting sqref="W13:W15">
    <cfRule type="expression" dxfId="479" priority="4" stopIfTrue="1">
      <formula>ROW()-3=$A$1270</formula>
    </cfRule>
    <cfRule type="expression" dxfId="478" priority="5">
      <formula>$A13=37</formula>
    </cfRule>
    <cfRule type="expression" dxfId="477" priority="6">
      <formula>ROUND(($A13-1)/12,0)=INT($A13-1)/12</formula>
    </cfRule>
  </conditionalFormatting>
  <conditionalFormatting sqref="W24:W26">
    <cfRule type="expression" dxfId="476" priority="1" stopIfTrue="1">
      <formula>ROW()-3=$B$1270</formula>
    </cfRule>
  </conditionalFormatting>
  <conditionalFormatting sqref="W24:W26">
    <cfRule type="expression" dxfId="475" priority="2">
      <formula>$A24=37</formula>
    </cfRule>
    <cfRule type="expression" dxfId="474" priority="3">
      <formula>ROUND(($A24-1)/12,0)=INT($A24-1)/12</formula>
    </cfRule>
  </conditionalFormatting>
  <dataValidations count="1">
    <dataValidation type="whole" operator="equal" allowBlank="1" showInputMessage="1" showErrorMessage="1" sqref="S4:S136" xr:uid="{00000000-0002-0000-0400-000000000000}">
      <formula1>1</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5" id="{7A057FA7-B6A8-4EB1-AF5F-476BD7A892A9}">
            <x14:iconSet iconSet="3Symbols2" showValue="0" custom="1">
              <x14:cfvo type="percent">
                <xm:f>0</xm:f>
              </x14:cfvo>
              <x14:cfvo type="num">
                <xm:f>0</xm:f>
              </x14:cfvo>
              <x14:cfvo type="num">
                <xm:f>1</xm:f>
              </x14:cfvo>
              <x14:cfIcon iconSet="NoIcons" iconId="0"/>
              <x14:cfIcon iconSet="NoIcons" iconId="0"/>
              <x14:cfIcon iconSet="3Symbols2" iconId="2"/>
            </x14:iconSet>
          </x14:cfRule>
          <xm:sqref>S4:S136</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theme="1"/>
  </sheetPr>
  <dimension ref="A1:AC1270"/>
  <sheetViews>
    <sheetView zoomScale="85" zoomScaleNormal="85" workbookViewId="0">
      <pane ySplit="3" topLeftCell="A4" activePane="bottomLeft" state="frozenSplit"/>
      <selection activeCell="A3" sqref="A3"/>
      <selection pane="bottomLeft" activeCell="L4" sqref="L4"/>
    </sheetView>
  </sheetViews>
  <sheetFormatPr defaultColWidth="9.140625" defaultRowHeight="12.75" x14ac:dyDescent="0.2"/>
  <cols>
    <col min="1" max="1" width="7.7109375" style="45" customWidth="1"/>
    <col min="2" max="2" width="6.85546875" style="45" bestFit="1" customWidth="1"/>
    <col min="3" max="3" width="7.140625" style="45" customWidth="1"/>
    <col min="4" max="4" width="10.5703125" style="45" customWidth="1"/>
    <col min="5" max="5" width="4.85546875" style="45" customWidth="1"/>
    <col min="6" max="7" width="8" style="45" customWidth="1"/>
    <col min="8" max="8" width="6.5703125" style="45" customWidth="1"/>
    <col min="9" max="9" width="3.28515625" style="45" customWidth="1"/>
    <col min="10" max="10" width="7.5703125" style="57" customWidth="1"/>
    <col min="11" max="11" width="7.85546875" style="45" customWidth="1"/>
    <col min="12" max="12" width="6.85546875" style="45" customWidth="1"/>
    <col min="13" max="13" width="7.140625" style="45" customWidth="1"/>
    <col min="14" max="14" width="10.5703125" style="45" customWidth="1"/>
    <col min="15" max="15" width="4.85546875" style="45" customWidth="1"/>
    <col min="16" max="16" width="8.140625" style="45" customWidth="1"/>
    <col min="17" max="17" width="8" style="45" customWidth="1"/>
    <col min="18" max="18" width="6.5703125" style="45" customWidth="1"/>
    <col min="19" max="19" width="10.7109375" style="45" customWidth="1"/>
    <col min="20" max="20" width="6.85546875" style="45" customWidth="1"/>
    <col min="21" max="21" width="3.28515625" style="45" customWidth="1"/>
    <col min="22" max="22" width="11.28515625" style="45" customWidth="1"/>
    <col min="23" max="23" width="3.28515625" style="45" customWidth="1"/>
    <col min="24" max="24" width="11.140625" style="45" customWidth="1"/>
    <col min="25" max="25" width="12.28515625" style="45" customWidth="1"/>
    <col min="26" max="26" width="3" style="45" customWidth="1"/>
    <col min="27" max="27" width="11.7109375" style="45" customWidth="1"/>
    <col min="28" max="28" width="3.42578125" style="45" customWidth="1"/>
    <col min="29" max="29" width="10.140625" style="45" customWidth="1"/>
    <col min="30" max="16384" width="9.140625" style="45"/>
  </cols>
  <sheetData>
    <row r="1" spans="1:29" x14ac:dyDescent="0.2">
      <c r="A1" s="5"/>
      <c r="B1" s="5" t="s">
        <v>54</v>
      </c>
      <c r="C1" s="5"/>
      <c r="D1" s="5"/>
      <c r="E1" s="5"/>
      <c r="F1" s="5"/>
      <c r="G1" s="5"/>
      <c r="H1" s="5"/>
      <c r="I1" s="5"/>
      <c r="J1" s="28"/>
      <c r="K1" s="5"/>
      <c r="L1" s="235" t="s">
        <v>302</v>
      </c>
      <c r="M1" s="5"/>
      <c r="N1" s="5"/>
      <c r="O1" s="5"/>
      <c r="P1" s="5"/>
      <c r="Q1" s="5"/>
      <c r="R1" s="5"/>
      <c r="S1" s="5"/>
      <c r="T1" s="5"/>
      <c r="U1" s="5"/>
      <c r="V1" s="5" t="s">
        <v>192</v>
      </c>
      <c r="W1" s="5"/>
      <c r="X1" s="5" t="s">
        <v>33</v>
      </c>
      <c r="Y1" s="5"/>
      <c r="Z1" s="5"/>
      <c r="AA1" s="5" t="s">
        <v>191</v>
      </c>
      <c r="AB1" s="5"/>
      <c r="AC1" s="5"/>
    </row>
    <row r="2" spans="1:29" x14ac:dyDescent="0.2">
      <c r="A2" s="5"/>
      <c r="B2" s="5"/>
      <c r="C2" s="5"/>
      <c r="D2" s="5"/>
      <c r="E2" s="5"/>
      <c r="F2" s="5"/>
      <c r="G2" s="5"/>
      <c r="H2" s="5"/>
      <c r="I2" s="5"/>
      <c r="J2" s="28"/>
      <c r="K2" s="5"/>
      <c r="L2" s="235"/>
      <c r="M2" s="5"/>
      <c r="N2" s="5"/>
      <c r="O2" s="5"/>
      <c r="P2" s="5"/>
      <c r="Q2" s="5"/>
      <c r="R2" s="5"/>
      <c r="S2" s="5"/>
      <c r="T2" s="5"/>
      <c r="U2" s="5"/>
      <c r="V2" s="5"/>
      <c r="W2" s="5"/>
      <c r="X2" s="5"/>
      <c r="Y2" s="5"/>
      <c r="Z2" s="5"/>
      <c r="AA2" s="5"/>
      <c r="AB2" s="5"/>
      <c r="AC2" s="5"/>
    </row>
    <row r="3" spans="1:29" ht="15" customHeight="1" x14ac:dyDescent="0.2">
      <c r="A3" s="135" t="s">
        <v>1</v>
      </c>
      <c r="B3" s="135" t="s">
        <v>55</v>
      </c>
      <c r="C3" s="135" t="s">
        <v>58</v>
      </c>
      <c r="D3" s="135" t="s">
        <v>176</v>
      </c>
      <c r="E3" s="135" t="s">
        <v>59</v>
      </c>
      <c r="F3" s="135" t="s">
        <v>60</v>
      </c>
      <c r="G3" s="135" t="s">
        <v>61</v>
      </c>
      <c r="H3" s="135" t="s">
        <v>62</v>
      </c>
      <c r="I3" s="135" t="s">
        <v>769</v>
      </c>
      <c r="J3" s="135" t="s">
        <v>0</v>
      </c>
      <c r="K3" s="135" t="s">
        <v>309</v>
      </c>
      <c r="L3" s="135" t="s">
        <v>1020</v>
      </c>
      <c r="M3" s="135" t="s">
        <v>1021</v>
      </c>
      <c r="N3" s="135" t="s">
        <v>1022</v>
      </c>
      <c r="O3" s="135" t="s">
        <v>1023</v>
      </c>
      <c r="P3" s="135" t="s">
        <v>1024</v>
      </c>
      <c r="Q3" s="135" t="s">
        <v>1025</v>
      </c>
      <c r="R3" s="135" t="s">
        <v>1026</v>
      </c>
      <c r="S3" s="135" t="s">
        <v>300</v>
      </c>
      <c r="T3" s="135" t="s">
        <v>193</v>
      </c>
      <c r="U3" s="135" t="s">
        <v>770</v>
      </c>
      <c r="V3" s="135" t="s">
        <v>2</v>
      </c>
      <c r="W3" s="135" t="s">
        <v>771</v>
      </c>
      <c r="X3" s="135" t="s">
        <v>57</v>
      </c>
      <c r="Y3" s="135" t="s">
        <v>895</v>
      </c>
      <c r="Z3" s="135" t="s">
        <v>784</v>
      </c>
      <c r="AA3" s="135" t="s">
        <v>259</v>
      </c>
      <c r="AB3" s="135" t="s">
        <v>785</v>
      </c>
      <c r="AC3" s="135" t="s">
        <v>189</v>
      </c>
    </row>
    <row r="4" spans="1:29" ht="12.75" customHeight="1" x14ac:dyDescent="0.2">
      <c r="A4" s="214">
        <f ca="1">TblConstr[[#This Row],[Land]]</f>
        <v>50</v>
      </c>
      <c r="B4" s="216">
        <f ca="1">TblConstr[[#This Row],[Plain]]</f>
        <v>0</v>
      </c>
      <c r="C4" s="182">
        <f ca="1">TblConstr[[#This Row],[Forest]]</f>
        <v>0</v>
      </c>
      <c r="D4" s="359">
        <f ca="1">TblConstr[[#This Row],[Mountain]]</f>
        <v>0</v>
      </c>
      <c r="E4" s="363">
        <f ca="1">TblConstr[[#This Row],[Hill]]</f>
        <v>0</v>
      </c>
      <c r="F4" s="367">
        <f ca="1">TblConstr[[#This Row],[Swamp]]</f>
        <v>0</v>
      </c>
      <c r="G4" s="185">
        <f ca="1">TblConstr[[#This Row],[Cavern]]</f>
        <v>0</v>
      </c>
      <c r="H4" s="186">
        <f ca="1">TblConstr[[#This Row],[Water]]</f>
        <v>0</v>
      </c>
      <c r="I4" s="215"/>
      <c r="J4" s="175">
        <v>1</v>
      </c>
      <c r="K4" s="236">
        <f>TblImps[[#This Row],[Real time]]</f>
        <v>46047</v>
      </c>
      <c r="L4" s="158"/>
      <c r="M4" s="158"/>
      <c r="N4" s="179"/>
      <c r="O4" s="158"/>
      <c r="P4" s="158"/>
      <c r="Q4" s="158"/>
      <c r="R4" s="158"/>
      <c r="S4" s="94">
        <f>SUMIF(TblRezone[[#This Row],[Plains Rezone]:[Water Rezone]],"&gt;0")</f>
        <v>0</v>
      </c>
      <c r="T4" s="61" t="str">
        <f>IF(SUM(TblRezone[[#This Row],[Plains Rezone]:[Water Rezone]])=0,"Ok","Nope")</f>
        <v>Ok</v>
      </c>
      <c r="U4" s="215"/>
      <c r="V4" s="94">
        <f ca="1">TblProd[[#This Row],[Platinum]]</f>
        <v>50000</v>
      </c>
      <c r="W4" s="215"/>
      <c r="X4" s="94">
        <f ca="1">ROUND( (1-MIN(ROUND(facs_rezone_factor*TblRezone[[#This Row],[Facs]],4),facs_rezone_max) + tech_6_4*TblTech[[#This Row],[6-4]] + tech_10_2*TblTech[[#This Row],[10-2]] - IF(TblMagic[[#This Row],[Active Mechanical Genius]]&gt;0,mech_genius_bonus,0) + race_rezone_cost) * TblRezone[[#This Row],[Plat/acre*]],0)</f>
        <v>130</v>
      </c>
      <c r="Y4" s="94">
        <f ca="1">TblRezone[[#This Row],[Total acres]]*TblRezone[[#This Row],[Plat/acre]]</f>
        <v>0</v>
      </c>
      <c r="Z4" s="215"/>
      <c r="AA4" s="94">
        <f ca="1">(250+0.6*(TblRezone[[#This Row],[Land]]-250))</f>
        <v>130</v>
      </c>
      <c r="AB4" s="215"/>
      <c r="AC4" s="157">
        <f ca="1">TblConstr[[#This Row],[Facs DB]]</f>
        <v>0</v>
      </c>
    </row>
    <row r="5" spans="1:29" hidden="1" x14ac:dyDescent="0.2">
      <c r="A5" s="214">
        <f ca="1">TblConstr[[#This Row],[Land]]</f>
        <v>50</v>
      </c>
      <c r="B5" s="216">
        <f ca="1">TblConstr[[#This Row],[Plain]]</f>
        <v>0</v>
      </c>
      <c r="C5" s="182">
        <f ca="1">TblConstr[[#This Row],[Forest]]</f>
        <v>0</v>
      </c>
      <c r="D5" s="359">
        <f ca="1">TblConstr[[#This Row],[Mountain]]</f>
        <v>0</v>
      </c>
      <c r="E5" s="363">
        <f ca="1">TblConstr[[#This Row],[Hill]]</f>
        <v>0</v>
      </c>
      <c r="F5" s="367">
        <f ca="1">TblConstr[[#This Row],[Swamp]]</f>
        <v>0</v>
      </c>
      <c r="G5" s="185">
        <f ca="1">TblConstr[[#This Row],[Cavern]]</f>
        <v>0</v>
      </c>
      <c r="H5" s="186">
        <f ca="1">TblConstr[[#This Row],[Water]]</f>
        <v>0</v>
      </c>
      <c r="I5" s="215"/>
      <c r="J5" s="175">
        <f t="shared" ref="J5:J15" si="0">J4+1</f>
        <v>2</v>
      </c>
      <c r="K5" s="236">
        <f ca="1">TblImps[[#This Row],[Real time]]</f>
        <v>46047.041666666664</v>
      </c>
      <c r="S5" s="94">
        <f>SUMIF(TblRezone[[#This Row],[Plains Rezone]:[Water Rezone]],"&gt;0")</f>
        <v>0</v>
      </c>
      <c r="T5" s="61" t="str">
        <f>IF(SUM(TblRezone[[#This Row],[Plains Rezone]:[Water Rezone]])=0,"Ok","Nope")</f>
        <v>Ok</v>
      </c>
      <c r="U5" s="215"/>
      <c r="V5" s="94">
        <f ca="1">TblProd[[#This Row],[Platinum]]</f>
        <v>51266</v>
      </c>
      <c r="W5" s="215"/>
      <c r="X5" s="94">
        <f ca="1">ROUND( (1-MIN(ROUND(facs_rezone_factor*TblRezone[[#This Row],[Facs]],4),facs_rezone_max) + tech_6_4*TblTech[[#This Row],[6-4]] + tech_10_2*TblTech[[#This Row],[10-2]] - IF(TblMagic[[#This Row],[Active Mechanical Genius]]&gt;0,mech_genius_bonus,0) + race_rezone_cost) * TblRezone[[#This Row],[Plat/acre*]],0)</f>
        <v>130</v>
      </c>
      <c r="Y5" s="94">
        <f ca="1">TblRezone[[#This Row],[Total acres]]*TblRezone[[#This Row],[Plat/acre]]</f>
        <v>0</v>
      </c>
      <c r="Z5" s="215"/>
      <c r="AA5" s="94">
        <f ca="1">(250+0.6*(TblRezone[[#This Row],[Land]]-250))</f>
        <v>130</v>
      </c>
      <c r="AB5" s="215"/>
      <c r="AC5" s="157">
        <f ca="1">TblConstr[[#This Row],[Facs DB]]</f>
        <v>0</v>
      </c>
    </row>
    <row r="6" spans="1:29" hidden="1" x14ac:dyDescent="0.2">
      <c r="A6" s="214">
        <f ca="1">TblConstr[[#This Row],[Land]]</f>
        <v>50</v>
      </c>
      <c r="B6" s="216">
        <f ca="1">TblConstr[[#This Row],[Plain]]</f>
        <v>0</v>
      </c>
      <c r="C6" s="182">
        <f ca="1">TblConstr[[#This Row],[Forest]]</f>
        <v>0</v>
      </c>
      <c r="D6" s="359">
        <f ca="1">TblConstr[[#This Row],[Mountain]]</f>
        <v>0</v>
      </c>
      <c r="E6" s="363">
        <f ca="1">TblConstr[[#This Row],[Hill]]</f>
        <v>0</v>
      </c>
      <c r="F6" s="367">
        <f ca="1">TblConstr[[#This Row],[Swamp]]</f>
        <v>0</v>
      </c>
      <c r="G6" s="185">
        <f ca="1">TblConstr[[#This Row],[Cavern]]</f>
        <v>0</v>
      </c>
      <c r="H6" s="186">
        <f ca="1">TblConstr[[#This Row],[Water]]</f>
        <v>0</v>
      </c>
      <c r="I6" s="215"/>
      <c r="J6" s="175">
        <f t="shared" si="0"/>
        <v>3</v>
      </c>
      <c r="K6" s="236">
        <f ca="1">TblImps[[#This Row],[Real time]]</f>
        <v>46047.083333333328</v>
      </c>
      <c r="S6" s="94">
        <f>SUMIF(TblRezone[[#This Row],[Plains Rezone]:[Water Rezone]],"&gt;0")</f>
        <v>0</v>
      </c>
      <c r="T6" s="61" t="str">
        <f>IF(SUM(TblRezone[[#This Row],[Plains Rezone]:[Water Rezone]])=0,"Ok","Nope")</f>
        <v>Ok</v>
      </c>
      <c r="U6" s="215"/>
      <c r="V6" s="94">
        <f ca="1">TblProd[[#This Row],[Platinum]]</f>
        <v>52556</v>
      </c>
      <c r="W6" s="215"/>
      <c r="X6" s="94">
        <f ca="1">ROUND( (1-MIN(ROUND(facs_rezone_factor*TblRezone[[#This Row],[Facs]],4),facs_rezone_max) + tech_6_4*TblTech[[#This Row],[6-4]] + tech_10_2*TblTech[[#This Row],[10-2]] - IF(TblMagic[[#This Row],[Active Mechanical Genius]]&gt;0,mech_genius_bonus,0) + race_rezone_cost) * TblRezone[[#This Row],[Plat/acre*]],0)</f>
        <v>130</v>
      </c>
      <c r="Y6" s="94">
        <f ca="1">TblRezone[[#This Row],[Total acres]]*TblRezone[[#This Row],[Plat/acre]]</f>
        <v>0</v>
      </c>
      <c r="Z6" s="215"/>
      <c r="AA6" s="94">
        <f ca="1">(250+0.6*(TblRezone[[#This Row],[Land]]-250))</f>
        <v>130</v>
      </c>
      <c r="AB6" s="215"/>
      <c r="AC6" s="157">
        <f ca="1">TblConstr[[#This Row],[Facs DB]]</f>
        <v>0</v>
      </c>
    </row>
    <row r="7" spans="1:29" hidden="1" x14ac:dyDescent="0.2">
      <c r="A7" s="214">
        <f ca="1">TblConstr[[#This Row],[Land]]</f>
        <v>50</v>
      </c>
      <c r="B7" s="216">
        <f ca="1">TblConstr[[#This Row],[Plain]]</f>
        <v>0</v>
      </c>
      <c r="C7" s="182">
        <f ca="1">TblConstr[[#This Row],[Forest]]</f>
        <v>0</v>
      </c>
      <c r="D7" s="359">
        <f ca="1">TblConstr[[#This Row],[Mountain]]</f>
        <v>0</v>
      </c>
      <c r="E7" s="363">
        <f ca="1">TblConstr[[#This Row],[Hill]]</f>
        <v>0</v>
      </c>
      <c r="F7" s="367">
        <f ca="1">TblConstr[[#This Row],[Swamp]]</f>
        <v>0</v>
      </c>
      <c r="G7" s="185">
        <f ca="1">TblConstr[[#This Row],[Cavern]]</f>
        <v>0</v>
      </c>
      <c r="H7" s="186">
        <f ca="1">TblConstr[[#This Row],[Water]]</f>
        <v>0</v>
      </c>
      <c r="I7" s="215"/>
      <c r="J7" s="175">
        <f t="shared" si="0"/>
        <v>4</v>
      </c>
      <c r="K7" s="236">
        <f ca="1">TblImps[[#This Row],[Real time]]</f>
        <v>46047.124999999993</v>
      </c>
      <c r="S7" s="94">
        <f>SUMIF(TblRezone[[#This Row],[Plains Rezone]:[Water Rezone]],"&gt;0")</f>
        <v>0</v>
      </c>
      <c r="T7" s="61" t="str">
        <f>IF(SUM(TblRezone[[#This Row],[Plains Rezone]:[Water Rezone]])=0,"Ok","Nope")</f>
        <v>Ok</v>
      </c>
      <c r="U7" s="215"/>
      <c r="V7" s="94">
        <f ca="1">TblProd[[#This Row],[Platinum]]</f>
        <v>53870</v>
      </c>
      <c r="W7" s="215"/>
      <c r="X7" s="94">
        <f ca="1">ROUND( (1-MIN(ROUND(facs_rezone_factor*TblRezone[[#This Row],[Facs]],4),facs_rezone_max) + tech_6_4*TblTech[[#This Row],[6-4]] + tech_10_2*TblTech[[#This Row],[10-2]] - IF(TblMagic[[#This Row],[Active Mechanical Genius]]&gt;0,mech_genius_bonus,0) + race_rezone_cost) * TblRezone[[#This Row],[Plat/acre*]],0)</f>
        <v>130</v>
      </c>
      <c r="Y7" s="94">
        <f ca="1">TblRezone[[#This Row],[Total acres]]*TblRezone[[#This Row],[Plat/acre]]</f>
        <v>0</v>
      </c>
      <c r="Z7" s="215"/>
      <c r="AA7" s="94">
        <f ca="1">(250+0.6*(TblRezone[[#This Row],[Land]]-250))</f>
        <v>130</v>
      </c>
      <c r="AB7" s="215"/>
      <c r="AC7" s="157">
        <f ca="1">TblConstr[[#This Row],[Facs DB]]</f>
        <v>0</v>
      </c>
    </row>
    <row r="8" spans="1:29" hidden="1" x14ac:dyDescent="0.2">
      <c r="A8" s="214">
        <f ca="1">TblConstr[[#This Row],[Land]]</f>
        <v>50</v>
      </c>
      <c r="B8" s="216">
        <f ca="1">TblConstr[[#This Row],[Plain]]</f>
        <v>0</v>
      </c>
      <c r="C8" s="182">
        <f ca="1">TblConstr[[#This Row],[Forest]]</f>
        <v>0</v>
      </c>
      <c r="D8" s="359">
        <f ca="1">TblConstr[[#This Row],[Mountain]]</f>
        <v>0</v>
      </c>
      <c r="E8" s="363">
        <f ca="1">TblConstr[[#This Row],[Hill]]</f>
        <v>0</v>
      </c>
      <c r="F8" s="367">
        <f ca="1">TblConstr[[#This Row],[Swamp]]</f>
        <v>0</v>
      </c>
      <c r="G8" s="185">
        <f ca="1">TblConstr[[#This Row],[Cavern]]</f>
        <v>0</v>
      </c>
      <c r="H8" s="186">
        <f ca="1">TblConstr[[#This Row],[Water]]</f>
        <v>0</v>
      </c>
      <c r="I8" s="215"/>
      <c r="J8" s="175">
        <f t="shared" si="0"/>
        <v>5</v>
      </c>
      <c r="K8" s="236">
        <f ca="1">TblImps[[#This Row],[Real time]]</f>
        <v>46047.166666666657</v>
      </c>
      <c r="S8" s="94">
        <f>SUMIF(TblRezone[[#This Row],[Plains Rezone]:[Water Rezone]],"&gt;0")</f>
        <v>0</v>
      </c>
      <c r="T8" s="61" t="str">
        <f>IF(SUM(TblRezone[[#This Row],[Plains Rezone]:[Water Rezone]])=0,"Ok","Nope")</f>
        <v>Ok</v>
      </c>
      <c r="U8" s="215"/>
      <c r="V8" s="94">
        <f ca="1">TblProd[[#This Row],[Platinum]]</f>
        <v>55209</v>
      </c>
      <c r="W8" s="215"/>
      <c r="X8" s="94">
        <f ca="1">ROUND( (1-MIN(ROUND(facs_rezone_factor*TblRezone[[#This Row],[Facs]],4),facs_rezone_max) + tech_6_4*TblTech[[#This Row],[6-4]] + tech_10_2*TblTech[[#This Row],[10-2]] - IF(TblMagic[[#This Row],[Active Mechanical Genius]]&gt;0,mech_genius_bonus,0) + race_rezone_cost) * TblRezone[[#This Row],[Plat/acre*]],0)</f>
        <v>130</v>
      </c>
      <c r="Y8" s="94">
        <f ca="1">TblRezone[[#This Row],[Total acres]]*TblRezone[[#This Row],[Plat/acre]]</f>
        <v>0</v>
      </c>
      <c r="Z8" s="215"/>
      <c r="AA8" s="94">
        <f ca="1">(250+0.6*(TblRezone[[#This Row],[Land]]-250))</f>
        <v>130</v>
      </c>
      <c r="AB8" s="215"/>
      <c r="AC8" s="157">
        <f ca="1">TblConstr[[#This Row],[Facs DB]]</f>
        <v>0</v>
      </c>
    </row>
    <row r="9" spans="1:29" hidden="1" x14ac:dyDescent="0.2">
      <c r="A9" s="214">
        <f ca="1">TblConstr[[#This Row],[Land]]</f>
        <v>50</v>
      </c>
      <c r="B9" s="216">
        <f ca="1">TblConstr[[#This Row],[Plain]]</f>
        <v>0</v>
      </c>
      <c r="C9" s="182">
        <f ca="1">TblConstr[[#This Row],[Forest]]</f>
        <v>0</v>
      </c>
      <c r="D9" s="359">
        <f ca="1">TblConstr[[#This Row],[Mountain]]</f>
        <v>0</v>
      </c>
      <c r="E9" s="363">
        <f ca="1">TblConstr[[#This Row],[Hill]]</f>
        <v>0</v>
      </c>
      <c r="F9" s="367">
        <f ca="1">TblConstr[[#This Row],[Swamp]]</f>
        <v>0</v>
      </c>
      <c r="G9" s="185">
        <f ca="1">TblConstr[[#This Row],[Cavern]]</f>
        <v>0</v>
      </c>
      <c r="H9" s="186">
        <f ca="1">TblConstr[[#This Row],[Water]]</f>
        <v>0</v>
      </c>
      <c r="I9" s="215"/>
      <c r="J9" s="175">
        <f t="shared" si="0"/>
        <v>6</v>
      </c>
      <c r="K9" s="236">
        <f ca="1">TblImps[[#This Row],[Real time]]</f>
        <v>46047.208333333321</v>
      </c>
      <c r="S9" s="94">
        <f>SUMIF(TblRezone[[#This Row],[Plains Rezone]:[Water Rezone]],"&gt;0")</f>
        <v>0</v>
      </c>
      <c r="T9" s="61" t="str">
        <f>IF(SUM(TblRezone[[#This Row],[Plains Rezone]:[Water Rezone]])=0,"Ok","Nope")</f>
        <v>Ok</v>
      </c>
      <c r="U9" s="215"/>
      <c r="V9" s="94">
        <f ca="1">TblProd[[#This Row],[Platinum]]</f>
        <v>56575</v>
      </c>
      <c r="W9" s="215"/>
      <c r="X9" s="94">
        <f ca="1">ROUND( (1-MIN(ROUND(facs_rezone_factor*TblRezone[[#This Row],[Facs]],4),facs_rezone_max) + tech_6_4*TblTech[[#This Row],[6-4]] + tech_10_2*TblTech[[#This Row],[10-2]] - IF(TblMagic[[#This Row],[Active Mechanical Genius]]&gt;0,mech_genius_bonus,0) + race_rezone_cost) * TblRezone[[#This Row],[Plat/acre*]],0)</f>
        <v>130</v>
      </c>
      <c r="Y9" s="94">
        <f ca="1">TblRezone[[#This Row],[Total acres]]*TblRezone[[#This Row],[Plat/acre]]</f>
        <v>0</v>
      </c>
      <c r="Z9" s="215"/>
      <c r="AA9" s="94">
        <f ca="1">(250+0.6*(TblRezone[[#This Row],[Land]]-250))</f>
        <v>130</v>
      </c>
      <c r="AB9" s="215"/>
      <c r="AC9" s="157">
        <f ca="1">TblConstr[[#This Row],[Facs DB]]</f>
        <v>0</v>
      </c>
    </row>
    <row r="10" spans="1:29" hidden="1" x14ac:dyDescent="0.2">
      <c r="A10" s="214">
        <f ca="1">TblConstr[[#This Row],[Land]]</f>
        <v>50</v>
      </c>
      <c r="B10" s="216">
        <f ca="1">TblConstr[[#This Row],[Plain]]</f>
        <v>0</v>
      </c>
      <c r="C10" s="182">
        <f ca="1">TblConstr[[#This Row],[Forest]]</f>
        <v>0</v>
      </c>
      <c r="D10" s="359">
        <f ca="1">TblConstr[[#This Row],[Mountain]]</f>
        <v>0</v>
      </c>
      <c r="E10" s="363">
        <f ca="1">TblConstr[[#This Row],[Hill]]</f>
        <v>0</v>
      </c>
      <c r="F10" s="367">
        <f ca="1">TblConstr[[#This Row],[Swamp]]</f>
        <v>0</v>
      </c>
      <c r="G10" s="185">
        <f ca="1">TblConstr[[#This Row],[Cavern]]</f>
        <v>0</v>
      </c>
      <c r="H10" s="186">
        <f ca="1">TblConstr[[#This Row],[Water]]</f>
        <v>0</v>
      </c>
      <c r="I10" s="215"/>
      <c r="J10" s="175">
        <f t="shared" si="0"/>
        <v>7</v>
      </c>
      <c r="K10" s="236">
        <f ca="1">TblImps[[#This Row],[Real time]]</f>
        <v>46047.249999999985</v>
      </c>
      <c r="S10" s="94">
        <f>SUMIF(TblRezone[[#This Row],[Plains Rezone]:[Water Rezone]],"&gt;0")</f>
        <v>0</v>
      </c>
      <c r="T10" s="61" t="str">
        <f>IF(SUM(TblRezone[[#This Row],[Plains Rezone]:[Water Rezone]])=0,"Ok","Nope")</f>
        <v>Ok</v>
      </c>
      <c r="U10" s="215"/>
      <c r="V10" s="94">
        <f ca="1">TblProd[[#This Row],[Platinum]]</f>
        <v>57968</v>
      </c>
      <c r="W10" s="215"/>
      <c r="X10" s="94">
        <f ca="1">ROUND( (1-MIN(ROUND(facs_rezone_factor*TblRezone[[#This Row],[Facs]],4),facs_rezone_max) + tech_6_4*TblTech[[#This Row],[6-4]] + tech_10_2*TblTech[[#This Row],[10-2]] - IF(TblMagic[[#This Row],[Active Mechanical Genius]]&gt;0,mech_genius_bonus,0) + race_rezone_cost) * TblRezone[[#This Row],[Plat/acre*]],0)</f>
        <v>130</v>
      </c>
      <c r="Y10" s="94">
        <f ca="1">TblRezone[[#This Row],[Total acres]]*TblRezone[[#This Row],[Plat/acre]]</f>
        <v>0</v>
      </c>
      <c r="Z10" s="215"/>
      <c r="AA10" s="94">
        <f ca="1">(250+0.6*(TblRezone[[#This Row],[Land]]-250))</f>
        <v>130</v>
      </c>
      <c r="AB10" s="215"/>
      <c r="AC10" s="157">
        <f ca="1">TblConstr[[#This Row],[Facs DB]]</f>
        <v>0</v>
      </c>
    </row>
    <row r="11" spans="1:29" hidden="1" x14ac:dyDescent="0.2">
      <c r="A11" s="214">
        <f ca="1">TblConstr[[#This Row],[Land]]</f>
        <v>50</v>
      </c>
      <c r="B11" s="216">
        <f ca="1">TblConstr[[#This Row],[Plain]]</f>
        <v>0</v>
      </c>
      <c r="C11" s="182">
        <f ca="1">TblConstr[[#This Row],[Forest]]</f>
        <v>0</v>
      </c>
      <c r="D11" s="359">
        <f ca="1">TblConstr[[#This Row],[Mountain]]</f>
        <v>0</v>
      </c>
      <c r="E11" s="363">
        <f ca="1">TblConstr[[#This Row],[Hill]]</f>
        <v>0</v>
      </c>
      <c r="F11" s="367">
        <f ca="1">TblConstr[[#This Row],[Swamp]]</f>
        <v>0</v>
      </c>
      <c r="G11" s="185">
        <f ca="1">TblConstr[[#This Row],[Cavern]]</f>
        <v>0</v>
      </c>
      <c r="H11" s="186">
        <f ca="1">TblConstr[[#This Row],[Water]]</f>
        <v>0</v>
      </c>
      <c r="I11" s="215"/>
      <c r="J11" s="175">
        <f t="shared" si="0"/>
        <v>8</v>
      </c>
      <c r="K11" s="236">
        <f ca="1">TblImps[[#This Row],[Real time]]</f>
        <v>46047.29166666665</v>
      </c>
      <c r="S11" s="94">
        <f>SUMIF(TblRezone[[#This Row],[Plains Rezone]:[Water Rezone]],"&gt;0")</f>
        <v>0</v>
      </c>
      <c r="T11" s="61" t="str">
        <f>IF(SUM(TblRezone[[#This Row],[Plains Rezone]:[Water Rezone]])=0,"Ok","Nope")</f>
        <v>Ok</v>
      </c>
      <c r="U11" s="215"/>
      <c r="V11" s="94">
        <f ca="1">TblProd[[#This Row],[Platinum]]</f>
        <v>59388</v>
      </c>
      <c r="W11" s="215"/>
      <c r="X11" s="94">
        <f ca="1">ROUND( (1-MIN(ROUND(facs_rezone_factor*TblRezone[[#This Row],[Facs]],4),facs_rezone_max) + tech_6_4*TblTech[[#This Row],[6-4]] + tech_10_2*TblTech[[#This Row],[10-2]] - IF(TblMagic[[#This Row],[Active Mechanical Genius]]&gt;0,mech_genius_bonus,0) + race_rezone_cost) * TblRezone[[#This Row],[Plat/acre*]],0)</f>
        <v>130</v>
      </c>
      <c r="Y11" s="94">
        <f ca="1">TblRezone[[#This Row],[Total acres]]*TblRezone[[#This Row],[Plat/acre]]</f>
        <v>0</v>
      </c>
      <c r="Z11" s="215"/>
      <c r="AA11" s="94">
        <f ca="1">(250+0.6*(TblRezone[[#This Row],[Land]]-250))</f>
        <v>130</v>
      </c>
      <c r="AB11" s="215"/>
      <c r="AC11" s="157">
        <f ca="1">TblConstr[[#This Row],[Facs DB]]</f>
        <v>0</v>
      </c>
    </row>
    <row r="12" spans="1:29" hidden="1" x14ac:dyDescent="0.2">
      <c r="A12" s="214">
        <f ca="1">TblConstr[[#This Row],[Land]]</f>
        <v>50</v>
      </c>
      <c r="B12" s="216">
        <f ca="1">TblConstr[[#This Row],[Plain]]</f>
        <v>0</v>
      </c>
      <c r="C12" s="182">
        <f ca="1">TblConstr[[#This Row],[Forest]]</f>
        <v>0</v>
      </c>
      <c r="D12" s="359">
        <f ca="1">TblConstr[[#This Row],[Mountain]]</f>
        <v>0</v>
      </c>
      <c r="E12" s="363">
        <f ca="1">TblConstr[[#This Row],[Hill]]</f>
        <v>0</v>
      </c>
      <c r="F12" s="367">
        <f ca="1">TblConstr[[#This Row],[Swamp]]</f>
        <v>0</v>
      </c>
      <c r="G12" s="185">
        <f ca="1">TblConstr[[#This Row],[Cavern]]</f>
        <v>0</v>
      </c>
      <c r="H12" s="186">
        <f ca="1">TblConstr[[#This Row],[Water]]</f>
        <v>0</v>
      </c>
      <c r="I12" s="215"/>
      <c r="J12" s="175">
        <f t="shared" si="0"/>
        <v>9</v>
      </c>
      <c r="K12" s="236">
        <f ca="1">TblImps[[#This Row],[Real time]]</f>
        <v>46047.333333333314</v>
      </c>
      <c r="S12" s="94">
        <f>SUMIF(TblRezone[[#This Row],[Plains Rezone]:[Water Rezone]],"&gt;0")</f>
        <v>0</v>
      </c>
      <c r="T12" s="61" t="str">
        <f>IF(SUM(TblRezone[[#This Row],[Plains Rezone]:[Water Rezone]])=0,"Ok","Nope")</f>
        <v>Ok</v>
      </c>
      <c r="U12" s="215"/>
      <c r="V12" s="94">
        <f ca="1">TblProd[[#This Row],[Platinum]]</f>
        <v>60837</v>
      </c>
      <c r="W12" s="215"/>
      <c r="X12" s="94">
        <f ca="1">ROUND( (1-MIN(ROUND(facs_rezone_factor*TblRezone[[#This Row],[Facs]],4),facs_rezone_max) + tech_6_4*TblTech[[#This Row],[6-4]] + tech_10_2*TblTech[[#This Row],[10-2]] - IF(TblMagic[[#This Row],[Active Mechanical Genius]]&gt;0,mech_genius_bonus,0) + race_rezone_cost) * TblRezone[[#This Row],[Plat/acre*]],0)</f>
        <v>130</v>
      </c>
      <c r="Y12" s="94">
        <f ca="1">TblRezone[[#This Row],[Total acres]]*TblRezone[[#This Row],[Plat/acre]]</f>
        <v>0</v>
      </c>
      <c r="Z12" s="215"/>
      <c r="AA12" s="94">
        <f ca="1">(250+0.6*(TblRezone[[#This Row],[Land]]-250))</f>
        <v>130</v>
      </c>
      <c r="AB12" s="215"/>
      <c r="AC12" s="157">
        <f ca="1">TblConstr[[#This Row],[Facs DB]]</f>
        <v>0</v>
      </c>
    </row>
    <row r="13" spans="1:29" hidden="1" x14ac:dyDescent="0.2">
      <c r="A13" s="214">
        <f ca="1">TblConstr[[#This Row],[Land]]</f>
        <v>50</v>
      </c>
      <c r="B13" s="216">
        <f ca="1">TblConstr[[#This Row],[Plain]]</f>
        <v>0</v>
      </c>
      <c r="C13" s="182">
        <f ca="1">TblConstr[[#This Row],[Forest]]</f>
        <v>0</v>
      </c>
      <c r="D13" s="359">
        <f ca="1">TblConstr[[#This Row],[Mountain]]</f>
        <v>0</v>
      </c>
      <c r="E13" s="363">
        <f ca="1">TblConstr[[#This Row],[Hill]]</f>
        <v>0</v>
      </c>
      <c r="F13" s="367">
        <f ca="1">TblConstr[[#This Row],[Swamp]]</f>
        <v>0</v>
      </c>
      <c r="G13" s="185">
        <f ca="1">TblConstr[[#This Row],[Cavern]]</f>
        <v>0</v>
      </c>
      <c r="H13" s="186">
        <f ca="1">TblConstr[[#This Row],[Water]]</f>
        <v>0</v>
      </c>
      <c r="I13" s="215"/>
      <c r="J13" s="175">
        <f t="shared" si="0"/>
        <v>10</v>
      </c>
      <c r="K13" s="236">
        <f ca="1">TblImps[[#This Row],[Real time]]</f>
        <v>46047.374999999978</v>
      </c>
      <c r="S13" s="94">
        <f>SUMIF(TblRezone[[#This Row],[Plains Rezone]:[Water Rezone]],"&gt;0")</f>
        <v>0</v>
      </c>
      <c r="T13" s="61" t="str">
        <f>IF(SUM(TblRezone[[#This Row],[Plains Rezone]:[Water Rezone]])=0,"Ok","Nope")</f>
        <v>Ok</v>
      </c>
      <c r="U13" s="215"/>
      <c r="V13" s="94">
        <f ca="1">TblProd[[#This Row],[Platinum]]</f>
        <v>62316</v>
      </c>
      <c r="W13" s="215"/>
      <c r="X13" s="94">
        <f ca="1">ROUND( (1-MIN(ROUND(facs_rezone_factor*TblRezone[[#This Row],[Facs]],4),facs_rezone_max) + tech_6_4*TblTech[[#This Row],[6-4]] + tech_10_2*TblTech[[#This Row],[10-2]] - IF(TblMagic[[#This Row],[Active Mechanical Genius]]&gt;0,mech_genius_bonus,0) + race_rezone_cost) * TblRezone[[#This Row],[Plat/acre*]],0)</f>
        <v>130</v>
      </c>
      <c r="Y13" s="94">
        <f ca="1">TblRezone[[#This Row],[Total acres]]*TblRezone[[#This Row],[Plat/acre]]</f>
        <v>0</v>
      </c>
      <c r="Z13" s="215"/>
      <c r="AA13" s="94">
        <f ca="1">(250+0.6*(TblRezone[[#This Row],[Land]]-250))</f>
        <v>130</v>
      </c>
      <c r="AB13" s="215"/>
      <c r="AC13" s="157">
        <f ca="1">TblConstr[[#This Row],[Facs DB]]</f>
        <v>0</v>
      </c>
    </row>
    <row r="14" spans="1:29" hidden="1" x14ac:dyDescent="0.2">
      <c r="A14" s="214">
        <f ca="1">TblConstr[[#This Row],[Land]]</f>
        <v>50</v>
      </c>
      <c r="B14" s="216">
        <f ca="1">TblConstr[[#This Row],[Plain]]</f>
        <v>0</v>
      </c>
      <c r="C14" s="182">
        <f ca="1">TblConstr[[#This Row],[Forest]]</f>
        <v>0</v>
      </c>
      <c r="D14" s="359">
        <f ca="1">TblConstr[[#This Row],[Mountain]]</f>
        <v>0</v>
      </c>
      <c r="E14" s="363">
        <f ca="1">TblConstr[[#This Row],[Hill]]</f>
        <v>0</v>
      </c>
      <c r="F14" s="367">
        <f ca="1">TblConstr[[#This Row],[Swamp]]</f>
        <v>0</v>
      </c>
      <c r="G14" s="185">
        <f ca="1">TblConstr[[#This Row],[Cavern]]</f>
        <v>0</v>
      </c>
      <c r="H14" s="186">
        <f ca="1">TblConstr[[#This Row],[Water]]</f>
        <v>0</v>
      </c>
      <c r="I14" s="215"/>
      <c r="J14" s="175">
        <f t="shared" si="0"/>
        <v>11</v>
      </c>
      <c r="K14" s="236">
        <f ca="1">TblImps[[#This Row],[Real time]]</f>
        <v>46047.416666666642</v>
      </c>
      <c r="S14" s="94">
        <f>SUMIF(TblRezone[[#This Row],[Plains Rezone]:[Water Rezone]],"&gt;0")</f>
        <v>0</v>
      </c>
      <c r="T14" s="61" t="str">
        <f>IF(SUM(TblRezone[[#This Row],[Plains Rezone]:[Water Rezone]])=0,"Ok","Nope")</f>
        <v>Ok</v>
      </c>
      <c r="U14" s="215"/>
      <c r="V14" s="94">
        <f ca="1">TblProd[[#This Row],[Platinum]]</f>
        <v>63825</v>
      </c>
      <c r="W14" s="215"/>
      <c r="X14" s="94">
        <f ca="1">ROUND( (1-MIN(ROUND(facs_rezone_factor*TblRezone[[#This Row],[Facs]],4),facs_rezone_max) + tech_6_4*TblTech[[#This Row],[6-4]] + tech_10_2*TblTech[[#This Row],[10-2]] - IF(TblMagic[[#This Row],[Active Mechanical Genius]]&gt;0,mech_genius_bonus,0) + race_rezone_cost) * TblRezone[[#This Row],[Plat/acre*]],0)</f>
        <v>130</v>
      </c>
      <c r="Y14" s="94">
        <f ca="1">TblRezone[[#This Row],[Total acres]]*TblRezone[[#This Row],[Plat/acre]]</f>
        <v>0</v>
      </c>
      <c r="Z14" s="215"/>
      <c r="AA14" s="94">
        <f ca="1">(250+0.6*(TblRezone[[#This Row],[Land]]-250))</f>
        <v>130</v>
      </c>
      <c r="AB14" s="215"/>
      <c r="AC14" s="157">
        <f ca="1">TblConstr[[#This Row],[Facs DB]]</f>
        <v>0</v>
      </c>
    </row>
    <row r="15" spans="1:29" hidden="1" x14ac:dyDescent="0.2">
      <c r="A15" s="214">
        <f ca="1">TblConstr[[#This Row],[Land]]</f>
        <v>50</v>
      </c>
      <c r="B15" s="216">
        <f ca="1">TblConstr[[#This Row],[Plain]]</f>
        <v>0</v>
      </c>
      <c r="C15" s="182">
        <f ca="1">TblConstr[[#This Row],[Forest]]</f>
        <v>0</v>
      </c>
      <c r="D15" s="359">
        <f ca="1">TblConstr[[#This Row],[Mountain]]</f>
        <v>0</v>
      </c>
      <c r="E15" s="363">
        <f ca="1">TblConstr[[#This Row],[Hill]]</f>
        <v>0</v>
      </c>
      <c r="F15" s="367">
        <f ca="1">TblConstr[[#This Row],[Swamp]]</f>
        <v>0</v>
      </c>
      <c r="G15" s="185">
        <f ca="1">TblConstr[[#This Row],[Cavern]]</f>
        <v>0</v>
      </c>
      <c r="H15" s="186">
        <f ca="1">TblConstr[[#This Row],[Water]]</f>
        <v>0</v>
      </c>
      <c r="I15" s="215"/>
      <c r="J15" s="175">
        <f t="shared" si="0"/>
        <v>12</v>
      </c>
      <c r="K15" s="236">
        <f ca="1">TblImps[[#This Row],[Real time]]</f>
        <v>46047.458333333307</v>
      </c>
      <c r="S15" s="94">
        <f>SUMIF(TblRezone[[#This Row],[Plains Rezone]:[Water Rezone]],"&gt;0")</f>
        <v>0</v>
      </c>
      <c r="T15" s="61" t="str">
        <f>IF(SUM(TblRezone[[#This Row],[Plains Rezone]:[Water Rezone]])=0,"Ok","Nope")</f>
        <v>Ok</v>
      </c>
      <c r="U15" s="215"/>
      <c r="V15" s="94">
        <f ca="1">TblProd[[#This Row],[Platinum]]</f>
        <v>65358</v>
      </c>
      <c r="W15" s="215"/>
      <c r="X15" s="94">
        <f ca="1">ROUND( (1-MIN(ROUND(facs_rezone_factor*TblRezone[[#This Row],[Facs]],4),facs_rezone_max) + tech_6_4*TblTech[[#This Row],[6-4]] + tech_10_2*TblTech[[#This Row],[10-2]] - IF(TblMagic[[#This Row],[Active Mechanical Genius]]&gt;0,mech_genius_bonus,0) + race_rezone_cost) * TblRezone[[#This Row],[Plat/acre*]],0)</f>
        <v>130</v>
      </c>
      <c r="Y15" s="94">
        <f ca="1">TblRezone[[#This Row],[Total acres]]*TblRezone[[#This Row],[Plat/acre]]</f>
        <v>0</v>
      </c>
      <c r="Z15" s="215"/>
      <c r="AA15" s="94">
        <f ca="1">(250+0.6*(TblRezone[[#This Row],[Land]]-250))</f>
        <v>130</v>
      </c>
      <c r="AB15" s="215"/>
      <c r="AC15" s="157">
        <f ca="1">TblConstr[[#This Row],[Facs DB]]</f>
        <v>0</v>
      </c>
    </row>
    <row r="16" spans="1:29" x14ac:dyDescent="0.2">
      <c r="A16" s="214">
        <f ca="1">TblConstr[[#This Row],[Land]]</f>
        <v>110</v>
      </c>
      <c r="B16" s="216">
        <f ca="1">TblConstr[[#This Row],[Plain]]</f>
        <v>60</v>
      </c>
      <c r="C16" s="182">
        <f ca="1">TblConstr[[#This Row],[Forest]]</f>
        <v>0</v>
      </c>
      <c r="D16" s="359">
        <f ca="1">TblConstr[[#This Row],[Mountain]]</f>
        <v>0</v>
      </c>
      <c r="E16" s="363">
        <f ca="1">TblConstr[[#This Row],[Hill]]</f>
        <v>0</v>
      </c>
      <c r="F16" s="367">
        <f ca="1">TblConstr[[#This Row],[Swamp]]</f>
        <v>0</v>
      </c>
      <c r="G16" s="185">
        <f ca="1">TblConstr[[#This Row],[Cavern]]</f>
        <v>0</v>
      </c>
      <c r="H16" s="186">
        <f ca="1">TblConstr[[#This Row],[Water]]</f>
        <v>0</v>
      </c>
      <c r="I16" s="215"/>
      <c r="J16" s="175">
        <f>J15+1</f>
        <v>13</v>
      </c>
      <c r="K16" s="236">
        <f ca="1">TblImps[[#This Row],[Real time]]</f>
        <v>46047.499999999971</v>
      </c>
      <c r="L16" s="158"/>
      <c r="M16" s="158"/>
      <c r="N16" s="179"/>
      <c r="O16" s="179"/>
      <c r="P16" s="179"/>
      <c r="Q16" s="158"/>
      <c r="R16" s="158"/>
      <c r="S16" s="94">
        <f>SUMIF(TblRezone[[#This Row],[Plains Rezone]:[Water Rezone]],"&gt;0")</f>
        <v>0</v>
      </c>
      <c r="T16" s="61" t="str">
        <f>IF(SUM(TblRezone[[#This Row],[Plains Rezone]:[Water Rezone]])=0,"Ok","Nope")</f>
        <v>Ok</v>
      </c>
      <c r="U16" s="215"/>
      <c r="V16" s="94">
        <f ca="1">TblProd[[#This Row],[Platinum]]</f>
        <v>66875</v>
      </c>
      <c r="W16" s="215"/>
      <c r="X16" s="94">
        <f ca="1">ROUND( (1-MIN(ROUND(facs_rezone_factor*TblRezone[[#This Row],[Facs]],4),facs_rezone_max) + tech_6_4*TblTech[[#This Row],[6-4]] + tech_10_2*TblTech[[#This Row],[10-2]] - IF(TblMagic[[#This Row],[Active Mechanical Genius]]&gt;0,mech_genius_bonus,0) + race_rezone_cost) * TblRezone[[#This Row],[Plat/acre*]],0)</f>
        <v>166</v>
      </c>
      <c r="Y16" s="94">
        <f ca="1">TblRezone[[#This Row],[Total acres]]*TblRezone[[#This Row],[Plat/acre]]</f>
        <v>0</v>
      </c>
      <c r="Z16" s="215"/>
      <c r="AA16" s="94">
        <f ca="1">(250+0.6*(TblRezone[[#This Row],[Land]]-250))</f>
        <v>166</v>
      </c>
      <c r="AB16" s="215"/>
      <c r="AC16" s="157">
        <f ca="1">TblConstr[[#This Row],[Facs DB]]</f>
        <v>0</v>
      </c>
    </row>
    <row r="17" spans="1:29" hidden="1" x14ac:dyDescent="0.2">
      <c r="A17" s="214">
        <f ca="1">TblConstr[[#This Row],[Land]]</f>
        <v>110</v>
      </c>
      <c r="B17" s="216">
        <f ca="1">TblConstr[[#This Row],[Plain]]</f>
        <v>60</v>
      </c>
      <c r="C17" s="182">
        <f ca="1">TblConstr[[#This Row],[Forest]]</f>
        <v>0</v>
      </c>
      <c r="D17" s="359">
        <f ca="1">TblConstr[[#This Row],[Mountain]]</f>
        <v>0</v>
      </c>
      <c r="E17" s="363">
        <f ca="1">TblConstr[[#This Row],[Hill]]</f>
        <v>0</v>
      </c>
      <c r="F17" s="367">
        <f ca="1">TblConstr[[#This Row],[Swamp]]</f>
        <v>0</v>
      </c>
      <c r="G17" s="185">
        <f ca="1">TblConstr[[#This Row],[Cavern]]</f>
        <v>0</v>
      </c>
      <c r="H17" s="186">
        <f ca="1">TblConstr[[#This Row],[Water]]</f>
        <v>0</v>
      </c>
      <c r="I17" s="215"/>
      <c r="J17" s="175">
        <f t="shared" ref="J17:J76" si="1">J16+1</f>
        <v>14</v>
      </c>
      <c r="K17" s="236">
        <f ca="1">TblImps[[#This Row],[Real time]]</f>
        <v>46047.541666666635</v>
      </c>
      <c r="S17" s="94">
        <f>SUMIF(TblRezone[[#This Row],[Plains Rezone]:[Water Rezone]],"&gt;0")</f>
        <v>0</v>
      </c>
      <c r="T17" s="61" t="str">
        <f>IF(SUM(TblRezone[[#This Row],[Plains Rezone]:[Water Rezone]])=0,"Ok","Nope")</f>
        <v>Ok</v>
      </c>
      <c r="U17" s="215"/>
      <c r="V17" s="94">
        <f ca="1">TblProd[[#This Row],[Platinum]]</f>
        <v>68422</v>
      </c>
      <c r="W17" s="215"/>
      <c r="X17" s="94">
        <f ca="1">ROUND( (1-MIN(ROUND(facs_rezone_factor*TblRezone[[#This Row],[Facs]],4),facs_rezone_max) + tech_6_4*TblTech[[#This Row],[6-4]] + tech_10_2*TblTech[[#This Row],[10-2]] - IF(TblMagic[[#This Row],[Active Mechanical Genius]]&gt;0,mech_genius_bonus,0) + race_rezone_cost) * TblRezone[[#This Row],[Plat/acre*]],0)</f>
        <v>166</v>
      </c>
      <c r="Y17" s="94">
        <f ca="1">TblRezone[[#This Row],[Total acres]]*TblRezone[[#This Row],[Plat/acre]]</f>
        <v>0</v>
      </c>
      <c r="Z17" s="215"/>
      <c r="AA17" s="94">
        <f ca="1">(250+0.6*(TblRezone[[#This Row],[Land]]-250))</f>
        <v>166</v>
      </c>
      <c r="AB17" s="215"/>
      <c r="AC17" s="157">
        <f ca="1">TblConstr[[#This Row],[Facs DB]]</f>
        <v>0</v>
      </c>
    </row>
    <row r="18" spans="1:29" hidden="1" x14ac:dyDescent="0.2">
      <c r="A18" s="214">
        <f ca="1">TblConstr[[#This Row],[Land]]</f>
        <v>110</v>
      </c>
      <c r="B18" s="216">
        <f ca="1">TblConstr[[#This Row],[Plain]]</f>
        <v>60</v>
      </c>
      <c r="C18" s="182">
        <f ca="1">TblConstr[[#This Row],[Forest]]</f>
        <v>0</v>
      </c>
      <c r="D18" s="359">
        <f ca="1">TblConstr[[#This Row],[Mountain]]</f>
        <v>0</v>
      </c>
      <c r="E18" s="363">
        <f ca="1">TblConstr[[#This Row],[Hill]]</f>
        <v>0</v>
      </c>
      <c r="F18" s="367">
        <f ca="1">TblConstr[[#This Row],[Swamp]]</f>
        <v>0</v>
      </c>
      <c r="G18" s="185">
        <f ca="1">TblConstr[[#This Row],[Cavern]]</f>
        <v>0</v>
      </c>
      <c r="H18" s="186">
        <f ca="1">TblConstr[[#This Row],[Water]]</f>
        <v>0</v>
      </c>
      <c r="I18" s="215"/>
      <c r="J18" s="175">
        <f t="shared" si="1"/>
        <v>15</v>
      </c>
      <c r="K18" s="236">
        <f ca="1">TblImps[[#This Row],[Real time]]</f>
        <v>46047.583333333299</v>
      </c>
      <c r="S18" s="94">
        <f>SUMIF(TblRezone[[#This Row],[Plains Rezone]:[Water Rezone]],"&gt;0")</f>
        <v>0</v>
      </c>
      <c r="T18" s="61" t="str">
        <f>IF(SUM(TblRezone[[#This Row],[Plains Rezone]:[Water Rezone]])=0,"Ok","Nope")</f>
        <v>Ok</v>
      </c>
      <c r="U18" s="215"/>
      <c r="V18" s="94">
        <f ca="1">TblProd[[#This Row],[Platinum]]</f>
        <v>69998</v>
      </c>
      <c r="W18" s="215"/>
      <c r="X18" s="94">
        <f ca="1">ROUND( (1-MIN(ROUND(facs_rezone_factor*TblRezone[[#This Row],[Facs]],4),facs_rezone_max) + tech_6_4*TblTech[[#This Row],[6-4]] + tech_10_2*TblTech[[#This Row],[10-2]] - IF(TblMagic[[#This Row],[Active Mechanical Genius]]&gt;0,mech_genius_bonus,0) + race_rezone_cost) * TblRezone[[#This Row],[Plat/acre*]],0)</f>
        <v>166</v>
      </c>
      <c r="Y18" s="94">
        <f ca="1">TblRezone[[#This Row],[Total acres]]*TblRezone[[#This Row],[Plat/acre]]</f>
        <v>0</v>
      </c>
      <c r="Z18" s="215"/>
      <c r="AA18" s="94">
        <f ca="1">(250+0.6*(TblRezone[[#This Row],[Land]]-250))</f>
        <v>166</v>
      </c>
      <c r="AB18" s="215"/>
      <c r="AC18" s="157">
        <f ca="1">TblConstr[[#This Row],[Facs DB]]</f>
        <v>0</v>
      </c>
    </row>
    <row r="19" spans="1:29" hidden="1" x14ac:dyDescent="0.2">
      <c r="A19" s="214">
        <f ca="1">TblConstr[[#This Row],[Land]]</f>
        <v>110</v>
      </c>
      <c r="B19" s="216">
        <f ca="1">TblConstr[[#This Row],[Plain]]</f>
        <v>60</v>
      </c>
      <c r="C19" s="182">
        <f ca="1">TblConstr[[#This Row],[Forest]]</f>
        <v>0</v>
      </c>
      <c r="D19" s="359">
        <f ca="1">TblConstr[[#This Row],[Mountain]]</f>
        <v>0</v>
      </c>
      <c r="E19" s="363">
        <f ca="1">TblConstr[[#This Row],[Hill]]</f>
        <v>0</v>
      </c>
      <c r="F19" s="367">
        <f ca="1">TblConstr[[#This Row],[Swamp]]</f>
        <v>0</v>
      </c>
      <c r="G19" s="185">
        <f ca="1">TblConstr[[#This Row],[Cavern]]</f>
        <v>0</v>
      </c>
      <c r="H19" s="186">
        <f ca="1">TblConstr[[#This Row],[Water]]</f>
        <v>0</v>
      </c>
      <c r="I19" s="215"/>
      <c r="J19" s="175">
        <f t="shared" si="1"/>
        <v>16</v>
      </c>
      <c r="K19" s="236">
        <f ca="1">TblImps[[#This Row],[Real time]]</f>
        <v>46047.624999999964</v>
      </c>
      <c r="S19" s="94">
        <f>SUMIF(TblRezone[[#This Row],[Plains Rezone]:[Water Rezone]],"&gt;0")</f>
        <v>0</v>
      </c>
      <c r="T19" s="61" t="str">
        <f>IF(SUM(TblRezone[[#This Row],[Plains Rezone]:[Water Rezone]])=0,"Ok","Nope")</f>
        <v>Ok</v>
      </c>
      <c r="U19" s="215"/>
      <c r="V19" s="94">
        <f ca="1">TblProd[[#This Row],[Platinum]]</f>
        <v>71604</v>
      </c>
      <c r="W19" s="215"/>
      <c r="X19" s="94">
        <f ca="1">ROUND( (1-MIN(ROUND(facs_rezone_factor*TblRezone[[#This Row],[Facs]],4),facs_rezone_max) + tech_6_4*TblTech[[#This Row],[6-4]] + tech_10_2*TblTech[[#This Row],[10-2]] - IF(TblMagic[[#This Row],[Active Mechanical Genius]]&gt;0,mech_genius_bonus,0) + race_rezone_cost) * TblRezone[[#This Row],[Plat/acre*]],0)</f>
        <v>166</v>
      </c>
      <c r="Y19" s="94">
        <f ca="1">TblRezone[[#This Row],[Total acres]]*TblRezone[[#This Row],[Plat/acre]]</f>
        <v>0</v>
      </c>
      <c r="Z19" s="215"/>
      <c r="AA19" s="94">
        <f ca="1">(250+0.6*(TblRezone[[#This Row],[Land]]-250))</f>
        <v>166</v>
      </c>
      <c r="AB19" s="215"/>
      <c r="AC19" s="157">
        <f ca="1">TblConstr[[#This Row],[Facs DB]]</f>
        <v>0</v>
      </c>
    </row>
    <row r="20" spans="1:29" hidden="1" x14ac:dyDescent="0.2">
      <c r="A20" s="214">
        <f ca="1">TblConstr[[#This Row],[Land]]</f>
        <v>110</v>
      </c>
      <c r="B20" s="216">
        <f ca="1">TblConstr[[#This Row],[Plain]]</f>
        <v>60</v>
      </c>
      <c r="C20" s="182">
        <f ca="1">TblConstr[[#This Row],[Forest]]</f>
        <v>0</v>
      </c>
      <c r="D20" s="359">
        <f ca="1">TblConstr[[#This Row],[Mountain]]</f>
        <v>0</v>
      </c>
      <c r="E20" s="363">
        <f ca="1">TblConstr[[#This Row],[Hill]]</f>
        <v>0</v>
      </c>
      <c r="F20" s="367">
        <f ca="1">TblConstr[[#This Row],[Swamp]]</f>
        <v>0</v>
      </c>
      <c r="G20" s="185">
        <f ca="1">TblConstr[[#This Row],[Cavern]]</f>
        <v>0</v>
      </c>
      <c r="H20" s="186">
        <f ca="1">TblConstr[[#This Row],[Water]]</f>
        <v>0</v>
      </c>
      <c r="I20" s="215"/>
      <c r="J20" s="175">
        <f t="shared" si="1"/>
        <v>17</v>
      </c>
      <c r="K20" s="236">
        <f ca="1">TblImps[[#This Row],[Real time]]</f>
        <v>46047.666666666628</v>
      </c>
      <c r="S20" s="94">
        <f>SUMIF(TblRezone[[#This Row],[Plains Rezone]:[Water Rezone]],"&gt;0")</f>
        <v>0</v>
      </c>
      <c r="T20" s="61" t="str">
        <f>IF(SUM(TblRezone[[#This Row],[Plains Rezone]:[Water Rezone]])=0,"Ok","Nope")</f>
        <v>Ok</v>
      </c>
      <c r="U20" s="215"/>
      <c r="V20" s="94">
        <f ca="1">TblProd[[#This Row],[Platinum]]</f>
        <v>73242</v>
      </c>
      <c r="W20" s="215"/>
      <c r="X20" s="94">
        <f ca="1">ROUND( (1-MIN(ROUND(facs_rezone_factor*TblRezone[[#This Row],[Facs]],4),facs_rezone_max) + tech_6_4*TblTech[[#This Row],[6-4]] + tech_10_2*TblTech[[#This Row],[10-2]] - IF(TblMagic[[#This Row],[Active Mechanical Genius]]&gt;0,mech_genius_bonus,0) + race_rezone_cost) * TblRezone[[#This Row],[Plat/acre*]],0)</f>
        <v>166</v>
      </c>
      <c r="Y20" s="94">
        <f ca="1">TblRezone[[#This Row],[Total acres]]*TblRezone[[#This Row],[Plat/acre]]</f>
        <v>0</v>
      </c>
      <c r="Z20" s="215"/>
      <c r="AA20" s="94">
        <f ca="1">(250+0.6*(TblRezone[[#This Row],[Land]]-250))</f>
        <v>166</v>
      </c>
      <c r="AB20" s="215"/>
      <c r="AC20" s="157">
        <f ca="1">TblConstr[[#This Row],[Facs DB]]</f>
        <v>0</v>
      </c>
    </row>
    <row r="21" spans="1:29" hidden="1" x14ac:dyDescent="0.2">
      <c r="A21" s="214">
        <f ca="1">TblConstr[[#This Row],[Land]]</f>
        <v>110</v>
      </c>
      <c r="B21" s="216">
        <f ca="1">TblConstr[[#This Row],[Plain]]</f>
        <v>60</v>
      </c>
      <c r="C21" s="182">
        <f ca="1">TblConstr[[#This Row],[Forest]]</f>
        <v>0</v>
      </c>
      <c r="D21" s="359">
        <f ca="1">TblConstr[[#This Row],[Mountain]]</f>
        <v>0</v>
      </c>
      <c r="E21" s="363">
        <f ca="1">TblConstr[[#This Row],[Hill]]</f>
        <v>0</v>
      </c>
      <c r="F21" s="367">
        <f ca="1">TblConstr[[#This Row],[Swamp]]</f>
        <v>0</v>
      </c>
      <c r="G21" s="185">
        <f ca="1">TblConstr[[#This Row],[Cavern]]</f>
        <v>0</v>
      </c>
      <c r="H21" s="186">
        <f ca="1">TblConstr[[#This Row],[Water]]</f>
        <v>0</v>
      </c>
      <c r="I21" s="215"/>
      <c r="J21" s="175">
        <f t="shared" si="1"/>
        <v>18</v>
      </c>
      <c r="K21" s="236">
        <f ca="1">TblImps[[#This Row],[Real time]]</f>
        <v>46047.708333333292</v>
      </c>
      <c r="S21" s="94">
        <f>SUMIF(TblRezone[[#This Row],[Plains Rezone]:[Water Rezone]],"&gt;0")</f>
        <v>0</v>
      </c>
      <c r="T21" s="61" t="str">
        <f>IF(SUM(TblRezone[[#This Row],[Plains Rezone]:[Water Rezone]])=0,"Ok","Nope")</f>
        <v>Ok</v>
      </c>
      <c r="U21" s="215"/>
      <c r="V21" s="94">
        <f ca="1">TblProd[[#This Row],[Platinum]]</f>
        <v>74913</v>
      </c>
      <c r="W21" s="215"/>
      <c r="X21" s="94">
        <f ca="1">ROUND( (1-MIN(ROUND(facs_rezone_factor*TblRezone[[#This Row],[Facs]],4),facs_rezone_max) + tech_6_4*TblTech[[#This Row],[6-4]] + tech_10_2*TblTech[[#This Row],[10-2]] - IF(TblMagic[[#This Row],[Active Mechanical Genius]]&gt;0,mech_genius_bonus,0) + race_rezone_cost) * TblRezone[[#This Row],[Plat/acre*]],0)</f>
        <v>166</v>
      </c>
      <c r="Y21" s="94">
        <f ca="1">TblRezone[[#This Row],[Total acres]]*TblRezone[[#This Row],[Plat/acre]]</f>
        <v>0</v>
      </c>
      <c r="Z21" s="215"/>
      <c r="AA21" s="94">
        <f ca="1">(250+0.6*(TblRezone[[#This Row],[Land]]-250))</f>
        <v>166</v>
      </c>
      <c r="AB21" s="215"/>
      <c r="AC21" s="157">
        <f ca="1">TblConstr[[#This Row],[Facs DB]]</f>
        <v>0</v>
      </c>
    </row>
    <row r="22" spans="1:29" hidden="1" x14ac:dyDescent="0.2">
      <c r="A22" s="214">
        <f ca="1">TblConstr[[#This Row],[Land]]</f>
        <v>110</v>
      </c>
      <c r="B22" s="216">
        <f ca="1">TblConstr[[#This Row],[Plain]]</f>
        <v>60</v>
      </c>
      <c r="C22" s="182">
        <f ca="1">TblConstr[[#This Row],[Forest]]</f>
        <v>0</v>
      </c>
      <c r="D22" s="359">
        <f ca="1">TblConstr[[#This Row],[Mountain]]</f>
        <v>0</v>
      </c>
      <c r="E22" s="363">
        <f ca="1">TblConstr[[#This Row],[Hill]]</f>
        <v>0</v>
      </c>
      <c r="F22" s="367">
        <f ca="1">TblConstr[[#This Row],[Swamp]]</f>
        <v>0</v>
      </c>
      <c r="G22" s="185">
        <f ca="1">TblConstr[[#This Row],[Cavern]]</f>
        <v>0</v>
      </c>
      <c r="H22" s="186">
        <f ca="1">TblConstr[[#This Row],[Water]]</f>
        <v>0</v>
      </c>
      <c r="I22" s="215"/>
      <c r="J22" s="175">
        <f t="shared" si="1"/>
        <v>19</v>
      </c>
      <c r="K22" s="236">
        <f ca="1">TblImps[[#This Row],[Real time]]</f>
        <v>46047.749999999956</v>
      </c>
      <c r="S22" s="94">
        <f>SUMIF(TblRezone[[#This Row],[Plains Rezone]:[Water Rezone]],"&gt;0")</f>
        <v>0</v>
      </c>
      <c r="T22" s="61" t="str">
        <f>IF(SUM(TblRezone[[#This Row],[Plains Rezone]:[Water Rezone]])=0,"Ok","Nope")</f>
        <v>Ok</v>
      </c>
      <c r="U22" s="215"/>
      <c r="V22" s="94">
        <f ca="1">TblProd[[#This Row],[Platinum]]</f>
        <v>76616</v>
      </c>
      <c r="W22" s="215"/>
      <c r="X22" s="94">
        <f ca="1">ROUND( (1-MIN(ROUND(facs_rezone_factor*TblRezone[[#This Row],[Facs]],4),facs_rezone_max) + tech_6_4*TblTech[[#This Row],[6-4]] + tech_10_2*TblTech[[#This Row],[10-2]] - IF(TblMagic[[#This Row],[Active Mechanical Genius]]&gt;0,mech_genius_bonus,0) + race_rezone_cost) * TblRezone[[#This Row],[Plat/acre*]],0)</f>
        <v>166</v>
      </c>
      <c r="Y22" s="94">
        <f ca="1">TblRezone[[#This Row],[Total acres]]*TblRezone[[#This Row],[Plat/acre]]</f>
        <v>0</v>
      </c>
      <c r="Z22" s="215"/>
      <c r="AA22" s="94">
        <f ca="1">(250+0.6*(TblRezone[[#This Row],[Land]]-250))</f>
        <v>166</v>
      </c>
      <c r="AB22" s="215"/>
      <c r="AC22" s="157">
        <f ca="1">TblConstr[[#This Row],[Facs DB]]</f>
        <v>0</v>
      </c>
    </row>
    <row r="23" spans="1:29" hidden="1" x14ac:dyDescent="0.2">
      <c r="A23" s="214">
        <f ca="1">TblConstr[[#This Row],[Land]]</f>
        <v>110</v>
      </c>
      <c r="B23" s="216">
        <f ca="1">TblConstr[[#This Row],[Plain]]</f>
        <v>60</v>
      </c>
      <c r="C23" s="182">
        <f ca="1">TblConstr[[#This Row],[Forest]]</f>
        <v>0</v>
      </c>
      <c r="D23" s="359">
        <f ca="1">TblConstr[[#This Row],[Mountain]]</f>
        <v>0</v>
      </c>
      <c r="E23" s="363">
        <f ca="1">TblConstr[[#This Row],[Hill]]</f>
        <v>0</v>
      </c>
      <c r="F23" s="367">
        <f ca="1">TblConstr[[#This Row],[Swamp]]</f>
        <v>0</v>
      </c>
      <c r="G23" s="185">
        <f ca="1">TblConstr[[#This Row],[Cavern]]</f>
        <v>0</v>
      </c>
      <c r="H23" s="186">
        <f ca="1">TblConstr[[#This Row],[Water]]</f>
        <v>0</v>
      </c>
      <c r="I23" s="215"/>
      <c r="J23" s="175">
        <f t="shared" si="1"/>
        <v>20</v>
      </c>
      <c r="K23" s="236">
        <f ca="1">TblImps[[#This Row],[Real time]]</f>
        <v>46047.791666666621</v>
      </c>
      <c r="S23" s="94">
        <f>SUMIF(TblRezone[[#This Row],[Plains Rezone]:[Water Rezone]],"&gt;0")</f>
        <v>0</v>
      </c>
      <c r="T23" s="61" t="str">
        <f>IF(SUM(TblRezone[[#This Row],[Plains Rezone]:[Water Rezone]])=0,"Ok","Nope")</f>
        <v>Ok</v>
      </c>
      <c r="U23" s="215"/>
      <c r="V23" s="94">
        <f ca="1">TblProd[[#This Row],[Platinum]]</f>
        <v>78354</v>
      </c>
      <c r="W23" s="215"/>
      <c r="X23" s="94">
        <f ca="1">ROUND( (1-MIN(ROUND(facs_rezone_factor*TblRezone[[#This Row],[Facs]],4),facs_rezone_max) + tech_6_4*TblTech[[#This Row],[6-4]] + tech_10_2*TblTech[[#This Row],[10-2]] - IF(TblMagic[[#This Row],[Active Mechanical Genius]]&gt;0,mech_genius_bonus,0) + race_rezone_cost) * TblRezone[[#This Row],[Plat/acre*]],0)</f>
        <v>166</v>
      </c>
      <c r="Y23" s="94">
        <f ca="1">TblRezone[[#This Row],[Total acres]]*TblRezone[[#This Row],[Plat/acre]]</f>
        <v>0</v>
      </c>
      <c r="Z23" s="215"/>
      <c r="AA23" s="94">
        <f ca="1">(250+0.6*(TblRezone[[#This Row],[Land]]-250))</f>
        <v>166</v>
      </c>
      <c r="AB23" s="215"/>
      <c r="AC23" s="157">
        <f ca="1">TblConstr[[#This Row],[Facs DB]]</f>
        <v>0</v>
      </c>
    </row>
    <row r="24" spans="1:29" hidden="1" x14ac:dyDescent="0.2">
      <c r="A24" s="214">
        <f ca="1">TblConstr[[#This Row],[Land]]</f>
        <v>110</v>
      </c>
      <c r="B24" s="216">
        <f ca="1">TblConstr[[#This Row],[Plain]]</f>
        <v>60</v>
      </c>
      <c r="C24" s="182">
        <f ca="1">TblConstr[[#This Row],[Forest]]</f>
        <v>0</v>
      </c>
      <c r="D24" s="359">
        <f ca="1">TblConstr[[#This Row],[Mountain]]</f>
        <v>0</v>
      </c>
      <c r="E24" s="363">
        <f ca="1">TblConstr[[#This Row],[Hill]]</f>
        <v>0</v>
      </c>
      <c r="F24" s="367">
        <f ca="1">TblConstr[[#This Row],[Swamp]]</f>
        <v>0</v>
      </c>
      <c r="G24" s="185">
        <f ca="1">TblConstr[[#This Row],[Cavern]]</f>
        <v>0</v>
      </c>
      <c r="H24" s="186">
        <f ca="1">TblConstr[[#This Row],[Water]]</f>
        <v>0</v>
      </c>
      <c r="I24" s="215"/>
      <c r="J24" s="175">
        <f t="shared" si="1"/>
        <v>21</v>
      </c>
      <c r="K24" s="236">
        <f ca="1">TblImps[[#This Row],[Real time]]</f>
        <v>46047.833333333285</v>
      </c>
      <c r="S24" s="94">
        <f>SUMIF(TblRezone[[#This Row],[Plains Rezone]:[Water Rezone]],"&gt;0")</f>
        <v>0</v>
      </c>
      <c r="T24" s="61" t="str">
        <f>IF(SUM(TblRezone[[#This Row],[Plains Rezone]:[Water Rezone]])=0,"Ok","Nope")</f>
        <v>Ok</v>
      </c>
      <c r="U24" s="215"/>
      <c r="V24" s="94">
        <f ca="1">TblProd[[#This Row],[Platinum]]</f>
        <v>80127</v>
      </c>
      <c r="W24" s="215"/>
      <c r="X24" s="94">
        <f ca="1">ROUND( (1-MIN(ROUND(facs_rezone_factor*TblRezone[[#This Row],[Facs]],4),facs_rezone_max) + tech_6_4*TblTech[[#This Row],[6-4]] + tech_10_2*TblTech[[#This Row],[10-2]] - IF(TblMagic[[#This Row],[Active Mechanical Genius]]&gt;0,mech_genius_bonus,0) + race_rezone_cost) * TblRezone[[#This Row],[Plat/acre*]],0)</f>
        <v>166</v>
      </c>
      <c r="Y24" s="94">
        <f ca="1">TblRezone[[#This Row],[Total acres]]*TblRezone[[#This Row],[Plat/acre]]</f>
        <v>0</v>
      </c>
      <c r="Z24" s="215"/>
      <c r="AA24" s="94">
        <f ca="1">(250+0.6*(TblRezone[[#This Row],[Land]]-250))</f>
        <v>166</v>
      </c>
      <c r="AB24" s="215"/>
      <c r="AC24" s="157">
        <f ca="1">TblConstr[[#This Row],[Facs DB]]</f>
        <v>0</v>
      </c>
    </row>
    <row r="25" spans="1:29" hidden="1" x14ac:dyDescent="0.2">
      <c r="A25" s="214">
        <f ca="1">TblConstr[[#This Row],[Land]]</f>
        <v>110</v>
      </c>
      <c r="B25" s="216">
        <f ca="1">TblConstr[[#This Row],[Plain]]</f>
        <v>60</v>
      </c>
      <c r="C25" s="182">
        <f ca="1">TblConstr[[#This Row],[Forest]]</f>
        <v>0</v>
      </c>
      <c r="D25" s="359">
        <f ca="1">TblConstr[[#This Row],[Mountain]]</f>
        <v>0</v>
      </c>
      <c r="E25" s="363">
        <f ca="1">TblConstr[[#This Row],[Hill]]</f>
        <v>0</v>
      </c>
      <c r="F25" s="367">
        <f ca="1">TblConstr[[#This Row],[Swamp]]</f>
        <v>0</v>
      </c>
      <c r="G25" s="185">
        <f ca="1">TblConstr[[#This Row],[Cavern]]</f>
        <v>0</v>
      </c>
      <c r="H25" s="186">
        <f ca="1">TblConstr[[#This Row],[Water]]</f>
        <v>0</v>
      </c>
      <c r="I25" s="215"/>
      <c r="J25" s="175">
        <f t="shared" si="1"/>
        <v>22</v>
      </c>
      <c r="K25" s="236">
        <f ca="1">TblImps[[#This Row],[Real time]]</f>
        <v>46047.874999999949</v>
      </c>
      <c r="S25" s="94">
        <f>SUMIF(TblRezone[[#This Row],[Plains Rezone]:[Water Rezone]],"&gt;0")</f>
        <v>0</v>
      </c>
      <c r="T25" s="61" t="str">
        <f>IF(SUM(TblRezone[[#This Row],[Plains Rezone]:[Water Rezone]])=0,"Ok","Nope")</f>
        <v>Ok</v>
      </c>
      <c r="U25" s="215"/>
      <c r="V25" s="94">
        <f ca="1">TblProd[[#This Row],[Platinum]]</f>
        <v>81936</v>
      </c>
      <c r="W25" s="215"/>
      <c r="X25" s="94">
        <f ca="1">ROUND( (1-MIN(ROUND(facs_rezone_factor*TblRezone[[#This Row],[Facs]],4),facs_rezone_max) + tech_6_4*TblTech[[#This Row],[6-4]] + tech_10_2*TblTech[[#This Row],[10-2]] - IF(TblMagic[[#This Row],[Active Mechanical Genius]]&gt;0,mech_genius_bonus,0) + race_rezone_cost) * TblRezone[[#This Row],[Plat/acre*]],0)</f>
        <v>166</v>
      </c>
      <c r="Y25" s="94">
        <f ca="1">TblRezone[[#This Row],[Total acres]]*TblRezone[[#This Row],[Plat/acre]]</f>
        <v>0</v>
      </c>
      <c r="Z25" s="215"/>
      <c r="AA25" s="94">
        <f ca="1">(250+0.6*(TblRezone[[#This Row],[Land]]-250))</f>
        <v>166</v>
      </c>
      <c r="AB25" s="215"/>
      <c r="AC25" s="157">
        <f ca="1">TblConstr[[#This Row],[Facs DB]]</f>
        <v>0</v>
      </c>
    </row>
    <row r="26" spans="1:29" hidden="1" x14ac:dyDescent="0.2">
      <c r="A26" s="214">
        <f ca="1">TblConstr[[#This Row],[Land]]</f>
        <v>110</v>
      </c>
      <c r="B26" s="216">
        <f ca="1">TblConstr[[#This Row],[Plain]]</f>
        <v>60</v>
      </c>
      <c r="C26" s="182">
        <f ca="1">TblConstr[[#This Row],[Forest]]</f>
        <v>0</v>
      </c>
      <c r="D26" s="359">
        <f ca="1">TblConstr[[#This Row],[Mountain]]</f>
        <v>0</v>
      </c>
      <c r="E26" s="363">
        <f ca="1">TblConstr[[#This Row],[Hill]]</f>
        <v>0</v>
      </c>
      <c r="F26" s="367">
        <f ca="1">TblConstr[[#This Row],[Swamp]]</f>
        <v>0</v>
      </c>
      <c r="G26" s="185">
        <f ca="1">TblConstr[[#This Row],[Cavern]]</f>
        <v>0</v>
      </c>
      <c r="H26" s="186">
        <f ca="1">TblConstr[[#This Row],[Water]]</f>
        <v>0</v>
      </c>
      <c r="I26" s="215"/>
      <c r="J26" s="175">
        <f t="shared" si="1"/>
        <v>23</v>
      </c>
      <c r="K26" s="236">
        <f ca="1">TblImps[[#This Row],[Real time]]</f>
        <v>46047.916666666613</v>
      </c>
      <c r="S26" s="94">
        <f>SUMIF(TblRezone[[#This Row],[Plains Rezone]:[Water Rezone]],"&gt;0")</f>
        <v>0</v>
      </c>
      <c r="T26" s="61" t="str">
        <f>IF(SUM(TblRezone[[#This Row],[Plains Rezone]:[Water Rezone]])=0,"Ok","Nope")</f>
        <v>Ok</v>
      </c>
      <c r="U26" s="215"/>
      <c r="V26" s="94">
        <f ca="1">TblProd[[#This Row],[Platinum]]</f>
        <v>83780</v>
      </c>
      <c r="W26" s="215"/>
      <c r="X26" s="94">
        <f ca="1">ROUND( (1-MIN(ROUND(facs_rezone_factor*TblRezone[[#This Row],[Facs]],4),facs_rezone_max) + tech_6_4*TblTech[[#This Row],[6-4]] + tech_10_2*TblTech[[#This Row],[10-2]] - IF(TblMagic[[#This Row],[Active Mechanical Genius]]&gt;0,mech_genius_bonus,0) + race_rezone_cost) * TblRezone[[#This Row],[Plat/acre*]],0)</f>
        <v>166</v>
      </c>
      <c r="Y26" s="94">
        <f ca="1">TblRezone[[#This Row],[Total acres]]*TblRezone[[#This Row],[Plat/acre]]</f>
        <v>0</v>
      </c>
      <c r="Z26" s="215"/>
      <c r="AA26" s="94">
        <f ca="1">(250+0.6*(TblRezone[[#This Row],[Land]]-250))</f>
        <v>166</v>
      </c>
      <c r="AB26" s="215"/>
      <c r="AC26" s="157">
        <f ca="1">TblConstr[[#This Row],[Facs DB]]</f>
        <v>0</v>
      </c>
    </row>
    <row r="27" spans="1:29" hidden="1" x14ac:dyDescent="0.2">
      <c r="A27" s="214">
        <f ca="1">TblConstr[[#This Row],[Land]]</f>
        <v>110</v>
      </c>
      <c r="B27" s="216">
        <f ca="1">TblConstr[[#This Row],[Plain]]</f>
        <v>60</v>
      </c>
      <c r="C27" s="182">
        <f ca="1">TblConstr[[#This Row],[Forest]]</f>
        <v>0</v>
      </c>
      <c r="D27" s="359">
        <f ca="1">TblConstr[[#This Row],[Mountain]]</f>
        <v>0</v>
      </c>
      <c r="E27" s="363">
        <f ca="1">TblConstr[[#This Row],[Hill]]</f>
        <v>0</v>
      </c>
      <c r="F27" s="367">
        <f ca="1">TblConstr[[#This Row],[Swamp]]</f>
        <v>0</v>
      </c>
      <c r="G27" s="185">
        <f ca="1">TblConstr[[#This Row],[Cavern]]</f>
        <v>0</v>
      </c>
      <c r="H27" s="186">
        <f ca="1">TblConstr[[#This Row],[Water]]</f>
        <v>0</v>
      </c>
      <c r="I27" s="215"/>
      <c r="J27" s="175">
        <f t="shared" si="1"/>
        <v>24</v>
      </c>
      <c r="K27" s="236">
        <f ca="1">TblImps[[#This Row],[Real time]]</f>
        <v>46047.958333333278</v>
      </c>
      <c r="S27" s="94">
        <f>SUMIF(TblRezone[[#This Row],[Plains Rezone]:[Water Rezone]],"&gt;0")</f>
        <v>0</v>
      </c>
      <c r="T27" s="61" t="str">
        <f>IF(SUM(TblRezone[[#This Row],[Plains Rezone]:[Water Rezone]])=0,"Ok","Nope")</f>
        <v>Ok</v>
      </c>
      <c r="U27" s="215"/>
      <c r="V27" s="94">
        <f ca="1">TblProd[[#This Row],[Platinum]]</f>
        <v>85659</v>
      </c>
      <c r="W27" s="215"/>
      <c r="X27" s="94">
        <f ca="1">ROUND( (1-MIN(ROUND(facs_rezone_factor*TblRezone[[#This Row],[Facs]],4),facs_rezone_max) + tech_6_4*TblTech[[#This Row],[6-4]] + tech_10_2*TblTech[[#This Row],[10-2]] - IF(TblMagic[[#This Row],[Active Mechanical Genius]]&gt;0,mech_genius_bonus,0) + race_rezone_cost) * TblRezone[[#This Row],[Plat/acre*]],0)</f>
        <v>166</v>
      </c>
      <c r="Y27" s="94">
        <f ca="1">TblRezone[[#This Row],[Total acres]]*TblRezone[[#This Row],[Plat/acre]]</f>
        <v>0</v>
      </c>
      <c r="Z27" s="215"/>
      <c r="AA27" s="94">
        <f ca="1">(250+0.6*(TblRezone[[#This Row],[Land]]-250))</f>
        <v>166</v>
      </c>
      <c r="AB27" s="215"/>
      <c r="AC27" s="157">
        <f ca="1">TblConstr[[#This Row],[Facs DB]]</f>
        <v>0</v>
      </c>
    </row>
    <row r="28" spans="1:29" x14ac:dyDescent="0.2">
      <c r="A28" s="214">
        <f ca="1">TblConstr[[#This Row],[Land]]</f>
        <v>110</v>
      </c>
      <c r="B28" s="216">
        <f ca="1">TblConstr[[#This Row],[Plain]]</f>
        <v>60</v>
      </c>
      <c r="C28" s="182">
        <f ca="1">TblConstr[[#This Row],[Forest]]</f>
        <v>0</v>
      </c>
      <c r="D28" s="359">
        <f ca="1">TblConstr[[#This Row],[Mountain]]</f>
        <v>0</v>
      </c>
      <c r="E28" s="363">
        <f ca="1">TblConstr[[#This Row],[Hill]]</f>
        <v>0</v>
      </c>
      <c r="F28" s="367">
        <f ca="1">TblConstr[[#This Row],[Swamp]]</f>
        <v>0</v>
      </c>
      <c r="G28" s="185">
        <f ca="1">TblConstr[[#This Row],[Cavern]]</f>
        <v>0</v>
      </c>
      <c r="H28" s="186">
        <f ca="1">TblConstr[[#This Row],[Water]]</f>
        <v>0</v>
      </c>
      <c r="I28" s="215"/>
      <c r="J28" s="175">
        <f t="shared" si="1"/>
        <v>25</v>
      </c>
      <c r="K28" s="236">
        <f ca="1">TblImps[[#This Row],[Real time]]</f>
        <v>46047.999999999942</v>
      </c>
      <c r="L28" s="179"/>
      <c r="M28" s="179"/>
      <c r="N28" s="179"/>
      <c r="O28" s="179"/>
      <c r="P28" s="179"/>
      <c r="Q28" s="179"/>
      <c r="R28" s="179"/>
      <c r="S28" s="94">
        <f>SUMIF(TblRezone[[#This Row],[Plains Rezone]:[Water Rezone]],"&gt;0")</f>
        <v>0</v>
      </c>
      <c r="T28" s="61" t="str">
        <f>IF(SUM(TblRezone[[#This Row],[Plains Rezone]:[Water Rezone]])=0,"Ok","Nope")</f>
        <v>Ok</v>
      </c>
      <c r="U28" s="215"/>
      <c r="V28" s="94">
        <f ca="1">TblProd[[#This Row],[Platinum]]</f>
        <v>87576</v>
      </c>
      <c r="W28" s="215"/>
      <c r="X28" s="94">
        <f ca="1">ROUND( (1-MIN(ROUND(facs_rezone_factor*TblRezone[[#This Row],[Facs]],4),facs_rezone_max) + tech_6_4*TblTech[[#This Row],[6-4]] + tech_10_2*TblTech[[#This Row],[10-2]] - IF(TblMagic[[#This Row],[Active Mechanical Genius]]&gt;0,mech_genius_bonus,0) + race_rezone_cost) * TblRezone[[#This Row],[Plat/acre*]],0)</f>
        <v>166</v>
      </c>
      <c r="Y28" s="94">
        <f ca="1">TblRezone[[#This Row],[Total acres]]*TblRezone[[#This Row],[Plat/acre]]</f>
        <v>0</v>
      </c>
      <c r="Z28" s="215"/>
      <c r="AA28" s="94">
        <f ca="1">(250+0.6*(TblRezone[[#This Row],[Land]]-250))</f>
        <v>166</v>
      </c>
      <c r="AB28" s="215"/>
      <c r="AC28" s="157">
        <f ca="1">TblConstr[[#This Row],[Facs DB]]</f>
        <v>0</v>
      </c>
    </row>
    <row r="29" spans="1:29" x14ac:dyDescent="0.2">
      <c r="A29" s="214">
        <f ca="1">TblConstr[[#This Row],[Land]]</f>
        <v>110</v>
      </c>
      <c r="B29" s="216">
        <f ca="1">TblConstr[[#This Row],[Plain]]</f>
        <v>60</v>
      </c>
      <c r="C29" s="182">
        <f ca="1">TblConstr[[#This Row],[Forest]]</f>
        <v>0</v>
      </c>
      <c r="D29" s="359">
        <f ca="1">TblConstr[[#This Row],[Mountain]]</f>
        <v>0</v>
      </c>
      <c r="E29" s="363">
        <f ca="1">TblConstr[[#This Row],[Hill]]</f>
        <v>0</v>
      </c>
      <c r="F29" s="367">
        <f ca="1">TblConstr[[#This Row],[Swamp]]</f>
        <v>0</v>
      </c>
      <c r="G29" s="185">
        <f ca="1">TblConstr[[#This Row],[Cavern]]</f>
        <v>0</v>
      </c>
      <c r="H29" s="186">
        <f ca="1">TblConstr[[#This Row],[Water]]</f>
        <v>0</v>
      </c>
      <c r="I29" s="215"/>
      <c r="J29" s="175">
        <f t="shared" si="1"/>
        <v>26</v>
      </c>
      <c r="K29" s="236">
        <f ca="1">TblImps[[#This Row],[Real time]]</f>
        <v>46048.041666666606</v>
      </c>
      <c r="L29" s="179"/>
      <c r="M29" s="179"/>
      <c r="N29" s="179"/>
      <c r="O29" s="179"/>
      <c r="P29" s="179"/>
      <c r="Q29" s="179"/>
      <c r="R29" s="179"/>
      <c r="S29" s="94">
        <f>SUMIF(TblRezone[[#This Row],[Plains Rezone]:[Water Rezone]],"&gt;0")</f>
        <v>0</v>
      </c>
      <c r="T29" s="61" t="str">
        <f>IF(SUM(TblRezone[[#This Row],[Plains Rezone]:[Water Rezone]])=0,"Ok","Nope")</f>
        <v>Ok</v>
      </c>
      <c r="U29" s="215"/>
      <c r="V29" s="94">
        <f ca="1">TblProd[[#This Row],[Platinum]]</f>
        <v>89530</v>
      </c>
      <c r="W29" s="215"/>
      <c r="X29" s="94">
        <f ca="1">ROUND( (1-MIN(ROUND(facs_rezone_factor*TblRezone[[#This Row],[Facs]],4),facs_rezone_max) + tech_6_4*TblTech[[#This Row],[6-4]] + tech_10_2*TblTech[[#This Row],[10-2]] - IF(TblMagic[[#This Row],[Active Mechanical Genius]]&gt;0,mech_genius_bonus,0) + race_rezone_cost) * TblRezone[[#This Row],[Plat/acre*]],0)</f>
        <v>166</v>
      </c>
      <c r="Y29" s="94">
        <f ca="1">TblRezone[[#This Row],[Total acres]]*TblRezone[[#This Row],[Plat/acre]]</f>
        <v>0</v>
      </c>
      <c r="Z29" s="215"/>
      <c r="AA29" s="94">
        <f ca="1">(250+0.6*(TblRezone[[#This Row],[Land]]-250))</f>
        <v>166</v>
      </c>
      <c r="AB29" s="215"/>
      <c r="AC29" s="157">
        <f ca="1">TblConstr[[#This Row],[Facs DB]]</f>
        <v>0</v>
      </c>
    </row>
    <row r="30" spans="1:29" x14ac:dyDescent="0.2">
      <c r="A30" s="214">
        <f ca="1">TblConstr[[#This Row],[Land]]</f>
        <v>110</v>
      </c>
      <c r="B30" s="216">
        <f ca="1">TblConstr[[#This Row],[Plain]]</f>
        <v>60</v>
      </c>
      <c r="C30" s="182">
        <f ca="1">TblConstr[[#This Row],[Forest]]</f>
        <v>0</v>
      </c>
      <c r="D30" s="359">
        <f ca="1">TblConstr[[#This Row],[Mountain]]</f>
        <v>0</v>
      </c>
      <c r="E30" s="363">
        <f ca="1">TblConstr[[#This Row],[Hill]]</f>
        <v>0</v>
      </c>
      <c r="F30" s="367">
        <f ca="1">TblConstr[[#This Row],[Swamp]]</f>
        <v>0</v>
      </c>
      <c r="G30" s="185">
        <f ca="1">TblConstr[[#This Row],[Cavern]]</f>
        <v>0</v>
      </c>
      <c r="H30" s="186">
        <f ca="1">TblConstr[[#This Row],[Water]]</f>
        <v>0</v>
      </c>
      <c r="I30" s="215"/>
      <c r="J30" s="175">
        <f t="shared" si="1"/>
        <v>27</v>
      </c>
      <c r="K30" s="236">
        <f ca="1">TblImps[[#This Row],[Real time]]</f>
        <v>46048.08333333327</v>
      </c>
      <c r="L30" s="179"/>
      <c r="M30" s="179"/>
      <c r="N30" s="179"/>
      <c r="O30" s="179"/>
      <c r="P30" s="179"/>
      <c r="Q30" s="179"/>
      <c r="R30" s="179"/>
      <c r="S30" s="94">
        <f>SUMIF(TblRezone[[#This Row],[Plains Rezone]:[Water Rezone]],"&gt;0")</f>
        <v>0</v>
      </c>
      <c r="T30" s="61" t="str">
        <f>IF(SUM(TblRezone[[#This Row],[Plains Rezone]:[Water Rezone]])=0,"Ok","Nope")</f>
        <v>Ok</v>
      </c>
      <c r="U30" s="215"/>
      <c r="V30" s="94">
        <f ca="1">TblProd[[#This Row],[Platinum]]</f>
        <v>91525</v>
      </c>
      <c r="W30" s="215"/>
      <c r="X30" s="94">
        <f ca="1">ROUND( (1-MIN(ROUND(facs_rezone_factor*TblRezone[[#This Row],[Facs]],4),facs_rezone_max) + tech_6_4*TblTech[[#This Row],[6-4]] + tech_10_2*TblTech[[#This Row],[10-2]] - IF(TblMagic[[#This Row],[Active Mechanical Genius]]&gt;0,mech_genius_bonus,0) + race_rezone_cost) * TblRezone[[#This Row],[Plat/acre*]],0)</f>
        <v>166</v>
      </c>
      <c r="Y30" s="94">
        <f ca="1">TblRezone[[#This Row],[Total acres]]*TblRezone[[#This Row],[Plat/acre]]</f>
        <v>0</v>
      </c>
      <c r="Z30" s="215"/>
      <c r="AA30" s="94">
        <f ca="1">(250+0.6*(TblRezone[[#This Row],[Land]]-250))</f>
        <v>166</v>
      </c>
      <c r="AB30" s="215"/>
      <c r="AC30" s="157">
        <f ca="1">TblConstr[[#This Row],[Facs DB]]</f>
        <v>0</v>
      </c>
    </row>
    <row r="31" spans="1:29" x14ac:dyDescent="0.2">
      <c r="A31" s="214">
        <f ca="1">TblConstr[[#This Row],[Land]]</f>
        <v>110</v>
      </c>
      <c r="B31" s="216">
        <f ca="1">TblConstr[[#This Row],[Plain]]</f>
        <v>60</v>
      </c>
      <c r="C31" s="182">
        <f ca="1">TblConstr[[#This Row],[Forest]]</f>
        <v>0</v>
      </c>
      <c r="D31" s="359">
        <f ca="1">TblConstr[[#This Row],[Mountain]]</f>
        <v>0</v>
      </c>
      <c r="E31" s="363">
        <f ca="1">TblConstr[[#This Row],[Hill]]</f>
        <v>0</v>
      </c>
      <c r="F31" s="367">
        <f ca="1">TblConstr[[#This Row],[Swamp]]</f>
        <v>0</v>
      </c>
      <c r="G31" s="185">
        <f ca="1">TblConstr[[#This Row],[Cavern]]</f>
        <v>0</v>
      </c>
      <c r="H31" s="186">
        <f ca="1">TblConstr[[#This Row],[Water]]</f>
        <v>0</v>
      </c>
      <c r="I31" s="215"/>
      <c r="J31" s="175">
        <f t="shared" si="1"/>
        <v>28</v>
      </c>
      <c r="K31" s="236">
        <f ca="1">TblImps[[#This Row],[Real time]]</f>
        <v>46048.124999999935</v>
      </c>
      <c r="L31" s="179"/>
      <c r="M31" s="179"/>
      <c r="N31" s="179"/>
      <c r="O31" s="179"/>
      <c r="P31" s="179"/>
      <c r="Q31" s="179"/>
      <c r="R31" s="179"/>
      <c r="S31" s="94">
        <f>SUMIF(TblRezone[[#This Row],[Plains Rezone]:[Water Rezone]],"&gt;0")</f>
        <v>0</v>
      </c>
      <c r="T31" s="61" t="str">
        <f>IF(SUM(TblRezone[[#This Row],[Plains Rezone]:[Water Rezone]])=0,"Ok","Nope")</f>
        <v>Ok</v>
      </c>
      <c r="U31" s="215"/>
      <c r="V31" s="94">
        <f ca="1">TblProd[[#This Row],[Platinum]]</f>
        <v>93560</v>
      </c>
      <c r="W31" s="215"/>
      <c r="X31" s="94">
        <f ca="1">ROUND( (1-MIN(ROUND(facs_rezone_factor*TblRezone[[#This Row],[Facs]],4),facs_rezone_max) + tech_6_4*TblTech[[#This Row],[6-4]] + tech_10_2*TblTech[[#This Row],[10-2]] - IF(TblMagic[[#This Row],[Active Mechanical Genius]]&gt;0,mech_genius_bonus,0) + race_rezone_cost) * TblRezone[[#This Row],[Plat/acre*]],0)</f>
        <v>166</v>
      </c>
      <c r="Y31" s="94">
        <f ca="1">TblRezone[[#This Row],[Total acres]]*TblRezone[[#This Row],[Plat/acre]]</f>
        <v>0</v>
      </c>
      <c r="Z31" s="215"/>
      <c r="AA31" s="94">
        <f ca="1">(250+0.6*(TblRezone[[#This Row],[Land]]-250))</f>
        <v>166</v>
      </c>
      <c r="AB31" s="215"/>
      <c r="AC31" s="157">
        <f ca="1">TblConstr[[#This Row],[Facs DB]]</f>
        <v>0</v>
      </c>
    </row>
    <row r="32" spans="1:29" x14ac:dyDescent="0.2">
      <c r="A32" s="214">
        <f ca="1">TblConstr[[#This Row],[Land]]</f>
        <v>110</v>
      </c>
      <c r="B32" s="216">
        <f ca="1">TblConstr[[#This Row],[Plain]]</f>
        <v>60</v>
      </c>
      <c r="C32" s="182">
        <f ca="1">TblConstr[[#This Row],[Forest]]</f>
        <v>0</v>
      </c>
      <c r="D32" s="359">
        <f ca="1">TblConstr[[#This Row],[Mountain]]</f>
        <v>0</v>
      </c>
      <c r="E32" s="363">
        <f ca="1">TblConstr[[#This Row],[Hill]]</f>
        <v>0</v>
      </c>
      <c r="F32" s="367">
        <f ca="1">TblConstr[[#This Row],[Swamp]]</f>
        <v>0</v>
      </c>
      <c r="G32" s="185">
        <f ca="1">TblConstr[[#This Row],[Cavern]]</f>
        <v>0</v>
      </c>
      <c r="H32" s="186">
        <f ca="1">TblConstr[[#This Row],[Water]]</f>
        <v>0</v>
      </c>
      <c r="I32" s="215"/>
      <c r="J32" s="175">
        <f t="shared" si="1"/>
        <v>29</v>
      </c>
      <c r="K32" s="236">
        <f ca="1">TblImps[[#This Row],[Real time]]</f>
        <v>46048.166666666599</v>
      </c>
      <c r="L32" s="179"/>
      <c r="M32" s="179"/>
      <c r="N32" s="179"/>
      <c r="O32" s="179"/>
      <c r="P32" s="179"/>
      <c r="Q32" s="179"/>
      <c r="R32" s="179"/>
      <c r="S32" s="94">
        <f>SUMIF(TblRezone[[#This Row],[Plains Rezone]:[Water Rezone]],"&gt;0")</f>
        <v>0</v>
      </c>
      <c r="T32" s="61" t="str">
        <f>IF(SUM(TblRezone[[#This Row],[Plains Rezone]:[Water Rezone]])=0,"Ok","Nope")</f>
        <v>Ok</v>
      </c>
      <c r="U32" s="215"/>
      <c r="V32" s="94">
        <f ca="1">TblProd[[#This Row],[Platinum]]</f>
        <v>95622</v>
      </c>
      <c r="W32" s="215"/>
      <c r="X32" s="94">
        <f ca="1">ROUND( (1-MIN(ROUND(facs_rezone_factor*TblRezone[[#This Row],[Facs]],4),facs_rezone_max) + tech_6_4*TblTech[[#This Row],[6-4]] + tech_10_2*TblTech[[#This Row],[10-2]] - IF(TblMagic[[#This Row],[Active Mechanical Genius]]&gt;0,mech_genius_bonus,0) + race_rezone_cost) * TblRezone[[#This Row],[Plat/acre*]],0)</f>
        <v>166</v>
      </c>
      <c r="Y32" s="94">
        <f ca="1">TblRezone[[#This Row],[Total acres]]*TblRezone[[#This Row],[Plat/acre]]</f>
        <v>0</v>
      </c>
      <c r="Z32" s="215"/>
      <c r="AA32" s="94">
        <f ca="1">(250+0.6*(TblRezone[[#This Row],[Land]]-250))</f>
        <v>166</v>
      </c>
      <c r="AB32" s="215"/>
      <c r="AC32" s="157">
        <f ca="1">TblConstr[[#This Row],[Facs DB]]</f>
        <v>0</v>
      </c>
    </row>
    <row r="33" spans="1:29" x14ac:dyDescent="0.2">
      <c r="A33" s="214">
        <f ca="1">TblConstr[[#This Row],[Land]]</f>
        <v>110</v>
      </c>
      <c r="B33" s="216">
        <f ca="1">TblConstr[[#This Row],[Plain]]</f>
        <v>60</v>
      </c>
      <c r="C33" s="182">
        <f ca="1">TblConstr[[#This Row],[Forest]]</f>
        <v>0</v>
      </c>
      <c r="D33" s="359">
        <f ca="1">TblConstr[[#This Row],[Mountain]]</f>
        <v>0</v>
      </c>
      <c r="E33" s="363">
        <f ca="1">TblConstr[[#This Row],[Hill]]</f>
        <v>0</v>
      </c>
      <c r="F33" s="367">
        <f ca="1">TblConstr[[#This Row],[Swamp]]</f>
        <v>0</v>
      </c>
      <c r="G33" s="185">
        <f ca="1">TblConstr[[#This Row],[Cavern]]</f>
        <v>0</v>
      </c>
      <c r="H33" s="186">
        <f ca="1">TblConstr[[#This Row],[Water]]</f>
        <v>0</v>
      </c>
      <c r="I33" s="215"/>
      <c r="J33" s="175">
        <f t="shared" si="1"/>
        <v>30</v>
      </c>
      <c r="K33" s="236">
        <f ca="1">TblImps[[#This Row],[Real time]]</f>
        <v>46048.208333333263</v>
      </c>
      <c r="L33" s="179"/>
      <c r="M33" s="179"/>
      <c r="N33" s="179"/>
      <c r="O33" s="179"/>
      <c r="P33" s="179"/>
      <c r="Q33" s="179"/>
      <c r="R33" s="179"/>
      <c r="S33" s="94">
        <f>SUMIF(TblRezone[[#This Row],[Plains Rezone]:[Water Rezone]],"&gt;0")</f>
        <v>0</v>
      </c>
      <c r="T33" s="61" t="str">
        <f>IF(SUM(TblRezone[[#This Row],[Plains Rezone]:[Water Rezone]])=0,"Ok","Nope")</f>
        <v>Ok</v>
      </c>
      <c r="U33" s="215"/>
      <c r="V33" s="94">
        <f ca="1">TblProd[[#This Row],[Platinum]]</f>
        <v>97663</v>
      </c>
      <c r="W33" s="215"/>
      <c r="X33" s="94">
        <f ca="1">ROUND( (1-MIN(ROUND(facs_rezone_factor*TblRezone[[#This Row],[Facs]],4),facs_rezone_max) + tech_6_4*TblTech[[#This Row],[6-4]] + tech_10_2*TblTech[[#This Row],[10-2]] - IF(TblMagic[[#This Row],[Active Mechanical Genius]]&gt;0,mech_genius_bonus,0) + race_rezone_cost) * TblRezone[[#This Row],[Plat/acre*]],0)</f>
        <v>166</v>
      </c>
      <c r="Y33" s="94">
        <f ca="1">TblRezone[[#This Row],[Total acres]]*TblRezone[[#This Row],[Plat/acre]]</f>
        <v>0</v>
      </c>
      <c r="Z33" s="215"/>
      <c r="AA33" s="94">
        <f ca="1">(250+0.6*(TblRezone[[#This Row],[Land]]-250))</f>
        <v>166</v>
      </c>
      <c r="AB33" s="215"/>
      <c r="AC33" s="157">
        <f ca="1">TblConstr[[#This Row],[Facs DB]]</f>
        <v>0</v>
      </c>
    </row>
    <row r="34" spans="1:29" x14ac:dyDescent="0.2">
      <c r="A34" s="214">
        <f ca="1">TblConstr[[#This Row],[Land]]</f>
        <v>110</v>
      </c>
      <c r="B34" s="216">
        <f ca="1">TblConstr[[#This Row],[Plain]]</f>
        <v>60</v>
      </c>
      <c r="C34" s="182">
        <f ca="1">TblConstr[[#This Row],[Forest]]</f>
        <v>0</v>
      </c>
      <c r="D34" s="359">
        <f ca="1">TblConstr[[#This Row],[Mountain]]</f>
        <v>0</v>
      </c>
      <c r="E34" s="363">
        <f ca="1">TblConstr[[#This Row],[Hill]]</f>
        <v>0</v>
      </c>
      <c r="F34" s="367">
        <f ca="1">TblConstr[[#This Row],[Swamp]]</f>
        <v>0</v>
      </c>
      <c r="G34" s="185">
        <f ca="1">TblConstr[[#This Row],[Cavern]]</f>
        <v>0</v>
      </c>
      <c r="H34" s="186">
        <f ca="1">TblConstr[[#This Row],[Water]]</f>
        <v>0</v>
      </c>
      <c r="I34" s="215"/>
      <c r="J34" s="175">
        <f t="shared" si="1"/>
        <v>31</v>
      </c>
      <c r="K34" s="236">
        <f ca="1">TblImps[[#This Row],[Real time]]</f>
        <v>46048.249999999927</v>
      </c>
      <c r="L34" s="179"/>
      <c r="M34" s="179"/>
      <c r="N34" s="179"/>
      <c r="O34" s="179"/>
      <c r="P34" s="179"/>
      <c r="Q34" s="179"/>
      <c r="R34" s="179"/>
      <c r="S34" s="94">
        <f>SUMIF(TblRezone[[#This Row],[Plains Rezone]:[Water Rezone]],"&gt;0")</f>
        <v>0</v>
      </c>
      <c r="T34" s="61" t="str">
        <f>IF(SUM(TblRezone[[#This Row],[Plains Rezone]:[Water Rezone]])=0,"Ok","Nope")</f>
        <v>Ok</v>
      </c>
      <c r="U34" s="215"/>
      <c r="V34" s="94">
        <f ca="1">TblProd[[#This Row],[Platinum]]</f>
        <v>99682</v>
      </c>
      <c r="W34" s="215"/>
      <c r="X34" s="94">
        <f ca="1">ROUND( (1-MIN(ROUND(facs_rezone_factor*TblRezone[[#This Row],[Facs]],4),facs_rezone_max) + tech_6_4*TblTech[[#This Row],[6-4]] + tech_10_2*TblTech[[#This Row],[10-2]] - IF(TblMagic[[#This Row],[Active Mechanical Genius]]&gt;0,mech_genius_bonus,0) + race_rezone_cost) * TblRezone[[#This Row],[Plat/acre*]],0)</f>
        <v>166</v>
      </c>
      <c r="Y34" s="94">
        <f ca="1">TblRezone[[#This Row],[Total acres]]*TblRezone[[#This Row],[Plat/acre]]</f>
        <v>0</v>
      </c>
      <c r="Z34" s="215"/>
      <c r="AA34" s="94">
        <f ca="1">(250+0.6*(TblRezone[[#This Row],[Land]]-250))</f>
        <v>166</v>
      </c>
      <c r="AB34" s="215"/>
      <c r="AC34" s="157">
        <f ca="1">TblConstr[[#This Row],[Facs DB]]</f>
        <v>0</v>
      </c>
    </row>
    <row r="35" spans="1:29" x14ac:dyDescent="0.2">
      <c r="A35" s="214">
        <f ca="1">TblConstr[[#This Row],[Land]]</f>
        <v>110</v>
      </c>
      <c r="B35" s="216">
        <f ca="1">TblConstr[[#This Row],[Plain]]</f>
        <v>60</v>
      </c>
      <c r="C35" s="182">
        <f ca="1">TblConstr[[#This Row],[Forest]]</f>
        <v>0</v>
      </c>
      <c r="D35" s="359">
        <f ca="1">TblConstr[[#This Row],[Mountain]]</f>
        <v>0</v>
      </c>
      <c r="E35" s="363">
        <f ca="1">TblConstr[[#This Row],[Hill]]</f>
        <v>0</v>
      </c>
      <c r="F35" s="367">
        <f ca="1">TblConstr[[#This Row],[Swamp]]</f>
        <v>0</v>
      </c>
      <c r="G35" s="185">
        <f ca="1">TblConstr[[#This Row],[Cavern]]</f>
        <v>0</v>
      </c>
      <c r="H35" s="186">
        <f ca="1">TblConstr[[#This Row],[Water]]</f>
        <v>0</v>
      </c>
      <c r="I35" s="215"/>
      <c r="J35" s="175">
        <f t="shared" si="1"/>
        <v>32</v>
      </c>
      <c r="K35" s="236">
        <f ca="1">TblImps[[#This Row],[Real time]]</f>
        <v>46048.291666666591</v>
      </c>
      <c r="L35" s="179"/>
      <c r="M35" s="179"/>
      <c r="N35" s="179"/>
      <c r="O35" s="179"/>
      <c r="P35" s="179"/>
      <c r="Q35" s="179"/>
      <c r="R35" s="179"/>
      <c r="S35" s="94">
        <f>SUMIF(TblRezone[[#This Row],[Plains Rezone]:[Water Rezone]],"&gt;0")</f>
        <v>0</v>
      </c>
      <c r="T35" s="61" t="str">
        <f>IF(SUM(TblRezone[[#This Row],[Plains Rezone]:[Water Rezone]])=0,"Ok","Nope")</f>
        <v>Ok</v>
      </c>
      <c r="U35" s="215"/>
      <c r="V35" s="94">
        <f ca="1">TblProd[[#This Row],[Platinum]]</f>
        <v>101682</v>
      </c>
      <c r="W35" s="215"/>
      <c r="X35" s="94">
        <f ca="1">ROUND( (1-MIN(ROUND(facs_rezone_factor*TblRezone[[#This Row],[Facs]],4),facs_rezone_max) + tech_6_4*TblTech[[#This Row],[6-4]] + tech_10_2*TblTech[[#This Row],[10-2]] - IF(TblMagic[[#This Row],[Active Mechanical Genius]]&gt;0,mech_genius_bonus,0) + race_rezone_cost) * TblRezone[[#This Row],[Plat/acre*]],0)</f>
        <v>166</v>
      </c>
      <c r="Y35" s="94">
        <f ca="1">TblRezone[[#This Row],[Total acres]]*TblRezone[[#This Row],[Plat/acre]]</f>
        <v>0</v>
      </c>
      <c r="Z35" s="215"/>
      <c r="AA35" s="94">
        <f ca="1">(250+0.6*(TblRezone[[#This Row],[Land]]-250))</f>
        <v>166</v>
      </c>
      <c r="AB35" s="215"/>
      <c r="AC35" s="157">
        <f ca="1">TblConstr[[#This Row],[Facs DB]]</f>
        <v>0</v>
      </c>
    </row>
    <row r="36" spans="1:29" x14ac:dyDescent="0.2">
      <c r="A36" s="214">
        <f ca="1">TblConstr[[#This Row],[Land]]</f>
        <v>110</v>
      </c>
      <c r="B36" s="216">
        <f ca="1">TblConstr[[#This Row],[Plain]]</f>
        <v>60</v>
      </c>
      <c r="C36" s="182">
        <f ca="1">TblConstr[[#This Row],[Forest]]</f>
        <v>0</v>
      </c>
      <c r="D36" s="359">
        <f ca="1">TblConstr[[#This Row],[Mountain]]</f>
        <v>0</v>
      </c>
      <c r="E36" s="363">
        <f ca="1">TblConstr[[#This Row],[Hill]]</f>
        <v>0</v>
      </c>
      <c r="F36" s="367">
        <f ca="1">TblConstr[[#This Row],[Swamp]]</f>
        <v>0</v>
      </c>
      <c r="G36" s="185">
        <f ca="1">TblConstr[[#This Row],[Cavern]]</f>
        <v>0</v>
      </c>
      <c r="H36" s="186">
        <f ca="1">TblConstr[[#This Row],[Water]]</f>
        <v>0</v>
      </c>
      <c r="I36" s="215"/>
      <c r="J36" s="175">
        <f t="shared" si="1"/>
        <v>33</v>
      </c>
      <c r="K36" s="236">
        <f ca="1">TblImps[[#This Row],[Real time]]</f>
        <v>46048.333333333256</v>
      </c>
      <c r="L36" s="179"/>
      <c r="M36" s="179"/>
      <c r="N36" s="179"/>
      <c r="O36" s="179"/>
      <c r="P36" s="179"/>
      <c r="Q36" s="179"/>
      <c r="R36" s="179"/>
      <c r="S36" s="94">
        <f>SUMIF(TblRezone[[#This Row],[Plains Rezone]:[Water Rezone]],"&gt;0")</f>
        <v>0</v>
      </c>
      <c r="T36" s="61" t="str">
        <f>IF(SUM(TblRezone[[#This Row],[Plains Rezone]:[Water Rezone]])=0,"Ok","Nope")</f>
        <v>Ok</v>
      </c>
      <c r="U36" s="215"/>
      <c r="V36" s="94">
        <f ca="1">TblProd[[#This Row],[Platinum]]</f>
        <v>103663</v>
      </c>
      <c r="W36" s="215"/>
      <c r="X36" s="94">
        <f ca="1">ROUND( (1-MIN(ROUND(facs_rezone_factor*TblRezone[[#This Row],[Facs]],4),facs_rezone_max) + tech_6_4*TblTech[[#This Row],[6-4]] + tech_10_2*TblTech[[#This Row],[10-2]] - IF(TblMagic[[#This Row],[Active Mechanical Genius]]&gt;0,mech_genius_bonus,0) + race_rezone_cost) * TblRezone[[#This Row],[Plat/acre*]],0)</f>
        <v>166</v>
      </c>
      <c r="Y36" s="94">
        <f ca="1">TblRezone[[#This Row],[Total acres]]*TblRezone[[#This Row],[Plat/acre]]</f>
        <v>0</v>
      </c>
      <c r="Z36" s="215"/>
      <c r="AA36" s="94">
        <f ca="1">(250+0.6*(TblRezone[[#This Row],[Land]]-250))</f>
        <v>166</v>
      </c>
      <c r="AB36" s="215"/>
      <c r="AC36" s="157">
        <f ca="1">TblConstr[[#This Row],[Facs DB]]</f>
        <v>0</v>
      </c>
    </row>
    <row r="37" spans="1:29" x14ac:dyDescent="0.2">
      <c r="A37" s="214">
        <f ca="1">TblConstr[[#This Row],[Land]]</f>
        <v>110</v>
      </c>
      <c r="B37" s="216">
        <f ca="1">TblConstr[[#This Row],[Plain]]</f>
        <v>60</v>
      </c>
      <c r="C37" s="182">
        <f ca="1">TblConstr[[#This Row],[Forest]]</f>
        <v>0</v>
      </c>
      <c r="D37" s="359">
        <f ca="1">TblConstr[[#This Row],[Mountain]]</f>
        <v>0</v>
      </c>
      <c r="E37" s="363">
        <f ca="1">TblConstr[[#This Row],[Hill]]</f>
        <v>0</v>
      </c>
      <c r="F37" s="367">
        <f ca="1">TblConstr[[#This Row],[Swamp]]</f>
        <v>0</v>
      </c>
      <c r="G37" s="185">
        <f ca="1">TblConstr[[#This Row],[Cavern]]</f>
        <v>0</v>
      </c>
      <c r="H37" s="186">
        <f ca="1">TblConstr[[#This Row],[Water]]</f>
        <v>0</v>
      </c>
      <c r="I37" s="215"/>
      <c r="J37" s="175">
        <f t="shared" si="1"/>
        <v>34</v>
      </c>
      <c r="K37" s="236">
        <f ca="1">TblImps[[#This Row],[Real time]]</f>
        <v>46048.37499999992</v>
      </c>
      <c r="L37" s="179"/>
      <c r="M37" s="179"/>
      <c r="N37" s="179"/>
      <c r="O37" s="179"/>
      <c r="P37" s="179"/>
      <c r="Q37" s="179"/>
      <c r="R37" s="179"/>
      <c r="S37" s="94">
        <f>SUMIF(TblRezone[[#This Row],[Plains Rezone]:[Water Rezone]],"&gt;0")</f>
        <v>0</v>
      </c>
      <c r="T37" s="61" t="str">
        <f>IF(SUM(TblRezone[[#This Row],[Plains Rezone]:[Water Rezone]])=0,"Ok","Nope")</f>
        <v>Ok</v>
      </c>
      <c r="U37" s="215"/>
      <c r="V37" s="94">
        <f ca="1">TblProd[[#This Row],[Platinum]]</f>
        <v>105625</v>
      </c>
      <c r="W37" s="215"/>
      <c r="X37" s="94">
        <f ca="1">ROUND( (1-MIN(ROUND(facs_rezone_factor*TblRezone[[#This Row],[Facs]],4),facs_rezone_max) + tech_6_4*TblTech[[#This Row],[6-4]] + tech_10_2*TblTech[[#This Row],[10-2]] - IF(TblMagic[[#This Row],[Active Mechanical Genius]]&gt;0,mech_genius_bonus,0) + race_rezone_cost) * TblRezone[[#This Row],[Plat/acre*]],0)</f>
        <v>166</v>
      </c>
      <c r="Y37" s="94">
        <f ca="1">TblRezone[[#This Row],[Total acres]]*TblRezone[[#This Row],[Plat/acre]]</f>
        <v>0</v>
      </c>
      <c r="Z37" s="215"/>
      <c r="AA37" s="94">
        <f ca="1">(250+0.6*(TblRezone[[#This Row],[Land]]-250))</f>
        <v>166</v>
      </c>
      <c r="AB37" s="215"/>
      <c r="AC37" s="157">
        <f ca="1">TblConstr[[#This Row],[Facs DB]]</f>
        <v>0</v>
      </c>
    </row>
    <row r="38" spans="1:29" x14ac:dyDescent="0.2">
      <c r="A38" s="214">
        <f ca="1">TblConstr[[#This Row],[Land]]</f>
        <v>110</v>
      </c>
      <c r="B38" s="216">
        <f ca="1">TblConstr[[#This Row],[Plain]]</f>
        <v>60</v>
      </c>
      <c r="C38" s="182">
        <f ca="1">TblConstr[[#This Row],[Forest]]</f>
        <v>0</v>
      </c>
      <c r="D38" s="359">
        <f ca="1">TblConstr[[#This Row],[Mountain]]</f>
        <v>0</v>
      </c>
      <c r="E38" s="363">
        <f ca="1">TblConstr[[#This Row],[Hill]]</f>
        <v>0</v>
      </c>
      <c r="F38" s="367">
        <f ca="1">TblConstr[[#This Row],[Swamp]]</f>
        <v>0</v>
      </c>
      <c r="G38" s="185">
        <f ca="1">TblConstr[[#This Row],[Cavern]]</f>
        <v>0</v>
      </c>
      <c r="H38" s="186">
        <f ca="1">TblConstr[[#This Row],[Water]]</f>
        <v>0</v>
      </c>
      <c r="I38" s="215"/>
      <c r="J38" s="175">
        <f t="shared" si="1"/>
        <v>35</v>
      </c>
      <c r="K38" s="236">
        <f ca="1">TblImps[[#This Row],[Real time]]</f>
        <v>46048.416666666584</v>
      </c>
      <c r="L38" s="179"/>
      <c r="M38" s="179"/>
      <c r="N38" s="179"/>
      <c r="O38" s="179"/>
      <c r="P38" s="179"/>
      <c r="Q38" s="179"/>
      <c r="R38" s="179"/>
      <c r="S38" s="94">
        <f>SUMIF(TblRezone[[#This Row],[Plains Rezone]:[Water Rezone]],"&gt;0")</f>
        <v>0</v>
      </c>
      <c r="T38" s="61" t="str">
        <f>IF(SUM(TblRezone[[#This Row],[Plains Rezone]:[Water Rezone]])=0,"Ok","Nope")</f>
        <v>Ok</v>
      </c>
      <c r="U38" s="215"/>
      <c r="V38" s="94">
        <f ca="1">TblProd[[#This Row],[Platinum]]</f>
        <v>107569</v>
      </c>
      <c r="W38" s="215"/>
      <c r="X38" s="94">
        <f ca="1">ROUND( (1-MIN(ROUND(facs_rezone_factor*TblRezone[[#This Row],[Facs]],4),facs_rezone_max) + tech_6_4*TblTech[[#This Row],[6-4]] + tech_10_2*TblTech[[#This Row],[10-2]] - IF(TblMagic[[#This Row],[Active Mechanical Genius]]&gt;0,mech_genius_bonus,0) + race_rezone_cost) * TblRezone[[#This Row],[Plat/acre*]],0)</f>
        <v>166</v>
      </c>
      <c r="Y38" s="94">
        <f ca="1">TblRezone[[#This Row],[Total acres]]*TblRezone[[#This Row],[Plat/acre]]</f>
        <v>0</v>
      </c>
      <c r="Z38" s="215"/>
      <c r="AA38" s="94">
        <f ca="1">(250+0.6*(TblRezone[[#This Row],[Land]]-250))</f>
        <v>166</v>
      </c>
      <c r="AB38" s="215"/>
      <c r="AC38" s="157">
        <f ca="1">TblConstr[[#This Row],[Facs DB]]</f>
        <v>0</v>
      </c>
    </row>
    <row r="39" spans="1:29" x14ac:dyDescent="0.2">
      <c r="A39" s="214">
        <f ca="1">TblConstr[[#This Row],[Land]]</f>
        <v>110</v>
      </c>
      <c r="B39" s="216">
        <f ca="1">TblConstr[[#This Row],[Plain]]</f>
        <v>60</v>
      </c>
      <c r="C39" s="182">
        <f ca="1">TblConstr[[#This Row],[Forest]]</f>
        <v>0</v>
      </c>
      <c r="D39" s="359">
        <f ca="1">TblConstr[[#This Row],[Mountain]]</f>
        <v>0</v>
      </c>
      <c r="E39" s="363">
        <f ca="1">TblConstr[[#This Row],[Hill]]</f>
        <v>0</v>
      </c>
      <c r="F39" s="367">
        <f ca="1">TblConstr[[#This Row],[Swamp]]</f>
        <v>0</v>
      </c>
      <c r="G39" s="185">
        <f ca="1">TblConstr[[#This Row],[Cavern]]</f>
        <v>0</v>
      </c>
      <c r="H39" s="186">
        <f ca="1">TblConstr[[#This Row],[Water]]</f>
        <v>0</v>
      </c>
      <c r="I39" s="215"/>
      <c r="J39" s="175">
        <f t="shared" si="1"/>
        <v>36</v>
      </c>
      <c r="K39" s="236">
        <f ca="1">TblImps[[#This Row],[Real time]]</f>
        <v>46048.458333333248</v>
      </c>
      <c r="L39" s="179"/>
      <c r="M39" s="179"/>
      <c r="N39" s="179"/>
      <c r="O39" s="179"/>
      <c r="P39" s="179"/>
      <c r="Q39" s="179"/>
      <c r="R39" s="179"/>
      <c r="S39" s="94">
        <f>SUMIF(TblRezone[[#This Row],[Plains Rezone]:[Water Rezone]],"&gt;0")</f>
        <v>0</v>
      </c>
      <c r="T39" s="61" t="str">
        <f>IF(SUM(TblRezone[[#This Row],[Plains Rezone]:[Water Rezone]])=0,"Ok","Nope")</f>
        <v>Ok</v>
      </c>
      <c r="U39" s="215"/>
      <c r="V39" s="94">
        <f ca="1">TblProd[[#This Row],[Platinum]]</f>
        <v>109494</v>
      </c>
      <c r="W39" s="215"/>
      <c r="X39" s="94">
        <f ca="1">ROUND( (1-MIN(ROUND(facs_rezone_factor*TblRezone[[#This Row],[Facs]],4),facs_rezone_max) + tech_6_4*TblTech[[#This Row],[6-4]] + tech_10_2*TblTech[[#This Row],[10-2]] - IF(TblMagic[[#This Row],[Active Mechanical Genius]]&gt;0,mech_genius_bonus,0) + race_rezone_cost) * TblRezone[[#This Row],[Plat/acre*]],0)</f>
        <v>166</v>
      </c>
      <c r="Y39" s="94">
        <f ca="1">TblRezone[[#This Row],[Total acres]]*TblRezone[[#This Row],[Plat/acre]]</f>
        <v>0</v>
      </c>
      <c r="Z39" s="215"/>
      <c r="AA39" s="94">
        <f ca="1">(250+0.6*(TblRezone[[#This Row],[Land]]-250))</f>
        <v>166</v>
      </c>
      <c r="AB39" s="215"/>
      <c r="AC39" s="157">
        <f ca="1">TblConstr[[#This Row],[Facs DB]]</f>
        <v>0</v>
      </c>
    </row>
    <row r="40" spans="1:29" s="5" customFormat="1" x14ac:dyDescent="0.2">
      <c r="A40" s="230">
        <f ca="1">TblConstr[[#This Row],[Land]]</f>
        <v>110</v>
      </c>
      <c r="B40" s="232">
        <f ca="1">TblConstr[[#This Row],[Plain]]</f>
        <v>60</v>
      </c>
      <c r="C40" s="196">
        <f ca="1">TblConstr[[#This Row],[Forest]]</f>
        <v>0</v>
      </c>
      <c r="D40" s="360">
        <f ca="1">TblConstr[[#This Row],[Mountain]]</f>
        <v>0</v>
      </c>
      <c r="E40" s="364">
        <f ca="1">TblConstr[[#This Row],[Hill]]</f>
        <v>0</v>
      </c>
      <c r="F40" s="368">
        <f ca="1">TblConstr[[#This Row],[Swamp]]</f>
        <v>0</v>
      </c>
      <c r="G40" s="199">
        <f ca="1">TblConstr[[#This Row],[Cavern]]</f>
        <v>0</v>
      </c>
      <c r="H40" s="200">
        <f ca="1">TblConstr[[#This Row],[Water]]</f>
        <v>0</v>
      </c>
      <c r="I40" s="231"/>
      <c r="J40" s="193">
        <f t="shared" si="1"/>
        <v>37</v>
      </c>
      <c r="K40" s="237">
        <f ca="1">TblImps[[#This Row],[Real time]]</f>
        <v>46048.499999999913</v>
      </c>
      <c r="L40" s="201"/>
      <c r="M40" s="201"/>
      <c r="N40" s="201"/>
      <c r="O40" s="201"/>
      <c r="P40" s="201"/>
      <c r="Q40" s="201"/>
      <c r="R40" s="201"/>
      <c r="S40" s="35">
        <f>SUMIF(TblRezone[[#This Row],[Plains Rezone]:[Water Rezone]],"&gt;0")</f>
        <v>0</v>
      </c>
      <c r="T40" s="148" t="str">
        <f>IF(SUM(TblRezone[[#This Row],[Plains Rezone]:[Water Rezone]])=0,"Ok","Nope")</f>
        <v>Ok</v>
      </c>
      <c r="U40" s="231"/>
      <c r="V40" s="35">
        <f ca="1">TblProd[[#This Row],[Platinum]]</f>
        <v>111400</v>
      </c>
      <c r="W40" s="231"/>
      <c r="X40" s="35">
        <f ca="1">ROUND( (1-MIN(ROUND(facs_rezone_factor*TblRezone[[#This Row],[Facs]],4),facs_rezone_max) + tech_6_4*TblTech[[#This Row],[6-4]] + tech_10_2*TblTech[[#This Row],[10-2]] - IF(TblMagic[[#This Row],[Active Mechanical Genius]]&gt;0,mech_genius_bonus,0) + race_rezone_cost) * TblRezone[[#This Row],[Plat/acre*]],0)</f>
        <v>166</v>
      </c>
      <c r="Y40" s="35">
        <f ca="1">TblRezone[[#This Row],[Total acres]]*TblRezone[[#This Row],[Plat/acre]]</f>
        <v>0</v>
      </c>
      <c r="Z40" s="231"/>
      <c r="AA40" s="35">
        <f ca="1">(250+0.6*(TblRezone[[#This Row],[Land]]-250))</f>
        <v>166</v>
      </c>
      <c r="AB40" s="231"/>
      <c r="AC40" s="165">
        <f ca="1">TblConstr[[#This Row],[Facs DB]]</f>
        <v>0</v>
      </c>
    </row>
    <row r="41" spans="1:29" x14ac:dyDescent="0.2">
      <c r="A41" s="214">
        <f ca="1">TblConstr[[#This Row],[Land]]</f>
        <v>110</v>
      </c>
      <c r="B41" s="216">
        <f ca="1">TblConstr[[#This Row],[Plain]]</f>
        <v>60</v>
      </c>
      <c r="C41" s="182">
        <f ca="1">TblConstr[[#This Row],[Forest]]</f>
        <v>0</v>
      </c>
      <c r="D41" s="359">
        <f ca="1">TblConstr[[#This Row],[Mountain]]</f>
        <v>0</v>
      </c>
      <c r="E41" s="363">
        <f ca="1">TblConstr[[#This Row],[Hill]]</f>
        <v>0</v>
      </c>
      <c r="F41" s="367">
        <f ca="1">TblConstr[[#This Row],[Swamp]]</f>
        <v>0</v>
      </c>
      <c r="G41" s="185">
        <f ca="1">TblConstr[[#This Row],[Cavern]]</f>
        <v>0</v>
      </c>
      <c r="H41" s="186">
        <f ca="1">TblConstr[[#This Row],[Water]]</f>
        <v>0</v>
      </c>
      <c r="I41" s="215"/>
      <c r="J41" s="175">
        <f t="shared" si="1"/>
        <v>38</v>
      </c>
      <c r="K41" s="236">
        <f ca="1">TblImps[[#This Row],[Real time]]</f>
        <v>46048.541666666577</v>
      </c>
      <c r="L41" s="179"/>
      <c r="M41" s="179"/>
      <c r="N41" s="179"/>
      <c r="O41" s="179"/>
      <c r="P41" s="179"/>
      <c r="Q41" s="179"/>
      <c r="R41" s="179"/>
      <c r="S41" s="94">
        <f>SUMIF(TblRezone[[#This Row],[Plains Rezone]:[Water Rezone]],"&gt;0")</f>
        <v>0</v>
      </c>
      <c r="T41" s="61" t="str">
        <f>IF(SUM(TblRezone[[#This Row],[Plains Rezone]:[Water Rezone]])=0,"Ok","Nope")</f>
        <v>Ok</v>
      </c>
      <c r="U41" s="215"/>
      <c r="V41" s="94">
        <f ca="1">TblProd[[#This Row],[Platinum]]</f>
        <v>113287</v>
      </c>
      <c r="W41" s="215"/>
      <c r="X41" s="94">
        <f ca="1">ROUND( (1-MIN(ROUND(facs_rezone_factor*TblRezone[[#This Row],[Facs]],4),facs_rezone_max) + tech_6_4*TblTech[[#This Row],[6-4]] + tech_10_2*TblTech[[#This Row],[10-2]] - IF(TblMagic[[#This Row],[Active Mechanical Genius]]&gt;0,mech_genius_bonus,0) + race_rezone_cost) * TblRezone[[#This Row],[Plat/acre*]],0)</f>
        <v>166</v>
      </c>
      <c r="Y41" s="94">
        <f ca="1">TblRezone[[#This Row],[Total acres]]*TblRezone[[#This Row],[Plat/acre]]</f>
        <v>0</v>
      </c>
      <c r="Z41" s="215"/>
      <c r="AA41" s="94">
        <f ca="1">(250+0.6*(TblRezone[[#This Row],[Land]]-250))</f>
        <v>166</v>
      </c>
      <c r="AB41" s="215"/>
      <c r="AC41" s="157">
        <f ca="1">TblConstr[[#This Row],[Facs DB]]</f>
        <v>0</v>
      </c>
    </row>
    <row r="42" spans="1:29" x14ac:dyDescent="0.2">
      <c r="A42" s="214">
        <f ca="1">TblConstr[[#This Row],[Land]]</f>
        <v>110</v>
      </c>
      <c r="B42" s="216">
        <f ca="1">TblConstr[[#This Row],[Plain]]</f>
        <v>60</v>
      </c>
      <c r="C42" s="182">
        <f ca="1">TblConstr[[#This Row],[Forest]]</f>
        <v>0</v>
      </c>
      <c r="D42" s="359">
        <f ca="1">TblConstr[[#This Row],[Mountain]]</f>
        <v>0</v>
      </c>
      <c r="E42" s="363">
        <f ca="1">TblConstr[[#This Row],[Hill]]</f>
        <v>0</v>
      </c>
      <c r="F42" s="367">
        <f ca="1">TblConstr[[#This Row],[Swamp]]</f>
        <v>0</v>
      </c>
      <c r="G42" s="185">
        <f ca="1">TblConstr[[#This Row],[Cavern]]</f>
        <v>0</v>
      </c>
      <c r="H42" s="186">
        <f ca="1">TblConstr[[#This Row],[Water]]</f>
        <v>0</v>
      </c>
      <c r="I42" s="215"/>
      <c r="J42" s="175">
        <f t="shared" si="1"/>
        <v>39</v>
      </c>
      <c r="K42" s="236">
        <f ca="1">TblImps[[#This Row],[Real time]]</f>
        <v>46048.583333333241</v>
      </c>
      <c r="L42" s="179"/>
      <c r="M42" s="179"/>
      <c r="N42" s="179"/>
      <c r="O42" s="179"/>
      <c r="P42" s="179"/>
      <c r="Q42" s="179"/>
      <c r="R42" s="179"/>
      <c r="S42" s="94">
        <f>SUMIF(TblRezone[[#This Row],[Plains Rezone]:[Water Rezone]],"&gt;0")</f>
        <v>0</v>
      </c>
      <c r="T42" s="61" t="str">
        <f>IF(SUM(TblRezone[[#This Row],[Plains Rezone]:[Water Rezone]])=0,"Ok","Nope")</f>
        <v>Ok</v>
      </c>
      <c r="U42" s="215"/>
      <c r="V42" s="94">
        <f ca="1">TblProd[[#This Row],[Platinum]]</f>
        <v>115155</v>
      </c>
      <c r="W42" s="215"/>
      <c r="X42" s="94">
        <f ca="1">ROUND( (1-MIN(ROUND(facs_rezone_factor*TblRezone[[#This Row],[Facs]],4),facs_rezone_max) + tech_6_4*TblTech[[#This Row],[6-4]] + tech_10_2*TblTech[[#This Row],[10-2]] - IF(TblMagic[[#This Row],[Active Mechanical Genius]]&gt;0,mech_genius_bonus,0) + race_rezone_cost) * TblRezone[[#This Row],[Plat/acre*]],0)</f>
        <v>166</v>
      </c>
      <c r="Y42" s="94">
        <f ca="1">TblRezone[[#This Row],[Total acres]]*TblRezone[[#This Row],[Plat/acre]]</f>
        <v>0</v>
      </c>
      <c r="Z42" s="215"/>
      <c r="AA42" s="94">
        <f ca="1">(250+0.6*(TblRezone[[#This Row],[Land]]-250))</f>
        <v>166</v>
      </c>
      <c r="AB42" s="215"/>
      <c r="AC42" s="157">
        <f ca="1">TblConstr[[#This Row],[Facs DB]]</f>
        <v>0</v>
      </c>
    </row>
    <row r="43" spans="1:29" x14ac:dyDescent="0.2">
      <c r="A43" s="214">
        <f ca="1">TblConstr[[#This Row],[Land]]</f>
        <v>110</v>
      </c>
      <c r="B43" s="216">
        <f ca="1">TblConstr[[#This Row],[Plain]]</f>
        <v>60</v>
      </c>
      <c r="C43" s="182">
        <f ca="1">TblConstr[[#This Row],[Forest]]</f>
        <v>0</v>
      </c>
      <c r="D43" s="359">
        <f ca="1">TblConstr[[#This Row],[Mountain]]</f>
        <v>0</v>
      </c>
      <c r="E43" s="363">
        <f ca="1">TblConstr[[#This Row],[Hill]]</f>
        <v>0</v>
      </c>
      <c r="F43" s="367">
        <f ca="1">TblConstr[[#This Row],[Swamp]]</f>
        <v>0</v>
      </c>
      <c r="G43" s="185">
        <f ca="1">TblConstr[[#This Row],[Cavern]]</f>
        <v>0</v>
      </c>
      <c r="H43" s="186">
        <f ca="1">TblConstr[[#This Row],[Water]]</f>
        <v>0</v>
      </c>
      <c r="I43" s="215"/>
      <c r="J43" s="175">
        <f t="shared" si="1"/>
        <v>40</v>
      </c>
      <c r="K43" s="236">
        <f ca="1">TblImps[[#This Row],[Real time]]</f>
        <v>46048.624999999905</v>
      </c>
      <c r="L43" s="179"/>
      <c r="M43" s="179"/>
      <c r="N43" s="179"/>
      <c r="O43" s="179"/>
      <c r="P43" s="179"/>
      <c r="Q43" s="179"/>
      <c r="R43" s="179"/>
      <c r="S43" s="94">
        <f>SUMIF(TblRezone[[#This Row],[Plains Rezone]:[Water Rezone]],"&gt;0")</f>
        <v>0</v>
      </c>
      <c r="T43" s="61" t="str">
        <f>IF(SUM(TblRezone[[#This Row],[Plains Rezone]:[Water Rezone]])=0,"Ok","Nope")</f>
        <v>Ok</v>
      </c>
      <c r="U43" s="215"/>
      <c r="V43" s="94">
        <f ca="1">TblProd[[#This Row],[Platinum]]</f>
        <v>117004</v>
      </c>
      <c r="W43" s="215"/>
      <c r="X43" s="94">
        <f ca="1">ROUND( (1-MIN(ROUND(facs_rezone_factor*TblRezone[[#This Row],[Facs]],4),facs_rezone_max) + tech_6_4*TblTech[[#This Row],[6-4]] + tech_10_2*TblTech[[#This Row],[10-2]] - IF(TblMagic[[#This Row],[Active Mechanical Genius]]&gt;0,mech_genius_bonus,0) + race_rezone_cost) * TblRezone[[#This Row],[Plat/acre*]],0)</f>
        <v>166</v>
      </c>
      <c r="Y43" s="94">
        <f ca="1">TblRezone[[#This Row],[Total acres]]*TblRezone[[#This Row],[Plat/acre]]</f>
        <v>0</v>
      </c>
      <c r="Z43" s="215"/>
      <c r="AA43" s="94">
        <f ca="1">(250+0.6*(TblRezone[[#This Row],[Land]]-250))</f>
        <v>166</v>
      </c>
      <c r="AB43" s="215"/>
      <c r="AC43" s="157">
        <f ca="1">TblConstr[[#This Row],[Facs DB]]</f>
        <v>0</v>
      </c>
    </row>
    <row r="44" spans="1:29" x14ac:dyDescent="0.2">
      <c r="A44" s="214">
        <f ca="1">TblConstr[[#This Row],[Land]]</f>
        <v>110</v>
      </c>
      <c r="B44" s="216">
        <f ca="1">TblConstr[[#This Row],[Plain]]</f>
        <v>60</v>
      </c>
      <c r="C44" s="182">
        <f ca="1">TblConstr[[#This Row],[Forest]]</f>
        <v>0</v>
      </c>
      <c r="D44" s="359">
        <f ca="1">TblConstr[[#This Row],[Mountain]]</f>
        <v>0</v>
      </c>
      <c r="E44" s="363">
        <f ca="1">TblConstr[[#This Row],[Hill]]</f>
        <v>0</v>
      </c>
      <c r="F44" s="367">
        <f ca="1">TblConstr[[#This Row],[Swamp]]</f>
        <v>0</v>
      </c>
      <c r="G44" s="185">
        <f ca="1">TblConstr[[#This Row],[Cavern]]</f>
        <v>0</v>
      </c>
      <c r="H44" s="186">
        <f ca="1">TblConstr[[#This Row],[Water]]</f>
        <v>0</v>
      </c>
      <c r="I44" s="215"/>
      <c r="J44" s="175">
        <f t="shared" si="1"/>
        <v>41</v>
      </c>
      <c r="K44" s="236">
        <f ca="1">TblImps[[#This Row],[Real time]]</f>
        <v>46048.66666666657</v>
      </c>
      <c r="L44" s="179"/>
      <c r="M44" s="179"/>
      <c r="N44" s="179"/>
      <c r="O44" s="179"/>
      <c r="P44" s="179"/>
      <c r="Q44" s="179"/>
      <c r="R44" s="179"/>
      <c r="S44" s="94">
        <f>SUMIF(TblRezone[[#This Row],[Plains Rezone]:[Water Rezone]],"&gt;0")</f>
        <v>0</v>
      </c>
      <c r="T44" s="61" t="str">
        <f>IF(SUM(TblRezone[[#This Row],[Plains Rezone]:[Water Rezone]])=0,"Ok","Nope")</f>
        <v>Ok</v>
      </c>
      <c r="U44" s="215"/>
      <c r="V44" s="94">
        <f ca="1">TblProd[[#This Row],[Platinum]]</f>
        <v>118834</v>
      </c>
      <c r="W44" s="215"/>
      <c r="X44" s="94">
        <f ca="1">ROUND( (1-MIN(ROUND(facs_rezone_factor*TblRezone[[#This Row],[Facs]],4),facs_rezone_max) + tech_6_4*TblTech[[#This Row],[6-4]] + tech_10_2*TblTech[[#This Row],[10-2]] - IF(TblMagic[[#This Row],[Active Mechanical Genius]]&gt;0,mech_genius_bonus,0) + race_rezone_cost) * TblRezone[[#This Row],[Plat/acre*]],0)</f>
        <v>166</v>
      </c>
      <c r="Y44" s="94">
        <f ca="1">TblRezone[[#This Row],[Total acres]]*TblRezone[[#This Row],[Plat/acre]]</f>
        <v>0</v>
      </c>
      <c r="Z44" s="215"/>
      <c r="AA44" s="94">
        <f ca="1">(250+0.6*(TblRezone[[#This Row],[Land]]-250))</f>
        <v>166</v>
      </c>
      <c r="AB44" s="215"/>
      <c r="AC44" s="157">
        <f ca="1">TblConstr[[#This Row],[Facs DB]]</f>
        <v>0</v>
      </c>
    </row>
    <row r="45" spans="1:29" x14ac:dyDescent="0.2">
      <c r="A45" s="214">
        <f ca="1">TblConstr[[#This Row],[Land]]</f>
        <v>110</v>
      </c>
      <c r="B45" s="216">
        <f ca="1">TblConstr[[#This Row],[Plain]]</f>
        <v>60</v>
      </c>
      <c r="C45" s="182">
        <f ca="1">TblConstr[[#This Row],[Forest]]</f>
        <v>0</v>
      </c>
      <c r="D45" s="359">
        <f ca="1">TblConstr[[#This Row],[Mountain]]</f>
        <v>0</v>
      </c>
      <c r="E45" s="363">
        <f ca="1">TblConstr[[#This Row],[Hill]]</f>
        <v>0</v>
      </c>
      <c r="F45" s="367">
        <f ca="1">TblConstr[[#This Row],[Swamp]]</f>
        <v>0</v>
      </c>
      <c r="G45" s="185">
        <f ca="1">TblConstr[[#This Row],[Cavern]]</f>
        <v>0</v>
      </c>
      <c r="H45" s="186">
        <f ca="1">TblConstr[[#This Row],[Water]]</f>
        <v>0</v>
      </c>
      <c r="I45" s="215"/>
      <c r="J45" s="175">
        <f t="shared" si="1"/>
        <v>42</v>
      </c>
      <c r="K45" s="236">
        <f ca="1">TblImps[[#This Row],[Real time]]</f>
        <v>46048.708333333234</v>
      </c>
      <c r="L45" s="179"/>
      <c r="M45" s="179"/>
      <c r="N45" s="179"/>
      <c r="O45" s="179"/>
      <c r="P45" s="179"/>
      <c r="Q45" s="179"/>
      <c r="R45" s="179"/>
      <c r="S45" s="94">
        <f>SUMIF(TblRezone[[#This Row],[Plains Rezone]:[Water Rezone]],"&gt;0")</f>
        <v>0</v>
      </c>
      <c r="T45" s="61" t="str">
        <f>IF(SUM(TblRezone[[#This Row],[Plains Rezone]:[Water Rezone]])=0,"Ok","Nope")</f>
        <v>Ok</v>
      </c>
      <c r="U45" s="215"/>
      <c r="V45" s="94">
        <f ca="1">TblProd[[#This Row],[Platinum]]</f>
        <v>120645</v>
      </c>
      <c r="W45" s="215"/>
      <c r="X45" s="94">
        <f ca="1">ROUND( (1-MIN(ROUND(facs_rezone_factor*TblRezone[[#This Row],[Facs]],4),facs_rezone_max) + tech_6_4*TblTech[[#This Row],[6-4]] + tech_10_2*TblTech[[#This Row],[10-2]] - IF(TblMagic[[#This Row],[Active Mechanical Genius]]&gt;0,mech_genius_bonus,0) + race_rezone_cost) * TblRezone[[#This Row],[Plat/acre*]],0)</f>
        <v>166</v>
      </c>
      <c r="Y45" s="94">
        <f ca="1">TblRezone[[#This Row],[Total acres]]*TblRezone[[#This Row],[Plat/acre]]</f>
        <v>0</v>
      </c>
      <c r="Z45" s="215"/>
      <c r="AA45" s="94">
        <f ca="1">(250+0.6*(TblRezone[[#This Row],[Land]]-250))</f>
        <v>166</v>
      </c>
      <c r="AB45" s="215"/>
      <c r="AC45" s="157">
        <f ca="1">TblConstr[[#This Row],[Facs DB]]</f>
        <v>0</v>
      </c>
    </row>
    <row r="46" spans="1:29" x14ac:dyDescent="0.2">
      <c r="A46" s="214">
        <f ca="1">TblConstr[[#This Row],[Land]]</f>
        <v>110</v>
      </c>
      <c r="B46" s="216">
        <f ca="1">TblConstr[[#This Row],[Plain]]</f>
        <v>60</v>
      </c>
      <c r="C46" s="182">
        <f ca="1">TblConstr[[#This Row],[Forest]]</f>
        <v>0</v>
      </c>
      <c r="D46" s="359">
        <f ca="1">TblConstr[[#This Row],[Mountain]]</f>
        <v>0</v>
      </c>
      <c r="E46" s="363">
        <f ca="1">TblConstr[[#This Row],[Hill]]</f>
        <v>0</v>
      </c>
      <c r="F46" s="367">
        <f ca="1">TblConstr[[#This Row],[Swamp]]</f>
        <v>0</v>
      </c>
      <c r="G46" s="185">
        <f ca="1">TblConstr[[#This Row],[Cavern]]</f>
        <v>0</v>
      </c>
      <c r="H46" s="186">
        <f ca="1">TblConstr[[#This Row],[Water]]</f>
        <v>0</v>
      </c>
      <c r="I46" s="215"/>
      <c r="J46" s="175">
        <f t="shared" si="1"/>
        <v>43</v>
      </c>
      <c r="K46" s="236">
        <f ca="1">TblImps[[#This Row],[Real time]]</f>
        <v>46048.749999999898</v>
      </c>
      <c r="L46" s="179"/>
      <c r="M46" s="179"/>
      <c r="N46" s="179"/>
      <c r="O46" s="179"/>
      <c r="P46" s="179"/>
      <c r="Q46" s="179"/>
      <c r="R46" s="179"/>
      <c r="S46" s="94">
        <f>SUMIF(TblRezone[[#This Row],[Plains Rezone]:[Water Rezone]],"&gt;0")</f>
        <v>0</v>
      </c>
      <c r="T46" s="61" t="str">
        <f>IF(SUM(TblRezone[[#This Row],[Plains Rezone]:[Water Rezone]])=0,"Ok","Nope")</f>
        <v>Ok</v>
      </c>
      <c r="U46" s="215"/>
      <c r="V46" s="94">
        <f ca="1">TblProd[[#This Row],[Platinum]]</f>
        <v>122437</v>
      </c>
      <c r="W46" s="215"/>
      <c r="X46" s="94">
        <f ca="1">ROUND( (1-MIN(ROUND(facs_rezone_factor*TblRezone[[#This Row],[Facs]],4),facs_rezone_max) + tech_6_4*TblTech[[#This Row],[6-4]] + tech_10_2*TblTech[[#This Row],[10-2]] - IF(TblMagic[[#This Row],[Active Mechanical Genius]]&gt;0,mech_genius_bonus,0) + race_rezone_cost) * TblRezone[[#This Row],[Plat/acre*]],0)</f>
        <v>166</v>
      </c>
      <c r="Y46" s="94">
        <f ca="1">TblRezone[[#This Row],[Total acres]]*TblRezone[[#This Row],[Plat/acre]]</f>
        <v>0</v>
      </c>
      <c r="Z46" s="215"/>
      <c r="AA46" s="94">
        <f ca="1">(250+0.6*(TblRezone[[#This Row],[Land]]-250))</f>
        <v>166</v>
      </c>
      <c r="AB46" s="215"/>
      <c r="AC46" s="157">
        <f ca="1">TblConstr[[#This Row],[Facs DB]]</f>
        <v>0</v>
      </c>
    </row>
    <row r="47" spans="1:29" x14ac:dyDescent="0.2">
      <c r="A47" s="214">
        <f ca="1">TblConstr[[#This Row],[Land]]</f>
        <v>110</v>
      </c>
      <c r="B47" s="216">
        <f ca="1">TblConstr[[#This Row],[Plain]]</f>
        <v>60</v>
      </c>
      <c r="C47" s="182">
        <f ca="1">TblConstr[[#This Row],[Forest]]</f>
        <v>0</v>
      </c>
      <c r="D47" s="359">
        <f ca="1">TblConstr[[#This Row],[Mountain]]</f>
        <v>0</v>
      </c>
      <c r="E47" s="363">
        <f ca="1">TblConstr[[#This Row],[Hill]]</f>
        <v>0</v>
      </c>
      <c r="F47" s="367">
        <f ca="1">TblConstr[[#This Row],[Swamp]]</f>
        <v>0</v>
      </c>
      <c r="G47" s="185">
        <f ca="1">TblConstr[[#This Row],[Cavern]]</f>
        <v>0</v>
      </c>
      <c r="H47" s="186">
        <f ca="1">TblConstr[[#This Row],[Water]]</f>
        <v>0</v>
      </c>
      <c r="I47" s="215"/>
      <c r="J47" s="175">
        <f t="shared" si="1"/>
        <v>44</v>
      </c>
      <c r="K47" s="236">
        <f ca="1">TblImps[[#This Row],[Real time]]</f>
        <v>46048.791666666562</v>
      </c>
      <c r="L47" s="179"/>
      <c r="M47" s="179"/>
      <c r="N47" s="179"/>
      <c r="O47" s="179"/>
      <c r="P47" s="179"/>
      <c r="Q47" s="179"/>
      <c r="R47" s="179"/>
      <c r="S47" s="94">
        <f>SUMIF(TblRezone[[#This Row],[Plains Rezone]:[Water Rezone]],"&gt;0")</f>
        <v>0</v>
      </c>
      <c r="T47" s="61" t="str">
        <f>IF(SUM(TblRezone[[#This Row],[Plains Rezone]:[Water Rezone]])=0,"Ok","Nope")</f>
        <v>Ok</v>
      </c>
      <c r="U47" s="215"/>
      <c r="V47" s="94">
        <f ca="1">TblProd[[#This Row],[Platinum]]</f>
        <v>124210</v>
      </c>
      <c r="W47" s="215"/>
      <c r="X47" s="94">
        <f ca="1">ROUND( (1-MIN(ROUND(facs_rezone_factor*TblRezone[[#This Row],[Facs]],4),facs_rezone_max) + tech_6_4*TblTech[[#This Row],[6-4]] + tech_10_2*TblTech[[#This Row],[10-2]] - IF(TblMagic[[#This Row],[Active Mechanical Genius]]&gt;0,mech_genius_bonus,0) + race_rezone_cost) * TblRezone[[#This Row],[Plat/acre*]],0)</f>
        <v>166</v>
      </c>
      <c r="Y47" s="94">
        <f ca="1">TblRezone[[#This Row],[Total acres]]*TblRezone[[#This Row],[Plat/acre]]</f>
        <v>0</v>
      </c>
      <c r="Z47" s="215"/>
      <c r="AA47" s="94">
        <f ca="1">(250+0.6*(TblRezone[[#This Row],[Land]]-250))</f>
        <v>166</v>
      </c>
      <c r="AB47" s="215"/>
      <c r="AC47" s="157">
        <f ca="1">TblConstr[[#This Row],[Facs DB]]</f>
        <v>0</v>
      </c>
    </row>
    <row r="48" spans="1:29" x14ac:dyDescent="0.2">
      <c r="A48" s="214">
        <f ca="1">TblConstr[[#This Row],[Land]]</f>
        <v>110</v>
      </c>
      <c r="B48" s="216">
        <f ca="1">TblConstr[[#This Row],[Plain]]</f>
        <v>60</v>
      </c>
      <c r="C48" s="182">
        <f ca="1">TblConstr[[#This Row],[Forest]]</f>
        <v>0</v>
      </c>
      <c r="D48" s="359">
        <f ca="1">TblConstr[[#This Row],[Mountain]]</f>
        <v>0</v>
      </c>
      <c r="E48" s="363">
        <f ca="1">TblConstr[[#This Row],[Hill]]</f>
        <v>0</v>
      </c>
      <c r="F48" s="367">
        <f ca="1">TblConstr[[#This Row],[Swamp]]</f>
        <v>0</v>
      </c>
      <c r="G48" s="185">
        <f ca="1">TblConstr[[#This Row],[Cavern]]</f>
        <v>0</v>
      </c>
      <c r="H48" s="186">
        <f ca="1">TblConstr[[#This Row],[Water]]</f>
        <v>0</v>
      </c>
      <c r="I48" s="215"/>
      <c r="J48" s="175">
        <f t="shared" si="1"/>
        <v>45</v>
      </c>
      <c r="K48" s="236">
        <f ca="1">TblImps[[#This Row],[Real time]]</f>
        <v>46048.833333333227</v>
      </c>
      <c r="L48" s="179"/>
      <c r="M48" s="179"/>
      <c r="N48" s="179"/>
      <c r="O48" s="179"/>
      <c r="P48" s="179"/>
      <c r="Q48" s="179"/>
      <c r="R48" s="179"/>
      <c r="S48" s="94">
        <f>SUMIF(TblRezone[[#This Row],[Plains Rezone]:[Water Rezone]],"&gt;0")</f>
        <v>0</v>
      </c>
      <c r="T48" s="61" t="str">
        <f>IF(SUM(TblRezone[[#This Row],[Plains Rezone]:[Water Rezone]])=0,"Ok","Nope")</f>
        <v>Ok</v>
      </c>
      <c r="U48" s="215"/>
      <c r="V48" s="94">
        <f ca="1">TblProd[[#This Row],[Platinum]]</f>
        <v>125965</v>
      </c>
      <c r="W48" s="215"/>
      <c r="X48" s="94">
        <f ca="1">ROUND( (1-MIN(ROUND(facs_rezone_factor*TblRezone[[#This Row],[Facs]],4),facs_rezone_max) + tech_6_4*TblTech[[#This Row],[6-4]] + tech_10_2*TblTech[[#This Row],[10-2]] - IF(TblMagic[[#This Row],[Active Mechanical Genius]]&gt;0,mech_genius_bonus,0) + race_rezone_cost) * TblRezone[[#This Row],[Plat/acre*]],0)</f>
        <v>166</v>
      </c>
      <c r="Y48" s="94">
        <f ca="1">TblRezone[[#This Row],[Total acres]]*TblRezone[[#This Row],[Plat/acre]]</f>
        <v>0</v>
      </c>
      <c r="Z48" s="215"/>
      <c r="AA48" s="94">
        <f ca="1">(250+0.6*(TblRezone[[#This Row],[Land]]-250))</f>
        <v>166</v>
      </c>
      <c r="AB48" s="215"/>
      <c r="AC48" s="157">
        <f ca="1">TblConstr[[#This Row],[Facs DB]]</f>
        <v>0</v>
      </c>
    </row>
    <row r="49" spans="1:29" x14ac:dyDescent="0.2">
      <c r="A49" s="214">
        <f ca="1">TblConstr[[#This Row],[Land]]</f>
        <v>110</v>
      </c>
      <c r="B49" s="216">
        <f ca="1">TblConstr[[#This Row],[Plain]]</f>
        <v>60</v>
      </c>
      <c r="C49" s="182">
        <f ca="1">TblConstr[[#This Row],[Forest]]</f>
        <v>0</v>
      </c>
      <c r="D49" s="359">
        <f ca="1">TblConstr[[#This Row],[Mountain]]</f>
        <v>0</v>
      </c>
      <c r="E49" s="363">
        <f ca="1">TblConstr[[#This Row],[Hill]]</f>
        <v>0</v>
      </c>
      <c r="F49" s="367">
        <f ca="1">TblConstr[[#This Row],[Swamp]]</f>
        <v>0</v>
      </c>
      <c r="G49" s="185">
        <f ca="1">TblConstr[[#This Row],[Cavern]]</f>
        <v>0</v>
      </c>
      <c r="H49" s="186">
        <f ca="1">TblConstr[[#This Row],[Water]]</f>
        <v>0</v>
      </c>
      <c r="I49" s="215"/>
      <c r="J49" s="175">
        <f t="shared" si="1"/>
        <v>46</v>
      </c>
      <c r="K49" s="236">
        <f ca="1">TblImps[[#This Row],[Real time]]</f>
        <v>46048.874999999891</v>
      </c>
      <c r="L49" s="179"/>
      <c r="M49" s="179"/>
      <c r="N49" s="179"/>
      <c r="O49" s="179"/>
      <c r="P49" s="179"/>
      <c r="Q49" s="179"/>
      <c r="R49" s="179"/>
      <c r="S49" s="94">
        <f>SUMIF(TblRezone[[#This Row],[Plains Rezone]:[Water Rezone]],"&gt;0")</f>
        <v>0</v>
      </c>
      <c r="T49" s="61" t="str">
        <f>IF(SUM(TblRezone[[#This Row],[Plains Rezone]:[Water Rezone]])=0,"Ok","Nope")</f>
        <v>Ok</v>
      </c>
      <c r="U49" s="215"/>
      <c r="V49" s="94">
        <f ca="1">TblProd[[#This Row],[Platinum]]</f>
        <v>127701</v>
      </c>
      <c r="W49" s="215"/>
      <c r="X49" s="94">
        <f ca="1">ROUND( (1-MIN(ROUND(facs_rezone_factor*TblRezone[[#This Row],[Facs]],4),facs_rezone_max) + tech_6_4*TblTech[[#This Row],[6-4]] + tech_10_2*TblTech[[#This Row],[10-2]] - IF(TblMagic[[#This Row],[Active Mechanical Genius]]&gt;0,mech_genius_bonus,0) + race_rezone_cost) * TblRezone[[#This Row],[Plat/acre*]],0)</f>
        <v>166</v>
      </c>
      <c r="Y49" s="94">
        <f ca="1">TblRezone[[#This Row],[Total acres]]*TblRezone[[#This Row],[Plat/acre]]</f>
        <v>0</v>
      </c>
      <c r="Z49" s="215"/>
      <c r="AA49" s="94">
        <f ca="1">(250+0.6*(TblRezone[[#This Row],[Land]]-250))</f>
        <v>166</v>
      </c>
      <c r="AB49" s="215"/>
      <c r="AC49" s="157">
        <f ca="1">TblConstr[[#This Row],[Facs DB]]</f>
        <v>0</v>
      </c>
    </row>
    <row r="50" spans="1:29" x14ac:dyDescent="0.2">
      <c r="A50" s="214">
        <f ca="1">TblConstr[[#This Row],[Land]]</f>
        <v>110</v>
      </c>
      <c r="B50" s="216">
        <f ca="1">TblConstr[[#This Row],[Plain]]</f>
        <v>60</v>
      </c>
      <c r="C50" s="182">
        <f ca="1">TblConstr[[#This Row],[Forest]]</f>
        <v>0</v>
      </c>
      <c r="D50" s="359">
        <f ca="1">TblConstr[[#This Row],[Mountain]]</f>
        <v>0</v>
      </c>
      <c r="E50" s="363">
        <f ca="1">TblConstr[[#This Row],[Hill]]</f>
        <v>0</v>
      </c>
      <c r="F50" s="367">
        <f ca="1">TblConstr[[#This Row],[Swamp]]</f>
        <v>0</v>
      </c>
      <c r="G50" s="185">
        <f ca="1">TblConstr[[#This Row],[Cavern]]</f>
        <v>0</v>
      </c>
      <c r="H50" s="186">
        <f ca="1">TblConstr[[#This Row],[Water]]</f>
        <v>0</v>
      </c>
      <c r="I50" s="215"/>
      <c r="J50" s="175">
        <f t="shared" si="1"/>
        <v>47</v>
      </c>
      <c r="K50" s="236">
        <f ca="1">TblImps[[#This Row],[Real time]]</f>
        <v>46048.916666666555</v>
      </c>
      <c r="L50" s="179"/>
      <c r="M50" s="179"/>
      <c r="N50" s="179"/>
      <c r="O50" s="179"/>
      <c r="P50" s="179"/>
      <c r="Q50" s="179"/>
      <c r="R50" s="179"/>
      <c r="S50" s="94">
        <f>SUMIF(TblRezone[[#This Row],[Plains Rezone]:[Water Rezone]],"&gt;0")</f>
        <v>0</v>
      </c>
      <c r="T50" s="61" t="str">
        <f>IF(SUM(TblRezone[[#This Row],[Plains Rezone]:[Water Rezone]])=0,"Ok","Nope")</f>
        <v>Ok</v>
      </c>
      <c r="U50" s="215"/>
      <c r="V50" s="94">
        <f ca="1">TblProd[[#This Row],[Platinum]]</f>
        <v>129420</v>
      </c>
      <c r="W50" s="215"/>
      <c r="X50" s="94">
        <f ca="1">ROUND( (1-MIN(ROUND(facs_rezone_factor*TblRezone[[#This Row],[Facs]],4),facs_rezone_max) + tech_6_4*TblTech[[#This Row],[6-4]] + tech_10_2*TblTech[[#This Row],[10-2]] - IF(TblMagic[[#This Row],[Active Mechanical Genius]]&gt;0,mech_genius_bonus,0) + race_rezone_cost) * TblRezone[[#This Row],[Plat/acre*]],0)</f>
        <v>166</v>
      </c>
      <c r="Y50" s="94">
        <f ca="1">TblRezone[[#This Row],[Total acres]]*TblRezone[[#This Row],[Plat/acre]]</f>
        <v>0</v>
      </c>
      <c r="Z50" s="215"/>
      <c r="AA50" s="94">
        <f ca="1">(250+0.6*(TblRezone[[#This Row],[Land]]-250))</f>
        <v>166</v>
      </c>
      <c r="AB50" s="215"/>
      <c r="AC50" s="157">
        <f ca="1">TblConstr[[#This Row],[Facs DB]]</f>
        <v>0</v>
      </c>
    </row>
    <row r="51" spans="1:29" x14ac:dyDescent="0.2">
      <c r="A51" s="214">
        <f ca="1">TblConstr[[#This Row],[Land]]</f>
        <v>110</v>
      </c>
      <c r="B51" s="216">
        <f ca="1">TblConstr[[#This Row],[Plain]]</f>
        <v>60</v>
      </c>
      <c r="C51" s="182">
        <f ca="1">TblConstr[[#This Row],[Forest]]</f>
        <v>0</v>
      </c>
      <c r="D51" s="359">
        <f ca="1">TblConstr[[#This Row],[Mountain]]</f>
        <v>0</v>
      </c>
      <c r="E51" s="363">
        <f ca="1">TblConstr[[#This Row],[Hill]]</f>
        <v>0</v>
      </c>
      <c r="F51" s="367">
        <f ca="1">TblConstr[[#This Row],[Swamp]]</f>
        <v>0</v>
      </c>
      <c r="G51" s="185">
        <f ca="1">TblConstr[[#This Row],[Cavern]]</f>
        <v>0</v>
      </c>
      <c r="H51" s="186">
        <f ca="1">TblConstr[[#This Row],[Water]]</f>
        <v>0</v>
      </c>
      <c r="I51" s="215"/>
      <c r="J51" s="175">
        <f t="shared" si="1"/>
        <v>48</v>
      </c>
      <c r="K51" s="236">
        <f ca="1">TblImps[[#This Row],[Real time]]</f>
        <v>46048.958333333219</v>
      </c>
      <c r="L51" s="179"/>
      <c r="M51" s="179"/>
      <c r="N51" s="179"/>
      <c r="O51" s="179"/>
      <c r="P51" s="179"/>
      <c r="Q51" s="179"/>
      <c r="R51" s="179"/>
      <c r="S51" s="94">
        <f>SUMIF(TblRezone[[#This Row],[Plains Rezone]:[Water Rezone]],"&gt;0")</f>
        <v>0</v>
      </c>
      <c r="T51" s="61" t="str">
        <f>IF(SUM(TblRezone[[#This Row],[Plains Rezone]:[Water Rezone]])=0,"Ok","Nope")</f>
        <v>Ok</v>
      </c>
      <c r="U51" s="215"/>
      <c r="V51" s="94">
        <f ca="1">TblProd[[#This Row],[Platinum]]</f>
        <v>131123</v>
      </c>
      <c r="W51" s="215"/>
      <c r="X51" s="94">
        <f ca="1">ROUND( (1-MIN(ROUND(facs_rezone_factor*TblRezone[[#This Row],[Facs]],4),facs_rezone_max) + tech_6_4*TblTech[[#This Row],[6-4]] + tech_10_2*TblTech[[#This Row],[10-2]] - IF(TblMagic[[#This Row],[Active Mechanical Genius]]&gt;0,mech_genius_bonus,0) + race_rezone_cost) * TblRezone[[#This Row],[Plat/acre*]],0)</f>
        <v>166</v>
      </c>
      <c r="Y51" s="94">
        <f ca="1">TblRezone[[#This Row],[Total acres]]*TblRezone[[#This Row],[Plat/acre]]</f>
        <v>0</v>
      </c>
      <c r="Z51" s="215"/>
      <c r="AA51" s="94">
        <f ca="1">(250+0.6*(TblRezone[[#This Row],[Land]]-250))</f>
        <v>166</v>
      </c>
      <c r="AB51" s="215"/>
      <c r="AC51" s="157">
        <f ca="1">TblConstr[[#This Row],[Facs DB]]</f>
        <v>0</v>
      </c>
    </row>
    <row r="52" spans="1:29" x14ac:dyDescent="0.2">
      <c r="A52" s="214">
        <f ca="1">TblConstr[[#This Row],[Land]]</f>
        <v>110</v>
      </c>
      <c r="B52" s="216">
        <f ca="1">TblConstr[[#This Row],[Plain]]</f>
        <v>60</v>
      </c>
      <c r="C52" s="182">
        <f ca="1">TblConstr[[#This Row],[Forest]]</f>
        <v>0</v>
      </c>
      <c r="D52" s="359">
        <f ca="1">TblConstr[[#This Row],[Mountain]]</f>
        <v>0</v>
      </c>
      <c r="E52" s="363">
        <f ca="1">TblConstr[[#This Row],[Hill]]</f>
        <v>0</v>
      </c>
      <c r="F52" s="367">
        <f ca="1">TblConstr[[#This Row],[Swamp]]</f>
        <v>0</v>
      </c>
      <c r="G52" s="185">
        <f ca="1">TblConstr[[#This Row],[Cavern]]</f>
        <v>0</v>
      </c>
      <c r="H52" s="186">
        <f ca="1">TblConstr[[#This Row],[Water]]</f>
        <v>0</v>
      </c>
      <c r="I52" s="215"/>
      <c r="J52" s="175">
        <f t="shared" si="1"/>
        <v>49</v>
      </c>
      <c r="K52" s="236">
        <f ca="1">TblImps[[#This Row],[Real time]]</f>
        <v>46048.999999999884</v>
      </c>
      <c r="L52" s="179"/>
      <c r="M52" s="179"/>
      <c r="N52" s="179"/>
      <c r="O52" s="179"/>
      <c r="P52" s="179"/>
      <c r="Q52" s="179"/>
      <c r="R52" s="179"/>
      <c r="S52" s="94">
        <f>SUMIF(TblRezone[[#This Row],[Plains Rezone]:[Water Rezone]],"&gt;0")</f>
        <v>0</v>
      </c>
      <c r="T52" s="61" t="str">
        <f>IF(SUM(TblRezone[[#This Row],[Plains Rezone]:[Water Rezone]])=0,"Ok","Nope")</f>
        <v>Ok</v>
      </c>
      <c r="U52" s="215"/>
      <c r="V52" s="94">
        <f ca="1">TblProd[[#This Row],[Platinum]]</f>
        <v>132810</v>
      </c>
      <c r="W52" s="215"/>
      <c r="X52" s="94">
        <f ca="1">ROUND( (1-MIN(ROUND(facs_rezone_factor*TblRezone[[#This Row],[Facs]],4),facs_rezone_max) + tech_6_4*TblTech[[#This Row],[6-4]] + tech_10_2*TblTech[[#This Row],[10-2]] - IF(TblMagic[[#This Row],[Active Mechanical Genius]]&gt;0,mech_genius_bonus,0) + race_rezone_cost) * TblRezone[[#This Row],[Plat/acre*]],0)</f>
        <v>166</v>
      </c>
      <c r="Y52" s="94">
        <f ca="1">TblRezone[[#This Row],[Total acres]]*TblRezone[[#This Row],[Plat/acre]]</f>
        <v>0</v>
      </c>
      <c r="Z52" s="215"/>
      <c r="AA52" s="94">
        <f ca="1">(250+0.6*(TblRezone[[#This Row],[Land]]-250))</f>
        <v>166</v>
      </c>
      <c r="AB52" s="215"/>
      <c r="AC52" s="157">
        <f ca="1">TblConstr[[#This Row],[Facs DB]]</f>
        <v>0</v>
      </c>
    </row>
    <row r="53" spans="1:29" x14ac:dyDescent="0.2">
      <c r="A53" s="214">
        <f ca="1">TblConstr[[#This Row],[Land]]</f>
        <v>110</v>
      </c>
      <c r="B53" s="216">
        <f ca="1">TblConstr[[#This Row],[Plain]]</f>
        <v>60</v>
      </c>
      <c r="C53" s="182">
        <f ca="1">TblConstr[[#This Row],[Forest]]</f>
        <v>0</v>
      </c>
      <c r="D53" s="359">
        <f ca="1">TblConstr[[#This Row],[Mountain]]</f>
        <v>0</v>
      </c>
      <c r="E53" s="363">
        <f ca="1">TblConstr[[#This Row],[Hill]]</f>
        <v>0</v>
      </c>
      <c r="F53" s="367">
        <f ca="1">TblConstr[[#This Row],[Swamp]]</f>
        <v>0</v>
      </c>
      <c r="G53" s="185">
        <f ca="1">TblConstr[[#This Row],[Cavern]]</f>
        <v>0</v>
      </c>
      <c r="H53" s="186">
        <f ca="1">TblConstr[[#This Row],[Water]]</f>
        <v>0</v>
      </c>
      <c r="I53" s="215"/>
      <c r="J53" s="175">
        <f t="shared" si="1"/>
        <v>50</v>
      </c>
      <c r="K53" s="236">
        <f ca="1">TblImps[[#This Row],[Real time]]</f>
        <v>46049.041666666548</v>
      </c>
      <c r="L53" s="179"/>
      <c r="M53" s="179"/>
      <c r="N53" s="179"/>
      <c r="O53" s="179"/>
      <c r="P53" s="179"/>
      <c r="Q53" s="179"/>
      <c r="R53" s="179"/>
      <c r="S53" s="94">
        <f>SUMIF(TblRezone[[#This Row],[Plains Rezone]:[Water Rezone]],"&gt;0")</f>
        <v>0</v>
      </c>
      <c r="T53" s="61" t="str">
        <f>IF(SUM(TblRezone[[#This Row],[Plains Rezone]:[Water Rezone]])=0,"Ok","Nope")</f>
        <v>Ok</v>
      </c>
      <c r="U53" s="215"/>
      <c r="V53" s="94">
        <f ca="1">TblProd[[#This Row],[Platinum]]</f>
        <v>134481</v>
      </c>
      <c r="W53" s="215"/>
      <c r="X53" s="94">
        <f ca="1">ROUND( (1-MIN(ROUND(facs_rezone_factor*TblRezone[[#This Row],[Facs]],4),facs_rezone_max) + tech_6_4*TblTech[[#This Row],[6-4]] + tech_10_2*TblTech[[#This Row],[10-2]] - IF(TblMagic[[#This Row],[Active Mechanical Genius]]&gt;0,mech_genius_bonus,0) + race_rezone_cost) * TblRezone[[#This Row],[Plat/acre*]],0)</f>
        <v>166</v>
      </c>
      <c r="Y53" s="94">
        <f ca="1">TblRezone[[#This Row],[Total acres]]*TblRezone[[#This Row],[Plat/acre]]</f>
        <v>0</v>
      </c>
      <c r="Z53" s="215"/>
      <c r="AA53" s="94">
        <f ca="1">(250+0.6*(TblRezone[[#This Row],[Land]]-250))</f>
        <v>166</v>
      </c>
      <c r="AB53" s="215"/>
      <c r="AC53" s="157">
        <f ca="1">TblConstr[[#This Row],[Facs DB]]</f>
        <v>0</v>
      </c>
    </row>
    <row r="54" spans="1:29" x14ac:dyDescent="0.2">
      <c r="A54" s="214">
        <f ca="1">TblConstr[[#This Row],[Land]]</f>
        <v>110</v>
      </c>
      <c r="B54" s="216">
        <f ca="1">TblConstr[[#This Row],[Plain]]</f>
        <v>60</v>
      </c>
      <c r="C54" s="182">
        <f ca="1">TblConstr[[#This Row],[Forest]]</f>
        <v>0</v>
      </c>
      <c r="D54" s="359">
        <f ca="1">TblConstr[[#This Row],[Mountain]]</f>
        <v>0</v>
      </c>
      <c r="E54" s="363">
        <f ca="1">TblConstr[[#This Row],[Hill]]</f>
        <v>0</v>
      </c>
      <c r="F54" s="367">
        <f ca="1">TblConstr[[#This Row],[Swamp]]</f>
        <v>0</v>
      </c>
      <c r="G54" s="185">
        <f ca="1">TblConstr[[#This Row],[Cavern]]</f>
        <v>0</v>
      </c>
      <c r="H54" s="186">
        <f ca="1">TblConstr[[#This Row],[Water]]</f>
        <v>0</v>
      </c>
      <c r="I54" s="215"/>
      <c r="J54" s="175">
        <f t="shared" si="1"/>
        <v>51</v>
      </c>
      <c r="K54" s="236">
        <f ca="1">TblImps[[#This Row],[Real time]]</f>
        <v>46049.083333333212</v>
      </c>
      <c r="L54" s="179"/>
      <c r="M54" s="179"/>
      <c r="N54" s="179"/>
      <c r="O54" s="179"/>
      <c r="P54" s="179"/>
      <c r="Q54" s="179"/>
      <c r="R54" s="179"/>
      <c r="S54" s="94">
        <f>SUMIF(TblRezone[[#This Row],[Plains Rezone]:[Water Rezone]],"&gt;0")</f>
        <v>0</v>
      </c>
      <c r="T54" s="61" t="str">
        <f>IF(SUM(TblRezone[[#This Row],[Plains Rezone]:[Water Rezone]])=0,"Ok","Nope")</f>
        <v>Ok</v>
      </c>
      <c r="U54" s="215"/>
      <c r="V54" s="94">
        <f ca="1">TblProd[[#This Row],[Platinum]]</f>
        <v>136136</v>
      </c>
      <c r="W54" s="215"/>
      <c r="X54" s="94">
        <f ca="1">ROUND( (1-MIN(ROUND(facs_rezone_factor*TblRezone[[#This Row],[Facs]],4),facs_rezone_max) + tech_6_4*TblTech[[#This Row],[6-4]] + tech_10_2*TblTech[[#This Row],[10-2]] - IF(TblMagic[[#This Row],[Active Mechanical Genius]]&gt;0,mech_genius_bonus,0) + race_rezone_cost) * TblRezone[[#This Row],[Plat/acre*]],0)</f>
        <v>166</v>
      </c>
      <c r="Y54" s="94">
        <f ca="1">TblRezone[[#This Row],[Total acres]]*TblRezone[[#This Row],[Plat/acre]]</f>
        <v>0</v>
      </c>
      <c r="Z54" s="215"/>
      <c r="AA54" s="94">
        <f ca="1">(250+0.6*(TblRezone[[#This Row],[Land]]-250))</f>
        <v>166</v>
      </c>
      <c r="AB54" s="215"/>
      <c r="AC54" s="157">
        <f ca="1">TblConstr[[#This Row],[Facs DB]]</f>
        <v>0</v>
      </c>
    </row>
    <row r="55" spans="1:29" x14ac:dyDescent="0.2">
      <c r="A55" s="214">
        <f ca="1">TblConstr[[#This Row],[Land]]</f>
        <v>110</v>
      </c>
      <c r="B55" s="216">
        <f ca="1">TblConstr[[#This Row],[Plain]]</f>
        <v>60</v>
      </c>
      <c r="C55" s="182">
        <f ca="1">TblConstr[[#This Row],[Forest]]</f>
        <v>0</v>
      </c>
      <c r="D55" s="359">
        <f ca="1">TblConstr[[#This Row],[Mountain]]</f>
        <v>0</v>
      </c>
      <c r="E55" s="363">
        <f ca="1">TblConstr[[#This Row],[Hill]]</f>
        <v>0</v>
      </c>
      <c r="F55" s="367">
        <f ca="1">TblConstr[[#This Row],[Swamp]]</f>
        <v>0</v>
      </c>
      <c r="G55" s="185">
        <f ca="1">TblConstr[[#This Row],[Cavern]]</f>
        <v>0</v>
      </c>
      <c r="H55" s="186">
        <f ca="1">TblConstr[[#This Row],[Water]]</f>
        <v>0</v>
      </c>
      <c r="I55" s="215"/>
      <c r="J55" s="175">
        <f t="shared" si="1"/>
        <v>52</v>
      </c>
      <c r="K55" s="236">
        <f ca="1">TblImps[[#This Row],[Real time]]</f>
        <v>46049.124999999876</v>
      </c>
      <c r="L55" s="179"/>
      <c r="M55" s="179"/>
      <c r="N55" s="179"/>
      <c r="O55" s="179"/>
      <c r="P55" s="179"/>
      <c r="Q55" s="179"/>
      <c r="R55" s="179"/>
      <c r="S55" s="94">
        <f>SUMIF(TblRezone[[#This Row],[Plains Rezone]:[Water Rezone]],"&gt;0")</f>
        <v>0</v>
      </c>
      <c r="T55" s="61" t="str">
        <f>IF(SUM(TblRezone[[#This Row],[Plains Rezone]:[Water Rezone]])=0,"Ok","Nope")</f>
        <v>Ok</v>
      </c>
      <c r="U55" s="215"/>
      <c r="V55" s="94">
        <f ca="1">TblProd[[#This Row],[Platinum]]</f>
        <v>137774</v>
      </c>
      <c r="W55" s="215"/>
      <c r="X55" s="94">
        <f ca="1">ROUND( (1-MIN(ROUND(facs_rezone_factor*TblRezone[[#This Row],[Facs]],4),facs_rezone_max) + tech_6_4*TblTech[[#This Row],[6-4]] + tech_10_2*TblTech[[#This Row],[10-2]] - IF(TblMagic[[#This Row],[Active Mechanical Genius]]&gt;0,mech_genius_bonus,0) + race_rezone_cost) * TblRezone[[#This Row],[Plat/acre*]],0)</f>
        <v>166</v>
      </c>
      <c r="Y55" s="94">
        <f ca="1">TblRezone[[#This Row],[Total acres]]*TblRezone[[#This Row],[Plat/acre]]</f>
        <v>0</v>
      </c>
      <c r="Z55" s="215"/>
      <c r="AA55" s="94">
        <f ca="1">(250+0.6*(TblRezone[[#This Row],[Land]]-250))</f>
        <v>166</v>
      </c>
      <c r="AB55" s="215"/>
      <c r="AC55" s="157">
        <f ca="1">TblConstr[[#This Row],[Facs DB]]</f>
        <v>0</v>
      </c>
    </row>
    <row r="56" spans="1:29" x14ac:dyDescent="0.2">
      <c r="A56" s="214">
        <f ca="1">TblConstr[[#This Row],[Land]]</f>
        <v>110</v>
      </c>
      <c r="B56" s="216">
        <f ca="1">TblConstr[[#This Row],[Plain]]</f>
        <v>60</v>
      </c>
      <c r="C56" s="182">
        <f ca="1">TblConstr[[#This Row],[Forest]]</f>
        <v>0</v>
      </c>
      <c r="D56" s="359">
        <f ca="1">TblConstr[[#This Row],[Mountain]]</f>
        <v>0</v>
      </c>
      <c r="E56" s="363">
        <f ca="1">TblConstr[[#This Row],[Hill]]</f>
        <v>0</v>
      </c>
      <c r="F56" s="367">
        <f ca="1">TblConstr[[#This Row],[Swamp]]</f>
        <v>0</v>
      </c>
      <c r="G56" s="185">
        <f ca="1">TblConstr[[#This Row],[Cavern]]</f>
        <v>0</v>
      </c>
      <c r="H56" s="186">
        <f ca="1">TblConstr[[#This Row],[Water]]</f>
        <v>0</v>
      </c>
      <c r="I56" s="215"/>
      <c r="J56" s="175">
        <f t="shared" si="1"/>
        <v>53</v>
      </c>
      <c r="K56" s="236">
        <f ca="1">TblImps[[#This Row],[Real time]]</f>
        <v>46049.166666666541</v>
      </c>
      <c r="L56" s="179"/>
      <c r="M56" s="179"/>
      <c r="N56" s="179"/>
      <c r="O56" s="179"/>
      <c r="P56" s="179"/>
      <c r="Q56" s="179"/>
      <c r="R56" s="179"/>
      <c r="S56" s="94">
        <f>SUMIF(TblRezone[[#This Row],[Plains Rezone]:[Water Rezone]],"&gt;0")</f>
        <v>0</v>
      </c>
      <c r="T56" s="61" t="str">
        <f>IF(SUM(TblRezone[[#This Row],[Plains Rezone]:[Water Rezone]])=0,"Ok","Nope")</f>
        <v>Ok</v>
      </c>
      <c r="U56" s="215"/>
      <c r="V56" s="94">
        <f ca="1">TblProd[[#This Row],[Platinum]]</f>
        <v>139396</v>
      </c>
      <c r="W56" s="215"/>
      <c r="X56" s="94">
        <f ca="1">ROUND( (1-MIN(ROUND(facs_rezone_factor*TblRezone[[#This Row],[Facs]],4),facs_rezone_max) + tech_6_4*TblTech[[#This Row],[6-4]] + tech_10_2*TblTech[[#This Row],[10-2]] - IF(TblMagic[[#This Row],[Active Mechanical Genius]]&gt;0,mech_genius_bonus,0) + race_rezone_cost) * TblRezone[[#This Row],[Plat/acre*]],0)</f>
        <v>166</v>
      </c>
      <c r="Y56" s="94">
        <f ca="1">TblRezone[[#This Row],[Total acres]]*TblRezone[[#This Row],[Plat/acre]]</f>
        <v>0</v>
      </c>
      <c r="Z56" s="215"/>
      <c r="AA56" s="94">
        <f ca="1">(250+0.6*(TblRezone[[#This Row],[Land]]-250))</f>
        <v>166</v>
      </c>
      <c r="AB56" s="215"/>
      <c r="AC56" s="157">
        <f ca="1">TblConstr[[#This Row],[Facs DB]]</f>
        <v>0</v>
      </c>
    </row>
    <row r="57" spans="1:29" x14ac:dyDescent="0.2">
      <c r="A57" s="214">
        <f ca="1">TblConstr[[#This Row],[Land]]</f>
        <v>110</v>
      </c>
      <c r="B57" s="216">
        <f ca="1">TblConstr[[#This Row],[Plain]]</f>
        <v>60</v>
      </c>
      <c r="C57" s="182">
        <f ca="1">TblConstr[[#This Row],[Forest]]</f>
        <v>0</v>
      </c>
      <c r="D57" s="359">
        <f ca="1">TblConstr[[#This Row],[Mountain]]</f>
        <v>0</v>
      </c>
      <c r="E57" s="363">
        <f ca="1">TblConstr[[#This Row],[Hill]]</f>
        <v>0</v>
      </c>
      <c r="F57" s="367">
        <f ca="1">TblConstr[[#This Row],[Swamp]]</f>
        <v>0</v>
      </c>
      <c r="G57" s="185">
        <f ca="1">TblConstr[[#This Row],[Cavern]]</f>
        <v>0</v>
      </c>
      <c r="H57" s="186">
        <f ca="1">TblConstr[[#This Row],[Water]]</f>
        <v>0</v>
      </c>
      <c r="I57" s="215"/>
      <c r="J57" s="175">
        <f t="shared" si="1"/>
        <v>54</v>
      </c>
      <c r="K57" s="236">
        <f ca="1">TblImps[[#This Row],[Real time]]</f>
        <v>46049.208333333205</v>
      </c>
      <c r="L57" s="179"/>
      <c r="M57" s="179"/>
      <c r="N57" s="179"/>
      <c r="O57" s="179"/>
      <c r="P57" s="179"/>
      <c r="Q57" s="179"/>
      <c r="R57" s="179"/>
      <c r="S57" s="94">
        <f>SUMIF(TblRezone[[#This Row],[Plains Rezone]:[Water Rezone]],"&gt;0")</f>
        <v>0</v>
      </c>
      <c r="T57" s="61" t="str">
        <f>IF(SUM(TblRezone[[#This Row],[Plains Rezone]:[Water Rezone]])=0,"Ok","Nope")</f>
        <v>Ok</v>
      </c>
      <c r="U57" s="215"/>
      <c r="V57" s="94">
        <f ca="1">TblProd[[#This Row],[Platinum]]</f>
        <v>141002</v>
      </c>
      <c r="W57" s="215"/>
      <c r="X57" s="94">
        <f ca="1">ROUND( (1-MIN(ROUND(facs_rezone_factor*TblRezone[[#This Row],[Facs]],4),facs_rezone_max) + tech_6_4*TblTech[[#This Row],[6-4]] + tech_10_2*TblTech[[#This Row],[10-2]] - IF(TblMagic[[#This Row],[Active Mechanical Genius]]&gt;0,mech_genius_bonus,0) + race_rezone_cost) * TblRezone[[#This Row],[Plat/acre*]],0)</f>
        <v>166</v>
      </c>
      <c r="Y57" s="94">
        <f ca="1">TblRezone[[#This Row],[Total acres]]*TblRezone[[#This Row],[Plat/acre]]</f>
        <v>0</v>
      </c>
      <c r="Z57" s="215"/>
      <c r="AA57" s="94">
        <f ca="1">(250+0.6*(TblRezone[[#This Row],[Land]]-250))</f>
        <v>166</v>
      </c>
      <c r="AB57" s="215"/>
      <c r="AC57" s="157">
        <f ca="1">TblConstr[[#This Row],[Facs DB]]</f>
        <v>0</v>
      </c>
    </row>
    <row r="58" spans="1:29" x14ac:dyDescent="0.2">
      <c r="A58" s="214">
        <f ca="1">TblConstr[[#This Row],[Land]]</f>
        <v>110</v>
      </c>
      <c r="B58" s="216">
        <f ca="1">TblConstr[[#This Row],[Plain]]</f>
        <v>60</v>
      </c>
      <c r="C58" s="182">
        <f ca="1">TblConstr[[#This Row],[Forest]]</f>
        <v>0</v>
      </c>
      <c r="D58" s="359">
        <f ca="1">TblConstr[[#This Row],[Mountain]]</f>
        <v>0</v>
      </c>
      <c r="E58" s="363">
        <f ca="1">TblConstr[[#This Row],[Hill]]</f>
        <v>0</v>
      </c>
      <c r="F58" s="367">
        <f ca="1">TblConstr[[#This Row],[Swamp]]</f>
        <v>0</v>
      </c>
      <c r="G58" s="185">
        <f ca="1">TblConstr[[#This Row],[Cavern]]</f>
        <v>0</v>
      </c>
      <c r="H58" s="186">
        <f ca="1">TblConstr[[#This Row],[Water]]</f>
        <v>0</v>
      </c>
      <c r="I58" s="215"/>
      <c r="J58" s="175">
        <f t="shared" si="1"/>
        <v>55</v>
      </c>
      <c r="K58" s="236">
        <f ca="1">TblImps[[#This Row],[Real time]]</f>
        <v>46049.249999999869</v>
      </c>
      <c r="L58" s="179"/>
      <c r="M58" s="179"/>
      <c r="N58" s="179"/>
      <c r="O58" s="179"/>
      <c r="P58" s="179"/>
      <c r="Q58" s="179"/>
      <c r="R58" s="179"/>
      <c r="S58" s="94">
        <f>SUMIF(TblRezone[[#This Row],[Plains Rezone]:[Water Rezone]],"&gt;0")</f>
        <v>0</v>
      </c>
      <c r="T58" s="61" t="str">
        <f>IF(SUM(TblRezone[[#This Row],[Plains Rezone]:[Water Rezone]])=0,"Ok","Nope")</f>
        <v>Ok</v>
      </c>
      <c r="U58" s="215"/>
      <c r="V58" s="94">
        <f ca="1">TblProd[[#This Row],[Platinum]]</f>
        <v>142592</v>
      </c>
      <c r="W58" s="215"/>
      <c r="X58" s="94">
        <f ca="1">ROUND( (1-MIN(ROUND(facs_rezone_factor*TblRezone[[#This Row],[Facs]],4),facs_rezone_max) + tech_6_4*TblTech[[#This Row],[6-4]] + tech_10_2*TblTech[[#This Row],[10-2]] - IF(TblMagic[[#This Row],[Active Mechanical Genius]]&gt;0,mech_genius_bonus,0) + race_rezone_cost) * TblRezone[[#This Row],[Plat/acre*]],0)</f>
        <v>166</v>
      </c>
      <c r="Y58" s="94">
        <f ca="1">TblRezone[[#This Row],[Total acres]]*TblRezone[[#This Row],[Plat/acre]]</f>
        <v>0</v>
      </c>
      <c r="Z58" s="215"/>
      <c r="AA58" s="94">
        <f ca="1">(250+0.6*(TblRezone[[#This Row],[Land]]-250))</f>
        <v>166</v>
      </c>
      <c r="AB58" s="215"/>
      <c r="AC58" s="157">
        <f ca="1">TblConstr[[#This Row],[Facs DB]]</f>
        <v>0</v>
      </c>
    </row>
    <row r="59" spans="1:29" x14ac:dyDescent="0.2">
      <c r="A59" s="214">
        <f ca="1">TblConstr[[#This Row],[Land]]</f>
        <v>110</v>
      </c>
      <c r="B59" s="216">
        <f ca="1">TblConstr[[#This Row],[Plain]]</f>
        <v>60</v>
      </c>
      <c r="C59" s="182">
        <f ca="1">TblConstr[[#This Row],[Forest]]</f>
        <v>0</v>
      </c>
      <c r="D59" s="359">
        <f ca="1">TblConstr[[#This Row],[Mountain]]</f>
        <v>0</v>
      </c>
      <c r="E59" s="363">
        <f ca="1">TblConstr[[#This Row],[Hill]]</f>
        <v>0</v>
      </c>
      <c r="F59" s="367">
        <f ca="1">TblConstr[[#This Row],[Swamp]]</f>
        <v>0</v>
      </c>
      <c r="G59" s="185">
        <f ca="1">TblConstr[[#This Row],[Cavern]]</f>
        <v>0</v>
      </c>
      <c r="H59" s="186">
        <f ca="1">TblConstr[[#This Row],[Water]]</f>
        <v>0</v>
      </c>
      <c r="I59" s="215"/>
      <c r="J59" s="175">
        <f t="shared" si="1"/>
        <v>56</v>
      </c>
      <c r="K59" s="236">
        <f ca="1">TblImps[[#This Row],[Real time]]</f>
        <v>46049.291666666533</v>
      </c>
      <c r="L59" s="179"/>
      <c r="M59" s="179"/>
      <c r="N59" s="179"/>
      <c r="O59" s="179"/>
      <c r="P59" s="179"/>
      <c r="Q59" s="179"/>
      <c r="R59" s="179"/>
      <c r="S59" s="94">
        <f>SUMIF(TblRezone[[#This Row],[Plains Rezone]:[Water Rezone]],"&gt;0")</f>
        <v>0</v>
      </c>
      <c r="T59" s="61" t="str">
        <f>IF(SUM(TblRezone[[#This Row],[Plains Rezone]:[Water Rezone]])=0,"Ok","Nope")</f>
        <v>Ok</v>
      </c>
      <c r="U59" s="215"/>
      <c r="V59" s="94">
        <f ca="1">TblProd[[#This Row],[Platinum]]</f>
        <v>144166</v>
      </c>
      <c r="W59" s="215"/>
      <c r="X59" s="94">
        <f ca="1">ROUND( (1-MIN(ROUND(facs_rezone_factor*TblRezone[[#This Row],[Facs]],4),facs_rezone_max) + tech_6_4*TblTech[[#This Row],[6-4]] + tech_10_2*TblTech[[#This Row],[10-2]] - IF(TblMagic[[#This Row],[Active Mechanical Genius]]&gt;0,mech_genius_bonus,0) + race_rezone_cost) * TblRezone[[#This Row],[Plat/acre*]],0)</f>
        <v>166</v>
      </c>
      <c r="Y59" s="94">
        <f ca="1">TblRezone[[#This Row],[Total acres]]*TblRezone[[#This Row],[Plat/acre]]</f>
        <v>0</v>
      </c>
      <c r="Z59" s="215"/>
      <c r="AA59" s="94">
        <f ca="1">(250+0.6*(TblRezone[[#This Row],[Land]]-250))</f>
        <v>166</v>
      </c>
      <c r="AB59" s="215"/>
      <c r="AC59" s="157">
        <f ca="1">TblConstr[[#This Row],[Facs DB]]</f>
        <v>0</v>
      </c>
    </row>
    <row r="60" spans="1:29" x14ac:dyDescent="0.2">
      <c r="A60" s="214">
        <f ca="1">TblConstr[[#This Row],[Land]]</f>
        <v>110</v>
      </c>
      <c r="B60" s="216">
        <f ca="1">TblConstr[[#This Row],[Plain]]</f>
        <v>60</v>
      </c>
      <c r="C60" s="182">
        <f ca="1">TblConstr[[#This Row],[Forest]]</f>
        <v>0</v>
      </c>
      <c r="D60" s="359">
        <f ca="1">TblConstr[[#This Row],[Mountain]]</f>
        <v>0</v>
      </c>
      <c r="E60" s="363">
        <f ca="1">TblConstr[[#This Row],[Hill]]</f>
        <v>0</v>
      </c>
      <c r="F60" s="367">
        <f ca="1">TblConstr[[#This Row],[Swamp]]</f>
        <v>0</v>
      </c>
      <c r="G60" s="185">
        <f ca="1">TblConstr[[#This Row],[Cavern]]</f>
        <v>0</v>
      </c>
      <c r="H60" s="186">
        <f ca="1">TblConstr[[#This Row],[Water]]</f>
        <v>0</v>
      </c>
      <c r="I60" s="215"/>
      <c r="J60" s="175">
        <f t="shared" si="1"/>
        <v>57</v>
      </c>
      <c r="K60" s="236">
        <f ca="1">TblImps[[#This Row],[Real time]]</f>
        <v>46049.333333333198</v>
      </c>
      <c r="L60" s="179"/>
      <c r="M60" s="179"/>
      <c r="N60" s="179"/>
      <c r="O60" s="179"/>
      <c r="P60" s="179"/>
      <c r="Q60" s="179"/>
      <c r="R60" s="179"/>
      <c r="S60" s="94">
        <f>SUMIF(TblRezone[[#This Row],[Plains Rezone]:[Water Rezone]],"&gt;0")</f>
        <v>0</v>
      </c>
      <c r="T60" s="61" t="str">
        <f>IF(SUM(TblRezone[[#This Row],[Plains Rezone]:[Water Rezone]])=0,"Ok","Nope")</f>
        <v>Ok</v>
      </c>
      <c r="U60" s="215"/>
      <c r="V60" s="94">
        <f ca="1">TblProd[[#This Row],[Platinum]]</f>
        <v>145723</v>
      </c>
      <c r="W60" s="215"/>
      <c r="X60" s="94">
        <f ca="1">ROUND( (1-MIN(ROUND(facs_rezone_factor*TblRezone[[#This Row],[Facs]],4),facs_rezone_max) + tech_6_4*TblTech[[#This Row],[6-4]] + tech_10_2*TblTech[[#This Row],[10-2]] - IF(TblMagic[[#This Row],[Active Mechanical Genius]]&gt;0,mech_genius_bonus,0) + race_rezone_cost) * TblRezone[[#This Row],[Plat/acre*]],0)</f>
        <v>166</v>
      </c>
      <c r="Y60" s="94">
        <f ca="1">TblRezone[[#This Row],[Total acres]]*TblRezone[[#This Row],[Plat/acre]]</f>
        <v>0</v>
      </c>
      <c r="Z60" s="215"/>
      <c r="AA60" s="94">
        <f ca="1">(250+0.6*(TblRezone[[#This Row],[Land]]-250))</f>
        <v>166</v>
      </c>
      <c r="AB60" s="215"/>
      <c r="AC60" s="157">
        <f ca="1">TblConstr[[#This Row],[Facs DB]]</f>
        <v>0</v>
      </c>
    </row>
    <row r="61" spans="1:29" x14ac:dyDescent="0.2">
      <c r="A61" s="214">
        <f ca="1">TblConstr[[#This Row],[Land]]</f>
        <v>110</v>
      </c>
      <c r="B61" s="216">
        <f ca="1">TblConstr[[#This Row],[Plain]]</f>
        <v>60</v>
      </c>
      <c r="C61" s="182">
        <f ca="1">TblConstr[[#This Row],[Forest]]</f>
        <v>0</v>
      </c>
      <c r="D61" s="359">
        <f ca="1">TblConstr[[#This Row],[Mountain]]</f>
        <v>0</v>
      </c>
      <c r="E61" s="363">
        <f ca="1">TblConstr[[#This Row],[Hill]]</f>
        <v>0</v>
      </c>
      <c r="F61" s="367">
        <f ca="1">TblConstr[[#This Row],[Swamp]]</f>
        <v>0</v>
      </c>
      <c r="G61" s="185">
        <f ca="1">TblConstr[[#This Row],[Cavern]]</f>
        <v>0</v>
      </c>
      <c r="H61" s="186">
        <f ca="1">TblConstr[[#This Row],[Water]]</f>
        <v>0</v>
      </c>
      <c r="I61" s="215"/>
      <c r="J61" s="175">
        <f t="shared" si="1"/>
        <v>58</v>
      </c>
      <c r="K61" s="236">
        <f ca="1">TblImps[[#This Row],[Real time]]</f>
        <v>46049.374999999862</v>
      </c>
      <c r="L61" s="179"/>
      <c r="M61" s="179"/>
      <c r="N61" s="179"/>
      <c r="O61" s="179"/>
      <c r="P61" s="179"/>
      <c r="Q61" s="179"/>
      <c r="R61" s="179"/>
      <c r="S61" s="94">
        <f>SUMIF(TblRezone[[#This Row],[Plains Rezone]:[Water Rezone]],"&gt;0")</f>
        <v>0</v>
      </c>
      <c r="T61" s="61" t="str">
        <f>IF(SUM(TblRezone[[#This Row],[Plains Rezone]:[Water Rezone]])=0,"Ok","Nope")</f>
        <v>Ok</v>
      </c>
      <c r="U61" s="215"/>
      <c r="V61" s="94">
        <f ca="1">TblProd[[#This Row],[Platinum]]</f>
        <v>147264</v>
      </c>
      <c r="W61" s="215"/>
      <c r="X61" s="94">
        <f ca="1">ROUND( (1-MIN(ROUND(facs_rezone_factor*TblRezone[[#This Row],[Facs]],4),facs_rezone_max) + tech_6_4*TblTech[[#This Row],[6-4]] + tech_10_2*TblTech[[#This Row],[10-2]] - IF(TblMagic[[#This Row],[Active Mechanical Genius]]&gt;0,mech_genius_bonus,0) + race_rezone_cost) * TblRezone[[#This Row],[Plat/acre*]],0)</f>
        <v>166</v>
      </c>
      <c r="Y61" s="94">
        <f ca="1">TblRezone[[#This Row],[Total acres]]*TblRezone[[#This Row],[Plat/acre]]</f>
        <v>0</v>
      </c>
      <c r="Z61" s="215"/>
      <c r="AA61" s="94">
        <f ca="1">(250+0.6*(TblRezone[[#This Row],[Land]]-250))</f>
        <v>166</v>
      </c>
      <c r="AB61" s="215"/>
      <c r="AC61" s="157">
        <f ca="1">TblConstr[[#This Row],[Facs DB]]</f>
        <v>0</v>
      </c>
    </row>
    <row r="62" spans="1:29" x14ac:dyDescent="0.2">
      <c r="A62" s="214">
        <f ca="1">TblConstr[[#This Row],[Land]]</f>
        <v>110</v>
      </c>
      <c r="B62" s="216">
        <f ca="1">TblConstr[[#This Row],[Plain]]</f>
        <v>60</v>
      </c>
      <c r="C62" s="182">
        <f ca="1">TblConstr[[#This Row],[Forest]]</f>
        <v>0</v>
      </c>
      <c r="D62" s="359">
        <f ca="1">TblConstr[[#This Row],[Mountain]]</f>
        <v>0</v>
      </c>
      <c r="E62" s="363">
        <f ca="1">TblConstr[[#This Row],[Hill]]</f>
        <v>0</v>
      </c>
      <c r="F62" s="367">
        <f ca="1">TblConstr[[#This Row],[Swamp]]</f>
        <v>0</v>
      </c>
      <c r="G62" s="185">
        <f ca="1">TblConstr[[#This Row],[Cavern]]</f>
        <v>0</v>
      </c>
      <c r="H62" s="186">
        <f ca="1">TblConstr[[#This Row],[Water]]</f>
        <v>0</v>
      </c>
      <c r="I62" s="215"/>
      <c r="J62" s="175">
        <f t="shared" si="1"/>
        <v>59</v>
      </c>
      <c r="K62" s="236">
        <f ca="1">TblImps[[#This Row],[Real time]]</f>
        <v>46049.416666666526</v>
      </c>
      <c r="L62" s="179"/>
      <c r="M62" s="179"/>
      <c r="N62" s="179"/>
      <c r="O62" s="179"/>
      <c r="P62" s="179"/>
      <c r="Q62" s="179"/>
      <c r="R62" s="179"/>
      <c r="S62" s="94">
        <f>SUMIF(TblRezone[[#This Row],[Plains Rezone]:[Water Rezone]],"&gt;0")</f>
        <v>0</v>
      </c>
      <c r="T62" s="61" t="str">
        <f>IF(SUM(TblRezone[[#This Row],[Plains Rezone]:[Water Rezone]])=0,"Ok","Nope")</f>
        <v>Ok</v>
      </c>
      <c r="U62" s="215"/>
      <c r="V62" s="94">
        <f ca="1">TblProd[[#This Row],[Platinum]]</f>
        <v>148789</v>
      </c>
      <c r="W62" s="215"/>
      <c r="X62" s="94">
        <f ca="1">ROUND( (1-MIN(ROUND(facs_rezone_factor*TblRezone[[#This Row],[Facs]],4),facs_rezone_max) + tech_6_4*TblTech[[#This Row],[6-4]] + tech_10_2*TblTech[[#This Row],[10-2]] - IF(TblMagic[[#This Row],[Active Mechanical Genius]]&gt;0,mech_genius_bonus,0) + race_rezone_cost) * TblRezone[[#This Row],[Plat/acre*]],0)</f>
        <v>166</v>
      </c>
      <c r="Y62" s="94">
        <f ca="1">TblRezone[[#This Row],[Total acres]]*TblRezone[[#This Row],[Plat/acre]]</f>
        <v>0</v>
      </c>
      <c r="Z62" s="215"/>
      <c r="AA62" s="94">
        <f ca="1">(250+0.6*(TblRezone[[#This Row],[Land]]-250))</f>
        <v>166</v>
      </c>
      <c r="AB62" s="215"/>
      <c r="AC62" s="157">
        <f ca="1">TblConstr[[#This Row],[Facs DB]]</f>
        <v>0</v>
      </c>
    </row>
    <row r="63" spans="1:29" x14ac:dyDescent="0.2">
      <c r="A63" s="214">
        <f ca="1">TblConstr[[#This Row],[Land]]</f>
        <v>110</v>
      </c>
      <c r="B63" s="216">
        <f ca="1">TblConstr[[#This Row],[Plain]]</f>
        <v>60</v>
      </c>
      <c r="C63" s="182">
        <f ca="1">TblConstr[[#This Row],[Forest]]</f>
        <v>0</v>
      </c>
      <c r="D63" s="359">
        <f ca="1">TblConstr[[#This Row],[Mountain]]</f>
        <v>0</v>
      </c>
      <c r="E63" s="363">
        <f ca="1">TblConstr[[#This Row],[Hill]]</f>
        <v>0</v>
      </c>
      <c r="F63" s="367">
        <f ca="1">TblConstr[[#This Row],[Swamp]]</f>
        <v>0</v>
      </c>
      <c r="G63" s="185">
        <f ca="1">TblConstr[[#This Row],[Cavern]]</f>
        <v>0</v>
      </c>
      <c r="H63" s="186">
        <f ca="1">TblConstr[[#This Row],[Water]]</f>
        <v>0</v>
      </c>
      <c r="I63" s="215"/>
      <c r="J63" s="175">
        <f t="shared" si="1"/>
        <v>60</v>
      </c>
      <c r="K63" s="236">
        <f ca="1">TblImps[[#This Row],[Real time]]</f>
        <v>46049.45833333319</v>
      </c>
      <c r="L63" s="179"/>
      <c r="M63" s="179"/>
      <c r="N63" s="179"/>
      <c r="O63" s="179"/>
      <c r="P63" s="179"/>
      <c r="Q63" s="179"/>
      <c r="R63" s="179"/>
      <c r="S63" s="94">
        <f>SUMIF(TblRezone[[#This Row],[Plains Rezone]:[Water Rezone]],"&gt;0")</f>
        <v>0</v>
      </c>
      <c r="T63" s="61" t="str">
        <f>IF(SUM(TblRezone[[#This Row],[Plains Rezone]:[Water Rezone]])=0,"Ok","Nope")</f>
        <v>Ok</v>
      </c>
      <c r="U63" s="215"/>
      <c r="V63" s="94">
        <f ca="1">TblProd[[#This Row],[Platinum]]</f>
        <v>150298</v>
      </c>
      <c r="W63" s="215"/>
      <c r="X63" s="94">
        <f ca="1">ROUND( (1-MIN(ROUND(facs_rezone_factor*TblRezone[[#This Row],[Facs]],4),facs_rezone_max) + tech_6_4*TblTech[[#This Row],[6-4]] + tech_10_2*TblTech[[#This Row],[10-2]] - IF(TblMagic[[#This Row],[Active Mechanical Genius]]&gt;0,mech_genius_bonus,0) + race_rezone_cost) * TblRezone[[#This Row],[Plat/acre*]],0)</f>
        <v>166</v>
      </c>
      <c r="Y63" s="94">
        <f ca="1">TblRezone[[#This Row],[Total acres]]*TblRezone[[#This Row],[Plat/acre]]</f>
        <v>0</v>
      </c>
      <c r="Z63" s="215"/>
      <c r="AA63" s="94">
        <f ca="1">(250+0.6*(TblRezone[[#This Row],[Land]]-250))</f>
        <v>166</v>
      </c>
      <c r="AB63" s="215"/>
      <c r="AC63" s="157">
        <f ca="1">TblConstr[[#This Row],[Facs DB]]</f>
        <v>0</v>
      </c>
    </row>
    <row r="64" spans="1:29" x14ac:dyDescent="0.2">
      <c r="A64" s="214">
        <f ca="1">TblConstr[[#This Row],[Land]]</f>
        <v>110</v>
      </c>
      <c r="B64" s="216">
        <f ca="1">TblConstr[[#This Row],[Plain]]</f>
        <v>60</v>
      </c>
      <c r="C64" s="182">
        <f ca="1">TblConstr[[#This Row],[Forest]]</f>
        <v>0</v>
      </c>
      <c r="D64" s="359">
        <f ca="1">TblConstr[[#This Row],[Mountain]]</f>
        <v>0</v>
      </c>
      <c r="E64" s="363">
        <f ca="1">TblConstr[[#This Row],[Hill]]</f>
        <v>0</v>
      </c>
      <c r="F64" s="367">
        <f ca="1">TblConstr[[#This Row],[Swamp]]</f>
        <v>0</v>
      </c>
      <c r="G64" s="185">
        <f ca="1">TblConstr[[#This Row],[Cavern]]</f>
        <v>0</v>
      </c>
      <c r="H64" s="186">
        <f ca="1">TblConstr[[#This Row],[Water]]</f>
        <v>0</v>
      </c>
      <c r="I64" s="215"/>
      <c r="J64" s="175">
        <f t="shared" si="1"/>
        <v>61</v>
      </c>
      <c r="K64" s="236">
        <f ca="1">TblImps[[#This Row],[Real time]]</f>
        <v>46049.499999999854</v>
      </c>
      <c r="L64" s="179"/>
      <c r="M64" s="179"/>
      <c r="N64" s="179"/>
      <c r="O64" s="179"/>
      <c r="P64" s="179"/>
      <c r="Q64" s="179"/>
      <c r="R64" s="179"/>
      <c r="S64" s="94">
        <f>SUMIF(TblRezone[[#This Row],[Plains Rezone]:[Water Rezone]],"&gt;0")</f>
        <v>0</v>
      </c>
      <c r="T64" s="61" t="str">
        <f>IF(SUM(TblRezone[[#This Row],[Plains Rezone]:[Water Rezone]])=0,"Ok","Nope")</f>
        <v>Ok</v>
      </c>
      <c r="U64" s="215"/>
      <c r="V64" s="94">
        <f ca="1">TblProd[[#This Row],[Platinum]]</f>
        <v>151791</v>
      </c>
      <c r="W64" s="215"/>
      <c r="X64" s="94">
        <f ca="1">ROUND( (1-MIN(ROUND(facs_rezone_factor*TblRezone[[#This Row],[Facs]],4),facs_rezone_max) + tech_6_4*TblTech[[#This Row],[6-4]] + tech_10_2*TblTech[[#This Row],[10-2]] - IF(TblMagic[[#This Row],[Active Mechanical Genius]]&gt;0,mech_genius_bonus,0) + race_rezone_cost) * TblRezone[[#This Row],[Plat/acre*]],0)</f>
        <v>166</v>
      </c>
      <c r="Y64" s="94">
        <f ca="1">TblRezone[[#This Row],[Total acres]]*TblRezone[[#This Row],[Plat/acre]]</f>
        <v>0</v>
      </c>
      <c r="Z64" s="215"/>
      <c r="AA64" s="94">
        <f ca="1">(250+0.6*(TblRezone[[#This Row],[Land]]-250))</f>
        <v>166</v>
      </c>
      <c r="AB64" s="215"/>
      <c r="AC64" s="157">
        <f ca="1">TblConstr[[#This Row],[Facs DB]]</f>
        <v>0</v>
      </c>
    </row>
    <row r="65" spans="1:29" x14ac:dyDescent="0.2">
      <c r="A65" s="214">
        <f ca="1">TblConstr[[#This Row],[Land]]</f>
        <v>110</v>
      </c>
      <c r="B65" s="216">
        <f ca="1">TblConstr[[#This Row],[Plain]]</f>
        <v>60</v>
      </c>
      <c r="C65" s="182">
        <f ca="1">TblConstr[[#This Row],[Forest]]</f>
        <v>0</v>
      </c>
      <c r="D65" s="359">
        <f ca="1">TblConstr[[#This Row],[Mountain]]</f>
        <v>0</v>
      </c>
      <c r="E65" s="363">
        <f ca="1">TblConstr[[#This Row],[Hill]]</f>
        <v>0</v>
      </c>
      <c r="F65" s="367">
        <f ca="1">TblConstr[[#This Row],[Swamp]]</f>
        <v>0</v>
      </c>
      <c r="G65" s="185">
        <f ca="1">TblConstr[[#This Row],[Cavern]]</f>
        <v>0</v>
      </c>
      <c r="H65" s="186">
        <f ca="1">TblConstr[[#This Row],[Water]]</f>
        <v>0</v>
      </c>
      <c r="I65" s="215"/>
      <c r="J65" s="175">
        <f t="shared" si="1"/>
        <v>62</v>
      </c>
      <c r="K65" s="236">
        <f ca="1">TblImps[[#This Row],[Real time]]</f>
        <v>46049.541666666519</v>
      </c>
      <c r="L65" s="179"/>
      <c r="M65" s="179"/>
      <c r="N65" s="179"/>
      <c r="O65" s="179"/>
      <c r="P65" s="179"/>
      <c r="Q65" s="179"/>
      <c r="R65" s="179"/>
      <c r="S65" s="94">
        <f>SUMIF(TblRezone[[#This Row],[Plains Rezone]:[Water Rezone]],"&gt;0")</f>
        <v>0</v>
      </c>
      <c r="T65" s="61" t="str">
        <f>IF(SUM(TblRezone[[#This Row],[Plains Rezone]:[Water Rezone]])=0,"Ok","Nope")</f>
        <v>Ok</v>
      </c>
      <c r="U65" s="215"/>
      <c r="V65" s="94">
        <f ca="1">TblProd[[#This Row],[Platinum]]</f>
        <v>153267</v>
      </c>
      <c r="W65" s="215"/>
      <c r="X65" s="94">
        <f ca="1">ROUND( (1-MIN(ROUND(facs_rezone_factor*TblRezone[[#This Row],[Facs]],4),facs_rezone_max) + tech_6_4*TblTech[[#This Row],[6-4]] + tech_10_2*TblTech[[#This Row],[10-2]] - IF(TblMagic[[#This Row],[Active Mechanical Genius]]&gt;0,mech_genius_bonus,0) + race_rezone_cost) * TblRezone[[#This Row],[Plat/acre*]],0)</f>
        <v>166</v>
      </c>
      <c r="Y65" s="94">
        <f ca="1">TblRezone[[#This Row],[Total acres]]*TblRezone[[#This Row],[Plat/acre]]</f>
        <v>0</v>
      </c>
      <c r="Z65" s="215"/>
      <c r="AA65" s="94">
        <f ca="1">(250+0.6*(TblRezone[[#This Row],[Land]]-250))</f>
        <v>166</v>
      </c>
      <c r="AB65" s="215"/>
      <c r="AC65" s="157">
        <f ca="1">TblConstr[[#This Row],[Facs DB]]</f>
        <v>0</v>
      </c>
    </row>
    <row r="66" spans="1:29" x14ac:dyDescent="0.2">
      <c r="A66" s="214">
        <f ca="1">TblConstr[[#This Row],[Land]]</f>
        <v>110</v>
      </c>
      <c r="B66" s="216">
        <f ca="1">TblConstr[[#This Row],[Plain]]</f>
        <v>60</v>
      </c>
      <c r="C66" s="182">
        <f ca="1">TblConstr[[#This Row],[Forest]]</f>
        <v>0</v>
      </c>
      <c r="D66" s="359">
        <f ca="1">TblConstr[[#This Row],[Mountain]]</f>
        <v>0</v>
      </c>
      <c r="E66" s="363">
        <f ca="1">TblConstr[[#This Row],[Hill]]</f>
        <v>0</v>
      </c>
      <c r="F66" s="367">
        <f ca="1">TblConstr[[#This Row],[Swamp]]</f>
        <v>0</v>
      </c>
      <c r="G66" s="185">
        <f ca="1">TblConstr[[#This Row],[Cavern]]</f>
        <v>0</v>
      </c>
      <c r="H66" s="186">
        <f ca="1">TblConstr[[#This Row],[Water]]</f>
        <v>0</v>
      </c>
      <c r="I66" s="215"/>
      <c r="J66" s="175">
        <f t="shared" si="1"/>
        <v>63</v>
      </c>
      <c r="K66" s="236">
        <f ca="1">TblImps[[#This Row],[Real time]]</f>
        <v>46049.583333333183</v>
      </c>
      <c r="L66" s="179"/>
      <c r="M66" s="179"/>
      <c r="N66" s="179"/>
      <c r="O66" s="179"/>
      <c r="P66" s="179"/>
      <c r="Q66" s="179"/>
      <c r="R66" s="179"/>
      <c r="S66" s="94">
        <f>SUMIF(TblRezone[[#This Row],[Plains Rezone]:[Water Rezone]],"&gt;0")</f>
        <v>0</v>
      </c>
      <c r="T66" s="61" t="str">
        <f>IF(SUM(TblRezone[[#This Row],[Plains Rezone]:[Water Rezone]])=0,"Ok","Nope")</f>
        <v>Ok</v>
      </c>
      <c r="U66" s="215"/>
      <c r="V66" s="94">
        <f ca="1">TblProd[[#This Row],[Platinum]]</f>
        <v>154730</v>
      </c>
      <c r="W66" s="215"/>
      <c r="X66" s="94">
        <f ca="1">ROUND( (1-MIN(ROUND(facs_rezone_factor*TblRezone[[#This Row],[Facs]],4),facs_rezone_max) + tech_6_4*TblTech[[#This Row],[6-4]] + tech_10_2*TblTech[[#This Row],[10-2]] - IF(TblMagic[[#This Row],[Active Mechanical Genius]]&gt;0,mech_genius_bonus,0) + race_rezone_cost) * TblRezone[[#This Row],[Plat/acre*]],0)</f>
        <v>166</v>
      </c>
      <c r="Y66" s="94">
        <f ca="1">TblRezone[[#This Row],[Total acres]]*TblRezone[[#This Row],[Plat/acre]]</f>
        <v>0</v>
      </c>
      <c r="Z66" s="215"/>
      <c r="AA66" s="94">
        <f ca="1">(250+0.6*(TblRezone[[#This Row],[Land]]-250))</f>
        <v>166</v>
      </c>
      <c r="AB66" s="215"/>
      <c r="AC66" s="157">
        <f ca="1">TblConstr[[#This Row],[Facs DB]]</f>
        <v>0</v>
      </c>
    </row>
    <row r="67" spans="1:29" x14ac:dyDescent="0.2">
      <c r="A67" s="214">
        <f ca="1">TblConstr[[#This Row],[Land]]</f>
        <v>110</v>
      </c>
      <c r="B67" s="216">
        <f ca="1">TblConstr[[#This Row],[Plain]]</f>
        <v>60</v>
      </c>
      <c r="C67" s="182">
        <f ca="1">TblConstr[[#This Row],[Forest]]</f>
        <v>0</v>
      </c>
      <c r="D67" s="359">
        <f ca="1">TblConstr[[#This Row],[Mountain]]</f>
        <v>0</v>
      </c>
      <c r="E67" s="363">
        <f ca="1">TblConstr[[#This Row],[Hill]]</f>
        <v>0</v>
      </c>
      <c r="F67" s="367">
        <f ca="1">TblConstr[[#This Row],[Swamp]]</f>
        <v>0</v>
      </c>
      <c r="G67" s="185">
        <f ca="1">TblConstr[[#This Row],[Cavern]]</f>
        <v>0</v>
      </c>
      <c r="H67" s="186">
        <f ca="1">TblConstr[[#This Row],[Water]]</f>
        <v>0</v>
      </c>
      <c r="I67" s="215"/>
      <c r="J67" s="175">
        <f t="shared" si="1"/>
        <v>64</v>
      </c>
      <c r="K67" s="236">
        <f ca="1">TblImps[[#This Row],[Real time]]</f>
        <v>46049.624999999847</v>
      </c>
      <c r="L67" s="179"/>
      <c r="M67" s="179"/>
      <c r="N67" s="179"/>
      <c r="O67" s="179"/>
      <c r="P67" s="179"/>
      <c r="Q67" s="179"/>
      <c r="R67" s="179"/>
      <c r="S67" s="94">
        <f>SUMIF(TblRezone[[#This Row],[Plains Rezone]:[Water Rezone]],"&gt;0")</f>
        <v>0</v>
      </c>
      <c r="T67" s="61" t="str">
        <f>IF(SUM(TblRezone[[#This Row],[Plains Rezone]:[Water Rezone]])=0,"Ok","Nope")</f>
        <v>Ok</v>
      </c>
      <c r="U67" s="215"/>
      <c r="V67" s="94">
        <f ca="1">TblProd[[#This Row],[Platinum]]</f>
        <v>156179</v>
      </c>
      <c r="W67" s="215"/>
      <c r="X67" s="94">
        <f ca="1">ROUND( (1-MIN(ROUND(facs_rezone_factor*TblRezone[[#This Row],[Facs]],4),facs_rezone_max) + tech_6_4*TblTech[[#This Row],[6-4]] + tech_10_2*TblTech[[#This Row],[10-2]] - IF(TblMagic[[#This Row],[Active Mechanical Genius]]&gt;0,mech_genius_bonus,0) + race_rezone_cost) * TblRezone[[#This Row],[Plat/acre*]],0)</f>
        <v>166</v>
      </c>
      <c r="Y67" s="94">
        <f ca="1">TblRezone[[#This Row],[Total acres]]*TblRezone[[#This Row],[Plat/acre]]</f>
        <v>0</v>
      </c>
      <c r="Z67" s="215"/>
      <c r="AA67" s="94">
        <f ca="1">(250+0.6*(TblRezone[[#This Row],[Land]]-250))</f>
        <v>166</v>
      </c>
      <c r="AB67" s="215"/>
      <c r="AC67" s="157">
        <f ca="1">TblConstr[[#This Row],[Facs DB]]</f>
        <v>0</v>
      </c>
    </row>
    <row r="68" spans="1:29" x14ac:dyDescent="0.2">
      <c r="A68" s="214">
        <f ca="1">TblConstr[[#This Row],[Land]]</f>
        <v>110</v>
      </c>
      <c r="B68" s="216">
        <f ca="1">TblConstr[[#This Row],[Plain]]</f>
        <v>60</v>
      </c>
      <c r="C68" s="182">
        <f ca="1">TblConstr[[#This Row],[Forest]]</f>
        <v>0</v>
      </c>
      <c r="D68" s="359">
        <f ca="1">TblConstr[[#This Row],[Mountain]]</f>
        <v>0</v>
      </c>
      <c r="E68" s="363">
        <f ca="1">TblConstr[[#This Row],[Hill]]</f>
        <v>0</v>
      </c>
      <c r="F68" s="367">
        <f ca="1">TblConstr[[#This Row],[Swamp]]</f>
        <v>0</v>
      </c>
      <c r="G68" s="185">
        <f ca="1">TblConstr[[#This Row],[Cavern]]</f>
        <v>0</v>
      </c>
      <c r="H68" s="186">
        <f ca="1">TblConstr[[#This Row],[Water]]</f>
        <v>0</v>
      </c>
      <c r="I68" s="215"/>
      <c r="J68" s="175">
        <f t="shared" si="1"/>
        <v>65</v>
      </c>
      <c r="K68" s="236">
        <f ca="1">TblImps[[#This Row],[Real time]]</f>
        <v>46049.666666666511</v>
      </c>
      <c r="L68" s="179"/>
      <c r="M68" s="179"/>
      <c r="N68" s="179"/>
      <c r="O68" s="179"/>
      <c r="P68" s="179"/>
      <c r="Q68" s="179"/>
      <c r="R68" s="179"/>
      <c r="S68" s="94">
        <f>SUMIF(TblRezone[[#This Row],[Plains Rezone]:[Water Rezone]],"&gt;0")</f>
        <v>0</v>
      </c>
      <c r="T68" s="61" t="str">
        <f>IF(SUM(TblRezone[[#This Row],[Plains Rezone]:[Water Rezone]])=0,"Ok","Nope")</f>
        <v>Ok</v>
      </c>
      <c r="U68" s="215"/>
      <c r="V68" s="94">
        <f ca="1">TblProd[[#This Row],[Platinum]]</f>
        <v>157615</v>
      </c>
      <c r="W68" s="215"/>
      <c r="X68" s="94">
        <f ca="1">ROUND( (1-MIN(ROUND(facs_rezone_factor*TblRezone[[#This Row],[Facs]],4),facs_rezone_max) + tech_6_4*TblTech[[#This Row],[6-4]] + tech_10_2*TblTech[[#This Row],[10-2]] - IF(TblMagic[[#This Row],[Active Mechanical Genius]]&gt;0,mech_genius_bonus,0) + race_rezone_cost) * TblRezone[[#This Row],[Plat/acre*]],0)</f>
        <v>166</v>
      </c>
      <c r="Y68" s="94">
        <f ca="1">TblRezone[[#This Row],[Total acres]]*TblRezone[[#This Row],[Plat/acre]]</f>
        <v>0</v>
      </c>
      <c r="Z68" s="215"/>
      <c r="AA68" s="94">
        <f ca="1">(250+0.6*(TblRezone[[#This Row],[Land]]-250))</f>
        <v>166</v>
      </c>
      <c r="AB68" s="215"/>
      <c r="AC68" s="157">
        <f ca="1">TblConstr[[#This Row],[Facs DB]]</f>
        <v>0</v>
      </c>
    </row>
    <row r="69" spans="1:29" x14ac:dyDescent="0.2">
      <c r="A69" s="214">
        <f ca="1">TblConstr[[#This Row],[Land]]</f>
        <v>110</v>
      </c>
      <c r="B69" s="216">
        <f ca="1">TblConstr[[#This Row],[Plain]]</f>
        <v>60</v>
      </c>
      <c r="C69" s="182">
        <f ca="1">TblConstr[[#This Row],[Forest]]</f>
        <v>0</v>
      </c>
      <c r="D69" s="359">
        <f ca="1">TblConstr[[#This Row],[Mountain]]</f>
        <v>0</v>
      </c>
      <c r="E69" s="363">
        <f ca="1">TblConstr[[#This Row],[Hill]]</f>
        <v>0</v>
      </c>
      <c r="F69" s="367">
        <f ca="1">TblConstr[[#This Row],[Swamp]]</f>
        <v>0</v>
      </c>
      <c r="G69" s="185">
        <f ca="1">TblConstr[[#This Row],[Cavern]]</f>
        <v>0</v>
      </c>
      <c r="H69" s="186">
        <f ca="1">TblConstr[[#This Row],[Water]]</f>
        <v>0</v>
      </c>
      <c r="I69" s="215"/>
      <c r="J69" s="175">
        <f t="shared" si="1"/>
        <v>66</v>
      </c>
      <c r="K69" s="236">
        <f ca="1">TblImps[[#This Row],[Real time]]</f>
        <v>46049.708333333176</v>
      </c>
      <c r="L69" s="179"/>
      <c r="M69" s="179"/>
      <c r="N69" s="179"/>
      <c r="O69" s="179"/>
      <c r="P69" s="179"/>
      <c r="Q69" s="179"/>
      <c r="R69" s="179"/>
      <c r="S69" s="94">
        <f>SUMIF(TblRezone[[#This Row],[Plains Rezone]:[Water Rezone]],"&gt;0")</f>
        <v>0</v>
      </c>
      <c r="T69" s="61" t="str">
        <f>IF(SUM(TblRezone[[#This Row],[Plains Rezone]:[Water Rezone]])=0,"Ok","Nope")</f>
        <v>Ok</v>
      </c>
      <c r="U69" s="215"/>
      <c r="V69" s="94">
        <f ca="1">TblProd[[#This Row],[Platinum]]</f>
        <v>159037</v>
      </c>
      <c r="W69" s="215"/>
      <c r="X69" s="94">
        <f ca="1">ROUND( (1-MIN(ROUND(facs_rezone_factor*TblRezone[[#This Row],[Facs]],4),facs_rezone_max) + tech_6_4*TblTech[[#This Row],[6-4]] + tech_10_2*TblTech[[#This Row],[10-2]] - IF(TblMagic[[#This Row],[Active Mechanical Genius]]&gt;0,mech_genius_bonus,0) + race_rezone_cost) * TblRezone[[#This Row],[Plat/acre*]],0)</f>
        <v>166</v>
      </c>
      <c r="Y69" s="94">
        <f ca="1">TblRezone[[#This Row],[Total acres]]*TblRezone[[#This Row],[Plat/acre]]</f>
        <v>0</v>
      </c>
      <c r="Z69" s="215"/>
      <c r="AA69" s="94">
        <f ca="1">(250+0.6*(TblRezone[[#This Row],[Land]]-250))</f>
        <v>166</v>
      </c>
      <c r="AB69" s="215"/>
      <c r="AC69" s="157">
        <f ca="1">TblConstr[[#This Row],[Facs DB]]</f>
        <v>0</v>
      </c>
    </row>
    <row r="70" spans="1:29" x14ac:dyDescent="0.2">
      <c r="A70" s="214">
        <f ca="1">TblConstr[[#This Row],[Land]]</f>
        <v>110</v>
      </c>
      <c r="B70" s="216">
        <f ca="1">TblConstr[[#This Row],[Plain]]</f>
        <v>60</v>
      </c>
      <c r="C70" s="182">
        <f ca="1">TblConstr[[#This Row],[Forest]]</f>
        <v>0</v>
      </c>
      <c r="D70" s="359">
        <f ca="1">TblConstr[[#This Row],[Mountain]]</f>
        <v>0</v>
      </c>
      <c r="E70" s="363">
        <f ca="1">TblConstr[[#This Row],[Hill]]</f>
        <v>0</v>
      </c>
      <c r="F70" s="367">
        <f ca="1">TblConstr[[#This Row],[Swamp]]</f>
        <v>0</v>
      </c>
      <c r="G70" s="185">
        <f ca="1">TblConstr[[#This Row],[Cavern]]</f>
        <v>0</v>
      </c>
      <c r="H70" s="186">
        <f ca="1">TblConstr[[#This Row],[Water]]</f>
        <v>0</v>
      </c>
      <c r="I70" s="215"/>
      <c r="J70" s="175">
        <f t="shared" si="1"/>
        <v>67</v>
      </c>
      <c r="K70" s="236">
        <f ca="1">TblImps[[#This Row],[Real time]]</f>
        <v>46049.74999999984</v>
      </c>
      <c r="L70" s="179"/>
      <c r="M70" s="179"/>
      <c r="N70" s="179"/>
      <c r="O70" s="179"/>
      <c r="P70" s="179"/>
      <c r="Q70" s="179"/>
      <c r="R70" s="179"/>
      <c r="S70" s="94">
        <f>SUMIF(TblRezone[[#This Row],[Plains Rezone]:[Water Rezone]],"&gt;0")</f>
        <v>0</v>
      </c>
      <c r="T70" s="61" t="str">
        <f>IF(SUM(TblRezone[[#This Row],[Plains Rezone]:[Water Rezone]])=0,"Ok","Nope")</f>
        <v>Ok</v>
      </c>
      <c r="U70" s="215"/>
      <c r="V70" s="94">
        <f ca="1">TblProd[[#This Row],[Platinum]]</f>
        <v>160446</v>
      </c>
      <c r="W70" s="215"/>
      <c r="X70" s="94">
        <f ca="1">ROUND( (1-MIN(ROUND(facs_rezone_factor*TblRezone[[#This Row],[Facs]],4),facs_rezone_max) + tech_6_4*TblTech[[#This Row],[6-4]] + tech_10_2*TblTech[[#This Row],[10-2]] - IF(TblMagic[[#This Row],[Active Mechanical Genius]]&gt;0,mech_genius_bonus,0) + race_rezone_cost) * TblRezone[[#This Row],[Plat/acre*]],0)</f>
        <v>166</v>
      </c>
      <c r="Y70" s="94">
        <f ca="1">TblRezone[[#This Row],[Total acres]]*TblRezone[[#This Row],[Plat/acre]]</f>
        <v>0</v>
      </c>
      <c r="Z70" s="215"/>
      <c r="AA70" s="94">
        <f ca="1">(250+0.6*(TblRezone[[#This Row],[Land]]-250))</f>
        <v>166</v>
      </c>
      <c r="AB70" s="215"/>
      <c r="AC70" s="157">
        <f ca="1">TblConstr[[#This Row],[Facs DB]]</f>
        <v>0</v>
      </c>
    </row>
    <row r="71" spans="1:29" x14ac:dyDescent="0.2">
      <c r="A71" s="214">
        <f ca="1">TblConstr[[#This Row],[Land]]</f>
        <v>110</v>
      </c>
      <c r="B71" s="216">
        <f ca="1">TblConstr[[#This Row],[Plain]]</f>
        <v>60</v>
      </c>
      <c r="C71" s="182">
        <f ca="1">TblConstr[[#This Row],[Forest]]</f>
        <v>0</v>
      </c>
      <c r="D71" s="359">
        <f ca="1">TblConstr[[#This Row],[Mountain]]</f>
        <v>0</v>
      </c>
      <c r="E71" s="363">
        <f ca="1">TblConstr[[#This Row],[Hill]]</f>
        <v>0</v>
      </c>
      <c r="F71" s="367">
        <f ca="1">TblConstr[[#This Row],[Swamp]]</f>
        <v>0</v>
      </c>
      <c r="G71" s="185">
        <f ca="1">TblConstr[[#This Row],[Cavern]]</f>
        <v>0</v>
      </c>
      <c r="H71" s="186">
        <f ca="1">TblConstr[[#This Row],[Water]]</f>
        <v>0</v>
      </c>
      <c r="I71" s="215"/>
      <c r="J71" s="175">
        <f t="shared" si="1"/>
        <v>68</v>
      </c>
      <c r="K71" s="236">
        <f ca="1">TblImps[[#This Row],[Real time]]</f>
        <v>46049.791666666504</v>
      </c>
      <c r="L71" s="179"/>
      <c r="M71" s="179"/>
      <c r="N71" s="179"/>
      <c r="O71" s="179"/>
      <c r="P71" s="179"/>
      <c r="Q71" s="179"/>
      <c r="R71" s="179"/>
      <c r="S71" s="94">
        <f>SUMIF(TblRezone[[#This Row],[Plains Rezone]:[Water Rezone]],"&gt;0")</f>
        <v>0</v>
      </c>
      <c r="T71" s="61" t="str">
        <f>IF(SUM(TblRezone[[#This Row],[Plains Rezone]:[Water Rezone]])=0,"Ok","Nope")</f>
        <v>Ok</v>
      </c>
      <c r="U71" s="215"/>
      <c r="V71" s="94">
        <f ca="1">TblProd[[#This Row],[Platinum]]</f>
        <v>161841</v>
      </c>
      <c r="W71" s="215"/>
      <c r="X71" s="94">
        <f ca="1">ROUND( (1-MIN(ROUND(facs_rezone_factor*TblRezone[[#This Row],[Facs]],4),facs_rezone_max) + tech_6_4*TblTech[[#This Row],[6-4]] + tech_10_2*TblTech[[#This Row],[10-2]] - IF(TblMagic[[#This Row],[Active Mechanical Genius]]&gt;0,mech_genius_bonus,0) + race_rezone_cost) * TblRezone[[#This Row],[Plat/acre*]],0)</f>
        <v>166</v>
      </c>
      <c r="Y71" s="94">
        <f ca="1">TblRezone[[#This Row],[Total acres]]*TblRezone[[#This Row],[Plat/acre]]</f>
        <v>0</v>
      </c>
      <c r="Z71" s="215"/>
      <c r="AA71" s="94">
        <f ca="1">(250+0.6*(TblRezone[[#This Row],[Land]]-250))</f>
        <v>166</v>
      </c>
      <c r="AB71" s="215"/>
      <c r="AC71" s="157">
        <f ca="1">TblConstr[[#This Row],[Facs DB]]</f>
        <v>0</v>
      </c>
    </row>
    <row r="72" spans="1:29" x14ac:dyDescent="0.2">
      <c r="A72" s="214">
        <f ca="1">TblConstr[[#This Row],[Land]]</f>
        <v>110</v>
      </c>
      <c r="B72" s="216">
        <f ca="1">TblConstr[[#This Row],[Plain]]</f>
        <v>60</v>
      </c>
      <c r="C72" s="182">
        <f ca="1">TblConstr[[#This Row],[Forest]]</f>
        <v>0</v>
      </c>
      <c r="D72" s="359">
        <f ca="1">TblConstr[[#This Row],[Mountain]]</f>
        <v>0</v>
      </c>
      <c r="E72" s="363">
        <f ca="1">TblConstr[[#This Row],[Hill]]</f>
        <v>0</v>
      </c>
      <c r="F72" s="367">
        <f ca="1">TblConstr[[#This Row],[Swamp]]</f>
        <v>0</v>
      </c>
      <c r="G72" s="185">
        <f ca="1">TblConstr[[#This Row],[Cavern]]</f>
        <v>0</v>
      </c>
      <c r="H72" s="186">
        <f ca="1">TblConstr[[#This Row],[Water]]</f>
        <v>0</v>
      </c>
      <c r="I72" s="215"/>
      <c r="J72" s="175">
        <f t="shared" si="1"/>
        <v>69</v>
      </c>
      <c r="K72" s="236">
        <f ca="1">TblImps[[#This Row],[Real time]]</f>
        <v>46049.833333333168</v>
      </c>
      <c r="L72" s="179"/>
      <c r="M72" s="179"/>
      <c r="N72" s="179"/>
      <c r="O72" s="179"/>
      <c r="P72" s="179"/>
      <c r="Q72" s="179"/>
      <c r="R72" s="179"/>
      <c r="S72" s="94">
        <f>SUMIF(TblRezone[[#This Row],[Plains Rezone]:[Water Rezone]],"&gt;0")</f>
        <v>0</v>
      </c>
      <c r="T72" s="61" t="str">
        <f>IF(SUM(TblRezone[[#This Row],[Plains Rezone]:[Water Rezone]])=0,"Ok","Nope")</f>
        <v>Ok</v>
      </c>
      <c r="U72" s="215"/>
      <c r="V72" s="94">
        <f ca="1">TblProd[[#This Row],[Platinum]]</f>
        <v>163223</v>
      </c>
      <c r="W72" s="215"/>
      <c r="X72" s="94">
        <f ca="1">ROUND( (1-MIN(ROUND(facs_rezone_factor*TblRezone[[#This Row],[Facs]],4),facs_rezone_max) + tech_6_4*TblTech[[#This Row],[6-4]] + tech_10_2*TblTech[[#This Row],[10-2]] - IF(TblMagic[[#This Row],[Active Mechanical Genius]]&gt;0,mech_genius_bonus,0) + race_rezone_cost) * TblRezone[[#This Row],[Plat/acre*]],0)</f>
        <v>166</v>
      </c>
      <c r="Y72" s="94">
        <f ca="1">TblRezone[[#This Row],[Total acres]]*TblRezone[[#This Row],[Plat/acre]]</f>
        <v>0</v>
      </c>
      <c r="Z72" s="215"/>
      <c r="AA72" s="94">
        <f ca="1">(250+0.6*(TblRezone[[#This Row],[Land]]-250))</f>
        <v>166</v>
      </c>
      <c r="AB72" s="215"/>
      <c r="AC72" s="157">
        <f ca="1">TblConstr[[#This Row],[Facs DB]]</f>
        <v>0</v>
      </c>
    </row>
    <row r="73" spans="1:29" x14ac:dyDescent="0.2">
      <c r="A73" s="214">
        <f ca="1">TblConstr[[#This Row],[Land]]</f>
        <v>110</v>
      </c>
      <c r="B73" s="216">
        <f ca="1">TblConstr[[#This Row],[Plain]]</f>
        <v>60</v>
      </c>
      <c r="C73" s="182">
        <f ca="1">TblConstr[[#This Row],[Forest]]</f>
        <v>0</v>
      </c>
      <c r="D73" s="359">
        <f ca="1">TblConstr[[#This Row],[Mountain]]</f>
        <v>0</v>
      </c>
      <c r="E73" s="363">
        <f ca="1">TblConstr[[#This Row],[Hill]]</f>
        <v>0</v>
      </c>
      <c r="F73" s="367">
        <f ca="1">TblConstr[[#This Row],[Swamp]]</f>
        <v>0</v>
      </c>
      <c r="G73" s="185">
        <f ca="1">TblConstr[[#This Row],[Cavern]]</f>
        <v>0</v>
      </c>
      <c r="H73" s="186">
        <f ca="1">TblConstr[[#This Row],[Water]]</f>
        <v>0</v>
      </c>
      <c r="I73" s="215"/>
      <c r="J73" s="175">
        <f t="shared" si="1"/>
        <v>70</v>
      </c>
      <c r="K73" s="236">
        <f ca="1">TblImps[[#This Row],[Real time]]</f>
        <v>46049.874999999833</v>
      </c>
      <c r="L73" s="179"/>
      <c r="M73" s="179"/>
      <c r="N73" s="179"/>
      <c r="O73" s="179"/>
      <c r="P73" s="179"/>
      <c r="Q73" s="179"/>
      <c r="R73" s="179"/>
      <c r="S73" s="94">
        <f>SUMIF(TblRezone[[#This Row],[Plains Rezone]:[Water Rezone]],"&gt;0")</f>
        <v>0</v>
      </c>
      <c r="T73" s="61" t="str">
        <f>IF(SUM(TblRezone[[#This Row],[Plains Rezone]:[Water Rezone]])=0,"Ok","Nope")</f>
        <v>Ok</v>
      </c>
      <c r="U73" s="215"/>
      <c r="V73" s="94">
        <f ca="1">TblProd[[#This Row],[Platinum]]</f>
        <v>164591</v>
      </c>
      <c r="W73" s="215"/>
      <c r="X73" s="94">
        <f ca="1">ROUND( (1-MIN(ROUND(facs_rezone_factor*TblRezone[[#This Row],[Facs]],4),facs_rezone_max) + tech_6_4*TblTech[[#This Row],[6-4]] + tech_10_2*TblTech[[#This Row],[10-2]] - IF(TblMagic[[#This Row],[Active Mechanical Genius]]&gt;0,mech_genius_bonus,0) + race_rezone_cost) * TblRezone[[#This Row],[Plat/acre*]],0)</f>
        <v>166</v>
      </c>
      <c r="Y73" s="94">
        <f ca="1">TblRezone[[#This Row],[Total acres]]*TblRezone[[#This Row],[Plat/acre]]</f>
        <v>0</v>
      </c>
      <c r="Z73" s="215"/>
      <c r="AA73" s="94">
        <f ca="1">(250+0.6*(TblRezone[[#This Row],[Land]]-250))</f>
        <v>166</v>
      </c>
      <c r="AB73" s="215"/>
      <c r="AC73" s="157">
        <f ca="1">TblConstr[[#This Row],[Facs DB]]</f>
        <v>0</v>
      </c>
    </row>
    <row r="74" spans="1:29" x14ac:dyDescent="0.2">
      <c r="A74" s="214">
        <f ca="1">TblConstr[[#This Row],[Land]]</f>
        <v>110</v>
      </c>
      <c r="B74" s="216">
        <f ca="1">TblConstr[[#This Row],[Plain]]</f>
        <v>60</v>
      </c>
      <c r="C74" s="182">
        <f ca="1">TblConstr[[#This Row],[Forest]]</f>
        <v>0</v>
      </c>
      <c r="D74" s="359">
        <f ca="1">TblConstr[[#This Row],[Mountain]]</f>
        <v>0</v>
      </c>
      <c r="E74" s="363">
        <f ca="1">TblConstr[[#This Row],[Hill]]</f>
        <v>0</v>
      </c>
      <c r="F74" s="367">
        <f ca="1">TblConstr[[#This Row],[Swamp]]</f>
        <v>0</v>
      </c>
      <c r="G74" s="185">
        <f ca="1">TblConstr[[#This Row],[Cavern]]</f>
        <v>0</v>
      </c>
      <c r="H74" s="186">
        <f ca="1">TblConstr[[#This Row],[Water]]</f>
        <v>0</v>
      </c>
      <c r="I74" s="215"/>
      <c r="J74" s="175">
        <f t="shared" si="1"/>
        <v>71</v>
      </c>
      <c r="K74" s="236">
        <f ca="1">TblImps[[#This Row],[Real time]]</f>
        <v>46049.916666666497</v>
      </c>
      <c r="L74" s="179"/>
      <c r="M74" s="179"/>
      <c r="N74" s="179"/>
      <c r="O74" s="179"/>
      <c r="P74" s="179"/>
      <c r="Q74" s="179"/>
      <c r="R74" s="179"/>
      <c r="S74" s="94">
        <f>SUMIF(TblRezone[[#This Row],[Plains Rezone]:[Water Rezone]],"&gt;0")</f>
        <v>0</v>
      </c>
      <c r="T74" s="61" t="str">
        <f>IF(SUM(TblRezone[[#This Row],[Plains Rezone]:[Water Rezone]])=0,"Ok","Nope")</f>
        <v>Ok</v>
      </c>
      <c r="U74" s="215"/>
      <c r="V74" s="94">
        <f ca="1">TblProd[[#This Row],[Platinum]]</f>
        <v>165946</v>
      </c>
      <c r="W74" s="215"/>
      <c r="X74" s="94">
        <f ca="1">ROUND( (1-MIN(ROUND(facs_rezone_factor*TblRezone[[#This Row],[Facs]],4),facs_rezone_max) + tech_6_4*TblTech[[#This Row],[6-4]] + tech_10_2*TblTech[[#This Row],[10-2]] - IF(TblMagic[[#This Row],[Active Mechanical Genius]]&gt;0,mech_genius_bonus,0) + race_rezone_cost) * TblRezone[[#This Row],[Plat/acre*]],0)</f>
        <v>166</v>
      </c>
      <c r="Y74" s="94">
        <f ca="1">TblRezone[[#This Row],[Total acres]]*TblRezone[[#This Row],[Plat/acre]]</f>
        <v>0</v>
      </c>
      <c r="Z74" s="215"/>
      <c r="AA74" s="94">
        <f ca="1">(250+0.6*(TblRezone[[#This Row],[Land]]-250))</f>
        <v>166</v>
      </c>
      <c r="AB74" s="215"/>
      <c r="AC74" s="157">
        <f ca="1">TblConstr[[#This Row],[Facs DB]]</f>
        <v>0</v>
      </c>
    </row>
    <row r="75" spans="1:29" x14ac:dyDescent="0.2">
      <c r="A75" s="214">
        <f ca="1">TblConstr[[#This Row],[Land]]</f>
        <v>110</v>
      </c>
      <c r="B75" s="216">
        <f ca="1">TblConstr[[#This Row],[Plain]]</f>
        <v>60</v>
      </c>
      <c r="C75" s="182">
        <f ca="1">TblConstr[[#This Row],[Forest]]</f>
        <v>0</v>
      </c>
      <c r="D75" s="359">
        <f ca="1">TblConstr[[#This Row],[Mountain]]</f>
        <v>0</v>
      </c>
      <c r="E75" s="363">
        <f ca="1">TblConstr[[#This Row],[Hill]]</f>
        <v>0</v>
      </c>
      <c r="F75" s="367">
        <f ca="1">TblConstr[[#This Row],[Swamp]]</f>
        <v>0</v>
      </c>
      <c r="G75" s="185">
        <f ca="1">TblConstr[[#This Row],[Cavern]]</f>
        <v>0</v>
      </c>
      <c r="H75" s="186">
        <f ca="1">TblConstr[[#This Row],[Water]]</f>
        <v>0</v>
      </c>
      <c r="I75" s="215"/>
      <c r="J75" s="175">
        <f t="shared" si="1"/>
        <v>72</v>
      </c>
      <c r="K75" s="236">
        <f ca="1">TblImps[[#This Row],[Real time]]</f>
        <v>46049.958333333161</v>
      </c>
      <c r="L75" s="179"/>
      <c r="M75" s="179"/>
      <c r="N75" s="179"/>
      <c r="O75" s="179"/>
      <c r="P75" s="179"/>
      <c r="Q75" s="179"/>
      <c r="R75" s="179"/>
      <c r="S75" s="94">
        <f>SUMIF(TblRezone[[#This Row],[Plains Rezone]:[Water Rezone]],"&gt;0")</f>
        <v>0</v>
      </c>
      <c r="T75" s="61" t="str">
        <f>IF(SUM(TblRezone[[#This Row],[Plains Rezone]:[Water Rezone]])=0,"Ok","Nope")</f>
        <v>Ok</v>
      </c>
      <c r="U75" s="215"/>
      <c r="V75" s="94">
        <f ca="1">TblProd[[#This Row],[Platinum]]</f>
        <v>167287</v>
      </c>
      <c r="W75" s="215"/>
      <c r="X75" s="94">
        <f ca="1">ROUND( (1-MIN(ROUND(facs_rezone_factor*TblRezone[[#This Row],[Facs]],4),facs_rezone_max) + tech_6_4*TblTech[[#This Row],[6-4]] + tech_10_2*TblTech[[#This Row],[10-2]] - IF(TblMagic[[#This Row],[Active Mechanical Genius]]&gt;0,mech_genius_bonus,0) + race_rezone_cost) * TblRezone[[#This Row],[Plat/acre*]],0)</f>
        <v>166</v>
      </c>
      <c r="Y75" s="94">
        <f ca="1">TblRezone[[#This Row],[Total acres]]*TblRezone[[#This Row],[Plat/acre]]</f>
        <v>0</v>
      </c>
      <c r="Z75" s="215"/>
      <c r="AA75" s="94">
        <f ca="1">(250+0.6*(TblRezone[[#This Row],[Land]]-250))</f>
        <v>166</v>
      </c>
      <c r="AB75" s="215"/>
      <c r="AC75" s="157">
        <f ca="1">TblConstr[[#This Row],[Facs DB]]</f>
        <v>0</v>
      </c>
    </row>
    <row r="76" spans="1:29" x14ac:dyDescent="0.2">
      <c r="A76" s="214">
        <f ca="1">TblConstr[[#This Row],[Land]]</f>
        <v>110</v>
      </c>
      <c r="B76" s="216">
        <f ca="1">TblConstr[[#This Row],[Plain]]</f>
        <v>60</v>
      </c>
      <c r="C76" s="182">
        <f ca="1">TblConstr[[#This Row],[Forest]]</f>
        <v>0</v>
      </c>
      <c r="D76" s="359">
        <f ca="1">TblConstr[[#This Row],[Mountain]]</f>
        <v>0</v>
      </c>
      <c r="E76" s="363">
        <f ca="1">TblConstr[[#This Row],[Hill]]</f>
        <v>0</v>
      </c>
      <c r="F76" s="367">
        <f ca="1">TblConstr[[#This Row],[Swamp]]</f>
        <v>0</v>
      </c>
      <c r="G76" s="185">
        <f ca="1">TblConstr[[#This Row],[Cavern]]</f>
        <v>0</v>
      </c>
      <c r="H76" s="186">
        <f ca="1">TblConstr[[#This Row],[Water]]</f>
        <v>0</v>
      </c>
      <c r="I76" s="215"/>
      <c r="J76" s="175">
        <f t="shared" si="1"/>
        <v>73</v>
      </c>
      <c r="K76" s="236">
        <f ca="1">TblImps[[#This Row],[Real time]]</f>
        <v>46049.999999999825</v>
      </c>
      <c r="L76" s="179"/>
      <c r="M76" s="179"/>
      <c r="N76" s="179"/>
      <c r="O76" s="179"/>
      <c r="P76" s="179"/>
      <c r="Q76" s="179"/>
      <c r="R76" s="179"/>
      <c r="S76" s="430">
        <f>SUMIF(TblRezone[[#This Row],[Plains Rezone]:[Water Rezone]],"&gt;0")</f>
        <v>0</v>
      </c>
      <c r="T76" s="428" t="str">
        <f>IF(SUM(TblRezone[[#This Row],[Plains Rezone]:[Water Rezone]])=0,"Ok","Nope")</f>
        <v>Ok</v>
      </c>
      <c r="U76" s="215"/>
      <c r="V76" s="430">
        <f ca="1">TblProd[[#This Row],[Platinum]]</f>
        <v>168615</v>
      </c>
      <c r="W76" s="215"/>
      <c r="X76" s="430">
        <f ca="1">ROUND( (1-MIN(ROUND(facs_rezone_factor*TblRezone[[#This Row],[Facs]],4),facs_rezone_max) + tech_6_4*TblTech[[#This Row],[6-4]] + tech_10_2*TblTech[[#This Row],[10-2]] - IF(TblMagic[[#This Row],[Active Mechanical Genius]]&gt;0,mech_genius_bonus,0) + race_rezone_cost) * TblRezone[[#This Row],[Plat/acre*]],0)</f>
        <v>166</v>
      </c>
      <c r="Y76" s="430">
        <f ca="1">TblRezone[[#This Row],[Total acres]]*TblRezone[[#This Row],[Plat/acre]]</f>
        <v>0</v>
      </c>
      <c r="Z76" s="215"/>
      <c r="AA76" s="430">
        <f ca="1">(250+0.6*(TblRezone[[#This Row],[Land]]-250))</f>
        <v>166</v>
      </c>
      <c r="AB76" s="215"/>
      <c r="AC76" s="440">
        <f ca="1">TblConstr[[#This Row],[Facs DB]]</f>
        <v>0</v>
      </c>
    </row>
    <row r="77" spans="1:29" x14ac:dyDescent="0.2">
      <c r="A77" s="214">
        <f ca="1">TblConstr[[#This Row],[Land]]</f>
        <v>110</v>
      </c>
      <c r="B77" s="216">
        <f ca="1">TblConstr[[#This Row],[Plain]]</f>
        <v>60</v>
      </c>
      <c r="C77" s="182">
        <f ca="1">TblConstr[[#This Row],[Forest]]</f>
        <v>0</v>
      </c>
      <c r="D77" s="359">
        <f ca="1">TblConstr[[#This Row],[Mountain]]</f>
        <v>0</v>
      </c>
      <c r="E77" s="363">
        <f ca="1">TblConstr[[#This Row],[Hill]]</f>
        <v>0</v>
      </c>
      <c r="F77" s="367">
        <f ca="1">TblConstr[[#This Row],[Swamp]]</f>
        <v>0</v>
      </c>
      <c r="G77" s="185">
        <f ca="1">TblConstr[[#This Row],[Cavern]]</f>
        <v>0</v>
      </c>
      <c r="H77" s="186">
        <f ca="1">TblConstr[[#This Row],[Water]]</f>
        <v>0</v>
      </c>
      <c r="I77" s="215"/>
      <c r="J77" s="175">
        <f t="shared" ref="J77:J87" si="2">J76+1</f>
        <v>74</v>
      </c>
      <c r="K77" s="236">
        <f ca="1">TblImps[[#This Row],[Real time]]</f>
        <v>46050.04166666649</v>
      </c>
      <c r="L77" s="179"/>
      <c r="M77" s="179"/>
      <c r="N77" s="179"/>
      <c r="O77" s="179"/>
      <c r="P77" s="179"/>
      <c r="Q77" s="179"/>
      <c r="R77" s="179"/>
      <c r="S77" s="94">
        <f>SUMIF(TblRezone[[#This Row],[Plains Rezone]:[Water Rezone]],"&gt;0")</f>
        <v>0</v>
      </c>
      <c r="T77" s="61" t="str">
        <f>IF(SUM(TblRezone[[#This Row],[Plains Rezone]:[Water Rezone]])=0,"Ok","Nope")</f>
        <v>Ok</v>
      </c>
      <c r="U77" s="215"/>
      <c r="V77" s="94">
        <f ca="1">TblProd[[#This Row],[Platinum]]</f>
        <v>169929</v>
      </c>
      <c r="W77" s="215"/>
      <c r="X77" s="94">
        <f ca="1">ROUND( (1-MIN(ROUND(facs_rezone_factor*TblRezone[[#This Row],[Facs]],4),facs_rezone_max) + tech_6_4*TblTech[[#This Row],[6-4]] + tech_10_2*TblTech[[#This Row],[10-2]] - IF(TblMagic[[#This Row],[Active Mechanical Genius]]&gt;0,mech_genius_bonus,0) + race_rezone_cost) * TblRezone[[#This Row],[Plat/acre*]],0)</f>
        <v>166</v>
      </c>
      <c r="Y77" s="94">
        <f ca="1">TblRezone[[#This Row],[Total acres]]*TblRezone[[#This Row],[Plat/acre]]</f>
        <v>0</v>
      </c>
      <c r="Z77" s="215"/>
      <c r="AA77" s="94">
        <f ca="1">(250+0.6*(TblRezone[[#This Row],[Land]]-250))</f>
        <v>166</v>
      </c>
      <c r="AB77" s="215"/>
      <c r="AC77" s="157">
        <f ca="1">TblConstr[[#This Row],[Facs DB]]</f>
        <v>0</v>
      </c>
    </row>
    <row r="78" spans="1:29" x14ac:dyDescent="0.2">
      <c r="A78" s="214">
        <f ca="1">TblConstr[[#This Row],[Land]]</f>
        <v>110</v>
      </c>
      <c r="B78" s="216">
        <f ca="1">TblConstr[[#This Row],[Plain]]</f>
        <v>60</v>
      </c>
      <c r="C78" s="182">
        <f ca="1">TblConstr[[#This Row],[Forest]]</f>
        <v>0</v>
      </c>
      <c r="D78" s="359">
        <f ca="1">TblConstr[[#This Row],[Mountain]]</f>
        <v>0</v>
      </c>
      <c r="E78" s="363">
        <f ca="1">TblConstr[[#This Row],[Hill]]</f>
        <v>0</v>
      </c>
      <c r="F78" s="367">
        <f ca="1">TblConstr[[#This Row],[Swamp]]</f>
        <v>0</v>
      </c>
      <c r="G78" s="185">
        <f ca="1">TblConstr[[#This Row],[Cavern]]</f>
        <v>0</v>
      </c>
      <c r="H78" s="186">
        <f ca="1">TblConstr[[#This Row],[Water]]</f>
        <v>0</v>
      </c>
      <c r="I78" s="215"/>
      <c r="J78" s="175">
        <f t="shared" si="2"/>
        <v>75</v>
      </c>
      <c r="K78" s="236">
        <f ca="1">TblImps[[#This Row],[Real time]]</f>
        <v>46050.083333333154</v>
      </c>
      <c r="L78" s="179"/>
      <c r="M78" s="179"/>
      <c r="N78" s="179"/>
      <c r="O78" s="179"/>
      <c r="P78" s="179"/>
      <c r="Q78" s="179"/>
      <c r="R78" s="179"/>
      <c r="S78" s="94">
        <f>SUMIF(TblRezone[[#This Row],[Plains Rezone]:[Water Rezone]],"&gt;0")</f>
        <v>0</v>
      </c>
      <c r="T78" s="61" t="str">
        <f>IF(SUM(TblRezone[[#This Row],[Plains Rezone]:[Water Rezone]])=0,"Ok","Nope")</f>
        <v>Ok</v>
      </c>
      <c r="U78" s="215"/>
      <c r="V78" s="94">
        <f ca="1">TblProd[[#This Row],[Platinum]]</f>
        <v>171230</v>
      </c>
      <c r="W78" s="215"/>
      <c r="X78" s="94">
        <f ca="1">ROUND( (1-MIN(ROUND(facs_rezone_factor*TblRezone[[#This Row],[Facs]],4),facs_rezone_max) + tech_6_4*TblTech[[#This Row],[6-4]] + tech_10_2*TblTech[[#This Row],[10-2]] - IF(TblMagic[[#This Row],[Active Mechanical Genius]]&gt;0,mech_genius_bonus,0) + race_rezone_cost) * TblRezone[[#This Row],[Plat/acre*]],0)</f>
        <v>166</v>
      </c>
      <c r="Y78" s="94">
        <f ca="1">TblRezone[[#This Row],[Total acres]]*TblRezone[[#This Row],[Plat/acre]]</f>
        <v>0</v>
      </c>
      <c r="Z78" s="215"/>
      <c r="AA78" s="94">
        <f ca="1">(250+0.6*(TblRezone[[#This Row],[Land]]-250))</f>
        <v>166</v>
      </c>
      <c r="AB78" s="215"/>
      <c r="AC78" s="157">
        <f ca="1">TblConstr[[#This Row],[Facs DB]]</f>
        <v>0</v>
      </c>
    </row>
    <row r="79" spans="1:29" x14ac:dyDescent="0.2">
      <c r="A79" s="214">
        <f ca="1">TblConstr[[#This Row],[Land]]</f>
        <v>110</v>
      </c>
      <c r="B79" s="216">
        <f ca="1">TblConstr[[#This Row],[Plain]]</f>
        <v>60</v>
      </c>
      <c r="C79" s="182">
        <f ca="1">TblConstr[[#This Row],[Forest]]</f>
        <v>0</v>
      </c>
      <c r="D79" s="359">
        <f ca="1">TblConstr[[#This Row],[Mountain]]</f>
        <v>0</v>
      </c>
      <c r="E79" s="363">
        <f ca="1">TblConstr[[#This Row],[Hill]]</f>
        <v>0</v>
      </c>
      <c r="F79" s="367">
        <f ca="1">TblConstr[[#This Row],[Swamp]]</f>
        <v>0</v>
      </c>
      <c r="G79" s="185">
        <f ca="1">TblConstr[[#This Row],[Cavern]]</f>
        <v>0</v>
      </c>
      <c r="H79" s="186">
        <f ca="1">TblConstr[[#This Row],[Water]]</f>
        <v>0</v>
      </c>
      <c r="I79" s="215"/>
      <c r="J79" s="175">
        <f t="shared" si="2"/>
        <v>76</v>
      </c>
      <c r="K79" s="236">
        <f ca="1">TblImps[[#This Row],[Real time]]</f>
        <v>46050.124999999818</v>
      </c>
      <c r="L79" s="179"/>
      <c r="M79" s="179"/>
      <c r="N79" s="179"/>
      <c r="O79" s="179"/>
      <c r="P79" s="179"/>
      <c r="Q79" s="179"/>
      <c r="R79" s="179"/>
      <c r="S79" s="94">
        <f>SUMIF(TblRezone[[#This Row],[Plains Rezone]:[Water Rezone]],"&gt;0")</f>
        <v>0</v>
      </c>
      <c r="T79" s="61" t="str">
        <f>IF(SUM(TblRezone[[#This Row],[Plains Rezone]:[Water Rezone]])=0,"Ok","Nope")</f>
        <v>Ok</v>
      </c>
      <c r="U79" s="215"/>
      <c r="V79" s="94">
        <f ca="1">TblProd[[#This Row],[Platinum]]</f>
        <v>172517</v>
      </c>
      <c r="W79" s="215"/>
      <c r="X79" s="94">
        <f ca="1">ROUND( (1-MIN(ROUND(facs_rezone_factor*TblRezone[[#This Row],[Facs]],4),facs_rezone_max) + tech_6_4*TblTech[[#This Row],[6-4]] + tech_10_2*TblTech[[#This Row],[10-2]] - IF(TblMagic[[#This Row],[Active Mechanical Genius]]&gt;0,mech_genius_bonus,0) + race_rezone_cost) * TblRezone[[#This Row],[Plat/acre*]],0)</f>
        <v>166</v>
      </c>
      <c r="Y79" s="94">
        <f ca="1">TblRezone[[#This Row],[Total acres]]*TblRezone[[#This Row],[Plat/acre]]</f>
        <v>0</v>
      </c>
      <c r="Z79" s="215"/>
      <c r="AA79" s="94">
        <f ca="1">(250+0.6*(TblRezone[[#This Row],[Land]]-250))</f>
        <v>166</v>
      </c>
      <c r="AB79" s="215"/>
      <c r="AC79" s="157">
        <f ca="1">TblConstr[[#This Row],[Facs DB]]</f>
        <v>0</v>
      </c>
    </row>
    <row r="80" spans="1:29" x14ac:dyDescent="0.2">
      <c r="A80" s="214">
        <f ca="1">TblConstr[[#This Row],[Land]]</f>
        <v>110</v>
      </c>
      <c r="B80" s="216">
        <f ca="1">TblConstr[[#This Row],[Plain]]</f>
        <v>60</v>
      </c>
      <c r="C80" s="182">
        <f ca="1">TblConstr[[#This Row],[Forest]]</f>
        <v>0</v>
      </c>
      <c r="D80" s="359">
        <f ca="1">TblConstr[[#This Row],[Mountain]]</f>
        <v>0</v>
      </c>
      <c r="E80" s="363">
        <f ca="1">TblConstr[[#This Row],[Hill]]</f>
        <v>0</v>
      </c>
      <c r="F80" s="367">
        <f ca="1">TblConstr[[#This Row],[Swamp]]</f>
        <v>0</v>
      </c>
      <c r="G80" s="185">
        <f ca="1">TblConstr[[#This Row],[Cavern]]</f>
        <v>0</v>
      </c>
      <c r="H80" s="186">
        <f ca="1">TblConstr[[#This Row],[Water]]</f>
        <v>0</v>
      </c>
      <c r="I80" s="215"/>
      <c r="J80" s="175">
        <f t="shared" si="2"/>
        <v>77</v>
      </c>
      <c r="K80" s="236">
        <f ca="1">TblImps[[#This Row],[Real time]]</f>
        <v>46050.166666666482</v>
      </c>
      <c r="L80" s="179"/>
      <c r="M80" s="179"/>
      <c r="N80" s="179"/>
      <c r="O80" s="179"/>
      <c r="P80" s="179"/>
      <c r="Q80" s="179"/>
      <c r="R80" s="179"/>
      <c r="S80" s="94">
        <f>SUMIF(TblRezone[[#This Row],[Plains Rezone]:[Water Rezone]],"&gt;0")</f>
        <v>0</v>
      </c>
      <c r="T80" s="61" t="str">
        <f>IF(SUM(TblRezone[[#This Row],[Plains Rezone]:[Water Rezone]])=0,"Ok","Nope")</f>
        <v>Ok</v>
      </c>
      <c r="U80" s="215"/>
      <c r="V80" s="94">
        <f ca="1">TblProd[[#This Row],[Platinum]]</f>
        <v>173791</v>
      </c>
      <c r="W80" s="215"/>
      <c r="X80" s="94">
        <f ca="1">ROUND( (1-MIN(ROUND(facs_rezone_factor*TblRezone[[#This Row],[Facs]],4),facs_rezone_max) + tech_6_4*TblTech[[#This Row],[6-4]] + tech_10_2*TblTech[[#This Row],[10-2]] - IF(TblMagic[[#This Row],[Active Mechanical Genius]]&gt;0,mech_genius_bonus,0) + race_rezone_cost) * TblRezone[[#This Row],[Plat/acre*]],0)</f>
        <v>166</v>
      </c>
      <c r="Y80" s="94">
        <f ca="1">TblRezone[[#This Row],[Total acres]]*TblRezone[[#This Row],[Plat/acre]]</f>
        <v>0</v>
      </c>
      <c r="Z80" s="215"/>
      <c r="AA80" s="94">
        <f ca="1">(250+0.6*(TblRezone[[#This Row],[Land]]-250))</f>
        <v>166</v>
      </c>
      <c r="AB80" s="215"/>
      <c r="AC80" s="157">
        <f ca="1">TblConstr[[#This Row],[Facs DB]]</f>
        <v>0</v>
      </c>
    </row>
    <row r="81" spans="1:29" x14ac:dyDescent="0.2">
      <c r="A81" s="214">
        <f ca="1">TblConstr[[#This Row],[Land]]</f>
        <v>110</v>
      </c>
      <c r="B81" s="216">
        <f ca="1">TblConstr[[#This Row],[Plain]]</f>
        <v>60</v>
      </c>
      <c r="C81" s="182">
        <f ca="1">TblConstr[[#This Row],[Forest]]</f>
        <v>0</v>
      </c>
      <c r="D81" s="359">
        <f ca="1">TblConstr[[#This Row],[Mountain]]</f>
        <v>0</v>
      </c>
      <c r="E81" s="363">
        <f ca="1">TblConstr[[#This Row],[Hill]]</f>
        <v>0</v>
      </c>
      <c r="F81" s="367">
        <f ca="1">TblConstr[[#This Row],[Swamp]]</f>
        <v>0</v>
      </c>
      <c r="G81" s="185">
        <f ca="1">TblConstr[[#This Row],[Cavern]]</f>
        <v>0</v>
      </c>
      <c r="H81" s="186">
        <f ca="1">TblConstr[[#This Row],[Water]]</f>
        <v>0</v>
      </c>
      <c r="I81" s="215"/>
      <c r="J81" s="175">
        <f t="shared" si="2"/>
        <v>78</v>
      </c>
      <c r="K81" s="236">
        <f ca="1">TblImps[[#This Row],[Real time]]</f>
        <v>46050.208333333147</v>
      </c>
      <c r="L81" s="179"/>
      <c r="M81" s="179"/>
      <c r="N81" s="179"/>
      <c r="O81" s="179"/>
      <c r="P81" s="179"/>
      <c r="Q81" s="179"/>
      <c r="R81" s="179"/>
      <c r="S81" s="94">
        <f>SUMIF(TblRezone[[#This Row],[Plains Rezone]:[Water Rezone]],"&gt;0")</f>
        <v>0</v>
      </c>
      <c r="T81" s="61" t="str">
        <f>IF(SUM(TblRezone[[#This Row],[Plains Rezone]:[Water Rezone]])=0,"Ok","Nope")</f>
        <v>Ok</v>
      </c>
      <c r="U81" s="215"/>
      <c r="V81" s="94">
        <f ca="1">TblProd[[#This Row],[Platinum]]</f>
        <v>175051</v>
      </c>
      <c r="W81" s="215"/>
      <c r="X81" s="94">
        <f ca="1">ROUND( (1-MIN(ROUND(facs_rezone_factor*TblRezone[[#This Row],[Facs]],4),facs_rezone_max) + tech_6_4*TblTech[[#This Row],[6-4]] + tech_10_2*TblTech[[#This Row],[10-2]] - IF(TblMagic[[#This Row],[Active Mechanical Genius]]&gt;0,mech_genius_bonus,0) + race_rezone_cost) * TblRezone[[#This Row],[Plat/acre*]],0)</f>
        <v>166</v>
      </c>
      <c r="Y81" s="94">
        <f ca="1">TblRezone[[#This Row],[Total acres]]*TblRezone[[#This Row],[Plat/acre]]</f>
        <v>0</v>
      </c>
      <c r="Z81" s="215"/>
      <c r="AA81" s="94">
        <f ca="1">(250+0.6*(TblRezone[[#This Row],[Land]]-250))</f>
        <v>166</v>
      </c>
      <c r="AB81" s="215"/>
      <c r="AC81" s="157">
        <f ca="1">TblConstr[[#This Row],[Facs DB]]</f>
        <v>0</v>
      </c>
    </row>
    <row r="82" spans="1:29" x14ac:dyDescent="0.2">
      <c r="A82" s="214">
        <f ca="1">TblConstr[[#This Row],[Land]]</f>
        <v>110</v>
      </c>
      <c r="B82" s="216">
        <f ca="1">TblConstr[[#This Row],[Plain]]</f>
        <v>60</v>
      </c>
      <c r="C82" s="182">
        <f ca="1">TblConstr[[#This Row],[Forest]]</f>
        <v>0</v>
      </c>
      <c r="D82" s="359">
        <f ca="1">TblConstr[[#This Row],[Mountain]]</f>
        <v>0</v>
      </c>
      <c r="E82" s="363">
        <f ca="1">TblConstr[[#This Row],[Hill]]</f>
        <v>0</v>
      </c>
      <c r="F82" s="367">
        <f ca="1">TblConstr[[#This Row],[Swamp]]</f>
        <v>0</v>
      </c>
      <c r="G82" s="185">
        <f ca="1">TblConstr[[#This Row],[Cavern]]</f>
        <v>0</v>
      </c>
      <c r="H82" s="186">
        <f ca="1">TblConstr[[#This Row],[Water]]</f>
        <v>0</v>
      </c>
      <c r="I82" s="215"/>
      <c r="J82" s="175">
        <f t="shared" si="2"/>
        <v>79</v>
      </c>
      <c r="K82" s="236">
        <f ca="1">TblImps[[#This Row],[Real time]]</f>
        <v>46050.249999999811</v>
      </c>
      <c r="L82" s="179"/>
      <c r="M82" s="179"/>
      <c r="N82" s="179"/>
      <c r="O82" s="179"/>
      <c r="P82" s="179"/>
      <c r="Q82" s="179"/>
      <c r="R82" s="179"/>
      <c r="S82" s="94">
        <f>SUMIF(TblRezone[[#This Row],[Plains Rezone]:[Water Rezone]],"&gt;0")</f>
        <v>0</v>
      </c>
      <c r="T82" s="61" t="str">
        <f>IF(SUM(TblRezone[[#This Row],[Plains Rezone]:[Water Rezone]])=0,"Ok","Nope")</f>
        <v>Ok</v>
      </c>
      <c r="U82" s="215"/>
      <c r="V82" s="94">
        <f ca="1">TblProd[[#This Row],[Platinum]]</f>
        <v>176298</v>
      </c>
      <c r="W82" s="215"/>
      <c r="X82" s="94">
        <f ca="1">ROUND( (1-MIN(ROUND(facs_rezone_factor*TblRezone[[#This Row],[Facs]],4),facs_rezone_max) + tech_6_4*TblTech[[#This Row],[6-4]] + tech_10_2*TblTech[[#This Row],[10-2]] - IF(TblMagic[[#This Row],[Active Mechanical Genius]]&gt;0,mech_genius_bonus,0) + race_rezone_cost) * TblRezone[[#This Row],[Plat/acre*]],0)</f>
        <v>166</v>
      </c>
      <c r="Y82" s="94">
        <f ca="1">TblRezone[[#This Row],[Total acres]]*TblRezone[[#This Row],[Plat/acre]]</f>
        <v>0</v>
      </c>
      <c r="Z82" s="215"/>
      <c r="AA82" s="94">
        <f ca="1">(250+0.6*(TblRezone[[#This Row],[Land]]-250))</f>
        <v>166</v>
      </c>
      <c r="AB82" s="215"/>
      <c r="AC82" s="157">
        <f ca="1">TblConstr[[#This Row],[Facs DB]]</f>
        <v>0</v>
      </c>
    </row>
    <row r="83" spans="1:29" x14ac:dyDescent="0.2">
      <c r="A83" s="214">
        <f ca="1">TblConstr[[#This Row],[Land]]</f>
        <v>110</v>
      </c>
      <c r="B83" s="216">
        <f ca="1">TblConstr[[#This Row],[Plain]]</f>
        <v>60</v>
      </c>
      <c r="C83" s="182">
        <f ca="1">TblConstr[[#This Row],[Forest]]</f>
        <v>0</v>
      </c>
      <c r="D83" s="359">
        <f ca="1">TblConstr[[#This Row],[Mountain]]</f>
        <v>0</v>
      </c>
      <c r="E83" s="363">
        <f ca="1">TblConstr[[#This Row],[Hill]]</f>
        <v>0</v>
      </c>
      <c r="F83" s="367">
        <f ca="1">TblConstr[[#This Row],[Swamp]]</f>
        <v>0</v>
      </c>
      <c r="G83" s="185">
        <f ca="1">TblConstr[[#This Row],[Cavern]]</f>
        <v>0</v>
      </c>
      <c r="H83" s="186">
        <f ca="1">TblConstr[[#This Row],[Water]]</f>
        <v>0</v>
      </c>
      <c r="I83" s="215"/>
      <c r="J83" s="175">
        <f t="shared" si="2"/>
        <v>80</v>
      </c>
      <c r="K83" s="236">
        <f ca="1">TblImps[[#This Row],[Real time]]</f>
        <v>46050.291666666475</v>
      </c>
      <c r="L83" s="179"/>
      <c r="M83" s="179"/>
      <c r="N83" s="179"/>
      <c r="O83" s="179"/>
      <c r="P83" s="179"/>
      <c r="Q83" s="179"/>
      <c r="R83" s="179"/>
      <c r="S83" s="94">
        <f>SUMIF(TblRezone[[#This Row],[Plains Rezone]:[Water Rezone]],"&gt;0")</f>
        <v>0</v>
      </c>
      <c r="T83" s="61" t="str">
        <f>IF(SUM(TblRezone[[#This Row],[Plains Rezone]:[Water Rezone]])=0,"Ok","Nope")</f>
        <v>Ok</v>
      </c>
      <c r="U83" s="215"/>
      <c r="V83" s="94">
        <f ca="1">TblProd[[#This Row],[Platinum]]</f>
        <v>177531</v>
      </c>
      <c r="W83" s="215"/>
      <c r="X83" s="94">
        <f ca="1">ROUND( (1-MIN(ROUND(facs_rezone_factor*TblRezone[[#This Row],[Facs]],4),facs_rezone_max) + tech_6_4*TblTech[[#This Row],[6-4]] + tech_10_2*TblTech[[#This Row],[10-2]] - IF(TblMagic[[#This Row],[Active Mechanical Genius]]&gt;0,mech_genius_bonus,0) + race_rezone_cost) * TblRezone[[#This Row],[Plat/acre*]],0)</f>
        <v>166</v>
      </c>
      <c r="Y83" s="94">
        <f ca="1">TblRezone[[#This Row],[Total acres]]*TblRezone[[#This Row],[Plat/acre]]</f>
        <v>0</v>
      </c>
      <c r="Z83" s="215"/>
      <c r="AA83" s="94">
        <f ca="1">(250+0.6*(TblRezone[[#This Row],[Land]]-250))</f>
        <v>166</v>
      </c>
      <c r="AB83" s="215"/>
      <c r="AC83" s="157">
        <f ca="1">TblConstr[[#This Row],[Facs DB]]</f>
        <v>0</v>
      </c>
    </row>
    <row r="84" spans="1:29" x14ac:dyDescent="0.2">
      <c r="A84" s="214">
        <f ca="1">TblConstr[[#This Row],[Land]]</f>
        <v>110</v>
      </c>
      <c r="B84" s="216">
        <f ca="1">TblConstr[[#This Row],[Plain]]</f>
        <v>60</v>
      </c>
      <c r="C84" s="182">
        <f ca="1">TblConstr[[#This Row],[Forest]]</f>
        <v>0</v>
      </c>
      <c r="D84" s="359">
        <f ca="1">TblConstr[[#This Row],[Mountain]]</f>
        <v>0</v>
      </c>
      <c r="E84" s="363">
        <f ca="1">TblConstr[[#This Row],[Hill]]</f>
        <v>0</v>
      </c>
      <c r="F84" s="367">
        <f ca="1">TblConstr[[#This Row],[Swamp]]</f>
        <v>0</v>
      </c>
      <c r="G84" s="185">
        <f ca="1">TblConstr[[#This Row],[Cavern]]</f>
        <v>0</v>
      </c>
      <c r="H84" s="186">
        <f ca="1">TblConstr[[#This Row],[Water]]</f>
        <v>0</v>
      </c>
      <c r="I84" s="215"/>
      <c r="J84" s="175">
        <f t="shared" si="2"/>
        <v>81</v>
      </c>
      <c r="K84" s="236">
        <f ca="1">TblImps[[#This Row],[Real time]]</f>
        <v>46050.333333333139</v>
      </c>
      <c r="L84" s="179"/>
      <c r="M84" s="179"/>
      <c r="N84" s="179"/>
      <c r="O84" s="179"/>
      <c r="P84" s="179"/>
      <c r="Q84" s="179"/>
      <c r="R84" s="179"/>
      <c r="S84" s="94">
        <f>SUMIF(TblRezone[[#This Row],[Plains Rezone]:[Water Rezone]],"&gt;0")</f>
        <v>0</v>
      </c>
      <c r="T84" s="61" t="str">
        <f>IF(SUM(TblRezone[[#This Row],[Plains Rezone]:[Water Rezone]])=0,"Ok","Nope")</f>
        <v>Ok</v>
      </c>
      <c r="U84" s="215"/>
      <c r="V84" s="94">
        <f ca="1">TblProd[[#This Row],[Platinum]]</f>
        <v>178751</v>
      </c>
      <c r="W84" s="215"/>
      <c r="X84" s="94">
        <f ca="1">ROUND( (1-MIN(ROUND(facs_rezone_factor*TblRezone[[#This Row],[Facs]],4),facs_rezone_max) + tech_6_4*TblTech[[#This Row],[6-4]] + tech_10_2*TblTech[[#This Row],[10-2]] - IF(TblMagic[[#This Row],[Active Mechanical Genius]]&gt;0,mech_genius_bonus,0) + race_rezone_cost) * TblRezone[[#This Row],[Plat/acre*]],0)</f>
        <v>166</v>
      </c>
      <c r="Y84" s="94">
        <f ca="1">TblRezone[[#This Row],[Total acres]]*TblRezone[[#This Row],[Plat/acre]]</f>
        <v>0</v>
      </c>
      <c r="Z84" s="215"/>
      <c r="AA84" s="94">
        <f ca="1">(250+0.6*(TblRezone[[#This Row],[Land]]-250))</f>
        <v>166</v>
      </c>
      <c r="AB84" s="215"/>
      <c r="AC84" s="157">
        <f ca="1">TblConstr[[#This Row],[Facs DB]]</f>
        <v>0</v>
      </c>
    </row>
    <row r="85" spans="1:29" x14ac:dyDescent="0.2">
      <c r="A85" s="214">
        <f ca="1">TblConstr[[#This Row],[Land]]</f>
        <v>110</v>
      </c>
      <c r="B85" s="216">
        <f ca="1">TblConstr[[#This Row],[Plain]]</f>
        <v>60</v>
      </c>
      <c r="C85" s="182">
        <f ca="1">TblConstr[[#This Row],[Forest]]</f>
        <v>0</v>
      </c>
      <c r="D85" s="359">
        <f ca="1">TblConstr[[#This Row],[Mountain]]</f>
        <v>0</v>
      </c>
      <c r="E85" s="363">
        <f ca="1">TblConstr[[#This Row],[Hill]]</f>
        <v>0</v>
      </c>
      <c r="F85" s="367">
        <f ca="1">TblConstr[[#This Row],[Swamp]]</f>
        <v>0</v>
      </c>
      <c r="G85" s="185">
        <f ca="1">TblConstr[[#This Row],[Cavern]]</f>
        <v>0</v>
      </c>
      <c r="H85" s="186">
        <f ca="1">TblConstr[[#This Row],[Water]]</f>
        <v>0</v>
      </c>
      <c r="I85" s="215"/>
      <c r="J85" s="175">
        <f t="shared" si="2"/>
        <v>82</v>
      </c>
      <c r="K85" s="236">
        <f ca="1">TblImps[[#This Row],[Real time]]</f>
        <v>46050.374999999804</v>
      </c>
      <c r="L85" s="179"/>
      <c r="M85" s="179"/>
      <c r="N85" s="179"/>
      <c r="O85" s="179"/>
      <c r="P85" s="179"/>
      <c r="Q85" s="179"/>
      <c r="R85" s="179"/>
      <c r="S85" s="94">
        <f>SUMIF(TblRezone[[#This Row],[Plains Rezone]:[Water Rezone]],"&gt;0")</f>
        <v>0</v>
      </c>
      <c r="T85" s="61" t="str">
        <f>IF(SUM(TblRezone[[#This Row],[Plains Rezone]:[Water Rezone]])=0,"Ok","Nope")</f>
        <v>Ok</v>
      </c>
      <c r="U85" s="215"/>
      <c r="V85" s="94">
        <f ca="1">TblProd[[#This Row],[Platinum]]</f>
        <v>179957</v>
      </c>
      <c r="W85" s="215"/>
      <c r="X85" s="94">
        <f ca="1">ROUND( (1-MIN(ROUND(facs_rezone_factor*TblRezone[[#This Row],[Facs]],4),facs_rezone_max) + tech_6_4*TblTech[[#This Row],[6-4]] + tech_10_2*TblTech[[#This Row],[10-2]] - IF(TblMagic[[#This Row],[Active Mechanical Genius]]&gt;0,mech_genius_bonus,0) + race_rezone_cost) * TblRezone[[#This Row],[Plat/acre*]],0)</f>
        <v>166</v>
      </c>
      <c r="Y85" s="94">
        <f ca="1">TblRezone[[#This Row],[Total acres]]*TblRezone[[#This Row],[Plat/acre]]</f>
        <v>0</v>
      </c>
      <c r="Z85" s="215"/>
      <c r="AA85" s="94">
        <f ca="1">(250+0.6*(TblRezone[[#This Row],[Land]]-250))</f>
        <v>166</v>
      </c>
      <c r="AB85" s="215"/>
      <c r="AC85" s="157">
        <f ca="1">TblConstr[[#This Row],[Facs DB]]</f>
        <v>0</v>
      </c>
    </row>
    <row r="86" spans="1:29" x14ac:dyDescent="0.2">
      <c r="A86" s="214">
        <f ca="1">TblConstr[[#This Row],[Land]]</f>
        <v>110</v>
      </c>
      <c r="B86" s="216">
        <f ca="1">TblConstr[[#This Row],[Plain]]</f>
        <v>60</v>
      </c>
      <c r="C86" s="182">
        <f ca="1">TblConstr[[#This Row],[Forest]]</f>
        <v>0</v>
      </c>
      <c r="D86" s="359">
        <f ca="1">TblConstr[[#This Row],[Mountain]]</f>
        <v>0</v>
      </c>
      <c r="E86" s="363">
        <f ca="1">TblConstr[[#This Row],[Hill]]</f>
        <v>0</v>
      </c>
      <c r="F86" s="367">
        <f ca="1">TblConstr[[#This Row],[Swamp]]</f>
        <v>0</v>
      </c>
      <c r="G86" s="185">
        <f ca="1">TblConstr[[#This Row],[Cavern]]</f>
        <v>0</v>
      </c>
      <c r="H86" s="186">
        <f ca="1">TblConstr[[#This Row],[Water]]</f>
        <v>0</v>
      </c>
      <c r="I86" s="215"/>
      <c r="J86" s="175">
        <f t="shared" si="2"/>
        <v>83</v>
      </c>
      <c r="K86" s="236">
        <f ca="1">TblImps[[#This Row],[Real time]]</f>
        <v>46050.416666666468</v>
      </c>
      <c r="L86" s="179"/>
      <c r="M86" s="179"/>
      <c r="N86" s="179"/>
      <c r="O86" s="179"/>
      <c r="P86" s="179"/>
      <c r="Q86" s="179"/>
      <c r="R86" s="179"/>
      <c r="S86" s="94">
        <f>SUMIF(TblRezone[[#This Row],[Plains Rezone]:[Water Rezone]],"&gt;0")</f>
        <v>0</v>
      </c>
      <c r="T86" s="61" t="str">
        <f>IF(SUM(TblRezone[[#This Row],[Plains Rezone]:[Water Rezone]])=0,"Ok","Nope")</f>
        <v>Ok</v>
      </c>
      <c r="U86" s="215"/>
      <c r="V86" s="94">
        <f ca="1">TblProd[[#This Row],[Platinum]]</f>
        <v>181153</v>
      </c>
      <c r="W86" s="215"/>
      <c r="X86" s="94">
        <f ca="1">ROUND( (1-MIN(ROUND(facs_rezone_factor*TblRezone[[#This Row],[Facs]],4),facs_rezone_max) + tech_6_4*TblTech[[#This Row],[6-4]] + tech_10_2*TblTech[[#This Row],[10-2]] - IF(TblMagic[[#This Row],[Active Mechanical Genius]]&gt;0,mech_genius_bonus,0) + race_rezone_cost) * TblRezone[[#This Row],[Plat/acre*]],0)</f>
        <v>166</v>
      </c>
      <c r="Y86" s="94">
        <f ca="1">TblRezone[[#This Row],[Total acres]]*TblRezone[[#This Row],[Plat/acre]]</f>
        <v>0</v>
      </c>
      <c r="Z86" s="215"/>
      <c r="AA86" s="94">
        <f ca="1">(250+0.6*(TblRezone[[#This Row],[Land]]-250))</f>
        <v>166</v>
      </c>
      <c r="AB86" s="215"/>
      <c r="AC86" s="157">
        <f ca="1">TblConstr[[#This Row],[Facs DB]]</f>
        <v>0</v>
      </c>
    </row>
    <row r="87" spans="1:29" x14ac:dyDescent="0.2">
      <c r="A87" s="214">
        <f ca="1">TblConstr[[#This Row],[Land]]</f>
        <v>110</v>
      </c>
      <c r="B87" s="216">
        <f ca="1">TblConstr[[#This Row],[Plain]]</f>
        <v>60</v>
      </c>
      <c r="C87" s="182">
        <f ca="1">TblConstr[[#This Row],[Forest]]</f>
        <v>0</v>
      </c>
      <c r="D87" s="359">
        <f ca="1">TblConstr[[#This Row],[Mountain]]</f>
        <v>0</v>
      </c>
      <c r="E87" s="363">
        <f ca="1">TblConstr[[#This Row],[Hill]]</f>
        <v>0</v>
      </c>
      <c r="F87" s="367">
        <f ca="1">TblConstr[[#This Row],[Swamp]]</f>
        <v>0</v>
      </c>
      <c r="G87" s="185">
        <f ca="1">TblConstr[[#This Row],[Cavern]]</f>
        <v>0</v>
      </c>
      <c r="H87" s="186">
        <f ca="1">TblConstr[[#This Row],[Water]]</f>
        <v>0</v>
      </c>
      <c r="I87" s="215"/>
      <c r="J87" s="175">
        <f t="shared" si="2"/>
        <v>84</v>
      </c>
      <c r="K87" s="236">
        <f ca="1">TblImps[[#This Row],[Real time]]</f>
        <v>46050.458333333132</v>
      </c>
      <c r="L87" s="179"/>
      <c r="M87" s="179"/>
      <c r="N87" s="179"/>
      <c r="O87" s="179"/>
      <c r="P87" s="179"/>
      <c r="Q87" s="179"/>
      <c r="R87" s="179"/>
      <c r="S87" s="94">
        <f>SUMIF(TblRezone[[#This Row],[Plains Rezone]:[Water Rezone]],"&gt;0")</f>
        <v>0</v>
      </c>
      <c r="T87" s="61" t="str">
        <f>IF(SUM(TblRezone[[#This Row],[Plains Rezone]:[Water Rezone]])=0,"Ok","Nope")</f>
        <v>Ok</v>
      </c>
      <c r="U87" s="215"/>
      <c r="V87" s="94">
        <f ca="1">TblProd[[#This Row],[Platinum]]</f>
        <v>182338</v>
      </c>
      <c r="W87" s="215"/>
      <c r="X87" s="94">
        <f ca="1">ROUND( (1-MIN(ROUND(facs_rezone_factor*TblRezone[[#This Row],[Facs]],4),facs_rezone_max) + tech_6_4*TblTech[[#This Row],[6-4]] + tech_10_2*TblTech[[#This Row],[10-2]] - IF(TblMagic[[#This Row],[Active Mechanical Genius]]&gt;0,mech_genius_bonus,0) + race_rezone_cost) * TblRezone[[#This Row],[Plat/acre*]],0)</f>
        <v>166</v>
      </c>
      <c r="Y87" s="94">
        <f ca="1">TblRezone[[#This Row],[Total acres]]*TblRezone[[#This Row],[Plat/acre]]</f>
        <v>0</v>
      </c>
      <c r="Z87" s="215"/>
      <c r="AA87" s="94">
        <f ca="1">(250+0.6*(TblRezone[[#This Row],[Land]]-250))</f>
        <v>166</v>
      </c>
      <c r="AB87" s="215"/>
      <c r="AC87" s="157">
        <f ca="1">TblConstr[[#This Row],[Facs DB]]</f>
        <v>0</v>
      </c>
    </row>
    <row r="88" spans="1:29" x14ac:dyDescent="0.2">
      <c r="A88" s="214">
        <f ca="1">TblConstr[[#This Row],[Land]]</f>
        <v>110</v>
      </c>
      <c r="B88" s="216">
        <f ca="1">TblConstr[[#This Row],[Plain]]</f>
        <v>60</v>
      </c>
      <c r="C88" s="182">
        <f ca="1">TblConstr[[#This Row],[Forest]]</f>
        <v>0</v>
      </c>
      <c r="D88" s="359">
        <f ca="1">TblConstr[[#This Row],[Mountain]]</f>
        <v>0</v>
      </c>
      <c r="E88" s="363">
        <f ca="1">TblConstr[[#This Row],[Hill]]</f>
        <v>0</v>
      </c>
      <c r="F88" s="367">
        <f ca="1">TblConstr[[#This Row],[Swamp]]</f>
        <v>0</v>
      </c>
      <c r="G88" s="185">
        <f ca="1">TblConstr[[#This Row],[Cavern]]</f>
        <v>0</v>
      </c>
      <c r="H88" s="186">
        <f ca="1">TblConstr[[#This Row],[Water]]</f>
        <v>0</v>
      </c>
      <c r="I88" s="215"/>
      <c r="J88" s="175">
        <f>J87+1</f>
        <v>85</v>
      </c>
      <c r="K88" s="236">
        <f ca="1">TblImps[[#This Row],[Real time]]</f>
        <v>46050.499999999796</v>
      </c>
      <c r="L88" s="158"/>
      <c r="M88" s="158"/>
      <c r="N88" s="179"/>
      <c r="O88" s="179"/>
      <c r="P88" s="179"/>
      <c r="Q88" s="179"/>
      <c r="R88" s="158"/>
      <c r="S88" s="94">
        <f>SUMIF(TblRezone[[#This Row],[Plains Rezone]:[Water Rezone]],"&gt;0")</f>
        <v>0</v>
      </c>
      <c r="T88" s="61" t="str">
        <f>IF(SUM(TblRezone[[#This Row],[Plains Rezone]:[Water Rezone]])=0,"Ok","Nope")</f>
        <v>Ok</v>
      </c>
      <c r="U88" s="215"/>
      <c r="V88" s="94">
        <f ca="1">TblProd[[#This Row],[Platinum]]</f>
        <v>183512</v>
      </c>
      <c r="W88" s="215"/>
      <c r="X88" s="94">
        <f ca="1">ROUND( (1-MIN(ROUND(facs_rezone_factor*TblRezone[[#This Row],[Facs]],4),facs_rezone_max) + tech_6_4*TblTech[[#This Row],[6-4]] + tech_10_2*TblTech[[#This Row],[10-2]] - IF(TblMagic[[#This Row],[Active Mechanical Genius]]&gt;0,mech_genius_bonus,0) + race_rezone_cost) * TblRezone[[#This Row],[Plat/acre*]],0)</f>
        <v>166</v>
      </c>
      <c r="Y88" s="94">
        <f ca="1">TblRezone[[#This Row],[Total acres]]*TblRezone[[#This Row],[Plat/acre]]</f>
        <v>0</v>
      </c>
      <c r="Z88" s="215"/>
      <c r="AA88" s="94">
        <f ca="1">(250+0.6*(TblRezone[[#This Row],[Land]]-250))</f>
        <v>166</v>
      </c>
      <c r="AB88" s="215"/>
      <c r="AC88" s="157">
        <f ca="1">TblConstr[[#This Row],[Facs DB]]</f>
        <v>0</v>
      </c>
    </row>
    <row r="89" spans="1:29" x14ac:dyDescent="0.2">
      <c r="A89" s="214">
        <f ca="1">TblConstr[[#This Row],[Land]]</f>
        <v>110</v>
      </c>
      <c r="B89" s="216">
        <f ca="1">TblConstr[[#This Row],[Plain]]</f>
        <v>60</v>
      </c>
      <c r="C89" s="182">
        <f ca="1">TblConstr[[#This Row],[Forest]]</f>
        <v>0</v>
      </c>
      <c r="D89" s="359">
        <f ca="1">TblConstr[[#This Row],[Mountain]]</f>
        <v>0</v>
      </c>
      <c r="E89" s="363">
        <f ca="1">TblConstr[[#This Row],[Hill]]</f>
        <v>0</v>
      </c>
      <c r="F89" s="367">
        <f ca="1">TblConstr[[#This Row],[Swamp]]</f>
        <v>0</v>
      </c>
      <c r="G89" s="185">
        <f ca="1">TblConstr[[#This Row],[Cavern]]</f>
        <v>0</v>
      </c>
      <c r="H89" s="186">
        <f ca="1">TblConstr[[#This Row],[Water]]</f>
        <v>0</v>
      </c>
      <c r="I89" s="215"/>
      <c r="J89" s="175">
        <f t="shared" ref="J89:J136" si="3">J88+1</f>
        <v>86</v>
      </c>
      <c r="K89" s="236">
        <f ca="1">TblImps[[#This Row],[Real time]]</f>
        <v>46050.541666666461</v>
      </c>
      <c r="L89" s="179"/>
      <c r="M89" s="179"/>
      <c r="N89" s="179"/>
      <c r="O89" s="179"/>
      <c r="P89" s="179"/>
      <c r="Q89" s="179"/>
      <c r="R89" s="179"/>
      <c r="S89" s="94">
        <f>SUMIF(TblRezone[[#This Row],[Plains Rezone]:[Water Rezone]],"&gt;0")</f>
        <v>0</v>
      </c>
      <c r="T89" s="61" t="str">
        <f>IF(SUM(TblRezone[[#This Row],[Plains Rezone]:[Water Rezone]])=0,"Ok","Nope")</f>
        <v>Ok</v>
      </c>
      <c r="U89" s="215"/>
      <c r="V89" s="94">
        <f ca="1">TblProd[[#This Row],[Platinum]]</f>
        <v>184675</v>
      </c>
      <c r="W89" s="215"/>
      <c r="X89" s="94">
        <f ca="1">ROUND( (1-MIN(ROUND(facs_rezone_factor*TblRezone[[#This Row],[Facs]],4),facs_rezone_max) + tech_6_4*TblTech[[#This Row],[6-4]] + tech_10_2*TblTech[[#This Row],[10-2]] - IF(TblMagic[[#This Row],[Active Mechanical Genius]]&gt;0,mech_genius_bonus,0) + race_rezone_cost) * TblRezone[[#This Row],[Plat/acre*]],0)</f>
        <v>166</v>
      </c>
      <c r="Y89" s="94">
        <f ca="1">TblRezone[[#This Row],[Total acres]]*TblRezone[[#This Row],[Plat/acre]]</f>
        <v>0</v>
      </c>
      <c r="Z89" s="215"/>
      <c r="AA89" s="94">
        <f ca="1">(250+0.6*(TblRezone[[#This Row],[Land]]-250))</f>
        <v>166</v>
      </c>
      <c r="AB89" s="215"/>
      <c r="AC89" s="157">
        <f ca="1">TblConstr[[#This Row],[Facs DB]]</f>
        <v>0</v>
      </c>
    </row>
    <row r="90" spans="1:29" x14ac:dyDescent="0.2">
      <c r="A90" s="214">
        <f ca="1">TblConstr[[#This Row],[Land]]</f>
        <v>110</v>
      </c>
      <c r="B90" s="216">
        <f ca="1">TblConstr[[#This Row],[Plain]]</f>
        <v>60</v>
      </c>
      <c r="C90" s="182">
        <f ca="1">TblConstr[[#This Row],[Forest]]</f>
        <v>0</v>
      </c>
      <c r="D90" s="359">
        <f ca="1">TblConstr[[#This Row],[Mountain]]</f>
        <v>0</v>
      </c>
      <c r="E90" s="363">
        <f ca="1">TblConstr[[#This Row],[Hill]]</f>
        <v>0</v>
      </c>
      <c r="F90" s="367">
        <f ca="1">TblConstr[[#This Row],[Swamp]]</f>
        <v>0</v>
      </c>
      <c r="G90" s="185">
        <f ca="1">TblConstr[[#This Row],[Cavern]]</f>
        <v>0</v>
      </c>
      <c r="H90" s="186">
        <f ca="1">TblConstr[[#This Row],[Water]]</f>
        <v>0</v>
      </c>
      <c r="I90" s="215"/>
      <c r="J90" s="175">
        <f t="shared" si="3"/>
        <v>87</v>
      </c>
      <c r="K90" s="236">
        <f ca="1">TblImps[[#This Row],[Real time]]</f>
        <v>46050.583333333125</v>
      </c>
      <c r="L90" s="179"/>
      <c r="M90" s="179"/>
      <c r="N90" s="179"/>
      <c r="O90" s="179"/>
      <c r="P90" s="179"/>
      <c r="Q90" s="179"/>
      <c r="R90" s="179"/>
      <c r="S90" s="94">
        <f>SUMIF(TblRezone[[#This Row],[Plains Rezone]:[Water Rezone]],"&gt;0")</f>
        <v>0</v>
      </c>
      <c r="T90" s="61" t="str">
        <f>IF(SUM(TblRezone[[#This Row],[Plains Rezone]:[Water Rezone]])=0,"Ok","Nope")</f>
        <v>Ok</v>
      </c>
      <c r="U90" s="215"/>
      <c r="V90" s="94">
        <f ca="1">TblProd[[#This Row],[Platinum]]</f>
        <v>185827</v>
      </c>
      <c r="W90" s="215"/>
      <c r="X90" s="94">
        <f ca="1">ROUND( (1-MIN(ROUND(facs_rezone_factor*TblRezone[[#This Row],[Facs]],4),facs_rezone_max) + tech_6_4*TblTech[[#This Row],[6-4]] + tech_10_2*TblTech[[#This Row],[10-2]] - IF(TblMagic[[#This Row],[Active Mechanical Genius]]&gt;0,mech_genius_bonus,0) + race_rezone_cost) * TblRezone[[#This Row],[Plat/acre*]],0)</f>
        <v>166</v>
      </c>
      <c r="Y90" s="94">
        <f ca="1">TblRezone[[#This Row],[Total acres]]*TblRezone[[#This Row],[Plat/acre]]</f>
        <v>0</v>
      </c>
      <c r="Z90" s="215"/>
      <c r="AA90" s="94">
        <f ca="1">(250+0.6*(TblRezone[[#This Row],[Land]]-250))</f>
        <v>166</v>
      </c>
      <c r="AB90" s="215"/>
      <c r="AC90" s="157">
        <f ca="1">TblConstr[[#This Row],[Facs DB]]</f>
        <v>0</v>
      </c>
    </row>
    <row r="91" spans="1:29" x14ac:dyDescent="0.2">
      <c r="A91" s="214">
        <f ca="1">TblConstr[[#This Row],[Land]]</f>
        <v>110</v>
      </c>
      <c r="B91" s="216">
        <f ca="1">TblConstr[[#This Row],[Plain]]</f>
        <v>60</v>
      </c>
      <c r="C91" s="182">
        <f ca="1">TblConstr[[#This Row],[Forest]]</f>
        <v>0</v>
      </c>
      <c r="D91" s="359">
        <f ca="1">TblConstr[[#This Row],[Mountain]]</f>
        <v>0</v>
      </c>
      <c r="E91" s="363">
        <f ca="1">TblConstr[[#This Row],[Hill]]</f>
        <v>0</v>
      </c>
      <c r="F91" s="367">
        <f ca="1">TblConstr[[#This Row],[Swamp]]</f>
        <v>0</v>
      </c>
      <c r="G91" s="185">
        <f ca="1">TblConstr[[#This Row],[Cavern]]</f>
        <v>0</v>
      </c>
      <c r="H91" s="186">
        <f ca="1">TblConstr[[#This Row],[Water]]</f>
        <v>0</v>
      </c>
      <c r="I91" s="215"/>
      <c r="J91" s="175">
        <f t="shared" si="3"/>
        <v>88</v>
      </c>
      <c r="K91" s="236">
        <f ca="1">TblImps[[#This Row],[Real time]]</f>
        <v>46050.624999999789</v>
      </c>
      <c r="L91" s="179"/>
      <c r="M91" s="179"/>
      <c r="N91" s="179"/>
      <c r="O91" s="179"/>
      <c r="P91" s="179"/>
      <c r="Q91" s="179"/>
      <c r="R91" s="179"/>
      <c r="S91" s="94">
        <f>SUMIF(TblRezone[[#This Row],[Plains Rezone]:[Water Rezone]],"&gt;0")</f>
        <v>0</v>
      </c>
      <c r="T91" s="61" t="str">
        <f>IF(SUM(TblRezone[[#This Row],[Plains Rezone]:[Water Rezone]])=0,"Ok","Nope")</f>
        <v>Ok</v>
      </c>
      <c r="U91" s="215"/>
      <c r="V91" s="94">
        <f ca="1">TblProd[[#This Row],[Platinum]]</f>
        <v>186969</v>
      </c>
      <c r="W91" s="215"/>
      <c r="X91" s="94">
        <f ca="1">ROUND( (1-MIN(ROUND(facs_rezone_factor*TblRezone[[#This Row],[Facs]],4),facs_rezone_max) + tech_6_4*TblTech[[#This Row],[6-4]] + tech_10_2*TblTech[[#This Row],[10-2]] - IF(TblMagic[[#This Row],[Active Mechanical Genius]]&gt;0,mech_genius_bonus,0) + race_rezone_cost) * TblRezone[[#This Row],[Plat/acre*]],0)</f>
        <v>166</v>
      </c>
      <c r="Y91" s="94">
        <f ca="1">TblRezone[[#This Row],[Total acres]]*TblRezone[[#This Row],[Plat/acre]]</f>
        <v>0</v>
      </c>
      <c r="Z91" s="215"/>
      <c r="AA91" s="94">
        <f ca="1">(250+0.6*(TblRezone[[#This Row],[Land]]-250))</f>
        <v>166</v>
      </c>
      <c r="AB91" s="215"/>
      <c r="AC91" s="157">
        <f ca="1">TblConstr[[#This Row],[Facs DB]]</f>
        <v>0</v>
      </c>
    </row>
    <row r="92" spans="1:29" x14ac:dyDescent="0.2">
      <c r="A92" s="214">
        <f ca="1">TblConstr[[#This Row],[Land]]</f>
        <v>110</v>
      </c>
      <c r="B92" s="216">
        <f ca="1">TblConstr[[#This Row],[Plain]]</f>
        <v>60</v>
      </c>
      <c r="C92" s="182">
        <f ca="1">TblConstr[[#This Row],[Forest]]</f>
        <v>0</v>
      </c>
      <c r="D92" s="359">
        <f ca="1">TblConstr[[#This Row],[Mountain]]</f>
        <v>0</v>
      </c>
      <c r="E92" s="363">
        <f ca="1">TblConstr[[#This Row],[Hill]]</f>
        <v>0</v>
      </c>
      <c r="F92" s="367">
        <f ca="1">TblConstr[[#This Row],[Swamp]]</f>
        <v>0</v>
      </c>
      <c r="G92" s="185">
        <f ca="1">TblConstr[[#This Row],[Cavern]]</f>
        <v>0</v>
      </c>
      <c r="H92" s="186">
        <f ca="1">TblConstr[[#This Row],[Water]]</f>
        <v>0</v>
      </c>
      <c r="I92" s="215"/>
      <c r="J92" s="175">
        <f t="shared" si="3"/>
        <v>89</v>
      </c>
      <c r="K92" s="236">
        <f ca="1">TblImps[[#This Row],[Real time]]</f>
        <v>46050.666666666453</v>
      </c>
      <c r="L92" s="179"/>
      <c r="M92" s="179"/>
      <c r="N92" s="179"/>
      <c r="O92" s="179"/>
      <c r="P92" s="179"/>
      <c r="Q92" s="179"/>
      <c r="R92" s="179"/>
      <c r="S92" s="94">
        <f>SUMIF(TblRezone[[#This Row],[Plains Rezone]:[Water Rezone]],"&gt;0")</f>
        <v>0</v>
      </c>
      <c r="T92" s="61" t="str">
        <f>IF(SUM(TblRezone[[#This Row],[Plains Rezone]:[Water Rezone]])=0,"Ok","Nope")</f>
        <v>Ok</v>
      </c>
      <c r="U92" s="215"/>
      <c r="V92" s="94">
        <f ca="1">TblProd[[#This Row],[Platinum]]</f>
        <v>188100</v>
      </c>
      <c r="W92" s="215"/>
      <c r="X92" s="94">
        <f ca="1">ROUND( (1-MIN(ROUND(facs_rezone_factor*TblRezone[[#This Row],[Facs]],4),facs_rezone_max) + tech_6_4*TblTech[[#This Row],[6-4]] + tech_10_2*TblTech[[#This Row],[10-2]] - IF(TblMagic[[#This Row],[Active Mechanical Genius]]&gt;0,mech_genius_bonus,0) + race_rezone_cost) * TblRezone[[#This Row],[Plat/acre*]],0)</f>
        <v>166</v>
      </c>
      <c r="Y92" s="94">
        <f ca="1">TblRezone[[#This Row],[Total acres]]*TblRezone[[#This Row],[Plat/acre]]</f>
        <v>0</v>
      </c>
      <c r="Z92" s="215"/>
      <c r="AA92" s="94">
        <f ca="1">(250+0.6*(TblRezone[[#This Row],[Land]]-250))</f>
        <v>166</v>
      </c>
      <c r="AB92" s="215"/>
      <c r="AC92" s="157">
        <f ca="1">TblConstr[[#This Row],[Facs DB]]</f>
        <v>0</v>
      </c>
    </row>
    <row r="93" spans="1:29" x14ac:dyDescent="0.2">
      <c r="A93" s="214">
        <f ca="1">TblConstr[[#This Row],[Land]]</f>
        <v>110</v>
      </c>
      <c r="B93" s="216">
        <f ca="1">TblConstr[[#This Row],[Plain]]</f>
        <v>60</v>
      </c>
      <c r="C93" s="182">
        <f ca="1">TblConstr[[#This Row],[Forest]]</f>
        <v>0</v>
      </c>
      <c r="D93" s="359">
        <f ca="1">TblConstr[[#This Row],[Mountain]]</f>
        <v>0</v>
      </c>
      <c r="E93" s="363">
        <f ca="1">TblConstr[[#This Row],[Hill]]</f>
        <v>0</v>
      </c>
      <c r="F93" s="367">
        <f ca="1">TblConstr[[#This Row],[Swamp]]</f>
        <v>0</v>
      </c>
      <c r="G93" s="185">
        <f ca="1">TblConstr[[#This Row],[Cavern]]</f>
        <v>0</v>
      </c>
      <c r="H93" s="186">
        <f ca="1">TblConstr[[#This Row],[Water]]</f>
        <v>0</v>
      </c>
      <c r="I93" s="215"/>
      <c r="J93" s="175">
        <f t="shared" si="3"/>
        <v>90</v>
      </c>
      <c r="K93" s="236">
        <f ca="1">TblImps[[#This Row],[Real time]]</f>
        <v>46050.708333333117</v>
      </c>
      <c r="L93" s="179"/>
      <c r="M93" s="179"/>
      <c r="N93" s="179"/>
      <c r="O93" s="179"/>
      <c r="P93" s="179"/>
      <c r="Q93" s="179"/>
      <c r="R93" s="179"/>
      <c r="S93" s="94">
        <f>SUMIF(TblRezone[[#This Row],[Plains Rezone]:[Water Rezone]],"&gt;0")</f>
        <v>0</v>
      </c>
      <c r="T93" s="61" t="str">
        <f>IF(SUM(TblRezone[[#This Row],[Plains Rezone]:[Water Rezone]])=0,"Ok","Nope")</f>
        <v>Ok</v>
      </c>
      <c r="U93" s="215"/>
      <c r="V93" s="94">
        <f ca="1">TblProd[[#This Row],[Platinum]]</f>
        <v>189220</v>
      </c>
      <c r="W93" s="215"/>
      <c r="X93" s="94">
        <f ca="1">ROUND( (1-MIN(ROUND(facs_rezone_factor*TblRezone[[#This Row],[Facs]],4),facs_rezone_max) + tech_6_4*TblTech[[#This Row],[6-4]] + tech_10_2*TblTech[[#This Row],[10-2]] - IF(TblMagic[[#This Row],[Active Mechanical Genius]]&gt;0,mech_genius_bonus,0) + race_rezone_cost) * TblRezone[[#This Row],[Plat/acre*]],0)</f>
        <v>166</v>
      </c>
      <c r="Y93" s="94">
        <f ca="1">TblRezone[[#This Row],[Total acres]]*TblRezone[[#This Row],[Plat/acre]]</f>
        <v>0</v>
      </c>
      <c r="Z93" s="215"/>
      <c r="AA93" s="94">
        <f ca="1">(250+0.6*(TblRezone[[#This Row],[Land]]-250))</f>
        <v>166</v>
      </c>
      <c r="AB93" s="215"/>
      <c r="AC93" s="157">
        <f ca="1">TblConstr[[#This Row],[Facs DB]]</f>
        <v>0</v>
      </c>
    </row>
    <row r="94" spans="1:29" x14ac:dyDescent="0.2">
      <c r="A94" s="214">
        <f ca="1">TblConstr[[#This Row],[Land]]</f>
        <v>110</v>
      </c>
      <c r="B94" s="216">
        <f ca="1">TblConstr[[#This Row],[Plain]]</f>
        <v>60</v>
      </c>
      <c r="C94" s="182">
        <f ca="1">TblConstr[[#This Row],[Forest]]</f>
        <v>0</v>
      </c>
      <c r="D94" s="359">
        <f ca="1">TblConstr[[#This Row],[Mountain]]</f>
        <v>0</v>
      </c>
      <c r="E94" s="363">
        <f ca="1">TblConstr[[#This Row],[Hill]]</f>
        <v>0</v>
      </c>
      <c r="F94" s="367">
        <f ca="1">TblConstr[[#This Row],[Swamp]]</f>
        <v>0</v>
      </c>
      <c r="G94" s="185">
        <f ca="1">TblConstr[[#This Row],[Cavern]]</f>
        <v>0</v>
      </c>
      <c r="H94" s="186">
        <f ca="1">TblConstr[[#This Row],[Water]]</f>
        <v>0</v>
      </c>
      <c r="I94" s="215"/>
      <c r="J94" s="175">
        <f t="shared" si="3"/>
        <v>91</v>
      </c>
      <c r="K94" s="236">
        <f ca="1">TblImps[[#This Row],[Real time]]</f>
        <v>46050.749999999782</v>
      </c>
      <c r="L94" s="179"/>
      <c r="M94" s="179"/>
      <c r="N94" s="179"/>
      <c r="O94" s="179"/>
      <c r="P94" s="179"/>
      <c r="Q94" s="179"/>
      <c r="R94" s="179"/>
      <c r="S94" s="94">
        <f>SUMIF(TblRezone[[#This Row],[Plains Rezone]:[Water Rezone]],"&gt;0")</f>
        <v>0</v>
      </c>
      <c r="T94" s="61" t="str">
        <f>IF(SUM(TblRezone[[#This Row],[Plains Rezone]:[Water Rezone]])=0,"Ok","Nope")</f>
        <v>Ok</v>
      </c>
      <c r="U94" s="215"/>
      <c r="V94" s="94">
        <f ca="1">TblProd[[#This Row],[Platinum]]</f>
        <v>190329</v>
      </c>
      <c r="W94" s="215"/>
      <c r="X94" s="94">
        <f ca="1">ROUND( (1-MIN(ROUND(facs_rezone_factor*TblRezone[[#This Row],[Facs]],4),facs_rezone_max) + tech_6_4*TblTech[[#This Row],[6-4]] + tech_10_2*TblTech[[#This Row],[10-2]] - IF(TblMagic[[#This Row],[Active Mechanical Genius]]&gt;0,mech_genius_bonus,0) + race_rezone_cost) * TblRezone[[#This Row],[Plat/acre*]],0)</f>
        <v>166</v>
      </c>
      <c r="Y94" s="94">
        <f ca="1">TblRezone[[#This Row],[Total acres]]*TblRezone[[#This Row],[Plat/acre]]</f>
        <v>0</v>
      </c>
      <c r="Z94" s="215"/>
      <c r="AA94" s="94">
        <f ca="1">(250+0.6*(TblRezone[[#This Row],[Land]]-250))</f>
        <v>166</v>
      </c>
      <c r="AB94" s="215"/>
      <c r="AC94" s="157">
        <f ca="1">TblConstr[[#This Row],[Facs DB]]</f>
        <v>0</v>
      </c>
    </row>
    <row r="95" spans="1:29" x14ac:dyDescent="0.2">
      <c r="A95" s="214">
        <f ca="1">TblConstr[[#This Row],[Land]]</f>
        <v>110</v>
      </c>
      <c r="B95" s="216">
        <f ca="1">TblConstr[[#This Row],[Plain]]</f>
        <v>60</v>
      </c>
      <c r="C95" s="182">
        <f ca="1">TblConstr[[#This Row],[Forest]]</f>
        <v>0</v>
      </c>
      <c r="D95" s="359">
        <f ca="1">TblConstr[[#This Row],[Mountain]]</f>
        <v>0</v>
      </c>
      <c r="E95" s="363">
        <f ca="1">TblConstr[[#This Row],[Hill]]</f>
        <v>0</v>
      </c>
      <c r="F95" s="367">
        <f ca="1">TblConstr[[#This Row],[Swamp]]</f>
        <v>0</v>
      </c>
      <c r="G95" s="185">
        <f ca="1">TblConstr[[#This Row],[Cavern]]</f>
        <v>0</v>
      </c>
      <c r="H95" s="186">
        <f ca="1">TblConstr[[#This Row],[Water]]</f>
        <v>0</v>
      </c>
      <c r="I95" s="215"/>
      <c r="J95" s="175">
        <f t="shared" si="3"/>
        <v>92</v>
      </c>
      <c r="K95" s="236">
        <f ca="1">TblImps[[#This Row],[Real time]]</f>
        <v>46050.791666666446</v>
      </c>
      <c r="L95" s="179"/>
      <c r="M95" s="179"/>
      <c r="N95" s="179"/>
      <c r="O95" s="179"/>
      <c r="P95" s="179"/>
      <c r="Q95" s="179"/>
      <c r="R95" s="179"/>
      <c r="S95" s="94">
        <f>SUMIF(TblRezone[[#This Row],[Plains Rezone]:[Water Rezone]],"&gt;0")</f>
        <v>0</v>
      </c>
      <c r="T95" s="61" t="str">
        <f>IF(SUM(TblRezone[[#This Row],[Plains Rezone]:[Water Rezone]])=0,"Ok","Nope")</f>
        <v>Ok</v>
      </c>
      <c r="U95" s="215"/>
      <c r="V95" s="94">
        <f ca="1">TblProd[[#This Row],[Platinum]]</f>
        <v>191427</v>
      </c>
      <c r="W95" s="215"/>
      <c r="X95" s="94">
        <f ca="1">ROUND( (1-MIN(ROUND(facs_rezone_factor*TblRezone[[#This Row],[Facs]],4),facs_rezone_max) + tech_6_4*TblTech[[#This Row],[6-4]] + tech_10_2*TblTech[[#This Row],[10-2]] - IF(TblMagic[[#This Row],[Active Mechanical Genius]]&gt;0,mech_genius_bonus,0) + race_rezone_cost) * TblRezone[[#This Row],[Plat/acre*]],0)</f>
        <v>166</v>
      </c>
      <c r="Y95" s="94">
        <f ca="1">TblRezone[[#This Row],[Total acres]]*TblRezone[[#This Row],[Plat/acre]]</f>
        <v>0</v>
      </c>
      <c r="Z95" s="215"/>
      <c r="AA95" s="94">
        <f ca="1">(250+0.6*(TblRezone[[#This Row],[Land]]-250))</f>
        <v>166</v>
      </c>
      <c r="AB95" s="215"/>
      <c r="AC95" s="157">
        <f ca="1">TblConstr[[#This Row],[Facs DB]]</f>
        <v>0</v>
      </c>
    </row>
    <row r="96" spans="1:29" x14ac:dyDescent="0.2">
      <c r="A96" s="214">
        <f ca="1">TblConstr[[#This Row],[Land]]</f>
        <v>110</v>
      </c>
      <c r="B96" s="216">
        <f ca="1">TblConstr[[#This Row],[Plain]]</f>
        <v>60</v>
      </c>
      <c r="C96" s="182">
        <f ca="1">TblConstr[[#This Row],[Forest]]</f>
        <v>0</v>
      </c>
      <c r="D96" s="359">
        <f ca="1">TblConstr[[#This Row],[Mountain]]</f>
        <v>0</v>
      </c>
      <c r="E96" s="363">
        <f ca="1">TblConstr[[#This Row],[Hill]]</f>
        <v>0</v>
      </c>
      <c r="F96" s="367">
        <f ca="1">TblConstr[[#This Row],[Swamp]]</f>
        <v>0</v>
      </c>
      <c r="G96" s="185">
        <f ca="1">TblConstr[[#This Row],[Cavern]]</f>
        <v>0</v>
      </c>
      <c r="H96" s="186">
        <f ca="1">TblConstr[[#This Row],[Water]]</f>
        <v>0</v>
      </c>
      <c r="I96" s="215"/>
      <c r="J96" s="175">
        <f t="shared" si="3"/>
        <v>93</v>
      </c>
      <c r="K96" s="236">
        <f ca="1">TblImps[[#This Row],[Real time]]</f>
        <v>46050.83333333311</v>
      </c>
      <c r="L96" s="179"/>
      <c r="M96" s="179"/>
      <c r="N96" s="179"/>
      <c r="O96" s="179"/>
      <c r="P96" s="179"/>
      <c r="Q96" s="179"/>
      <c r="R96" s="179"/>
      <c r="S96" s="94">
        <f>SUMIF(TblRezone[[#This Row],[Plains Rezone]:[Water Rezone]],"&gt;0")</f>
        <v>0</v>
      </c>
      <c r="T96" s="61" t="str">
        <f>IF(SUM(TblRezone[[#This Row],[Plains Rezone]:[Water Rezone]])=0,"Ok","Nope")</f>
        <v>Ok</v>
      </c>
      <c r="U96" s="215"/>
      <c r="V96" s="94">
        <f ca="1">TblProd[[#This Row],[Platinum]]</f>
        <v>192515</v>
      </c>
      <c r="W96" s="215"/>
      <c r="X96" s="94">
        <f ca="1">ROUND( (1-MIN(ROUND(facs_rezone_factor*TblRezone[[#This Row],[Facs]],4),facs_rezone_max) + tech_6_4*TblTech[[#This Row],[6-4]] + tech_10_2*TblTech[[#This Row],[10-2]] - IF(TblMagic[[#This Row],[Active Mechanical Genius]]&gt;0,mech_genius_bonus,0) + race_rezone_cost) * TblRezone[[#This Row],[Plat/acre*]],0)</f>
        <v>166</v>
      </c>
      <c r="Y96" s="94">
        <f ca="1">TblRezone[[#This Row],[Total acres]]*TblRezone[[#This Row],[Plat/acre]]</f>
        <v>0</v>
      </c>
      <c r="Z96" s="215"/>
      <c r="AA96" s="94">
        <f ca="1">(250+0.6*(TblRezone[[#This Row],[Land]]-250))</f>
        <v>166</v>
      </c>
      <c r="AB96" s="215"/>
      <c r="AC96" s="157">
        <f ca="1">TblConstr[[#This Row],[Facs DB]]</f>
        <v>0</v>
      </c>
    </row>
    <row r="97" spans="1:29" x14ac:dyDescent="0.2">
      <c r="A97" s="214">
        <f ca="1">TblConstr[[#This Row],[Land]]</f>
        <v>110</v>
      </c>
      <c r="B97" s="216">
        <f ca="1">TblConstr[[#This Row],[Plain]]</f>
        <v>60</v>
      </c>
      <c r="C97" s="182">
        <f ca="1">TblConstr[[#This Row],[Forest]]</f>
        <v>0</v>
      </c>
      <c r="D97" s="359">
        <f ca="1">TblConstr[[#This Row],[Mountain]]</f>
        <v>0</v>
      </c>
      <c r="E97" s="363">
        <f ca="1">TblConstr[[#This Row],[Hill]]</f>
        <v>0</v>
      </c>
      <c r="F97" s="367">
        <f ca="1">TblConstr[[#This Row],[Swamp]]</f>
        <v>0</v>
      </c>
      <c r="G97" s="185">
        <f ca="1">TblConstr[[#This Row],[Cavern]]</f>
        <v>0</v>
      </c>
      <c r="H97" s="186">
        <f ca="1">TblConstr[[#This Row],[Water]]</f>
        <v>0</v>
      </c>
      <c r="I97" s="215"/>
      <c r="J97" s="175">
        <f t="shared" si="3"/>
        <v>94</v>
      </c>
      <c r="K97" s="236">
        <f ca="1">TblImps[[#This Row],[Real time]]</f>
        <v>46050.874999999774</v>
      </c>
      <c r="L97" s="179"/>
      <c r="M97" s="179"/>
      <c r="N97" s="179"/>
      <c r="O97" s="179"/>
      <c r="P97" s="179"/>
      <c r="Q97" s="179"/>
      <c r="R97" s="179"/>
      <c r="S97" s="94">
        <f>SUMIF(TblRezone[[#This Row],[Plains Rezone]:[Water Rezone]],"&gt;0")</f>
        <v>0</v>
      </c>
      <c r="T97" s="61" t="str">
        <f>IF(SUM(TblRezone[[#This Row],[Plains Rezone]:[Water Rezone]])=0,"Ok","Nope")</f>
        <v>Ok</v>
      </c>
      <c r="U97" s="215"/>
      <c r="V97" s="94">
        <f ca="1">TblProd[[#This Row],[Platinum]]</f>
        <v>193592</v>
      </c>
      <c r="W97" s="215"/>
      <c r="X97" s="94">
        <f ca="1">ROUND( (1-MIN(ROUND(facs_rezone_factor*TblRezone[[#This Row],[Facs]],4),facs_rezone_max) + tech_6_4*TblTech[[#This Row],[6-4]] + tech_10_2*TblTech[[#This Row],[10-2]] - IF(TblMagic[[#This Row],[Active Mechanical Genius]]&gt;0,mech_genius_bonus,0) + race_rezone_cost) * TblRezone[[#This Row],[Plat/acre*]],0)</f>
        <v>166</v>
      </c>
      <c r="Y97" s="94">
        <f ca="1">TblRezone[[#This Row],[Total acres]]*TblRezone[[#This Row],[Plat/acre]]</f>
        <v>0</v>
      </c>
      <c r="Z97" s="215"/>
      <c r="AA97" s="94">
        <f ca="1">(250+0.6*(TblRezone[[#This Row],[Land]]-250))</f>
        <v>166</v>
      </c>
      <c r="AB97" s="215"/>
      <c r="AC97" s="157">
        <f ca="1">TblConstr[[#This Row],[Facs DB]]</f>
        <v>0</v>
      </c>
    </row>
    <row r="98" spans="1:29" x14ac:dyDescent="0.2">
      <c r="A98" s="214">
        <f ca="1">TblConstr[[#This Row],[Land]]</f>
        <v>110</v>
      </c>
      <c r="B98" s="216">
        <f ca="1">TblConstr[[#This Row],[Plain]]</f>
        <v>60</v>
      </c>
      <c r="C98" s="182">
        <f ca="1">TblConstr[[#This Row],[Forest]]</f>
        <v>0</v>
      </c>
      <c r="D98" s="359">
        <f ca="1">TblConstr[[#This Row],[Mountain]]</f>
        <v>0</v>
      </c>
      <c r="E98" s="363">
        <f ca="1">TblConstr[[#This Row],[Hill]]</f>
        <v>0</v>
      </c>
      <c r="F98" s="367">
        <f ca="1">TblConstr[[#This Row],[Swamp]]</f>
        <v>0</v>
      </c>
      <c r="G98" s="185">
        <f ca="1">TblConstr[[#This Row],[Cavern]]</f>
        <v>0</v>
      </c>
      <c r="H98" s="186">
        <f ca="1">TblConstr[[#This Row],[Water]]</f>
        <v>0</v>
      </c>
      <c r="I98" s="215"/>
      <c r="J98" s="175">
        <f t="shared" si="3"/>
        <v>95</v>
      </c>
      <c r="K98" s="236">
        <f ca="1">TblImps[[#This Row],[Real time]]</f>
        <v>46050.916666666439</v>
      </c>
      <c r="L98" s="179"/>
      <c r="M98" s="179"/>
      <c r="N98" s="179"/>
      <c r="O98" s="179"/>
      <c r="P98" s="179"/>
      <c r="Q98" s="179"/>
      <c r="R98" s="179"/>
      <c r="S98" s="94">
        <f>SUMIF(TblRezone[[#This Row],[Plains Rezone]:[Water Rezone]],"&gt;0")</f>
        <v>0</v>
      </c>
      <c r="T98" s="61" t="str">
        <f>IF(SUM(TblRezone[[#This Row],[Plains Rezone]:[Water Rezone]])=0,"Ok","Nope")</f>
        <v>Ok</v>
      </c>
      <c r="U98" s="215"/>
      <c r="V98" s="94">
        <f ca="1">TblProd[[#This Row],[Platinum]]</f>
        <v>194658</v>
      </c>
      <c r="W98" s="215"/>
      <c r="X98" s="94">
        <f ca="1">ROUND( (1-MIN(ROUND(facs_rezone_factor*TblRezone[[#This Row],[Facs]],4),facs_rezone_max) + tech_6_4*TblTech[[#This Row],[6-4]] + tech_10_2*TblTech[[#This Row],[10-2]] - IF(TblMagic[[#This Row],[Active Mechanical Genius]]&gt;0,mech_genius_bonus,0) + race_rezone_cost) * TblRezone[[#This Row],[Plat/acre*]],0)</f>
        <v>166</v>
      </c>
      <c r="Y98" s="94">
        <f ca="1">TblRezone[[#This Row],[Total acres]]*TblRezone[[#This Row],[Plat/acre]]</f>
        <v>0</v>
      </c>
      <c r="Z98" s="215"/>
      <c r="AA98" s="94">
        <f ca="1">(250+0.6*(TblRezone[[#This Row],[Land]]-250))</f>
        <v>166</v>
      </c>
      <c r="AB98" s="215"/>
      <c r="AC98" s="157">
        <f ca="1">TblConstr[[#This Row],[Facs DB]]</f>
        <v>0</v>
      </c>
    </row>
    <row r="99" spans="1:29" x14ac:dyDescent="0.2">
      <c r="A99" s="214">
        <f ca="1">TblConstr[[#This Row],[Land]]</f>
        <v>110</v>
      </c>
      <c r="B99" s="216">
        <f ca="1">TblConstr[[#This Row],[Plain]]</f>
        <v>60</v>
      </c>
      <c r="C99" s="182">
        <f ca="1">TblConstr[[#This Row],[Forest]]</f>
        <v>0</v>
      </c>
      <c r="D99" s="359">
        <f ca="1">TblConstr[[#This Row],[Mountain]]</f>
        <v>0</v>
      </c>
      <c r="E99" s="363">
        <f ca="1">TblConstr[[#This Row],[Hill]]</f>
        <v>0</v>
      </c>
      <c r="F99" s="367">
        <f ca="1">TblConstr[[#This Row],[Swamp]]</f>
        <v>0</v>
      </c>
      <c r="G99" s="185">
        <f ca="1">TblConstr[[#This Row],[Cavern]]</f>
        <v>0</v>
      </c>
      <c r="H99" s="186">
        <f ca="1">TblConstr[[#This Row],[Water]]</f>
        <v>0</v>
      </c>
      <c r="I99" s="215"/>
      <c r="J99" s="175">
        <f t="shared" si="3"/>
        <v>96</v>
      </c>
      <c r="K99" s="236">
        <f ca="1">TblImps[[#This Row],[Real time]]</f>
        <v>46050.958333333103</v>
      </c>
      <c r="L99" s="179"/>
      <c r="M99" s="179"/>
      <c r="N99" s="179"/>
      <c r="O99" s="179"/>
      <c r="P99" s="179"/>
      <c r="Q99" s="179"/>
      <c r="R99" s="179"/>
      <c r="S99" s="94">
        <f>SUMIF(TblRezone[[#This Row],[Plains Rezone]:[Water Rezone]],"&gt;0")</f>
        <v>0</v>
      </c>
      <c r="T99" s="61" t="str">
        <f>IF(SUM(TblRezone[[#This Row],[Plains Rezone]:[Water Rezone]])=0,"Ok","Nope")</f>
        <v>Ok</v>
      </c>
      <c r="U99" s="215"/>
      <c r="V99" s="94">
        <f ca="1">TblProd[[#This Row],[Platinum]]</f>
        <v>195713</v>
      </c>
      <c r="W99" s="215"/>
      <c r="X99" s="94">
        <f ca="1">ROUND( (1-MIN(ROUND(facs_rezone_factor*TblRezone[[#This Row],[Facs]],4),facs_rezone_max) + tech_6_4*TblTech[[#This Row],[6-4]] + tech_10_2*TblTech[[#This Row],[10-2]] - IF(TblMagic[[#This Row],[Active Mechanical Genius]]&gt;0,mech_genius_bonus,0) + race_rezone_cost) * TblRezone[[#This Row],[Plat/acre*]],0)</f>
        <v>166</v>
      </c>
      <c r="Y99" s="94">
        <f ca="1">TblRezone[[#This Row],[Total acres]]*TblRezone[[#This Row],[Plat/acre]]</f>
        <v>0</v>
      </c>
      <c r="Z99" s="215"/>
      <c r="AA99" s="94">
        <f ca="1">(250+0.6*(TblRezone[[#This Row],[Land]]-250))</f>
        <v>166</v>
      </c>
      <c r="AB99" s="215"/>
      <c r="AC99" s="157">
        <f ca="1">TblConstr[[#This Row],[Facs DB]]</f>
        <v>0</v>
      </c>
    </row>
    <row r="100" spans="1:29" x14ac:dyDescent="0.2">
      <c r="A100" s="214">
        <f ca="1">TblConstr[[#This Row],[Land]]</f>
        <v>110</v>
      </c>
      <c r="B100" s="216">
        <f ca="1">TblConstr[[#This Row],[Plain]]</f>
        <v>60</v>
      </c>
      <c r="C100" s="182">
        <f ca="1">TblConstr[[#This Row],[Forest]]</f>
        <v>0</v>
      </c>
      <c r="D100" s="359">
        <f ca="1">TblConstr[[#This Row],[Mountain]]</f>
        <v>0</v>
      </c>
      <c r="E100" s="363">
        <f ca="1">TblConstr[[#This Row],[Hill]]</f>
        <v>0</v>
      </c>
      <c r="F100" s="367">
        <f ca="1">TblConstr[[#This Row],[Swamp]]</f>
        <v>0</v>
      </c>
      <c r="G100" s="185">
        <f ca="1">TblConstr[[#This Row],[Cavern]]</f>
        <v>0</v>
      </c>
      <c r="H100" s="186">
        <f ca="1">TblConstr[[#This Row],[Water]]</f>
        <v>0</v>
      </c>
      <c r="I100" s="215"/>
      <c r="J100" s="175">
        <f t="shared" si="3"/>
        <v>97</v>
      </c>
      <c r="K100" s="236">
        <f ca="1">TblImps[[#This Row],[Real time]]</f>
        <v>46050.999999999767</v>
      </c>
      <c r="L100" s="179"/>
      <c r="M100" s="179"/>
      <c r="N100" s="179"/>
      <c r="O100" s="179"/>
      <c r="P100" s="179"/>
      <c r="Q100" s="179"/>
      <c r="R100" s="179"/>
      <c r="S100" s="94">
        <f>SUMIF(TblRezone[[#This Row],[Plains Rezone]:[Water Rezone]],"&gt;0")</f>
        <v>0</v>
      </c>
      <c r="T100" s="61" t="str">
        <f>IF(SUM(TblRezone[[#This Row],[Plains Rezone]:[Water Rezone]])=0,"Ok","Nope")</f>
        <v>Ok</v>
      </c>
      <c r="U100" s="215"/>
      <c r="V100" s="94">
        <f ca="1">TblProd[[#This Row],[Platinum]]</f>
        <v>196757</v>
      </c>
      <c r="W100" s="215"/>
      <c r="X100" s="94">
        <f ca="1">ROUND( (1-MIN(ROUND(facs_rezone_factor*TblRezone[[#This Row],[Facs]],4),facs_rezone_max) + tech_6_4*TblTech[[#This Row],[6-4]] + tech_10_2*TblTech[[#This Row],[10-2]] - IF(TblMagic[[#This Row],[Active Mechanical Genius]]&gt;0,mech_genius_bonus,0) + race_rezone_cost) * TblRezone[[#This Row],[Plat/acre*]],0)</f>
        <v>166</v>
      </c>
      <c r="Y100" s="94">
        <f ca="1">TblRezone[[#This Row],[Total acres]]*TblRezone[[#This Row],[Plat/acre]]</f>
        <v>0</v>
      </c>
      <c r="Z100" s="215"/>
      <c r="AA100" s="94">
        <f ca="1">(250+0.6*(TblRezone[[#This Row],[Land]]-250))</f>
        <v>166</v>
      </c>
      <c r="AB100" s="215"/>
      <c r="AC100" s="157">
        <f ca="1">TblConstr[[#This Row],[Facs DB]]</f>
        <v>0</v>
      </c>
    </row>
    <row r="101" spans="1:29" x14ac:dyDescent="0.2">
      <c r="A101" s="214">
        <f ca="1">TblConstr[[#This Row],[Land]]</f>
        <v>110</v>
      </c>
      <c r="B101" s="216">
        <f ca="1">TblConstr[[#This Row],[Plain]]</f>
        <v>60</v>
      </c>
      <c r="C101" s="182">
        <f ca="1">TblConstr[[#This Row],[Forest]]</f>
        <v>0</v>
      </c>
      <c r="D101" s="359">
        <f ca="1">TblConstr[[#This Row],[Mountain]]</f>
        <v>0</v>
      </c>
      <c r="E101" s="363">
        <f ca="1">TblConstr[[#This Row],[Hill]]</f>
        <v>0</v>
      </c>
      <c r="F101" s="367">
        <f ca="1">TblConstr[[#This Row],[Swamp]]</f>
        <v>0</v>
      </c>
      <c r="G101" s="185">
        <f ca="1">TblConstr[[#This Row],[Cavern]]</f>
        <v>0</v>
      </c>
      <c r="H101" s="186">
        <f ca="1">TblConstr[[#This Row],[Water]]</f>
        <v>0</v>
      </c>
      <c r="I101" s="215"/>
      <c r="J101" s="175">
        <f t="shared" si="3"/>
        <v>98</v>
      </c>
      <c r="K101" s="236">
        <f ca="1">TblImps[[#This Row],[Real time]]</f>
        <v>46051.041666666431</v>
      </c>
      <c r="L101" s="179"/>
      <c r="M101" s="179"/>
      <c r="N101" s="179"/>
      <c r="O101" s="179"/>
      <c r="P101" s="179"/>
      <c r="Q101" s="179"/>
      <c r="R101" s="179"/>
      <c r="S101" s="94">
        <f>SUMIF(TblRezone[[#This Row],[Plains Rezone]:[Water Rezone]],"&gt;0")</f>
        <v>0</v>
      </c>
      <c r="T101" s="61" t="str">
        <f>IF(SUM(TblRezone[[#This Row],[Plains Rezone]:[Water Rezone]])=0,"Ok","Nope")</f>
        <v>Ok</v>
      </c>
      <c r="U101" s="215"/>
      <c r="V101" s="94">
        <f ca="1">TblProd[[#This Row],[Platinum]]</f>
        <v>197791</v>
      </c>
      <c r="W101" s="215"/>
      <c r="X101" s="94">
        <f ca="1">ROUND( (1-MIN(ROUND(facs_rezone_factor*TblRezone[[#This Row],[Facs]],4),facs_rezone_max) + tech_6_4*TblTech[[#This Row],[6-4]] + tech_10_2*TblTech[[#This Row],[10-2]] - IF(TblMagic[[#This Row],[Active Mechanical Genius]]&gt;0,mech_genius_bonus,0) + race_rezone_cost) * TblRezone[[#This Row],[Plat/acre*]],0)</f>
        <v>166</v>
      </c>
      <c r="Y101" s="94">
        <f ca="1">TblRezone[[#This Row],[Total acres]]*TblRezone[[#This Row],[Plat/acre]]</f>
        <v>0</v>
      </c>
      <c r="Z101" s="215"/>
      <c r="AA101" s="94">
        <f ca="1">(250+0.6*(TblRezone[[#This Row],[Land]]-250))</f>
        <v>166</v>
      </c>
      <c r="AB101" s="215"/>
      <c r="AC101" s="157">
        <f ca="1">TblConstr[[#This Row],[Facs DB]]</f>
        <v>0</v>
      </c>
    </row>
    <row r="102" spans="1:29" x14ac:dyDescent="0.2">
      <c r="A102" s="214">
        <f ca="1">TblConstr[[#This Row],[Land]]</f>
        <v>110</v>
      </c>
      <c r="B102" s="216">
        <f ca="1">TblConstr[[#This Row],[Plain]]</f>
        <v>60</v>
      </c>
      <c r="C102" s="182">
        <f ca="1">TblConstr[[#This Row],[Forest]]</f>
        <v>0</v>
      </c>
      <c r="D102" s="359">
        <f ca="1">TblConstr[[#This Row],[Mountain]]</f>
        <v>0</v>
      </c>
      <c r="E102" s="363">
        <f ca="1">TblConstr[[#This Row],[Hill]]</f>
        <v>0</v>
      </c>
      <c r="F102" s="367">
        <f ca="1">TblConstr[[#This Row],[Swamp]]</f>
        <v>0</v>
      </c>
      <c r="G102" s="185">
        <f ca="1">TblConstr[[#This Row],[Cavern]]</f>
        <v>0</v>
      </c>
      <c r="H102" s="186">
        <f ca="1">TblConstr[[#This Row],[Water]]</f>
        <v>0</v>
      </c>
      <c r="I102" s="215"/>
      <c r="J102" s="175">
        <f t="shared" si="3"/>
        <v>99</v>
      </c>
      <c r="K102" s="236">
        <f ca="1">TblImps[[#This Row],[Real time]]</f>
        <v>46051.083333333096</v>
      </c>
      <c r="L102" s="179"/>
      <c r="M102" s="179"/>
      <c r="N102" s="179"/>
      <c r="O102" s="179"/>
      <c r="P102" s="179"/>
      <c r="Q102" s="179"/>
      <c r="R102" s="179"/>
      <c r="S102" s="94">
        <f>SUMIF(TblRezone[[#This Row],[Plains Rezone]:[Water Rezone]],"&gt;0")</f>
        <v>0</v>
      </c>
      <c r="T102" s="61" t="str">
        <f>IF(SUM(TblRezone[[#This Row],[Plains Rezone]:[Water Rezone]])=0,"Ok","Nope")</f>
        <v>Ok</v>
      </c>
      <c r="U102" s="215"/>
      <c r="V102" s="94">
        <f ca="1">TblProd[[#This Row],[Platinum]]</f>
        <v>198814</v>
      </c>
      <c r="W102" s="215"/>
      <c r="X102" s="94">
        <f ca="1">ROUND( (1-MIN(ROUND(facs_rezone_factor*TblRezone[[#This Row],[Facs]],4),facs_rezone_max) + tech_6_4*TblTech[[#This Row],[6-4]] + tech_10_2*TblTech[[#This Row],[10-2]] - IF(TblMagic[[#This Row],[Active Mechanical Genius]]&gt;0,mech_genius_bonus,0) + race_rezone_cost) * TblRezone[[#This Row],[Plat/acre*]],0)</f>
        <v>166</v>
      </c>
      <c r="Y102" s="94">
        <f ca="1">TblRezone[[#This Row],[Total acres]]*TblRezone[[#This Row],[Plat/acre]]</f>
        <v>0</v>
      </c>
      <c r="Z102" s="215"/>
      <c r="AA102" s="94">
        <f ca="1">(250+0.6*(TblRezone[[#This Row],[Land]]-250))</f>
        <v>166</v>
      </c>
      <c r="AB102" s="215"/>
      <c r="AC102" s="157">
        <f ca="1">TblConstr[[#This Row],[Facs DB]]</f>
        <v>0</v>
      </c>
    </row>
    <row r="103" spans="1:29" x14ac:dyDescent="0.2">
      <c r="A103" s="214">
        <f ca="1">TblConstr[[#This Row],[Land]]</f>
        <v>110</v>
      </c>
      <c r="B103" s="216">
        <f ca="1">TblConstr[[#This Row],[Plain]]</f>
        <v>60</v>
      </c>
      <c r="C103" s="182">
        <f ca="1">TblConstr[[#This Row],[Forest]]</f>
        <v>0</v>
      </c>
      <c r="D103" s="359">
        <f ca="1">TblConstr[[#This Row],[Mountain]]</f>
        <v>0</v>
      </c>
      <c r="E103" s="363">
        <f ca="1">TblConstr[[#This Row],[Hill]]</f>
        <v>0</v>
      </c>
      <c r="F103" s="367">
        <f ca="1">TblConstr[[#This Row],[Swamp]]</f>
        <v>0</v>
      </c>
      <c r="G103" s="185">
        <f ca="1">TblConstr[[#This Row],[Cavern]]</f>
        <v>0</v>
      </c>
      <c r="H103" s="186">
        <f ca="1">TblConstr[[#This Row],[Water]]</f>
        <v>0</v>
      </c>
      <c r="I103" s="215"/>
      <c r="J103" s="175">
        <f t="shared" si="3"/>
        <v>100</v>
      </c>
      <c r="K103" s="236">
        <f ca="1">TblImps[[#This Row],[Real time]]</f>
        <v>46051.12499999976</v>
      </c>
      <c r="L103" s="179"/>
      <c r="M103" s="179"/>
      <c r="N103" s="179"/>
      <c r="O103" s="179"/>
      <c r="P103" s="179"/>
      <c r="Q103" s="179"/>
      <c r="R103" s="179"/>
      <c r="S103" s="94">
        <f>SUMIF(TblRezone[[#This Row],[Plains Rezone]:[Water Rezone]],"&gt;0")</f>
        <v>0</v>
      </c>
      <c r="T103" s="61" t="str">
        <f>IF(SUM(TblRezone[[#This Row],[Plains Rezone]:[Water Rezone]])=0,"Ok","Nope")</f>
        <v>Ok</v>
      </c>
      <c r="U103" s="215"/>
      <c r="V103" s="94">
        <f ca="1">TblProd[[#This Row],[Platinum]]</f>
        <v>199826</v>
      </c>
      <c r="W103" s="215"/>
      <c r="X103" s="94">
        <f ca="1">ROUND( (1-MIN(ROUND(facs_rezone_factor*TblRezone[[#This Row],[Facs]],4),facs_rezone_max) + tech_6_4*TblTech[[#This Row],[6-4]] + tech_10_2*TblTech[[#This Row],[10-2]] - IF(TblMagic[[#This Row],[Active Mechanical Genius]]&gt;0,mech_genius_bonus,0) + race_rezone_cost) * TblRezone[[#This Row],[Plat/acre*]],0)</f>
        <v>166</v>
      </c>
      <c r="Y103" s="94">
        <f ca="1">TblRezone[[#This Row],[Total acres]]*TblRezone[[#This Row],[Plat/acre]]</f>
        <v>0</v>
      </c>
      <c r="Z103" s="215"/>
      <c r="AA103" s="94">
        <f ca="1">(250+0.6*(TblRezone[[#This Row],[Land]]-250))</f>
        <v>166</v>
      </c>
      <c r="AB103" s="215"/>
      <c r="AC103" s="157">
        <f ca="1">TblConstr[[#This Row],[Facs DB]]</f>
        <v>0</v>
      </c>
    </row>
    <row r="104" spans="1:29" x14ac:dyDescent="0.2">
      <c r="A104" s="214">
        <f ca="1">TblConstr[[#This Row],[Land]]</f>
        <v>110</v>
      </c>
      <c r="B104" s="216">
        <f ca="1">TblConstr[[#This Row],[Plain]]</f>
        <v>60</v>
      </c>
      <c r="C104" s="182">
        <f ca="1">TblConstr[[#This Row],[Forest]]</f>
        <v>0</v>
      </c>
      <c r="D104" s="359">
        <f ca="1">TblConstr[[#This Row],[Mountain]]</f>
        <v>0</v>
      </c>
      <c r="E104" s="363">
        <f ca="1">TblConstr[[#This Row],[Hill]]</f>
        <v>0</v>
      </c>
      <c r="F104" s="367">
        <f ca="1">TblConstr[[#This Row],[Swamp]]</f>
        <v>0</v>
      </c>
      <c r="G104" s="185">
        <f ca="1">TblConstr[[#This Row],[Cavern]]</f>
        <v>0</v>
      </c>
      <c r="H104" s="186">
        <f ca="1">TblConstr[[#This Row],[Water]]</f>
        <v>0</v>
      </c>
      <c r="I104" s="215"/>
      <c r="J104" s="175">
        <f t="shared" si="3"/>
        <v>101</v>
      </c>
      <c r="K104" s="236">
        <f ca="1">TblImps[[#This Row],[Real time]]</f>
        <v>46051.166666666424</v>
      </c>
      <c r="L104" s="179"/>
      <c r="M104" s="179"/>
      <c r="N104" s="179"/>
      <c r="O104" s="179"/>
      <c r="P104" s="179"/>
      <c r="Q104" s="179"/>
      <c r="R104" s="179"/>
      <c r="S104" s="94">
        <f>SUMIF(TblRezone[[#This Row],[Plains Rezone]:[Water Rezone]],"&gt;0")</f>
        <v>0</v>
      </c>
      <c r="T104" s="61" t="str">
        <f>IF(SUM(TblRezone[[#This Row],[Plains Rezone]:[Water Rezone]])=0,"Ok","Nope")</f>
        <v>Ok</v>
      </c>
      <c r="U104" s="215"/>
      <c r="V104" s="94">
        <f ca="1">TblProd[[#This Row],[Platinum]]</f>
        <v>200827</v>
      </c>
      <c r="W104" s="215"/>
      <c r="X104" s="94">
        <f ca="1">ROUND( (1-MIN(ROUND(facs_rezone_factor*TblRezone[[#This Row],[Facs]],4),facs_rezone_max) + tech_6_4*TblTech[[#This Row],[6-4]] + tech_10_2*TblTech[[#This Row],[10-2]] - IF(TblMagic[[#This Row],[Active Mechanical Genius]]&gt;0,mech_genius_bonus,0) + race_rezone_cost) * TblRezone[[#This Row],[Plat/acre*]],0)</f>
        <v>166</v>
      </c>
      <c r="Y104" s="94">
        <f ca="1">TblRezone[[#This Row],[Total acres]]*TblRezone[[#This Row],[Plat/acre]]</f>
        <v>0</v>
      </c>
      <c r="Z104" s="215"/>
      <c r="AA104" s="94">
        <f ca="1">(250+0.6*(TblRezone[[#This Row],[Land]]-250))</f>
        <v>166</v>
      </c>
      <c r="AB104" s="215"/>
      <c r="AC104" s="157">
        <f ca="1">TblConstr[[#This Row],[Facs DB]]</f>
        <v>0</v>
      </c>
    </row>
    <row r="105" spans="1:29" x14ac:dyDescent="0.2">
      <c r="A105" s="214">
        <f ca="1">TblConstr[[#This Row],[Land]]</f>
        <v>110</v>
      </c>
      <c r="B105" s="216">
        <f ca="1">TblConstr[[#This Row],[Plain]]</f>
        <v>60</v>
      </c>
      <c r="C105" s="182">
        <f ca="1">TblConstr[[#This Row],[Forest]]</f>
        <v>0</v>
      </c>
      <c r="D105" s="359">
        <f ca="1">TblConstr[[#This Row],[Mountain]]</f>
        <v>0</v>
      </c>
      <c r="E105" s="363">
        <f ca="1">TblConstr[[#This Row],[Hill]]</f>
        <v>0</v>
      </c>
      <c r="F105" s="367">
        <f ca="1">TblConstr[[#This Row],[Swamp]]</f>
        <v>0</v>
      </c>
      <c r="G105" s="185">
        <f ca="1">TblConstr[[#This Row],[Cavern]]</f>
        <v>0</v>
      </c>
      <c r="H105" s="186">
        <f ca="1">TblConstr[[#This Row],[Water]]</f>
        <v>0</v>
      </c>
      <c r="I105" s="215"/>
      <c r="J105" s="175">
        <f t="shared" si="3"/>
        <v>102</v>
      </c>
      <c r="K105" s="236">
        <f ca="1">TblImps[[#This Row],[Real time]]</f>
        <v>46051.208333333088</v>
      </c>
      <c r="L105" s="179"/>
      <c r="M105" s="179"/>
      <c r="N105" s="179"/>
      <c r="O105" s="179"/>
      <c r="P105" s="179"/>
      <c r="Q105" s="179"/>
      <c r="R105" s="179"/>
      <c r="S105" s="94">
        <f>SUMIF(TblRezone[[#This Row],[Plains Rezone]:[Water Rezone]],"&gt;0")</f>
        <v>0</v>
      </c>
      <c r="T105" s="61" t="str">
        <f>IF(SUM(TblRezone[[#This Row],[Plains Rezone]:[Water Rezone]])=0,"Ok","Nope")</f>
        <v>Ok</v>
      </c>
      <c r="U105" s="215"/>
      <c r="V105" s="94">
        <f ca="1">TblProd[[#This Row],[Platinum]]</f>
        <v>201817</v>
      </c>
      <c r="W105" s="215"/>
      <c r="X105" s="94">
        <f ca="1">ROUND( (1-MIN(ROUND(facs_rezone_factor*TblRezone[[#This Row],[Facs]],4),facs_rezone_max) + tech_6_4*TblTech[[#This Row],[6-4]] + tech_10_2*TblTech[[#This Row],[10-2]] - IF(TblMagic[[#This Row],[Active Mechanical Genius]]&gt;0,mech_genius_bonus,0) + race_rezone_cost) * TblRezone[[#This Row],[Plat/acre*]],0)</f>
        <v>166</v>
      </c>
      <c r="Y105" s="94">
        <f ca="1">TblRezone[[#This Row],[Total acres]]*TblRezone[[#This Row],[Plat/acre]]</f>
        <v>0</v>
      </c>
      <c r="Z105" s="215"/>
      <c r="AA105" s="94">
        <f ca="1">(250+0.6*(TblRezone[[#This Row],[Land]]-250))</f>
        <v>166</v>
      </c>
      <c r="AB105" s="215"/>
      <c r="AC105" s="157">
        <f ca="1">TblConstr[[#This Row],[Facs DB]]</f>
        <v>0</v>
      </c>
    </row>
    <row r="106" spans="1:29" x14ac:dyDescent="0.2">
      <c r="A106" s="214">
        <f ca="1">TblConstr[[#This Row],[Land]]</f>
        <v>110</v>
      </c>
      <c r="B106" s="216">
        <f ca="1">TblConstr[[#This Row],[Plain]]</f>
        <v>60</v>
      </c>
      <c r="C106" s="182">
        <f ca="1">TblConstr[[#This Row],[Forest]]</f>
        <v>0</v>
      </c>
      <c r="D106" s="359">
        <f ca="1">TblConstr[[#This Row],[Mountain]]</f>
        <v>0</v>
      </c>
      <c r="E106" s="363">
        <f ca="1">TblConstr[[#This Row],[Hill]]</f>
        <v>0</v>
      </c>
      <c r="F106" s="367">
        <f ca="1">TblConstr[[#This Row],[Swamp]]</f>
        <v>0</v>
      </c>
      <c r="G106" s="185">
        <f ca="1">TblConstr[[#This Row],[Cavern]]</f>
        <v>0</v>
      </c>
      <c r="H106" s="186">
        <f ca="1">TblConstr[[#This Row],[Water]]</f>
        <v>0</v>
      </c>
      <c r="I106" s="215"/>
      <c r="J106" s="175">
        <f t="shared" si="3"/>
        <v>103</v>
      </c>
      <c r="K106" s="236">
        <f ca="1">TblImps[[#This Row],[Real time]]</f>
        <v>46051.249999999753</v>
      </c>
      <c r="L106" s="179"/>
      <c r="M106" s="179"/>
      <c r="N106" s="179"/>
      <c r="O106" s="179"/>
      <c r="P106" s="179"/>
      <c r="Q106" s="179"/>
      <c r="R106" s="179"/>
      <c r="S106" s="94">
        <f>SUMIF(TblRezone[[#This Row],[Plains Rezone]:[Water Rezone]],"&gt;0")</f>
        <v>0</v>
      </c>
      <c r="T106" s="61" t="str">
        <f>IF(SUM(TblRezone[[#This Row],[Plains Rezone]:[Water Rezone]])=0,"Ok","Nope")</f>
        <v>Ok</v>
      </c>
      <c r="U106" s="215"/>
      <c r="V106" s="94">
        <f ca="1">TblProd[[#This Row],[Platinum]]</f>
        <v>202797</v>
      </c>
      <c r="W106" s="215"/>
      <c r="X106" s="94">
        <f ca="1">ROUND( (1-MIN(ROUND(facs_rezone_factor*TblRezone[[#This Row],[Facs]],4),facs_rezone_max) + tech_6_4*TblTech[[#This Row],[6-4]] + tech_10_2*TblTech[[#This Row],[10-2]] - IF(TblMagic[[#This Row],[Active Mechanical Genius]]&gt;0,mech_genius_bonus,0) + race_rezone_cost) * TblRezone[[#This Row],[Plat/acre*]],0)</f>
        <v>166</v>
      </c>
      <c r="Y106" s="94">
        <f ca="1">TblRezone[[#This Row],[Total acres]]*TblRezone[[#This Row],[Plat/acre]]</f>
        <v>0</v>
      </c>
      <c r="Z106" s="215"/>
      <c r="AA106" s="94">
        <f ca="1">(250+0.6*(TblRezone[[#This Row],[Land]]-250))</f>
        <v>166</v>
      </c>
      <c r="AB106" s="215"/>
      <c r="AC106" s="157">
        <f ca="1">TblConstr[[#This Row],[Facs DB]]</f>
        <v>0</v>
      </c>
    </row>
    <row r="107" spans="1:29" x14ac:dyDescent="0.2">
      <c r="A107" s="214">
        <f ca="1">TblConstr[[#This Row],[Land]]</f>
        <v>110</v>
      </c>
      <c r="B107" s="216">
        <f ca="1">TblConstr[[#This Row],[Plain]]</f>
        <v>60</v>
      </c>
      <c r="C107" s="182">
        <f ca="1">TblConstr[[#This Row],[Forest]]</f>
        <v>0</v>
      </c>
      <c r="D107" s="359">
        <f ca="1">TblConstr[[#This Row],[Mountain]]</f>
        <v>0</v>
      </c>
      <c r="E107" s="363">
        <f ca="1">TblConstr[[#This Row],[Hill]]</f>
        <v>0</v>
      </c>
      <c r="F107" s="367">
        <f ca="1">TblConstr[[#This Row],[Swamp]]</f>
        <v>0</v>
      </c>
      <c r="G107" s="185">
        <f ca="1">TblConstr[[#This Row],[Cavern]]</f>
        <v>0</v>
      </c>
      <c r="H107" s="186">
        <f ca="1">TblConstr[[#This Row],[Water]]</f>
        <v>0</v>
      </c>
      <c r="I107" s="215"/>
      <c r="J107" s="175">
        <f t="shared" si="3"/>
        <v>104</v>
      </c>
      <c r="K107" s="236">
        <f ca="1">TblImps[[#This Row],[Real time]]</f>
        <v>46051.291666666417</v>
      </c>
      <c r="L107" s="179"/>
      <c r="M107" s="179"/>
      <c r="N107" s="179"/>
      <c r="O107" s="179"/>
      <c r="P107" s="179"/>
      <c r="Q107" s="179"/>
      <c r="R107" s="179"/>
      <c r="S107" s="94">
        <f>SUMIF(TblRezone[[#This Row],[Plains Rezone]:[Water Rezone]],"&gt;0")</f>
        <v>0</v>
      </c>
      <c r="T107" s="61" t="str">
        <f>IF(SUM(TblRezone[[#This Row],[Plains Rezone]:[Water Rezone]])=0,"Ok","Nope")</f>
        <v>Ok</v>
      </c>
      <c r="U107" s="215"/>
      <c r="V107" s="94">
        <f ca="1">TblProd[[#This Row],[Platinum]]</f>
        <v>203766</v>
      </c>
      <c r="W107" s="215"/>
      <c r="X107" s="94">
        <f ca="1">ROUND( (1-MIN(ROUND(facs_rezone_factor*TblRezone[[#This Row],[Facs]],4),facs_rezone_max) + tech_6_4*TblTech[[#This Row],[6-4]] + tech_10_2*TblTech[[#This Row],[10-2]] - IF(TblMagic[[#This Row],[Active Mechanical Genius]]&gt;0,mech_genius_bonus,0) + race_rezone_cost) * TblRezone[[#This Row],[Plat/acre*]],0)</f>
        <v>166</v>
      </c>
      <c r="Y107" s="94">
        <f ca="1">TblRezone[[#This Row],[Total acres]]*TblRezone[[#This Row],[Plat/acre]]</f>
        <v>0</v>
      </c>
      <c r="Z107" s="215"/>
      <c r="AA107" s="94">
        <f ca="1">(250+0.6*(TblRezone[[#This Row],[Land]]-250))</f>
        <v>166</v>
      </c>
      <c r="AB107" s="215"/>
      <c r="AC107" s="157">
        <f ca="1">TblConstr[[#This Row],[Facs DB]]</f>
        <v>0</v>
      </c>
    </row>
    <row r="108" spans="1:29" x14ac:dyDescent="0.2">
      <c r="A108" s="214">
        <f ca="1">TblConstr[[#This Row],[Land]]</f>
        <v>110</v>
      </c>
      <c r="B108" s="216">
        <f ca="1">TblConstr[[#This Row],[Plain]]</f>
        <v>60</v>
      </c>
      <c r="C108" s="182">
        <f ca="1">TblConstr[[#This Row],[Forest]]</f>
        <v>0</v>
      </c>
      <c r="D108" s="359">
        <f ca="1">TblConstr[[#This Row],[Mountain]]</f>
        <v>0</v>
      </c>
      <c r="E108" s="363">
        <f ca="1">TblConstr[[#This Row],[Hill]]</f>
        <v>0</v>
      </c>
      <c r="F108" s="367">
        <f ca="1">TblConstr[[#This Row],[Swamp]]</f>
        <v>0</v>
      </c>
      <c r="G108" s="185">
        <f ca="1">TblConstr[[#This Row],[Cavern]]</f>
        <v>0</v>
      </c>
      <c r="H108" s="186">
        <f ca="1">TblConstr[[#This Row],[Water]]</f>
        <v>0</v>
      </c>
      <c r="I108" s="215"/>
      <c r="J108" s="175">
        <f t="shared" si="3"/>
        <v>105</v>
      </c>
      <c r="K108" s="236">
        <f ca="1">TblImps[[#This Row],[Real time]]</f>
        <v>46051.333333333081</v>
      </c>
      <c r="L108" s="179"/>
      <c r="M108" s="179"/>
      <c r="N108" s="179"/>
      <c r="O108" s="179"/>
      <c r="P108" s="179"/>
      <c r="Q108" s="179"/>
      <c r="R108" s="179"/>
      <c r="S108" s="94">
        <f>SUMIF(TblRezone[[#This Row],[Plains Rezone]:[Water Rezone]],"&gt;0")</f>
        <v>0</v>
      </c>
      <c r="T108" s="61" t="str">
        <f>IF(SUM(TblRezone[[#This Row],[Plains Rezone]:[Water Rezone]])=0,"Ok","Nope")</f>
        <v>Ok</v>
      </c>
      <c r="U108" s="215"/>
      <c r="V108" s="94">
        <f ca="1">TblProd[[#This Row],[Platinum]]</f>
        <v>204724</v>
      </c>
      <c r="W108" s="215"/>
      <c r="X108" s="94">
        <f ca="1">ROUND( (1-MIN(ROUND(facs_rezone_factor*TblRezone[[#This Row],[Facs]],4),facs_rezone_max) + tech_6_4*TblTech[[#This Row],[6-4]] + tech_10_2*TblTech[[#This Row],[10-2]] - IF(TblMagic[[#This Row],[Active Mechanical Genius]]&gt;0,mech_genius_bonus,0) + race_rezone_cost) * TblRezone[[#This Row],[Plat/acre*]],0)</f>
        <v>166</v>
      </c>
      <c r="Y108" s="94">
        <f ca="1">TblRezone[[#This Row],[Total acres]]*TblRezone[[#This Row],[Plat/acre]]</f>
        <v>0</v>
      </c>
      <c r="Z108" s="215"/>
      <c r="AA108" s="94">
        <f ca="1">(250+0.6*(TblRezone[[#This Row],[Land]]-250))</f>
        <v>166</v>
      </c>
      <c r="AB108" s="215"/>
      <c r="AC108" s="157">
        <f ca="1">TblConstr[[#This Row],[Facs DB]]</f>
        <v>0</v>
      </c>
    </row>
    <row r="109" spans="1:29" x14ac:dyDescent="0.2">
      <c r="A109" s="214">
        <f ca="1">TblConstr[[#This Row],[Land]]</f>
        <v>110</v>
      </c>
      <c r="B109" s="216">
        <f ca="1">TblConstr[[#This Row],[Plain]]</f>
        <v>60</v>
      </c>
      <c r="C109" s="182">
        <f ca="1">TblConstr[[#This Row],[Forest]]</f>
        <v>0</v>
      </c>
      <c r="D109" s="359">
        <f ca="1">TblConstr[[#This Row],[Mountain]]</f>
        <v>0</v>
      </c>
      <c r="E109" s="363">
        <f ca="1">TblConstr[[#This Row],[Hill]]</f>
        <v>0</v>
      </c>
      <c r="F109" s="367">
        <f ca="1">TblConstr[[#This Row],[Swamp]]</f>
        <v>0</v>
      </c>
      <c r="G109" s="185">
        <f ca="1">TblConstr[[#This Row],[Cavern]]</f>
        <v>0</v>
      </c>
      <c r="H109" s="186">
        <f ca="1">TblConstr[[#This Row],[Water]]</f>
        <v>0</v>
      </c>
      <c r="I109" s="215"/>
      <c r="J109" s="175">
        <f t="shared" si="3"/>
        <v>106</v>
      </c>
      <c r="K109" s="236">
        <f ca="1">TblImps[[#This Row],[Real time]]</f>
        <v>46051.374999999745</v>
      </c>
      <c r="L109" s="179"/>
      <c r="M109" s="179"/>
      <c r="N109" s="179"/>
      <c r="O109" s="179"/>
      <c r="P109" s="179"/>
      <c r="Q109" s="179"/>
      <c r="R109" s="179"/>
      <c r="S109" s="94">
        <f>SUMIF(TblRezone[[#This Row],[Plains Rezone]:[Water Rezone]],"&gt;0")</f>
        <v>0</v>
      </c>
      <c r="T109" s="61" t="str">
        <f>IF(SUM(TblRezone[[#This Row],[Plains Rezone]:[Water Rezone]])=0,"Ok","Nope")</f>
        <v>Ok</v>
      </c>
      <c r="U109" s="215"/>
      <c r="V109" s="94">
        <f ca="1">TblProd[[#This Row],[Platinum]]</f>
        <v>205671</v>
      </c>
      <c r="W109" s="215"/>
      <c r="X109" s="94">
        <f ca="1">ROUND( (1-MIN(ROUND(facs_rezone_factor*TblRezone[[#This Row],[Facs]],4),facs_rezone_max) + tech_6_4*TblTech[[#This Row],[6-4]] + tech_10_2*TblTech[[#This Row],[10-2]] - IF(TblMagic[[#This Row],[Active Mechanical Genius]]&gt;0,mech_genius_bonus,0) + race_rezone_cost) * TblRezone[[#This Row],[Plat/acre*]],0)</f>
        <v>166</v>
      </c>
      <c r="Y109" s="94">
        <f ca="1">TblRezone[[#This Row],[Total acres]]*TblRezone[[#This Row],[Plat/acre]]</f>
        <v>0</v>
      </c>
      <c r="Z109" s="215"/>
      <c r="AA109" s="94">
        <f ca="1">(250+0.6*(TblRezone[[#This Row],[Land]]-250))</f>
        <v>166</v>
      </c>
      <c r="AB109" s="215"/>
      <c r="AC109" s="157">
        <f ca="1">TblConstr[[#This Row],[Facs DB]]</f>
        <v>0</v>
      </c>
    </row>
    <row r="110" spans="1:29" x14ac:dyDescent="0.2">
      <c r="A110" s="214">
        <f ca="1">TblConstr[[#This Row],[Land]]</f>
        <v>110</v>
      </c>
      <c r="B110" s="216">
        <f ca="1">TblConstr[[#This Row],[Plain]]</f>
        <v>60</v>
      </c>
      <c r="C110" s="182">
        <f ca="1">TblConstr[[#This Row],[Forest]]</f>
        <v>0</v>
      </c>
      <c r="D110" s="359">
        <f ca="1">TblConstr[[#This Row],[Mountain]]</f>
        <v>0</v>
      </c>
      <c r="E110" s="363">
        <f ca="1">TblConstr[[#This Row],[Hill]]</f>
        <v>0</v>
      </c>
      <c r="F110" s="367">
        <f ca="1">TblConstr[[#This Row],[Swamp]]</f>
        <v>0</v>
      </c>
      <c r="G110" s="185">
        <f ca="1">TblConstr[[#This Row],[Cavern]]</f>
        <v>0</v>
      </c>
      <c r="H110" s="186">
        <f ca="1">TblConstr[[#This Row],[Water]]</f>
        <v>0</v>
      </c>
      <c r="I110" s="215"/>
      <c r="J110" s="175">
        <f t="shared" si="3"/>
        <v>107</v>
      </c>
      <c r="K110" s="236">
        <f ca="1">TblImps[[#This Row],[Real time]]</f>
        <v>46051.41666666641</v>
      </c>
      <c r="L110" s="179"/>
      <c r="M110" s="179"/>
      <c r="N110" s="179"/>
      <c r="O110" s="179"/>
      <c r="P110" s="179"/>
      <c r="Q110" s="179"/>
      <c r="R110" s="179"/>
      <c r="S110" s="94">
        <f>SUMIF(TblRezone[[#This Row],[Plains Rezone]:[Water Rezone]],"&gt;0")</f>
        <v>0</v>
      </c>
      <c r="T110" s="61" t="str">
        <f>IF(SUM(TblRezone[[#This Row],[Plains Rezone]:[Water Rezone]])=0,"Ok","Nope")</f>
        <v>Ok</v>
      </c>
      <c r="U110" s="215"/>
      <c r="V110" s="94">
        <f ca="1">TblProd[[#This Row],[Platinum]]</f>
        <v>206607</v>
      </c>
      <c r="W110" s="215"/>
      <c r="X110" s="94">
        <f ca="1">ROUND( (1-MIN(ROUND(facs_rezone_factor*TblRezone[[#This Row],[Facs]],4),facs_rezone_max) + tech_6_4*TblTech[[#This Row],[6-4]] + tech_10_2*TblTech[[#This Row],[10-2]] - IF(TblMagic[[#This Row],[Active Mechanical Genius]]&gt;0,mech_genius_bonus,0) + race_rezone_cost) * TblRezone[[#This Row],[Plat/acre*]],0)</f>
        <v>166</v>
      </c>
      <c r="Y110" s="94">
        <f ca="1">TblRezone[[#This Row],[Total acres]]*TblRezone[[#This Row],[Plat/acre]]</f>
        <v>0</v>
      </c>
      <c r="Z110" s="215"/>
      <c r="AA110" s="94">
        <f ca="1">(250+0.6*(TblRezone[[#This Row],[Land]]-250))</f>
        <v>166</v>
      </c>
      <c r="AB110" s="215"/>
      <c r="AC110" s="157">
        <f ca="1">TblConstr[[#This Row],[Facs DB]]</f>
        <v>0</v>
      </c>
    </row>
    <row r="111" spans="1:29" x14ac:dyDescent="0.2">
      <c r="A111" s="214">
        <f ca="1">TblConstr[[#This Row],[Land]]</f>
        <v>110</v>
      </c>
      <c r="B111" s="216">
        <f ca="1">TblConstr[[#This Row],[Plain]]</f>
        <v>60</v>
      </c>
      <c r="C111" s="182">
        <f ca="1">TblConstr[[#This Row],[Forest]]</f>
        <v>0</v>
      </c>
      <c r="D111" s="359">
        <f ca="1">TblConstr[[#This Row],[Mountain]]</f>
        <v>0</v>
      </c>
      <c r="E111" s="363">
        <f ca="1">TblConstr[[#This Row],[Hill]]</f>
        <v>0</v>
      </c>
      <c r="F111" s="367">
        <f ca="1">TblConstr[[#This Row],[Swamp]]</f>
        <v>0</v>
      </c>
      <c r="G111" s="185">
        <f ca="1">TblConstr[[#This Row],[Cavern]]</f>
        <v>0</v>
      </c>
      <c r="H111" s="186">
        <f ca="1">TblConstr[[#This Row],[Water]]</f>
        <v>0</v>
      </c>
      <c r="I111" s="215"/>
      <c r="J111" s="175">
        <f t="shared" si="3"/>
        <v>108</v>
      </c>
      <c r="K111" s="236">
        <f ca="1">TblImps[[#This Row],[Real time]]</f>
        <v>46051.458333333074</v>
      </c>
      <c r="L111" s="179"/>
      <c r="M111" s="179"/>
      <c r="N111" s="179"/>
      <c r="O111" s="179"/>
      <c r="P111" s="179"/>
      <c r="Q111" s="179"/>
      <c r="R111" s="179"/>
      <c r="S111" s="94">
        <f>SUMIF(TblRezone[[#This Row],[Plains Rezone]:[Water Rezone]],"&gt;0")</f>
        <v>0</v>
      </c>
      <c r="T111" s="61" t="str">
        <f>IF(SUM(TblRezone[[#This Row],[Plains Rezone]:[Water Rezone]])=0,"Ok","Nope")</f>
        <v>Ok</v>
      </c>
      <c r="U111" s="215"/>
      <c r="V111" s="94">
        <f ca="1">TblProd[[#This Row],[Platinum]]</f>
        <v>207535</v>
      </c>
      <c r="W111" s="215"/>
      <c r="X111" s="94">
        <f ca="1">ROUND( (1-MIN(ROUND(facs_rezone_factor*TblRezone[[#This Row],[Facs]],4),facs_rezone_max) + tech_6_4*TblTech[[#This Row],[6-4]] + tech_10_2*TblTech[[#This Row],[10-2]] - IF(TblMagic[[#This Row],[Active Mechanical Genius]]&gt;0,mech_genius_bonus,0) + race_rezone_cost) * TblRezone[[#This Row],[Plat/acre*]],0)</f>
        <v>166</v>
      </c>
      <c r="Y111" s="94">
        <f ca="1">TblRezone[[#This Row],[Total acres]]*TblRezone[[#This Row],[Plat/acre]]</f>
        <v>0</v>
      </c>
      <c r="Z111" s="215"/>
      <c r="AA111" s="94">
        <f ca="1">(250+0.6*(TblRezone[[#This Row],[Land]]-250))</f>
        <v>166</v>
      </c>
      <c r="AB111" s="215"/>
      <c r="AC111" s="157">
        <f ca="1">TblConstr[[#This Row],[Facs DB]]</f>
        <v>0</v>
      </c>
    </row>
    <row r="112" spans="1:29" x14ac:dyDescent="0.2">
      <c r="A112" s="214">
        <f ca="1">TblConstr[[#This Row],[Land]]</f>
        <v>110</v>
      </c>
      <c r="B112" s="216">
        <f ca="1">TblConstr[[#This Row],[Plain]]</f>
        <v>60</v>
      </c>
      <c r="C112" s="182">
        <f ca="1">TblConstr[[#This Row],[Forest]]</f>
        <v>0</v>
      </c>
      <c r="D112" s="359">
        <f ca="1">TblConstr[[#This Row],[Mountain]]</f>
        <v>0</v>
      </c>
      <c r="E112" s="363">
        <f ca="1">TblConstr[[#This Row],[Hill]]</f>
        <v>0</v>
      </c>
      <c r="F112" s="367">
        <f ca="1">TblConstr[[#This Row],[Swamp]]</f>
        <v>0</v>
      </c>
      <c r="G112" s="185">
        <f ca="1">TblConstr[[#This Row],[Cavern]]</f>
        <v>0</v>
      </c>
      <c r="H112" s="186">
        <f ca="1">TblConstr[[#This Row],[Water]]</f>
        <v>0</v>
      </c>
      <c r="I112" s="215"/>
      <c r="J112" s="175">
        <f t="shared" si="3"/>
        <v>109</v>
      </c>
      <c r="K112" s="236">
        <f ca="1">TblImps[[#This Row],[Real time]]</f>
        <v>46051.499999999738</v>
      </c>
      <c r="L112" s="179"/>
      <c r="M112" s="179"/>
      <c r="N112" s="179"/>
      <c r="O112" s="179"/>
      <c r="P112" s="179"/>
      <c r="Q112" s="179"/>
      <c r="R112" s="179"/>
      <c r="S112" s="94">
        <f>SUMIF(TblRezone[[#This Row],[Plains Rezone]:[Water Rezone]],"&gt;0")</f>
        <v>0</v>
      </c>
      <c r="T112" s="61" t="str">
        <f>IF(SUM(TblRezone[[#This Row],[Plains Rezone]:[Water Rezone]])=0,"Ok","Nope")</f>
        <v>Ok</v>
      </c>
      <c r="U112" s="215"/>
      <c r="V112" s="94">
        <f ca="1">TblProd[[#This Row],[Platinum]]</f>
        <v>208455</v>
      </c>
      <c r="W112" s="215"/>
      <c r="X112" s="94">
        <f ca="1">ROUND( (1-MIN(ROUND(facs_rezone_factor*TblRezone[[#This Row],[Facs]],4),facs_rezone_max) + tech_6_4*TblTech[[#This Row],[6-4]] + tech_10_2*TblTech[[#This Row],[10-2]] - IF(TblMagic[[#This Row],[Active Mechanical Genius]]&gt;0,mech_genius_bonus,0) + race_rezone_cost) * TblRezone[[#This Row],[Plat/acre*]],0)</f>
        <v>166</v>
      </c>
      <c r="Y112" s="94">
        <f ca="1">TblRezone[[#This Row],[Total acres]]*TblRezone[[#This Row],[Plat/acre]]</f>
        <v>0</v>
      </c>
      <c r="Z112" s="215"/>
      <c r="AA112" s="94">
        <f ca="1">(250+0.6*(TblRezone[[#This Row],[Land]]-250))</f>
        <v>166</v>
      </c>
      <c r="AB112" s="215"/>
      <c r="AC112" s="157">
        <f ca="1">TblConstr[[#This Row],[Facs DB]]</f>
        <v>0</v>
      </c>
    </row>
    <row r="113" spans="1:29" x14ac:dyDescent="0.2">
      <c r="A113" s="214">
        <f ca="1">TblConstr[[#This Row],[Land]]</f>
        <v>110</v>
      </c>
      <c r="B113" s="216">
        <f ca="1">TblConstr[[#This Row],[Plain]]</f>
        <v>60</v>
      </c>
      <c r="C113" s="182">
        <f ca="1">TblConstr[[#This Row],[Forest]]</f>
        <v>0</v>
      </c>
      <c r="D113" s="359">
        <f ca="1">TblConstr[[#This Row],[Mountain]]</f>
        <v>0</v>
      </c>
      <c r="E113" s="363">
        <f ca="1">TblConstr[[#This Row],[Hill]]</f>
        <v>0</v>
      </c>
      <c r="F113" s="367">
        <f ca="1">TblConstr[[#This Row],[Swamp]]</f>
        <v>0</v>
      </c>
      <c r="G113" s="185">
        <f ca="1">TblConstr[[#This Row],[Cavern]]</f>
        <v>0</v>
      </c>
      <c r="H113" s="186">
        <f ca="1">TblConstr[[#This Row],[Water]]</f>
        <v>0</v>
      </c>
      <c r="I113" s="215"/>
      <c r="J113" s="175">
        <f t="shared" si="3"/>
        <v>110</v>
      </c>
      <c r="K113" s="236">
        <f ca="1">TblImps[[#This Row],[Real time]]</f>
        <v>46051.541666666402</v>
      </c>
      <c r="L113" s="179"/>
      <c r="M113" s="179"/>
      <c r="N113" s="179"/>
      <c r="O113" s="179"/>
      <c r="P113" s="179"/>
      <c r="Q113" s="179"/>
      <c r="R113" s="179"/>
      <c r="S113" s="94">
        <f>SUMIF(TblRezone[[#This Row],[Plains Rezone]:[Water Rezone]],"&gt;0")</f>
        <v>0</v>
      </c>
      <c r="T113" s="61" t="str">
        <f>IF(SUM(TblRezone[[#This Row],[Plains Rezone]:[Water Rezone]])=0,"Ok","Nope")</f>
        <v>Ok</v>
      </c>
      <c r="U113" s="215"/>
      <c r="V113" s="94">
        <f ca="1">TblProd[[#This Row],[Platinum]]</f>
        <v>209367</v>
      </c>
      <c r="W113" s="215"/>
      <c r="X113" s="94">
        <f ca="1">ROUND( (1-MIN(ROUND(facs_rezone_factor*TblRezone[[#This Row],[Facs]],4),facs_rezone_max) + tech_6_4*TblTech[[#This Row],[6-4]] + tech_10_2*TblTech[[#This Row],[10-2]] - IF(TblMagic[[#This Row],[Active Mechanical Genius]]&gt;0,mech_genius_bonus,0) + race_rezone_cost) * TblRezone[[#This Row],[Plat/acre*]],0)</f>
        <v>166</v>
      </c>
      <c r="Y113" s="94">
        <f ca="1">TblRezone[[#This Row],[Total acres]]*TblRezone[[#This Row],[Plat/acre]]</f>
        <v>0</v>
      </c>
      <c r="Z113" s="215"/>
      <c r="AA113" s="94">
        <f ca="1">(250+0.6*(TblRezone[[#This Row],[Land]]-250))</f>
        <v>166</v>
      </c>
      <c r="AB113" s="215"/>
      <c r="AC113" s="157">
        <f ca="1">TblConstr[[#This Row],[Facs DB]]</f>
        <v>0</v>
      </c>
    </row>
    <row r="114" spans="1:29" x14ac:dyDescent="0.2">
      <c r="A114" s="214">
        <f ca="1">TblConstr[[#This Row],[Land]]</f>
        <v>110</v>
      </c>
      <c r="B114" s="216">
        <f ca="1">TblConstr[[#This Row],[Plain]]</f>
        <v>60</v>
      </c>
      <c r="C114" s="182">
        <f ca="1">TblConstr[[#This Row],[Forest]]</f>
        <v>0</v>
      </c>
      <c r="D114" s="359">
        <f ca="1">TblConstr[[#This Row],[Mountain]]</f>
        <v>0</v>
      </c>
      <c r="E114" s="363">
        <f ca="1">TblConstr[[#This Row],[Hill]]</f>
        <v>0</v>
      </c>
      <c r="F114" s="367">
        <f ca="1">TblConstr[[#This Row],[Swamp]]</f>
        <v>0</v>
      </c>
      <c r="G114" s="185">
        <f ca="1">TblConstr[[#This Row],[Cavern]]</f>
        <v>0</v>
      </c>
      <c r="H114" s="186">
        <f ca="1">TblConstr[[#This Row],[Water]]</f>
        <v>0</v>
      </c>
      <c r="I114" s="215"/>
      <c r="J114" s="175">
        <f t="shared" si="3"/>
        <v>111</v>
      </c>
      <c r="K114" s="236">
        <f ca="1">TblImps[[#This Row],[Real time]]</f>
        <v>46051.583333333067</v>
      </c>
      <c r="L114" s="179"/>
      <c r="M114" s="179"/>
      <c r="N114" s="179"/>
      <c r="O114" s="179"/>
      <c r="P114" s="179"/>
      <c r="Q114" s="179"/>
      <c r="R114" s="179"/>
      <c r="S114" s="94">
        <f>SUMIF(TblRezone[[#This Row],[Plains Rezone]:[Water Rezone]],"&gt;0")</f>
        <v>0</v>
      </c>
      <c r="T114" s="61" t="str">
        <f>IF(SUM(TblRezone[[#This Row],[Plains Rezone]:[Water Rezone]])=0,"Ok","Nope")</f>
        <v>Ok</v>
      </c>
      <c r="U114" s="215"/>
      <c r="V114" s="94">
        <f ca="1">TblProd[[#This Row],[Platinum]]</f>
        <v>210271</v>
      </c>
      <c r="W114" s="215"/>
      <c r="X114" s="94">
        <f ca="1">ROUND( (1-MIN(ROUND(facs_rezone_factor*TblRezone[[#This Row],[Facs]],4),facs_rezone_max) + tech_6_4*TblTech[[#This Row],[6-4]] + tech_10_2*TblTech[[#This Row],[10-2]] - IF(TblMagic[[#This Row],[Active Mechanical Genius]]&gt;0,mech_genius_bonus,0) + race_rezone_cost) * TblRezone[[#This Row],[Plat/acre*]],0)</f>
        <v>166</v>
      </c>
      <c r="Y114" s="94">
        <f ca="1">TblRezone[[#This Row],[Total acres]]*TblRezone[[#This Row],[Plat/acre]]</f>
        <v>0</v>
      </c>
      <c r="Z114" s="215"/>
      <c r="AA114" s="94">
        <f ca="1">(250+0.6*(TblRezone[[#This Row],[Land]]-250))</f>
        <v>166</v>
      </c>
      <c r="AB114" s="215"/>
      <c r="AC114" s="157">
        <f ca="1">TblConstr[[#This Row],[Facs DB]]</f>
        <v>0</v>
      </c>
    </row>
    <row r="115" spans="1:29" x14ac:dyDescent="0.2">
      <c r="A115" s="214">
        <f ca="1">TblConstr[[#This Row],[Land]]</f>
        <v>110</v>
      </c>
      <c r="B115" s="216">
        <f ca="1">TblConstr[[#This Row],[Plain]]</f>
        <v>60</v>
      </c>
      <c r="C115" s="182">
        <f ca="1">TblConstr[[#This Row],[Forest]]</f>
        <v>0</v>
      </c>
      <c r="D115" s="359">
        <f ca="1">TblConstr[[#This Row],[Mountain]]</f>
        <v>0</v>
      </c>
      <c r="E115" s="363">
        <f ca="1">TblConstr[[#This Row],[Hill]]</f>
        <v>0</v>
      </c>
      <c r="F115" s="367">
        <f ca="1">TblConstr[[#This Row],[Swamp]]</f>
        <v>0</v>
      </c>
      <c r="G115" s="185">
        <f ca="1">TblConstr[[#This Row],[Cavern]]</f>
        <v>0</v>
      </c>
      <c r="H115" s="186">
        <f ca="1">TblConstr[[#This Row],[Water]]</f>
        <v>0</v>
      </c>
      <c r="I115" s="215"/>
      <c r="J115" s="175">
        <f t="shared" si="3"/>
        <v>112</v>
      </c>
      <c r="K115" s="236">
        <f ca="1">TblImps[[#This Row],[Real time]]</f>
        <v>46051.624999999731</v>
      </c>
      <c r="L115" s="179"/>
      <c r="M115" s="179"/>
      <c r="N115" s="179"/>
      <c r="O115" s="179"/>
      <c r="P115" s="179"/>
      <c r="Q115" s="179"/>
      <c r="R115" s="179"/>
      <c r="S115" s="94">
        <f>SUMIF(TblRezone[[#This Row],[Plains Rezone]:[Water Rezone]],"&gt;0")</f>
        <v>0</v>
      </c>
      <c r="T115" s="61" t="str">
        <f>IF(SUM(TblRezone[[#This Row],[Plains Rezone]:[Water Rezone]])=0,"Ok","Nope")</f>
        <v>Ok</v>
      </c>
      <c r="U115" s="215"/>
      <c r="V115" s="94">
        <f ca="1">TblProd[[#This Row],[Platinum]]</f>
        <v>211167</v>
      </c>
      <c r="W115" s="215"/>
      <c r="X115" s="94">
        <f ca="1">ROUND( (1-MIN(ROUND(facs_rezone_factor*TblRezone[[#This Row],[Facs]],4),facs_rezone_max) + tech_6_4*TblTech[[#This Row],[6-4]] + tech_10_2*TblTech[[#This Row],[10-2]] - IF(TblMagic[[#This Row],[Active Mechanical Genius]]&gt;0,mech_genius_bonus,0) + race_rezone_cost) * TblRezone[[#This Row],[Plat/acre*]],0)</f>
        <v>166</v>
      </c>
      <c r="Y115" s="94">
        <f ca="1">TblRezone[[#This Row],[Total acres]]*TblRezone[[#This Row],[Plat/acre]]</f>
        <v>0</v>
      </c>
      <c r="Z115" s="215"/>
      <c r="AA115" s="94">
        <f ca="1">(250+0.6*(TblRezone[[#This Row],[Land]]-250))</f>
        <v>166</v>
      </c>
      <c r="AB115" s="215"/>
      <c r="AC115" s="157">
        <f ca="1">TblConstr[[#This Row],[Facs DB]]</f>
        <v>0</v>
      </c>
    </row>
    <row r="116" spans="1:29" x14ac:dyDescent="0.2">
      <c r="A116" s="214">
        <f ca="1">TblConstr[[#This Row],[Land]]</f>
        <v>110</v>
      </c>
      <c r="B116" s="216">
        <f ca="1">TblConstr[[#This Row],[Plain]]</f>
        <v>60</v>
      </c>
      <c r="C116" s="182">
        <f ca="1">TblConstr[[#This Row],[Forest]]</f>
        <v>0</v>
      </c>
      <c r="D116" s="359">
        <f ca="1">TblConstr[[#This Row],[Mountain]]</f>
        <v>0</v>
      </c>
      <c r="E116" s="363">
        <f ca="1">TblConstr[[#This Row],[Hill]]</f>
        <v>0</v>
      </c>
      <c r="F116" s="367">
        <f ca="1">TblConstr[[#This Row],[Swamp]]</f>
        <v>0</v>
      </c>
      <c r="G116" s="185">
        <f ca="1">TblConstr[[#This Row],[Cavern]]</f>
        <v>0</v>
      </c>
      <c r="H116" s="186">
        <f ca="1">TblConstr[[#This Row],[Water]]</f>
        <v>0</v>
      </c>
      <c r="I116" s="215"/>
      <c r="J116" s="175">
        <f t="shared" si="3"/>
        <v>113</v>
      </c>
      <c r="K116" s="236">
        <f ca="1">TblImps[[#This Row],[Real time]]</f>
        <v>46051.666666666395</v>
      </c>
      <c r="L116" s="179"/>
      <c r="M116" s="179"/>
      <c r="N116" s="179"/>
      <c r="O116" s="179"/>
      <c r="P116" s="179"/>
      <c r="Q116" s="179"/>
      <c r="R116" s="179"/>
      <c r="S116" s="94">
        <f>SUMIF(TblRezone[[#This Row],[Plains Rezone]:[Water Rezone]],"&gt;0")</f>
        <v>0</v>
      </c>
      <c r="T116" s="61" t="str">
        <f>IF(SUM(TblRezone[[#This Row],[Plains Rezone]:[Water Rezone]])=0,"Ok","Nope")</f>
        <v>Ok</v>
      </c>
      <c r="U116" s="215"/>
      <c r="V116" s="94">
        <f ca="1">TblProd[[#This Row],[Platinum]]</f>
        <v>212055</v>
      </c>
      <c r="W116" s="215"/>
      <c r="X116" s="94">
        <f ca="1">ROUND( (1-MIN(ROUND(facs_rezone_factor*TblRezone[[#This Row],[Facs]],4),facs_rezone_max) + tech_6_4*TblTech[[#This Row],[6-4]] + tech_10_2*TblTech[[#This Row],[10-2]] - IF(TblMagic[[#This Row],[Active Mechanical Genius]]&gt;0,mech_genius_bonus,0) + race_rezone_cost) * TblRezone[[#This Row],[Plat/acre*]],0)</f>
        <v>166</v>
      </c>
      <c r="Y116" s="94">
        <f ca="1">TblRezone[[#This Row],[Total acres]]*TblRezone[[#This Row],[Plat/acre]]</f>
        <v>0</v>
      </c>
      <c r="Z116" s="215"/>
      <c r="AA116" s="94">
        <f ca="1">(250+0.6*(TblRezone[[#This Row],[Land]]-250))</f>
        <v>166</v>
      </c>
      <c r="AB116" s="215"/>
      <c r="AC116" s="157">
        <f ca="1">TblConstr[[#This Row],[Facs DB]]</f>
        <v>0</v>
      </c>
    </row>
    <row r="117" spans="1:29" x14ac:dyDescent="0.2">
      <c r="A117" s="214">
        <f ca="1">TblConstr[[#This Row],[Land]]</f>
        <v>110</v>
      </c>
      <c r="B117" s="216">
        <f ca="1">TblConstr[[#This Row],[Plain]]</f>
        <v>60</v>
      </c>
      <c r="C117" s="182">
        <f ca="1">TblConstr[[#This Row],[Forest]]</f>
        <v>0</v>
      </c>
      <c r="D117" s="359">
        <f ca="1">TblConstr[[#This Row],[Mountain]]</f>
        <v>0</v>
      </c>
      <c r="E117" s="363">
        <f ca="1">TblConstr[[#This Row],[Hill]]</f>
        <v>0</v>
      </c>
      <c r="F117" s="367">
        <f ca="1">TblConstr[[#This Row],[Swamp]]</f>
        <v>0</v>
      </c>
      <c r="G117" s="185">
        <f ca="1">TblConstr[[#This Row],[Cavern]]</f>
        <v>0</v>
      </c>
      <c r="H117" s="186">
        <f ca="1">TblConstr[[#This Row],[Water]]</f>
        <v>0</v>
      </c>
      <c r="I117" s="215"/>
      <c r="J117" s="175">
        <f t="shared" si="3"/>
        <v>114</v>
      </c>
      <c r="K117" s="236">
        <f ca="1">TblImps[[#This Row],[Real time]]</f>
        <v>46051.708333333059</v>
      </c>
      <c r="L117" s="179"/>
      <c r="M117" s="179"/>
      <c r="N117" s="179"/>
      <c r="O117" s="179"/>
      <c r="P117" s="179"/>
      <c r="Q117" s="179"/>
      <c r="R117" s="179"/>
      <c r="S117" s="94">
        <f>SUMIF(TblRezone[[#This Row],[Plains Rezone]:[Water Rezone]],"&gt;0")</f>
        <v>0</v>
      </c>
      <c r="T117" s="61" t="str">
        <f>IF(SUM(TblRezone[[#This Row],[Plains Rezone]:[Water Rezone]])=0,"Ok","Nope")</f>
        <v>Ok</v>
      </c>
      <c r="U117" s="215"/>
      <c r="V117" s="94">
        <f ca="1">TblProd[[#This Row],[Platinum]]</f>
        <v>212935</v>
      </c>
      <c r="W117" s="215"/>
      <c r="X117" s="94">
        <f ca="1">ROUND( (1-MIN(ROUND(facs_rezone_factor*TblRezone[[#This Row],[Facs]],4),facs_rezone_max) + tech_6_4*TblTech[[#This Row],[6-4]] + tech_10_2*TblTech[[#This Row],[10-2]] - IF(TblMagic[[#This Row],[Active Mechanical Genius]]&gt;0,mech_genius_bonus,0) + race_rezone_cost) * TblRezone[[#This Row],[Plat/acre*]],0)</f>
        <v>166</v>
      </c>
      <c r="Y117" s="94">
        <f ca="1">TblRezone[[#This Row],[Total acres]]*TblRezone[[#This Row],[Plat/acre]]</f>
        <v>0</v>
      </c>
      <c r="Z117" s="215"/>
      <c r="AA117" s="94">
        <f ca="1">(250+0.6*(TblRezone[[#This Row],[Land]]-250))</f>
        <v>166</v>
      </c>
      <c r="AB117" s="215"/>
      <c r="AC117" s="157">
        <f ca="1">TblConstr[[#This Row],[Facs DB]]</f>
        <v>0</v>
      </c>
    </row>
    <row r="118" spans="1:29" x14ac:dyDescent="0.2">
      <c r="A118" s="214">
        <f ca="1">TblConstr[[#This Row],[Land]]</f>
        <v>110</v>
      </c>
      <c r="B118" s="216">
        <f ca="1">TblConstr[[#This Row],[Plain]]</f>
        <v>60</v>
      </c>
      <c r="C118" s="182">
        <f ca="1">TblConstr[[#This Row],[Forest]]</f>
        <v>0</v>
      </c>
      <c r="D118" s="359">
        <f ca="1">TblConstr[[#This Row],[Mountain]]</f>
        <v>0</v>
      </c>
      <c r="E118" s="363">
        <f ca="1">TblConstr[[#This Row],[Hill]]</f>
        <v>0</v>
      </c>
      <c r="F118" s="367">
        <f ca="1">TblConstr[[#This Row],[Swamp]]</f>
        <v>0</v>
      </c>
      <c r="G118" s="185">
        <f ca="1">TblConstr[[#This Row],[Cavern]]</f>
        <v>0</v>
      </c>
      <c r="H118" s="186">
        <f ca="1">TblConstr[[#This Row],[Water]]</f>
        <v>0</v>
      </c>
      <c r="I118" s="215"/>
      <c r="J118" s="175">
        <f t="shared" si="3"/>
        <v>115</v>
      </c>
      <c r="K118" s="236">
        <f ca="1">TblImps[[#This Row],[Real time]]</f>
        <v>46051.749999999724</v>
      </c>
      <c r="L118" s="179"/>
      <c r="M118" s="179"/>
      <c r="N118" s="179"/>
      <c r="O118" s="179"/>
      <c r="P118" s="179"/>
      <c r="Q118" s="179"/>
      <c r="R118" s="179"/>
      <c r="S118" s="94">
        <f>SUMIF(TblRezone[[#This Row],[Plains Rezone]:[Water Rezone]],"&gt;0")</f>
        <v>0</v>
      </c>
      <c r="T118" s="61" t="str">
        <f>IF(SUM(TblRezone[[#This Row],[Plains Rezone]:[Water Rezone]])=0,"Ok","Nope")</f>
        <v>Ok</v>
      </c>
      <c r="U118" s="215"/>
      <c r="V118" s="94">
        <f ca="1">TblProd[[#This Row],[Platinum]]</f>
        <v>213807</v>
      </c>
      <c r="W118" s="215"/>
      <c r="X118" s="94">
        <f ca="1">ROUND( (1-MIN(ROUND(facs_rezone_factor*TblRezone[[#This Row],[Facs]],4),facs_rezone_max) + tech_6_4*TblTech[[#This Row],[6-4]] + tech_10_2*TblTech[[#This Row],[10-2]] - IF(TblMagic[[#This Row],[Active Mechanical Genius]]&gt;0,mech_genius_bonus,0) + race_rezone_cost) * TblRezone[[#This Row],[Plat/acre*]],0)</f>
        <v>166</v>
      </c>
      <c r="Y118" s="94">
        <f ca="1">TblRezone[[#This Row],[Total acres]]*TblRezone[[#This Row],[Plat/acre]]</f>
        <v>0</v>
      </c>
      <c r="Z118" s="215"/>
      <c r="AA118" s="94">
        <f ca="1">(250+0.6*(TblRezone[[#This Row],[Land]]-250))</f>
        <v>166</v>
      </c>
      <c r="AB118" s="215"/>
      <c r="AC118" s="157">
        <f ca="1">TblConstr[[#This Row],[Facs DB]]</f>
        <v>0</v>
      </c>
    </row>
    <row r="119" spans="1:29" x14ac:dyDescent="0.2">
      <c r="A119" s="214">
        <f ca="1">TblConstr[[#This Row],[Land]]</f>
        <v>110</v>
      </c>
      <c r="B119" s="216">
        <f ca="1">TblConstr[[#This Row],[Plain]]</f>
        <v>60</v>
      </c>
      <c r="C119" s="182">
        <f ca="1">TblConstr[[#This Row],[Forest]]</f>
        <v>0</v>
      </c>
      <c r="D119" s="359">
        <f ca="1">TblConstr[[#This Row],[Mountain]]</f>
        <v>0</v>
      </c>
      <c r="E119" s="363">
        <f ca="1">TblConstr[[#This Row],[Hill]]</f>
        <v>0</v>
      </c>
      <c r="F119" s="367">
        <f ca="1">TblConstr[[#This Row],[Swamp]]</f>
        <v>0</v>
      </c>
      <c r="G119" s="185">
        <f ca="1">TblConstr[[#This Row],[Cavern]]</f>
        <v>0</v>
      </c>
      <c r="H119" s="186">
        <f ca="1">TblConstr[[#This Row],[Water]]</f>
        <v>0</v>
      </c>
      <c r="I119" s="215"/>
      <c r="J119" s="175">
        <f t="shared" si="3"/>
        <v>116</v>
      </c>
      <c r="K119" s="236">
        <f ca="1">TblImps[[#This Row],[Real time]]</f>
        <v>46051.791666666388</v>
      </c>
      <c r="L119" s="179"/>
      <c r="M119" s="179"/>
      <c r="N119" s="179"/>
      <c r="O119" s="179"/>
      <c r="P119" s="179"/>
      <c r="Q119" s="179"/>
      <c r="R119" s="179"/>
      <c r="S119" s="94">
        <f>SUMIF(TblRezone[[#This Row],[Plains Rezone]:[Water Rezone]],"&gt;0")</f>
        <v>0</v>
      </c>
      <c r="T119" s="61" t="str">
        <f>IF(SUM(TblRezone[[#This Row],[Plains Rezone]:[Water Rezone]])=0,"Ok","Nope")</f>
        <v>Ok</v>
      </c>
      <c r="U119" s="215"/>
      <c r="V119" s="94">
        <f ca="1">TblProd[[#This Row],[Platinum]]</f>
        <v>214671</v>
      </c>
      <c r="W119" s="215"/>
      <c r="X119" s="94">
        <f ca="1">ROUND( (1-MIN(ROUND(facs_rezone_factor*TblRezone[[#This Row],[Facs]],4),facs_rezone_max) + tech_6_4*TblTech[[#This Row],[6-4]] + tech_10_2*TblTech[[#This Row],[10-2]] - IF(TblMagic[[#This Row],[Active Mechanical Genius]]&gt;0,mech_genius_bonus,0) + race_rezone_cost) * TblRezone[[#This Row],[Plat/acre*]],0)</f>
        <v>166</v>
      </c>
      <c r="Y119" s="94">
        <f ca="1">TblRezone[[#This Row],[Total acres]]*TblRezone[[#This Row],[Plat/acre]]</f>
        <v>0</v>
      </c>
      <c r="Z119" s="215"/>
      <c r="AA119" s="94">
        <f ca="1">(250+0.6*(TblRezone[[#This Row],[Land]]-250))</f>
        <v>166</v>
      </c>
      <c r="AB119" s="215"/>
      <c r="AC119" s="157">
        <f ca="1">TblConstr[[#This Row],[Facs DB]]</f>
        <v>0</v>
      </c>
    </row>
    <row r="120" spans="1:29" x14ac:dyDescent="0.2">
      <c r="A120" s="214">
        <f ca="1">TblConstr[[#This Row],[Land]]</f>
        <v>110</v>
      </c>
      <c r="B120" s="216">
        <f ca="1">TblConstr[[#This Row],[Plain]]</f>
        <v>60</v>
      </c>
      <c r="C120" s="182">
        <f ca="1">TblConstr[[#This Row],[Forest]]</f>
        <v>0</v>
      </c>
      <c r="D120" s="359">
        <f ca="1">TblConstr[[#This Row],[Mountain]]</f>
        <v>0</v>
      </c>
      <c r="E120" s="363">
        <f ca="1">TblConstr[[#This Row],[Hill]]</f>
        <v>0</v>
      </c>
      <c r="F120" s="367">
        <f ca="1">TblConstr[[#This Row],[Swamp]]</f>
        <v>0</v>
      </c>
      <c r="G120" s="185">
        <f ca="1">TblConstr[[#This Row],[Cavern]]</f>
        <v>0</v>
      </c>
      <c r="H120" s="186">
        <f ca="1">TblConstr[[#This Row],[Water]]</f>
        <v>0</v>
      </c>
      <c r="I120" s="215"/>
      <c r="J120" s="175">
        <f t="shared" si="3"/>
        <v>117</v>
      </c>
      <c r="K120" s="236">
        <f ca="1">TblImps[[#This Row],[Real time]]</f>
        <v>46051.833333333052</v>
      </c>
      <c r="L120" s="179"/>
      <c r="M120" s="179"/>
      <c r="N120" s="179"/>
      <c r="O120" s="179"/>
      <c r="P120" s="179"/>
      <c r="Q120" s="179"/>
      <c r="R120" s="179"/>
      <c r="S120" s="94">
        <f>SUMIF(TblRezone[[#This Row],[Plains Rezone]:[Water Rezone]],"&gt;0")</f>
        <v>0</v>
      </c>
      <c r="T120" s="61" t="str">
        <f>IF(SUM(TblRezone[[#This Row],[Plains Rezone]:[Water Rezone]])=0,"Ok","Nope")</f>
        <v>Ok</v>
      </c>
      <c r="U120" s="215"/>
      <c r="V120" s="94">
        <f ca="1">TblProd[[#This Row],[Platinum]]</f>
        <v>215526</v>
      </c>
      <c r="W120" s="215"/>
      <c r="X120" s="94">
        <f ca="1">ROUND( (1-MIN(ROUND(facs_rezone_factor*TblRezone[[#This Row],[Facs]],4),facs_rezone_max) + tech_6_4*TblTech[[#This Row],[6-4]] + tech_10_2*TblTech[[#This Row],[10-2]] - IF(TblMagic[[#This Row],[Active Mechanical Genius]]&gt;0,mech_genius_bonus,0) + race_rezone_cost) * TblRezone[[#This Row],[Plat/acre*]],0)</f>
        <v>166</v>
      </c>
      <c r="Y120" s="94">
        <f ca="1">TblRezone[[#This Row],[Total acres]]*TblRezone[[#This Row],[Plat/acre]]</f>
        <v>0</v>
      </c>
      <c r="Z120" s="215"/>
      <c r="AA120" s="94">
        <f ca="1">(250+0.6*(TblRezone[[#This Row],[Land]]-250))</f>
        <v>166</v>
      </c>
      <c r="AB120" s="215"/>
      <c r="AC120" s="157">
        <f ca="1">TblConstr[[#This Row],[Facs DB]]</f>
        <v>0</v>
      </c>
    </row>
    <row r="121" spans="1:29" x14ac:dyDescent="0.2">
      <c r="A121" s="214">
        <f ca="1">TblConstr[[#This Row],[Land]]</f>
        <v>110</v>
      </c>
      <c r="B121" s="216">
        <f ca="1">TblConstr[[#This Row],[Plain]]</f>
        <v>60</v>
      </c>
      <c r="C121" s="182">
        <f ca="1">TblConstr[[#This Row],[Forest]]</f>
        <v>0</v>
      </c>
      <c r="D121" s="359">
        <f ca="1">TblConstr[[#This Row],[Mountain]]</f>
        <v>0</v>
      </c>
      <c r="E121" s="363">
        <f ca="1">TblConstr[[#This Row],[Hill]]</f>
        <v>0</v>
      </c>
      <c r="F121" s="367">
        <f ca="1">TblConstr[[#This Row],[Swamp]]</f>
        <v>0</v>
      </c>
      <c r="G121" s="185">
        <f ca="1">TblConstr[[#This Row],[Cavern]]</f>
        <v>0</v>
      </c>
      <c r="H121" s="186">
        <f ca="1">TblConstr[[#This Row],[Water]]</f>
        <v>0</v>
      </c>
      <c r="I121" s="215"/>
      <c r="J121" s="175">
        <f t="shared" si="3"/>
        <v>118</v>
      </c>
      <c r="K121" s="236">
        <f ca="1">TblImps[[#This Row],[Real time]]</f>
        <v>46051.874999999716</v>
      </c>
      <c r="L121" s="179"/>
      <c r="M121" s="179"/>
      <c r="N121" s="179"/>
      <c r="O121" s="179"/>
      <c r="P121" s="179"/>
      <c r="Q121" s="179"/>
      <c r="R121" s="179"/>
      <c r="S121" s="94">
        <f>SUMIF(TblRezone[[#This Row],[Plains Rezone]:[Water Rezone]],"&gt;0")</f>
        <v>0</v>
      </c>
      <c r="T121" s="61" t="str">
        <f>IF(SUM(TblRezone[[#This Row],[Plains Rezone]:[Water Rezone]])=0,"Ok","Nope")</f>
        <v>Ok</v>
      </c>
      <c r="U121" s="215"/>
      <c r="V121" s="94">
        <f ca="1">TblProd[[#This Row],[Platinum]]</f>
        <v>216373</v>
      </c>
      <c r="W121" s="215"/>
      <c r="X121" s="94">
        <f ca="1">ROUND( (1-MIN(ROUND(facs_rezone_factor*TblRezone[[#This Row],[Facs]],4),facs_rezone_max) + tech_6_4*TblTech[[#This Row],[6-4]] + tech_10_2*TblTech[[#This Row],[10-2]] - IF(TblMagic[[#This Row],[Active Mechanical Genius]]&gt;0,mech_genius_bonus,0) + race_rezone_cost) * TblRezone[[#This Row],[Plat/acre*]],0)</f>
        <v>166</v>
      </c>
      <c r="Y121" s="94">
        <f ca="1">TblRezone[[#This Row],[Total acres]]*TblRezone[[#This Row],[Plat/acre]]</f>
        <v>0</v>
      </c>
      <c r="Z121" s="215"/>
      <c r="AA121" s="94">
        <f ca="1">(250+0.6*(TblRezone[[#This Row],[Land]]-250))</f>
        <v>166</v>
      </c>
      <c r="AB121" s="215"/>
      <c r="AC121" s="157">
        <f ca="1">TblConstr[[#This Row],[Facs DB]]</f>
        <v>0</v>
      </c>
    </row>
    <row r="122" spans="1:29" x14ac:dyDescent="0.2">
      <c r="A122" s="214">
        <f ca="1">TblConstr[[#This Row],[Land]]</f>
        <v>110</v>
      </c>
      <c r="B122" s="216">
        <f ca="1">TblConstr[[#This Row],[Plain]]</f>
        <v>60</v>
      </c>
      <c r="C122" s="182">
        <f ca="1">TblConstr[[#This Row],[Forest]]</f>
        <v>0</v>
      </c>
      <c r="D122" s="359">
        <f ca="1">TblConstr[[#This Row],[Mountain]]</f>
        <v>0</v>
      </c>
      <c r="E122" s="363">
        <f ca="1">TblConstr[[#This Row],[Hill]]</f>
        <v>0</v>
      </c>
      <c r="F122" s="367">
        <f ca="1">TblConstr[[#This Row],[Swamp]]</f>
        <v>0</v>
      </c>
      <c r="G122" s="185">
        <f ca="1">TblConstr[[#This Row],[Cavern]]</f>
        <v>0</v>
      </c>
      <c r="H122" s="186">
        <f ca="1">TblConstr[[#This Row],[Water]]</f>
        <v>0</v>
      </c>
      <c r="I122" s="215"/>
      <c r="J122" s="175">
        <f t="shared" si="3"/>
        <v>119</v>
      </c>
      <c r="K122" s="236">
        <f ca="1">TblImps[[#This Row],[Real time]]</f>
        <v>46051.91666666638</v>
      </c>
      <c r="L122" s="179"/>
      <c r="M122" s="179"/>
      <c r="N122" s="179"/>
      <c r="O122" s="179"/>
      <c r="P122" s="179"/>
      <c r="Q122" s="179"/>
      <c r="R122" s="179"/>
      <c r="S122" s="94">
        <f>SUMIF(TblRezone[[#This Row],[Plains Rezone]:[Water Rezone]],"&gt;0")</f>
        <v>0</v>
      </c>
      <c r="T122" s="61" t="str">
        <f>IF(SUM(TblRezone[[#This Row],[Plains Rezone]:[Water Rezone]])=0,"Ok","Nope")</f>
        <v>Ok</v>
      </c>
      <c r="U122" s="215"/>
      <c r="V122" s="94">
        <f ca="1">TblProd[[#This Row],[Platinum]]</f>
        <v>217212</v>
      </c>
      <c r="W122" s="215"/>
      <c r="X122" s="94">
        <f ca="1">ROUND( (1-MIN(ROUND(facs_rezone_factor*TblRezone[[#This Row],[Facs]],4),facs_rezone_max) + tech_6_4*TblTech[[#This Row],[6-4]] + tech_10_2*TblTech[[#This Row],[10-2]] - IF(TblMagic[[#This Row],[Active Mechanical Genius]]&gt;0,mech_genius_bonus,0) + race_rezone_cost) * TblRezone[[#This Row],[Plat/acre*]],0)</f>
        <v>166</v>
      </c>
      <c r="Y122" s="94">
        <f ca="1">TblRezone[[#This Row],[Total acres]]*TblRezone[[#This Row],[Plat/acre]]</f>
        <v>0</v>
      </c>
      <c r="Z122" s="215"/>
      <c r="AA122" s="94">
        <f ca="1">(250+0.6*(TblRezone[[#This Row],[Land]]-250))</f>
        <v>166</v>
      </c>
      <c r="AB122" s="215"/>
      <c r="AC122" s="157">
        <f ca="1">TblConstr[[#This Row],[Facs DB]]</f>
        <v>0</v>
      </c>
    </row>
    <row r="123" spans="1:29" x14ac:dyDescent="0.2">
      <c r="A123" s="214">
        <f ca="1">TblConstr[[#This Row],[Land]]</f>
        <v>110</v>
      </c>
      <c r="B123" s="216">
        <f ca="1">TblConstr[[#This Row],[Plain]]</f>
        <v>60</v>
      </c>
      <c r="C123" s="182">
        <f ca="1">TblConstr[[#This Row],[Forest]]</f>
        <v>0</v>
      </c>
      <c r="D123" s="359">
        <f ca="1">TblConstr[[#This Row],[Mountain]]</f>
        <v>0</v>
      </c>
      <c r="E123" s="363">
        <f ca="1">TblConstr[[#This Row],[Hill]]</f>
        <v>0</v>
      </c>
      <c r="F123" s="367">
        <f ca="1">TblConstr[[#This Row],[Swamp]]</f>
        <v>0</v>
      </c>
      <c r="G123" s="185">
        <f ca="1">TblConstr[[#This Row],[Cavern]]</f>
        <v>0</v>
      </c>
      <c r="H123" s="186">
        <f ca="1">TblConstr[[#This Row],[Water]]</f>
        <v>0</v>
      </c>
      <c r="I123" s="215"/>
      <c r="J123" s="175">
        <f t="shared" si="3"/>
        <v>120</v>
      </c>
      <c r="K123" s="236">
        <f ca="1">TblImps[[#This Row],[Real time]]</f>
        <v>46051.958333333045</v>
      </c>
      <c r="L123" s="179"/>
      <c r="M123" s="179"/>
      <c r="N123" s="179"/>
      <c r="O123" s="179"/>
      <c r="P123" s="179"/>
      <c r="Q123" s="179"/>
      <c r="R123" s="179"/>
      <c r="S123" s="94">
        <f>SUMIF(TblRezone[[#This Row],[Plains Rezone]:[Water Rezone]],"&gt;0")</f>
        <v>0</v>
      </c>
      <c r="T123" s="61" t="str">
        <f>IF(SUM(TblRezone[[#This Row],[Plains Rezone]:[Water Rezone]])=0,"Ok","Nope")</f>
        <v>Ok</v>
      </c>
      <c r="U123" s="215"/>
      <c r="V123" s="94">
        <f ca="1">TblProd[[#This Row],[Platinum]]</f>
        <v>218043</v>
      </c>
      <c r="W123" s="215"/>
      <c r="X123" s="94">
        <f ca="1">ROUND( (1-MIN(ROUND(facs_rezone_factor*TblRezone[[#This Row],[Facs]],4),facs_rezone_max) + tech_6_4*TblTech[[#This Row],[6-4]] + tech_10_2*TblTech[[#This Row],[10-2]] - IF(TblMagic[[#This Row],[Active Mechanical Genius]]&gt;0,mech_genius_bonus,0) + race_rezone_cost) * TblRezone[[#This Row],[Plat/acre*]],0)</f>
        <v>166</v>
      </c>
      <c r="Y123" s="94">
        <f ca="1">TblRezone[[#This Row],[Total acres]]*TblRezone[[#This Row],[Plat/acre]]</f>
        <v>0</v>
      </c>
      <c r="Z123" s="215"/>
      <c r="AA123" s="94">
        <f ca="1">(250+0.6*(TblRezone[[#This Row],[Land]]-250))</f>
        <v>166</v>
      </c>
      <c r="AB123" s="215"/>
      <c r="AC123" s="157">
        <f ca="1">TblConstr[[#This Row],[Facs DB]]</f>
        <v>0</v>
      </c>
    </row>
    <row r="124" spans="1:29" x14ac:dyDescent="0.2">
      <c r="A124" s="214">
        <f ca="1">TblConstr[[#This Row],[Land]]</f>
        <v>110</v>
      </c>
      <c r="B124" s="216">
        <f ca="1">TblConstr[[#This Row],[Plain]]</f>
        <v>60</v>
      </c>
      <c r="C124" s="182">
        <f ca="1">TblConstr[[#This Row],[Forest]]</f>
        <v>0</v>
      </c>
      <c r="D124" s="359">
        <f ca="1">TblConstr[[#This Row],[Mountain]]</f>
        <v>0</v>
      </c>
      <c r="E124" s="363">
        <f ca="1">TblConstr[[#This Row],[Hill]]</f>
        <v>0</v>
      </c>
      <c r="F124" s="367">
        <f ca="1">TblConstr[[#This Row],[Swamp]]</f>
        <v>0</v>
      </c>
      <c r="G124" s="185">
        <f ca="1">TblConstr[[#This Row],[Cavern]]</f>
        <v>0</v>
      </c>
      <c r="H124" s="186">
        <f ca="1">TblConstr[[#This Row],[Water]]</f>
        <v>0</v>
      </c>
      <c r="I124" s="215"/>
      <c r="J124" s="175">
        <f t="shared" si="3"/>
        <v>121</v>
      </c>
      <c r="K124" s="236">
        <f ca="1">TblImps[[#This Row],[Real time]]</f>
        <v>46051.999999999709</v>
      </c>
      <c r="L124" s="179"/>
      <c r="M124" s="179"/>
      <c r="N124" s="179"/>
      <c r="O124" s="179"/>
      <c r="P124" s="179"/>
      <c r="Q124" s="179"/>
      <c r="R124" s="179"/>
      <c r="S124" s="94">
        <f>SUMIF(TblRezone[[#This Row],[Plains Rezone]:[Water Rezone]],"&gt;0")</f>
        <v>0</v>
      </c>
      <c r="T124" s="61" t="str">
        <f>IF(SUM(TblRezone[[#This Row],[Plains Rezone]:[Water Rezone]])=0,"Ok","Nope")</f>
        <v>Ok</v>
      </c>
      <c r="U124" s="215"/>
      <c r="V124" s="94">
        <f ca="1">TblProd[[#This Row],[Platinum]]</f>
        <v>218866</v>
      </c>
      <c r="W124" s="215"/>
      <c r="X124" s="94">
        <f ca="1">ROUND( (1-MIN(ROUND(facs_rezone_factor*TblRezone[[#This Row],[Facs]],4),facs_rezone_max) + tech_6_4*TblTech[[#This Row],[6-4]] + tech_10_2*TblTech[[#This Row],[10-2]] - IF(TblMagic[[#This Row],[Active Mechanical Genius]]&gt;0,mech_genius_bonus,0) + race_rezone_cost) * TblRezone[[#This Row],[Plat/acre*]],0)</f>
        <v>166</v>
      </c>
      <c r="Y124" s="94">
        <f ca="1">TblRezone[[#This Row],[Total acres]]*TblRezone[[#This Row],[Plat/acre]]</f>
        <v>0</v>
      </c>
      <c r="Z124" s="215"/>
      <c r="AA124" s="94">
        <f ca="1">(250+0.6*(TblRezone[[#This Row],[Land]]-250))</f>
        <v>166</v>
      </c>
      <c r="AB124" s="215"/>
      <c r="AC124" s="157">
        <f ca="1">TblConstr[[#This Row],[Facs DB]]</f>
        <v>0</v>
      </c>
    </row>
    <row r="125" spans="1:29" x14ac:dyDescent="0.2">
      <c r="A125" s="214">
        <f ca="1">TblConstr[[#This Row],[Land]]</f>
        <v>110</v>
      </c>
      <c r="B125" s="216">
        <f ca="1">TblConstr[[#This Row],[Plain]]</f>
        <v>60</v>
      </c>
      <c r="C125" s="182">
        <f ca="1">TblConstr[[#This Row],[Forest]]</f>
        <v>0</v>
      </c>
      <c r="D125" s="359">
        <f ca="1">TblConstr[[#This Row],[Mountain]]</f>
        <v>0</v>
      </c>
      <c r="E125" s="363">
        <f ca="1">TblConstr[[#This Row],[Hill]]</f>
        <v>0</v>
      </c>
      <c r="F125" s="367">
        <f ca="1">TblConstr[[#This Row],[Swamp]]</f>
        <v>0</v>
      </c>
      <c r="G125" s="185">
        <f ca="1">TblConstr[[#This Row],[Cavern]]</f>
        <v>0</v>
      </c>
      <c r="H125" s="186">
        <f ca="1">TblConstr[[#This Row],[Water]]</f>
        <v>0</v>
      </c>
      <c r="I125" s="215"/>
      <c r="J125" s="175">
        <f t="shared" si="3"/>
        <v>122</v>
      </c>
      <c r="K125" s="236">
        <f ca="1">TblImps[[#This Row],[Real time]]</f>
        <v>46052.041666666373</v>
      </c>
      <c r="L125" s="179"/>
      <c r="M125" s="179"/>
      <c r="N125" s="179"/>
      <c r="O125" s="179"/>
      <c r="P125" s="179"/>
      <c r="Q125" s="179"/>
      <c r="R125" s="179"/>
      <c r="S125" s="94">
        <f>SUMIF(TblRezone[[#This Row],[Plains Rezone]:[Water Rezone]],"&gt;0")</f>
        <v>0</v>
      </c>
      <c r="T125" s="61" t="str">
        <f>IF(SUM(TblRezone[[#This Row],[Plains Rezone]:[Water Rezone]])=0,"Ok","Nope")</f>
        <v>Ok</v>
      </c>
      <c r="U125" s="215"/>
      <c r="V125" s="94">
        <f ca="1">TblProd[[#This Row],[Platinum]]</f>
        <v>219681</v>
      </c>
      <c r="W125" s="215"/>
      <c r="X125" s="94">
        <f ca="1">ROUND( (1-MIN(ROUND(facs_rezone_factor*TblRezone[[#This Row],[Facs]],4),facs_rezone_max) + tech_6_4*TblTech[[#This Row],[6-4]] + tech_10_2*TblTech[[#This Row],[10-2]] - IF(TblMagic[[#This Row],[Active Mechanical Genius]]&gt;0,mech_genius_bonus,0) + race_rezone_cost) * TblRezone[[#This Row],[Plat/acre*]],0)</f>
        <v>166</v>
      </c>
      <c r="Y125" s="94">
        <f ca="1">TblRezone[[#This Row],[Total acres]]*TblRezone[[#This Row],[Plat/acre]]</f>
        <v>0</v>
      </c>
      <c r="Z125" s="215"/>
      <c r="AA125" s="94">
        <f ca="1">(250+0.6*(TblRezone[[#This Row],[Land]]-250))</f>
        <v>166</v>
      </c>
      <c r="AB125" s="215"/>
      <c r="AC125" s="157">
        <f ca="1">TblConstr[[#This Row],[Facs DB]]</f>
        <v>0</v>
      </c>
    </row>
    <row r="126" spans="1:29" x14ac:dyDescent="0.2">
      <c r="A126" s="214">
        <f ca="1">TblConstr[[#This Row],[Land]]</f>
        <v>110</v>
      </c>
      <c r="B126" s="216">
        <f ca="1">TblConstr[[#This Row],[Plain]]</f>
        <v>60</v>
      </c>
      <c r="C126" s="182">
        <f ca="1">TblConstr[[#This Row],[Forest]]</f>
        <v>0</v>
      </c>
      <c r="D126" s="359">
        <f ca="1">TblConstr[[#This Row],[Mountain]]</f>
        <v>0</v>
      </c>
      <c r="E126" s="363">
        <f ca="1">TblConstr[[#This Row],[Hill]]</f>
        <v>0</v>
      </c>
      <c r="F126" s="367">
        <f ca="1">TblConstr[[#This Row],[Swamp]]</f>
        <v>0</v>
      </c>
      <c r="G126" s="185">
        <f ca="1">TblConstr[[#This Row],[Cavern]]</f>
        <v>0</v>
      </c>
      <c r="H126" s="186">
        <f ca="1">TblConstr[[#This Row],[Water]]</f>
        <v>0</v>
      </c>
      <c r="I126" s="215"/>
      <c r="J126" s="175">
        <f t="shared" si="3"/>
        <v>123</v>
      </c>
      <c r="K126" s="236">
        <f ca="1">TblImps[[#This Row],[Real time]]</f>
        <v>46052.083333333037</v>
      </c>
      <c r="L126" s="179"/>
      <c r="M126" s="179"/>
      <c r="N126" s="179"/>
      <c r="O126" s="179"/>
      <c r="P126" s="179"/>
      <c r="Q126" s="179"/>
      <c r="R126" s="179"/>
      <c r="S126" s="94">
        <f>SUMIF(TblRezone[[#This Row],[Plains Rezone]:[Water Rezone]],"&gt;0")</f>
        <v>0</v>
      </c>
      <c r="T126" s="61" t="str">
        <f>IF(SUM(TblRezone[[#This Row],[Plains Rezone]:[Water Rezone]])=0,"Ok","Nope")</f>
        <v>Ok</v>
      </c>
      <c r="U126" s="215"/>
      <c r="V126" s="94">
        <f ca="1">TblProd[[#This Row],[Platinum]]</f>
        <v>220488</v>
      </c>
      <c r="W126" s="215"/>
      <c r="X126" s="94">
        <f ca="1">ROUND( (1-MIN(ROUND(facs_rezone_factor*TblRezone[[#This Row],[Facs]],4),facs_rezone_max) + tech_6_4*TblTech[[#This Row],[6-4]] + tech_10_2*TblTech[[#This Row],[10-2]] - IF(TblMagic[[#This Row],[Active Mechanical Genius]]&gt;0,mech_genius_bonus,0) + race_rezone_cost) * TblRezone[[#This Row],[Plat/acre*]],0)</f>
        <v>166</v>
      </c>
      <c r="Y126" s="94">
        <f ca="1">TblRezone[[#This Row],[Total acres]]*TblRezone[[#This Row],[Plat/acre]]</f>
        <v>0</v>
      </c>
      <c r="Z126" s="215"/>
      <c r="AA126" s="94">
        <f ca="1">(250+0.6*(TblRezone[[#This Row],[Land]]-250))</f>
        <v>166</v>
      </c>
      <c r="AB126" s="215"/>
      <c r="AC126" s="157">
        <f ca="1">TblConstr[[#This Row],[Facs DB]]</f>
        <v>0</v>
      </c>
    </row>
    <row r="127" spans="1:29" x14ac:dyDescent="0.2">
      <c r="A127" s="214">
        <f ca="1">TblConstr[[#This Row],[Land]]</f>
        <v>110</v>
      </c>
      <c r="B127" s="216">
        <f ca="1">TblConstr[[#This Row],[Plain]]</f>
        <v>60</v>
      </c>
      <c r="C127" s="182">
        <f ca="1">TblConstr[[#This Row],[Forest]]</f>
        <v>0</v>
      </c>
      <c r="D127" s="359">
        <f ca="1">TblConstr[[#This Row],[Mountain]]</f>
        <v>0</v>
      </c>
      <c r="E127" s="363">
        <f ca="1">TblConstr[[#This Row],[Hill]]</f>
        <v>0</v>
      </c>
      <c r="F127" s="367">
        <f ca="1">TblConstr[[#This Row],[Swamp]]</f>
        <v>0</v>
      </c>
      <c r="G127" s="185">
        <f ca="1">TblConstr[[#This Row],[Cavern]]</f>
        <v>0</v>
      </c>
      <c r="H127" s="186">
        <f ca="1">TblConstr[[#This Row],[Water]]</f>
        <v>0</v>
      </c>
      <c r="I127" s="215"/>
      <c r="J127" s="175">
        <f t="shared" si="3"/>
        <v>124</v>
      </c>
      <c r="K127" s="236">
        <f ca="1">TblImps[[#This Row],[Real time]]</f>
        <v>46052.124999999702</v>
      </c>
      <c r="L127" s="179"/>
      <c r="M127" s="179"/>
      <c r="N127" s="179"/>
      <c r="O127" s="179"/>
      <c r="P127" s="179"/>
      <c r="Q127" s="179"/>
      <c r="R127" s="179"/>
      <c r="S127" s="94">
        <f>SUMIF(TblRezone[[#This Row],[Plains Rezone]:[Water Rezone]],"&gt;0")</f>
        <v>0</v>
      </c>
      <c r="T127" s="61" t="str">
        <f>IF(SUM(TblRezone[[#This Row],[Plains Rezone]:[Water Rezone]])=0,"Ok","Nope")</f>
        <v>Ok</v>
      </c>
      <c r="U127" s="215"/>
      <c r="V127" s="94">
        <f ca="1">TblProd[[#This Row],[Platinum]]</f>
        <v>221287</v>
      </c>
      <c r="W127" s="215"/>
      <c r="X127" s="94">
        <f ca="1">ROUND( (1-MIN(ROUND(facs_rezone_factor*TblRezone[[#This Row],[Facs]],4),facs_rezone_max) + tech_6_4*TblTech[[#This Row],[6-4]] + tech_10_2*TblTech[[#This Row],[10-2]] - IF(TblMagic[[#This Row],[Active Mechanical Genius]]&gt;0,mech_genius_bonus,0) + race_rezone_cost) * TblRezone[[#This Row],[Plat/acre*]],0)</f>
        <v>166</v>
      </c>
      <c r="Y127" s="94">
        <f ca="1">TblRezone[[#This Row],[Total acres]]*TblRezone[[#This Row],[Plat/acre]]</f>
        <v>0</v>
      </c>
      <c r="Z127" s="215"/>
      <c r="AA127" s="94">
        <f ca="1">(250+0.6*(TblRezone[[#This Row],[Land]]-250))</f>
        <v>166</v>
      </c>
      <c r="AB127" s="215"/>
      <c r="AC127" s="157">
        <f ca="1">TblConstr[[#This Row],[Facs DB]]</f>
        <v>0</v>
      </c>
    </row>
    <row r="128" spans="1:29" x14ac:dyDescent="0.2">
      <c r="A128" s="214">
        <f ca="1">TblConstr[[#This Row],[Land]]</f>
        <v>110</v>
      </c>
      <c r="B128" s="216">
        <f ca="1">TblConstr[[#This Row],[Plain]]</f>
        <v>60</v>
      </c>
      <c r="C128" s="182">
        <f ca="1">TblConstr[[#This Row],[Forest]]</f>
        <v>0</v>
      </c>
      <c r="D128" s="359">
        <f ca="1">TblConstr[[#This Row],[Mountain]]</f>
        <v>0</v>
      </c>
      <c r="E128" s="363">
        <f ca="1">TblConstr[[#This Row],[Hill]]</f>
        <v>0</v>
      </c>
      <c r="F128" s="367">
        <f ca="1">TblConstr[[#This Row],[Swamp]]</f>
        <v>0</v>
      </c>
      <c r="G128" s="185">
        <f ca="1">TblConstr[[#This Row],[Cavern]]</f>
        <v>0</v>
      </c>
      <c r="H128" s="186">
        <f ca="1">TblConstr[[#This Row],[Water]]</f>
        <v>0</v>
      </c>
      <c r="I128" s="215"/>
      <c r="J128" s="175">
        <f t="shared" si="3"/>
        <v>125</v>
      </c>
      <c r="K128" s="236">
        <f ca="1">TblImps[[#This Row],[Real time]]</f>
        <v>46052.166666666366</v>
      </c>
      <c r="L128" s="179"/>
      <c r="M128" s="179"/>
      <c r="N128" s="179"/>
      <c r="O128" s="179"/>
      <c r="P128" s="179"/>
      <c r="Q128" s="179"/>
      <c r="R128" s="179"/>
      <c r="S128" s="94">
        <f>SUMIF(TblRezone[[#This Row],[Plains Rezone]:[Water Rezone]],"&gt;0")</f>
        <v>0</v>
      </c>
      <c r="T128" s="61" t="str">
        <f>IF(SUM(TblRezone[[#This Row],[Plains Rezone]:[Water Rezone]])=0,"Ok","Nope")</f>
        <v>Ok</v>
      </c>
      <c r="U128" s="215"/>
      <c r="V128" s="94">
        <f ca="1">TblProd[[#This Row],[Platinum]]</f>
        <v>222078</v>
      </c>
      <c r="W128" s="215"/>
      <c r="X128" s="94">
        <f ca="1">ROUND( (1-MIN(ROUND(facs_rezone_factor*TblRezone[[#This Row],[Facs]],4),facs_rezone_max) + tech_6_4*TblTech[[#This Row],[6-4]] + tech_10_2*TblTech[[#This Row],[10-2]] - IF(TblMagic[[#This Row],[Active Mechanical Genius]]&gt;0,mech_genius_bonus,0) + race_rezone_cost) * TblRezone[[#This Row],[Plat/acre*]],0)</f>
        <v>166</v>
      </c>
      <c r="Y128" s="94">
        <f ca="1">TblRezone[[#This Row],[Total acres]]*TblRezone[[#This Row],[Plat/acre]]</f>
        <v>0</v>
      </c>
      <c r="Z128" s="215"/>
      <c r="AA128" s="94">
        <f ca="1">(250+0.6*(TblRezone[[#This Row],[Land]]-250))</f>
        <v>166</v>
      </c>
      <c r="AB128" s="215"/>
      <c r="AC128" s="157">
        <f ca="1">TblConstr[[#This Row],[Facs DB]]</f>
        <v>0</v>
      </c>
    </row>
    <row r="129" spans="1:29" x14ac:dyDescent="0.2">
      <c r="A129" s="214">
        <f ca="1">TblConstr[[#This Row],[Land]]</f>
        <v>110</v>
      </c>
      <c r="B129" s="216">
        <f ca="1">TblConstr[[#This Row],[Plain]]</f>
        <v>60</v>
      </c>
      <c r="C129" s="182">
        <f ca="1">TblConstr[[#This Row],[Forest]]</f>
        <v>0</v>
      </c>
      <c r="D129" s="359">
        <f ca="1">TblConstr[[#This Row],[Mountain]]</f>
        <v>0</v>
      </c>
      <c r="E129" s="363">
        <f ca="1">TblConstr[[#This Row],[Hill]]</f>
        <v>0</v>
      </c>
      <c r="F129" s="367">
        <f ca="1">TblConstr[[#This Row],[Swamp]]</f>
        <v>0</v>
      </c>
      <c r="G129" s="185">
        <f ca="1">TblConstr[[#This Row],[Cavern]]</f>
        <v>0</v>
      </c>
      <c r="H129" s="186">
        <f ca="1">TblConstr[[#This Row],[Water]]</f>
        <v>0</v>
      </c>
      <c r="I129" s="215"/>
      <c r="J129" s="175">
        <f t="shared" si="3"/>
        <v>126</v>
      </c>
      <c r="K129" s="236">
        <f ca="1">TblImps[[#This Row],[Real time]]</f>
        <v>46052.20833333303</v>
      </c>
      <c r="L129" s="179"/>
      <c r="M129" s="179"/>
      <c r="N129" s="179"/>
      <c r="O129" s="179"/>
      <c r="P129" s="179"/>
      <c r="Q129" s="179"/>
      <c r="R129" s="179"/>
      <c r="S129" s="94">
        <f>SUMIF(TblRezone[[#This Row],[Plains Rezone]:[Water Rezone]],"&gt;0")</f>
        <v>0</v>
      </c>
      <c r="T129" s="61" t="str">
        <f>IF(SUM(TblRezone[[#This Row],[Plains Rezone]:[Water Rezone]])=0,"Ok","Nope")</f>
        <v>Ok</v>
      </c>
      <c r="U129" s="215"/>
      <c r="V129" s="94">
        <f ca="1">TblProd[[#This Row],[Platinum]]</f>
        <v>222861</v>
      </c>
      <c r="W129" s="215"/>
      <c r="X129" s="94">
        <f ca="1">ROUND( (1-MIN(ROUND(facs_rezone_factor*TblRezone[[#This Row],[Facs]],4),facs_rezone_max) + tech_6_4*TblTech[[#This Row],[6-4]] + tech_10_2*TblTech[[#This Row],[10-2]] - IF(TblMagic[[#This Row],[Active Mechanical Genius]]&gt;0,mech_genius_bonus,0) + race_rezone_cost) * TblRezone[[#This Row],[Plat/acre*]],0)</f>
        <v>166</v>
      </c>
      <c r="Y129" s="94">
        <f ca="1">TblRezone[[#This Row],[Total acres]]*TblRezone[[#This Row],[Plat/acre]]</f>
        <v>0</v>
      </c>
      <c r="Z129" s="215"/>
      <c r="AA129" s="94">
        <f ca="1">(250+0.6*(TblRezone[[#This Row],[Land]]-250))</f>
        <v>166</v>
      </c>
      <c r="AB129" s="215"/>
      <c r="AC129" s="157">
        <f ca="1">TblConstr[[#This Row],[Facs DB]]</f>
        <v>0</v>
      </c>
    </row>
    <row r="130" spans="1:29" x14ac:dyDescent="0.2">
      <c r="A130" s="214">
        <f ca="1">TblConstr[[#This Row],[Land]]</f>
        <v>110</v>
      </c>
      <c r="B130" s="216">
        <f ca="1">TblConstr[[#This Row],[Plain]]</f>
        <v>60</v>
      </c>
      <c r="C130" s="182">
        <f ca="1">TblConstr[[#This Row],[Forest]]</f>
        <v>0</v>
      </c>
      <c r="D130" s="359">
        <f ca="1">TblConstr[[#This Row],[Mountain]]</f>
        <v>0</v>
      </c>
      <c r="E130" s="363">
        <f ca="1">TblConstr[[#This Row],[Hill]]</f>
        <v>0</v>
      </c>
      <c r="F130" s="367">
        <f ca="1">TblConstr[[#This Row],[Swamp]]</f>
        <v>0</v>
      </c>
      <c r="G130" s="185">
        <f ca="1">TblConstr[[#This Row],[Cavern]]</f>
        <v>0</v>
      </c>
      <c r="H130" s="186">
        <f ca="1">TblConstr[[#This Row],[Water]]</f>
        <v>0</v>
      </c>
      <c r="I130" s="215"/>
      <c r="J130" s="175">
        <f t="shared" si="3"/>
        <v>127</v>
      </c>
      <c r="K130" s="236">
        <f ca="1">TblImps[[#This Row],[Real time]]</f>
        <v>46052.249999999694</v>
      </c>
      <c r="L130" s="179"/>
      <c r="M130" s="179"/>
      <c r="N130" s="179"/>
      <c r="O130" s="179"/>
      <c r="P130" s="179"/>
      <c r="Q130" s="179"/>
      <c r="R130" s="179"/>
      <c r="S130" s="94">
        <f>SUMIF(TblRezone[[#This Row],[Plains Rezone]:[Water Rezone]],"&gt;0")</f>
        <v>0</v>
      </c>
      <c r="T130" s="61" t="str">
        <f>IF(SUM(TblRezone[[#This Row],[Plains Rezone]:[Water Rezone]])=0,"Ok","Nope")</f>
        <v>Ok</v>
      </c>
      <c r="U130" s="215"/>
      <c r="V130" s="94">
        <f ca="1">TblProd[[#This Row],[Platinum]]</f>
        <v>223635</v>
      </c>
      <c r="W130" s="215"/>
      <c r="X130" s="94">
        <f ca="1">ROUND( (1-MIN(ROUND(facs_rezone_factor*TblRezone[[#This Row],[Facs]],4),facs_rezone_max) + tech_6_4*TblTech[[#This Row],[6-4]] + tech_10_2*TblTech[[#This Row],[10-2]] - IF(TblMagic[[#This Row],[Active Mechanical Genius]]&gt;0,mech_genius_bonus,0) + race_rezone_cost) * TblRezone[[#This Row],[Plat/acre*]],0)</f>
        <v>166</v>
      </c>
      <c r="Y130" s="94">
        <f ca="1">TblRezone[[#This Row],[Total acres]]*TblRezone[[#This Row],[Plat/acre]]</f>
        <v>0</v>
      </c>
      <c r="Z130" s="215"/>
      <c r="AA130" s="94">
        <f ca="1">(250+0.6*(TblRezone[[#This Row],[Land]]-250))</f>
        <v>166</v>
      </c>
      <c r="AB130" s="215"/>
      <c r="AC130" s="157">
        <f ca="1">TblConstr[[#This Row],[Facs DB]]</f>
        <v>0</v>
      </c>
    </row>
    <row r="131" spans="1:29" x14ac:dyDescent="0.2">
      <c r="A131" s="214">
        <f ca="1">TblConstr[[#This Row],[Land]]</f>
        <v>110</v>
      </c>
      <c r="B131" s="216">
        <f ca="1">TblConstr[[#This Row],[Plain]]</f>
        <v>60</v>
      </c>
      <c r="C131" s="182">
        <f ca="1">TblConstr[[#This Row],[Forest]]</f>
        <v>0</v>
      </c>
      <c r="D131" s="359">
        <f ca="1">TblConstr[[#This Row],[Mountain]]</f>
        <v>0</v>
      </c>
      <c r="E131" s="363">
        <f ca="1">TblConstr[[#This Row],[Hill]]</f>
        <v>0</v>
      </c>
      <c r="F131" s="367">
        <f ca="1">TblConstr[[#This Row],[Swamp]]</f>
        <v>0</v>
      </c>
      <c r="G131" s="185">
        <f ca="1">TblConstr[[#This Row],[Cavern]]</f>
        <v>0</v>
      </c>
      <c r="H131" s="186">
        <f ca="1">TblConstr[[#This Row],[Water]]</f>
        <v>0</v>
      </c>
      <c r="I131" s="215"/>
      <c r="J131" s="175">
        <f t="shared" si="3"/>
        <v>128</v>
      </c>
      <c r="K131" s="236">
        <f ca="1">TblImps[[#This Row],[Real time]]</f>
        <v>46052.291666666359</v>
      </c>
      <c r="L131" s="179"/>
      <c r="M131" s="179"/>
      <c r="N131" s="179"/>
      <c r="O131" s="179"/>
      <c r="P131" s="179"/>
      <c r="Q131" s="179"/>
      <c r="R131" s="179"/>
      <c r="S131" s="94">
        <f>SUMIF(TblRezone[[#This Row],[Plains Rezone]:[Water Rezone]],"&gt;0")</f>
        <v>0</v>
      </c>
      <c r="T131" s="61" t="str">
        <f>IF(SUM(TblRezone[[#This Row],[Plains Rezone]:[Water Rezone]])=0,"Ok","Nope")</f>
        <v>Ok</v>
      </c>
      <c r="U131" s="215"/>
      <c r="V131" s="94">
        <f ca="1">TblProd[[#This Row],[Platinum]]</f>
        <v>224401</v>
      </c>
      <c r="W131" s="215"/>
      <c r="X131" s="94">
        <f ca="1">ROUND( (1-MIN(ROUND(facs_rezone_factor*TblRezone[[#This Row],[Facs]],4),facs_rezone_max) + tech_6_4*TblTech[[#This Row],[6-4]] + tech_10_2*TblTech[[#This Row],[10-2]] - IF(TblMagic[[#This Row],[Active Mechanical Genius]]&gt;0,mech_genius_bonus,0) + race_rezone_cost) * TblRezone[[#This Row],[Plat/acre*]],0)</f>
        <v>166</v>
      </c>
      <c r="Y131" s="94">
        <f ca="1">TblRezone[[#This Row],[Total acres]]*TblRezone[[#This Row],[Plat/acre]]</f>
        <v>0</v>
      </c>
      <c r="Z131" s="215"/>
      <c r="AA131" s="94">
        <f ca="1">(250+0.6*(TblRezone[[#This Row],[Land]]-250))</f>
        <v>166</v>
      </c>
      <c r="AB131" s="215"/>
      <c r="AC131" s="157">
        <f ca="1">TblConstr[[#This Row],[Facs DB]]</f>
        <v>0</v>
      </c>
    </row>
    <row r="132" spans="1:29" x14ac:dyDescent="0.2">
      <c r="A132" s="214">
        <f ca="1">TblConstr[[#This Row],[Land]]</f>
        <v>110</v>
      </c>
      <c r="B132" s="216">
        <f ca="1">TblConstr[[#This Row],[Plain]]</f>
        <v>60</v>
      </c>
      <c r="C132" s="182">
        <f ca="1">TblConstr[[#This Row],[Forest]]</f>
        <v>0</v>
      </c>
      <c r="D132" s="359">
        <f ca="1">TblConstr[[#This Row],[Mountain]]</f>
        <v>0</v>
      </c>
      <c r="E132" s="363">
        <f ca="1">TblConstr[[#This Row],[Hill]]</f>
        <v>0</v>
      </c>
      <c r="F132" s="367">
        <f ca="1">TblConstr[[#This Row],[Swamp]]</f>
        <v>0</v>
      </c>
      <c r="G132" s="185">
        <f ca="1">TblConstr[[#This Row],[Cavern]]</f>
        <v>0</v>
      </c>
      <c r="H132" s="186">
        <f ca="1">TblConstr[[#This Row],[Water]]</f>
        <v>0</v>
      </c>
      <c r="I132" s="215"/>
      <c r="J132" s="175">
        <f t="shared" si="3"/>
        <v>129</v>
      </c>
      <c r="K132" s="236">
        <f ca="1">TblImps[[#This Row],[Real time]]</f>
        <v>46052.333333333023</v>
      </c>
      <c r="L132" s="179"/>
      <c r="M132" s="179"/>
      <c r="N132" s="179"/>
      <c r="O132" s="179"/>
      <c r="P132" s="179"/>
      <c r="Q132" s="179"/>
      <c r="R132" s="179"/>
      <c r="S132" s="94">
        <f>SUMIF(TblRezone[[#This Row],[Plains Rezone]:[Water Rezone]],"&gt;0")</f>
        <v>0</v>
      </c>
      <c r="T132" s="61" t="str">
        <f>IF(SUM(TblRezone[[#This Row],[Plains Rezone]:[Water Rezone]])=0,"Ok","Nope")</f>
        <v>Ok</v>
      </c>
      <c r="U132" s="215"/>
      <c r="V132" s="94">
        <f ca="1">TblProd[[#This Row],[Platinum]]</f>
        <v>225159</v>
      </c>
      <c r="W132" s="215"/>
      <c r="X132" s="94">
        <f ca="1">ROUND( (1-MIN(ROUND(facs_rezone_factor*TblRezone[[#This Row],[Facs]],4),facs_rezone_max) + tech_6_4*TblTech[[#This Row],[6-4]] + tech_10_2*TblTech[[#This Row],[10-2]] - IF(TblMagic[[#This Row],[Active Mechanical Genius]]&gt;0,mech_genius_bonus,0) + race_rezone_cost) * TblRezone[[#This Row],[Plat/acre*]],0)</f>
        <v>166</v>
      </c>
      <c r="Y132" s="94">
        <f ca="1">TblRezone[[#This Row],[Total acres]]*TblRezone[[#This Row],[Plat/acre]]</f>
        <v>0</v>
      </c>
      <c r="Z132" s="215"/>
      <c r="AA132" s="94">
        <f ca="1">(250+0.6*(TblRezone[[#This Row],[Land]]-250))</f>
        <v>166</v>
      </c>
      <c r="AB132" s="215"/>
      <c r="AC132" s="157">
        <f ca="1">TblConstr[[#This Row],[Facs DB]]</f>
        <v>0</v>
      </c>
    </row>
    <row r="133" spans="1:29" x14ac:dyDescent="0.2">
      <c r="A133" s="214">
        <f ca="1">TblConstr[[#This Row],[Land]]</f>
        <v>110</v>
      </c>
      <c r="B133" s="216">
        <f ca="1">TblConstr[[#This Row],[Plain]]</f>
        <v>60</v>
      </c>
      <c r="C133" s="182">
        <f ca="1">TblConstr[[#This Row],[Forest]]</f>
        <v>0</v>
      </c>
      <c r="D133" s="359">
        <f ca="1">TblConstr[[#This Row],[Mountain]]</f>
        <v>0</v>
      </c>
      <c r="E133" s="363">
        <f ca="1">TblConstr[[#This Row],[Hill]]</f>
        <v>0</v>
      </c>
      <c r="F133" s="367">
        <f ca="1">TblConstr[[#This Row],[Swamp]]</f>
        <v>0</v>
      </c>
      <c r="G133" s="185">
        <f ca="1">TblConstr[[#This Row],[Cavern]]</f>
        <v>0</v>
      </c>
      <c r="H133" s="186">
        <f ca="1">TblConstr[[#This Row],[Water]]</f>
        <v>0</v>
      </c>
      <c r="I133" s="215"/>
      <c r="J133" s="175">
        <f t="shared" si="3"/>
        <v>130</v>
      </c>
      <c r="K133" s="236">
        <f ca="1">TblImps[[#This Row],[Real time]]</f>
        <v>46052.374999999687</v>
      </c>
      <c r="L133" s="179"/>
      <c r="M133" s="179"/>
      <c r="N133" s="179"/>
      <c r="O133" s="179"/>
      <c r="P133" s="179"/>
      <c r="Q133" s="179"/>
      <c r="R133" s="179"/>
      <c r="S133" s="94">
        <f>SUMIF(TblRezone[[#This Row],[Plains Rezone]:[Water Rezone]],"&gt;0")</f>
        <v>0</v>
      </c>
      <c r="T133" s="61" t="str">
        <f>IF(SUM(TblRezone[[#This Row],[Plains Rezone]:[Water Rezone]])=0,"Ok","Nope")</f>
        <v>Ok</v>
      </c>
      <c r="U133" s="215"/>
      <c r="V133" s="94">
        <f ca="1">TblProd[[#This Row],[Platinum]]</f>
        <v>225909</v>
      </c>
      <c r="W133" s="215"/>
      <c r="X133" s="94">
        <f ca="1">ROUND( (1-MIN(ROUND(facs_rezone_factor*TblRezone[[#This Row],[Facs]],4),facs_rezone_max) + tech_6_4*TblTech[[#This Row],[6-4]] + tech_10_2*TblTech[[#This Row],[10-2]] - IF(TblMagic[[#This Row],[Active Mechanical Genius]]&gt;0,mech_genius_bonus,0) + race_rezone_cost) * TblRezone[[#This Row],[Plat/acre*]],0)</f>
        <v>166</v>
      </c>
      <c r="Y133" s="94">
        <f ca="1">TblRezone[[#This Row],[Total acres]]*TblRezone[[#This Row],[Plat/acre]]</f>
        <v>0</v>
      </c>
      <c r="Z133" s="215"/>
      <c r="AA133" s="94">
        <f ca="1">(250+0.6*(TblRezone[[#This Row],[Land]]-250))</f>
        <v>166</v>
      </c>
      <c r="AB133" s="215"/>
      <c r="AC133" s="157">
        <f ca="1">TblConstr[[#This Row],[Facs DB]]</f>
        <v>0</v>
      </c>
    </row>
    <row r="134" spans="1:29" x14ac:dyDescent="0.2">
      <c r="A134" s="214">
        <f ca="1">TblConstr[[#This Row],[Land]]</f>
        <v>110</v>
      </c>
      <c r="B134" s="216">
        <f ca="1">TblConstr[[#This Row],[Plain]]</f>
        <v>60</v>
      </c>
      <c r="C134" s="182">
        <f ca="1">TblConstr[[#This Row],[Forest]]</f>
        <v>0</v>
      </c>
      <c r="D134" s="359">
        <f ca="1">TblConstr[[#This Row],[Mountain]]</f>
        <v>0</v>
      </c>
      <c r="E134" s="363">
        <f ca="1">TblConstr[[#This Row],[Hill]]</f>
        <v>0</v>
      </c>
      <c r="F134" s="367">
        <f ca="1">TblConstr[[#This Row],[Swamp]]</f>
        <v>0</v>
      </c>
      <c r="G134" s="185">
        <f ca="1">TblConstr[[#This Row],[Cavern]]</f>
        <v>0</v>
      </c>
      <c r="H134" s="186">
        <f ca="1">TblConstr[[#This Row],[Water]]</f>
        <v>0</v>
      </c>
      <c r="I134" s="215"/>
      <c r="J134" s="175">
        <f t="shared" si="3"/>
        <v>131</v>
      </c>
      <c r="K134" s="236">
        <f ca="1">TblImps[[#This Row],[Real time]]</f>
        <v>46052.416666666351</v>
      </c>
      <c r="L134" s="179"/>
      <c r="M134" s="179"/>
      <c r="N134" s="179"/>
      <c r="O134" s="179"/>
      <c r="P134" s="179"/>
      <c r="Q134" s="179"/>
      <c r="R134" s="179"/>
      <c r="S134" s="94">
        <f>SUMIF(TblRezone[[#This Row],[Plains Rezone]:[Water Rezone]],"&gt;0")</f>
        <v>0</v>
      </c>
      <c r="T134" s="61" t="str">
        <f>IF(SUM(TblRezone[[#This Row],[Plains Rezone]:[Water Rezone]])=0,"Ok","Nope")</f>
        <v>Ok</v>
      </c>
      <c r="U134" s="215"/>
      <c r="V134" s="94">
        <f ca="1">TblProd[[#This Row],[Platinum]]</f>
        <v>226651</v>
      </c>
      <c r="W134" s="215"/>
      <c r="X134" s="94">
        <f ca="1">ROUND( (1-MIN(ROUND(facs_rezone_factor*TblRezone[[#This Row],[Facs]],4),facs_rezone_max) + tech_6_4*TblTech[[#This Row],[6-4]] + tech_10_2*TblTech[[#This Row],[10-2]] - IF(TblMagic[[#This Row],[Active Mechanical Genius]]&gt;0,mech_genius_bonus,0) + race_rezone_cost) * TblRezone[[#This Row],[Plat/acre*]],0)</f>
        <v>166</v>
      </c>
      <c r="Y134" s="94">
        <f ca="1">TblRezone[[#This Row],[Total acres]]*TblRezone[[#This Row],[Plat/acre]]</f>
        <v>0</v>
      </c>
      <c r="Z134" s="215"/>
      <c r="AA134" s="94">
        <f ca="1">(250+0.6*(TblRezone[[#This Row],[Land]]-250))</f>
        <v>166</v>
      </c>
      <c r="AB134" s="215"/>
      <c r="AC134" s="157">
        <f ca="1">TblConstr[[#This Row],[Facs DB]]</f>
        <v>0</v>
      </c>
    </row>
    <row r="135" spans="1:29" x14ac:dyDescent="0.2">
      <c r="A135" s="214">
        <f ca="1">TblConstr[[#This Row],[Land]]</f>
        <v>110</v>
      </c>
      <c r="B135" s="216">
        <f ca="1">TblConstr[[#This Row],[Plain]]</f>
        <v>60</v>
      </c>
      <c r="C135" s="182">
        <f ca="1">TblConstr[[#This Row],[Forest]]</f>
        <v>0</v>
      </c>
      <c r="D135" s="359">
        <f ca="1">TblConstr[[#This Row],[Mountain]]</f>
        <v>0</v>
      </c>
      <c r="E135" s="363">
        <f ca="1">TblConstr[[#This Row],[Hill]]</f>
        <v>0</v>
      </c>
      <c r="F135" s="367">
        <f ca="1">TblConstr[[#This Row],[Swamp]]</f>
        <v>0</v>
      </c>
      <c r="G135" s="185">
        <f ca="1">TblConstr[[#This Row],[Cavern]]</f>
        <v>0</v>
      </c>
      <c r="H135" s="186">
        <f ca="1">TblConstr[[#This Row],[Water]]</f>
        <v>0</v>
      </c>
      <c r="I135" s="215"/>
      <c r="J135" s="175">
        <f t="shared" si="3"/>
        <v>132</v>
      </c>
      <c r="K135" s="236">
        <f ca="1">TblImps[[#This Row],[Real time]]</f>
        <v>46052.458333333016</v>
      </c>
      <c r="L135" s="179"/>
      <c r="M135" s="179"/>
      <c r="N135" s="179"/>
      <c r="O135" s="179"/>
      <c r="P135" s="179"/>
      <c r="Q135" s="179"/>
      <c r="R135" s="179"/>
      <c r="S135" s="94">
        <f>SUMIF(TblRezone[[#This Row],[Plains Rezone]:[Water Rezone]],"&gt;0")</f>
        <v>0</v>
      </c>
      <c r="T135" s="61" t="str">
        <f>IF(SUM(TblRezone[[#This Row],[Plains Rezone]:[Water Rezone]])=0,"Ok","Nope")</f>
        <v>Ok</v>
      </c>
      <c r="U135" s="215"/>
      <c r="V135" s="94">
        <f ca="1">TblProd[[#This Row],[Platinum]]</f>
        <v>227385</v>
      </c>
      <c r="W135" s="215"/>
      <c r="X135" s="94">
        <f ca="1">ROUND( (1-MIN(ROUND(facs_rezone_factor*TblRezone[[#This Row],[Facs]],4),facs_rezone_max) + tech_6_4*TblTech[[#This Row],[6-4]] + tech_10_2*TblTech[[#This Row],[10-2]] - IF(TblMagic[[#This Row],[Active Mechanical Genius]]&gt;0,mech_genius_bonus,0) + race_rezone_cost) * TblRezone[[#This Row],[Plat/acre*]],0)</f>
        <v>166</v>
      </c>
      <c r="Y135" s="94">
        <f ca="1">TblRezone[[#This Row],[Total acres]]*TblRezone[[#This Row],[Plat/acre]]</f>
        <v>0</v>
      </c>
      <c r="Z135" s="215"/>
      <c r="AA135" s="94">
        <f ca="1">(250+0.6*(TblRezone[[#This Row],[Land]]-250))</f>
        <v>166</v>
      </c>
      <c r="AB135" s="215"/>
      <c r="AC135" s="157">
        <f ca="1">TblConstr[[#This Row],[Facs DB]]</f>
        <v>0</v>
      </c>
    </row>
    <row r="136" spans="1:29" x14ac:dyDescent="0.2">
      <c r="A136" s="214">
        <f ca="1">TblConstr[[#This Row],[Land]]</f>
        <v>110</v>
      </c>
      <c r="B136" s="216">
        <f ca="1">TblConstr[[#This Row],[Plain]]</f>
        <v>60</v>
      </c>
      <c r="C136" s="182">
        <f ca="1">TblConstr[[#This Row],[Forest]]</f>
        <v>0</v>
      </c>
      <c r="D136" s="359">
        <f ca="1">TblConstr[[#This Row],[Mountain]]</f>
        <v>0</v>
      </c>
      <c r="E136" s="363">
        <f ca="1">TblConstr[[#This Row],[Hill]]</f>
        <v>0</v>
      </c>
      <c r="F136" s="367">
        <f ca="1">TblConstr[[#This Row],[Swamp]]</f>
        <v>0</v>
      </c>
      <c r="G136" s="185">
        <f ca="1">TblConstr[[#This Row],[Cavern]]</f>
        <v>0</v>
      </c>
      <c r="H136" s="186">
        <f ca="1">TblConstr[[#This Row],[Water]]</f>
        <v>0</v>
      </c>
      <c r="I136" s="215"/>
      <c r="J136" s="175">
        <f t="shared" si="3"/>
        <v>133</v>
      </c>
      <c r="K136" s="236">
        <f ca="1">TblImps[[#This Row],[Real time]]</f>
        <v>46052.49999999968</v>
      </c>
      <c r="L136" s="179"/>
      <c r="M136" s="179"/>
      <c r="N136" s="179"/>
      <c r="O136" s="179"/>
      <c r="P136" s="179"/>
      <c r="Q136" s="179"/>
      <c r="R136" s="179"/>
      <c r="S136" s="94">
        <f>SUMIF(TblRezone[[#This Row],[Plains Rezone]:[Water Rezone]],"&gt;0")</f>
        <v>0</v>
      </c>
      <c r="T136" s="61" t="str">
        <f>IF(SUM(TblRezone[[#This Row],[Plains Rezone]:[Water Rezone]])=0,"Ok","Nope")</f>
        <v>Ok</v>
      </c>
      <c r="U136" s="215"/>
      <c r="V136" s="94">
        <f ca="1">TblProd[[#This Row],[Platinum]]</f>
        <v>228111</v>
      </c>
      <c r="W136" s="215"/>
      <c r="X136" s="94">
        <f ca="1">ROUND( (1-MIN(ROUND(facs_rezone_factor*TblRezone[[#This Row],[Facs]],4),facs_rezone_max) + tech_6_4*TblTech[[#This Row],[6-4]] + tech_10_2*TblTech[[#This Row],[10-2]] - IF(TblMagic[[#This Row],[Active Mechanical Genius]]&gt;0,mech_genius_bonus,0) + race_rezone_cost) * TblRezone[[#This Row],[Plat/acre*]],0)</f>
        <v>166</v>
      </c>
      <c r="Y136" s="94">
        <f ca="1">TblRezone[[#This Row],[Total acres]]*TblRezone[[#This Row],[Plat/acre]]</f>
        <v>0</v>
      </c>
      <c r="Z136" s="215"/>
      <c r="AA136" s="94">
        <f ca="1">(250+0.6*(TblRezone[[#This Row],[Land]]-250))</f>
        <v>166</v>
      </c>
      <c r="AB136" s="215"/>
      <c r="AC136" s="157">
        <f ca="1">TblConstr[[#This Row],[Facs DB]]</f>
        <v>0</v>
      </c>
    </row>
    <row r="1269" spans="1:18" x14ac:dyDescent="0.2">
      <c r="A1269" s="530" t="s">
        <v>314</v>
      </c>
      <c r="B1269" s="530"/>
      <c r="I1269" s="238" t="s">
        <v>304</v>
      </c>
      <c r="L1269" s="239"/>
      <c r="M1269" s="239">
        <v>-10</v>
      </c>
      <c r="N1269" s="239">
        <v>10</v>
      </c>
      <c r="O1269" s="239"/>
      <c r="P1269" s="239"/>
      <c r="Q1269" s="239"/>
      <c r="R1269" s="239"/>
    </row>
    <row r="1270" spans="1:18" x14ac:dyDescent="0.2">
      <c r="A1270" s="28">
        <f>Overview!E17</f>
        <v>0</v>
      </c>
      <c r="B1270" s="28"/>
      <c r="L1270" s="535" t="s">
        <v>303</v>
      </c>
      <c r="M1270" s="486"/>
      <c r="N1270" s="486"/>
      <c r="O1270" s="486"/>
      <c r="P1270" s="486"/>
      <c r="Q1270" s="486"/>
      <c r="R1270" s="486"/>
    </row>
  </sheetData>
  <mergeCells count="2">
    <mergeCell ref="L1270:R1270"/>
    <mergeCell ref="A1269:B1269"/>
  </mergeCells>
  <phoneticPr fontId="0" type="noConversion"/>
  <conditionalFormatting sqref="A1271:AC60158 A137:AC1268">
    <cfRule type="expression" dxfId="435" priority="14" stopIfTrue="1">
      <formula>ROW()-2=#REF!</formula>
    </cfRule>
  </conditionalFormatting>
  <conditionalFormatting sqref="A1269:AC1270">
    <cfRule type="expression" dxfId="434" priority="15" stopIfTrue="1">
      <formula>$A$1270&gt;144</formula>
    </cfRule>
  </conditionalFormatting>
  <conditionalFormatting sqref="A1:AC3">
    <cfRule type="expression" dxfId="433" priority="19" stopIfTrue="1">
      <formula>$A$1270&lt;0</formula>
    </cfRule>
  </conditionalFormatting>
  <conditionalFormatting sqref="A4:AC136">
    <cfRule type="expression" dxfId="432" priority="1" stopIfTrue="1">
      <formula>ROW()-3=$A$1270</formula>
    </cfRule>
    <cfRule type="expression" dxfId="431" priority="2" stopIfTrue="1">
      <formula>OR(AND(ROW()-3=$A$1270,A4="Ok",XFD4&lt;&gt;0),A4="Nope")</formula>
    </cfRule>
    <cfRule type="expression" dxfId="430" priority="4">
      <formula>$J4=37</formula>
    </cfRule>
    <cfRule type="expression" dxfId="429" priority="7">
      <formula>ROUND(($J4-1)/12,0)=INT($J4-1)/12</formula>
    </cfRule>
  </conditionalFormatting>
  <conditionalFormatting sqref="T76">
    <cfRule type="expression" dxfId="428" priority="13" stopIfTrue="1">
      <formula>S76=0</formula>
    </cfRule>
  </conditionalFormatting>
  <conditionalFormatting sqref="B4:H136">
    <cfRule type="cellIs" dxfId="427" priority="8" operator="lessThan">
      <formula>0</formula>
    </cfRule>
  </conditionalFormatting>
  <pageMargins left="0.75" right="0.75" top="1" bottom="1" header="0.5" footer="0.5"/>
  <pageSetup paperSize="9" orientation="portrait" horizontalDpi="300" verticalDpi="300" r:id="rId1"/>
  <headerFooter alignWithMargins="0"/>
  <legacyDrawing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C00000"/>
  </sheetPr>
  <dimension ref="A1:DI1270"/>
  <sheetViews>
    <sheetView zoomScale="85" zoomScaleNormal="85" workbookViewId="0">
      <pane ySplit="3" topLeftCell="A4" activePane="bottomLeft" state="frozenSplit"/>
      <selection activeCell="A3" sqref="A3"/>
      <selection pane="bottomLeft" activeCell="Y4" sqref="Y4"/>
    </sheetView>
  </sheetViews>
  <sheetFormatPr defaultColWidth="9.140625" defaultRowHeight="12.75" x14ac:dyDescent="0.2"/>
  <cols>
    <col min="1" max="1" width="7.5703125" style="45" customWidth="1"/>
    <col min="2" max="2" width="8.85546875" style="45" customWidth="1"/>
    <col min="3" max="3" width="11.42578125" style="45" customWidth="1"/>
    <col min="4" max="4" width="2.85546875" style="45" customWidth="1"/>
    <col min="5" max="12" width="10" style="45" customWidth="1"/>
    <col min="13" max="13" width="2.85546875" style="45" customWidth="1"/>
    <col min="14" max="14" width="11.7109375" style="45" customWidth="1"/>
    <col min="15" max="15" width="2.85546875" style="45" customWidth="1"/>
    <col min="16" max="20" width="10" style="45" customWidth="1"/>
    <col min="21" max="21" width="10" style="177" customWidth="1"/>
    <col min="22" max="22" width="10" style="249" customWidth="1"/>
    <col min="23" max="24" width="10" style="45" customWidth="1"/>
    <col min="25" max="25" width="6.85546875" style="45" bestFit="1" customWidth="1"/>
    <col min="26" max="26" width="11.28515625" style="45" customWidth="1"/>
    <col min="27" max="27" width="11.140625" style="45" customWidth="1"/>
    <col min="28" max="28" width="2.85546875" style="45" customWidth="1"/>
    <col min="29" max="29" width="11.42578125" style="45" customWidth="1"/>
    <col min="30" max="30" width="2.85546875" style="45" customWidth="1"/>
    <col min="31" max="31" width="8.5703125" style="45" customWidth="1"/>
    <col min="32" max="32" width="7.85546875" style="45" customWidth="1"/>
    <col min="33" max="36" width="11.140625" style="45" bestFit="1" customWidth="1"/>
    <col min="37" max="37" width="10.5703125" style="45" bestFit="1" customWidth="1"/>
    <col min="38" max="38" width="10.5703125" style="45" customWidth="1"/>
    <col min="39" max="39" width="9.28515625" style="45" bestFit="1" customWidth="1"/>
    <col min="40" max="40" width="11.7109375" style="45" bestFit="1" customWidth="1"/>
    <col min="41" max="41" width="7.5703125" style="45" customWidth="1"/>
    <col min="42" max="42" width="2.85546875" style="45" customWidth="1"/>
    <col min="43" max="57" width="11.42578125" style="45" customWidth="1"/>
    <col min="58" max="58" width="11.28515625" style="45" bestFit="1" customWidth="1"/>
    <col min="59" max="59" width="2.85546875" style="45" customWidth="1"/>
    <col min="60" max="60" width="7" style="45" customWidth="1"/>
    <col min="61" max="62" width="9.5703125" style="45" customWidth="1"/>
    <col min="63" max="64" width="9.42578125" style="45" customWidth="1"/>
    <col min="65" max="68" width="9.140625" style="45" customWidth="1"/>
    <col min="69" max="70" width="10.42578125" style="45" customWidth="1"/>
    <col min="71" max="71" width="10.28515625" style="45" customWidth="1"/>
    <col min="72" max="72" width="10.140625" style="45" customWidth="1"/>
    <col min="73" max="73" width="8.7109375" style="45" customWidth="1"/>
    <col min="74" max="74" width="2.85546875" style="45" customWidth="1"/>
    <col min="75" max="107" width="12.85546875" style="45" hidden="1" customWidth="1"/>
    <col min="108" max="108" width="10.140625" style="45" hidden="1" customWidth="1"/>
    <col min="109" max="109" width="2.85546875" style="45" hidden="1" customWidth="1"/>
    <col min="110" max="110" width="12.85546875" style="45" hidden="1" customWidth="1"/>
    <col min="111" max="113" width="9.140625" style="45" hidden="1" customWidth="1"/>
    <col min="114" max="16384" width="9.140625" style="45"/>
  </cols>
  <sheetData>
    <row r="1" spans="1:113" x14ac:dyDescent="0.2">
      <c r="A1" s="5"/>
      <c r="B1" s="5"/>
      <c r="C1" s="5"/>
      <c r="D1" s="5"/>
      <c r="E1" s="5"/>
      <c r="F1" s="5"/>
      <c r="G1" s="5"/>
      <c r="H1" s="5"/>
      <c r="I1" s="5"/>
      <c r="J1" s="5"/>
      <c r="K1" s="5"/>
      <c r="L1" s="5"/>
      <c r="M1" s="5"/>
      <c r="N1" s="5"/>
      <c r="O1" s="5"/>
      <c r="P1" s="531" t="s">
        <v>31</v>
      </c>
      <c r="Q1" s="531"/>
      <c r="R1" s="531"/>
      <c r="S1" s="536" t="s">
        <v>472</v>
      </c>
      <c r="T1" s="531"/>
      <c r="U1" s="173"/>
      <c r="V1" s="531" t="s">
        <v>473</v>
      </c>
      <c r="W1" s="531"/>
      <c r="X1" s="5"/>
      <c r="Y1" s="531" t="s">
        <v>24</v>
      </c>
      <c r="Z1" s="531"/>
      <c r="AA1" s="531"/>
      <c r="AB1" s="28"/>
      <c r="AC1" s="5"/>
      <c r="AD1" s="5"/>
      <c r="AE1" s="5"/>
      <c r="AF1" s="5"/>
      <c r="AG1" s="5" t="s">
        <v>180</v>
      </c>
      <c r="AH1" s="5"/>
      <c r="AI1" s="5"/>
      <c r="AJ1" s="5"/>
      <c r="AK1" s="5"/>
      <c r="AL1" s="5"/>
      <c r="AM1" s="5"/>
      <c r="AN1" s="5"/>
      <c r="AO1" s="5"/>
      <c r="AQ1" s="5" t="s">
        <v>77</v>
      </c>
      <c r="AR1" s="5"/>
      <c r="AS1" s="5" t="s">
        <v>33</v>
      </c>
      <c r="AT1" s="5"/>
      <c r="AU1" s="5"/>
      <c r="AV1" s="5"/>
      <c r="AX1" s="5" t="s">
        <v>185</v>
      </c>
      <c r="AY1" s="5"/>
      <c r="AZ1" s="5"/>
      <c r="BA1" s="5"/>
      <c r="BB1" s="5"/>
      <c r="BC1" s="5"/>
      <c r="BD1" s="5"/>
      <c r="BE1" s="5"/>
      <c r="BF1" s="5"/>
      <c r="BG1" s="5"/>
      <c r="BH1" s="5"/>
      <c r="BI1" s="531" t="s">
        <v>488</v>
      </c>
      <c r="BJ1" s="531"/>
      <c r="BK1" s="531"/>
      <c r="BL1" s="531"/>
      <c r="BM1" s="531"/>
      <c r="BN1" s="531"/>
      <c r="BO1" s="531"/>
      <c r="BP1" s="531"/>
      <c r="BQ1" s="532"/>
      <c r="BR1" s="532"/>
      <c r="BS1" s="532"/>
      <c r="BT1" s="532"/>
      <c r="BU1" s="5"/>
      <c r="BW1" s="533" t="s">
        <v>296</v>
      </c>
      <c r="BX1" s="486"/>
      <c r="BY1" s="486"/>
      <c r="BZ1" s="28"/>
      <c r="CA1" s="5"/>
      <c r="CB1" s="5"/>
      <c r="CC1" s="28"/>
      <c r="CD1" s="28"/>
      <c r="CE1" s="28"/>
      <c r="CF1" s="28"/>
      <c r="CG1" s="28"/>
      <c r="CH1" s="28"/>
      <c r="CI1" s="28"/>
      <c r="CJ1" s="28"/>
      <c r="CK1" s="5"/>
      <c r="CL1" s="5"/>
      <c r="CM1" s="5"/>
      <c r="CO1" s="531" t="s">
        <v>310</v>
      </c>
      <c r="CP1" s="531"/>
      <c r="CQ1" s="531"/>
      <c r="CR1" s="532"/>
      <c r="CS1" s="532"/>
      <c r="CT1" s="532"/>
      <c r="CU1" s="532"/>
      <c r="CV1" s="532"/>
      <c r="CW1" s="532"/>
      <c r="CX1" s="57"/>
      <c r="CY1" s="57"/>
      <c r="CZ1" s="57"/>
      <c r="DA1" s="57"/>
      <c r="DB1" s="57"/>
      <c r="DC1" s="5"/>
      <c r="DD1" s="5"/>
      <c r="DF1" s="5" t="s">
        <v>253</v>
      </c>
    </row>
    <row r="2" spans="1:113" x14ac:dyDescent="0.2">
      <c r="A2" s="5"/>
      <c r="B2" s="5"/>
      <c r="C2" s="5"/>
      <c r="D2" s="5"/>
      <c r="E2" s="240" t="str">
        <f>Overview!$A$22</f>
        <v>Spearman</v>
      </c>
      <c r="F2" s="240" t="str">
        <f>Overview!$A$23</f>
        <v>Archer</v>
      </c>
      <c r="G2" s="240" t="str">
        <f>Overview!$A$24</f>
        <v>Knight</v>
      </c>
      <c r="H2" s="240" t="str">
        <f>Overview!$A$25</f>
        <v>Cavalry</v>
      </c>
      <c r="I2" s="240" t="s">
        <v>25</v>
      </c>
      <c r="J2" s="240" t="s">
        <v>1079</v>
      </c>
      <c r="K2" s="240" t="s">
        <v>26</v>
      </c>
      <c r="L2" s="240" t="s">
        <v>27</v>
      </c>
      <c r="M2" s="5"/>
      <c r="N2" s="5"/>
      <c r="O2" s="5"/>
      <c r="P2" s="28"/>
      <c r="Q2" s="28"/>
      <c r="R2" s="28"/>
      <c r="S2" s="241"/>
      <c r="T2" s="28"/>
      <c r="U2" s="173"/>
      <c r="V2" s="28"/>
      <c r="W2" s="28"/>
      <c r="X2" s="5"/>
      <c r="Y2" s="5"/>
      <c r="Z2" s="5"/>
      <c r="AA2" s="5"/>
      <c r="AB2" s="5"/>
      <c r="AC2" s="5"/>
      <c r="AD2" s="5"/>
      <c r="AE2" s="5"/>
      <c r="AF2" s="5"/>
      <c r="AG2" s="240" t="str">
        <f>Overview!$A$22</f>
        <v>Spearman</v>
      </c>
      <c r="AH2" s="240" t="str">
        <f>Overview!$A$23</f>
        <v>Archer</v>
      </c>
      <c r="AI2" s="240" t="str">
        <f>Overview!$A$24</f>
        <v>Knight</v>
      </c>
      <c r="AJ2" s="240" t="str">
        <f>Overview!$A$25</f>
        <v>Cavalry</v>
      </c>
      <c r="AK2" s="240" t="s">
        <v>25</v>
      </c>
      <c r="AL2" s="240" t="s">
        <v>1079</v>
      </c>
      <c r="AM2" s="240" t="s">
        <v>26</v>
      </c>
      <c r="AN2" s="240" t="s">
        <v>27</v>
      </c>
      <c r="AO2" s="5"/>
      <c r="AQ2" s="5"/>
      <c r="AR2" s="242" t="str">
        <f>INDEX(Constants!A137:B158,MATCH(race,Constants!A137:A158,0),2)</f>
        <v>Ore</v>
      </c>
      <c r="AS2" s="5"/>
      <c r="AT2" s="242" t="str">
        <f>AR2</f>
        <v>Ore</v>
      </c>
      <c r="AU2" s="5"/>
      <c r="AV2" s="5"/>
      <c r="AX2" s="240" t="s">
        <v>24</v>
      </c>
      <c r="AY2" s="240" t="str">
        <f>Overview!$A$22</f>
        <v>Spearman</v>
      </c>
      <c r="AZ2" s="240" t="str">
        <f>Overview!$A$23</f>
        <v>Archer</v>
      </c>
      <c r="BA2" s="240" t="str">
        <f>Overview!$A$24</f>
        <v>Knight</v>
      </c>
      <c r="BB2" s="240" t="str">
        <f>Overview!$A$25</f>
        <v>Cavalry</v>
      </c>
      <c r="BC2" s="240" t="s">
        <v>25</v>
      </c>
      <c r="BD2" s="240" t="s">
        <v>1079</v>
      </c>
      <c r="BE2" s="240" t="s">
        <v>26</v>
      </c>
      <c r="BF2" s="240" t="s">
        <v>27</v>
      </c>
      <c r="BG2" s="5"/>
      <c r="BH2" s="5"/>
      <c r="BI2" s="28"/>
      <c r="BJ2" s="28"/>
      <c r="BK2" s="28"/>
      <c r="BL2" s="28"/>
      <c r="BM2" s="28"/>
      <c r="BN2" s="28"/>
      <c r="BO2" s="28"/>
      <c r="BP2" s="28"/>
      <c r="BQ2" s="57"/>
      <c r="BR2" s="57"/>
      <c r="BS2" s="57"/>
      <c r="BT2" s="57"/>
      <c r="BU2" s="5"/>
      <c r="BY2" s="28"/>
      <c r="BZ2" s="28"/>
      <c r="CA2" s="5"/>
      <c r="CB2" s="5"/>
      <c r="CC2" s="28"/>
      <c r="CD2" s="28"/>
      <c r="CE2" s="28"/>
      <c r="CF2" s="28"/>
      <c r="CG2" s="28"/>
      <c r="CH2" s="28"/>
      <c r="CI2" s="28"/>
      <c r="CJ2" s="28"/>
      <c r="CK2" s="5"/>
      <c r="CL2" s="5"/>
      <c r="CM2" s="5"/>
      <c r="CN2" s="28"/>
      <c r="CX2" s="57"/>
      <c r="CY2" s="57"/>
      <c r="CZ2" s="57"/>
      <c r="DA2" s="57"/>
      <c r="DB2" s="57"/>
      <c r="DC2" s="5"/>
      <c r="DD2" s="5"/>
      <c r="DE2" s="5"/>
      <c r="DF2" s="5"/>
    </row>
    <row r="3" spans="1:113" ht="30" customHeight="1" x14ac:dyDescent="0.2">
      <c r="A3" s="135" t="s">
        <v>0</v>
      </c>
      <c r="B3" s="135" t="s">
        <v>22</v>
      </c>
      <c r="C3" s="135" t="s">
        <v>187</v>
      </c>
      <c r="D3" s="135" t="s">
        <v>769</v>
      </c>
      <c r="E3" s="135" t="s">
        <v>765</v>
      </c>
      <c r="F3" s="135" t="s">
        <v>766</v>
      </c>
      <c r="G3" s="135" t="s">
        <v>767</v>
      </c>
      <c r="H3" s="135" t="s">
        <v>768</v>
      </c>
      <c r="I3" s="135" t="s">
        <v>25</v>
      </c>
      <c r="J3" s="135" t="s">
        <v>1079</v>
      </c>
      <c r="K3" s="135" t="s">
        <v>26</v>
      </c>
      <c r="L3" s="135" t="s">
        <v>27</v>
      </c>
      <c r="M3" s="135" t="s">
        <v>770</v>
      </c>
      <c r="N3" s="135" t="s">
        <v>230</v>
      </c>
      <c r="O3" s="135" t="s">
        <v>771</v>
      </c>
      <c r="P3" s="135" t="s">
        <v>188</v>
      </c>
      <c r="Q3" s="135" t="s">
        <v>794</v>
      </c>
      <c r="R3" s="135" t="s">
        <v>227</v>
      </c>
      <c r="S3" s="243" t="s">
        <v>474</v>
      </c>
      <c r="T3" s="135" t="s">
        <v>471</v>
      </c>
      <c r="U3" s="135" t="s">
        <v>795</v>
      </c>
      <c r="V3" s="244" t="s">
        <v>863</v>
      </c>
      <c r="W3" s="135" t="s">
        <v>864</v>
      </c>
      <c r="X3" s="135" t="s">
        <v>1</v>
      </c>
      <c r="Y3" s="135" t="s">
        <v>179</v>
      </c>
      <c r="Z3" s="135" t="s">
        <v>178</v>
      </c>
      <c r="AA3" s="135" t="s">
        <v>24</v>
      </c>
      <c r="AB3" s="135" t="s">
        <v>784</v>
      </c>
      <c r="AC3" s="135" t="s">
        <v>183</v>
      </c>
      <c r="AD3" s="135" t="s">
        <v>785</v>
      </c>
      <c r="AE3" s="135" t="s">
        <v>849</v>
      </c>
      <c r="AF3" s="135" t="s">
        <v>309</v>
      </c>
      <c r="AG3" s="135" t="s">
        <v>778</v>
      </c>
      <c r="AH3" s="135" t="s">
        <v>779</v>
      </c>
      <c r="AI3" s="135" t="s">
        <v>780</v>
      </c>
      <c r="AJ3" s="135" t="s">
        <v>781</v>
      </c>
      <c r="AK3" s="135" t="s">
        <v>782</v>
      </c>
      <c r="AL3" s="135" t="s">
        <v>1078</v>
      </c>
      <c r="AM3" s="135" t="s">
        <v>783</v>
      </c>
      <c r="AN3" s="135" t="s">
        <v>1077</v>
      </c>
      <c r="AO3" s="135" t="s">
        <v>1115</v>
      </c>
      <c r="AP3" s="135" t="s">
        <v>1041</v>
      </c>
      <c r="AQ3" s="135" t="s">
        <v>2</v>
      </c>
      <c r="AR3" s="243" t="s">
        <v>1001</v>
      </c>
      <c r="AS3" s="135" t="s">
        <v>796</v>
      </c>
      <c r="AT3" s="243" t="s">
        <v>1002</v>
      </c>
      <c r="AU3" s="135" t="s">
        <v>1038</v>
      </c>
      <c r="AV3" s="135" t="s">
        <v>1040</v>
      </c>
      <c r="AW3" s="135" t="s">
        <v>1141</v>
      </c>
      <c r="AX3" s="135" t="s">
        <v>787</v>
      </c>
      <c r="AY3" s="135" t="s">
        <v>788</v>
      </c>
      <c r="AZ3" s="135" t="s">
        <v>789</v>
      </c>
      <c r="BA3" s="135" t="s">
        <v>790</v>
      </c>
      <c r="BB3" s="135" t="s">
        <v>791</v>
      </c>
      <c r="BC3" s="135" t="s">
        <v>792</v>
      </c>
      <c r="BD3" s="135" t="s">
        <v>1080</v>
      </c>
      <c r="BE3" s="135" t="s">
        <v>793</v>
      </c>
      <c r="BF3" s="135" t="s">
        <v>1081</v>
      </c>
      <c r="BG3" s="135" t="s">
        <v>1009</v>
      </c>
      <c r="BH3" s="135" t="s">
        <v>231</v>
      </c>
      <c r="BI3" s="135" t="s">
        <v>352</v>
      </c>
      <c r="BJ3" s="135" t="s">
        <v>489</v>
      </c>
      <c r="BK3" s="135" t="s">
        <v>490</v>
      </c>
      <c r="BL3" s="135" t="s">
        <v>491</v>
      </c>
      <c r="BM3" s="135" t="s">
        <v>492</v>
      </c>
      <c r="BN3" s="135" t="s">
        <v>493</v>
      </c>
      <c r="BO3" s="135" t="s">
        <v>494</v>
      </c>
      <c r="BP3" s="135" t="s">
        <v>495</v>
      </c>
      <c r="BQ3" s="135" t="s">
        <v>496</v>
      </c>
      <c r="BR3" s="135" t="s">
        <v>892</v>
      </c>
      <c r="BS3" s="135" t="s">
        <v>1082</v>
      </c>
      <c r="BT3" s="135" t="s">
        <v>893</v>
      </c>
      <c r="BU3" s="135" t="s">
        <v>894</v>
      </c>
      <c r="BV3" s="135" t="s">
        <v>353</v>
      </c>
      <c r="BW3" s="135" t="s">
        <v>1131</v>
      </c>
      <c r="BX3" s="135" t="s">
        <v>295</v>
      </c>
      <c r="BY3" s="135" t="s">
        <v>124</v>
      </c>
      <c r="BZ3" s="135" t="s">
        <v>1004</v>
      </c>
      <c r="CA3" s="135" t="s">
        <v>1003</v>
      </c>
      <c r="CB3" s="135" t="s">
        <v>139</v>
      </c>
      <c r="CC3" s="135" t="s">
        <v>132</v>
      </c>
      <c r="CD3" s="135" t="s">
        <v>1064</v>
      </c>
      <c r="CE3" s="135" t="s">
        <v>1065</v>
      </c>
      <c r="CF3" s="135" t="s">
        <v>326</v>
      </c>
      <c r="CG3" s="135" t="s">
        <v>327</v>
      </c>
      <c r="CH3" s="135" t="s">
        <v>331</v>
      </c>
      <c r="CI3" s="135" t="s">
        <v>332</v>
      </c>
      <c r="CJ3" s="135" t="s">
        <v>143</v>
      </c>
      <c r="CK3" s="135" t="s">
        <v>498</v>
      </c>
      <c r="CL3" s="135" t="s">
        <v>1139</v>
      </c>
      <c r="CM3" s="135" t="s">
        <v>1162</v>
      </c>
      <c r="CN3" s="245" t="s">
        <v>773</v>
      </c>
      <c r="CO3" s="245" t="s">
        <v>774</v>
      </c>
      <c r="CP3" s="245" t="s">
        <v>775</v>
      </c>
      <c r="CQ3" s="135" t="s">
        <v>1005</v>
      </c>
      <c r="CR3" s="135" t="s">
        <v>878</v>
      </c>
      <c r="CS3" s="135" t="s">
        <v>879</v>
      </c>
      <c r="CT3" s="135" t="s">
        <v>880</v>
      </c>
      <c r="CU3" s="135" t="s">
        <v>881</v>
      </c>
      <c r="CV3" s="135" t="s">
        <v>882</v>
      </c>
      <c r="CW3" s="135" t="s">
        <v>883</v>
      </c>
      <c r="CX3" s="135" t="s">
        <v>884</v>
      </c>
      <c r="CY3" s="135" t="s">
        <v>885</v>
      </c>
      <c r="CZ3" s="135" t="s">
        <v>886</v>
      </c>
      <c r="DA3" s="135" t="s">
        <v>887</v>
      </c>
      <c r="DB3" s="135" t="s">
        <v>888</v>
      </c>
      <c r="DC3" s="245" t="s">
        <v>776</v>
      </c>
      <c r="DD3" s="135" t="s">
        <v>1072</v>
      </c>
      <c r="DE3" s="245" t="s">
        <v>777</v>
      </c>
      <c r="DF3" s="135" t="s">
        <v>889</v>
      </c>
      <c r="DG3" s="135" t="s">
        <v>1124</v>
      </c>
      <c r="DH3" s="135" t="s">
        <v>890</v>
      </c>
      <c r="DI3" s="135" t="s">
        <v>891</v>
      </c>
    </row>
    <row r="4" spans="1:113" x14ac:dyDescent="0.2">
      <c r="A4" s="137">
        <f>TblRezone[[#This Row],[Hour]]</f>
        <v>1</v>
      </c>
      <c r="B4" s="246">
        <f ca="1">SUM(TblMili[[#This Row],[Unit 1]:[Archmages]])+SUM(TblMili[[#This Row],[Train Unit 1]:[Train Unit 4]])+TblMili[[#This Row],[Draftees]]</f>
        <v>150</v>
      </c>
      <c r="C4" s="157">
        <f ca="1">TblPop[[#This Row],[Military%]]</f>
        <v>0.24232633279483037</v>
      </c>
      <c r="D4" s="142"/>
      <c r="E4" s="395">
        <f>start_op_specs - TblMili[[#This Row],[Release Unit 1]]</f>
        <v>0</v>
      </c>
      <c r="F4" s="395">
        <f>start_dp_specs - TblMili[[#This Row],[Release Unit 2]]+days_late*days_late_def_specs</f>
        <v>0</v>
      </c>
      <c r="G4" s="395">
        <f>start_elite1s - TblMili[[#This Row],[Release Unit 3]]</f>
        <v>0</v>
      </c>
      <c r="H4" s="395">
        <f>start_elite2s - TblMili[[#This Row],[Release Unit 4]]</f>
        <v>0</v>
      </c>
      <c r="I4" s="396">
        <f>start_spies -TblMili[[#This Row],[Release Spies]]-TblMili[[#This Row],[Train AS]]</f>
        <v>0</v>
      </c>
      <c r="J4" s="396">
        <f>start_ass - TblMili[[#This Row],[Release AS]]</f>
        <v>0</v>
      </c>
      <c r="K4" s="396">
        <f>start_wizards  - TblMili[[#This Row],[Train AM]] - TblMili[[#This Row],[Release Wizards]]</f>
        <v>0</v>
      </c>
      <c r="L4" s="395">
        <f>start_ams  - TblMili[[#This Row],[Release AM]]</f>
        <v>0</v>
      </c>
      <c r="M4" s="142"/>
      <c r="N4" s="94">
        <f ca="1">TblProd[[#This Row],[Networth]]</f>
        <v>1250</v>
      </c>
      <c r="O4" s="142"/>
      <c r="P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 s="247">
        <f ca="1">TblMili[[#This Row],[Raw]]*(1+TblMili[[#This Row],[Mods_Off]])</f>
        <v>0</v>
      </c>
      <c r="S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 s="247">
        <f ca="1">TblMili[[#This Row],[Non Draft]]+TblMili[[#This Row],[Draftees]]</f>
        <v>150</v>
      </c>
      <c r="U4" s="248">
        <f ca="1">race_defense + TblImps[[#This Row],[Walls]] + ROUND( MIN(gt_bonus*TblConstr[[#This Row],[Tot GT]]/TblConstr[[#This Row],[Land]],gt_bonus_cap), 4) + IF(TblMagic[[#This Row],[Active Howling]]&gt;0,howling_dp_bonus,IF(TblMagic[[#This Row],[Active Ares Call]]&gt;0,ares_call_bonus))</f>
        <v>0</v>
      </c>
      <c r="V4" s="249">
        <f ca="1">TblMili[[#This Row],[Non Draft]] * (1 + TblMili[[#This Row],[Mods_Def]])</f>
        <v>0</v>
      </c>
      <c r="W4" s="247">
        <f ca="1">TblMili[[#This Row],[Draft]] * (1 + TblMili[[#This Row],[Mods_Def]])</f>
        <v>150</v>
      </c>
      <c r="X4" s="247">
        <f ca="1">TblConstr[[#This Row],[Land]]</f>
        <v>50</v>
      </c>
      <c r="Y4" s="250"/>
      <c r="Z4" s="255">
        <f>IF(TblMili[[#This Row],[Set]]&lt;&gt;"",TblMili[[#This Row],[Set]],0.9)</f>
        <v>0.9</v>
      </c>
      <c r="AA4" s="378">
        <f ca="1">start_draftees - SUM(TblMili[[#This Row],[Train Unit 1]:[Train Spies]],TblMili[[#This Row],[Train Wiz]]) - TblMili[[#This Row],[Release Draft]] + SUM(TblMili[[#This Row],[Release Unit 1]:[Release AM]]) - TblExplore[[#This Row],[Draftees (2)]]+MIN(13,days_late)*days_late_draftees</f>
        <v>150</v>
      </c>
      <c r="AB4" s="154"/>
      <c r="AC4" s="180">
        <f ca="1">(TblConstr[[#This Row],[Tot Smi]]+TblConstr[[#This Row],[Dest Smi]])/(TblConstr[[#This Row],[Land]]-TblExplore[[#This Row],[Land Bonus]]*20)</f>
        <v>0</v>
      </c>
      <c r="AD4" s="246"/>
      <c r="AE4" s="246">
        <f>TblMili[[#This Row],[Hour]]</f>
        <v>1</v>
      </c>
      <c r="AF4" s="138">
        <f>TblExplore[[#This Row],[Time]]</f>
        <v>46047</v>
      </c>
      <c r="AG4" s="179"/>
      <c r="AH4" s="179"/>
      <c r="AI4" s="179"/>
      <c r="AJ4" s="179"/>
      <c r="AK4" s="179"/>
      <c r="AL4" s="179"/>
      <c r="AM4" s="179"/>
      <c r="AN4" s="179"/>
      <c r="AO4" s="420">
        <f ca="1">ROUND(IF(AND(TblMagic[[#This Row],[Active DnD]]&lt;12,TblMagic[[#This Row],[Active DnD]]&gt;5),OFFSET(TblPop[[#This Row],[Draft Growth]],-1,0)*0.375,0),0)</f>
        <v>0</v>
      </c>
      <c r="AP4" s="142"/>
      <c r="AQ4" s="94">
        <f ca="1">TblProd[[#This Row],[Platinum]]</f>
        <v>50000</v>
      </c>
      <c r="AR4" s="94">
        <f ca="1">INDEX(TblProd[[#Headers],[Lumber]]:TblProd[[#This Row],[Ore]],COUNTA(TblProd[[#Headers],[Lumber]]:TblProd[[#This Row],[Lumber]]),MATCH(Military!$AR$2,TblProd[[#Headers],[Lumber]:[Ore]],0))</f>
        <v>0</v>
      </c>
      <c r="AS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 s="94">
        <f ca="1">TblMili[[#This Row],[Train Unit 1]]*TblMili[[#This Row],[OP Ore]]+TblMili[[#This Row],[Train Unit 2]]*TblMili[[#This Row],[DP Ore]]+TblMili[[#This Row],[Train Unit 3]]*TblMili[[#This Row],[E1 Ore]]+TblMili[[#This Row],[Train Unit 4]]*TblMili[[#This Row],[E2 Ore]]</f>
        <v>0</v>
      </c>
      <c r="AU4" s="142">
        <f>TblMili[[#This Row],[Hour]]</f>
        <v>1</v>
      </c>
      <c r="AV4" s="152">
        <f>TblMili[[#This Row],[Time]]</f>
        <v>46047</v>
      </c>
      <c r="AW4" s="94">
        <f ca="1">TblMili[[#This Row],[Draftees]]</f>
        <v>150</v>
      </c>
      <c r="AX4" s="179"/>
      <c r="AY4" s="179"/>
      <c r="AZ4" s="179"/>
      <c r="BA4" s="179"/>
      <c r="BB4" s="179"/>
      <c r="BC4" s="179"/>
      <c r="BD4" s="179"/>
      <c r="BE4" s="179"/>
      <c r="BF4" s="179"/>
      <c r="BG4" s="142"/>
      <c r="BH4" s="157">
        <f ca="1">TblConstr[[#This Row],[Tot WG]]/TblConstr[[#This Row],[Land]]</f>
        <v>0</v>
      </c>
      <c r="BI4" s="157">
        <f ca="1">TblConstr[[#This Row],[Tot Hav]]/TblConstr[[#This Row],[Land]]</f>
        <v>0</v>
      </c>
      <c r="BJ4" s="94">
        <f ca="1">ROUNDUP((1-MIN(TblMili[[#This Row],[Smithies]]*smithy_bonus,smithy_bonus_cap) + tech_3_5*TblTech[[#This Row],[3-5]] + tech_5_3*TblTech[[#This Row],[5-3]] + tech_5_5*TblTech[[#This Row],[5-5]])*spec_op_plat,0)</f>
        <v>275</v>
      </c>
      <c r="BK4" s="94">
        <f ca="1">ROUNDUP(IF(race="Gnome",1,(1-MIN(TblMili[[#This Row],[Smithies]]*smithy_bonus,smithy_bonus_cap) + tech_3_5*TblTech[[#This Row],[3-5]] + tech_5_3*TblTech[[#This Row],[5-3]] + tech_5_5*TblTech[[#This Row],[5-5]]))*spec_op_ore,0)</f>
        <v>25</v>
      </c>
      <c r="BL4" s="94">
        <f ca="1">ROUNDUP((1-MIN(TblMili[[#This Row],[Smithies]]*smithy_bonus,smithy_bonus_cap) + tech_3_5*TblTech[[#This Row],[3-5]] + tech_5_3*TblTech[[#This Row],[5-3]] + tech_5_5*TblTech[[#This Row],[5-5]])*spec_dp_plat,0)</f>
        <v>275</v>
      </c>
      <c r="BM4" s="94">
        <f ca="1">ROUNDUP(IF(race="Gnome",1,(1-MIN(TblMili[[#This Row],[Smithies]]*smithy_bonus,smithy_bonus_cap) + tech_3_5*TblTech[[#This Row],[3-5]] + tech_5_3*TblTech[[#This Row],[5-3]] + tech_5_5*TblTech[[#This Row],[5-5]]))*spec_dp_ore,0)</f>
        <v>15</v>
      </c>
      <c r="BN4" s="94">
        <f ca="1">ROUNDUP((1-MIN(TblMili[[#This Row],[Smithies]]*smithy_bonus,smithy_bonus_cap) + tech_3_5*TblTech[[#This Row],[3-5]] + tech_5_3*TblTech[[#This Row],[5-3]] + tech_5_5*TblTech[[#This Row],[5-5]])*elite1_plat,0)</f>
        <v>1040</v>
      </c>
      <c r="BO4" s="94">
        <f ca="1">ROUNDUP(IF(race="Gnome",1,(1-MIN(TblMili[[#This Row],[Smithies]]*smithy_bonus,smithy_bonus_cap) + tech_3_5*TblTech[[#This Row],[3-5]] + tech_5_3*TblTech[[#This Row],[5-3]] + tech_5_5*TblTech[[#This Row],[5-5]]))*elite1_ore,0)</f>
        <v>75</v>
      </c>
      <c r="BP4" s="94">
        <f ca="1">ROUNDUP((1-MIN(TblMili[[#This Row],[Smithies]]*smithy_bonus,smithy_bonus_cap) + tech_3_5*TblTech[[#This Row],[3-5]] + tech_5_3*TblTech[[#This Row],[5-3]] + tech_5_5*TblTech[[#This Row],[5-5]])*elite2_plat,0)</f>
        <v>1280</v>
      </c>
      <c r="BQ4" s="94">
        <f ca="1">ROUNDUP(IF(race="Gnome",1,(1-MIN(TblMili[[#This Row],[Smithies]]*smithy_bonus,smithy_bonus_cap) + tech_3_5*TblTech[[#This Row],[3-5]] + tech_5_3*TblTech[[#This Row],[5-3]] + tech_5_5*TblTech[[#This Row],[5-5]]))*elite2_ore,0)</f>
        <v>100</v>
      </c>
      <c r="BR4" s="94">
        <f ca="1">ROUNDUP((1-MIN(ROUND(fh_spy_cost_red*TblMili[[#This Row],[FH''s]],4),fh_spy_cost_cap)+ tech_1_9*TblTech[[#This Row],[1-9]] + tech_9_1*TblTech[[#This Row],[9-1]])*spy_plat,0)</f>
        <v>500</v>
      </c>
      <c r="BS4" s="94">
        <f ca="1">ROUNDUP((1-MIN(ROUND(fh_spy_cost_red*TblMili[[#This Row],[FH''s]],4),fh_spy_cost_cap)+ tech_1_9*TblTech[[#This Row],[1-9]] + tech_9_1*TblTech[[#This Row],[9-1]])*archspy_plat,0)</f>
        <v>1000</v>
      </c>
      <c r="BT4" s="94">
        <f ca="1">ROUNDUP((1-MIN(ROUND(wg_wiz_cost_bonus*TblMili[[#This Row],[WG''s]],4),wg_wiz_cost_cap) + tech_1_9_2*TblTech[[#This Row],[1-9]] + tech_9_1_2*TblTech[[#This Row],[9-1]])*wizard_plat,0)</f>
        <v>500</v>
      </c>
      <c r="BU4" s="94">
        <f ca="1">ROUNDUP((1-MIN(ROUND(wg_wiz_cost_bonus*TblMili[[#This Row],[WG''s]],4),wg_wiz_cost_cap) + tech_1_9_2*TblTech[[#This Row],[1-9]] + tech_9_1_2*TblTech[[#This Row],[9-1]])*archmage_plat,0)</f>
        <v>1000</v>
      </c>
      <c r="BV4" s="142"/>
      <c r="BW4" s="157">
        <f ca="1">TblConstr[[#This Row],[Homeland]]/TblConstr[[#This Row],[Land]]</f>
        <v>0.6</v>
      </c>
      <c r="BX4" s="157">
        <f ca="1">TblMili[[#This Row],[WG''s]]</f>
        <v>0</v>
      </c>
      <c r="BY4" s="251">
        <f ca="1">IF(mystic_cap="none",TblMili[[#This Row],[Homeland%]]/mystic_bonus,MIN(mystic_cap,TblMili[[#This Row],[Homeland%]]/mystic_bonus))</f>
        <v>2</v>
      </c>
      <c r="BZ4" s="251">
        <f ca="1">IF(druid_op_cap="none",TblMili[[#This Row],[Homeland%]]/druid_op_bonus,MIN(druid_op_cap,TblMili[[#This Row],[Homeland%]]/druid_op_bonus))</f>
        <v>2</v>
      </c>
      <c r="CA4" s="251">
        <f ca="1">IF(druid_dp_cap="none",TblMili[[#This Row],[Homeland%]]/druid_dp_bonus,MIN(druid_dp_cap,TblMili[[#This Row],[Homeland%]]/druid_dp_bonus))</f>
        <v>2</v>
      </c>
      <c r="CB4" s="251">
        <f ca="1">MIN(dryad_cap,TblMili[[#This Row],[Homeland%]]/dryad_bonus)</f>
        <v>2.9999999999999996</v>
      </c>
      <c r="CC4" s="251">
        <f ca="1">MIN(rocka_cap,TblMili[[#This Row],[Homeland%]]/rocka_bonus)</f>
        <v>2</v>
      </c>
      <c r="CD4" s="251">
        <f ca="1">MIN(adept_op_cap,TblMili[[#This Row],[WG]]/adept_op_bonus)</f>
        <v>0</v>
      </c>
      <c r="CE4" s="251">
        <f ca="1">MIN(adept_dp_cap,TblMili[[#This Row],[WG]]/adept_dp_bonus)</f>
        <v>0</v>
      </c>
      <c r="CF4" s="94">
        <f>MIN(TblMili[[#This Row],[Unit 3]],TblMili[[#This Row],[Unit 2]])*2</f>
        <v>0</v>
      </c>
      <c r="CG4" s="94">
        <f>MIN(TblMili[[#This Row],[Unit 1]],TblMili[[#This Row],[Unit 4]])*2</f>
        <v>0</v>
      </c>
      <c r="CH4" s="251">
        <f ca="1">MIN(frost_mage_cap,TblMili[[#This Row],[Homeland%]]/frost_mage_bonus)</f>
        <v>2.9999999999999996</v>
      </c>
      <c r="CI4" s="45">
        <f ca="1">MIN(ice_elem_cap,TblMili[[#This Row],[Raw (2)]]*ice_elem_bonus)</f>
        <v>0</v>
      </c>
      <c r="CJ4" s="251">
        <f t="shared" ref="CJ4:CJ35" si="0">MIN(bone_breaker_cap,250/bone_breaker_bonus)</f>
        <v>0.83333333333333337</v>
      </c>
      <c r="CK4" s="251">
        <f ca="1">MIN(nox_nightshade_cap,TblConstr[[#This Row],[Homeland]]/TblConstr[[#This Row],[Land]]/nox_nightshade_swamp_bonus)</f>
        <v>4</v>
      </c>
      <c r="CL4" s="251">
        <f ca="1">MIN(TblConstr[[#This Row],[Total Swamp]]/TblConstr[[#This Row],[Land]]/abyss_enforce_bonus,abyss_enforcer_cap)</f>
        <v>0</v>
      </c>
      <c r="CM4" s="251">
        <f>IF(TblMagic[[#This Row],[Active Infernal Command]]&gt;0,TblMili[[#This Row],[Unit 1]]*infernal_cmd_op,0)</f>
        <v>0</v>
      </c>
      <c r="CN4" s="252"/>
      <c r="CO4" s="252"/>
      <c r="CP4" s="252"/>
      <c r="CQ4" s="251">
        <f ca="1">MIN(6,TblMili[[#This Row],[Mystic]]+Races!$F$19)*1.8 +  IF(TblMili[[#This Row],[Mystic]]+Races!$F$19&gt;6,(TblMili[[#This Row],[Mystic]]+Races!$F$19-6)*0.2,0) - Races!$I$19</f>
        <v>1</v>
      </c>
      <c r="CR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 s="94">
        <f ca="1">TblMili[[#This Row],[Mystic bonus]]*TblMili[[#This Row],[Unit 3]]+TblMili[[#This Row],[Druid bonus]]*TblMili[[#This Row],[Unit 4]]</f>
        <v>0</v>
      </c>
      <c r="CT4" s="155">
        <f ca="1">MIN(6,TblMili[[#This Row],[Dryad]]+Races!$F$35)*1.8 +  IF(TblMili[[#This Row],[Dryad]]+Races!$F$35&gt;6,(TblMili[[#This Row],[Dryad]]+Races!$F$35-6)*0.2,0) - Races!$I$19</f>
        <v>0.80000000000000071</v>
      </c>
      <c r="CU4" s="94">
        <f ca="1">sylvan*(TblMili[[#This Row],[Mystic bonus]]*TblMili[[#This Row],[Unit 3]])</f>
        <v>0</v>
      </c>
      <c r="CV4" s="155">
        <f ca="1">1.8 * MIN(MAX(Races!$E$27,TblMili[[#This Row],[Rockapult]]+Races!$F$27),6)  +  0.45 * MIN(MIN(Races!$E$27,TblMili[[#This Row],[Rockapult]]+Races!$F$27),6)  +  0.2 * ( MAX(Races!$E$27-6,0) + MAX(TblMili[[#This Row],[Rockapult]]+Races!$F$27-6,0) )  -  Races!$I$20</f>
        <v>3.7000000000000011</v>
      </c>
      <c r="CW4" s="94">
        <f ca="1">gnome*(TblMili[[#This Row],[Rockapult bonus]]*TblMili[[#This Row],[Unit 3]])</f>
        <v>0</v>
      </c>
      <c r="CX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 s="94">
        <f ca="1">dark_elf*(TblMili[[#This Row],[Adept bonus]]*TblMili[[#This Row],[Unit 3]])</f>
        <v>0</v>
      </c>
      <c r="CZ4" s="251">
        <f ca="1">1.8 * MIN(MAX(TblMili[[#This Row],[Frost Mage]]+Races!$F$71,Races!$E$71),6)  +  0.45 * MIN(MIN(TblMili[[#This Row],[Frost Mage]]+Races!$F$71,Races!$E$71),6)  +  0.2 * ( MAX(TblMili[[#This Row],[Frost Mage]]+Races!$F$71-6,0) + MAX(Races!$E$71-6,0) )  -  Races!$I$71</f>
        <v>6.15</v>
      </c>
      <c r="DA4" s="251">
        <f ca="1">1.8 * MIN(MAX(TblMili[[#This Row],[Ice Elemental]]+Races!$E$71,Races!$F$71),6)  +  0.45 * MIN(MIN(TblMili[[#This Row],[Ice Elemental]]+Races!$E$71,Races!$F$71),6)  +  0.2 * ( MAX(TblMili[[#This Row],[Ice Elemental]]+Races!$E$71-6,0) + MAX(Races!$F$71-6,0) )  -  Races!$I$71</f>
        <v>0.75</v>
      </c>
      <c r="DB4" s="94">
        <f ca="1">TblMili[[#This Row],[Frost Mage bonus]]*TblMili[[#This Row],[Unit 3]]+TblMili[[#This Row],[Ice Elemental bonus]]*TblMili[[#This Row],[Unit 4]]</f>
        <v>0</v>
      </c>
      <c r="DC4" s="253"/>
      <c r="DD4" s="143">
        <f ca="1">MIN(SUM(TblConstr[[#This Row],[Plain]:[Water]])/TblMili[[#This Row],[Land]]/favorable_terrain_bonus/100,favorable_terrain_max)</f>
        <v>0</v>
      </c>
      <c r="DE4" s="253"/>
      <c r="DF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4" s="142"/>
      <c r="DH4" s="254">
        <f ca="1">(TblMili[[#This Row],[Wizards]]+2*TblMili[[#This Row],[Archmages]])/TblConstr[[#This Row],[Land]]</f>
        <v>0</v>
      </c>
      <c r="DI4" s="254">
        <f ca="1">TblMili[[#This Row],[Raw (2)]]*(1+race_wizard_strength+IF(TblMili[[#This Row],[Hour]]&gt;72,tech_magical_weaponry_wiz*TblTech[[#This Row],[3-5]],0))</f>
        <v>0</v>
      </c>
    </row>
    <row r="5" spans="1:113" hidden="1" x14ac:dyDescent="0.2">
      <c r="A5" s="137">
        <f>TblRezone[[#This Row],[Hour]]</f>
        <v>2</v>
      </c>
      <c r="B5" s="246">
        <f ca="1">SUM(TblMili[[#This Row],[Unit 1]:[Archmages]])+SUM(OFFSET(TblMili[[#This Row],[Train Unit 1]],-1,0):TblMili[[#This Row],[Train Unit 4]])+TblMili[[#This Row],[Draftees]]</f>
        <v>155</v>
      </c>
      <c r="C5" s="157">
        <f ca="1">TblPop[[#This Row],[Military%]]</f>
        <v>0.24486571879936808</v>
      </c>
      <c r="D5" s="142"/>
      <c r="E5" s="45">
        <f ca="1">OFFSET(TblMili[[#This Row],[Unit 1]],-1,0) - TblMili[[#This Row],[Release Unit 1]]</f>
        <v>0</v>
      </c>
      <c r="F5" s="45">
        <f ca="1">OFFSET(TblMili[[#This Row],[Unit 2]],-1,0)-TblMili[[#This Row],[Release Unit 2]]</f>
        <v>0</v>
      </c>
      <c r="G5" s="45">
        <f ca="1">OFFSET(TblMili[[#This Row],[Unit 3]],-1,0)-TblMili[[#This Row],[Release Unit 3]]</f>
        <v>0</v>
      </c>
      <c r="H5" s="45">
        <f ca="1">OFFSET(TblMili[[#This Row],[Unit 4]],-1,0)-TblMili[[#This Row],[Release Unit 4]]</f>
        <v>0</v>
      </c>
      <c r="I5" s="45">
        <f ca="1">OFFSET(TblMili[[#This Row],[Spies]],-1,0)-TblMili[[#This Row],[Release Spies]]-TblMili[[#This Row],[Train AS]]</f>
        <v>0</v>
      </c>
      <c r="J5" s="45">
        <f ca="1">OFFSET(TblMili[[#This Row],[Archspies]],-1,0)-TblMili[[#This Row],[Release AS]]</f>
        <v>0</v>
      </c>
      <c r="K5" s="45">
        <f ca="1">OFFSET(TblMili[[#This Row],[Wizards]],-1,0)-TblMili[[#This Row],[Release Wizards]]-TblMili[[#This Row],[Train AM]]</f>
        <v>0</v>
      </c>
      <c r="L5" s="45">
        <f ca="1">OFFSET(TblMili[[#This Row],[Archmages]],-1,0)-TblMili[[#This Row],[Release AM]]</f>
        <v>0</v>
      </c>
      <c r="M5" s="142"/>
      <c r="N5" s="94">
        <f ca="1">TblProd[[#This Row],[Networth]]</f>
        <v>1250</v>
      </c>
      <c r="O5" s="142"/>
      <c r="P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 s="247">
        <f ca="1">TblMili[[#This Row],[Raw]]*(1+TblMili[[#This Row],[Mods_Off]])</f>
        <v>0</v>
      </c>
      <c r="S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 s="247">
        <f ca="1">TblMili[[#This Row],[Non Draft]]+TblMili[[#This Row],[Draftees]]</f>
        <v>155</v>
      </c>
      <c r="U5" s="248">
        <f ca="1">race_defense + TblImps[[#This Row],[Walls]] + ROUND( MIN(gt_bonus*TblConstr[[#This Row],[Tot GT]]/TblConstr[[#This Row],[Land]],gt_bonus_cap), 4) + IF(TblMagic[[#This Row],[Active Howling]]&gt;0,howling_dp_bonus,IF(TblMagic[[#This Row],[Active Ares Call]]&gt;0,ares_call_bonus))</f>
        <v>0</v>
      </c>
      <c r="V5" s="249">
        <f ca="1">TblMili[[#This Row],[Non Draft]] * (1 + TblMili[[#This Row],[Mods_Def]])</f>
        <v>0</v>
      </c>
      <c r="W5" s="247">
        <f ca="1">TblMili[[#This Row],[Draft]] * (1 + TblMili[[#This Row],[Mods_Def]])</f>
        <v>155</v>
      </c>
      <c r="X5" s="247">
        <f ca="1">TblConstr[[#This Row],[Land]]</f>
        <v>50</v>
      </c>
      <c r="Y5" s="156"/>
      <c r="Z5" s="255">
        <f ca="1">IF(TblMili[[#This Row],[Set]]&lt;&gt;"",TblMili[[#This Row],[Set]],OFFSET(TblMili[[#This Row],[Draftrate]],-1,0))</f>
        <v>0.9</v>
      </c>
      <c r="AA5" s="94">
        <f ca="1">OFFSET(TblMili[[#This Row],[Draftees]],-1,0)+OFFSET(TblPop[[#This Row],[Draft Growth]],-1,0) - SUM(TblMili[[#This Row],[Train Unit 1]:[Train Spies]],TblMili[[#This Row],[Train Wiz]],TblMili[[#This Row],[DnD_Zombies]]) - TblMili[[#This Row],[Release Draft]] + SUM(TblMili[[#This Row],[Release Unit 1]:[Release AM]]) - TblExplore[[#This Row],[Draftees (2)]]</f>
        <v>155</v>
      </c>
      <c r="AB5" s="154"/>
      <c r="AC5" s="180">
        <f ca="1">(TblConstr[[#This Row],[Tot Smi]]+TblConstr[[#This Row],[Dest Smi]])/(TblConstr[[#This Row],[Land]]-TblExplore[[#This Row],[Land Bonus]]*20)</f>
        <v>0</v>
      </c>
      <c r="AD5" s="137"/>
      <c r="AE5" s="246">
        <f>TblMili[[#This Row],[Hour]]</f>
        <v>2</v>
      </c>
      <c r="AF5" s="138">
        <f ca="1">TblExplore[[#This Row],[Time]]</f>
        <v>46047.041666666664</v>
      </c>
      <c r="AO5" s="420">
        <f ca="1">ROUND(IF(AND(TblMagic[[#This Row],[Active DnD]]&lt;12,TblMagic[[#This Row],[Active DnD]]&gt;5),OFFSET(TblPop[[#This Row],[Draft Growth]],-1,0)*0.375,0),0)</f>
        <v>0</v>
      </c>
      <c r="AP5" s="142"/>
      <c r="AQ5" s="94">
        <f ca="1">TblProd[[#This Row],[Platinum]]</f>
        <v>51266</v>
      </c>
      <c r="AR5" s="94">
        <f ca="1">INDEX(TblProd[[#Headers],[Lumber]]:TblProd[[#This Row],[Ore]],COUNTA(TblProd[[#Headers],[Lumber]]:TblProd[[#This Row],[Lumber]]),MATCH(Military!$AR$2,TblProd[[#Headers],[Lumber]:[Ore]],0))</f>
        <v>0</v>
      </c>
      <c r="AS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 s="94">
        <f ca="1">TblMili[[#This Row],[Train Unit 1]]*TblMili[[#This Row],[OP Ore]]+TblMili[[#This Row],[Train Unit 2]]*TblMili[[#This Row],[DP Ore]]+TblMili[[#This Row],[Train Unit 3]]*TblMili[[#This Row],[E1 Ore]]+TblMili[[#This Row],[Train Unit 4]]*TblMili[[#This Row],[E2 Ore]]</f>
        <v>0</v>
      </c>
      <c r="AU5" s="142">
        <f>TblMili[[#This Row],[Hour]]</f>
        <v>2</v>
      </c>
      <c r="AV5" s="152">
        <f ca="1">TblMili[[#This Row],[Time]]</f>
        <v>46047.041666666664</v>
      </c>
      <c r="AW5" s="94">
        <f ca="1">TblMili[[#This Row],[Draftees]]</f>
        <v>155</v>
      </c>
      <c r="AX5" s="94"/>
      <c r="BG5" s="142"/>
      <c r="BH5" s="157">
        <f ca="1">TblConstr[[#This Row],[Tot WG]]/TblConstr[[#This Row],[Land]]</f>
        <v>0</v>
      </c>
      <c r="BI5" s="157">
        <f ca="1">TblConstr[[#This Row],[Tot Hav]]/TblConstr[[#This Row],[Land]]</f>
        <v>0</v>
      </c>
      <c r="BJ5" s="94">
        <f ca="1">ROUNDUP((1-MIN(TblMili[[#This Row],[Smithies]]*smithy_bonus,smithy_bonus_cap) + tech_3_5*TblTech[[#This Row],[3-5]] + tech_5_3*TblTech[[#This Row],[5-3]] + tech_5_5*TblTech[[#This Row],[5-5]])*spec_op_plat,0)</f>
        <v>275</v>
      </c>
      <c r="BK5" s="94">
        <f ca="1">ROUNDUP(IF(race="Gnome",1,(1-MIN(TblMili[[#This Row],[Smithies]]*smithy_bonus,smithy_bonus_cap) + tech_3_5*TblTech[[#This Row],[3-5]] + tech_5_3*TblTech[[#This Row],[5-3]] + tech_5_5*TblTech[[#This Row],[5-5]]))*spec_op_ore,0)</f>
        <v>25</v>
      </c>
      <c r="BL5" s="94">
        <f ca="1">ROUNDUP((1-MIN(TblMili[[#This Row],[Smithies]]*smithy_bonus,smithy_bonus_cap) + tech_3_5*TblTech[[#This Row],[3-5]] + tech_5_3*TblTech[[#This Row],[5-3]] + tech_5_5*TblTech[[#This Row],[5-5]])*spec_dp_plat,0)</f>
        <v>275</v>
      </c>
      <c r="BM5" s="94">
        <f ca="1">ROUNDUP(IF(race="Gnome",1,(1-MIN(TblMili[[#This Row],[Smithies]]*smithy_bonus,smithy_bonus_cap) + tech_3_5*TblTech[[#This Row],[3-5]] + tech_5_3*TblTech[[#This Row],[5-3]] + tech_5_5*TblTech[[#This Row],[5-5]]))*spec_dp_ore,0)</f>
        <v>15</v>
      </c>
      <c r="BN5" s="94">
        <f ca="1">ROUNDUP((1-MIN(TblMili[[#This Row],[Smithies]]*smithy_bonus,smithy_bonus_cap) + tech_3_5*TblTech[[#This Row],[3-5]] + tech_5_3*TblTech[[#This Row],[5-3]] + tech_5_5*TblTech[[#This Row],[5-5]])*elite1_plat,0)</f>
        <v>1040</v>
      </c>
      <c r="BO5" s="94">
        <f ca="1">ROUNDUP(IF(race="Gnome",1,(1-MIN(TblMili[[#This Row],[Smithies]]*smithy_bonus,smithy_bonus_cap) + tech_3_5*TblTech[[#This Row],[3-5]] + tech_5_3*TblTech[[#This Row],[5-3]] + tech_5_5*TblTech[[#This Row],[5-5]]))*elite1_ore,0)</f>
        <v>75</v>
      </c>
      <c r="BP5" s="94">
        <f ca="1">ROUNDUP((1-MIN(TblMili[[#This Row],[Smithies]]*smithy_bonus,smithy_bonus_cap) + tech_3_5*TblTech[[#This Row],[3-5]] + tech_5_3*TblTech[[#This Row],[5-3]] + tech_5_5*TblTech[[#This Row],[5-5]])*elite2_plat,0)</f>
        <v>1280</v>
      </c>
      <c r="BQ5" s="94">
        <f ca="1">ROUNDUP(IF(race="Gnome",1,(1-MIN(TblMili[[#This Row],[Smithies]]*smithy_bonus,smithy_bonus_cap) + tech_3_5*TblTech[[#This Row],[3-5]] + tech_5_3*TblTech[[#This Row],[5-3]] + tech_5_5*TblTech[[#This Row],[5-5]]))*elite2_ore,0)</f>
        <v>100</v>
      </c>
      <c r="BR5" s="94">
        <f ca="1">ROUNDUP((1-MIN(ROUND(fh_spy_cost_red*TblMili[[#This Row],[FH''s]],4),fh_spy_cost_cap)+ tech_1_9*TblTech[[#This Row],[1-9]] + tech_9_1*TblTech[[#This Row],[9-1]])*spy_plat,0)</f>
        <v>500</v>
      </c>
      <c r="BS5" s="94">
        <f ca="1">ROUNDUP((1-MIN(ROUND(fh_spy_cost_red*TblMili[[#This Row],[FH''s]],4),fh_spy_cost_cap)+ tech_1_9*TblTech[[#This Row],[1-9]] + tech_9_1*TblTech[[#This Row],[9-1]])*archspy_plat,0)</f>
        <v>1000</v>
      </c>
      <c r="BT5" s="94">
        <f ca="1">ROUNDUP((1-MIN(ROUND(wg_wiz_cost_bonus*TblMili[[#This Row],[WG''s]],4),wg_wiz_cost_cap) + tech_1_9_2*TblTech[[#This Row],[1-9]] + tech_9_1_2*TblTech[[#This Row],[9-1]])*wizard_plat,0)</f>
        <v>500</v>
      </c>
      <c r="BU5" s="94">
        <f ca="1">ROUNDUP((1-MIN(ROUND(wg_wiz_cost_bonus*TblMili[[#This Row],[WG''s]],4),wg_wiz_cost_cap) + tech_1_9_2*TblTech[[#This Row],[1-9]] + tech_9_1_2*TblTech[[#This Row],[9-1]])*archmage_plat,0)</f>
        <v>1000</v>
      </c>
      <c r="BV5" s="142"/>
      <c r="BW5" s="157">
        <f ca="1">TblConstr[[#This Row],[Homeland]]/TblConstr[[#This Row],[Land]]</f>
        <v>0.6</v>
      </c>
      <c r="BX5" s="157">
        <f ca="1">TblMili[[#This Row],[WG''s]]</f>
        <v>0</v>
      </c>
      <c r="BY5" s="251">
        <f ca="1">IF(mystic_cap="none",TblMili[[#This Row],[Homeland%]]/mystic_bonus,MIN(mystic_cap,TblMili[[#This Row],[Homeland%]]/mystic_bonus))</f>
        <v>2</v>
      </c>
      <c r="BZ5" s="251">
        <f ca="1">IF(druid_op_cap="none",TblMili[[#This Row],[Homeland%]]/druid_op_bonus,MIN(druid_op_cap,TblMili[[#This Row],[Homeland%]]/druid_op_bonus))</f>
        <v>2</v>
      </c>
      <c r="CA5" s="251">
        <f ca="1">IF(druid_dp_cap="none",TblMili[[#This Row],[Homeland%]]/druid_dp_bonus,MIN(druid_dp_cap,TblMili[[#This Row],[Homeland%]]/druid_dp_bonus))</f>
        <v>2</v>
      </c>
      <c r="CB5" s="251">
        <f ca="1">MIN(dryad_cap,TblMili[[#This Row],[Homeland%]]/dryad_bonus)</f>
        <v>2.9999999999999996</v>
      </c>
      <c r="CC5" s="251">
        <f ca="1">MIN(rocka_cap,TblMili[[#This Row],[Homeland%]]/rocka_bonus)</f>
        <v>2</v>
      </c>
      <c r="CD5" s="251">
        <f ca="1">MIN(adept_op_cap,TblMili[[#This Row],[WG]]/adept_op_bonus)</f>
        <v>0</v>
      </c>
      <c r="CE5" s="251">
        <f ca="1">MIN(adept_dp_cap,TblMili[[#This Row],[WG]]/adept_dp_bonus)</f>
        <v>0</v>
      </c>
      <c r="CF5" s="94">
        <f ca="1">MIN(TblMili[[#This Row],[Unit 3]],TblMili[[#This Row],[Unit 2]])*2</f>
        <v>0</v>
      </c>
      <c r="CG5" s="94">
        <f ca="1">MIN(TblMili[[#This Row],[Unit 1]],TblMili[[#This Row],[Unit 4]])*2</f>
        <v>0</v>
      </c>
      <c r="CH5" s="251">
        <f ca="1">MIN(frost_mage_cap,TblMili[[#This Row],[Homeland%]]/frost_mage_bonus)</f>
        <v>2.9999999999999996</v>
      </c>
      <c r="CI5" s="45">
        <f ca="1">MIN(ice_elem_cap,TblMili[[#This Row],[Raw (2)]]*ice_elem_bonus)</f>
        <v>0</v>
      </c>
      <c r="CJ5" s="251">
        <f t="shared" si="0"/>
        <v>0.83333333333333337</v>
      </c>
      <c r="CK5" s="251">
        <f ca="1">MIN(nox_nightshade_cap,TblConstr[[#This Row],[Homeland]]/TblConstr[[#This Row],[Land]]/nox_nightshade_swamp_bonus)</f>
        <v>4</v>
      </c>
      <c r="CL5" s="251">
        <f ca="1">MIN(TblConstr[[#This Row],[Total Swamp]]/TblConstr[[#This Row],[Land]]/abyss_enforce_bonus,abyss_enforcer_cap)</f>
        <v>0</v>
      </c>
      <c r="CM5" s="251">
        <f ca="1">IF(TblMagic[[#This Row],[Active Infernal Command]]&gt;0,TblMili[[#This Row],[Unit 1]]*infernal_cmd_op,0)</f>
        <v>0</v>
      </c>
      <c r="CN5" s="252" t="s">
        <v>92</v>
      </c>
      <c r="CO5" s="252" t="b">
        <f t="shared" ref="CO5:CO12" si="1">race=CN5</f>
        <v>0</v>
      </c>
      <c r="CP5" s="252"/>
      <c r="CQ5" s="251">
        <f ca="1">MIN(6,TblMili[[#This Row],[Mystic]]+Races!$F$19)*1.8 +  IF(TblMili[[#This Row],[Mystic]]+Races!$F$19&gt;6,(TblMili[[#This Row],[Mystic]]+Races!$F$19-6)*0.2,0) - Races!$I$19</f>
        <v>1</v>
      </c>
      <c r="CR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 s="94">
        <f ca="1">TblMili[[#This Row],[Mystic bonus]]*TblMili[[#This Row],[Unit 3]]+TblMili[[#This Row],[Druid bonus]]*TblMili[[#This Row],[Unit 4]]</f>
        <v>0</v>
      </c>
      <c r="CT5" s="155">
        <f ca="1">MIN(6,TblMili[[#This Row],[Dryad]]+Races!$F$35)*1.8 +  IF(TblMili[[#This Row],[Dryad]]+Races!$F$35&gt;6,(TblMili[[#This Row],[Dryad]]+Races!$F$35-6)*0.2,0) - Races!$I$19</f>
        <v>0.80000000000000071</v>
      </c>
      <c r="CU5" s="94">
        <f ca="1">sylvan*(TblMili[[#This Row],[Mystic bonus]]*TblMili[[#This Row],[Unit 3]])</f>
        <v>0</v>
      </c>
      <c r="CV5" s="155">
        <f ca="1">1.8 * MIN(MAX(Races!$E$27,TblMili[[#This Row],[Rockapult]]+Races!$F$27),6)  +  0.45 * MIN(MIN(Races!$E$27,TblMili[[#This Row],[Rockapult]]+Races!$F$27),6)  +  0.2 * ( MAX(Races!$E$27-6,0) + MAX(TblMili[[#This Row],[Rockapult]]+Races!$F$27-6,0) )  -  Races!$I$20</f>
        <v>3.7000000000000011</v>
      </c>
      <c r="CW5" s="94">
        <f ca="1">gnome*(TblMili[[#This Row],[Rockapult bonus]]*TblMili[[#This Row],[Unit 3]])</f>
        <v>0</v>
      </c>
      <c r="CX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 s="94">
        <f ca="1">dark_elf*(TblMili[[#This Row],[Adept bonus]]*TblMili[[#This Row],[Unit 3]])</f>
        <v>0</v>
      </c>
      <c r="CZ5" s="155">
        <f ca="1">1.8 * MIN(MAX(TblMili[[#This Row],[Frost Mage]]+Races!$F$71,Races!$E$71),6)  +  0.45 * MIN(MIN(TblMili[[#This Row],[Frost Mage]]+Races!$F$71,Races!$E$71),6)  +  0.2 * ( MAX(TblMili[[#This Row],[Frost Mage]]+Races!$F$71-6,0) + MAX(Races!$E$71-6,0) )  -  Races!$I$71</f>
        <v>6.15</v>
      </c>
      <c r="DA5" s="155">
        <f ca="1">1.8 * MIN(MAX(TblMili[[#This Row],[Ice Elemental]]+Races!$E$71,Races!$F$71),6)  +  0.45 * MIN(MIN(TblMili[[#This Row],[Ice Elemental]]+Races!$E$71,Races!$F$71),6)  +  0.2 * ( MAX(TblMili[[#This Row],[Ice Elemental]]+Races!$E$71-6,0) + MAX(Races!$F$71-6,0) )  -  Races!$I$71</f>
        <v>0.75</v>
      </c>
      <c r="DB5" s="94">
        <f ca="1">TblMili[[#This Row],[Frost Mage bonus]]*TblMili[[#This Row],[Unit 3]]+TblMili[[#This Row],[Ice Elemental bonus]]*TblMili[[#This Row],[Unit 4]]</f>
        <v>0</v>
      </c>
      <c r="DC5" s="253"/>
      <c r="DD5" s="143">
        <f ca="1">MIN(SUM(TblConstr[[#This Row],[Plain]:[Water]])/TblMili[[#This Row],[Land]]/favorable_terrain_bonus/100,favorable_terrain_max)</f>
        <v>0</v>
      </c>
      <c r="DE5" s="253"/>
      <c r="DF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5" s="142"/>
      <c r="DH5" s="254">
        <f ca="1">(TblMili[[#This Row],[Wizards]]+2*TblMili[[#This Row],[Archmages]])/TblConstr[[#This Row],[Land]]</f>
        <v>0</v>
      </c>
      <c r="DI5" s="254">
        <f ca="1">TblMili[[#This Row],[Raw (2)]]*(1+race_wizard_strength+IF(TblMili[[#This Row],[Hour]]&gt;72,tech_magical_weaponry_wiz*TblTech[[#This Row],[3-5]],0))</f>
        <v>0</v>
      </c>
    </row>
    <row r="6" spans="1:113" hidden="1" x14ac:dyDescent="0.2">
      <c r="A6" s="137">
        <f>TblRezone[[#This Row],[Hour]]</f>
        <v>3</v>
      </c>
      <c r="B6" s="246">
        <f ca="1">SUM(TblMili[[#This Row],[Unit 1]:[Archmages]])+SUM(OFFSET(TblMili[[#This Row],[Train Unit 1]],-2,0):TblMili[[#This Row],[Train Unit 4]])+TblMili[[#This Row],[Draftees]]</f>
        <v>160</v>
      </c>
      <c r="C6" s="157">
        <f ca="1">TblPop[[#This Row],[Military%]]</f>
        <v>0.2472952086553323</v>
      </c>
      <c r="D6" s="142"/>
      <c r="E6" s="45">
        <f ca="1">OFFSET(TblMili[[#This Row],[Unit 1]],-1,0) - TblMili[[#This Row],[Release Unit 1]]</f>
        <v>0</v>
      </c>
      <c r="F6" s="45">
        <f ca="1">OFFSET(TblMili[[#This Row],[Unit 2]],-1,0)-TblMili[[#This Row],[Release Unit 2]]</f>
        <v>0</v>
      </c>
      <c r="G6" s="45">
        <f ca="1">OFFSET(TblMili[[#This Row],[Unit 3]],-1,0)-TblMili[[#This Row],[Release Unit 3]]</f>
        <v>0</v>
      </c>
      <c r="H6" s="45">
        <f ca="1">OFFSET(TblMili[[#This Row],[Unit 4]],-1,0)-TblMili[[#This Row],[Release Unit 4]]</f>
        <v>0</v>
      </c>
      <c r="I6" s="45">
        <f ca="1">OFFSET(TblMili[[#This Row],[Spies]],-1,0)-TblMili[[#This Row],[Release Spies]]-TblMili[[#This Row],[Train AS]]</f>
        <v>0</v>
      </c>
      <c r="J6" s="45">
        <f ca="1">OFFSET(TblMili[[#This Row],[Archspies]],-1,0)-TblMili[[#This Row],[Release AS]]</f>
        <v>0</v>
      </c>
      <c r="K6" s="45">
        <f ca="1">OFFSET(TblMili[[#This Row],[Wizards]],-1,0)-TblMili[[#This Row],[Release Wizards]]-TblMili[[#This Row],[Train AM]]</f>
        <v>0</v>
      </c>
      <c r="L6" s="45">
        <f ca="1">OFFSET(TblMili[[#This Row],[Archmages]],-1,0)-TblMili[[#This Row],[Release AM]]</f>
        <v>0</v>
      </c>
      <c r="M6" s="142"/>
      <c r="N6" s="94">
        <f ca="1">TblProd[[#This Row],[Networth]]</f>
        <v>1250</v>
      </c>
      <c r="O6" s="142"/>
      <c r="P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 s="247">
        <f ca="1">TblMili[[#This Row],[Raw]]*(1+TblMili[[#This Row],[Mods_Off]])</f>
        <v>0</v>
      </c>
      <c r="S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 s="247">
        <f ca="1">TblMili[[#This Row],[Non Draft]]+TblMili[[#This Row],[Draftees]]</f>
        <v>160</v>
      </c>
      <c r="U6" s="248">
        <f ca="1">race_defense + TblImps[[#This Row],[Walls]] + ROUND( MIN(gt_bonus*TblConstr[[#This Row],[Tot GT]]/TblConstr[[#This Row],[Land]],gt_bonus_cap), 4) + IF(TblMagic[[#This Row],[Active Howling]]&gt;0,howling_dp_bonus,IF(TblMagic[[#This Row],[Active Ares Call]]&gt;0,ares_call_bonus))</f>
        <v>0</v>
      </c>
      <c r="V6" s="249">
        <f ca="1">TblMili[[#This Row],[Non Draft]] * (1 + TblMili[[#This Row],[Mods_Def]])</f>
        <v>0</v>
      </c>
      <c r="W6" s="247">
        <f ca="1">TblMili[[#This Row],[Draft]] * (1 + TblMili[[#This Row],[Mods_Def]])</f>
        <v>160</v>
      </c>
      <c r="X6" s="247">
        <f ca="1">TblConstr[[#This Row],[Land]]</f>
        <v>50</v>
      </c>
      <c r="Y6" s="156"/>
      <c r="Z6" s="255">
        <f ca="1">IF(TblMili[[#This Row],[Set]]&lt;&gt;"",TblMili[[#This Row],[Set]],OFFSET(TblMili[[#This Row],[Draftrate]],-1,0))</f>
        <v>0.9</v>
      </c>
      <c r="AA6" s="94">
        <f ca="1">OFFSET(TblMili[[#This Row],[Draftees]],-1,0)+OFFSET(TblPop[[#This Row],[Draft Growth]],-1,0) - SUM(TblMili[[#This Row],[Train Unit 1]:[Train Spies]],TblMili[[#This Row],[Train Wiz]],TblMili[[#This Row],[DnD_Zombies]]) - TblMili[[#This Row],[Release Draft]] + SUM(TblMili[[#This Row],[Release Unit 1]:[Release AM]]) - TblExplore[[#This Row],[Draftees (2)]]</f>
        <v>160</v>
      </c>
      <c r="AB6" s="154"/>
      <c r="AC6" s="180">
        <f ca="1">(TblConstr[[#This Row],[Tot Smi]]+TblConstr[[#This Row],[Dest Smi]])/(TblConstr[[#This Row],[Land]]-TblExplore[[#This Row],[Land Bonus]]*20)</f>
        <v>0</v>
      </c>
      <c r="AD6" s="137"/>
      <c r="AE6" s="246">
        <f>TblMili[[#This Row],[Hour]]</f>
        <v>3</v>
      </c>
      <c r="AF6" s="138">
        <f ca="1">TblExplore[[#This Row],[Time]]</f>
        <v>46047.083333333328</v>
      </c>
      <c r="AO6" s="420">
        <f ca="1">ROUND(IF(AND(TblMagic[[#This Row],[Active DnD]]&lt;12,TblMagic[[#This Row],[Active DnD]]&gt;5),OFFSET(TblPop[[#This Row],[Draft Growth]],-1,0)*0.375,0),0)</f>
        <v>0</v>
      </c>
      <c r="AP6" s="142"/>
      <c r="AQ6" s="94">
        <f ca="1">TblProd[[#This Row],[Platinum]]</f>
        <v>52556</v>
      </c>
      <c r="AR6" s="94">
        <f ca="1">INDEX(TblProd[[#Headers],[Lumber]]:TblProd[[#This Row],[Ore]],COUNTA(TblProd[[#Headers],[Lumber]]:TblProd[[#This Row],[Lumber]]),MATCH(Military!$AR$2,TblProd[[#Headers],[Lumber]:[Ore]],0))</f>
        <v>0</v>
      </c>
      <c r="AS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 s="94">
        <f ca="1">TblMili[[#This Row],[Train Unit 1]]*TblMili[[#This Row],[OP Ore]]+TblMili[[#This Row],[Train Unit 2]]*TblMili[[#This Row],[DP Ore]]+TblMili[[#This Row],[Train Unit 3]]*TblMili[[#This Row],[E1 Ore]]+TblMili[[#This Row],[Train Unit 4]]*TblMili[[#This Row],[E2 Ore]]</f>
        <v>0</v>
      </c>
      <c r="AU6" s="142">
        <f>TblMili[[#This Row],[Hour]]</f>
        <v>3</v>
      </c>
      <c r="AV6" s="152">
        <f ca="1">TblMili[[#This Row],[Time]]</f>
        <v>46047.083333333328</v>
      </c>
      <c r="AW6" s="94">
        <f ca="1">TblMili[[#This Row],[Draftees]]</f>
        <v>160</v>
      </c>
      <c r="BG6" s="142"/>
      <c r="BH6" s="157">
        <f ca="1">TblConstr[[#This Row],[Tot WG]]/TblConstr[[#This Row],[Land]]</f>
        <v>0</v>
      </c>
      <c r="BI6" s="157">
        <f ca="1">TblConstr[[#This Row],[Tot Hav]]/TblConstr[[#This Row],[Land]]</f>
        <v>0</v>
      </c>
      <c r="BJ6" s="94">
        <f ca="1">ROUNDUP((1-MIN(TblMili[[#This Row],[Smithies]]*smithy_bonus,smithy_bonus_cap) + tech_3_5*TblTech[[#This Row],[3-5]] + tech_5_3*TblTech[[#This Row],[5-3]] + tech_5_5*TblTech[[#This Row],[5-5]])*spec_op_plat,0)</f>
        <v>275</v>
      </c>
      <c r="BK6" s="94">
        <f ca="1">ROUNDUP(IF(race="Gnome",1,(1-MIN(TblMili[[#This Row],[Smithies]]*smithy_bonus,smithy_bonus_cap) + tech_3_5*TblTech[[#This Row],[3-5]] + tech_5_3*TblTech[[#This Row],[5-3]] + tech_5_5*TblTech[[#This Row],[5-5]]))*spec_op_ore,0)</f>
        <v>25</v>
      </c>
      <c r="BL6" s="94">
        <f ca="1">ROUNDUP((1-MIN(TblMili[[#This Row],[Smithies]]*smithy_bonus,smithy_bonus_cap) + tech_3_5*TblTech[[#This Row],[3-5]] + tech_5_3*TblTech[[#This Row],[5-3]] + tech_5_5*TblTech[[#This Row],[5-5]])*spec_dp_plat,0)</f>
        <v>275</v>
      </c>
      <c r="BM6" s="94">
        <f ca="1">ROUNDUP(IF(race="Gnome",1,(1-MIN(TblMili[[#This Row],[Smithies]]*smithy_bonus,smithy_bonus_cap) + tech_3_5*TblTech[[#This Row],[3-5]] + tech_5_3*TblTech[[#This Row],[5-3]] + tech_5_5*TblTech[[#This Row],[5-5]]))*spec_dp_ore,0)</f>
        <v>15</v>
      </c>
      <c r="BN6" s="94">
        <f ca="1">ROUNDUP((1-MIN(TblMili[[#This Row],[Smithies]]*smithy_bonus,smithy_bonus_cap) + tech_3_5*TblTech[[#This Row],[3-5]] + tech_5_3*TblTech[[#This Row],[5-3]] + tech_5_5*TblTech[[#This Row],[5-5]])*elite1_plat,0)</f>
        <v>1040</v>
      </c>
      <c r="BO6" s="94">
        <f ca="1">ROUNDUP(IF(race="Gnome",1,(1-MIN(TblMili[[#This Row],[Smithies]]*smithy_bonus,smithy_bonus_cap) + tech_3_5*TblTech[[#This Row],[3-5]] + tech_5_3*TblTech[[#This Row],[5-3]] + tech_5_5*TblTech[[#This Row],[5-5]]))*elite1_ore,0)</f>
        <v>75</v>
      </c>
      <c r="BP6" s="94">
        <f ca="1">ROUNDUP((1-MIN(TblMili[[#This Row],[Smithies]]*smithy_bonus,smithy_bonus_cap) + tech_3_5*TblTech[[#This Row],[3-5]] + tech_5_3*TblTech[[#This Row],[5-3]] + tech_5_5*TblTech[[#This Row],[5-5]])*elite2_plat,0)</f>
        <v>1280</v>
      </c>
      <c r="BQ6" s="94">
        <f ca="1">ROUNDUP(IF(race="Gnome",1,(1-MIN(TblMili[[#This Row],[Smithies]]*smithy_bonus,smithy_bonus_cap) + tech_3_5*TblTech[[#This Row],[3-5]] + tech_5_3*TblTech[[#This Row],[5-3]] + tech_5_5*TblTech[[#This Row],[5-5]]))*elite2_ore,0)</f>
        <v>100</v>
      </c>
      <c r="BR6" s="94">
        <f ca="1">ROUNDUP((1-MIN(ROUND(fh_spy_cost_red*TblMili[[#This Row],[FH''s]],4),fh_spy_cost_cap)+ tech_1_9*TblTech[[#This Row],[1-9]] + tech_9_1*TblTech[[#This Row],[9-1]])*spy_plat,0)</f>
        <v>500</v>
      </c>
      <c r="BS6" s="94">
        <f ca="1">ROUNDUP((1-MIN(ROUND(fh_spy_cost_red*TblMili[[#This Row],[FH''s]],4),fh_spy_cost_cap)+ tech_1_9*TblTech[[#This Row],[1-9]] + tech_9_1*TblTech[[#This Row],[9-1]])*archspy_plat,0)</f>
        <v>1000</v>
      </c>
      <c r="BT6" s="94">
        <f ca="1">ROUNDUP((1-MIN(ROUND(wg_wiz_cost_bonus*TblMili[[#This Row],[WG''s]],4),wg_wiz_cost_cap) + tech_1_9_2*TblTech[[#This Row],[1-9]] + tech_9_1_2*TblTech[[#This Row],[9-1]])*wizard_plat,0)</f>
        <v>500</v>
      </c>
      <c r="BU6" s="94">
        <f ca="1">ROUNDUP((1-MIN(ROUND(wg_wiz_cost_bonus*TblMili[[#This Row],[WG''s]],4),wg_wiz_cost_cap) + tech_1_9_2*TblTech[[#This Row],[1-9]] + tech_9_1_2*TblTech[[#This Row],[9-1]])*archmage_plat,0)</f>
        <v>1000</v>
      </c>
      <c r="BV6" s="142"/>
      <c r="BW6" s="157">
        <f ca="1">TblConstr[[#This Row],[Homeland]]/TblConstr[[#This Row],[Land]]</f>
        <v>0.6</v>
      </c>
      <c r="BX6" s="157">
        <f ca="1">TblMili[[#This Row],[WG''s]]</f>
        <v>0</v>
      </c>
      <c r="BY6" s="251">
        <f ca="1">IF(mystic_cap="none",TblMili[[#This Row],[Homeland%]]/mystic_bonus,MIN(mystic_cap,TblMili[[#This Row],[Homeland%]]/mystic_bonus))</f>
        <v>2</v>
      </c>
      <c r="BZ6" s="251">
        <f ca="1">IF(druid_op_cap="none",TblMili[[#This Row],[Homeland%]]/druid_op_bonus,MIN(druid_op_cap,TblMili[[#This Row],[Homeland%]]/druid_op_bonus))</f>
        <v>2</v>
      </c>
      <c r="CA6" s="251">
        <f ca="1">IF(druid_dp_cap="none",TblMili[[#This Row],[Homeland%]]/druid_dp_bonus,MIN(druid_dp_cap,TblMili[[#This Row],[Homeland%]]/druid_dp_bonus))</f>
        <v>2</v>
      </c>
      <c r="CB6" s="251">
        <f ca="1">MIN(dryad_cap,TblMili[[#This Row],[Homeland%]]/dryad_bonus)</f>
        <v>2.9999999999999996</v>
      </c>
      <c r="CC6" s="251">
        <f ca="1">MIN(rocka_cap,TblMili[[#This Row],[Homeland%]]/rocka_bonus)</f>
        <v>2</v>
      </c>
      <c r="CD6" s="251">
        <f ca="1">MIN(adept_op_cap,TblMili[[#This Row],[WG]]/adept_op_bonus)</f>
        <v>0</v>
      </c>
      <c r="CE6" s="251">
        <f ca="1">MIN(adept_dp_cap,TblMili[[#This Row],[WG]]/adept_dp_bonus)</f>
        <v>0</v>
      </c>
      <c r="CF6" s="94">
        <f ca="1">MIN(TblMili[[#This Row],[Unit 3]],TblMili[[#This Row],[Unit 2]])*2</f>
        <v>0</v>
      </c>
      <c r="CG6" s="94">
        <f ca="1">MIN(TblMili[[#This Row],[Unit 1]],TblMili[[#This Row],[Unit 4]])*2</f>
        <v>0</v>
      </c>
      <c r="CH6" s="251">
        <f ca="1">MIN(frost_mage_cap,TblMili[[#This Row],[Homeland%]]/frost_mage_bonus)</f>
        <v>2.9999999999999996</v>
      </c>
      <c r="CI6" s="45">
        <f ca="1">MIN(ice_elem_cap,TblMili[[#This Row],[Raw (2)]]*ice_elem_bonus)</f>
        <v>0</v>
      </c>
      <c r="CJ6" s="251">
        <f t="shared" si="0"/>
        <v>0.83333333333333337</v>
      </c>
      <c r="CK6" s="251">
        <f ca="1">MIN(nox_nightshade_cap,TblConstr[[#This Row],[Homeland]]/TblConstr[[#This Row],[Land]]/nox_nightshade_swamp_bonus)</f>
        <v>4</v>
      </c>
      <c r="CL6" s="251">
        <f ca="1">MIN(TblConstr[[#This Row],[Total Swamp]]/TblConstr[[#This Row],[Land]]/abyss_enforce_bonus,abyss_enforcer_cap)</f>
        <v>0</v>
      </c>
      <c r="CM6" s="251">
        <f ca="1">IF(TblMagic[[#This Row],[Active Infernal Command]]&gt;0,TblMili[[#This Row],[Unit 1]]*infernal_cmd_op,0)</f>
        <v>0</v>
      </c>
      <c r="CN6" s="252" t="s">
        <v>96</v>
      </c>
      <c r="CO6" s="252" t="b">
        <f t="shared" si="1"/>
        <v>0</v>
      </c>
      <c r="CP6" s="252"/>
      <c r="CQ6" s="251">
        <f ca="1">MIN(6,TblMili[[#This Row],[Mystic]]+Races!$F$19)*1.8 +  IF(TblMili[[#This Row],[Mystic]]+Races!$F$19&gt;6,(TblMili[[#This Row],[Mystic]]+Races!$F$19-6)*0.2,0) - Races!$I$19</f>
        <v>1</v>
      </c>
      <c r="CR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 s="94">
        <f ca="1">TblMili[[#This Row],[Mystic bonus]]*TblMili[[#This Row],[Unit 3]]+TblMili[[#This Row],[Druid bonus]]*TblMili[[#This Row],[Unit 4]]</f>
        <v>0</v>
      </c>
      <c r="CT6" s="155">
        <f ca="1">MIN(6,TblMili[[#This Row],[Dryad]]+Races!$F$35)*1.8 +  IF(TblMili[[#This Row],[Dryad]]+Races!$F$35&gt;6,(TblMili[[#This Row],[Dryad]]+Races!$F$35-6)*0.2,0) - Races!$I$19</f>
        <v>0.80000000000000071</v>
      </c>
      <c r="CU6" s="94">
        <f ca="1">sylvan*(TblMili[[#This Row],[Mystic bonus]]*TblMili[[#This Row],[Unit 3]])</f>
        <v>0</v>
      </c>
      <c r="CV6" s="155">
        <f ca="1">1.8 * MIN(MAX(Races!$E$27,TblMili[[#This Row],[Rockapult]]+Races!$F$27),6)  +  0.45 * MIN(MIN(Races!$E$27,TblMili[[#This Row],[Rockapult]]+Races!$F$27),6)  +  0.2 * ( MAX(Races!$E$27-6,0) + MAX(TblMili[[#This Row],[Rockapult]]+Races!$F$27-6,0) )  -  Races!$I$20</f>
        <v>3.7000000000000011</v>
      </c>
      <c r="CW6" s="94">
        <f ca="1">gnome*(TblMili[[#This Row],[Rockapult bonus]]*TblMili[[#This Row],[Unit 3]])</f>
        <v>0</v>
      </c>
      <c r="CX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 s="94">
        <f ca="1">dark_elf*(TblMili[[#This Row],[Adept bonus]]*TblMili[[#This Row],[Unit 3]])</f>
        <v>0</v>
      </c>
      <c r="CZ6" s="155">
        <f ca="1">1.8 * MIN(MAX(TblMili[[#This Row],[Frost Mage]]+Races!$F$71,Races!$E$71),6)  +  0.45 * MIN(MIN(TblMili[[#This Row],[Frost Mage]]+Races!$F$71,Races!$E$71),6)  +  0.2 * ( MAX(TblMili[[#This Row],[Frost Mage]]+Races!$F$71-6,0) + MAX(Races!$E$71-6,0) )  -  Races!$I$71</f>
        <v>6.15</v>
      </c>
      <c r="DA6" s="155">
        <f ca="1">1.8 * MIN(MAX(TblMili[[#This Row],[Ice Elemental]]+Races!$E$71,Races!$F$71),6)  +  0.45 * MIN(MIN(TblMili[[#This Row],[Ice Elemental]]+Races!$E$71,Races!$F$71),6)  +  0.2 * ( MAX(TblMili[[#This Row],[Ice Elemental]]+Races!$E$71-6,0) + MAX(Races!$F$71-6,0) )  -  Races!$I$71</f>
        <v>0.75</v>
      </c>
      <c r="DB6" s="94">
        <f ca="1">TblMili[[#This Row],[Frost Mage bonus]]*TblMili[[#This Row],[Unit 3]]+TblMili[[#This Row],[Ice Elemental bonus]]*TblMili[[#This Row],[Unit 4]]</f>
        <v>0</v>
      </c>
      <c r="DC6" s="253"/>
      <c r="DD6" s="143">
        <f ca="1">MIN(SUM(TblConstr[[#This Row],[Plain]:[Water]])/TblMili[[#This Row],[Land]]/favorable_terrain_bonus/100,favorable_terrain_max)</f>
        <v>0</v>
      </c>
      <c r="DE6" s="253"/>
      <c r="DF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6" s="142"/>
      <c r="DH6" s="254">
        <f ca="1">(TblMili[[#This Row],[Wizards]]+2*TblMili[[#This Row],[Archmages]])/TblConstr[[#This Row],[Land]]</f>
        <v>0</v>
      </c>
      <c r="DI6" s="254">
        <f ca="1">TblMili[[#This Row],[Raw (2)]]*(1+race_wizard_strength+IF(TblMili[[#This Row],[Hour]]&gt;72,tech_magical_weaponry_wiz*TblTech[[#This Row],[3-5]],0))</f>
        <v>0</v>
      </c>
    </row>
    <row r="7" spans="1:113" hidden="1" x14ac:dyDescent="0.2">
      <c r="A7" s="137">
        <f>TblRezone[[#This Row],[Hour]]</f>
        <v>4</v>
      </c>
      <c r="B7" s="246">
        <f ca="1">SUM(TblMili[[#This Row],[Unit 1]:[Archmages]])+SUM(OFFSET(TblMili[[#This Row],[Train Unit 1]],-3,0):TblMili[[#This Row],[Train Unit 4]])+TblMili[[#This Row],[Draftees]]</f>
        <v>165</v>
      </c>
      <c r="C7" s="157">
        <f ca="1">TblPop[[#This Row],[Military%]]</f>
        <v>0.24962178517397882</v>
      </c>
      <c r="D7" s="142"/>
      <c r="E7" s="45">
        <f ca="1">OFFSET(TblMili[[#This Row],[Unit 1]],-1,0) - TblMili[[#This Row],[Release Unit 1]]</f>
        <v>0</v>
      </c>
      <c r="F7" s="45">
        <f ca="1">OFFSET(TblMili[[#This Row],[Unit 2]],-1,0)-TblMili[[#This Row],[Release Unit 2]]</f>
        <v>0</v>
      </c>
      <c r="G7" s="45">
        <f ca="1">OFFSET(TblMili[[#This Row],[Unit 3]],-1,0)-TblMili[[#This Row],[Release Unit 3]]</f>
        <v>0</v>
      </c>
      <c r="H7" s="45">
        <f ca="1">OFFSET(TblMili[[#This Row],[Unit 4]],-1,0)-TblMili[[#This Row],[Release Unit 4]]</f>
        <v>0</v>
      </c>
      <c r="I7" s="45">
        <f ca="1">OFFSET(TblMili[[#This Row],[Spies]],-1,0)-TblMili[[#This Row],[Release Spies]]-TblMili[[#This Row],[Train AS]]</f>
        <v>0</v>
      </c>
      <c r="J7" s="45">
        <f ca="1">OFFSET(TblMili[[#This Row],[Archspies]],-1,0)-TblMili[[#This Row],[Release AS]]</f>
        <v>0</v>
      </c>
      <c r="K7" s="45">
        <f ca="1">OFFSET(TblMili[[#This Row],[Wizards]],-1,0)-TblMili[[#This Row],[Release Wizards]]-TblMili[[#This Row],[Train AM]]</f>
        <v>0</v>
      </c>
      <c r="L7" s="45">
        <f ca="1">OFFSET(TblMili[[#This Row],[Archmages]],-1,0)-TblMili[[#This Row],[Release AM]]</f>
        <v>0</v>
      </c>
      <c r="M7" s="142"/>
      <c r="N7" s="94">
        <f ca="1">TblProd[[#This Row],[Networth]]</f>
        <v>1250</v>
      </c>
      <c r="O7" s="142"/>
      <c r="P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 s="247">
        <f ca="1">TblMili[[#This Row],[Raw]]*(1+TblMili[[#This Row],[Mods_Off]])</f>
        <v>0</v>
      </c>
      <c r="S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 s="247">
        <f ca="1">TblMili[[#This Row],[Non Draft]]+TblMili[[#This Row],[Draftees]]</f>
        <v>165</v>
      </c>
      <c r="U7" s="248">
        <f ca="1">race_defense + TblImps[[#This Row],[Walls]] + ROUND( MIN(gt_bonus*TblConstr[[#This Row],[Tot GT]]/TblConstr[[#This Row],[Land]],gt_bonus_cap), 4) + IF(TblMagic[[#This Row],[Active Howling]]&gt;0,howling_dp_bonus,IF(TblMagic[[#This Row],[Active Ares Call]]&gt;0,ares_call_bonus))</f>
        <v>0</v>
      </c>
      <c r="V7" s="249">
        <f ca="1">TblMili[[#This Row],[Non Draft]] * (1 + TblMili[[#This Row],[Mods_Def]])</f>
        <v>0</v>
      </c>
      <c r="W7" s="247">
        <f ca="1">TblMili[[#This Row],[Draft]] * (1 + TblMili[[#This Row],[Mods_Def]])</f>
        <v>165</v>
      </c>
      <c r="X7" s="247">
        <f ca="1">TblConstr[[#This Row],[Land]]</f>
        <v>50</v>
      </c>
      <c r="Y7" s="156"/>
      <c r="Z7" s="255">
        <f ca="1">IF(TblMili[[#This Row],[Set]]&lt;&gt;"",TblMili[[#This Row],[Set]],OFFSET(TblMili[[#This Row],[Draftrate]],-1,0))</f>
        <v>0.9</v>
      </c>
      <c r="AA7" s="94">
        <f ca="1">OFFSET(TblMili[[#This Row],[Draftees]],-1,0)+OFFSET(TblPop[[#This Row],[Draft Growth]],-1,0) - SUM(TblMili[[#This Row],[Train Unit 1]:[Train Spies]],TblMili[[#This Row],[Train Wiz]],TblMili[[#This Row],[DnD_Zombies]]) - TblMili[[#This Row],[Release Draft]] + SUM(TblMili[[#This Row],[Release Unit 1]:[Release AM]]) - TblExplore[[#This Row],[Draftees (2)]]</f>
        <v>165</v>
      </c>
      <c r="AB7" s="154"/>
      <c r="AC7" s="180">
        <f ca="1">(TblConstr[[#This Row],[Tot Smi]]+TblConstr[[#This Row],[Dest Smi]])/(TblConstr[[#This Row],[Land]]-TblExplore[[#This Row],[Land Bonus]]*20)</f>
        <v>0</v>
      </c>
      <c r="AD7" s="137"/>
      <c r="AE7" s="246">
        <f>TblMili[[#This Row],[Hour]]</f>
        <v>4</v>
      </c>
      <c r="AF7" s="138">
        <f ca="1">TblExplore[[#This Row],[Time]]</f>
        <v>46047.124999999993</v>
      </c>
      <c r="AO7" s="420">
        <f ca="1">ROUND(IF(AND(TblMagic[[#This Row],[Active DnD]]&lt;12,TblMagic[[#This Row],[Active DnD]]&gt;5),OFFSET(TblPop[[#This Row],[Draft Growth]],-1,0)*0.375,0),0)</f>
        <v>0</v>
      </c>
      <c r="AP7" s="142"/>
      <c r="AQ7" s="94">
        <f ca="1">TblProd[[#This Row],[Platinum]]</f>
        <v>53870</v>
      </c>
      <c r="AR7" s="94">
        <f ca="1">INDEX(TblProd[[#Headers],[Lumber]]:TblProd[[#This Row],[Ore]],COUNTA(TblProd[[#Headers],[Lumber]]:TblProd[[#This Row],[Lumber]]),MATCH(Military!$AR$2,TblProd[[#Headers],[Lumber]:[Ore]],0))</f>
        <v>0</v>
      </c>
      <c r="AS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 s="94">
        <f ca="1">TblMili[[#This Row],[Train Unit 1]]*TblMili[[#This Row],[OP Ore]]+TblMili[[#This Row],[Train Unit 2]]*TblMili[[#This Row],[DP Ore]]+TblMili[[#This Row],[Train Unit 3]]*TblMili[[#This Row],[E1 Ore]]+TblMili[[#This Row],[Train Unit 4]]*TblMili[[#This Row],[E2 Ore]]</f>
        <v>0</v>
      </c>
      <c r="AU7" s="142">
        <f>TblMili[[#This Row],[Hour]]</f>
        <v>4</v>
      </c>
      <c r="AV7" s="152">
        <f ca="1">TblMili[[#This Row],[Time]]</f>
        <v>46047.124999999993</v>
      </c>
      <c r="AW7" s="94">
        <f ca="1">TblMili[[#This Row],[Draftees]]</f>
        <v>165</v>
      </c>
      <c r="BG7" s="142"/>
      <c r="BH7" s="157">
        <f ca="1">TblConstr[[#This Row],[Tot WG]]/TblConstr[[#This Row],[Land]]</f>
        <v>0</v>
      </c>
      <c r="BI7" s="157">
        <f ca="1">TblConstr[[#This Row],[Tot Hav]]/TblConstr[[#This Row],[Land]]</f>
        <v>0</v>
      </c>
      <c r="BJ7" s="94">
        <f ca="1">ROUNDUP((1-MIN(TblMili[[#This Row],[Smithies]]*smithy_bonus,smithy_bonus_cap) + tech_3_5*TblTech[[#This Row],[3-5]] + tech_5_3*TblTech[[#This Row],[5-3]] + tech_5_5*TblTech[[#This Row],[5-5]])*spec_op_plat,0)</f>
        <v>275</v>
      </c>
      <c r="BK7" s="94">
        <f ca="1">ROUNDUP(IF(race="Gnome",1,(1-MIN(TblMili[[#This Row],[Smithies]]*smithy_bonus,smithy_bonus_cap) + tech_3_5*TblTech[[#This Row],[3-5]] + tech_5_3*TblTech[[#This Row],[5-3]] + tech_5_5*TblTech[[#This Row],[5-5]]))*spec_op_ore,0)</f>
        <v>25</v>
      </c>
      <c r="BL7" s="94">
        <f ca="1">ROUNDUP((1-MIN(TblMili[[#This Row],[Smithies]]*smithy_bonus,smithy_bonus_cap) + tech_3_5*TblTech[[#This Row],[3-5]] + tech_5_3*TblTech[[#This Row],[5-3]] + tech_5_5*TblTech[[#This Row],[5-5]])*spec_dp_plat,0)</f>
        <v>275</v>
      </c>
      <c r="BM7" s="94">
        <f ca="1">ROUNDUP(IF(race="Gnome",1,(1-MIN(TblMili[[#This Row],[Smithies]]*smithy_bonus,smithy_bonus_cap) + tech_3_5*TblTech[[#This Row],[3-5]] + tech_5_3*TblTech[[#This Row],[5-3]] + tech_5_5*TblTech[[#This Row],[5-5]]))*spec_dp_ore,0)</f>
        <v>15</v>
      </c>
      <c r="BN7" s="94">
        <f ca="1">ROUNDUP((1-MIN(TblMili[[#This Row],[Smithies]]*smithy_bonus,smithy_bonus_cap) + tech_3_5*TblTech[[#This Row],[3-5]] + tech_5_3*TblTech[[#This Row],[5-3]] + tech_5_5*TblTech[[#This Row],[5-5]])*elite1_plat,0)</f>
        <v>1040</v>
      </c>
      <c r="BO7" s="94">
        <f ca="1">ROUNDUP(IF(race="Gnome",1,(1-MIN(TblMili[[#This Row],[Smithies]]*smithy_bonus,smithy_bonus_cap) + tech_3_5*TblTech[[#This Row],[3-5]] + tech_5_3*TblTech[[#This Row],[5-3]] + tech_5_5*TblTech[[#This Row],[5-5]]))*elite1_ore,0)</f>
        <v>75</v>
      </c>
      <c r="BP7" s="94">
        <f ca="1">ROUNDUP((1-MIN(TblMili[[#This Row],[Smithies]]*smithy_bonus,smithy_bonus_cap) + tech_3_5*TblTech[[#This Row],[3-5]] + tech_5_3*TblTech[[#This Row],[5-3]] + tech_5_5*TblTech[[#This Row],[5-5]])*elite2_plat,0)</f>
        <v>1280</v>
      </c>
      <c r="BQ7" s="94">
        <f ca="1">ROUNDUP(IF(race="Gnome",1,(1-MIN(TblMili[[#This Row],[Smithies]]*smithy_bonus,smithy_bonus_cap) + tech_3_5*TblTech[[#This Row],[3-5]] + tech_5_3*TblTech[[#This Row],[5-3]] + tech_5_5*TblTech[[#This Row],[5-5]]))*elite2_ore,0)</f>
        <v>100</v>
      </c>
      <c r="BR7" s="94">
        <f ca="1">ROUNDUP((1-MIN(ROUND(fh_spy_cost_red*TblMili[[#This Row],[FH''s]],4),fh_spy_cost_cap)+ tech_1_9*TblTech[[#This Row],[1-9]] + tech_9_1*TblTech[[#This Row],[9-1]])*spy_plat,0)</f>
        <v>500</v>
      </c>
      <c r="BS7" s="94">
        <f ca="1">ROUNDUP((1-MIN(ROUND(fh_spy_cost_red*TblMili[[#This Row],[FH''s]],4),fh_spy_cost_cap)+ tech_1_9*TblTech[[#This Row],[1-9]] + tech_9_1*TblTech[[#This Row],[9-1]])*archspy_plat,0)</f>
        <v>1000</v>
      </c>
      <c r="BT7" s="94">
        <f ca="1">ROUNDUP((1-MIN(ROUND(wg_wiz_cost_bonus*TblMili[[#This Row],[WG''s]],4),wg_wiz_cost_cap) + tech_1_9_2*TblTech[[#This Row],[1-9]] + tech_9_1_2*TblTech[[#This Row],[9-1]])*wizard_plat,0)</f>
        <v>500</v>
      </c>
      <c r="BU7" s="94">
        <f ca="1">ROUNDUP((1-MIN(ROUND(wg_wiz_cost_bonus*TblMili[[#This Row],[WG''s]],4),wg_wiz_cost_cap) + tech_1_9_2*TblTech[[#This Row],[1-9]] + tech_9_1_2*TblTech[[#This Row],[9-1]])*archmage_plat,0)</f>
        <v>1000</v>
      </c>
      <c r="BV7" s="142"/>
      <c r="BW7" s="157">
        <f ca="1">TblConstr[[#This Row],[Homeland]]/TblConstr[[#This Row],[Land]]</f>
        <v>0.6</v>
      </c>
      <c r="BX7" s="157">
        <f ca="1">TblMili[[#This Row],[WG''s]]</f>
        <v>0</v>
      </c>
      <c r="BY7" s="251">
        <f ca="1">IF(mystic_cap="none",TblMili[[#This Row],[Homeland%]]/mystic_bonus,MIN(mystic_cap,TblMili[[#This Row],[Homeland%]]/mystic_bonus))</f>
        <v>2</v>
      </c>
      <c r="BZ7" s="251">
        <f ca="1">IF(druid_op_cap="none",TblMili[[#This Row],[Homeland%]]/druid_op_bonus,MIN(druid_op_cap,TblMili[[#This Row],[Homeland%]]/druid_op_bonus))</f>
        <v>2</v>
      </c>
      <c r="CA7" s="251">
        <f ca="1">IF(druid_dp_cap="none",TblMili[[#This Row],[Homeland%]]/druid_dp_bonus,MIN(druid_dp_cap,TblMili[[#This Row],[Homeland%]]/druid_dp_bonus))</f>
        <v>2</v>
      </c>
      <c r="CB7" s="251">
        <f ca="1">MIN(dryad_cap,TblMili[[#This Row],[Homeland%]]/dryad_bonus)</f>
        <v>2.9999999999999996</v>
      </c>
      <c r="CC7" s="251">
        <f ca="1">MIN(rocka_cap,TblMili[[#This Row],[Homeland%]]/rocka_bonus)</f>
        <v>2</v>
      </c>
      <c r="CD7" s="251">
        <f ca="1">MIN(adept_op_cap,TblMili[[#This Row],[WG]]/adept_op_bonus)</f>
        <v>0</v>
      </c>
      <c r="CE7" s="251">
        <f ca="1">MIN(adept_dp_cap,TblMili[[#This Row],[WG]]/adept_dp_bonus)</f>
        <v>0</v>
      </c>
      <c r="CF7" s="94">
        <f ca="1">MIN(TblMili[[#This Row],[Unit 3]],TblMili[[#This Row],[Unit 2]])*2</f>
        <v>0</v>
      </c>
      <c r="CG7" s="94">
        <f ca="1">MIN(TblMili[[#This Row],[Unit 1]],TblMili[[#This Row],[Unit 4]])*2</f>
        <v>0</v>
      </c>
      <c r="CH7" s="251">
        <f ca="1">MIN(frost_mage_cap,TblMili[[#This Row],[Homeland%]]/frost_mage_bonus)</f>
        <v>2.9999999999999996</v>
      </c>
      <c r="CI7" s="45">
        <f ca="1">MIN(ice_elem_cap,TblMili[[#This Row],[Raw (2)]]*ice_elem_bonus)</f>
        <v>0</v>
      </c>
      <c r="CJ7" s="251">
        <f t="shared" si="0"/>
        <v>0.83333333333333337</v>
      </c>
      <c r="CK7" s="251">
        <f ca="1">MIN(nox_nightshade_cap,TblConstr[[#This Row],[Homeland]]/TblConstr[[#This Row],[Land]]/nox_nightshade_swamp_bonus)</f>
        <v>4</v>
      </c>
      <c r="CL7" s="251">
        <f ca="1">MIN(TblConstr[[#This Row],[Total Swamp]]/TblConstr[[#This Row],[Land]]/abyss_enforce_bonus,abyss_enforcer_cap)</f>
        <v>0</v>
      </c>
      <c r="CM7" s="251">
        <f ca="1">IF(TblMagic[[#This Row],[Active Infernal Command]]&gt;0,TblMili[[#This Row],[Unit 1]]*infernal_cmd_op,0)</f>
        <v>0</v>
      </c>
      <c r="CN7" s="252" t="s">
        <v>94</v>
      </c>
      <c r="CO7" s="252" t="b">
        <f t="shared" si="1"/>
        <v>0</v>
      </c>
      <c r="CP7" s="252"/>
      <c r="CQ7" s="251">
        <f ca="1">MIN(6,TblMili[[#This Row],[Mystic]]+Races!$F$19)*1.8 +  IF(TblMili[[#This Row],[Mystic]]+Races!$F$19&gt;6,(TblMili[[#This Row],[Mystic]]+Races!$F$19-6)*0.2,0) - Races!$I$19</f>
        <v>1</v>
      </c>
      <c r="CR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 s="94">
        <f ca="1">TblMili[[#This Row],[Mystic bonus]]*TblMili[[#This Row],[Unit 3]]+TblMili[[#This Row],[Druid bonus]]*TblMili[[#This Row],[Unit 4]]</f>
        <v>0</v>
      </c>
      <c r="CT7" s="155">
        <f ca="1">MIN(6,TblMili[[#This Row],[Dryad]]+Races!$F$35)*1.8 +  IF(TblMili[[#This Row],[Dryad]]+Races!$F$35&gt;6,(TblMili[[#This Row],[Dryad]]+Races!$F$35-6)*0.2,0) - Races!$I$19</f>
        <v>0.80000000000000071</v>
      </c>
      <c r="CU7" s="94">
        <f ca="1">sylvan*(TblMili[[#This Row],[Mystic bonus]]*TblMili[[#This Row],[Unit 3]])</f>
        <v>0</v>
      </c>
      <c r="CV7" s="155">
        <f ca="1">1.8 * MIN(MAX(Races!$E$27,TblMili[[#This Row],[Rockapult]]+Races!$F$27),6)  +  0.45 * MIN(MIN(Races!$E$27,TblMili[[#This Row],[Rockapult]]+Races!$F$27),6)  +  0.2 * ( MAX(Races!$E$27-6,0) + MAX(TblMili[[#This Row],[Rockapult]]+Races!$F$27-6,0) )  -  Races!$I$20</f>
        <v>3.7000000000000011</v>
      </c>
      <c r="CW7" s="94">
        <f ca="1">gnome*(TblMili[[#This Row],[Rockapult bonus]]*TblMili[[#This Row],[Unit 3]])</f>
        <v>0</v>
      </c>
      <c r="CX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 s="94">
        <f ca="1">dark_elf*(TblMili[[#This Row],[Adept bonus]]*TblMili[[#This Row],[Unit 3]])</f>
        <v>0</v>
      </c>
      <c r="CZ7" s="155">
        <f ca="1">1.8 * MIN(MAX(TblMili[[#This Row],[Frost Mage]]+Races!$F$71,Races!$E$71),6)  +  0.45 * MIN(MIN(TblMili[[#This Row],[Frost Mage]]+Races!$F$71,Races!$E$71),6)  +  0.2 * ( MAX(TblMili[[#This Row],[Frost Mage]]+Races!$F$71-6,0) + MAX(Races!$E$71-6,0) )  -  Races!$I$71</f>
        <v>6.15</v>
      </c>
      <c r="DA7" s="155">
        <f ca="1">1.8 * MIN(MAX(TblMili[[#This Row],[Ice Elemental]]+Races!$E$71,Races!$F$71),6)  +  0.45 * MIN(MIN(TblMili[[#This Row],[Ice Elemental]]+Races!$E$71,Races!$F$71),6)  +  0.2 * ( MAX(TblMili[[#This Row],[Ice Elemental]]+Races!$E$71-6,0) + MAX(Races!$F$71-6,0) )  -  Races!$I$71</f>
        <v>0.75</v>
      </c>
      <c r="DB7" s="94">
        <f ca="1">TblMili[[#This Row],[Frost Mage bonus]]*TblMili[[#This Row],[Unit 3]]+TblMili[[#This Row],[Ice Elemental bonus]]*TblMili[[#This Row],[Unit 4]]</f>
        <v>0</v>
      </c>
      <c r="DC7" s="253"/>
      <c r="DD7" s="143">
        <f ca="1">MIN(SUM(TblConstr[[#This Row],[Plain]:[Water]])/TblMili[[#This Row],[Land]]/favorable_terrain_bonus/100,favorable_terrain_max)</f>
        <v>0</v>
      </c>
      <c r="DE7" s="253"/>
      <c r="DF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7" s="142"/>
      <c r="DH7" s="254">
        <f ca="1">(TblMili[[#This Row],[Wizards]]+2*TblMili[[#This Row],[Archmages]])/TblConstr[[#This Row],[Land]]</f>
        <v>0</v>
      </c>
      <c r="DI7" s="254">
        <f ca="1">TblMili[[#This Row],[Raw (2)]]*(1+race_wizard_strength+IF(TblMili[[#This Row],[Hour]]&gt;72,tech_magical_weaponry_wiz*TblTech[[#This Row],[3-5]],0))</f>
        <v>0</v>
      </c>
    </row>
    <row r="8" spans="1:113" hidden="1" x14ac:dyDescent="0.2">
      <c r="A8" s="137">
        <f>TblRezone[[#This Row],[Hour]]</f>
        <v>5</v>
      </c>
      <c r="B8" s="246">
        <f ca="1">SUM(TblMili[[#This Row],[Unit 1]:[Archmages]])+SUM(OFFSET(TblMili[[#This Row],[Train Unit 1]],-4,0):TblMili[[#This Row],[Train Unit 4]])+TblMili[[#This Row],[Draftees]]</f>
        <v>170</v>
      </c>
      <c r="C8" s="157">
        <f ca="1">TblPop[[#This Row],[Military%]]</f>
        <v>0.25147928994082841</v>
      </c>
      <c r="D8" s="142"/>
      <c r="E8" s="45">
        <f ca="1">OFFSET(TblMili[[#This Row],[Unit 1]],-1,0) - TblMili[[#This Row],[Release Unit 1]]</f>
        <v>0</v>
      </c>
      <c r="F8" s="45">
        <f ca="1">OFFSET(TblMili[[#This Row],[Unit 2]],-1,0)-TblMili[[#This Row],[Release Unit 2]]</f>
        <v>0</v>
      </c>
      <c r="G8" s="45">
        <f ca="1">OFFSET(TblMili[[#This Row],[Unit 3]],-1,0)-TblMili[[#This Row],[Release Unit 3]]</f>
        <v>0</v>
      </c>
      <c r="H8" s="45">
        <f ca="1">OFFSET(TblMili[[#This Row],[Unit 4]],-1,0)-TblMili[[#This Row],[Release Unit 4]]</f>
        <v>0</v>
      </c>
      <c r="I8" s="45">
        <f ca="1">OFFSET(TblMili[[#This Row],[Spies]],-1,0)-TblMili[[#This Row],[Release Spies]]-TblMili[[#This Row],[Train AS]]</f>
        <v>0</v>
      </c>
      <c r="J8" s="45">
        <f ca="1">OFFSET(TblMili[[#This Row],[Archspies]],-1,0)-TblMili[[#This Row],[Release AS]]</f>
        <v>0</v>
      </c>
      <c r="K8" s="45">
        <f ca="1">OFFSET(TblMili[[#This Row],[Wizards]],-1,0)-TblMili[[#This Row],[Release Wizards]]-TblMili[[#This Row],[Train AM]]</f>
        <v>0</v>
      </c>
      <c r="L8" s="45">
        <f ca="1">OFFSET(TblMili[[#This Row],[Archmages]],-1,0)-TblMili[[#This Row],[Release AM]]</f>
        <v>0</v>
      </c>
      <c r="M8" s="142"/>
      <c r="N8" s="94">
        <f ca="1">TblProd[[#This Row],[Networth]]</f>
        <v>1250</v>
      </c>
      <c r="O8" s="142"/>
      <c r="P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 s="247">
        <f ca="1">TblMili[[#This Row],[Raw]]*(1+TblMili[[#This Row],[Mods_Off]])</f>
        <v>0</v>
      </c>
      <c r="S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 s="247">
        <f ca="1">TblMili[[#This Row],[Non Draft]]+TblMili[[#This Row],[Draftees]]</f>
        <v>170</v>
      </c>
      <c r="U8" s="248">
        <f ca="1">race_defense + TblImps[[#This Row],[Walls]] + ROUND( MIN(gt_bonus*TblConstr[[#This Row],[Tot GT]]/TblConstr[[#This Row],[Land]],gt_bonus_cap), 4) + IF(TblMagic[[#This Row],[Active Howling]]&gt;0,howling_dp_bonus,IF(TblMagic[[#This Row],[Active Ares Call]]&gt;0,ares_call_bonus))</f>
        <v>0</v>
      </c>
      <c r="V8" s="249">
        <f ca="1">TblMili[[#This Row],[Non Draft]] * (1 + TblMili[[#This Row],[Mods_Def]])</f>
        <v>0</v>
      </c>
      <c r="W8" s="247">
        <f ca="1">TblMili[[#This Row],[Draft]] * (1 + TblMili[[#This Row],[Mods_Def]])</f>
        <v>170</v>
      </c>
      <c r="X8" s="247">
        <f ca="1">TblConstr[[#This Row],[Land]]</f>
        <v>50</v>
      </c>
      <c r="Y8" s="156"/>
      <c r="Z8" s="255">
        <f ca="1">IF(TblMili[[#This Row],[Set]]&lt;&gt;"",TblMili[[#This Row],[Set]],OFFSET(TblMili[[#This Row],[Draftrate]],-1,0))</f>
        <v>0.9</v>
      </c>
      <c r="AA8" s="94">
        <f ca="1">OFFSET(TblMili[[#This Row],[Draftees]],-1,0)+OFFSET(TblPop[[#This Row],[Draft Growth]],-1,0) - SUM(TblMili[[#This Row],[Train Unit 1]:[Train Spies]],TblMili[[#This Row],[Train Wiz]],TblMili[[#This Row],[DnD_Zombies]]) - TblMili[[#This Row],[Release Draft]] + SUM(TblMili[[#This Row],[Release Unit 1]:[Release AM]]) - TblExplore[[#This Row],[Draftees (2)]]</f>
        <v>170</v>
      </c>
      <c r="AB8" s="154"/>
      <c r="AC8" s="180">
        <f ca="1">(TblConstr[[#This Row],[Tot Smi]]+TblConstr[[#This Row],[Dest Smi]])/(TblConstr[[#This Row],[Land]]-TblExplore[[#This Row],[Land Bonus]]*20)</f>
        <v>0</v>
      </c>
      <c r="AD8" s="137"/>
      <c r="AE8" s="246">
        <f>TblMili[[#This Row],[Hour]]</f>
        <v>5</v>
      </c>
      <c r="AF8" s="138">
        <f ca="1">TblExplore[[#This Row],[Time]]</f>
        <v>46047.166666666657</v>
      </c>
      <c r="AO8" s="420">
        <f ca="1">ROUND(IF(AND(TblMagic[[#This Row],[Active DnD]]&lt;12,TblMagic[[#This Row],[Active DnD]]&gt;5),OFFSET(TblPop[[#This Row],[Draft Growth]],-1,0)*0.375,0),0)</f>
        <v>0</v>
      </c>
      <c r="AP8" s="142"/>
      <c r="AQ8" s="94">
        <f ca="1">TblProd[[#This Row],[Platinum]]</f>
        <v>55209</v>
      </c>
      <c r="AR8" s="94">
        <f ca="1">INDEX(TblProd[[#Headers],[Lumber]]:TblProd[[#This Row],[Ore]],COUNTA(TblProd[[#Headers],[Lumber]]:TblProd[[#This Row],[Lumber]]),MATCH(Military!$AR$2,TblProd[[#Headers],[Lumber]:[Ore]],0))</f>
        <v>0</v>
      </c>
      <c r="AS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 s="94">
        <f ca="1">TblMili[[#This Row],[Train Unit 1]]*TblMili[[#This Row],[OP Ore]]+TblMili[[#This Row],[Train Unit 2]]*TblMili[[#This Row],[DP Ore]]+TblMili[[#This Row],[Train Unit 3]]*TblMili[[#This Row],[E1 Ore]]+TblMili[[#This Row],[Train Unit 4]]*TblMili[[#This Row],[E2 Ore]]</f>
        <v>0</v>
      </c>
      <c r="AU8" s="142">
        <f>TblMili[[#This Row],[Hour]]</f>
        <v>5</v>
      </c>
      <c r="AV8" s="152">
        <f ca="1">TblMili[[#This Row],[Time]]</f>
        <v>46047.166666666657</v>
      </c>
      <c r="AW8" s="94">
        <f ca="1">TblMili[[#This Row],[Draftees]]</f>
        <v>170</v>
      </c>
      <c r="BG8" s="142"/>
      <c r="BH8" s="157">
        <f ca="1">TblConstr[[#This Row],[Tot WG]]/TblConstr[[#This Row],[Land]]</f>
        <v>0</v>
      </c>
      <c r="BI8" s="157">
        <f ca="1">TblConstr[[#This Row],[Tot Hav]]/TblConstr[[#This Row],[Land]]</f>
        <v>0</v>
      </c>
      <c r="BJ8" s="94">
        <f ca="1">ROUNDUP((1-MIN(TblMili[[#This Row],[Smithies]]*smithy_bonus,smithy_bonus_cap) + tech_3_5*TblTech[[#This Row],[3-5]] + tech_5_3*TblTech[[#This Row],[5-3]] + tech_5_5*TblTech[[#This Row],[5-5]])*spec_op_plat,0)</f>
        <v>275</v>
      </c>
      <c r="BK8" s="94">
        <f ca="1">ROUNDUP(IF(race="Gnome",1,(1-MIN(TblMili[[#This Row],[Smithies]]*smithy_bonus,smithy_bonus_cap) + tech_3_5*TblTech[[#This Row],[3-5]] + tech_5_3*TblTech[[#This Row],[5-3]] + tech_5_5*TblTech[[#This Row],[5-5]]))*spec_op_ore,0)</f>
        <v>25</v>
      </c>
      <c r="BL8" s="94">
        <f ca="1">ROUNDUP((1-MIN(TblMili[[#This Row],[Smithies]]*smithy_bonus,smithy_bonus_cap) + tech_3_5*TblTech[[#This Row],[3-5]] + tech_5_3*TblTech[[#This Row],[5-3]] + tech_5_5*TblTech[[#This Row],[5-5]])*spec_dp_plat,0)</f>
        <v>275</v>
      </c>
      <c r="BM8" s="94">
        <f ca="1">ROUNDUP(IF(race="Gnome",1,(1-MIN(TblMili[[#This Row],[Smithies]]*smithy_bonus,smithy_bonus_cap) + tech_3_5*TblTech[[#This Row],[3-5]] + tech_5_3*TblTech[[#This Row],[5-3]] + tech_5_5*TblTech[[#This Row],[5-5]]))*spec_dp_ore,0)</f>
        <v>15</v>
      </c>
      <c r="BN8" s="94">
        <f ca="1">ROUNDUP((1-MIN(TblMili[[#This Row],[Smithies]]*smithy_bonus,smithy_bonus_cap) + tech_3_5*TblTech[[#This Row],[3-5]] + tech_5_3*TblTech[[#This Row],[5-3]] + tech_5_5*TblTech[[#This Row],[5-5]])*elite1_plat,0)</f>
        <v>1040</v>
      </c>
      <c r="BO8" s="94">
        <f ca="1">ROUNDUP(IF(race="Gnome",1,(1-MIN(TblMili[[#This Row],[Smithies]]*smithy_bonus,smithy_bonus_cap) + tech_3_5*TblTech[[#This Row],[3-5]] + tech_5_3*TblTech[[#This Row],[5-3]] + tech_5_5*TblTech[[#This Row],[5-5]]))*elite1_ore,0)</f>
        <v>75</v>
      </c>
      <c r="BP8" s="94">
        <f ca="1">ROUNDUP((1-MIN(TblMili[[#This Row],[Smithies]]*smithy_bonus,smithy_bonus_cap) + tech_3_5*TblTech[[#This Row],[3-5]] + tech_5_3*TblTech[[#This Row],[5-3]] + tech_5_5*TblTech[[#This Row],[5-5]])*elite2_plat,0)</f>
        <v>1280</v>
      </c>
      <c r="BQ8" s="94">
        <f ca="1">ROUNDUP(IF(race="Gnome",1,(1-MIN(TblMili[[#This Row],[Smithies]]*smithy_bonus,smithy_bonus_cap) + tech_3_5*TblTech[[#This Row],[3-5]] + tech_5_3*TblTech[[#This Row],[5-3]] + tech_5_5*TblTech[[#This Row],[5-5]]))*elite2_ore,0)</f>
        <v>100</v>
      </c>
      <c r="BR8" s="94">
        <f ca="1">ROUNDUP((1-MIN(ROUND(fh_spy_cost_red*TblMili[[#This Row],[FH''s]],4),fh_spy_cost_cap)+ tech_1_9*TblTech[[#This Row],[1-9]] + tech_9_1*TblTech[[#This Row],[9-1]])*spy_plat,0)</f>
        <v>500</v>
      </c>
      <c r="BS8" s="94">
        <f ca="1">ROUNDUP((1-MIN(ROUND(fh_spy_cost_red*TblMili[[#This Row],[FH''s]],4),fh_spy_cost_cap)+ tech_1_9*TblTech[[#This Row],[1-9]] + tech_9_1*TblTech[[#This Row],[9-1]])*archspy_plat,0)</f>
        <v>1000</v>
      </c>
      <c r="BT8" s="94">
        <f ca="1">ROUNDUP((1-MIN(ROUND(wg_wiz_cost_bonus*TblMili[[#This Row],[WG''s]],4),wg_wiz_cost_cap) + tech_1_9_2*TblTech[[#This Row],[1-9]] + tech_9_1_2*TblTech[[#This Row],[9-1]])*wizard_plat,0)</f>
        <v>500</v>
      </c>
      <c r="BU8" s="94">
        <f ca="1">ROUNDUP((1-MIN(ROUND(wg_wiz_cost_bonus*TblMili[[#This Row],[WG''s]],4),wg_wiz_cost_cap) + tech_1_9_2*TblTech[[#This Row],[1-9]] + tech_9_1_2*TblTech[[#This Row],[9-1]])*archmage_plat,0)</f>
        <v>1000</v>
      </c>
      <c r="BV8" s="142"/>
      <c r="BW8" s="157">
        <f ca="1">TblConstr[[#This Row],[Homeland]]/TblConstr[[#This Row],[Land]]</f>
        <v>0.6</v>
      </c>
      <c r="BX8" s="157">
        <f ca="1">TblMili[[#This Row],[WG''s]]</f>
        <v>0</v>
      </c>
      <c r="BY8" s="251">
        <f ca="1">IF(mystic_cap="none",TblMili[[#This Row],[Homeland%]]/mystic_bonus,MIN(mystic_cap,TblMili[[#This Row],[Homeland%]]/mystic_bonus))</f>
        <v>2</v>
      </c>
      <c r="BZ8" s="251">
        <f ca="1">IF(druid_op_cap="none",TblMili[[#This Row],[Homeland%]]/druid_op_bonus,MIN(druid_op_cap,TblMili[[#This Row],[Homeland%]]/druid_op_bonus))</f>
        <v>2</v>
      </c>
      <c r="CA8" s="251">
        <f ca="1">IF(druid_dp_cap="none",TblMili[[#This Row],[Homeland%]]/druid_dp_bonus,MIN(druid_dp_cap,TblMili[[#This Row],[Homeland%]]/druid_dp_bonus))</f>
        <v>2</v>
      </c>
      <c r="CB8" s="251">
        <f ca="1">MIN(dryad_cap,TblMili[[#This Row],[Homeland%]]/dryad_bonus)</f>
        <v>2.9999999999999996</v>
      </c>
      <c r="CC8" s="251">
        <f ca="1">MIN(rocka_cap,TblMili[[#This Row],[Homeland%]]/rocka_bonus)</f>
        <v>2</v>
      </c>
      <c r="CD8" s="251">
        <f ca="1">MIN(adept_op_cap,TblMili[[#This Row],[WG]]/adept_op_bonus)</f>
        <v>0</v>
      </c>
      <c r="CE8" s="251">
        <f ca="1">MIN(adept_dp_cap,TblMili[[#This Row],[WG]]/adept_dp_bonus)</f>
        <v>0</v>
      </c>
      <c r="CF8" s="94">
        <f ca="1">MIN(TblMili[[#This Row],[Unit 3]],TblMili[[#This Row],[Unit 2]])*2</f>
        <v>0</v>
      </c>
      <c r="CG8" s="94">
        <f ca="1">MIN(TblMili[[#This Row],[Unit 1]],TblMili[[#This Row],[Unit 4]])*2</f>
        <v>0</v>
      </c>
      <c r="CH8" s="251">
        <f ca="1">MIN(frost_mage_cap,TblMili[[#This Row],[Homeland%]]/frost_mage_bonus)</f>
        <v>2.9999999999999996</v>
      </c>
      <c r="CI8" s="45">
        <f ca="1">MIN(ice_elem_cap,TblMili[[#This Row],[Raw (2)]]*ice_elem_bonus)</f>
        <v>0</v>
      </c>
      <c r="CJ8" s="251">
        <f t="shared" si="0"/>
        <v>0.83333333333333337</v>
      </c>
      <c r="CK8" s="251">
        <f ca="1">MIN(nox_nightshade_cap,TblConstr[[#This Row],[Homeland]]/TblConstr[[#This Row],[Land]]/nox_nightshade_swamp_bonus)</f>
        <v>4</v>
      </c>
      <c r="CL8" s="251">
        <f ca="1">MIN(TblConstr[[#This Row],[Total Swamp]]/TblConstr[[#This Row],[Land]]/abyss_enforce_bonus,abyss_enforcer_cap)</f>
        <v>0</v>
      </c>
      <c r="CM8" s="251">
        <f ca="1">IF(TblMagic[[#This Row],[Active Infernal Command]]&gt;0,TblMili[[#This Row],[Unit 1]]*infernal_cmd_op,0)</f>
        <v>0</v>
      </c>
      <c r="CN8" s="252" t="s">
        <v>99</v>
      </c>
      <c r="CO8" s="252" t="b">
        <f t="shared" si="1"/>
        <v>0</v>
      </c>
      <c r="CP8" s="252"/>
      <c r="CQ8" s="251">
        <f ca="1">MIN(6,TblMili[[#This Row],[Mystic]]+Races!$F$19)*1.8 +  IF(TblMili[[#This Row],[Mystic]]+Races!$F$19&gt;6,(TblMili[[#This Row],[Mystic]]+Races!$F$19-6)*0.2,0) - Races!$I$19</f>
        <v>1</v>
      </c>
      <c r="CR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 s="94">
        <f ca="1">TblMili[[#This Row],[Mystic bonus]]*TblMili[[#This Row],[Unit 3]]+TblMili[[#This Row],[Druid bonus]]*TblMili[[#This Row],[Unit 4]]</f>
        <v>0</v>
      </c>
      <c r="CT8" s="155">
        <f ca="1">MIN(6,TblMili[[#This Row],[Dryad]]+Races!$F$35)*1.8 +  IF(TblMili[[#This Row],[Dryad]]+Races!$F$35&gt;6,(TblMili[[#This Row],[Dryad]]+Races!$F$35-6)*0.2,0) - Races!$I$19</f>
        <v>0.80000000000000071</v>
      </c>
      <c r="CU8" s="94">
        <f ca="1">sylvan*(TblMili[[#This Row],[Mystic bonus]]*TblMili[[#This Row],[Unit 3]])</f>
        <v>0</v>
      </c>
      <c r="CV8" s="155">
        <f ca="1">1.8 * MIN(MAX(Races!$E$27,TblMili[[#This Row],[Rockapult]]+Races!$F$27),6)  +  0.45 * MIN(MIN(Races!$E$27,TblMili[[#This Row],[Rockapult]]+Races!$F$27),6)  +  0.2 * ( MAX(Races!$E$27-6,0) + MAX(TblMili[[#This Row],[Rockapult]]+Races!$F$27-6,0) )  -  Races!$I$20</f>
        <v>3.7000000000000011</v>
      </c>
      <c r="CW8" s="94">
        <f ca="1">gnome*(TblMili[[#This Row],[Rockapult bonus]]*TblMili[[#This Row],[Unit 3]])</f>
        <v>0</v>
      </c>
      <c r="CX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 s="94">
        <f ca="1">dark_elf*(TblMili[[#This Row],[Adept bonus]]*TblMili[[#This Row],[Unit 3]])</f>
        <v>0</v>
      </c>
      <c r="CZ8" s="155">
        <f ca="1">1.8 * MIN(MAX(TblMili[[#This Row],[Frost Mage]]+Races!$F$71,Races!$E$71),6)  +  0.45 * MIN(MIN(TblMili[[#This Row],[Frost Mage]]+Races!$F$71,Races!$E$71),6)  +  0.2 * ( MAX(TblMili[[#This Row],[Frost Mage]]+Races!$F$71-6,0) + MAX(Races!$E$71-6,0) )  -  Races!$I$71</f>
        <v>6.15</v>
      </c>
      <c r="DA8" s="155">
        <f ca="1">1.8 * MIN(MAX(TblMili[[#This Row],[Ice Elemental]]+Races!$E$71,Races!$F$71),6)  +  0.45 * MIN(MIN(TblMili[[#This Row],[Ice Elemental]]+Races!$E$71,Races!$F$71),6)  +  0.2 * ( MAX(TblMili[[#This Row],[Ice Elemental]]+Races!$E$71-6,0) + MAX(Races!$F$71-6,0) )  -  Races!$I$71</f>
        <v>0.75</v>
      </c>
      <c r="DB8" s="94">
        <f ca="1">TblMili[[#This Row],[Frost Mage bonus]]*TblMili[[#This Row],[Unit 3]]+TblMili[[#This Row],[Ice Elemental bonus]]*TblMili[[#This Row],[Unit 4]]</f>
        <v>0</v>
      </c>
      <c r="DC8" s="253"/>
      <c r="DD8" s="143">
        <f ca="1">MIN(SUM(TblConstr[[#This Row],[Plain]:[Water]])/TblMili[[#This Row],[Land]]/favorable_terrain_bonus/100,favorable_terrain_max)</f>
        <v>0</v>
      </c>
      <c r="DE8" s="253"/>
      <c r="DF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8" s="142"/>
      <c r="DH8" s="254">
        <f ca="1">(TblMili[[#This Row],[Wizards]]+2*TblMili[[#This Row],[Archmages]])/TblConstr[[#This Row],[Land]]</f>
        <v>0</v>
      </c>
      <c r="DI8" s="254">
        <f ca="1">TblMili[[#This Row],[Raw (2)]]*(1+race_wizard_strength+IF(TblMili[[#This Row],[Hour]]&gt;72,tech_magical_weaponry_wiz*TblTech[[#This Row],[3-5]],0))</f>
        <v>0</v>
      </c>
    </row>
    <row r="9" spans="1:113" hidden="1" x14ac:dyDescent="0.2">
      <c r="A9" s="137">
        <f>TblRezone[[#This Row],[Hour]]</f>
        <v>6</v>
      </c>
      <c r="B9" s="246">
        <f ca="1">SUM(TblMili[[#This Row],[Unit 1]:[Archmages]])+SUM(OFFSET(TblMili[[#This Row],[Train Unit 1]],-5,0):TblMili[[#This Row],[Train Unit 4]])+TblMili[[#This Row],[Draftees]]</f>
        <v>175</v>
      </c>
      <c r="C9" s="157">
        <f ca="1">TblPop[[#This Row],[Military%]]</f>
        <v>0.25325615050651229</v>
      </c>
      <c r="D9" s="142"/>
      <c r="E9" s="45">
        <f ca="1">OFFSET(TblMili[[#This Row],[Unit 1]],-1,0) - TblMili[[#This Row],[Release Unit 1]]</f>
        <v>0</v>
      </c>
      <c r="F9" s="45">
        <f ca="1">OFFSET(TblMili[[#This Row],[Unit 2]],-1,0)-TblMili[[#This Row],[Release Unit 2]]</f>
        <v>0</v>
      </c>
      <c r="G9" s="45">
        <f ca="1">OFFSET(TblMili[[#This Row],[Unit 3]],-1,0)-TblMili[[#This Row],[Release Unit 3]]</f>
        <v>0</v>
      </c>
      <c r="H9" s="45">
        <f ca="1">OFFSET(TblMili[[#This Row],[Unit 4]],-1,0)-TblMili[[#This Row],[Release Unit 4]]</f>
        <v>0</v>
      </c>
      <c r="I9" s="45">
        <f ca="1">OFFSET(TblMili[[#This Row],[Spies]],-1,0)-TblMili[[#This Row],[Release Spies]]-TblMili[[#This Row],[Train AS]]</f>
        <v>0</v>
      </c>
      <c r="J9" s="45">
        <f ca="1">OFFSET(TblMili[[#This Row],[Archspies]],-1,0)-TblMili[[#This Row],[Release AS]]</f>
        <v>0</v>
      </c>
      <c r="K9" s="45">
        <f ca="1">OFFSET(TblMili[[#This Row],[Wizards]],-1,0)-TblMili[[#This Row],[Release Wizards]]-TblMili[[#This Row],[Train AM]]</f>
        <v>0</v>
      </c>
      <c r="L9" s="45">
        <f ca="1">OFFSET(TblMili[[#This Row],[Archmages]],-1,0)-TblMili[[#This Row],[Release AM]]</f>
        <v>0</v>
      </c>
      <c r="M9" s="142"/>
      <c r="N9" s="94">
        <f ca="1">TblProd[[#This Row],[Networth]]</f>
        <v>1250</v>
      </c>
      <c r="O9" s="142"/>
      <c r="P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 s="247">
        <f ca="1">TblMili[[#This Row],[Raw]]*(1+TblMili[[#This Row],[Mods_Off]])</f>
        <v>0</v>
      </c>
      <c r="S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 s="247">
        <f ca="1">TblMili[[#This Row],[Non Draft]]+TblMili[[#This Row],[Draftees]]</f>
        <v>175</v>
      </c>
      <c r="U9" s="248">
        <f ca="1">race_defense + TblImps[[#This Row],[Walls]] + ROUND( MIN(gt_bonus*TblConstr[[#This Row],[Tot GT]]/TblConstr[[#This Row],[Land]],gt_bonus_cap), 4) + IF(TblMagic[[#This Row],[Active Howling]]&gt;0,howling_dp_bonus,IF(TblMagic[[#This Row],[Active Ares Call]]&gt;0,ares_call_bonus))</f>
        <v>0</v>
      </c>
      <c r="V9" s="249">
        <f ca="1">TblMili[[#This Row],[Non Draft]] * (1 + TblMili[[#This Row],[Mods_Def]])</f>
        <v>0</v>
      </c>
      <c r="W9" s="247">
        <f ca="1">TblMili[[#This Row],[Draft]] * (1 + TblMili[[#This Row],[Mods_Def]])</f>
        <v>175</v>
      </c>
      <c r="X9" s="247">
        <f ca="1">TblConstr[[#This Row],[Land]]</f>
        <v>50</v>
      </c>
      <c r="Y9" s="156"/>
      <c r="Z9" s="255">
        <f ca="1">IF(TblMili[[#This Row],[Set]]&lt;&gt;"",TblMili[[#This Row],[Set]],OFFSET(TblMili[[#This Row],[Draftrate]],-1,0))</f>
        <v>0.9</v>
      </c>
      <c r="AA9" s="94">
        <f ca="1">OFFSET(TblMili[[#This Row],[Draftees]],-1,0)+OFFSET(TblPop[[#This Row],[Draft Growth]],-1,0) - SUM(TblMili[[#This Row],[Train Unit 1]:[Train Spies]],TblMili[[#This Row],[Train Wiz]],TblMili[[#This Row],[DnD_Zombies]]) - TblMili[[#This Row],[Release Draft]] + SUM(TblMili[[#This Row],[Release Unit 1]:[Release AM]]) - TblExplore[[#This Row],[Draftees (2)]]</f>
        <v>175</v>
      </c>
      <c r="AB9" s="154"/>
      <c r="AC9" s="180">
        <f ca="1">(TblConstr[[#This Row],[Tot Smi]]+TblConstr[[#This Row],[Dest Smi]])/(TblConstr[[#This Row],[Land]]-TblExplore[[#This Row],[Land Bonus]]*20)</f>
        <v>0</v>
      </c>
      <c r="AD9" s="137"/>
      <c r="AE9" s="246">
        <f>TblMili[[#This Row],[Hour]]</f>
        <v>6</v>
      </c>
      <c r="AF9" s="138">
        <f ca="1">TblExplore[[#This Row],[Time]]</f>
        <v>46047.208333333321</v>
      </c>
      <c r="AO9" s="420">
        <f ca="1">ROUND(IF(AND(TblMagic[[#This Row],[Active DnD]]&lt;12,TblMagic[[#This Row],[Active DnD]]&gt;5),OFFSET(TblPop[[#This Row],[Draft Growth]],-1,0)*0.375,0),0)</f>
        <v>0</v>
      </c>
      <c r="AP9" s="142"/>
      <c r="AQ9" s="94">
        <f ca="1">TblProd[[#This Row],[Platinum]]</f>
        <v>56575</v>
      </c>
      <c r="AR9" s="94">
        <f ca="1">INDEX(TblProd[[#Headers],[Lumber]]:TblProd[[#This Row],[Ore]],COUNTA(TblProd[[#Headers],[Lumber]]:TblProd[[#This Row],[Lumber]]),MATCH(Military!$AR$2,TblProd[[#Headers],[Lumber]:[Ore]],0))</f>
        <v>0</v>
      </c>
      <c r="AS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 s="94">
        <f ca="1">TblMili[[#This Row],[Train Unit 1]]*TblMili[[#This Row],[OP Ore]]+TblMili[[#This Row],[Train Unit 2]]*TblMili[[#This Row],[DP Ore]]+TblMili[[#This Row],[Train Unit 3]]*TblMili[[#This Row],[E1 Ore]]+TblMili[[#This Row],[Train Unit 4]]*TblMili[[#This Row],[E2 Ore]]</f>
        <v>0</v>
      </c>
      <c r="AU9" s="142">
        <f>TblMili[[#This Row],[Hour]]</f>
        <v>6</v>
      </c>
      <c r="AV9" s="152">
        <f ca="1">TblMili[[#This Row],[Time]]</f>
        <v>46047.208333333321</v>
      </c>
      <c r="AW9" s="94">
        <f ca="1">TblMili[[#This Row],[Draftees]]</f>
        <v>175</v>
      </c>
      <c r="BG9" s="142"/>
      <c r="BH9" s="157">
        <f ca="1">TblConstr[[#This Row],[Tot WG]]/TblConstr[[#This Row],[Land]]</f>
        <v>0</v>
      </c>
      <c r="BI9" s="157">
        <f ca="1">TblConstr[[#This Row],[Tot Hav]]/TblConstr[[#This Row],[Land]]</f>
        <v>0</v>
      </c>
      <c r="BJ9" s="94">
        <f ca="1">ROUNDUP((1-MIN(TblMili[[#This Row],[Smithies]]*smithy_bonus,smithy_bonus_cap) + tech_3_5*TblTech[[#This Row],[3-5]] + tech_5_3*TblTech[[#This Row],[5-3]] + tech_5_5*TblTech[[#This Row],[5-5]])*spec_op_plat,0)</f>
        <v>275</v>
      </c>
      <c r="BK9" s="94">
        <f ca="1">ROUNDUP(IF(race="Gnome",1,(1-MIN(TblMili[[#This Row],[Smithies]]*smithy_bonus,smithy_bonus_cap) + tech_3_5*TblTech[[#This Row],[3-5]] + tech_5_3*TblTech[[#This Row],[5-3]] + tech_5_5*TblTech[[#This Row],[5-5]]))*spec_op_ore,0)</f>
        <v>25</v>
      </c>
      <c r="BL9" s="94">
        <f ca="1">ROUNDUP((1-MIN(TblMili[[#This Row],[Smithies]]*smithy_bonus,smithy_bonus_cap) + tech_3_5*TblTech[[#This Row],[3-5]] + tech_5_3*TblTech[[#This Row],[5-3]] + tech_5_5*TblTech[[#This Row],[5-5]])*spec_dp_plat,0)</f>
        <v>275</v>
      </c>
      <c r="BM9" s="94">
        <f ca="1">ROUNDUP(IF(race="Gnome",1,(1-MIN(TblMili[[#This Row],[Smithies]]*smithy_bonus,smithy_bonus_cap) + tech_3_5*TblTech[[#This Row],[3-5]] + tech_5_3*TblTech[[#This Row],[5-3]] + tech_5_5*TblTech[[#This Row],[5-5]]))*spec_dp_ore,0)</f>
        <v>15</v>
      </c>
      <c r="BN9" s="94">
        <f ca="1">ROUNDUP((1-MIN(TblMili[[#This Row],[Smithies]]*smithy_bonus,smithy_bonus_cap) + tech_3_5*TblTech[[#This Row],[3-5]] + tech_5_3*TblTech[[#This Row],[5-3]] + tech_5_5*TblTech[[#This Row],[5-5]])*elite1_plat,0)</f>
        <v>1040</v>
      </c>
      <c r="BO9" s="94">
        <f ca="1">ROUNDUP(IF(race="Gnome",1,(1-MIN(TblMili[[#This Row],[Smithies]]*smithy_bonus,smithy_bonus_cap) + tech_3_5*TblTech[[#This Row],[3-5]] + tech_5_3*TblTech[[#This Row],[5-3]] + tech_5_5*TblTech[[#This Row],[5-5]]))*elite1_ore,0)</f>
        <v>75</v>
      </c>
      <c r="BP9" s="94">
        <f ca="1">ROUNDUP((1-MIN(TblMili[[#This Row],[Smithies]]*smithy_bonus,smithy_bonus_cap) + tech_3_5*TblTech[[#This Row],[3-5]] + tech_5_3*TblTech[[#This Row],[5-3]] + tech_5_5*TblTech[[#This Row],[5-5]])*elite2_plat,0)</f>
        <v>1280</v>
      </c>
      <c r="BQ9" s="94">
        <f ca="1">ROUNDUP(IF(race="Gnome",1,(1-MIN(TblMili[[#This Row],[Smithies]]*smithy_bonus,smithy_bonus_cap) + tech_3_5*TblTech[[#This Row],[3-5]] + tech_5_3*TblTech[[#This Row],[5-3]] + tech_5_5*TblTech[[#This Row],[5-5]]))*elite2_ore,0)</f>
        <v>100</v>
      </c>
      <c r="BR9" s="94">
        <f ca="1">ROUNDUP((1-MIN(ROUND(fh_spy_cost_red*TblMili[[#This Row],[FH''s]],4),fh_spy_cost_cap)+ tech_1_9*TblTech[[#This Row],[1-9]] + tech_9_1*TblTech[[#This Row],[9-1]])*spy_plat,0)</f>
        <v>500</v>
      </c>
      <c r="BS9" s="94">
        <f ca="1">ROUNDUP((1-MIN(ROUND(fh_spy_cost_red*TblMili[[#This Row],[FH''s]],4),fh_spy_cost_cap)+ tech_1_9*TblTech[[#This Row],[1-9]] + tech_9_1*TblTech[[#This Row],[9-1]])*archspy_plat,0)</f>
        <v>1000</v>
      </c>
      <c r="BT9" s="94">
        <f ca="1">ROUNDUP((1-MIN(ROUND(wg_wiz_cost_bonus*TblMili[[#This Row],[WG''s]],4),wg_wiz_cost_cap) + tech_1_9_2*TblTech[[#This Row],[1-9]] + tech_9_1_2*TblTech[[#This Row],[9-1]])*wizard_plat,0)</f>
        <v>500</v>
      </c>
      <c r="BU9" s="94">
        <f ca="1">ROUNDUP((1-MIN(ROUND(wg_wiz_cost_bonus*TblMili[[#This Row],[WG''s]],4),wg_wiz_cost_cap) + tech_1_9_2*TblTech[[#This Row],[1-9]] + tech_9_1_2*TblTech[[#This Row],[9-1]])*archmage_plat,0)</f>
        <v>1000</v>
      </c>
      <c r="BV9" s="142"/>
      <c r="BW9" s="157">
        <f ca="1">TblConstr[[#This Row],[Homeland]]/TblConstr[[#This Row],[Land]]</f>
        <v>0.6</v>
      </c>
      <c r="BX9" s="157">
        <f ca="1">TblMili[[#This Row],[WG''s]]</f>
        <v>0</v>
      </c>
      <c r="BY9" s="251">
        <f ca="1">IF(mystic_cap="none",TblMili[[#This Row],[Homeland%]]/mystic_bonus,MIN(mystic_cap,TblMili[[#This Row],[Homeland%]]/mystic_bonus))</f>
        <v>2</v>
      </c>
      <c r="BZ9" s="251">
        <f ca="1">IF(druid_op_cap="none",TblMili[[#This Row],[Homeland%]]/druid_op_bonus,MIN(druid_op_cap,TblMili[[#This Row],[Homeland%]]/druid_op_bonus))</f>
        <v>2</v>
      </c>
      <c r="CA9" s="251">
        <f ca="1">IF(druid_dp_cap="none",TblMili[[#This Row],[Homeland%]]/druid_dp_bonus,MIN(druid_dp_cap,TblMili[[#This Row],[Homeland%]]/druid_dp_bonus))</f>
        <v>2</v>
      </c>
      <c r="CB9" s="251">
        <f ca="1">MIN(dryad_cap,TblMili[[#This Row],[Homeland%]]/dryad_bonus)</f>
        <v>2.9999999999999996</v>
      </c>
      <c r="CC9" s="251">
        <f ca="1">MIN(rocka_cap,TblMili[[#This Row],[Homeland%]]/rocka_bonus)</f>
        <v>2</v>
      </c>
      <c r="CD9" s="251">
        <f ca="1">MIN(adept_op_cap,TblMili[[#This Row],[WG]]/adept_op_bonus)</f>
        <v>0</v>
      </c>
      <c r="CE9" s="251">
        <f ca="1">MIN(adept_dp_cap,TblMili[[#This Row],[WG]]/adept_dp_bonus)</f>
        <v>0</v>
      </c>
      <c r="CF9" s="94">
        <f ca="1">MIN(TblMili[[#This Row],[Unit 3]],TblMili[[#This Row],[Unit 2]])*2</f>
        <v>0</v>
      </c>
      <c r="CG9" s="94">
        <f ca="1">MIN(TblMili[[#This Row],[Unit 1]],TblMili[[#This Row],[Unit 4]])*2</f>
        <v>0</v>
      </c>
      <c r="CH9" s="251">
        <f ca="1">MIN(frost_mage_cap,TblMili[[#This Row],[Homeland%]]/frost_mage_bonus)</f>
        <v>2.9999999999999996</v>
      </c>
      <c r="CI9" s="45">
        <f ca="1">MIN(ice_elem_cap,TblMili[[#This Row],[Raw (2)]]*ice_elem_bonus)</f>
        <v>0</v>
      </c>
      <c r="CJ9" s="251">
        <f t="shared" si="0"/>
        <v>0.83333333333333337</v>
      </c>
      <c r="CK9" s="251">
        <f ca="1">MIN(nox_nightshade_cap,TblConstr[[#This Row],[Homeland]]/TblConstr[[#This Row],[Land]]/nox_nightshade_swamp_bonus)</f>
        <v>4</v>
      </c>
      <c r="CL9" s="251">
        <f ca="1">MIN(TblConstr[[#This Row],[Total Swamp]]/TblConstr[[#This Row],[Land]]/abyss_enforce_bonus,abyss_enforcer_cap)</f>
        <v>0</v>
      </c>
      <c r="CM9" s="251">
        <f ca="1">IF(TblMagic[[#This Row],[Active Infernal Command]]&gt;0,TblMili[[#This Row],[Unit 1]]*infernal_cmd_op,0)</f>
        <v>0</v>
      </c>
      <c r="CN9" s="252" t="s">
        <v>103</v>
      </c>
      <c r="CO9" s="252" t="b">
        <f t="shared" si="1"/>
        <v>0</v>
      </c>
      <c r="CP9" s="252"/>
      <c r="CQ9" s="251">
        <f ca="1">MIN(6,TblMili[[#This Row],[Mystic]]+Races!$F$19)*1.8 +  IF(TblMili[[#This Row],[Mystic]]+Races!$F$19&gt;6,(TblMili[[#This Row],[Mystic]]+Races!$F$19-6)*0.2,0) - Races!$I$19</f>
        <v>1</v>
      </c>
      <c r="CR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 s="94">
        <f ca="1">TblMili[[#This Row],[Mystic bonus]]*TblMili[[#This Row],[Unit 3]]+TblMili[[#This Row],[Druid bonus]]*TblMili[[#This Row],[Unit 4]]</f>
        <v>0</v>
      </c>
      <c r="CT9" s="155">
        <f ca="1">MIN(6,TblMili[[#This Row],[Dryad]]+Races!$F$35)*1.8 +  IF(TblMili[[#This Row],[Dryad]]+Races!$F$35&gt;6,(TblMili[[#This Row],[Dryad]]+Races!$F$35-6)*0.2,0) - Races!$I$19</f>
        <v>0.80000000000000071</v>
      </c>
      <c r="CU9" s="94">
        <f ca="1">sylvan*(TblMili[[#This Row],[Mystic bonus]]*TblMili[[#This Row],[Unit 3]])</f>
        <v>0</v>
      </c>
      <c r="CV9" s="155">
        <f ca="1">1.8 * MIN(MAX(Races!$E$27,TblMili[[#This Row],[Rockapult]]+Races!$F$27),6)  +  0.45 * MIN(MIN(Races!$E$27,TblMili[[#This Row],[Rockapult]]+Races!$F$27),6)  +  0.2 * ( MAX(Races!$E$27-6,0) + MAX(TblMili[[#This Row],[Rockapult]]+Races!$F$27-6,0) )  -  Races!$I$20</f>
        <v>3.7000000000000011</v>
      </c>
      <c r="CW9" s="94">
        <f ca="1">gnome*(TblMili[[#This Row],[Rockapult bonus]]*TblMili[[#This Row],[Unit 3]])</f>
        <v>0</v>
      </c>
      <c r="CX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 s="94">
        <f ca="1">dark_elf*(TblMili[[#This Row],[Adept bonus]]*TblMili[[#This Row],[Unit 3]])</f>
        <v>0</v>
      </c>
      <c r="CZ9" s="155">
        <f ca="1">1.8 * MIN(MAX(TblMili[[#This Row],[Frost Mage]]+Races!$F$71,Races!$E$71),6)  +  0.45 * MIN(MIN(TblMili[[#This Row],[Frost Mage]]+Races!$F$71,Races!$E$71),6)  +  0.2 * ( MAX(TblMili[[#This Row],[Frost Mage]]+Races!$F$71-6,0) + MAX(Races!$E$71-6,0) )  -  Races!$I$71</f>
        <v>6.15</v>
      </c>
      <c r="DA9" s="155">
        <f ca="1">1.8 * MIN(MAX(TblMili[[#This Row],[Ice Elemental]]+Races!$E$71,Races!$F$71),6)  +  0.45 * MIN(MIN(TblMili[[#This Row],[Ice Elemental]]+Races!$E$71,Races!$F$71),6)  +  0.2 * ( MAX(TblMili[[#This Row],[Ice Elemental]]+Races!$E$71-6,0) + MAX(Races!$F$71-6,0) )  -  Races!$I$71</f>
        <v>0.75</v>
      </c>
      <c r="DB9" s="94">
        <f ca="1">TblMili[[#This Row],[Frost Mage bonus]]*TblMili[[#This Row],[Unit 3]]+TblMili[[#This Row],[Ice Elemental bonus]]*TblMili[[#This Row],[Unit 4]]</f>
        <v>0</v>
      </c>
      <c r="DC9" s="253"/>
      <c r="DD9" s="143">
        <f ca="1">MIN(SUM(TblConstr[[#This Row],[Plain]:[Water]])/TblMili[[#This Row],[Land]]/favorable_terrain_bonus/100,favorable_terrain_max)</f>
        <v>0</v>
      </c>
      <c r="DE9" s="253"/>
      <c r="DF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9" s="142"/>
      <c r="DH9" s="254">
        <f ca="1">(TblMili[[#This Row],[Wizards]]+2*TblMili[[#This Row],[Archmages]])/TblConstr[[#This Row],[Land]]</f>
        <v>0</v>
      </c>
      <c r="DI9" s="254">
        <f ca="1">TblMili[[#This Row],[Raw (2)]]*(1+race_wizard_strength+IF(TblMili[[#This Row],[Hour]]&gt;72,tech_magical_weaponry_wiz*TblTech[[#This Row],[3-5]],0))</f>
        <v>0</v>
      </c>
    </row>
    <row r="10" spans="1:113" hidden="1" x14ac:dyDescent="0.2">
      <c r="A10" s="137">
        <f>TblRezone[[#This Row],[Hour]]</f>
        <v>7</v>
      </c>
      <c r="B10" s="246">
        <f ca="1">SUM(TblMili[[#This Row],[Unit 1]:[Archmages]])+SUM(OFFSET(TblMili[[#This Row],[Train Unit 1]],-6,0):TblMili[[#This Row],[Train Unit 4]])+TblMili[[#This Row],[Draftees]]</f>
        <v>180</v>
      </c>
      <c r="C10" s="157">
        <f ca="1">TblPop[[#This Row],[Military%]]</f>
        <v>0.25495750708215298</v>
      </c>
      <c r="D10" s="142"/>
      <c r="E10" s="45">
        <f ca="1">OFFSET(TblMili[[#This Row],[Unit 1]],-1,0) - TblMili[[#This Row],[Release Unit 1]]</f>
        <v>0</v>
      </c>
      <c r="F10" s="45">
        <f ca="1">OFFSET(TblMili[[#This Row],[Unit 2]],-1,0)-TblMili[[#This Row],[Release Unit 2]]</f>
        <v>0</v>
      </c>
      <c r="G10" s="45">
        <f ca="1">OFFSET(TblMili[[#This Row],[Unit 3]],-1,0)-TblMili[[#This Row],[Release Unit 3]]</f>
        <v>0</v>
      </c>
      <c r="H10" s="45">
        <f ca="1">OFFSET(TblMili[[#This Row],[Unit 4]],-1,0)-TblMili[[#This Row],[Release Unit 4]]</f>
        <v>0</v>
      </c>
      <c r="I10" s="45">
        <f ca="1">OFFSET(TblMili[[#This Row],[Spies]],-1,0)-TblMili[[#This Row],[Release Spies]]-TblMili[[#This Row],[Train AS]]</f>
        <v>0</v>
      </c>
      <c r="J10" s="45">
        <f ca="1">OFFSET(TblMili[[#This Row],[Archspies]],-1,0)-TblMili[[#This Row],[Release AS]]</f>
        <v>0</v>
      </c>
      <c r="K10" s="45">
        <f ca="1">OFFSET(TblMili[[#This Row],[Wizards]],-1,0)-TblMili[[#This Row],[Release Wizards]]-TblMili[[#This Row],[Train AM]]</f>
        <v>0</v>
      </c>
      <c r="L10" s="45">
        <f ca="1">OFFSET(TblMili[[#This Row],[Archmages]],-1,0)-TblMili[[#This Row],[Release AM]]</f>
        <v>0</v>
      </c>
      <c r="M10" s="142"/>
      <c r="N10" s="94">
        <f ca="1">TblProd[[#This Row],[Networth]]</f>
        <v>1250</v>
      </c>
      <c r="O10" s="142"/>
      <c r="P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 s="247">
        <f ca="1">TblMili[[#This Row],[Raw]]*(1+TblMili[[#This Row],[Mods_Off]])</f>
        <v>0</v>
      </c>
      <c r="S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 s="247">
        <f ca="1">TblMili[[#This Row],[Non Draft]]+TblMili[[#This Row],[Draftees]]</f>
        <v>180</v>
      </c>
      <c r="U10" s="248">
        <f ca="1">race_defense + TblImps[[#This Row],[Walls]] + ROUND( MIN(gt_bonus*TblConstr[[#This Row],[Tot GT]]/TblConstr[[#This Row],[Land]],gt_bonus_cap), 4) + IF(TblMagic[[#This Row],[Active Howling]]&gt;0,howling_dp_bonus,IF(TblMagic[[#This Row],[Active Ares Call]]&gt;0,ares_call_bonus))</f>
        <v>0</v>
      </c>
      <c r="V10" s="249">
        <f ca="1">TblMili[[#This Row],[Non Draft]] * (1 + TblMili[[#This Row],[Mods_Def]])</f>
        <v>0</v>
      </c>
      <c r="W10" s="247">
        <f ca="1">TblMili[[#This Row],[Draft]] * (1 + TblMili[[#This Row],[Mods_Def]])</f>
        <v>180</v>
      </c>
      <c r="X10" s="247">
        <f ca="1">TblConstr[[#This Row],[Land]]</f>
        <v>50</v>
      </c>
      <c r="Y10" s="156"/>
      <c r="Z10" s="255">
        <f ca="1">IF(TblMili[[#This Row],[Set]]&lt;&gt;"",TblMili[[#This Row],[Set]],OFFSET(TblMili[[#This Row],[Draftrate]],-1,0))</f>
        <v>0.9</v>
      </c>
      <c r="AA10" s="94">
        <f ca="1">OFFSET(TblMili[[#This Row],[Draftees]],-1,0)+OFFSET(TblPop[[#This Row],[Draft Growth]],-1,0) - SUM(TblMili[[#This Row],[Train Unit 1]:[Train Spies]],TblMili[[#This Row],[Train Wiz]],TblMili[[#This Row],[DnD_Zombies]]) - TblMili[[#This Row],[Release Draft]] + SUM(TblMili[[#This Row],[Release Unit 1]:[Release AM]]) - TblExplore[[#This Row],[Draftees (2)]]</f>
        <v>180</v>
      </c>
      <c r="AB10" s="154"/>
      <c r="AC10" s="180">
        <f ca="1">(TblConstr[[#This Row],[Tot Smi]]+TblConstr[[#This Row],[Dest Smi]])/(TblConstr[[#This Row],[Land]]-TblExplore[[#This Row],[Land Bonus]]*20)</f>
        <v>0</v>
      </c>
      <c r="AD10" s="137"/>
      <c r="AE10" s="246">
        <f>TblMili[[#This Row],[Hour]]</f>
        <v>7</v>
      </c>
      <c r="AF10" s="138">
        <f ca="1">TblExplore[[#This Row],[Time]]</f>
        <v>46047.249999999985</v>
      </c>
      <c r="AO10" s="420">
        <f ca="1">ROUND(IF(AND(TblMagic[[#This Row],[Active DnD]]&lt;12,TblMagic[[#This Row],[Active DnD]]&gt;5),OFFSET(TblPop[[#This Row],[Draft Growth]],-1,0)*0.375,0),0)</f>
        <v>0</v>
      </c>
      <c r="AP10" s="420"/>
      <c r="AQ10" s="94">
        <f ca="1">TblProd[[#This Row],[Platinum]]</f>
        <v>57968</v>
      </c>
      <c r="AR10" s="94">
        <f ca="1">INDEX(TblProd[[#Headers],[Lumber]]:TblProd[[#This Row],[Ore]],COUNTA(TblProd[[#Headers],[Lumber]]:TblProd[[#This Row],[Lumber]]),MATCH(Military!$AR$2,TblProd[[#Headers],[Lumber]:[Ore]],0))</f>
        <v>0</v>
      </c>
      <c r="AS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 s="94">
        <f ca="1">TblMili[[#This Row],[Train Unit 1]]*TblMili[[#This Row],[OP Ore]]+TblMili[[#This Row],[Train Unit 2]]*TblMili[[#This Row],[DP Ore]]+TblMili[[#This Row],[Train Unit 3]]*TblMili[[#This Row],[E1 Ore]]+TblMili[[#This Row],[Train Unit 4]]*TblMili[[#This Row],[E2 Ore]]</f>
        <v>0</v>
      </c>
      <c r="AU10" s="142">
        <f>TblMili[[#This Row],[Hour]]</f>
        <v>7</v>
      </c>
      <c r="AV10" s="152">
        <f ca="1">TblMili[[#This Row],[Time]]</f>
        <v>46047.249999999985</v>
      </c>
      <c r="AW10" s="94">
        <f ca="1">TblMili[[#This Row],[Draftees]]</f>
        <v>180</v>
      </c>
      <c r="BG10" s="142"/>
      <c r="BH10" s="157">
        <f ca="1">TblConstr[[#This Row],[Tot WG]]/TblConstr[[#This Row],[Land]]</f>
        <v>0</v>
      </c>
      <c r="BI10" s="157">
        <f ca="1">TblConstr[[#This Row],[Tot Hav]]/TblConstr[[#This Row],[Land]]</f>
        <v>0</v>
      </c>
      <c r="BJ10" s="94">
        <f ca="1">ROUNDUP((1-MIN(TblMili[[#This Row],[Smithies]]*smithy_bonus,smithy_bonus_cap) + tech_3_5*TblTech[[#This Row],[3-5]] + tech_5_3*TblTech[[#This Row],[5-3]] + tech_5_5*TblTech[[#This Row],[5-5]])*spec_op_plat,0)</f>
        <v>275</v>
      </c>
      <c r="BK10" s="94">
        <f ca="1">ROUNDUP(IF(race="Gnome",1,(1-MIN(TblMili[[#This Row],[Smithies]]*smithy_bonus,smithy_bonus_cap) + tech_3_5*TblTech[[#This Row],[3-5]] + tech_5_3*TblTech[[#This Row],[5-3]] + tech_5_5*TblTech[[#This Row],[5-5]]))*spec_op_ore,0)</f>
        <v>25</v>
      </c>
      <c r="BL10" s="94">
        <f ca="1">ROUNDUP((1-MIN(TblMili[[#This Row],[Smithies]]*smithy_bonus,smithy_bonus_cap) + tech_3_5*TblTech[[#This Row],[3-5]] + tech_5_3*TblTech[[#This Row],[5-3]] + tech_5_5*TblTech[[#This Row],[5-5]])*spec_dp_plat,0)</f>
        <v>275</v>
      </c>
      <c r="BM10" s="94">
        <f ca="1">ROUNDUP(IF(race="Gnome",1,(1-MIN(TblMili[[#This Row],[Smithies]]*smithy_bonus,smithy_bonus_cap) + tech_3_5*TblTech[[#This Row],[3-5]] + tech_5_3*TblTech[[#This Row],[5-3]] + tech_5_5*TblTech[[#This Row],[5-5]]))*spec_dp_ore,0)</f>
        <v>15</v>
      </c>
      <c r="BN10" s="94">
        <f ca="1">ROUNDUP((1-MIN(TblMili[[#This Row],[Smithies]]*smithy_bonus,smithy_bonus_cap) + tech_3_5*TblTech[[#This Row],[3-5]] + tech_5_3*TblTech[[#This Row],[5-3]] + tech_5_5*TblTech[[#This Row],[5-5]])*elite1_plat,0)</f>
        <v>1040</v>
      </c>
      <c r="BO10" s="94">
        <f ca="1">ROUNDUP(IF(race="Gnome",1,(1-MIN(TblMili[[#This Row],[Smithies]]*smithy_bonus,smithy_bonus_cap) + tech_3_5*TblTech[[#This Row],[3-5]] + tech_5_3*TblTech[[#This Row],[5-3]] + tech_5_5*TblTech[[#This Row],[5-5]]))*elite1_ore,0)</f>
        <v>75</v>
      </c>
      <c r="BP10" s="94">
        <f ca="1">ROUNDUP((1-MIN(TblMili[[#This Row],[Smithies]]*smithy_bonus,smithy_bonus_cap) + tech_3_5*TblTech[[#This Row],[3-5]] + tech_5_3*TblTech[[#This Row],[5-3]] + tech_5_5*TblTech[[#This Row],[5-5]])*elite2_plat,0)</f>
        <v>1280</v>
      </c>
      <c r="BQ10" s="94">
        <f ca="1">ROUNDUP(IF(race="Gnome",1,(1-MIN(TblMili[[#This Row],[Smithies]]*smithy_bonus,smithy_bonus_cap) + tech_3_5*TblTech[[#This Row],[3-5]] + tech_5_3*TblTech[[#This Row],[5-3]] + tech_5_5*TblTech[[#This Row],[5-5]]))*elite2_ore,0)</f>
        <v>100</v>
      </c>
      <c r="BR10" s="94">
        <f ca="1">ROUNDUP((1-MIN(ROUND(fh_spy_cost_red*TblMili[[#This Row],[FH''s]],4),fh_spy_cost_cap)+ tech_1_9*TblTech[[#This Row],[1-9]] + tech_9_1*TblTech[[#This Row],[9-1]])*spy_plat,0)</f>
        <v>500</v>
      </c>
      <c r="BS10" s="94">
        <f ca="1">ROUNDUP((1-MIN(ROUND(fh_spy_cost_red*TblMili[[#This Row],[FH''s]],4),fh_spy_cost_cap)+ tech_1_9*TblTech[[#This Row],[1-9]] + tech_9_1*TblTech[[#This Row],[9-1]])*archspy_plat,0)</f>
        <v>1000</v>
      </c>
      <c r="BT10" s="94">
        <f ca="1">ROUNDUP((1-MIN(ROUND(wg_wiz_cost_bonus*TblMili[[#This Row],[WG''s]],4),wg_wiz_cost_cap) + tech_1_9_2*TblTech[[#This Row],[1-9]] + tech_9_1_2*TblTech[[#This Row],[9-1]])*wizard_plat,0)</f>
        <v>500</v>
      </c>
      <c r="BU10" s="94">
        <f ca="1">ROUNDUP((1-MIN(ROUND(wg_wiz_cost_bonus*TblMili[[#This Row],[WG''s]],4),wg_wiz_cost_cap) + tech_1_9_2*TblTech[[#This Row],[1-9]] + tech_9_1_2*TblTech[[#This Row],[9-1]])*archmage_plat,0)</f>
        <v>1000</v>
      </c>
      <c r="BV10" s="142"/>
      <c r="BW10" s="157">
        <f ca="1">TblConstr[[#This Row],[Homeland]]/TblConstr[[#This Row],[Land]]</f>
        <v>0.6</v>
      </c>
      <c r="BX10" s="157">
        <f ca="1">TblMili[[#This Row],[WG''s]]</f>
        <v>0</v>
      </c>
      <c r="BY10" s="251">
        <f ca="1">IF(mystic_cap="none",TblMili[[#This Row],[Homeland%]]/mystic_bonus,MIN(mystic_cap,TblMili[[#This Row],[Homeland%]]/mystic_bonus))</f>
        <v>2</v>
      </c>
      <c r="BZ10" s="251">
        <f ca="1">IF(druid_op_cap="none",TblMili[[#This Row],[Homeland%]]/druid_op_bonus,MIN(druid_op_cap,TblMili[[#This Row],[Homeland%]]/druid_op_bonus))</f>
        <v>2</v>
      </c>
      <c r="CA10" s="251">
        <f ca="1">IF(druid_dp_cap="none",TblMili[[#This Row],[Homeland%]]/druid_dp_bonus,MIN(druid_dp_cap,TblMili[[#This Row],[Homeland%]]/druid_dp_bonus))</f>
        <v>2</v>
      </c>
      <c r="CB10" s="251">
        <f ca="1">MIN(dryad_cap,TblMili[[#This Row],[Homeland%]]/dryad_bonus)</f>
        <v>2.9999999999999996</v>
      </c>
      <c r="CC10" s="251">
        <f ca="1">MIN(rocka_cap,TblMili[[#This Row],[Homeland%]]/rocka_bonus)</f>
        <v>2</v>
      </c>
      <c r="CD10" s="251">
        <f ca="1">MIN(adept_op_cap,TblMili[[#This Row],[WG]]/adept_op_bonus)</f>
        <v>0</v>
      </c>
      <c r="CE10" s="251">
        <f ca="1">MIN(adept_dp_cap,TblMili[[#This Row],[WG]]/adept_dp_bonus)</f>
        <v>0</v>
      </c>
      <c r="CF10" s="94">
        <f ca="1">MIN(TblMili[[#This Row],[Unit 3]],TblMili[[#This Row],[Unit 2]])*2</f>
        <v>0</v>
      </c>
      <c r="CG10" s="94">
        <f ca="1">MIN(TblMili[[#This Row],[Unit 1]],TblMili[[#This Row],[Unit 4]])*2</f>
        <v>0</v>
      </c>
      <c r="CH10" s="251">
        <f ca="1">MIN(frost_mage_cap,TblMili[[#This Row],[Homeland%]]/frost_mage_bonus)</f>
        <v>2.9999999999999996</v>
      </c>
      <c r="CI10" s="45">
        <f ca="1">MIN(ice_elem_cap,TblMili[[#This Row],[Raw (2)]]*ice_elem_bonus)</f>
        <v>0</v>
      </c>
      <c r="CJ10" s="251">
        <f t="shared" si="0"/>
        <v>0.83333333333333337</v>
      </c>
      <c r="CK10" s="251">
        <f ca="1">MIN(nox_nightshade_cap,TblConstr[[#This Row],[Homeland]]/TblConstr[[#This Row],[Land]]/nox_nightshade_swamp_bonus)</f>
        <v>4</v>
      </c>
      <c r="CL10" s="251">
        <f ca="1">MIN(TblConstr[[#This Row],[Total Swamp]]/TblConstr[[#This Row],[Land]]/abyss_enforce_bonus,abyss_enforcer_cap)</f>
        <v>0</v>
      </c>
      <c r="CM10" s="251">
        <f ca="1">IF(TblMagic[[#This Row],[Active Infernal Command]]&gt;0,TblMili[[#This Row],[Unit 1]]*infernal_cmd_op,0)</f>
        <v>0</v>
      </c>
      <c r="CN10" s="252" t="s">
        <v>328</v>
      </c>
      <c r="CO10" s="252" t="b">
        <f t="shared" si="1"/>
        <v>0</v>
      </c>
      <c r="CP10" s="252"/>
      <c r="CQ10" s="251">
        <f ca="1">MIN(6,TblMili[[#This Row],[Mystic]]+Races!$F$19)*1.8 +  IF(TblMili[[#This Row],[Mystic]]+Races!$F$19&gt;6,(TblMili[[#This Row],[Mystic]]+Races!$F$19-6)*0.2,0) - Races!$I$19</f>
        <v>1</v>
      </c>
      <c r="CR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 s="94">
        <f ca="1">TblMili[[#This Row],[Mystic bonus]]*TblMili[[#This Row],[Unit 3]]+TblMili[[#This Row],[Druid bonus]]*TblMili[[#This Row],[Unit 4]]</f>
        <v>0</v>
      </c>
      <c r="CT10" s="155">
        <f ca="1">MIN(6,TblMili[[#This Row],[Dryad]]+Races!$F$35)*1.8 +  IF(TblMili[[#This Row],[Dryad]]+Races!$F$35&gt;6,(TblMili[[#This Row],[Dryad]]+Races!$F$35-6)*0.2,0) - Races!$I$19</f>
        <v>0.80000000000000071</v>
      </c>
      <c r="CU10" s="94">
        <f ca="1">sylvan*(TblMili[[#This Row],[Mystic bonus]]*TblMili[[#This Row],[Unit 3]])</f>
        <v>0</v>
      </c>
      <c r="CV10" s="155">
        <f ca="1">1.8 * MIN(MAX(Races!$E$27,TblMili[[#This Row],[Rockapult]]+Races!$F$27),6)  +  0.45 * MIN(MIN(Races!$E$27,TblMili[[#This Row],[Rockapult]]+Races!$F$27),6)  +  0.2 * ( MAX(Races!$E$27-6,0) + MAX(TblMili[[#This Row],[Rockapult]]+Races!$F$27-6,0) )  -  Races!$I$20</f>
        <v>3.7000000000000011</v>
      </c>
      <c r="CW10" s="94">
        <f ca="1">gnome*(TblMili[[#This Row],[Rockapult bonus]]*TblMili[[#This Row],[Unit 3]])</f>
        <v>0</v>
      </c>
      <c r="CX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 s="94">
        <f ca="1">dark_elf*(TblMili[[#This Row],[Adept bonus]]*TblMili[[#This Row],[Unit 3]])</f>
        <v>0</v>
      </c>
      <c r="CZ10" s="155">
        <f ca="1">1.8 * MIN(MAX(TblMili[[#This Row],[Frost Mage]]+Races!$F$71,Races!$E$71),6)  +  0.45 * MIN(MIN(TblMili[[#This Row],[Frost Mage]]+Races!$F$71,Races!$E$71),6)  +  0.2 * ( MAX(TblMili[[#This Row],[Frost Mage]]+Races!$F$71-6,0) + MAX(Races!$E$71-6,0) )  -  Races!$I$71</f>
        <v>6.15</v>
      </c>
      <c r="DA10" s="155">
        <f ca="1">1.8 * MIN(MAX(TblMili[[#This Row],[Ice Elemental]]+Races!$E$71,Races!$F$71),6)  +  0.45 * MIN(MIN(TblMili[[#This Row],[Ice Elemental]]+Races!$E$71,Races!$F$71),6)  +  0.2 * ( MAX(TblMili[[#This Row],[Ice Elemental]]+Races!$E$71-6,0) + MAX(Races!$F$71-6,0) )  -  Races!$I$71</f>
        <v>0.75</v>
      </c>
      <c r="DB10" s="94">
        <f ca="1">TblMili[[#This Row],[Frost Mage bonus]]*TblMili[[#This Row],[Unit 3]]+TblMili[[#This Row],[Ice Elemental bonus]]*TblMili[[#This Row],[Unit 4]]</f>
        <v>0</v>
      </c>
      <c r="DC10" s="253"/>
      <c r="DD10" s="143">
        <f ca="1">MIN(SUM(TblConstr[[#This Row],[Plain]:[Water]])/TblMili[[#This Row],[Land]]/favorable_terrain_bonus/100,favorable_terrain_max)</f>
        <v>0</v>
      </c>
      <c r="DE10" s="253"/>
      <c r="DF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0" s="142"/>
      <c r="DH10" s="254">
        <f ca="1">(TblMili[[#This Row],[Wizards]]+2*TblMili[[#This Row],[Archmages]])/TblConstr[[#This Row],[Land]]</f>
        <v>0</v>
      </c>
      <c r="DI10" s="254">
        <f ca="1">TblMili[[#This Row],[Raw (2)]]*(1+race_wizard_strength+IF(TblMili[[#This Row],[Hour]]&gt;72,tech_magical_weaponry_wiz*TblTech[[#This Row],[3-5]],0))</f>
        <v>0</v>
      </c>
    </row>
    <row r="11" spans="1:113" hidden="1" x14ac:dyDescent="0.2">
      <c r="A11" s="137">
        <f>TblRezone[[#This Row],[Hour]]</f>
        <v>8</v>
      </c>
      <c r="B11" s="246">
        <f ca="1">SUM(TblMili[[#This Row],[Unit 1]:[Archmages]])+SUM(OFFSET(TblMili[[#This Row],[Train Unit 1]],-7,0):TblMili[[#This Row],[Train Unit 4]])+TblMili[[#This Row],[Draftees]]</f>
        <v>185</v>
      </c>
      <c r="C11" s="157">
        <f ca="1">TblPop[[#This Row],[Military%]]</f>
        <v>0.25623268698060941</v>
      </c>
      <c r="D11" s="142"/>
      <c r="E11" s="45">
        <f ca="1">OFFSET(TblMili[[#This Row],[Unit 1]],-1,0) - TblMili[[#This Row],[Release Unit 1]]</f>
        <v>0</v>
      </c>
      <c r="F11" s="45">
        <f ca="1">OFFSET(TblMili[[#This Row],[Unit 2]],-1,0)-TblMili[[#This Row],[Release Unit 2]]</f>
        <v>0</v>
      </c>
      <c r="G11" s="45">
        <f ca="1">OFFSET(TblMili[[#This Row],[Unit 3]],-1,0)-TblMili[[#This Row],[Release Unit 3]]</f>
        <v>0</v>
      </c>
      <c r="H11" s="45">
        <f ca="1">OFFSET(TblMili[[#This Row],[Unit 4]],-1,0)-TblMili[[#This Row],[Release Unit 4]]</f>
        <v>0</v>
      </c>
      <c r="I11" s="45">
        <f ca="1">OFFSET(TblMili[[#This Row],[Spies]],-1,0)-TblMili[[#This Row],[Release Spies]]-TblMili[[#This Row],[Train AS]]</f>
        <v>0</v>
      </c>
      <c r="J11" s="45">
        <f ca="1">OFFSET(TblMili[[#This Row],[Archspies]],-1,0)-TblMili[[#This Row],[Release AS]]</f>
        <v>0</v>
      </c>
      <c r="K11" s="45">
        <f ca="1">OFFSET(TblMili[[#This Row],[Wizards]],-1,0)-TblMili[[#This Row],[Release Wizards]]-TblMili[[#This Row],[Train AM]]</f>
        <v>0</v>
      </c>
      <c r="L11" s="45">
        <f ca="1">OFFSET(TblMili[[#This Row],[Archmages]],-1,0)-TblMili[[#This Row],[Release AM]]</f>
        <v>0</v>
      </c>
      <c r="M11" s="142"/>
      <c r="N11" s="94">
        <f ca="1">TblProd[[#This Row],[Networth]]</f>
        <v>1250</v>
      </c>
      <c r="O11" s="142"/>
      <c r="P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 s="247">
        <f ca="1">TblMili[[#This Row],[Raw]]*(1+TblMili[[#This Row],[Mods_Off]])</f>
        <v>0</v>
      </c>
      <c r="S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 s="247">
        <f ca="1">TblMili[[#This Row],[Non Draft]]+TblMili[[#This Row],[Draftees]]</f>
        <v>185</v>
      </c>
      <c r="U11" s="248">
        <f ca="1">race_defense + TblImps[[#This Row],[Walls]] + ROUND( MIN(gt_bonus*TblConstr[[#This Row],[Tot GT]]/TblConstr[[#This Row],[Land]],gt_bonus_cap), 4) + IF(TblMagic[[#This Row],[Active Howling]]&gt;0,howling_dp_bonus,IF(TblMagic[[#This Row],[Active Ares Call]]&gt;0,ares_call_bonus))</f>
        <v>0</v>
      </c>
      <c r="V11" s="249">
        <f ca="1">TblMili[[#This Row],[Non Draft]] * (1 + TblMili[[#This Row],[Mods_Def]])</f>
        <v>0</v>
      </c>
      <c r="W11" s="247">
        <f ca="1">TblMili[[#This Row],[Draft]] * (1 + TblMili[[#This Row],[Mods_Def]])</f>
        <v>185</v>
      </c>
      <c r="X11" s="247">
        <f ca="1">TblConstr[[#This Row],[Land]]</f>
        <v>50</v>
      </c>
      <c r="Y11" s="156"/>
      <c r="Z11" s="255">
        <f ca="1">IF(TblMili[[#This Row],[Set]]&lt;&gt;"",TblMili[[#This Row],[Set]],OFFSET(TblMili[[#This Row],[Draftrate]],-1,0))</f>
        <v>0.9</v>
      </c>
      <c r="AA11" s="94">
        <f ca="1">OFFSET(TblMili[[#This Row],[Draftees]],-1,0)+OFFSET(TblPop[[#This Row],[Draft Growth]],-1,0) - SUM(TblMili[[#This Row],[Train Unit 1]:[Train Spies]],TblMili[[#This Row],[Train Wiz]],TblMili[[#This Row],[DnD_Zombies]]) - TblMili[[#This Row],[Release Draft]] + SUM(TblMili[[#This Row],[Release Unit 1]:[Release AM]]) - TblExplore[[#This Row],[Draftees (2)]]</f>
        <v>185</v>
      </c>
      <c r="AB11" s="154"/>
      <c r="AC11" s="180">
        <f ca="1">(TblConstr[[#This Row],[Tot Smi]]+TblConstr[[#This Row],[Dest Smi]])/(TblConstr[[#This Row],[Land]]-TblExplore[[#This Row],[Land Bonus]]*20)</f>
        <v>0</v>
      </c>
      <c r="AD11" s="137"/>
      <c r="AE11" s="246">
        <f>TblMili[[#This Row],[Hour]]</f>
        <v>8</v>
      </c>
      <c r="AF11" s="138">
        <f ca="1">TblExplore[[#This Row],[Time]]</f>
        <v>46047.29166666665</v>
      </c>
      <c r="AO11" s="420">
        <f ca="1">ROUND(IF(AND(TblMagic[[#This Row],[Active DnD]]&lt;12,TblMagic[[#This Row],[Active DnD]]&gt;5),OFFSET(TblPop[[#This Row],[Draft Growth]],-1,0)*0.375,0),0)</f>
        <v>0</v>
      </c>
      <c r="AP11" s="142"/>
      <c r="AQ11" s="94">
        <f ca="1">TblProd[[#This Row],[Platinum]]</f>
        <v>59388</v>
      </c>
      <c r="AR11" s="94">
        <f ca="1">INDEX(TblProd[[#Headers],[Lumber]]:TblProd[[#This Row],[Ore]],COUNTA(TblProd[[#Headers],[Lumber]]:TblProd[[#This Row],[Lumber]]),MATCH(Military!$AR$2,TblProd[[#Headers],[Lumber]:[Ore]],0))</f>
        <v>0</v>
      </c>
      <c r="AS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 s="94">
        <f ca="1">TblMili[[#This Row],[Train Unit 1]]*TblMili[[#This Row],[OP Ore]]+TblMili[[#This Row],[Train Unit 2]]*TblMili[[#This Row],[DP Ore]]+TblMili[[#This Row],[Train Unit 3]]*TblMili[[#This Row],[E1 Ore]]+TblMili[[#This Row],[Train Unit 4]]*TblMili[[#This Row],[E2 Ore]]</f>
        <v>0</v>
      </c>
      <c r="AU11" s="142">
        <f>TblMili[[#This Row],[Hour]]</f>
        <v>8</v>
      </c>
      <c r="AV11" s="152">
        <f ca="1">TblMili[[#This Row],[Time]]</f>
        <v>46047.29166666665</v>
      </c>
      <c r="AW11" s="94">
        <f ca="1">TblMili[[#This Row],[Draftees]]</f>
        <v>185</v>
      </c>
      <c r="BG11" s="142"/>
      <c r="BH11" s="157">
        <f ca="1">TblConstr[[#This Row],[Tot WG]]/TblConstr[[#This Row],[Land]]</f>
        <v>0</v>
      </c>
      <c r="BI11" s="157">
        <f ca="1">TblConstr[[#This Row],[Tot Hav]]/TblConstr[[#This Row],[Land]]</f>
        <v>0</v>
      </c>
      <c r="BJ11" s="94">
        <f ca="1">ROUNDUP((1-MIN(TblMili[[#This Row],[Smithies]]*smithy_bonus,smithy_bonus_cap) + tech_3_5*TblTech[[#This Row],[3-5]] + tech_5_3*TblTech[[#This Row],[5-3]] + tech_5_5*TblTech[[#This Row],[5-5]])*spec_op_plat,0)</f>
        <v>275</v>
      </c>
      <c r="BK11" s="94">
        <f ca="1">ROUNDUP(IF(race="Gnome",1,(1-MIN(TblMili[[#This Row],[Smithies]]*smithy_bonus,smithy_bonus_cap) + tech_3_5*TblTech[[#This Row],[3-5]] + tech_5_3*TblTech[[#This Row],[5-3]] + tech_5_5*TblTech[[#This Row],[5-5]]))*spec_op_ore,0)</f>
        <v>25</v>
      </c>
      <c r="BL11" s="94">
        <f ca="1">ROUNDUP((1-MIN(TblMili[[#This Row],[Smithies]]*smithy_bonus,smithy_bonus_cap) + tech_3_5*TblTech[[#This Row],[3-5]] + tech_5_3*TblTech[[#This Row],[5-3]] + tech_5_5*TblTech[[#This Row],[5-5]])*spec_dp_plat,0)</f>
        <v>275</v>
      </c>
      <c r="BM11" s="94">
        <f ca="1">ROUNDUP(IF(race="Gnome",1,(1-MIN(TblMili[[#This Row],[Smithies]]*smithy_bonus,smithy_bonus_cap) + tech_3_5*TblTech[[#This Row],[3-5]] + tech_5_3*TblTech[[#This Row],[5-3]] + tech_5_5*TblTech[[#This Row],[5-5]]))*spec_dp_ore,0)</f>
        <v>15</v>
      </c>
      <c r="BN11" s="94">
        <f ca="1">ROUNDUP((1-MIN(TblMili[[#This Row],[Smithies]]*smithy_bonus,smithy_bonus_cap) + tech_3_5*TblTech[[#This Row],[3-5]] + tech_5_3*TblTech[[#This Row],[5-3]] + tech_5_5*TblTech[[#This Row],[5-5]])*elite1_plat,0)</f>
        <v>1040</v>
      </c>
      <c r="BO11" s="94">
        <f ca="1">ROUNDUP(IF(race="Gnome",1,(1-MIN(TblMili[[#This Row],[Smithies]]*smithy_bonus,smithy_bonus_cap) + tech_3_5*TblTech[[#This Row],[3-5]] + tech_5_3*TblTech[[#This Row],[5-3]] + tech_5_5*TblTech[[#This Row],[5-5]]))*elite1_ore,0)</f>
        <v>75</v>
      </c>
      <c r="BP11" s="94">
        <f ca="1">ROUNDUP((1-MIN(TblMili[[#This Row],[Smithies]]*smithy_bonus,smithy_bonus_cap) + tech_3_5*TblTech[[#This Row],[3-5]] + tech_5_3*TblTech[[#This Row],[5-3]] + tech_5_5*TblTech[[#This Row],[5-5]])*elite2_plat,0)</f>
        <v>1280</v>
      </c>
      <c r="BQ11" s="94">
        <f ca="1">ROUNDUP(IF(race="Gnome",1,(1-MIN(TblMili[[#This Row],[Smithies]]*smithy_bonus,smithy_bonus_cap) + tech_3_5*TblTech[[#This Row],[3-5]] + tech_5_3*TblTech[[#This Row],[5-3]] + tech_5_5*TblTech[[#This Row],[5-5]]))*elite2_ore,0)</f>
        <v>100</v>
      </c>
      <c r="BR11" s="94">
        <f ca="1">ROUNDUP((1-MIN(ROUND(fh_spy_cost_red*TblMili[[#This Row],[FH''s]],4),fh_spy_cost_cap)+ tech_1_9*TblTech[[#This Row],[1-9]] + tech_9_1*TblTech[[#This Row],[9-1]])*spy_plat,0)</f>
        <v>500</v>
      </c>
      <c r="BS11" s="94">
        <f ca="1">ROUNDUP((1-MIN(ROUND(fh_spy_cost_red*TblMili[[#This Row],[FH''s]],4),fh_spy_cost_cap)+ tech_1_9*TblTech[[#This Row],[1-9]] + tech_9_1*TblTech[[#This Row],[9-1]])*archspy_plat,0)</f>
        <v>1000</v>
      </c>
      <c r="BT11" s="94">
        <f ca="1">ROUNDUP((1-MIN(ROUND(wg_wiz_cost_bonus*TblMili[[#This Row],[WG''s]],4),wg_wiz_cost_cap) + tech_1_9_2*TblTech[[#This Row],[1-9]] + tech_9_1_2*TblTech[[#This Row],[9-1]])*wizard_plat,0)</f>
        <v>500</v>
      </c>
      <c r="BU11" s="94">
        <f ca="1">ROUNDUP((1-MIN(ROUND(wg_wiz_cost_bonus*TblMili[[#This Row],[WG''s]],4),wg_wiz_cost_cap) + tech_1_9_2*TblTech[[#This Row],[1-9]] + tech_9_1_2*TblTech[[#This Row],[9-1]])*archmage_plat,0)</f>
        <v>1000</v>
      </c>
      <c r="BV11" s="142"/>
      <c r="BW11" s="157">
        <f ca="1">TblConstr[[#This Row],[Homeland]]/TblConstr[[#This Row],[Land]]</f>
        <v>0.6</v>
      </c>
      <c r="BX11" s="157">
        <f ca="1">TblMili[[#This Row],[WG''s]]</f>
        <v>0</v>
      </c>
      <c r="BY11" s="251">
        <f ca="1">IF(mystic_cap="none",TblMili[[#This Row],[Homeland%]]/mystic_bonus,MIN(mystic_cap,TblMili[[#This Row],[Homeland%]]/mystic_bonus))</f>
        <v>2</v>
      </c>
      <c r="BZ11" s="251">
        <f ca="1">IF(druid_op_cap="none",TblMili[[#This Row],[Homeland%]]/druid_op_bonus,MIN(druid_op_cap,TblMili[[#This Row],[Homeland%]]/druid_op_bonus))</f>
        <v>2</v>
      </c>
      <c r="CA11" s="251">
        <f ca="1">IF(druid_dp_cap="none",TblMili[[#This Row],[Homeland%]]/druid_dp_bonus,MIN(druid_dp_cap,TblMili[[#This Row],[Homeland%]]/druid_dp_bonus))</f>
        <v>2</v>
      </c>
      <c r="CB11" s="251">
        <f ca="1">MIN(dryad_cap,TblMili[[#This Row],[Homeland%]]/dryad_bonus)</f>
        <v>2.9999999999999996</v>
      </c>
      <c r="CC11" s="251">
        <f ca="1">MIN(rocka_cap,TblMili[[#This Row],[Homeland%]]/rocka_bonus)</f>
        <v>2</v>
      </c>
      <c r="CD11" s="251">
        <f ca="1">MIN(adept_op_cap,TblMili[[#This Row],[WG]]/adept_op_bonus)</f>
        <v>0</v>
      </c>
      <c r="CE11" s="251">
        <f ca="1">MIN(adept_dp_cap,TblMili[[#This Row],[WG]]/adept_dp_bonus)</f>
        <v>0</v>
      </c>
      <c r="CF11" s="94">
        <f ca="1">MIN(TblMili[[#This Row],[Unit 3]],TblMili[[#This Row],[Unit 2]])*2</f>
        <v>0</v>
      </c>
      <c r="CG11" s="94">
        <f ca="1">MIN(TblMili[[#This Row],[Unit 1]],TblMili[[#This Row],[Unit 4]])*2</f>
        <v>0</v>
      </c>
      <c r="CH11" s="251">
        <f ca="1">MIN(frost_mage_cap,TblMili[[#This Row],[Homeland%]]/frost_mage_bonus)</f>
        <v>2.9999999999999996</v>
      </c>
      <c r="CI11" s="45">
        <f ca="1">MIN(ice_elem_cap,TblMili[[#This Row],[Raw (2)]]*ice_elem_bonus)</f>
        <v>0</v>
      </c>
      <c r="CJ11" s="251">
        <f t="shared" si="0"/>
        <v>0.83333333333333337</v>
      </c>
      <c r="CK11" s="251">
        <f ca="1">MIN(nox_nightshade_cap,TblConstr[[#This Row],[Homeland]]/TblConstr[[#This Row],[Land]]/nox_nightshade_swamp_bonus)</f>
        <v>4</v>
      </c>
      <c r="CL11" s="251">
        <f ca="1">MIN(TblConstr[[#This Row],[Total Swamp]]/TblConstr[[#This Row],[Land]]/abyss_enforce_bonus,abyss_enforcer_cap)</f>
        <v>0</v>
      </c>
      <c r="CM11" s="251">
        <f ca="1">IF(TblMagic[[#This Row],[Active Infernal Command]]&gt;0,TblMili[[#This Row],[Unit 1]]*infernal_cmd_op,0)</f>
        <v>0</v>
      </c>
      <c r="CN11" s="252" t="s">
        <v>143</v>
      </c>
      <c r="CO11" s="252" t="b">
        <f t="shared" si="1"/>
        <v>0</v>
      </c>
      <c r="CP11" s="252"/>
      <c r="CQ11" s="251">
        <f ca="1">MIN(6,TblMili[[#This Row],[Mystic]]+Races!$F$19)*1.8 +  IF(TblMili[[#This Row],[Mystic]]+Races!$F$19&gt;6,(TblMili[[#This Row],[Mystic]]+Races!$F$19-6)*0.2,0) - Races!$I$19</f>
        <v>1</v>
      </c>
      <c r="CR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 s="94">
        <f ca="1">TblMili[[#This Row],[Mystic bonus]]*TblMili[[#This Row],[Unit 3]]+TblMili[[#This Row],[Druid bonus]]*TblMili[[#This Row],[Unit 4]]</f>
        <v>0</v>
      </c>
      <c r="CT11" s="155">
        <f ca="1">MIN(6,TblMili[[#This Row],[Dryad]]+Races!$F$35)*1.8 +  IF(TblMili[[#This Row],[Dryad]]+Races!$F$35&gt;6,(TblMili[[#This Row],[Dryad]]+Races!$F$35-6)*0.2,0) - Races!$I$19</f>
        <v>0.80000000000000071</v>
      </c>
      <c r="CU11" s="94">
        <f ca="1">sylvan*(TblMili[[#This Row],[Mystic bonus]]*TblMili[[#This Row],[Unit 3]])</f>
        <v>0</v>
      </c>
      <c r="CV11" s="155">
        <f ca="1">1.8 * MIN(MAX(Races!$E$27,TblMili[[#This Row],[Rockapult]]+Races!$F$27),6)  +  0.45 * MIN(MIN(Races!$E$27,TblMili[[#This Row],[Rockapult]]+Races!$F$27),6)  +  0.2 * ( MAX(Races!$E$27-6,0) + MAX(TblMili[[#This Row],[Rockapult]]+Races!$F$27-6,0) )  -  Races!$I$20</f>
        <v>3.7000000000000011</v>
      </c>
      <c r="CW11" s="94">
        <f ca="1">gnome*(TblMili[[#This Row],[Rockapult bonus]]*TblMili[[#This Row],[Unit 3]])</f>
        <v>0</v>
      </c>
      <c r="CX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 s="94">
        <f ca="1">dark_elf*(TblMili[[#This Row],[Adept bonus]]*TblMili[[#This Row],[Unit 3]])</f>
        <v>0</v>
      </c>
      <c r="CZ11" s="155">
        <f ca="1">1.8 * MIN(MAX(TblMili[[#This Row],[Frost Mage]]+Races!$F$71,Races!$E$71),6)  +  0.45 * MIN(MIN(TblMili[[#This Row],[Frost Mage]]+Races!$F$71,Races!$E$71),6)  +  0.2 * ( MAX(TblMili[[#This Row],[Frost Mage]]+Races!$F$71-6,0) + MAX(Races!$E$71-6,0) )  -  Races!$I$71</f>
        <v>6.15</v>
      </c>
      <c r="DA11" s="155">
        <f ca="1">1.8 * MIN(MAX(TblMili[[#This Row],[Ice Elemental]]+Races!$E$71,Races!$F$71),6)  +  0.45 * MIN(MIN(TblMili[[#This Row],[Ice Elemental]]+Races!$E$71,Races!$F$71),6)  +  0.2 * ( MAX(TblMili[[#This Row],[Ice Elemental]]+Races!$E$71-6,0) + MAX(Races!$F$71-6,0) )  -  Races!$I$71</f>
        <v>0.75</v>
      </c>
      <c r="DB11" s="94">
        <f ca="1">TblMili[[#This Row],[Frost Mage bonus]]*TblMili[[#This Row],[Unit 3]]+TblMili[[#This Row],[Ice Elemental bonus]]*TblMili[[#This Row],[Unit 4]]</f>
        <v>0</v>
      </c>
      <c r="DC11" s="253"/>
      <c r="DD11" s="143">
        <f ca="1">MIN(SUM(TblConstr[[#This Row],[Plain]:[Water]])/TblMili[[#This Row],[Land]]/favorable_terrain_bonus/100,favorable_terrain_max)</f>
        <v>0</v>
      </c>
      <c r="DE11" s="253"/>
      <c r="DF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1" s="142"/>
      <c r="DH11" s="254">
        <f ca="1">(TblMili[[#This Row],[Wizards]]+2*TblMili[[#This Row],[Archmages]])/TblConstr[[#This Row],[Land]]</f>
        <v>0</v>
      </c>
      <c r="DI11" s="254">
        <f ca="1">TblMili[[#This Row],[Raw (2)]]*(1+race_wizard_strength+IF(TblMili[[#This Row],[Hour]]&gt;72,tech_magical_weaponry_wiz*TblTech[[#This Row],[3-5]],0))</f>
        <v>0</v>
      </c>
    </row>
    <row r="12" spans="1:113" hidden="1" x14ac:dyDescent="0.2">
      <c r="A12" s="137">
        <f>TblRezone[[#This Row],[Hour]]</f>
        <v>9</v>
      </c>
      <c r="B12" s="246">
        <f ca="1">SUM(TblMili[[#This Row],[Unit 1]:[Archmages]])+SUM(OFFSET(TblMili[[#This Row],[Train Unit 1]],-8,0):TblMili[[#This Row],[Train Unit 4]])+TblMili[[#This Row],[Draftees]]</f>
        <v>190</v>
      </c>
      <c r="C12" s="157">
        <f ca="1">TblPop[[#This Row],[Military%]]</f>
        <v>0.25745257452574527</v>
      </c>
      <c r="D12" s="142"/>
      <c r="E12" s="45">
        <f ca="1">OFFSET(TblMili[[#This Row],[Unit 1]],-1,0) - TblMili[[#This Row],[Release Unit 1]]</f>
        <v>0</v>
      </c>
      <c r="F12" s="45">
        <f ca="1">OFFSET(TblMili[[#This Row],[Unit 2]],-1,0)-TblMili[[#This Row],[Release Unit 2]]</f>
        <v>0</v>
      </c>
      <c r="G12" s="45">
        <f ca="1">OFFSET(TblMili[[#This Row],[Unit 3]],-1,0)-TblMili[[#This Row],[Release Unit 3]]</f>
        <v>0</v>
      </c>
      <c r="H12" s="45">
        <f ca="1">OFFSET(TblMili[[#This Row],[Unit 4]],-1,0)-TblMili[[#This Row],[Release Unit 4]]</f>
        <v>0</v>
      </c>
      <c r="I12" s="45">
        <f ca="1">OFFSET(TblMili[[#This Row],[Spies]],-1,0)-TblMili[[#This Row],[Release Spies]]-TblMili[[#This Row],[Train AS]]</f>
        <v>0</v>
      </c>
      <c r="J12" s="45">
        <f ca="1">OFFSET(TblMili[[#This Row],[Archspies]],-1,0)-TblMili[[#This Row],[Release AS]]</f>
        <v>0</v>
      </c>
      <c r="K12" s="45">
        <f ca="1">OFFSET(TblMili[[#This Row],[Wizards]],-1,0)-TblMili[[#This Row],[Release Wizards]]-TblMili[[#This Row],[Train AM]]</f>
        <v>0</v>
      </c>
      <c r="L12" s="45">
        <f ca="1">OFFSET(TblMili[[#This Row],[Archmages]],-1,0)-TblMili[[#This Row],[Release AM]]</f>
        <v>0</v>
      </c>
      <c r="M12" s="142"/>
      <c r="N12" s="94">
        <f ca="1">TblProd[[#This Row],[Networth]]</f>
        <v>1250</v>
      </c>
      <c r="O12" s="142"/>
      <c r="P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 s="247">
        <f ca="1">TblMili[[#This Row],[Raw]]*(1+TblMili[[#This Row],[Mods_Off]])</f>
        <v>0</v>
      </c>
      <c r="S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 s="247">
        <f ca="1">TblMili[[#This Row],[Non Draft]]+TblMili[[#This Row],[Draftees]]</f>
        <v>190</v>
      </c>
      <c r="U12" s="248">
        <f ca="1">race_defense + TblImps[[#This Row],[Walls]] + ROUND( MIN(gt_bonus*TblConstr[[#This Row],[Tot GT]]/TblConstr[[#This Row],[Land]],gt_bonus_cap), 4) + IF(TblMagic[[#This Row],[Active Howling]]&gt;0,howling_dp_bonus,IF(TblMagic[[#This Row],[Active Ares Call]]&gt;0,ares_call_bonus))</f>
        <v>0</v>
      </c>
      <c r="V12" s="249">
        <f ca="1">TblMili[[#This Row],[Non Draft]] * (1 + TblMili[[#This Row],[Mods_Def]])</f>
        <v>0</v>
      </c>
      <c r="W12" s="247">
        <f ca="1">TblMili[[#This Row],[Draft]] * (1 + TblMili[[#This Row],[Mods_Def]])</f>
        <v>190</v>
      </c>
      <c r="X12" s="247">
        <f ca="1">TblConstr[[#This Row],[Land]]</f>
        <v>50</v>
      </c>
      <c r="Y12" s="156"/>
      <c r="Z12" s="255">
        <f ca="1">IF(TblMili[[#This Row],[Set]]&lt;&gt;"",TblMili[[#This Row],[Set]],OFFSET(TblMili[[#This Row],[Draftrate]],-1,0))</f>
        <v>0.9</v>
      </c>
      <c r="AA12" s="94">
        <f ca="1">OFFSET(TblMili[[#This Row],[Draftees]],-1,0)+OFFSET(TblPop[[#This Row],[Draft Growth]],-1,0) - SUM(TblMili[[#This Row],[Train Unit 1]:[Train Spies]],TblMili[[#This Row],[Train Wiz]],TblMili[[#This Row],[DnD_Zombies]]) - TblMili[[#This Row],[Release Draft]] + SUM(TblMili[[#This Row],[Release Unit 1]:[Release AM]]) - TblExplore[[#This Row],[Draftees (2)]]</f>
        <v>190</v>
      </c>
      <c r="AB12" s="154"/>
      <c r="AC12" s="180">
        <f ca="1">(TblConstr[[#This Row],[Tot Smi]]+TblConstr[[#This Row],[Dest Smi]])/(TblConstr[[#This Row],[Land]]-TblExplore[[#This Row],[Land Bonus]]*20)</f>
        <v>0</v>
      </c>
      <c r="AD12" s="137"/>
      <c r="AE12" s="246">
        <f>TblMili[[#This Row],[Hour]]</f>
        <v>9</v>
      </c>
      <c r="AF12" s="138">
        <f ca="1">TblExplore[[#This Row],[Time]]</f>
        <v>46047.333333333314</v>
      </c>
      <c r="AO12" s="420">
        <f ca="1">ROUND(IF(AND(TblMagic[[#This Row],[Active DnD]]&lt;12,TblMagic[[#This Row],[Active DnD]]&gt;5),OFFSET(TblPop[[#This Row],[Draft Growth]],-1,0)*0.375,0),0)</f>
        <v>0</v>
      </c>
      <c r="AP12" s="142"/>
      <c r="AQ12" s="94">
        <f ca="1">TblProd[[#This Row],[Platinum]]</f>
        <v>60837</v>
      </c>
      <c r="AR12" s="94">
        <f ca="1">INDEX(TblProd[[#Headers],[Lumber]]:TblProd[[#This Row],[Ore]],COUNTA(TblProd[[#Headers],[Lumber]]:TblProd[[#This Row],[Lumber]]),MATCH(Military!$AR$2,TblProd[[#Headers],[Lumber]:[Ore]],0))</f>
        <v>0</v>
      </c>
      <c r="AS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 s="94">
        <f ca="1">TblMili[[#This Row],[Train Unit 1]]*TblMili[[#This Row],[OP Ore]]+TblMili[[#This Row],[Train Unit 2]]*TblMili[[#This Row],[DP Ore]]+TblMili[[#This Row],[Train Unit 3]]*TblMili[[#This Row],[E1 Ore]]+TblMili[[#This Row],[Train Unit 4]]*TblMili[[#This Row],[E2 Ore]]</f>
        <v>0</v>
      </c>
      <c r="AU12" s="142">
        <f>TblMili[[#This Row],[Hour]]</f>
        <v>9</v>
      </c>
      <c r="AV12" s="152">
        <f ca="1">TblMili[[#This Row],[Time]]</f>
        <v>46047.333333333314</v>
      </c>
      <c r="AW12" s="94">
        <f ca="1">TblMili[[#This Row],[Draftees]]</f>
        <v>190</v>
      </c>
      <c r="BG12" s="142"/>
      <c r="BH12" s="157">
        <f ca="1">TblConstr[[#This Row],[Tot WG]]/TblConstr[[#This Row],[Land]]</f>
        <v>0</v>
      </c>
      <c r="BI12" s="157">
        <f ca="1">TblConstr[[#This Row],[Tot Hav]]/TblConstr[[#This Row],[Land]]</f>
        <v>0</v>
      </c>
      <c r="BJ12" s="94">
        <f ca="1">ROUNDUP((1-MIN(TblMili[[#This Row],[Smithies]]*smithy_bonus,smithy_bonus_cap) + tech_3_5*TblTech[[#This Row],[3-5]] + tech_5_3*TblTech[[#This Row],[5-3]] + tech_5_5*TblTech[[#This Row],[5-5]])*spec_op_plat,0)</f>
        <v>275</v>
      </c>
      <c r="BK12" s="94">
        <f ca="1">ROUNDUP(IF(race="Gnome",1,(1-MIN(TblMili[[#This Row],[Smithies]]*smithy_bonus,smithy_bonus_cap) + tech_3_5*TblTech[[#This Row],[3-5]] + tech_5_3*TblTech[[#This Row],[5-3]] + tech_5_5*TblTech[[#This Row],[5-5]]))*spec_op_ore,0)</f>
        <v>25</v>
      </c>
      <c r="BL12" s="94">
        <f ca="1">ROUNDUP((1-MIN(TblMili[[#This Row],[Smithies]]*smithy_bonus,smithy_bonus_cap) + tech_3_5*TblTech[[#This Row],[3-5]] + tech_5_3*TblTech[[#This Row],[5-3]] + tech_5_5*TblTech[[#This Row],[5-5]])*spec_dp_plat,0)</f>
        <v>275</v>
      </c>
      <c r="BM12" s="94">
        <f ca="1">ROUNDUP(IF(race="Gnome",1,(1-MIN(TblMili[[#This Row],[Smithies]]*smithy_bonus,smithy_bonus_cap) + tech_3_5*TblTech[[#This Row],[3-5]] + tech_5_3*TblTech[[#This Row],[5-3]] + tech_5_5*TblTech[[#This Row],[5-5]]))*spec_dp_ore,0)</f>
        <v>15</v>
      </c>
      <c r="BN12" s="94">
        <f ca="1">ROUNDUP((1-MIN(TblMili[[#This Row],[Smithies]]*smithy_bonus,smithy_bonus_cap) + tech_3_5*TblTech[[#This Row],[3-5]] + tech_5_3*TblTech[[#This Row],[5-3]] + tech_5_5*TblTech[[#This Row],[5-5]])*elite1_plat,0)</f>
        <v>1040</v>
      </c>
      <c r="BO12" s="94">
        <f ca="1">ROUNDUP(IF(race="Gnome",1,(1-MIN(TblMili[[#This Row],[Smithies]]*smithy_bonus,smithy_bonus_cap) + tech_3_5*TblTech[[#This Row],[3-5]] + tech_5_3*TblTech[[#This Row],[5-3]] + tech_5_5*TblTech[[#This Row],[5-5]]))*elite1_ore,0)</f>
        <v>75</v>
      </c>
      <c r="BP12" s="94">
        <f ca="1">ROUNDUP((1-MIN(TblMili[[#This Row],[Smithies]]*smithy_bonus,smithy_bonus_cap) + tech_3_5*TblTech[[#This Row],[3-5]] + tech_5_3*TblTech[[#This Row],[5-3]] + tech_5_5*TblTech[[#This Row],[5-5]])*elite2_plat,0)</f>
        <v>1280</v>
      </c>
      <c r="BQ12" s="94">
        <f ca="1">ROUNDUP(IF(race="Gnome",1,(1-MIN(TblMili[[#This Row],[Smithies]]*smithy_bonus,smithy_bonus_cap) + tech_3_5*TblTech[[#This Row],[3-5]] + tech_5_3*TblTech[[#This Row],[5-3]] + tech_5_5*TblTech[[#This Row],[5-5]]))*elite2_ore,0)</f>
        <v>100</v>
      </c>
      <c r="BR12" s="94">
        <f ca="1">ROUNDUP((1-MIN(ROUND(fh_spy_cost_red*TblMili[[#This Row],[FH''s]],4),fh_spy_cost_cap)+ tech_1_9*TblTech[[#This Row],[1-9]] + tech_9_1*TblTech[[#This Row],[9-1]])*spy_plat,0)</f>
        <v>500</v>
      </c>
      <c r="BS12" s="94">
        <f ca="1">ROUNDUP((1-MIN(ROUND(fh_spy_cost_red*TblMili[[#This Row],[FH''s]],4),fh_spy_cost_cap)+ tech_1_9*TblTech[[#This Row],[1-9]] + tech_9_1*TblTech[[#This Row],[9-1]])*archspy_plat,0)</f>
        <v>1000</v>
      </c>
      <c r="BT12" s="94">
        <f ca="1">ROUNDUP((1-MIN(ROUND(wg_wiz_cost_bonus*TblMili[[#This Row],[WG''s]],4),wg_wiz_cost_cap) + tech_1_9_2*TblTech[[#This Row],[1-9]] + tech_9_1_2*TblTech[[#This Row],[9-1]])*wizard_plat,0)</f>
        <v>500</v>
      </c>
      <c r="BU12" s="94">
        <f ca="1">ROUNDUP((1-MIN(ROUND(wg_wiz_cost_bonus*TblMili[[#This Row],[WG''s]],4),wg_wiz_cost_cap) + tech_1_9_2*TblTech[[#This Row],[1-9]] + tech_9_1_2*TblTech[[#This Row],[9-1]])*archmage_plat,0)</f>
        <v>1000</v>
      </c>
      <c r="BV12" s="142"/>
      <c r="BW12" s="157">
        <f ca="1">TblConstr[[#This Row],[Homeland]]/TblConstr[[#This Row],[Land]]</f>
        <v>0.6</v>
      </c>
      <c r="BX12" s="157">
        <f ca="1">TblMili[[#This Row],[WG''s]]</f>
        <v>0</v>
      </c>
      <c r="BY12" s="251">
        <f ca="1">IF(mystic_cap="none",TblMili[[#This Row],[Homeland%]]/mystic_bonus,MIN(mystic_cap,TblMili[[#This Row],[Homeland%]]/mystic_bonus))</f>
        <v>2</v>
      </c>
      <c r="BZ12" s="251">
        <f ca="1">IF(druid_op_cap="none",TblMili[[#This Row],[Homeland%]]/druid_op_bonus,MIN(druid_op_cap,TblMili[[#This Row],[Homeland%]]/druid_op_bonus))</f>
        <v>2</v>
      </c>
      <c r="CA12" s="251">
        <f ca="1">IF(druid_dp_cap="none",TblMili[[#This Row],[Homeland%]]/druid_dp_bonus,MIN(druid_dp_cap,TblMili[[#This Row],[Homeland%]]/druid_dp_bonus))</f>
        <v>2</v>
      </c>
      <c r="CB12" s="251">
        <f ca="1">MIN(dryad_cap,TblMili[[#This Row],[Homeland%]]/dryad_bonus)</f>
        <v>2.9999999999999996</v>
      </c>
      <c r="CC12" s="251">
        <f ca="1">MIN(rocka_cap,TblMili[[#This Row],[Homeland%]]/rocka_bonus)</f>
        <v>2</v>
      </c>
      <c r="CD12" s="251">
        <f ca="1">MIN(adept_op_cap,TblMili[[#This Row],[WG]]/adept_op_bonus)</f>
        <v>0</v>
      </c>
      <c r="CE12" s="251">
        <f ca="1">MIN(adept_dp_cap,TblMili[[#This Row],[WG]]/adept_dp_bonus)</f>
        <v>0</v>
      </c>
      <c r="CF12" s="94">
        <f ca="1">MIN(TblMili[[#This Row],[Unit 3]],TblMili[[#This Row],[Unit 2]])*2</f>
        <v>0</v>
      </c>
      <c r="CG12" s="94">
        <f ca="1">MIN(TblMili[[#This Row],[Unit 1]],TblMili[[#This Row],[Unit 4]])*2</f>
        <v>0</v>
      </c>
      <c r="CH12" s="251">
        <f ca="1">MIN(frost_mage_cap,TblMili[[#This Row],[Homeland%]]/frost_mage_bonus)</f>
        <v>2.9999999999999996</v>
      </c>
      <c r="CI12" s="45">
        <f ca="1">MIN(ice_elem_cap,TblMili[[#This Row],[Raw (2)]]*ice_elem_bonus)</f>
        <v>0</v>
      </c>
      <c r="CJ12" s="251">
        <f t="shared" si="0"/>
        <v>0.83333333333333337</v>
      </c>
      <c r="CK12" s="251">
        <f ca="1">MIN(nox_nightshade_cap,TblConstr[[#This Row],[Homeland]]/TblConstr[[#This Row],[Land]]/nox_nightshade_swamp_bonus)</f>
        <v>4</v>
      </c>
      <c r="CL12" s="251">
        <f ca="1">MIN(TblConstr[[#This Row],[Total Swamp]]/TblConstr[[#This Row],[Land]]/abyss_enforce_bonus,abyss_enforcer_cap)</f>
        <v>0</v>
      </c>
      <c r="CM12" s="251">
        <f ca="1">IF(TblMagic[[#This Row],[Active Infernal Command]]&gt;0,TblMili[[#This Row],[Unit 1]]*infernal_cmd_op,0)</f>
        <v>0</v>
      </c>
      <c r="CN12" s="252" t="s">
        <v>498</v>
      </c>
      <c r="CO12" s="252" t="b">
        <f t="shared" si="1"/>
        <v>0</v>
      </c>
      <c r="CP12" s="252"/>
      <c r="CQ12" s="251">
        <f ca="1">MIN(6,TblMili[[#This Row],[Mystic]]+Races!$F$19)*1.8 +  IF(TblMili[[#This Row],[Mystic]]+Races!$F$19&gt;6,(TblMili[[#This Row],[Mystic]]+Races!$F$19-6)*0.2,0) - Races!$I$19</f>
        <v>1</v>
      </c>
      <c r="CR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 s="94">
        <f ca="1">TblMili[[#This Row],[Mystic bonus]]*TblMili[[#This Row],[Unit 3]]+TblMili[[#This Row],[Druid bonus]]*TblMili[[#This Row],[Unit 4]]</f>
        <v>0</v>
      </c>
      <c r="CT12" s="155">
        <f ca="1">MIN(6,TblMili[[#This Row],[Dryad]]+Races!$F$35)*1.8 +  IF(TblMili[[#This Row],[Dryad]]+Races!$F$35&gt;6,(TblMili[[#This Row],[Dryad]]+Races!$F$35-6)*0.2,0) - Races!$I$19</f>
        <v>0.80000000000000071</v>
      </c>
      <c r="CU12" s="94">
        <f ca="1">sylvan*(TblMili[[#This Row],[Mystic bonus]]*TblMili[[#This Row],[Unit 3]])</f>
        <v>0</v>
      </c>
      <c r="CV12" s="155">
        <f ca="1">1.8 * MIN(MAX(Races!$E$27,TblMili[[#This Row],[Rockapult]]+Races!$F$27),6)  +  0.45 * MIN(MIN(Races!$E$27,TblMili[[#This Row],[Rockapult]]+Races!$F$27),6)  +  0.2 * ( MAX(Races!$E$27-6,0) + MAX(TblMili[[#This Row],[Rockapult]]+Races!$F$27-6,0) )  -  Races!$I$20</f>
        <v>3.7000000000000011</v>
      </c>
      <c r="CW12" s="94">
        <f ca="1">gnome*(TblMili[[#This Row],[Rockapult bonus]]*TblMili[[#This Row],[Unit 3]])</f>
        <v>0</v>
      </c>
      <c r="CX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 s="94">
        <f ca="1">dark_elf*(TblMili[[#This Row],[Adept bonus]]*TblMili[[#This Row],[Unit 3]])</f>
        <v>0</v>
      </c>
      <c r="CZ12" s="155">
        <f ca="1">1.8 * MIN(MAX(TblMili[[#This Row],[Frost Mage]]+Races!$F$71,Races!$E$71),6)  +  0.45 * MIN(MIN(TblMili[[#This Row],[Frost Mage]]+Races!$F$71,Races!$E$71),6)  +  0.2 * ( MAX(TblMili[[#This Row],[Frost Mage]]+Races!$F$71-6,0) + MAX(Races!$E$71-6,0) )  -  Races!$I$71</f>
        <v>6.15</v>
      </c>
      <c r="DA12" s="155">
        <f ca="1">1.8 * MIN(MAX(TblMili[[#This Row],[Ice Elemental]]+Races!$E$71,Races!$F$71),6)  +  0.45 * MIN(MIN(TblMili[[#This Row],[Ice Elemental]]+Races!$E$71,Races!$F$71),6)  +  0.2 * ( MAX(TblMili[[#This Row],[Ice Elemental]]+Races!$E$71-6,0) + MAX(Races!$F$71-6,0) )  -  Races!$I$71</f>
        <v>0.75</v>
      </c>
      <c r="DB12" s="94">
        <f ca="1">TblMili[[#This Row],[Frost Mage bonus]]*TblMili[[#This Row],[Unit 3]]+TblMili[[#This Row],[Ice Elemental bonus]]*TblMili[[#This Row],[Unit 4]]</f>
        <v>0</v>
      </c>
      <c r="DC12" s="253"/>
      <c r="DD12" s="143">
        <f ca="1">MIN(SUM(TblConstr[[#This Row],[Plain]:[Water]])/TblMili[[#This Row],[Land]]/favorable_terrain_bonus/100,favorable_terrain_max)</f>
        <v>0</v>
      </c>
      <c r="DE12" s="253"/>
      <c r="DF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2" s="142"/>
      <c r="DH12" s="254">
        <f ca="1">(TblMili[[#This Row],[Wizards]]+2*TblMili[[#This Row],[Archmages]])/TblConstr[[#This Row],[Land]]</f>
        <v>0</v>
      </c>
      <c r="DI12" s="254">
        <f ca="1">TblMili[[#This Row],[Raw (2)]]*(1+race_wizard_strength+IF(TblMili[[#This Row],[Hour]]&gt;72,tech_magical_weaponry_wiz*TblTech[[#This Row],[3-5]],0))</f>
        <v>0</v>
      </c>
    </row>
    <row r="13" spans="1:113" hidden="1" x14ac:dyDescent="0.2">
      <c r="A13" s="137">
        <f>TblRezone[[#This Row],[Hour]]</f>
        <v>10</v>
      </c>
      <c r="B13" s="246">
        <f ca="1">SUM(TblMili[[#This Row],[Unit 1]:[Archmages]])+SUM(OFFSET(TblMili[[#This Row],[Train Unit 1]],-8,0):TblMili[[#This Row],[Train Unit 2]]) + SUM(OFFSET(TblMili[[#This Row],[Train Unit 3]],-9,0):TblMili[[#This Row],[Train Unit 4]]) + TblMili[[#This Row],[Draftees]]</f>
        <v>195</v>
      </c>
      <c r="C13" s="157">
        <f ca="1">TblPop[[#This Row],[Military%]]</f>
        <v>0.25862068965517243</v>
      </c>
      <c r="D13" s="142"/>
      <c r="E13" s="45">
        <f ca="1">OFFSET(TblMili[[#This Row],[Unit 1]],-1,0) + OFFSET(TblMili[[#This Row],[Train Unit 1]],-9,0) - TblMili[[#This Row],[Release Unit 1]]</f>
        <v>0</v>
      </c>
      <c r="F13" s="45">
        <f ca="1">OFFSET(TblMili[[#This Row],[Unit 2]],-1,0) + OFFSET(TblMili[[#This Row],[Train Unit 2]],-9,0)-TblMili[[#This Row],[Release Unit 2]]</f>
        <v>0</v>
      </c>
      <c r="G13" s="45">
        <f ca="1">OFFSET(TblMili[[#This Row],[Unit 3]],-1,0)-TblMili[[#This Row],[Release Unit 3]]</f>
        <v>0</v>
      </c>
      <c r="H13" s="45">
        <f ca="1">OFFSET(TblMili[[#This Row],[Unit 4]],-1,0)-TblMili[[#This Row],[Release Unit 4]]</f>
        <v>0</v>
      </c>
      <c r="I13" s="45">
        <f ca="1">OFFSET(TblMili[[#This Row],[Spies]],-1,0)-TblMili[[#This Row],[Release Spies]]-TblMili[[#This Row],[Train AS]]</f>
        <v>0</v>
      </c>
      <c r="J13" s="45">
        <f ca="1">OFFSET(TblMili[[#This Row],[Archspies]],-1,0)-TblMili[[#This Row],[Release AS]]</f>
        <v>0</v>
      </c>
      <c r="K13" s="45">
        <f ca="1">OFFSET(TblMili[[#This Row],[Wizards]],-1,0)-TblMili[[#This Row],[Release Wizards]]-TblMili[[#This Row],[Train AM]]</f>
        <v>0</v>
      </c>
      <c r="L13" s="45">
        <f ca="1">OFFSET(TblMili[[#This Row],[Archmages]],-1,0)-TblMili[[#This Row],[Release AM]]</f>
        <v>0</v>
      </c>
      <c r="M13" s="142"/>
      <c r="N13" s="94">
        <f ca="1">TblProd[[#This Row],[Networth]]</f>
        <v>1250</v>
      </c>
      <c r="O13" s="142"/>
      <c r="P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 s="247">
        <f ca="1">TblMili[[#This Row],[Raw]]*(1+TblMili[[#This Row],[Mods_Off]])</f>
        <v>0</v>
      </c>
      <c r="S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 s="247">
        <f ca="1">TblMili[[#This Row],[Non Draft]]+TblMili[[#This Row],[Draftees]]</f>
        <v>195</v>
      </c>
      <c r="U13" s="248">
        <f ca="1">race_defense + TblImps[[#This Row],[Walls]] + ROUND( MIN(gt_bonus*TblConstr[[#This Row],[Tot GT]]/TblConstr[[#This Row],[Land]],gt_bonus_cap), 4) + IF(TblMagic[[#This Row],[Active Howling]]&gt;0,howling_dp_bonus,IF(TblMagic[[#This Row],[Active Ares Call]]&gt;0,ares_call_bonus))</f>
        <v>0</v>
      </c>
      <c r="V13" s="249">
        <f ca="1">TblMili[[#This Row],[Non Draft]] * (1 + TblMili[[#This Row],[Mods_Def]])</f>
        <v>0</v>
      </c>
      <c r="W13" s="247">
        <f ca="1">TblMili[[#This Row],[Draft]] * (1 + TblMili[[#This Row],[Mods_Def]])</f>
        <v>195</v>
      </c>
      <c r="X13" s="247">
        <f ca="1">TblConstr[[#This Row],[Land]]</f>
        <v>50</v>
      </c>
      <c r="Y13" s="156"/>
      <c r="Z13" s="255">
        <f ca="1">IF(TblMili[[#This Row],[Set]]&lt;&gt;"",TblMili[[#This Row],[Set]],OFFSET(TblMili[[#This Row],[Draftrate]],-1,0))</f>
        <v>0.9</v>
      </c>
      <c r="AA13" s="94">
        <f ca="1">OFFSET(TblMili[[#This Row],[Draftees]],-1,0)+OFFSET(TblPop[[#This Row],[Draft Growth]],-1,0) - SUM(TblMili[[#This Row],[Train Unit 1]:[Train Spies]],TblMili[[#This Row],[Train Wiz]],TblMili[[#This Row],[DnD_Zombies]]) - TblMili[[#This Row],[Release Draft]] + SUM(TblMili[[#This Row],[Release Unit 1]:[Release AM]]) - TblExplore[[#This Row],[Draftees (2)]]</f>
        <v>195</v>
      </c>
      <c r="AB13" s="154"/>
      <c r="AC13" s="180">
        <f ca="1">(TblConstr[[#This Row],[Tot Smi]]+TblConstr[[#This Row],[Dest Smi]])/(TblConstr[[#This Row],[Land]]-TblExplore[[#This Row],[Land Bonus]]*20)</f>
        <v>0</v>
      </c>
      <c r="AD13" s="137"/>
      <c r="AE13" s="246">
        <f>TblMili[[#This Row],[Hour]]</f>
        <v>10</v>
      </c>
      <c r="AF13" s="138">
        <f ca="1">TblExplore[[#This Row],[Time]]</f>
        <v>46047.374999999978</v>
      </c>
      <c r="AO13" s="420">
        <f ca="1">ROUND(IF(AND(TblMagic[[#This Row],[Active DnD]]&lt;12,TblMagic[[#This Row],[Active DnD]]&gt;5),OFFSET(TblPop[[#This Row],[Draft Growth]],-1,0)*0.375,0),0)</f>
        <v>0</v>
      </c>
      <c r="AP13" s="142"/>
      <c r="AQ13" s="94">
        <f ca="1">TblProd[[#This Row],[Platinum]]</f>
        <v>62316</v>
      </c>
      <c r="AR13" s="94">
        <f ca="1">INDEX(TblProd[[#Headers],[Lumber]]:TblProd[[#This Row],[Ore]],COUNTA(TblProd[[#Headers],[Lumber]]:TblProd[[#This Row],[Lumber]]),MATCH(Military!$AR$2,TblProd[[#Headers],[Lumber]:[Ore]],0))</f>
        <v>0</v>
      </c>
      <c r="AS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 s="94">
        <f ca="1">TblMili[[#This Row],[Train Unit 1]]*TblMili[[#This Row],[OP Ore]]+TblMili[[#This Row],[Train Unit 2]]*TblMili[[#This Row],[DP Ore]]+TblMili[[#This Row],[Train Unit 3]]*TblMili[[#This Row],[E1 Ore]]+TblMili[[#This Row],[Train Unit 4]]*TblMili[[#This Row],[E2 Ore]]</f>
        <v>0</v>
      </c>
      <c r="AU13" s="142">
        <f>TblMili[[#This Row],[Hour]]</f>
        <v>10</v>
      </c>
      <c r="AV13" s="152">
        <f ca="1">TblMili[[#This Row],[Time]]</f>
        <v>46047.374999999978</v>
      </c>
      <c r="AW13" s="94">
        <f ca="1">TblMili[[#This Row],[Draftees]]</f>
        <v>195</v>
      </c>
      <c r="BG13" s="142"/>
      <c r="BH13" s="157">
        <f ca="1">TblConstr[[#This Row],[Tot WG]]/TblConstr[[#This Row],[Land]]</f>
        <v>0</v>
      </c>
      <c r="BI13" s="157">
        <f ca="1">TblConstr[[#This Row],[Tot Hav]]/TblConstr[[#This Row],[Land]]</f>
        <v>0</v>
      </c>
      <c r="BJ13" s="94">
        <f ca="1">ROUNDUP((1-MIN(TblMili[[#This Row],[Smithies]]*smithy_bonus,smithy_bonus_cap) + tech_3_5*TblTech[[#This Row],[3-5]] + tech_5_3*TblTech[[#This Row],[5-3]] + tech_5_5*TblTech[[#This Row],[5-5]])*spec_op_plat,0)</f>
        <v>275</v>
      </c>
      <c r="BK13" s="94">
        <f ca="1">ROUNDUP(IF(race="Gnome",1,(1-MIN(TblMili[[#This Row],[Smithies]]*smithy_bonus,smithy_bonus_cap) + tech_3_5*TblTech[[#This Row],[3-5]] + tech_5_3*TblTech[[#This Row],[5-3]] + tech_5_5*TblTech[[#This Row],[5-5]]))*spec_op_ore,0)</f>
        <v>25</v>
      </c>
      <c r="BL13" s="94">
        <f ca="1">ROUNDUP((1-MIN(TblMili[[#This Row],[Smithies]]*smithy_bonus,smithy_bonus_cap) + tech_3_5*TblTech[[#This Row],[3-5]] + tech_5_3*TblTech[[#This Row],[5-3]] + tech_5_5*TblTech[[#This Row],[5-5]])*spec_dp_plat,0)</f>
        <v>275</v>
      </c>
      <c r="BM13" s="94">
        <f ca="1">ROUNDUP(IF(race="Gnome",1,(1-MIN(TblMili[[#This Row],[Smithies]]*smithy_bonus,smithy_bonus_cap) + tech_3_5*TblTech[[#This Row],[3-5]] + tech_5_3*TblTech[[#This Row],[5-3]] + tech_5_5*TblTech[[#This Row],[5-5]]))*spec_dp_ore,0)</f>
        <v>15</v>
      </c>
      <c r="BN13" s="94">
        <f ca="1">ROUNDUP((1-MIN(TblMili[[#This Row],[Smithies]]*smithy_bonus,smithy_bonus_cap) + tech_3_5*TblTech[[#This Row],[3-5]] + tech_5_3*TblTech[[#This Row],[5-3]] + tech_5_5*TblTech[[#This Row],[5-5]])*elite1_plat,0)</f>
        <v>1040</v>
      </c>
      <c r="BO13" s="94">
        <f ca="1">ROUNDUP(IF(race="Gnome",1,(1-MIN(TblMili[[#This Row],[Smithies]]*smithy_bonus,smithy_bonus_cap) + tech_3_5*TblTech[[#This Row],[3-5]] + tech_5_3*TblTech[[#This Row],[5-3]] + tech_5_5*TblTech[[#This Row],[5-5]]))*elite1_ore,0)</f>
        <v>75</v>
      </c>
      <c r="BP13" s="94">
        <f ca="1">ROUNDUP((1-MIN(TblMili[[#This Row],[Smithies]]*smithy_bonus,smithy_bonus_cap) + tech_3_5*TblTech[[#This Row],[3-5]] + tech_5_3*TblTech[[#This Row],[5-3]] + tech_5_5*TblTech[[#This Row],[5-5]])*elite2_plat,0)</f>
        <v>1280</v>
      </c>
      <c r="BQ13" s="94">
        <f ca="1">ROUNDUP(IF(race="Gnome",1,(1-MIN(TblMili[[#This Row],[Smithies]]*smithy_bonus,smithy_bonus_cap) + tech_3_5*TblTech[[#This Row],[3-5]] + tech_5_3*TblTech[[#This Row],[5-3]] + tech_5_5*TblTech[[#This Row],[5-5]]))*elite2_ore,0)</f>
        <v>100</v>
      </c>
      <c r="BR13" s="94">
        <f ca="1">ROUNDUP((1-MIN(ROUND(fh_spy_cost_red*TblMili[[#This Row],[FH''s]],4),fh_spy_cost_cap)+ tech_1_9*TblTech[[#This Row],[1-9]] + tech_9_1*TblTech[[#This Row],[9-1]])*spy_plat,0)</f>
        <v>500</v>
      </c>
      <c r="BS13" s="94">
        <f ca="1">ROUNDUP((1-MIN(ROUND(fh_spy_cost_red*TblMili[[#This Row],[FH''s]],4),fh_spy_cost_cap)+ tech_1_9*TblTech[[#This Row],[1-9]] + tech_9_1*TblTech[[#This Row],[9-1]])*archspy_plat,0)</f>
        <v>1000</v>
      </c>
      <c r="BT13" s="94">
        <f ca="1">ROUNDUP((1-MIN(ROUND(wg_wiz_cost_bonus*TblMili[[#This Row],[WG''s]],4),wg_wiz_cost_cap) + tech_1_9_2*TblTech[[#This Row],[1-9]] + tech_9_1_2*TblTech[[#This Row],[9-1]])*wizard_plat,0)</f>
        <v>500</v>
      </c>
      <c r="BU13" s="94">
        <f ca="1">ROUNDUP((1-MIN(ROUND(wg_wiz_cost_bonus*TblMili[[#This Row],[WG''s]],4),wg_wiz_cost_cap) + tech_1_9_2*TblTech[[#This Row],[1-9]] + tech_9_1_2*TblTech[[#This Row],[9-1]])*archmage_plat,0)</f>
        <v>1000</v>
      </c>
      <c r="BV13" s="142"/>
      <c r="BW13" s="157">
        <f ca="1">TblConstr[[#This Row],[Homeland]]/TblConstr[[#This Row],[Land]]</f>
        <v>0.6</v>
      </c>
      <c r="BX13" s="157">
        <f ca="1">TblMili[[#This Row],[WG''s]]</f>
        <v>0</v>
      </c>
      <c r="BY13" s="251">
        <f ca="1">IF(mystic_cap="none",TblMili[[#This Row],[Homeland%]]/mystic_bonus,MIN(mystic_cap,TblMili[[#This Row],[Homeland%]]/mystic_bonus))</f>
        <v>2</v>
      </c>
      <c r="BZ13" s="251">
        <f ca="1">IF(druid_op_cap="none",TblMili[[#This Row],[Homeland%]]/druid_op_bonus,MIN(druid_op_cap,TblMili[[#This Row],[Homeland%]]/druid_op_bonus))</f>
        <v>2</v>
      </c>
      <c r="CA13" s="251">
        <f ca="1">IF(druid_dp_cap="none",TblMili[[#This Row],[Homeland%]]/druid_dp_bonus,MIN(druid_dp_cap,TblMili[[#This Row],[Homeland%]]/druid_dp_bonus))</f>
        <v>2</v>
      </c>
      <c r="CB13" s="251">
        <f ca="1">MIN(dryad_cap,TblMili[[#This Row],[Homeland%]]/dryad_bonus)</f>
        <v>2.9999999999999996</v>
      </c>
      <c r="CC13" s="251">
        <f ca="1">MIN(rocka_cap,TblMili[[#This Row],[Homeland%]]/rocka_bonus)</f>
        <v>2</v>
      </c>
      <c r="CD13" s="251">
        <f ca="1">MIN(adept_op_cap,TblMili[[#This Row],[WG]]/adept_op_bonus)</f>
        <v>0</v>
      </c>
      <c r="CE13" s="251">
        <f ca="1">MIN(adept_dp_cap,TblMili[[#This Row],[WG]]/adept_dp_bonus)</f>
        <v>0</v>
      </c>
      <c r="CF13" s="94">
        <f ca="1">MIN(TblMili[[#This Row],[Unit 3]],TblMili[[#This Row],[Unit 2]])*2</f>
        <v>0</v>
      </c>
      <c r="CG13" s="94">
        <f ca="1">MIN(TblMili[[#This Row],[Unit 1]],TblMili[[#This Row],[Unit 4]])*2</f>
        <v>0</v>
      </c>
      <c r="CH13" s="251">
        <f ca="1">MIN(frost_mage_cap,TblMili[[#This Row],[Homeland%]]/frost_mage_bonus)</f>
        <v>2.9999999999999996</v>
      </c>
      <c r="CI13" s="45">
        <f ca="1">MIN(ice_elem_cap,TblMili[[#This Row],[Raw (2)]]*ice_elem_bonus)</f>
        <v>0</v>
      </c>
      <c r="CJ13" s="251">
        <f t="shared" si="0"/>
        <v>0.83333333333333337</v>
      </c>
      <c r="CK13" s="251">
        <f ca="1">MIN(nox_nightshade_cap,TblConstr[[#This Row],[Homeland]]/TblConstr[[#This Row],[Land]]/nox_nightshade_swamp_bonus)</f>
        <v>4</v>
      </c>
      <c r="CL13" s="251">
        <f ca="1">MIN(TblConstr[[#This Row],[Total Swamp]]/TblConstr[[#This Row],[Land]]/abyss_enforce_bonus,abyss_enforcer_cap)</f>
        <v>0</v>
      </c>
      <c r="CM13" s="251">
        <f ca="1">IF(TblMagic[[#This Row],[Active Infernal Command]]&gt;0,TblMili[[#This Row],[Unit 1]]*infernal_cmd_op,0)</f>
        <v>0</v>
      </c>
      <c r="CN13" s="252" t="s">
        <v>1132</v>
      </c>
      <c r="CO13" s="252" t="b">
        <f>race=TblMili[[#This Row],[Column36]]</f>
        <v>0</v>
      </c>
      <c r="CP13" s="252"/>
      <c r="CQ13" s="251">
        <f ca="1">MIN(6,TblMili[[#This Row],[Mystic]]+Races!$F$19)*1.8 +  IF(TblMili[[#This Row],[Mystic]]+Races!$F$19&gt;6,(TblMili[[#This Row],[Mystic]]+Races!$F$19-6)*0.2,0) - Races!$I$19</f>
        <v>1</v>
      </c>
      <c r="CR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 s="94">
        <f ca="1">TblMili[[#This Row],[Mystic bonus]]*TblMili[[#This Row],[Unit 3]]+TblMili[[#This Row],[Druid bonus]]*TblMili[[#This Row],[Unit 4]]</f>
        <v>0</v>
      </c>
      <c r="CT13" s="155">
        <f ca="1">MIN(6,TblMili[[#This Row],[Dryad]]+Races!$F$35)*1.8 +  IF(TblMili[[#This Row],[Dryad]]+Races!$F$35&gt;6,(TblMili[[#This Row],[Dryad]]+Races!$F$35-6)*0.2,0) - Races!$I$19</f>
        <v>0.80000000000000071</v>
      </c>
      <c r="CU13" s="94">
        <f ca="1">sylvan*(TblMili[[#This Row],[Mystic bonus]]*TblMili[[#This Row],[Unit 3]])</f>
        <v>0</v>
      </c>
      <c r="CV13" s="155">
        <f ca="1">1.8 * MIN(MAX(Races!$E$27,TblMili[[#This Row],[Rockapult]]+Races!$F$27),6)  +  0.45 * MIN(MIN(Races!$E$27,TblMili[[#This Row],[Rockapult]]+Races!$F$27),6)  +  0.2 * ( MAX(Races!$E$27-6,0) + MAX(TblMili[[#This Row],[Rockapult]]+Races!$F$27-6,0) )  -  Races!$I$20</f>
        <v>3.7000000000000011</v>
      </c>
      <c r="CW13" s="94">
        <f ca="1">gnome*(TblMili[[#This Row],[Rockapult bonus]]*TblMili[[#This Row],[Unit 3]])</f>
        <v>0</v>
      </c>
      <c r="CX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 s="94">
        <f ca="1">dark_elf*(TblMili[[#This Row],[Adept bonus]]*TblMili[[#This Row],[Unit 3]])</f>
        <v>0</v>
      </c>
      <c r="CZ13" s="155">
        <f ca="1">1.8 * MIN(MAX(TblMili[[#This Row],[Frost Mage]]+Races!$F$71,Races!$E$71),6)  +  0.45 * MIN(MIN(TblMili[[#This Row],[Frost Mage]]+Races!$F$71,Races!$E$71),6)  +  0.2 * ( MAX(TblMili[[#This Row],[Frost Mage]]+Races!$F$71-6,0) + MAX(Races!$E$71-6,0) )  -  Races!$I$71</f>
        <v>6.15</v>
      </c>
      <c r="DA13" s="155">
        <f ca="1">1.8 * MIN(MAX(TblMili[[#This Row],[Ice Elemental]]+Races!$E$71,Races!$F$71),6)  +  0.45 * MIN(MIN(TblMili[[#This Row],[Ice Elemental]]+Races!$E$71,Races!$F$71),6)  +  0.2 * ( MAX(TblMili[[#This Row],[Ice Elemental]]+Races!$E$71-6,0) + MAX(Races!$F$71-6,0) )  -  Races!$I$71</f>
        <v>0.75</v>
      </c>
      <c r="DB13" s="94">
        <f ca="1">TblMili[[#This Row],[Frost Mage bonus]]*TblMili[[#This Row],[Unit 3]]+TblMili[[#This Row],[Ice Elemental bonus]]*TblMili[[#This Row],[Unit 4]]</f>
        <v>0</v>
      </c>
      <c r="DC13" s="253"/>
      <c r="DD13" s="143">
        <f ca="1">MIN(SUM(TblConstr[[#This Row],[Plain]:[Water]])/TblMili[[#This Row],[Land]]/favorable_terrain_bonus/100,favorable_terrain_max)</f>
        <v>0</v>
      </c>
      <c r="DE13" s="253"/>
      <c r="DF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3" s="142"/>
      <c r="DH13" s="254">
        <f ca="1">(TblMili[[#This Row],[Wizards]]+2*TblMili[[#This Row],[Archmages]])/TblConstr[[#This Row],[Land]]</f>
        <v>0</v>
      </c>
      <c r="DI13" s="254">
        <f ca="1">TblMili[[#This Row],[Raw (2)]]*(1+race_wizard_strength+IF(TblMili[[#This Row],[Hour]]&gt;72,tech_magical_weaponry_wiz*TblTech[[#This Row],[3-5]],0))</f>
        <v>0</v>
      </c>
    </row>
    <row r="14" spans="1:113" hidden="1" x14ac:dyDescent="0.2">
      <c r="A14" s="137">
        <f>TblRezone[[#This Row],[Hour]]</f>
        <v>11</v>
      </c>
      <c r="B14" s="246">
        <f ca="1">SUM(TblMili[[#This Row],[Unit 1]:[Archmages]])+SUM(OFFSET(TblMili[[#This Row],[Train Unit 1]],-8,0):TblMili[[#This Row],[Train Unit 2]]) + SUM(OFFSET(TblMili[[#This Row],[Train Unit 3]],-10,0):TblMili[[#This Row],[Train Unit 4]]) + TblMili[[#This Row],[Draftees]]</f>
        <v>201</v>
      </c>
      <c r="C14" s="157">
        <f ca="1">TblPop[[#This Row],[Military%]]</f>
        <v>0.26137841352405722</v>
      </c>
      <c r="D14" s="142"/>
      <c r="E14" s="45">
        <f ca="1">OFFSET(TblMili[[#This Row],[Unit 1]],-1,0) + OFFSET(TblMili[[#This Row],[Train Unit 1]],-9,0) - TblMili[[#This Row],[Release Unit 1]]</f>
        <v>0</v>
      </c>
      <c r="F14" s="45">
        <f ca="1">OFFSET(TblMili[[#This Row],[Unit 2]],-1,0) + OFFSET(TblMili[[#This Row],[Train Unit 2]],-9,0)-TblMili[[#This Row],[Release Unit 2]]</f>
        <v>0</v>
      </c>
      <c r="G14" s="45">
        <f ca="1">OFFSET(TblMili[[#This Row],[Unit 3]],-1,0)-TblMili[[#This Row],[Release Unit 3]]</f>
        <v>0</v>
      </c>
      <c r="H14" s="45">
        <f ca="1">OFFSET(TblMili[[#This Row],[Unit 4]],-1,0)-TblMili[[#This Row],[Release Unit 4]]</f>
        <v>0</v>
      </c>
      <c r="I14" s="45">
        <f ca="1">OFFSET(TblMili[[#This Row],[Spies]],-1,0)-TblMili[[#This Row],[Release Spies]]-TblMili[[#This Row],[Train AS]]</f>
        <v>0</v>
      </c>
      <c r="J14" s="45">
        <f ca="1">OFFSET(TblMili[[#This Row],[Archspies]],-1,0)-TblMili[[#This Row],[Release AS]]</f>
        <v>0</v>
      </c>
      <c r="K14" s="45">
        <f ca="1">OFFSET(TblMili[[#This Row],[Wizards]],-1,0)-TblMili[[#This Row],[Release Wizards]]-TblMili[[#This Row],[Train AM]]</f>
        <v>0</v>
      </c>
      <c r="L14" s="45">
        <f ca="1">OFFSET(TblMili[[#This Row],[Archmages]],-1,0)-TblMili[[#This Row],[Release AM]]</f>
        <v>0</v>
      </c>
      <c r="M14" s="142"/>
      <c r="N14" s="94">
        <f ca="1">TblProd[[#This Row],[Networth]]</f>
        <v>1250</v>
      </c>
      <c r="O14" s="142"/>
      <c r="P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4" s="247">
        <f ca="1">TblMili[[#This Row],[Raw]]*(1+TblMili[[#This Row],[Mods_Off]])</f>
        <v>0</v>
      </c>
      <c r="S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4" s="247">
        <f ca="1">TblMili[[#This Row],[Non Draft]]+TblMili[[#This Row],[Draftees]]</f>
        <v>201</v>
      </c>
      <c r="U14" s="248">
        <f ca="1">race_defense + TblImps[[#This Row],[Walls]] + ROUND( MIN(gt_bonus*TblConstr[[#This Row],[Tot GT]]/TblConstr[[#This Row],[Land]],gt_bonus_cap), 4) + IF(TblMagic[[#This Row],[Active Howling]]&gt;0,howling_dp_bonus,IF(TblMagic[[#This Row],[Active Ares Call]]&gt;0,ares_call_bonus))</f>
        <v>0</v>
      </c>
      <c r="V14" s="249">
        <f ca="1">TblMili[[#This Row],[Non Draft]] * (1 + TblMili[[#This Row],[Mods_Def]])</f>
        <v>0</v>
      </c>
      <c r="W14" s="247">
        <f ca="1">TblMili[[#This Row],[Draft]] * (1 + TblMili[[#This Row],[Mods_Def]])</f>
        <v>201</v>
      </c>
      <c r="X14" s="247">
        <f ca="1">TblConstr[[#This Row],[Land]]</f>
        <v>50</v>
      </c>
      <c r="Y14" s="156"/>
      <c r="Z14" s="255">
        <f ca="1">IF(TblMili[[#This Row],[Set]]&lt;&gt;"",TblMili[[#This Row],[Set]],OFFSET(TblMili[[#This Row],[Draftrate]],-1,0))</f>
        <v>0.9</v>
      </c>
      <c r="AA14" s="94">
        <f ca="1">OFFSET(TblMili[[#This Row],[Draftees]],-1,0)+OFFSET(TblPop[[#This Row],[Draft Growth]],-1,0) - SUM(TblMili[[#This Row],[Train Unit 1]:[Train Spies]],TblMili[[#This Row],[Train Wiz]],TblMili[[#This Row],[DnD_Zombies]]) - TblMili[[#This Row],[Release Draft]] + SUM(TblMili[[#This Row],[Release Unit 1]:[Release AM]]) - TblExplore[[#This Row],[Draftees (2)]]</f>
        <v>201</v>
      </c>
      <c r="AB14" s="154"/>
      <c r="AC14" s="180">
        <f ca="1">(TblConstr[[#This Row],[Tot Smi]]+TblConstr[[#This Row],[Dest Smi]])/(TblConstr[[#This Row],[Land]]-TblExplore[[#This Row],[Land Bonus]]*20)</f>
        <v>0</v>
      </c>
      <c r="AD14" s="137"/>
      <c r="AE14" s="246">
        <f>TblMili[[#This Row],[Hour]]</f>
        <v>11</v>
      </c>
      <c r="AF14" s="138">
        <f ca="1">TblExplore[[#This Row],[Time]]</f>
        <v>46047.416666666642</v>
      </c>
      <c r="AO14" s="420">
        <f ca="1">ROUND(IF(AND(TblMagic[[#This Row],[Active DnD]]&lt;12,TblMagic[[#This Row],[Active DnD]]&gt;5),OFFSET(TblPop[[#This Row],[Draft Growth]],-1,0)*0.375,0),0)</f>
        <v>0</v>
      </c>
      <c r="AP14" s="142"/>
      <c r="AQ14" s="94">
        <f ca="1">TblProd[[#This Row],[Platinum]]</f>
        <v>63825</v>
      </c>
      <c r="AR14" s="94">
        <f ca="1">INDEX(TblProd[[#Headers],[Lumber]]:TblProd[[#This Row],[Ore]],COUNTA(TblProd[[#Headers],[Lumber]]:TblProd[[#This Row],[Lumber]]),MATCH(Military!$AR$2,TblProd[[#Headers],[Lumber]:[Ore]],0))</f>
        <v>0</v>
      </c>
      <c r="AS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4" s="94">
        <f ca="1">TblMili[[#This Row],[Train Unit 1]]*TblMili[[#This Row],[OP Ore]]+TblMili[[#This Row],[Train Unit 2]]*TblMili[[#This Row],[DP Ore]]+TblMili[[#This Row],[Train Unit 3]]*TblMili[[#This Row],[E1 Ore]]+TblMili[[#This Row],[Train Unit 4]]*TblMili[[#This Row],[E2 Ore]]</f>
        <v>0</v>
      </c>
      <c r="AU14" s="142">
        <f>TblMili[[#This Row],[Hour]]</f>
        <v>11</v>
      </c>
      <c r="AV14" s="152">
        <f ca="1">TblMili[[#This Row],[Time]]</f>
        <v>46047.416666666642</v>
      </c>
      <c r="AW14" s="94">
        <f ca="1">TblMili[[#This Row],[Draftees]]</f>
        <v>201</v>
      </c>
      <c r="BG14" s="142"/>
      <c r="BH14" s="157">
        <f ca="1">TblConstr[[#This Row],[Tot WG]]/TblConstr[[#This Row],[Land]]</f>
        <v>0</v>
      </c>
      <c r="BI14" s="157">
        <f ca="1">TblConstr[[#This Row],[Tot Hav]]/TblConstr[[#This Row],[Land]]</f>
        <v>0</v>
      </c>
      <c r="BJ14" s="94">
        <f ca="1">ROUNDUP((1-MIN(TblMili[[#This Row],[Smithies]]*smithy_bonus,smithy_bonus_cap) + tech_3_5*TblTech[[#This Row],[3-5]] + tech_5_3*TblTech[[#This Row],[5-3]] + tech_5_5*TblTech[[#This Row],[5-5]])*spec_op_plat,0)</f>
        <v>275</v>
      </c>
      <c r="BK14" s="94">
        <f ca="1">ROUNDUP(IF(race="Gnome",1,(1-MIN(TblMili[[#This Row],[Smithies]]*smithy_bonus,smithy_bonus_cap) + tech_3_5*TblTech[[#This Row],[3-5]] + tech_5_3*TblTech[[#This Row],[5-3]] + tech_5_5*TblTech[[#This Row],[5-5]]))*spec_op_ore,0)</f>
        <v>25</v>
      </c>
      <c r="BL14" s="94">
        <f ca="1">ROUNDUP((1-MIN(TblMili[[#This Row],[Smithies]]*smithy_bonus,smithy_bonus_cap) + tech_3_5*TblTech[[#This Row],[3-5]] + tech_5_3*TblTech[[#This Row],[5-3]] + tech_5_5*TblTech[[#This Row],[5-5]])*spec_dp_plat,0)</f>
        <v>275</v>
      </c>
      <c r="BM14" s="94">
        <f ca="1">ROUNDUP(IF(race="Gnome",1,(1-MIN(TblMili[[#This Row],[Smithies]]*smithy_bonus,smithy_bonus_cap) + tech_3_5*TblTech[[#This Row],[3-5]] + tech_5_3*TblTech[[#This Row],[5-3]] + tech_5_5*TblTech[[#This Row],[5-5]]))*spec_dp_ore,0)</f>
        <v>15</v>
      </c>
      <c r="BN14" s="94">
        <f ca="1">ROUNDUP((1-MIN(TblMili[[#This Row],[Smithies]]*smithy_bonus,smithy_bonus_cap) + tech_3_5*TblTech[[#This Row],[3-5]] + tech_5_3*TblTech[[#This Row],[5-3]] + tech_5_5*TblTech[[#This Row],[5-5]])*elite1_plat,0)</f>
        <v>1040</v>
      </c>
      <c r="BO14" s="94">
        <f ca="1">ROUNDUP(IF(race="Gnome",1,(1-MIN(TblMili[[#This Row],[Smithies]]*smithy_bonus,smithy_bonus_cap) + tech_3_5*TblTech[[#This Row],[3-5]] + tech_5_3*TblTech[[#This Row],[5-3]] + tech_5_5*TblTech[[#This Row],[5-5]]))*elite1_ore,0)</f>
        <v>75</v>
      </c>
      <c r="BP14" s="94">
        <f ca="1">ROUNDUP((1-MIN(TblMili[[#This Row],[Smithies]]*smithy_bonus,smithy_bonus_cap) + tech_3_5*TblTech[[#This Row],[3-5]] + tech_5_3*TblTech[[#This Row],[5-3]] + tech_5_5*TblTech[[#This Row],[5-5]])*elite2_plat,0)</f>
        <v>1280</v>
      </c>
      <c r="BQ14" s="94">
        <f ca="1">ROUNDUP(IF(race="Gnome",1,(1-MIN(TblMili[[#This Row],[Smithies]]*smithy_bonus,smithy_bonus_cap) + tech_3_5*TblTech[[#This Row],[3-5]] + tech_5_3*TblTech[[#This Row],[5-3]] + tech_5_5*TblTech[[#This Row],[5-5]]))*elite2_ore,0)</f>
        <v>100</v>
      </c>
      <c r="BR14" s="94">
        <f ca="1">ROUNDUP((1-MIN(ROUND(fh_spy_cost_red*TblMili[[#This Row],[FH''s]],4),fh_spy_cost_cap)+ tech_1_9*TblTech[[#This Row],[1-9]] + tech_9_1*TblTech[[#This Row],[9-1]])*spy_plat,0)</f>
        <v>500</v>
      </c>
      <c r="BS14" s="94">
        <f ca="1">ROUNDUP((1-MIN(ROUND(fh_spy_cost_red*TblMili[[#This Row],[FH''s]],4),fh_spy_cost_cap)+ tech_1_9*TblTech[[#This Row],[1-9]] + tech_9_1*TblTech[[#This Row],[9-1]])*archspy_plat,0)</f>
        <v>1000</v>
      </c>
      <c r="BT14" s="94">
        <f ca="1">ROUNDUP((1-MIN(ROUND(wg_wiz_cost_bonus*TblMili[[#This Row],[WG''s]],4),wg_wiz_cost_cap) + tech_1_9_2*TblTech[[#This Row],[1-9]] + tech_9_1_2*TblTech[[#This Row],[9-1]])*wizard_plat,0)</f>
        <v>500</v>
      </c>
      <c r="BU14" s="94">
        <f ca="1">ROUNDUP((1-MIN(ROUND(wg_wiz_cost_bonus*TblMili[[#This Row],[WG''s]],4),wg_wiz_cost_cap) + tech_1_9_2*TblTech[[#This Row],[1-9]] + tech_9_1_2*TblTech[[#This Row],[9-1]])*archmage_plat,0)</f>
        <v>1000</v>
      </c>
      <c r="BV14" s="142"/>
      <c r="BW14" s="157">
        <f ca="1">TblConstr[[#This Row],[Homeland]]/TblConstr[[#This Row],[Land]]</f>
        <v>0.6</v>
      </c>
      <c r="BX14" s="157">
        <f ca="1">TblMili[[#This Row],[WG''s]]</f>
        <v>0</v>
      </c>
      <c r="BY14" s="251">
        <f ca="1">IF(mystic_cap="none",TblMili[[#This Row],[Homeland%]]/mystic_bonus,MIN(mystic_cap,TblMili[[#This Row],[Homeland%]]/mystic_bonus))</f>
        <v>2</v>
      </c>
      <c r="BZ14" s="251">
        <f ca="1">IF(druid_op_cap="none",TblMili[[#This Row],[Homeland%]]/druid_op_bonus,MIN(druid_op_cap,TblMili[[#This Row],[Homeland%]]/druid_op_bonus))</f>
        <v>2</v>
      </c>
      <c r="CA14" s="251">
        <f ca="1">IF(druid_dp_cap="none",TblMili[[#This Row],[Homeland%]]/druid_dp_bonus,MIN(druid_dp_cap,TblMili[[#This Row],[Homeland%]]/druid_dp_bonus))</f>
        <v>2</v>
      </c>
      <c r="CB14" s="251">
        <f ca="1">MIN(dryad_cap,TblMili[[#This Row],[Homeland%]]/dryad_bonus)</f>
        <v>2.9999999999999996</v>
      </c>
      <c r="CC14" s="251">
        <f ca="1">MIN(rocka_cap,TblMili[[#This Row],[Homeland%]]/rocka_bonus)</f>
        <v>2</v>
      </c>
      <c r="CD14" s="251">
        <f ca="1">MIN(adept_op_cap,TblMili[[#This Row],[WG]]/adept_op_bonus)</f>
        <v>0</v>
      </c>
      <c r="CE14" s="251">
        <f ca="1">MIN(adept_dp_cap,TblMili[[#This Row],[WG]]/adept_dp_bonus)</f>
        <v>0</v>
      </c>
      <c r="CF14" s="94">
        <f ca="1">MIN(TblMili[[#This Row],[Unit 3]],TblMili[[#This Row],[Unit 2]])*2</f>
        <v>0</v>
      </c>
      <c r="CG14" s="94">
        <f ca="1">MIN(TblMili[[#This Row],[Unit 1]],TblMili[[#This Row],[Unit 4]])*2</f>
        <v>0</v>
      </c>
      <c r="CH14" s="251">
        <f ca="1">MIN(frost_mage_cap,TblMili[[#This Row],[Homeland%]]/frost_mage_bonus)</f>
        <v>2.9999999999999996</v>
      </c>
      <c r="CI14" s="45">
        <f ca="1">MIN(ice_elem_cap,TblMili[[#This Row],[Raw (2)]]*ice_elem_bonus)</f>
        <v>0</v>
      </c>
      <c r="CJ14" s="251">
        <f t="shared" si="0"/>
        <v>0.83333333333333337</v>
      </c>
      <c r="CK14" s="251">
        <f ca="1">MIN(nox_nightshade_cap,TblConstr[[#This Row],[Homeland]]/TblConstr[[#This Row],[Land]]/nox_nightshade_swamp_bonus)</f>
        <v>4</v>
      </c>
      <c r="CL14" s="251">
        <f ca="1">MIN(TblConstr[[#This Row],[Total Swamp]]/TblConstr[[#This Row],[Land]]/abyss_enforce_bonus,abyss_enforcer_cap)</f>
        <v>0</v>
      </c>
      <c r="CM14" s="251">
        <f ca="1">IF(TblMagic[[#This Row],[Active Infernal Command]]&gt;0,TblMili[[#This Row],[Unit 1]]*infernal_cmd_op,0)</f>
        <v>0</v>
      </c>
      <c r="CN14" s="252"/>
      <c r="CO14" s="252"/>
      <c r="CP14" s="252"/>
      <c r="CQ14" s="251">
        <f ca="1">MIN(6,TblMili[[#This Row],[Mystic]]+Races!$F$19)*1.8 +  IF(TblMili[[#This Row],[Mystic]]+Races!$F$19&gt;6,(TblMili[[#This Row],[Mystic]]+Races!$F$19-6)*0.2,0) - Races!$I$19</f>
        <v>1</v>
      </c>
      <c r="CR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4" s="94">
        <f ca="1">TblMili[[#This Row],[Mystic bonus]]*TblMili[[#This Row],[Unit 3]]+TblMili[[#This Row],[Druid bonus]]*TblMili[[#This Row],[Unit 4]]</f>
        <v>0</v>
      </c>
      <c r="CT14" s="155">
        <f ca="1">MIN(6,TblMili[[#This Row],[Dryad]]+Races!$F$35)*1.8 +  IF(TblMili[[#This Row],[Dryad]]+Races!$F$35&gt;6,(TblMili[[#This Row],[Dryad]]+Races!$F$35-6)*0.2,0) - Races!$I$19</f>
        <v>0.80000000000000071</v>
      </c>
      <c r="CU14" s="94">
        <f ca="1">sylvan*(TblMili[[#This Row],[Mystic bonus]]*TblMili[[#This Row],[Unit 3]])</f>
        <v>0</v>
      </c>
      <c r="CV14" s="155">
        <f ca="1">1.8 * MIN(MAX(Races!$E$27,TblMili[[#This Row],[Rockapult]]+Races!$F$27),6)  +  0.45 * MIN(MIN(Races!$E$27,TblMili[[#This Row],[Rockapult]]+Races!$F$27),6)  +  0.2 * ( MAX(Races!$E$27-6,0) + MAX(TblMili[[#This Row],[Rockapult]]+Races!$F$27-6,0) )  -  Races!$I$20</f>
        <v>3.7000000000000011</v>
      </c>
      <c r="CW14" s="94">
        <f ca="1">gnome*(TblMili[[#This Row],[Rockapult bonus]]*TblMili[[#This Row],[Unit 3]])</f>
        <v>0</v>
      </c>
      <c r="CX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4" s="94">
        <f ca="1">dark_elf*(TblMili[[#This Row],[Adept bonus]]*TblMili[[#This Row],[Unit 3]])</f>
        <v>0</v>
      </c>
      <c r="CZ14" s="155">
        <f ca="1">1.8 * MIN(MAX(TblMili[[#This Row],[Frost Mage]]+Races!$F$71,Races!$E$71),6)  +  0.45 * MIN(MIN(TblMili[[#This Row],[Frost Mage]]+Races!$F$71,Races!$E$71),6)  +  0.2 * ( MAX(TblMili[[#This Row],[Frost Mage]]+Races!$F$71-6,0) + MAX(Races!$E$71-6,0) )  -  Races!$I$71</f>
        <v>6.15</v>
      </c>
      <c r="DA14" s="155">
        <f ca="1">1.8 * MIN(MAX(TblMili[[#This Row],[Ice Elemental]]+Races!$E$71,Races!$F$71),6)  +  0.45 * MIN(MIN(TblMili[[#This Row],[Ice Elemental]]+Races!$E$71,Races!$F$71),6)  +  0.2 * ( MAX(TblMili[[#This Row],[Ice Elemental]]+Races!$E$71-6,0) + MAX(Races!$F$71-6,0) )  -  Races!$I$71</f>
        <v>0.75</v>
      </c>
      <c r="DB14" s="94">
        <f ca="1">TblMili[[#This Row],[Frost Mage bonus]]*TblMili[[#This Row],[Unit 3]]+TblMili[[#This Row],[Ice Elemental bonus]]*TblMili[[#This Row],[Unit 4]]</f>
        <v>0</v>
      </c>
      <c r="DC14" s="253"/>
      <c r="DD14" s="143">
        <f ca="1">MIN(SUM(TblConstr[[#This Row],[Plain]:[Water]])/TblMili[[#This Row],[Land]]/favorable_terrain_bonus/100,favorable_terrain_max)</f>
        <v>0</v>
      </c>
      <c r="DE14" s="253"/>
      <c r="DF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4" s="142"/>
      <c r="DH14" s="254">
        <f ca="1">(TblMili[[#This Row],[Wizards]]+2*TblMili[[#This Row],[Archmages]])/TblConstr[[#This Row],[Land]]</f>
        <v>0</v>
      </c>
      <c r="DI14" s="254">
        <f ca="1">TblMili[[#This Row],[Raw (2)]]*(1+race_wizard_strength+IF(TblMili[[#This Row],[Hour]]&gt;72,tech_magical_weaponry_wiz*TblTech[[#This Row],[3-5]],0))</f>
        <v>0</v>
      </c>
    </row>
    <row r="15" spans="1:113" hidden="1" x14ac:dyDescent="0.2">
      <c r="A15" s="137">
        <f>TblRezone[[#This Row],[Hour]]</f>
        <v>12</v>
      </c>
      <c r="B15" s="246">
        <f ca="1">SUM(TblMili[[#This Row],[Unit 1]:[Archmages]])+SUM(OFFSET(TblMili[[#This Row],[Train Unit 1]],-8,0):TblMili[[#This Row],[Train Unit 2]]) + SUM(OFFSET(TblMili[[#This Row],[Train Unit 3]],-11,0):TblMili[[#This Row],[Train Unit 4]]) + TblMili[[#This Row],[Draftees]]</f>
        <v>207</v>
      </c>
      <c r="C15" s="157">
        <f ca="1">TblPop[[#This Row],[Military%]]</f>
        <v>0.26918075422626786</v>
      </c>
      <c r="D15" s="142"/>
      <c r="E15" s="45">
        <f ca="1">OFFSET(TblMili[[#This Row],[Unit 1]],-1,0) + OFFSET(TblMili[[#This Row],[Train Unit 1]],-9,0) - TblMili[[#This Row],[Release Unit 1]]</f>
        <v>0</v>
      </c>
      <c r="F15" s="45">
        <f ca="1">OFFSET(TblMili[[#This Row],[Unit 2]],-1,0) + OFFSET(TblMili[[#This Row],[Train Unit 2]],-9,0)-TblMili[[#This Row],[Release Unit 2]]</f>
        <v>0</v>
      </c>
      <c r="G15" s="45">
        <f ca="1">OFFSET(TblMili[[#This Row],[Unit 3]],-1,0)-TblMili[[#This Row],[Release Unit 3]]</f>
        <v>0</v>
      </c>
      <c r="H15" s="45">
        <f ca="1">OFFSET(TblMili[[#This Row],[Unit 4]],-1,0)-TblMili[[#This Row],[Release Unit 4]]</f>
        <v>0</v>
      </c>
      <c r="I15" s="45">
        <f ca="1">OFFSET(TblMili[[#This Row],[Spies]],-1,0)-TblMili[[#This Row],[Release Spies]]-TblMili[[#This Row],[Train AS]]</f>
        <v>0</v>
      </c>
      <c r="J15" s="45">
        <f ca="1">OFFSET(TblMili[[#This Row],[Archspies]],-1,0)-TblMili[[#This Row],[Release AS]]</f>
        <v>0</v>
      </c>
      <c r="K15" s="45">
        <f ca="1">OFFSET(TblMili[[#This Row],[Wizards]],-1,0)-TblMili[[#This Row],[Release Wizards]]-TblMili[[#This Row],[Train AM]]</f>
        <v>0</v>
      </c>
      <c r="L15" s="45">
        <f ca="1">OFFSET(TblMili[[#This Row],[Archmages]],-1,0)-TblMili[[#This Row],[Release AM]]</f>
        <v>0</v>
      </c>
      <c r="M15" s="142"/>
      <c r="N15" s="94">
        <f ca="1">TblProd[[#This Row],[Networth]]</f>
        <v>1250</v>
      </c>
      <c r="O15" s="142"/>
      <c r="P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5" s="247">
        <f ca="1">TblMili[[#This Row],[Raw]]*(1+TblMili[[#This Row],[Mods_Off]])</f>
        <v>0</v>
      </c>
      <c r="S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5" s="247">
        <f ca="1">TblMili[[#This Row],[Non Draft]]+TblMili[[#This Row],[Draftees]]</f>
        <v>207</v>
      </c>
      <c r="U15" s="248">
        <f ca="1">race_defense + TblImps[[#This Row],[Walls]] + ROUND( MIN(gt_bonus*TblConstr[[#This Row],[Tot GT]]/TblConstr[[#This Row],[Land]],gt_bonus_cap), 4) + IF(TblMagic[[#This Row],[Active Howling]]&gt;0,howling_dp_bonus,IF(TblMagic[[#This Row],[Active Ares Call]]&gt;0,ares_call_bonus))</f>
        <v>0</v>
      </c>
      <c r="V15" s="249">
        <f ca="1">TblMili[[#This Row],[Non Draft]] * (1 + TblMili[[#This Row],[Mods_Def]])</f>
        <v>0</v>
      </c>
      <c r="W15" s="247">
        <f ca="1">TblMili[[#This Row],[Draft]] * (1 + TblMili[[#This Row],[Mods_Def]])</f>
        <v>207</v>
      </c>
      <c r="X15" s="247">
        <f ca="1">TblConstr[[#This Row],[Land]]</f>
        <v>50</v>
      </c>
      <c r="Y15" s="156"/>
      <c r="Z15" s="255">
        <f ca="1">IF(TblMili[[#This Row],[Set]]&lt;&gt;"",TblMili[[#This Row],[Set]],OFFSET(TblMili[[#This Row],[Draftrate]],-1,0))</f>
        <v>0.9</v>
      </c>
      <c r="AA15" s="94">
        <f ca="1">OFFSET(TblMili[[#This Row],[Draftees]],-1,0)+OFFSET(TblPop[[#This Row],[Draft Growth]],-1,0) - SUM(TblMili[[#This Row],[Train Unit 1]:[Train Spies]],TblMili[[#This Row],[Train Wiz]],TblMili[[#This Row],[DnD_Zombies]]) - TblMili[[#This Row],[Release Draft]] + SUM(TblMili[[#This Row],[Release Unit 1]:[Release AM]]) - TblExplore[[#This Row],[Draftees (2)]]</f>
        <v>207</v>
      </c>
      <c r="AB15" s="154"/>
      <c r="AC15" s="180">
        <f ca="1">(TblConstr[[#This Row],[Tot Smi]]+TblConstr[[#This Row],[Dest Smi]])/(TblConstr[[#This Row],[Land]]-TblExplore[[#This Row],[Land Bonus]]*20)</f>
        <v>0</v>
      </c>
      <c r="AD15" s="137"/>
      <c r="AE15" s="246">
        <f>TblMili[[#This Row],[Hour]]</f>
        <v>12</v>
      </c>
      <c r="AF15" s="138">
        <f ca="1">TblExplore[[#This Row],[Time]]</f>
        <v>46047.458333333307</v>
      </c>
      <c r="AO15" s="420">
        <f ca="1">ROUND(IF(AND(TblMagic[[#This Row],[Active DnD]]&lt;12,TblMagic[[#This Row],[Active DnD]]&gt;5),OFFSET(TblPop[[#This Row],[Draft Growth]],-1,0)*0.375,0),0)</f>
        <v>0</v>
      </c>
      <c r="AP15" s="142"/>
      <c r="AQ15" s="94">
        <f ca="1">TblProd[[#This Row],[Platinum]]</f>
        <v>65358</v>
      </c>
      <c r="AR15" s="94">
        <f ca="1">INDEX(TblProd[[#Headers],[Lumber]]:TblProd[[#This Row],[Ore]],COUNTA(TblProd[[#Headers],[Lumber]]:TblProd[[#This Row],[Lumber]]),MATCH(Military!$AR$2,TblProd[[#Headers],[Lumber]:[Ore]],0))</f>
        <v>0</v>
      </c>
      <c r="AS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5" s="94">
        <f ca="1">TblMili[[#This Row],[Train Unit 1]]*TblMili[[#This Row],[OP Ore]]+TblMili[[#This Row],[Train Unit 2]]*TblMili[[#This Row],[DP Ore]]+TblMili[[#This Row],[Train Unit 3]]*TblMili[[#This Row],[E1 Ore]]+TblMili[[#This Row],[Train Unit 4]]*TblMili[[#This Row],[E2 Ore]]</f>
        <v>0</v>
      </c>
      <c r="AU15" s="142">
        <f>TblMili[[#This Row],[Hour]]</f>
        <v>12</v>
      </c>
      <c r="AV15" s="152">
        <f ca="1">TblMili[[#This Row],[Time]]</f>
        <v>46047.458333333307</v>
      </c>
      <c r="AW15" s="94">
        <f ca="1">TblMili[[#This Row],[Draftees]]</f>
        <v>207</v>
      </c>
      <c r="BG15" s="142"/>
      <c r="BH15" s="157">
        <f ca="1">TblConstr[[#This Row],[Tot WG]]/TblConstr[[#This Row],[Land]]</f>
        <v>0</v>
      </c>
      <c r="BI15" s="157">
        <f ca="1">TblConstr[[#This Row],[Tot Hav]]/TblConstr[[#This Row],[Land]]</f>
        <v>0</v>
      </c>
      <c r="BJ15" s="94">
        <f ca="1">ROUNDUP((1-MIN(TblMili[[#This Row],[Smithies]]*smithy_bonus,smithy_bonus_cap) + tech_3_5*TblTech[[#This Row],[3-5]] + tech_5_3*TblTech[[#This Row],[5-3]] + tech_5_5*TblTech[[#This Row],[5-5]])*spec_op_plat,0)</f>
        <v>275</v>
      </c>
      <c r="BK15" s="94">
        <f ca="1">ROUNDUP(IF(race="Gnome",1,(1-MIN(TblMili[[#This Row],[Smithies]]*smithy_bonus,smithy_bonus_cap) + tech_3_5*TblTech[[#This Row],[3-5]] + tech_5_3*TblTech[[#This Row],[5-3]] + tech_5_5*TblTech[[#This Row],[5-5]]))*spec_op_ore,0)</f>
        <v>25</v>
      </c>
      <c r="BL15" s="94">
        <f ca="1">ROUNDUP((1-MIN(TblMili[[#This Row],[Smithies]]*smithy_bonus,smithy_bonus_cap) + tech_3_5*TblTech[[#This Row],[3-5]] + tech_5_3*TblTech[[#This Row],[5-3]] + tech_5_5*TblTech[[#This Row],[5-5]])*spec_dp_plat,0)</f>
        <v>275</v>
      </c>
      <c r="BM15" s="94">
        <f ca="1">ROUNDUP(IF(race="Gnome",1,(1-MIN(TblMili[[#This Row],[Smithies]]*smithy_bonus,smithy_bonus_cap) + tech_3_5*TblTech[[#This Row],[3-5]] + tech_5_3*TblTech[[#This Row],[5-3]] + tech_5_5*TblTech[[#This Row],[5-5]]))*spec_dp_ore,0)</f>
        <v>15</v>
      </c>
      <c r="BN15" s="94">
        <f ca="1">ROUNDUP((1-MIN(TblMili[[#This Row],[Smithies]]*smithy_bonus,smithy_bonus_cap) + tech_3_5*TblTech[[#This Row],[3-5]] + tech_5_3*TblTech[[#This Row],[5-3]] + tech_5_5*TblTech[[#This Row],[5-5]])*elite1_plat,0)</f>
        <v>1040</v>
      </c>
      <c r="BO15" s="94">
        <f ca="1">ROUNDUP(IF(race="Gnome",1,(1-MIN(TblMili[[#This Row],[Smithies]]*smithy_bonus,smithy_bonus_cap) + tech_3_5*TblTech[[#This Row],[3-5]] + tech_5_3*TblTech[[#This Row],[5-3]] + tech_5_5*TblTech[[#This Row],[5-5]]))*elite1_ore,0)</f>
        <v>75</v>
      </c>
      <c r="BP15" s="94">
        <f ca="1">ROUNDUP((1-MIN(TblMili[[#This Row],[Smithies]]*smithy_bonus,smithy_bonus_cap) + tech_3_5*TblTech[[#This Row],[3-5]] + tech_5_3*TblTech[[#This Row],[5-3]] + tech_5_5*TblTech[[#This Row],[5-5]])*elite2_plat,0)</f>
        <v>1280</v>
      </c>
      <c r="BQ15" s="94">
        <f ca="1">ROUNDUP(IF(race="Gnome",1,(1-MIN(TblMili[[#This Row],[Smithies]]*smithy_bonus,smithy_bonus_cap) + tech_3_5*TblTech[[#This Row],[3-5]] + tech_5_3*TblTech[[#This Row],[5-3]] + tech_5_5*TblTech[[#This Row],[5-5]]))*elite2_ore,0)</f>
        <v>100</v>
      </c>
      <c r="BR15" s="94">
        <f ca="1">ROUNDUP((1-MIN(ROUND(fh_spy_cost_red*TblMili[[#This Row],[FH''s]],4),fh_spy_cost_cap)+ tech_1_9*TblTech[[#This Row],[1-9]] + tech_9_1*TblTech[[#This Row],[9-1]])*spy_plat,0)</f>
        <v>500</v>
      </c>
      <c r="BS15" s="94">
        <f ca="1">ROUNDUP((1-MIN(ROUND(fh_spy_cost_red*TblMili[[#This Row],[FH''s]],4),fh_spy_cost_cap)+ tech_1_9*TblTech[[#This Row],[1-9]] + tech_9_1*TblTech[[#This Row],[9-1]])*archspy_plat,0)</f>
        <v>1000</v>
      </c>
      <c r="BT15" s="94">
        <f ca="1">ROUNDUP((1-MIN(ROUND(wg_wiz_cost_bonus*TblMili[[#This Row],[WG''s]],4),wg_wiz_cost_cap) + tech_1_9_2*TblTech[[#This Row],[1-9]] + tech_9_1_2*TblTech[[#This Row],[9-1]])*wizard_plat,0)</f>
        <v>500</v>
      </c>
      <c r="BU15" s="94">
        <f ca="1">ROUNDUP((1-MIN(ROUND(wg_wiz_cost_bonus*TblMili[[#This Row],[WG''s]],4),wg_wiz_cost_cap) + tech_1_9_2*TblTech[[#This Row],[1-9]] + tech_9_1_2*TblTech[[#This Row],[9-1]])*archmage_plat,0)</f>
        <v>1000</v>
      </c>
      <c r="BV15" s="142"/>
      <c r="BW15" s="157">
        <f ca="1">TblConstr[[#This Row],[Homeland]]/TblConstr[[#This Row],[Land]]</f>
        <v>0.6</v>
      </c>
      <c r="BX15" s="157">
        <f ca="1">TblMili[[#This Row],[WG''s]]</f>
        <v>0</v>
      </c>
      <c r="BY15" s="251">
        <f ca="1">IF(mystic_cap="none",TblMili[[#This Row],[Homeland%]]/mystic_bonus,MIN(mystic_cap,TblMili[[#This Row],[Homeland%]]/mystic_bonus))</f>
        <v>2</v>
      </c>
      <c r="BZ15" s="251">
        <f ca="1">IF(druid_op_cap="none",TblMili[[#This Row],[Homeland%]]/druid_op_bonus,MIN(druid_op_cap,TblMili[[#This Row],[Homeland%]]/druid_op_bonus))</f>
        <v>2</v>
      </c>
      <c r="CA15" s="251">
        <f ca="1">IF(druid_dp_cap="none",TblMili[[#This Row],[Homeland%]]/druid_dp_bonus,MIN(druid_dp_cap,TblMili[[#This Row],[Homeland%]]/druid_dp_bonus))</f>
        <v>2</v>
      </c>
      <c r="CB15" s="251">
        <f ca="1">MIN(dryad_cap,TblMili[[#This Row],[Homeland%]]/dryad_bonus)</f>
        <v>2.9999999999999996</v>
      </c>
      <c r="CC15" s="251">
        <f ca="1">MIN(rocka_cap,TblMili[[#This Row],[Homeland%]]/rocka_bonus)</f>
        <v>2</v>
      </c>
      <c r="CD15" s="251">
        <f ca="1">MIN(adept_op_cap,TblMili[[#This Row],[WG]]/adept_op_bonus)</f>
        <v>0</v>
      </c>
      <c r="CE15" s="251">
        <f ca="1">MIN(adept_dp_cap,TblMili[[#This Row],[WG]]/adept_dp_bonus)</f>
        <v>0</v>
      </c>
      <c r="CF15" s="94">
        <f ca="1">MIN(TblMili[[#This Row],[Unit 3]],TblMili[[#This Row],[Unit 2]])*2</f>
        <v>0</v>
      </c>
      <c r="CG15" s="94">
        <f ca="1">MIN(TblMili[[#This Row],[Unit 1]],TblMili[[#This Row],[Unit 4]])*2</f>
        <v>0</v>
      </c>
      <c r="CH15" s="251">
        <f ca="1">MIN(frost_mage_cap,TblMili[[#This Row],[Homeland%]]/frost_mage_bonus)</f>
        <v>2.9999999999999996</v>
      </c>
      <c r="CI15" s="45">
        <f ca="1">MIN(ice_elem_cap,TblMili[[#This Row],[Raw (2)]]*ice_elem_bonus)</f>
        <v>0</v>
      </c>
      <c r="CJ15" s="251">
        <f t="shared" si="0"/>
        <v>0.83333333333333337</v>
      </c>
      <c r="CK15" s="251">
        <f ca="1">MIN(nox_nightshade_cap,TblConstr[[#This Row],[Homeland]]/TblConstr[[#This Row],[Land]]/nox_nightshade_swamp_bonus)</f>
        <v>4</v>
      </c>
      <c r="CL15" s="251">
        <f ca="1">MIN(TblConstr[[#This Row],[Total Swamp]]/TblConstr[[#This Row],[Land]]/abyss_enforce_bonus,abyss_enforcer_cap)</f>
        <v>0</v>
      </c>
      <c r="CM15" s="251">
        <f ca="1">IF(TblMagic[[#This Row],[Active Infernal Command]]&gt;0,TblMili[[#This Row],[Unit 1]]*infernal_cmd_op,0)</f>
        <v>0</v>
      </c>
      <c r="CN15" s="252"/>
      <c r="CO15" s="252"/>
      <c r="CP15" s="252"/>
      <c r="CQ15" s="251">
        <f ca="1">MIN(6,TblMili[[#This Row],[Mystic]]+Races!$F$19)*1.8 +  IF(TblMili[[#This Row],[Mystic]]+Races!$F$19&gt;6,(TblMili[[#This Row],[Mystic]]+Races!$F$19-6)*0.2,0) - Races!$I$19</f>
        <v>1</v>
      </c>
      <c r="CR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5" s="94">
        <f ca="1">TblMili[[#This Row],[Mystic bonus]]*TblMili[[#This Row],[Unit 3]]+TblMili[[#This Row],[Druid bonus]]*TblMili[[#This Row],[Unit 4]]</f>
        <v>0</v>
      </c>
      <c r="CT15" s="155">
        <f ca="1">MIN(6,TblMili[[#This Row],[Dryad]]+Races!$F$35)*1.8 +  IF(TblMili[[#This Row],[Dryad]]+Races!$F$35&gt;6,(TblMili[[#This Row],[Dryad]]+Races!$F$35-6)*0.2,0) - Races!$I$19</f>
        <v>0.80000000000000071</v>
      </c>
      <c r="CU15" s="94">
        <f ca="1">sylvan*(TblMili[[#This Row],[Mystic bonus]]*TblMili[[#This Row],[Unit 3]])</f>
        <v>0</v>
      </c>
      <c r="CV15" s="155">
        <f ca="1">1.8 * MIN(MAX(Races!$E$27,TblMili[[#This Row],[Rockapult]]+Races!$F$27),6)  +  0.45 * MIN(MIN(Races!$E$27,TblMili[[#This Row],[Rockapult]]+Races!$F$27),6)  +  0.2 * ( MAX(Races!$E$27-6,0) + MAX(TblMili[[#This Row],[Rockapult]]+Races!$F$27-6,0) )  -  Races!$I$20</f>
        <v>3.7000000000000011</v>
      </c>
      <c r="CW15" s="94">
        <f ca="1">gnome*(TblMili[[#This Row],[Rockapult bonus]]*TblMili[[#This Row],[Unit 3]])</f>
        <v>0</v>
      </c>
      <c r="CX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5" s="94">
        <f ca="1">dark_elf*(TblMili[[#This Row],[Adept bonus]]*TblMili[[#This Row],[Unit 3]])</f>
        <v>0</v>
      </c>
      <c r="CZ15" s="155">
        <f ca="1">1.8 * MIN(MAX(TblMili[[#This Row],[Frost Mage]]+Races!$F$71,Races!$E$71),6)  +  0.45 * MIN(MIN(TblMili[[#This Row],[Frost Mage]]+Races!$F$71,Races!$E$71),6)  +  0.2 * ( MAX(TblMili[[#This Row],[Frost Mage]]+Races!$F$71-6,0) + MAX(Races!$E$71-6,0) )  -  Races!$I$71</f>
        <v>6.15</v>
      </c>
      <c r="DA15" s="155">
        <f ca="1">1.8 * MIN(MAX(TblMili[[#This Row],[Ice Elemental]]+Races!$E$71,Races!$F$71),6)  +  0.45 * MIN(MIN(TblMili[[#This Row],[Ice Elemental]]+Races!$E$71,Races!$F$71),6)  +  0.2 * ( MAX(TblMili[[#This Row],[Ice Elemental]]+Races!$E$71-6,0) + MAX(Races!$F$71-6,0) )  -  Races!$I$71</f>
        <v>0.75</v>
      </c>
      <c r="DB15" s="94">
        <f ca="1">TblMili[[#This Row],[Frost Mage bonus]]*TblMili[[#This Row],[Unit 3]]+TblMili[[#This Row],[Ice Elemental bonus]]*TblMili[[#This Row],[Unit 4]]</f>
        <v>0</v>
      </c>
      <c r="DC15" s="253"/>
      <c r="DD15" s="143">
        <f ca="1">MIN(SUM(TblConstr[[#This Row],[Plain]:[Water]])/TblMili[[#This Row],[Land]]/favorable_terrain_bonus/100,favorable_terrain_max)</f>
        <v>0</v>
      </c>
      <c r="DE15" s="253"/>
      <c r="DF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1250</v>
      </c>
      <c r="DG15" s="142"/>
      <c r="DH15" s="254">
        <f ca="1">(TblMili[[#This Row],[Wizards]]+2*TblMili[[#This Row],[Archmages]])/TblConstr[[#This Row],[Land]]</f>
        <v>0</v>
      </c>
      <c r="DI15" s="254">
        <f ca="1">TblMili[[#This Row],[Raw (2)]]*(1+race_wizard_strength+IF(TblMili[[#This Row],[Hour]]&gt;72,tech_magical_weaponry_wiz*TblTech[[#This Row],[3-5]],0))</f>
        <v>0</v>
      </c>
    </row>
    <row r="16" spans="1:113" x14ac:dyDescent="0.2">
      <c r="A16" s="137">
        <f>TblRezone[[#This Row],[Hour]]</f>
        <v>13</v>
      </c>
      <c r="B16" s="246">
        <f ca="1">SUM(TblMili[[#This Row],[Unit 1]:[Archmages]])+SUM(OFFSET(TblMili[[#This Row],[Train Unit 1]],-8,0):TblMili[[#This Row],[Train Unit 2]]) + SUM(OFFSET(TblMili[[#This Row],[Train Unit 3]],-11,0):TblMili[[#This Row],[Train AM]]) + TblMili[[#This Row],[Draftees]]</f>
        <v>213</v>
      </c>
      <c r="C16" s="157">
        <f ca="1">TblPop[[#This Row],[Military%]]</f>
        <v>0.27099236641221375</v>
      </c>
      <c r="D16" s="142"/>
      <c r="E16" s="45">
        <f ca="1">OFFSET(TblMili[[#This Row],[Unit 1]],-1,0) + OFFSET(TblMili[[#This Row],[Train Unit 1]],-9,0) - TblMili[[#This Row],[Release Unit 1]] + OFFSET(TblMili[[#This Row],[DnD_Zombies]],-12,0)</f>
        <v>0</v>
      </c>
      <c r="F16" s="45">
        <f ca="1">OFFSET(TblMili[[#This Row],[Unit 2]],-1,0) + OFFSET(TblMili[[#This Row],[Train Unit 2]],-9,0)-TblMili[[#This Row],[Release Unit 2]]</f>
        <v>0</v>
      </c>
      <c r="G16" s="45">
        <f ca="1">OFFSET(TblMili[[#This Row],[Unit 3]],-1,0) + OFFSET(TblMili[[#This Row],[Train Unit 3]],-12,0)-TblMili[[#This Row],[Release Unit 3]]</f>
        <v>0</v>
      </c>
      <c r="H16" s="45">
        <f ca="1">OFFSET(TblMili[[#This Row],[Unit 4]],-1,0) + OFFSET(TblMili[[#This Row],[Train Unit 4]],-12,0)-TblMili[[#This Row],[Release Unit 4]]</f>
        <v>0</v>
      </c>
      <c r="I16" s="45">
        <f ca="1">OFFSET(TblMili[[#This Row],[Spies]],-1,0) + OFFSET(TblMili[[#This Row],[Train Spies]],-12,0) - TblMili[[#This Row],[Release Spies]]-TblMili[[#This Row],[Train AS]]</f>
        <v>0</v>
      </c>
      <c r="J16" s="45">
        <f ca="1">OFFSET(TblMili[[#This Row],[Archspies]],-1,0) + OFFSET(TblMili[[#This Row],[Train AS]],-12,0) - TblMili[[#This Row],[Release AS]]</f>
        <v>0</v>
      </c>
      <c r="K16" s="45">
        <f ca="1">OFFSET(TblMili[[#This Row],[Wizards]],-1,0) + OFFSET(TblMili[[#This Row],[Train Wiz]],-12,0) - TblMili[[#This Row],[Release Wizards]]-TblMili[[#This Row],[Train AM]]</f>
        <v>0</v>
      </c>
      <c r="L16" s="45">
        <f ca="1">OFFSET(TblMili[[#This Row],[Archmages]],-1,0) + OFFSET(TblMili[[#This Row],[Train AM]],-12,0) - TblMili[[#This Row],[Release AM]]</f>
        <v>0</v>
      </c>
      <c r="M16" s="142"/>
      <c r="N16" s="94">
        <f ca="1">TblProd[[#This Row],[Networth]]</f>
        <v>2450</v>
      </c>
      <c r="O16" s="142"/>
      <c r="P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6" s="247">
        <f ca="1">TblMili[[#This Row],[Raw]]*(1+TblMili[[#This Row],[Mods_Off]])</f>
        <v>0</v>
      </c>
      <c r="S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6" s="247">
        <f ca="1">TblMili[[#This Row],[Non Draft]]+TblMili[[#This Row],[Draftees]]</f>
        <v>213</v>
      </c>
      <c r="U16" s="248">
        <f ca="1">race_defense + TblImps[[#This Row],[Walls]] + ROUND( MIN(gt_bonus*TblConstr[[#This Row],[Tot GT]]/TblConstr[[#This Row],[Land]],gt_bonus_cap), 4) + IF(TblMagic[[#This Row],[Active Howling]]&gt;0,howling_dp_bonus,IF(TblMagic[[#This Row],[Active Ares Call]]&gt;0,ares_call_bonus))</f>
        <v>0</v>
      </c>
      <c r="V16" s="249">
        <f ca="1">TblMili[[#This Row],[Non Draft]] * (1 + TblMili[[#This Row],[Mods_Def]])</f>
        <v>0</v>
      </c>
      <c r="W16" s="247">
        <f ca="1">TblMili[[#This Row],[Draft]] * (1 + TblMili[[#This Row],[Mods_Def]])</f>
        <v>213</v>
      </c>
      <c r="X16" s="247">
        <f ca="1">TblConstr[[#This Row],[Land]]</f>
        <v>110</v>
      </c>
      <c r="Y16" s="250"/>
      <c r="Z16" s="255">
        <f ca="1">IF(TblMili[[#This Row],[Set]]&lt;&gt;"",TblMili[[#This Row],[Set]],OFFSET(TblMili[[#This Row],[Draftrate]],-1,0))</f>
        <v>0.9</v>
      </c>
      <c r="AA16" s="94">
        <f ca="1">OFFSET(TblMili[[#This Row],[Draftees]],-1,0)+OFFSET(TblPop[[#This Row],[Draft Growth]],-1,0) - SUM(TblMili[[#This Row],[Train Unit 1]:[Train Spies]],TblMili[[#This Row],[Train Wiz]],TblMili[[#This Row],[DnD_Zombies]]) - TblMili[[#This Row],[Release Draft]] + SUM(TblMili[[#This Row],[Release Unit 1]:[Release AM]]) - TblExplore[[#This Row],[Draftees (2)]]</f>
        <v>213</v>
      </c>
      <c r="AB16" s="154"/>
      <c r="AC16" s="180">
        <f ca="1">(TblConstr[[#This Row],[Tot Smi]]+TblConstr[[#This Row],[Dest Smi]])/(TblConstr[[#This Row],[Land]]-TblExplore[[#This Row],[Land Bonus]]*20)</f>
        <v>0</v>
      </c>
      <c r="AD16" s="246"/>
      <c r="AE16" s="246">
        <f>TblMili[[#This Row],[Hour]]</f>
        <v>13</v>
      </c>
      <c r="AF16" s="138">
        <f ca="1">TblExplore[[#This Row],[Time]]</f>
        <v>46047.499999999971</v>
      </c>
      <c r="AG16" s="179"/>
      <c r="AH16" s="179"/>
      <c r="AI16" s="179"/>
      <c r="AJ16" s="179"/>
      <c r="AK16" s="179"/>
      <c r="AL16" s="179"/>
      <c r="AM16" s="179"/>
      <c r="AN16" s="179"/>
      <c r="AO16" s="420">
        <f ca="1">ROUND(IF(AND(TblMagic[[#This Row],[Active DnD]]&lt;12,TblMagic[[#This Row],[Active DnD]]&gt;5),OFFSET(TblPop[[#This Row],[Draft Growth]],-1,0)*0.375,0),0)</f>
        <v>0</v>
      </c>
      <c r="AP16" s="142"/>
      <c r="AQ16" s="94">
        <f ca="1">TblProd[[#This Row],[Platinum]]</f>
        <v>66875</v>
      </c>
      <c r="AR16" s="94">
        <f ca="1">INDEX(TblProd[[#Headers],[Lumber]]:TblProd[[#This Row],[Ore]],COUNTA(TblProd[[#Headers],[Lumber]]:TblProd[[#This Row],[Lumber]]),MATCH(Military!$AR$2,TblProd[[#Headers],[Lumber]:[Ore]],0))</f>
        <v>0</v>
      </c>
      <c r="AS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6" s="94">
        <f ca="1">TblMili[[#This Row],[Train Unit 1]]*TblMili[[#This Row],[OP Ore]]+TblMili[[#This Row],[Train Unit 2]]*TblMili[[#This Row],[DP Ore]]+TblMili[[#This Row],[Train Unit 3]]*TblMili[[#This Row],[E1 Ore]]+TblMili[[#This Row],[Train Unit 4]]*TblMili[[#This Row],[E2 Ore]]</f>
        <v>0</v>
      </c>
      <c r="AU16" s="142">
        <f>TblMili[[#This Row],[Hour]]</f>
        <v>13</v>
      </c>
      <c r="AV16" s="152">
        <f ca="1">TblMili[[#This Row],[Time]]</f>
        <v>46047.499999999971</v>
      </c>
      <c r="AW16" s="94">
        <f ca="1">TblMili[[#This Row],[Draftees]]</f>
        <v>213</v>
      </c>
      <c r="AX16" s="179"/>
      <c r="AY16" s="179"/>
      <c r="AZ16" s="179"/>
      <c r="BA16" s="179"/>
      <c r="BB16" s="179"/>
      <c r="BC16" s="179"/>
      <c r="BD16" s="179"/>
      <c r="BE16" s="179"/>
      <c r="BF16" s="179"/>
      <c r="BG16" s="142"/>
      <c r="BH16" s="157">
        <f ca="1">TblConstr[[#This Row],[Tot WG]]/TblConstr[[#This Row],[Land]]</f>
        <v>0</v>
      </c>
      <c r="BI16" s="157">
        <f ca="1">TblConstr[[#This Row],[Tot Hav]]/TblConstr[[#This Row],[Land]]</f>
        <v>0</v>
      </c>
      <c r="BJ16" s="94">
        <f ca="1">ROUNDUP((1-MIN(TblMili[[#This Row],[Smithies]]*smithy_bonus,smithy_bonus_cap) + tech_3_5*TblTech[[#This Row],[3-5]] + tech_5_3*TblTech[[#This Row],[5-3]] + tech_5_5*TblTech[[#This Row],[5-5]])*spec_op_plat,0)</f>
        <v>275</v>
      </c>
      <c r="BK16" s="94">
        <f ca="1">ROUNDUP(IF(race="Gnome",1,(1-MIN(TblMili[[#This Row],[Smithies]]*smithy_bonus,smithy_bonus_cap) + tech_3_5*TblTech[[#This Row],[3-5]] + tech_5_3*TblTech[[#This Row],[5-3]] + tech_5_5*TblTech[[#This Row],[5-5]]))*spec_op_ore,0)</f>
        <v>25</v>
      </c>
      <c r="BL16" s="94">
        <f ca="1">ROUNDUP((1-MIN(TblMili[[#This Row],[Smithies]]*smithy_bonus,smithy_bonus_cap) + tech_3_5*TblTech[[#This Row],[3-5]] + tech_5_3*TblTech[[#This Row],[5-3]] + tech_5_5*TblTech[[#This Row],[5-5]])*spec_dp_plat,0)</f>
        <v>275</v>
      </c>
      <c r="BM16" s="94">
        <f ca="1">ROUNDUP(IF(race="Gnome",1,(1-MIN(TblMili[[#This Row],[Smithies]]*smithy_bonus,smithy_bonus_cap) + tech_3_5*TblTech[[#This Row],[3-5]] + tech_5_3*TblTech[[#This Row],[5-3]] + tech_5_5*TblTech[[#This Row],[5-5]]))*spec_dp_ore,0)</f>
        <v>15</v>
      </c>
      <c r="BN16" s="94">
        <f ca="1">ROUNDUP((1-MIN(TblMili[[#This Row],[Smithies]]*smithy_bonus,smithy_bonus_cap) + tech_3_5*TblTech[[#This Row],[3-5]] + tech_5_3*TblTech[[#This Row],[5-3]] + tech_5_5*TblTech[[#This Row],[5-5]])*elite1_plat,0)</f>
        <v>1040</v>
      </c>
      <c r="BO16" s="94">
        <f ca="1">ROUNDUP(IF(race="Gnome",1,(1-MIN(TblMili[[#This Row],[Smithies]]*smithy_bonus,smithy_bonus_cap) + tech_3_5*TblTech[[#This Row],[3-5]] + tech_5_3*TblTech[[#This Row],[5-3]] + tech_5_5*TblTech[[#This Row],[5-5]]))*elite1_ore,0)</f>
        <v>75</v>
      </c>
      <c r="BP16" s="94">
        <f ca="1">ROUNDUP((1-MIN(TblMili[[#This Row],[Smithies]]*smithy_bonus,smithy_bonus_cap) + tech_3_5*TblTech[[#This Row],[3-5]] + tech_5_3*TblTech[[#This Row],[5-3]] + tech_5_5*TblTech[[#This Row],[5-5]])*elite2_plat,0)</f>
        <v>1280</v>
      </c>
      <c r="BQ16" s="94">
        <f ca="1">ROUNDUP(IF(race="Gnome",1,(1-MIN(TblMili[[#This Row],[Smithies]]*smithy_bonus,smithy_bonus_cap) + tech_3_5*TblTech[[#This Row],[3-5]] + tech_5_3*TblTech[[#This Row],[5-3]] + tech_5_5*TblTech[[#This Row],[5-5]]))*elite2_ore,0)</f>
        <v>100</v>
      </c>
      <c r="BR16" s="94">
        <f ca="1">ROUNDUP((1-MIN(ROUND(fh_spy_cost_red*TblMili[[#This Row],[FH''s]],4),fh_spy_cost_cap)+ tech_1_9*TblTech[[#This Row],[1-9]] + tech_9_1*TblTech[[#This Row],[9-1]])*spy_plat,0)</f>
        <v>500</v>
      </c>
      <c r="BS16" s="94">
        <f ca="1">ROUNDUP((1-MIN(ROUND(fh_spy_cost_red*TblMili[[#This Row],[FH''s]],4),fh_spy_cost_cap)+ tech_1_9*TblTech[[#This Row],[1-9]] + tech_9_1*TblTech[[#This Row],[9-1]])*archspy_plat,0)</f>
        <v>1000</v>
      </c>
      <c r="BT16" s="94">
        <f ca="1">ROUNDUP((1-MIN(ROUND(wg_wiz_cost_bonus*TblMili[[#This Row],[WG''s]],4),wg_wiz_cost_cap) + tech_1_9_2*TblTech[[#This Row],[1-9]] + tech_9_1_2*TblTech[[#This Row],[9-1]])*wizard_plat,0)</f>
        <v>500</v>
      </c>
      <c r="BU16" s="94">
        <f ca="1">ROUNDUP((1-MIN(ROUND(wg_wiz_cost_bonus*TblMili[[#This Row],[WG''s]],4),wg_wiz_cost_cap) + tech_1_9_2*TblTech[[#This Row],[1-9]] + tech_9_1_2*TblTech[[#This Row],[9-1]])*archmage_plat,0)</f>
        <v>1000</v>
      </c>
      <c r="BV16" s="142"/>
      <c r="BW16" s="157">
        <f ca="1">TblConstr[[#This Row],[Homeland]]/TblConstr[[#This Row],[Land]]</f>
        <v>0.81818181818181823</v>
      </c>
      <c r="BX16" s="157">
        <f ca="1">TblMili[[#This Row],[WG''s]]</f>
        <v>0</v>
      </c>
      <c r="BY16" s="251">
        <f ca="1">IF(mystic_cap="none",TblMili[[#This Row],[Homeland%]]/mystic_bonus,MIN(mystic_cap,TblMili[[#This Row],[Homeland%]]/mystic_bonus))</f>
        <v>2</v>
      </c>
      <c r="BZ16" s="251">
        <f ca="1">IF(druid_op_cap="none",TblMili[[#This Row],[Homeland%]]/druid_op_bonus,MIN(druid_op_cap,TblMili[[#This Row],[Homeland%]]/druid_op_bonus))</f>
        <v>2</v>
      </c>
      <c r="CA16" s="251">
        <f ca="1">IF(druid_dp_cap="none",TblMili[[#This Row],[Homeland%]]/druid_dp_bonus,MIN(druid_dp_cap,TblMili[[#This Row],[Homeland%]]/druid_dp_bonus))</f>
        <v>2</v>
      </c>
      <c r="CB16" s="251">
        <f ca="1">MIN(dryad_cap,TblMili[[#This Row],[Homeland%]]/dryad_bonus)</f>
        <v>4</v>
      </c>
      <c r="CC16" s="251">
        <f ca="1">MIN(rocka_cap,TblMili[[#This Row],[Homeland%]]/rocka_bonus)</f>
        <v>2</v>
      </c>
      <c r="CD16" s="251">
        <f ca="1">MIN(adept_op_cap,TblMili[[#This Row],[WG]]/adept_op_bonus)</f>
        <v>0</v>
      </c>
      <c r="CE16" s="251">
        <f ca="1">MIN(adept_dp_cap,TblMili[[#This Row],[WG]]/adept_dp_bonus)</f>
        <v>0</v>
      </c>
      <c r="CF16" s="94">
        <f ca="1">MIN(TblMili[[#This Row],[Unit 3]],TblMili[[#This Row],[Unit 2]])*2</f>
        <v>0</v>
      </c>
      <c r="CG16" s="94">
        <f ca="1">MIN(TblMili[[#This Row],[Unit 1]],TblMili[[#This Row],[Unit 4]])*2</f>
        <v>0</v>
      </c>
      <c r="CH16" s="251">
        <f ca="1">MIN(frost_mage_cap,TblMili[[#This Row],[Homeland%]]/frost_mage_bonus)</f>
        <v>3</v>
      </c>
      <c r="CI16" s="45">
        <f ca="1">MIN(ice_elem_cap,TblMili[[#This Row],[Raw (2)]]*ice_elem_bonus)</f>
        <v>0</v>
      </c>
      <c r="CJ16" s="251">
        <f t="shared" si="0"/>
        <v>0.83333333333333337</v>
      </c>
      <c r="CK16" s="251">
        <f ca="1">MIN(nox_nightshade_cap,TblConstr[[#This Row],[Homeland]]/TblConstr[[#This Row],[Land]]/nox_nightshade_swamp_bonus)</f>
        <v>4</v>
      </c>
      <c r="CL16" s="251">
        <f ca="1">MIN(TblConstr[[#This Row],[Total Swamp]]/TblConstr[[#This Row],[Land]]/abyss_enforce_bonus,abyss_enforcer_cap)</f>
        <v>0</v>
      </c>
      <c r="CM16" s="251">
        <f ca="1">IF(TblMagic[[#This Row],[Active Infernal Command]]&gt;0,TblMili[[#This Row],[Unit 1]]*infernal_cmd_op,0)</f>
        <v>0</v>
      </c>
      <c r="CN16" s="252"/>
      <c r="CO16" s="252"/>
      <c r="CP16" s="252"/>
      <c r="CQ16" s="251">
        <f ca="1">MIN(6,TblMili[[#This Row],[Mystic]]+Races!$F$19)*1.8 +  IF(TblMili[[#This Row],[Mystic]]+Races!$F$19&gt;6,(TblMili[[#This Row],[Mystic]]+Races!$F$19-6)*0.2,0) - Races!$I$19</f>
        <v>1</v>
      </c>
      <c r="CR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6" s="94">
        <f ca="1">TblMili[[#This Row],[Mystic bonus]]*TblMili[[#This Row],[Unit 3]]+TblMili[[#This Row],[Druid bonus]]*TblMili[[#This Row],[Unit 4]]</f>
        <v>0</v>
      </c>
      <c r="CT16" s="155">
        <f ca="1">MIN(6,TblMili[[#This Row],[Dryad]]+Races!$F$35)*1.8 +  IF(TblMili[[#This Row],[Dryad]]+Races!$F$35&gt;6,(TblMili[[#This Row],[Dryad]]+Races!$F$35-6)*0.2,0) - Races!$I$19</f>
        <v>1</v>
      </c>
      <c r="CU16" s="94">
        <f ca="1">sylvan*(TblMili[[#This Row],[Mystic bonus]]*TblMili[[#This Row],[Unit 3]])</f>
        <v>0</v>
      </c>
      <c r="CV16" s="155">
        <f ca="1">1.8 * MIN(MAX(Races!$E$27,TblMili[[#This Row],[Rockapult]]+Races!$F$27),6)  +  0.45 * MIN(MIN(Races!$E$27,TblMili[[#This Row],[Rockapult]]+Races!$F$27),6)  +  0.2 * ( MAX(Races!$E$27-6,0) + MAX(TblMili[[#This Row],[Rockapult]]+Races!$F$27-6,0) )  -  Races!$I$20</f>
        <v>3.7000000000000011</v>
      </c>
      <c r="CW16" s="94">
        <f ca="1">gnome*(TblMili[[#This Row],[Rockapult bonus]]*TblMili[[#This Row],[Unit 3]])</f>
        <v>0</v>
      </c>
      <c r="CX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6" s="94">
        <f ca="1">dark_elf*(TblMili[[#This Row],[Adept bonus]]*TblMili[[#This Row],[Unit 3]])</f>
        <v>0</v>
      </c>
      <c r="CZ16" s="155">
        <f ca="1">1.8 * MIN(MAX(TblMili[[#This Row],[Frost Mage]]+Races!$F$71,Races!$E$71),6)  +  0.45 * MIN(MIN(TblMili[[#This Row],[Frost Mage]]+Races!$F$71,Races!$E$71),6)  +  0.2 * ( MAX(TblMili[[#This Row],[Frost Mage]]+Races!$F$71-6,0) + MAX(Races!$E$71-6,0) )  -  Races!$I$71</f>
        <v>6.15</v>
      </c>
      <c r="DA16" s="155">
        <f ca="1">1.8 * MIN(MAX(TblMili[[#This Row],[Ice Elemental]]+Races!$E$71,Races!$F$71),6)  +  0.45 * MIN(MIN(TblMili[[#This Row],[Ice Elemental]]+Races!$E$71,Races!$F$71),6)  +  0.2 * ( MAX(TblMili[[#This Row],[Ice Elemental]]+Races!$E$71-6,0) + MAX(Races!$F$71-6,0) )  -  Races!$I$71</f>
        <v>0.75</v>
      </c>
      <c r="DB16" s="94">
        <f ca="1">TblMili[[#This Row],[Frost Mage bonus]]*TblMili[[#This Row],[Unit 3]]+TblMili[[#This Row],[Ice Elemental bonus]]*TblMili[[#This Row],[Unit 4]]</f>
        <v>0</v>
      </c>
      <c r="DC16" s="253"/>
      <c r="DD16" s="143">
        <f ca="1">MIN(SUM(TblConstr[[#This Row],[Plain]:[Water]])/TblMili[[#This Row],[Land]]/favorable_terrain_bonus/100,favorable_terrain_max)</f>
        <v>0.1</v>
      </c>
      <c r="DE16" s="253"/>
      <c r="DF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6" s="142"/>
      <c r="DH16" s="254">
        <f ca="1">(TblMili[[#This Row],[Wizards]]+2*TblMili[[#This Row],[Archmages]])/TblConstr[[#This Row],[Land]]</f>
        <v>0</v>
      </c>
      <c r="DI16" s="254">
        <f ca="1">TblMili[[#This Row],[Raw (2)]]*(1+race_wizard_strength+IF(TblMili[[#This Row],[Hour]]&gt;72,tech_magical_weaponry_wiz*TblTech[[#This Row],[3-5]],0))</f>
        <v>0</v>
      </c>
    </row>
    <row r="17" spans="1:113" hidden="1" x14ac:dyDescent="0.2">
      <c r="A17" s="137">
        <f>TblRezone[[#This Row],[Hour]]</f>
        <v>14</v>
      </c>
      <c r="B17" s="246">
        <f ca="1">SUM(TblMili[[#This Row],[Unit 1]:[Archmages]])+SUM(OFFSET(TblMili[[#This Row],[Train Unit 1]],-8,0):TblMili[[#This Row],[Train Unit 2]]) + SUM(OFFSET(TblMili[[#This Row],[Train Unit 3]],-11,0):TblMili[[#This Row],[Train AM]]) + TblMili[[#This Row],[Draftees]]</f>
        <v>219</v>
      </c>
      <c r="C17" s="157">
        <f ca="1">TblPop[[#This Row],[Military%]]</f>
        <v>0.27272727272727271</v>
      </c>
      <c r="D17" s="142"/>
      <c r="E17" s="45">
        <f ca="1">OFFSET(TblMili[[#This Row],[Unit 1]],-1,0) + OFFSET(TblMili[[#This Row],[Train Unit 1]],-9,0) - TblMili[[#This Row],[Release Unit 1]] + OFFSET(TblMili[[#This Row],[DnD_Zombies]],-12,0)</f>
        <v>0</v>
      </c>
      <c r="F17" s="45">
        <f ca="1">OFFSET(TblMili[[#This Row],[Unit 2]],-1,0) + OFFSET(TblMili[[#This Row],[Train Unit 2]],-9,0)-TblMili[[#This Row],[Release Unit 2]]</f>
        <v>0</v>
      </c>
      <c r="G17" s="45">
        <f ca="1">OFFSET(TblMili[[#This Row],[Unit 3]],-1,0) + OFFSET(TblMili[[#This Row],[Train Unit 3]],-12,0)-TblMili[[#This Row],[Release Unit 3]]</f>
        <v>0</v>
      </c>
      <c r="H17" s="45">
        <f ca="1">OFFSET(TblMili[[#This Row],[Unit 4]],-1,0) + OFFSET(TblMili[[#This Row],[Train Unit 4]],-12,0)-TblMili[[#This Row],[Release Unit 4]]</f>
        <v>0</v>
      </c>
      <c r="I17" s="45">
        <f ca="1">OFFSET(TblMili[[#This Row],[Spies]],-1,0) + OFFSET(TblMili[[#This Row],[Train Spies]],-12,0) - TblMili[[#This Row],[Release Spies]]-TblMili[[#This Row],[Train AS]]</f>
        <v>0</v>
      </c>
      <c r="J17" s="45">
        <f ca="1">OFFSET(TblMili[[#This Row],[Archspies]],-1,0) + OFFSET(TblMili[[#This Row],[Train AS]],-12,0) - TblMili[[#This Row],[Release AS]]</f>
        <v>0</v>
      </c>
      <c r="K17" s="45">
        <f ca="1">OFFSET(TblMili[[#This Row],[Wizards]],-1,0) + OFFSET(TblMili[[#This Row],[Train Wiz]],-12,0) - TblMili[[#This Row],[Release Wizards]]-TblMili[[#This Row],[Train AM]]</f>
        <v>0</v>
      </c>
      <c r="L17" s="45">
        <f ca="1">OFFSET(TblMili[[#This Row],[Archmages]],-1,0) + OFFSET(TblMili[[#This Row],[Train AM]],-12,0) - TblMili[[#This Row],[Release AM]]</f>
        <v>0</v>
      </c>
      <c r="M17" s="142"/>
      <c r="N17" s="94">
        <f ca="1">TblProd[[#This Row],[Networth]]</f>
        <v>2450</v>
      </c>
      <c r="O17" s="142"/>
      <c r="P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7" s="247">
        <f ca="1">TblMili[[#This Row],[Raw]]*(1+TblMili[[#This Row],[Mods_Off]])</f>
        <v>0</v>
      </c>
      <c r="S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7" s="247">
        <f ca="1">TblMili[[#This Row],[Non Draft]]+TblMili[[#This Row],[Draftees]]</f>
        <v>219</v>
      </c>
      <c r="U17" s="248">
        <f ca="1">race_defense + TblImps[[#This Row],[Walls]] + ROUND( MIN(gt_bonus*TblConstr[[#This Row],[Tot GT]]/TblConstr[[#This Row],[Land]],gt_bonus_cap), 4) + IF(TblMagic[[#This Row],[Active Howling]]&gt;0,howling_dp_bonus,IF(TblMagic[[#This Row],[Active Ares Call]]&gt;0,ares_call_bonus))</f>
        <v>0</v>
      </c>
      <c r="V17" s="249">
        <f ca="1">TblMili[[#This Row],[Non Draft]] * (1 + TblMili[[#This Row],[Mods_Def]])</f>
        <v>0</v>
      </c>
      <c r="W17" s="247">
        <f ca="1">TblMili[[#This Row],[Draft]] * (1 + TblMili[[#This Row],[Mods_Def]])</f>
        <v>219</v>
      </c>
      <c r="X17" s="247">
        <f ca="1">TblConstr[[#This Row],[Land]]</f>
        <v>110</v>
      </c>
      <c r="Y17" s="156"/>
      <c r="Z17" s="255">
        <f ca="1">IF(TblMili[[#This Row],[Set]]&lt;&gt;"",TblMili[[#This Row],[Set]],OFFSET(TblMili[[#This Row],[Draftrate]],-1,0))</f>
        <v>0.9</v>
      </c>
      <c r="AA17" s="94">
        <f ca="1">OFFSET(TblMili[[#This Row],[Draftees]],-1,0)+OFFSET(TblPop[[#This Row],[Draft Growth]],-1,0) - SUM(TblMili[[#This Row],[Train Unit 1]:[Train Spies]],TblMili[[#This Row],[Train Wiz]],TblMili[[#This Row],[DnD_Zombies]]) - TblMili[[#This Row],[Release Draft]] + SUM(TblMili[[#This Row],[Release Unit 1]:[Release AM]]) - TblExplore[[#This Row],[Draftees (2)]]</f>
        <v>219</v>
      </c>
      <c r="AB17" s="154"/>
      <c r="AC17" s="180">
        <f ca="1">(TblConstr[[#This Row],[Tot Smi]]+TblConstr[[#This Row],[Dest Smi]])/(TblConstr[[#This Row],[Land]]-TblExplore[[#This Row],[Land Bonus]]*20)</f>
        <v>0</v>
      </c>
      <c r="AD17" s="137"/>
      <c r="AE17" s="246">
        <f>TblMili[[#This Row],[Hour]]</f>
        <v>14</v>
      </c>
      <c r="AF17" s="138">
        <f ca="1">TblExplore[[#This Row],[Time]]</f>
        <v>46047.541666666635</v>
      </c>
      <c r="AO17" s="420">
        <f ca="1">ROUND(IF(AND(TblMagic[[#This Row],[Active DnD]]&lt;12,TblMagic[[#This Row],[Active DnD]]&gt;5),OFFSET(TblPop[[#This Row],[Draft Growth]],-1,0)*0.375,0),0)</f>
        <v>0</v>
      </c>
      <c r="AP17" s="142"/>
      <c r="AQ17" s="94">
        <f ca="1">TblProd[[#This Row],[Platinum]]</f>
        <v>68422</v>
      </c>
      <c r="AR17" s="94">
        <f ca="1">INDEX(TblProd[[#Headers],[Lumber]]:TblProd[[#This Row],[Ore]],COUNTA(TblProd[[#Headers],[Lumber]]:TblProd[[#This Row],[Lumber]]),MATCH(Military!$AR$2,TblProd[[#Headers],[Lumber]:[Ore]],0))</f>
        <v>0</v>
      </c>
      <c r="AS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7" s="94">
        <f ca="1">TblMili[[#This Row],[Train Unit 1]]*TblMili[[#This Row],[OP Ore]]+TblMili[[#This Row],[Train Unit 2]]*TblMili[[#This Row],[DP Ore]]+TblMili[[#This Row],[Train Unit 3]]*TblMili[[#This Row],[E1 Ore]]+TblMili[[#This Row],[Train Unit 4]]*TblMili[[#This Row],[E2 Ore]]</f>
        <v>0</v>
      </c>
      <c r="AU17" s="142">
        <f>TblMili[[#This Row],[Hour]]</f>
        <v>14</v>
      </c>
      <c r="AV17" s="152">
        <f ca="1">TblMili[[#This Row],[Time]]</f>
        <v>46047.541666666635</v>
      </c>
      <c r="AW17" s="94">
        <f ca="1">TblMili[[#This Row],[Draftees]]</f>
        <v>219</v>
      </c>
      <c r="BG17" s="142"/>
      <c r="BH17" s="157">
        <f ca="1">TblConstr[[#This Row],[Tot WG]]/TblConstr[[#This Row],[Land]]</f>
        <v>0</v>
      </c>
      <c r="BI17" s="157">
        <f ca="1">TblConstr[[#This Row],[Tot Hav]]/TblConstr[[#This Row],[Land]]</f>
        <v>0</v>
      </c>
      <c r="BJ17" s="94">
        <f ca="1">ROUNDUP((1-MIN(TblMili[[#This Row],[Smithies]]*smithy_bonus,smithy_bonus_cap) + tech_3_5*TblTech[[#This Row],[3-5]] + tech_5_3*TblTech[[#This Row],[5-3]] + tech_5_5*TblTech[[#This Row],[5-5]])*spec_op_plat,0)</f>
        <v>275</v>
      </c>
      <c r="BK17" s="94">
        <f ca="1">ROUNDUP(IF(race="Gnome",1,(1-MIN(TblMili[[#This Row],[Smithies]]*smithy_bonus,smithy_bonus_cap) + tech_3_5*TblTech[[#This Row],[3-5]] + tech_5_3*TblTech[[#This Row],[5-3]] + tech_5_5*TblTech[[#This Row],[5-5]]))*spec_op_ore,0)</f>
        <v>25</v>
      </c>
      <c r="BL17" s="94">
        <f ca="1">ROUNDUP((1-MIN(TblMili[[#This Row],[Smithies]]*smithy_bonus,smithy_bonus_cap) + tech_3_5*TblTech[[#This Row],[3-5]] + tech_5_3*TblTech[[#This Row],[5-3]] + tech_5_5*TblTech[[#This Row],[5-5]])*spec_dp_plat,0)</f>
        <v>275</v>
      </c>
      <c r="BM17" s="94">
        <f ca="1">ROUNDUP(IF(race="Gnome",1,(1-MIN(TblMili[[#This Row],[Smithies]]*smithy_bonus,smithy_bonus_cap) + tech_3_5*TblTech[[#This Row],[3-5]] + tech_5_3*TblTech[[#This Row],[5-3]] + tech_5_5*TblTech[[#This Row],[5-5]]))*spec_dp_ore,0)</f>
        <v>15</v>
      </c>
      <c r="BN17" s="94">
        <f ca="1">ROUNDUP((1-MIN(TblMili[[#This Row],[Smithies]]*smithy_bonus,smithy_bonus_cap) + tech_3_5*TblTech[[#This Row],[3-5]] + tech_5_3*TblTech[[#This Row],[5-3]] + tech_5_5*TblTech[[#This Row],[5-5]])*elite1_plat,0)</f>
        <v>1040</v>
      </c>
      <c r="BO17" s="94">
        <f ca="1">ROUNDUP(IF(race="Gnome",1,(1-MIN(TblMili[[#This Row],[Smithies]]*smithy_bonus,smithy_bonus_cap) + tech_3_5*TblTech[[#This Row],[3-5]] + tech_5_3*TblTech[[#This Row],[5-3]] + tech_5_5*TblTech[[#This Row],[5-5]]))*elite1_ore,0)</f>
        <v>75</v>
      </c>
      <c r="BP17" s="94">
        <f ca="1">ROUNDUP((1-MIN(TblMili[[#This Row],[Smithies]]*smithy_bonus,smithy_bonus_cap) + tech_3_5*TblTech[[#This Row],[3-5]] + tech_5_3*TblTech[[#This Row],[5-3]] + tech_5_5*TblTech[[#This Row],[5-5]])*elite2_plat,0)</f>
        <v>1280</v>
      </c>
      <c r="BQ17" s="94">
        <f ca="1">ROUNDUP(IF(race="Gnome",1,(1-MIN(TblMili[[#This Row],[Smithies]]*smithy_bonus,smithy_bonus_cap) + tech_3_5*TblTech[[#This Row],[3-5]] + tech_5_3*TblTech[[#This Row],[5-3]] + tech_5_5*TblTech[[#This Row],[5-5]]))*elite2_ore,0)</f>
        <v>100</v>
      </c>
      <c r="BR17" s="94">
        <f ca="1">ROUNDUP((1-MIN(ROUND(fh_spy_cost_red*TblMili[[#This Row],[FH''s]],4),fh_spy_cost_cap)+ tech_1_9*TblTech[[#This Row],[1-9]] + tech_9_1*TblTech[[#This Row],[9-1]])*spy_plat,0)</f>
        <v>500</v>
      </c>
      <c r="BS17" s="94">
        <f ca="1">ROUNDUP((1-MIN(ROUND(fh_spy_cost_red*TblMili[[#This Row],[FH''s]],4),fh_spy_cost_cap)+ tech_1_9*TblTech[[#This Row],[1-9]] + tech_9_1*TblTech[[#This Row],[9-1]])*archspy_plat,0)</f>
        <v>1000</v>
      </c>
      <c r="BT17" s="94">
        <f ca="1">ROUNDUP((1-MIN(ROUND(wg_wiz_cost_bonus*TblMili[[#This Row],[WG''s]],4),wg_wiz_cost_cap) + tech_1_9_2*TblTech[[#This Row],[1-9]] + tech_9_1_2*TblTech[[#This Row],[9-1]])*wizard_plat,0)</f>
        <v>500</v>
      </c>
      <c r="BU17" s="94">
        <f ca="1">ROUNDUP((1-MIN(ROUND(wg_wiz_cost_bonus*TblMili[[#This Row],[WG''s]],4),wg_wiz_cost_cap) + tech_1_9_2*TblTech[[#This Row],[1-9]] + tech_9_1_2*TblTech[[#This Row],[9-1]])*archmage_plat,0)</f>
        <v>1000</v>
      </c>
      <c r="BV17" s="142"/>
      <c r="BW17" s="157">
        <f ca="1">TblConstr[[#This Row],[Homeland]]/TblConstr[[#This Row],[Land]]</f>
        <v>0.81818181818181823</v>
      </c>
      <c r="BX17" s="157">
        <f ca="1">TblMili[[#This Row],[WG''s]]</f>
        <v>0</v>
      </c>
      <c r="BY17" s="251">
        <f ca="1">IF(mystic_cap="none",TblMili[[#This Row],[Homeland%]]/mystic_bonus,MIN(mystic_cap,TblMili[[#This Row],[Homeland%]]/mystic_bonus))</f>
        <v>2</v>
      </c>
      <c r="BZ17" s="251">
        <f ca="1">IF(druid_op_cap="none",TblMili[[#This Row],[Homeland%]]/druid_op_bonus,MIN(druid_op_cap,TblMili[[#This Row],[Homeland%]]/druid_op_bonus))</f>
        <v>2</v>
      </c>
      <c r="CA17" s="251">
        <f ca="1">IF(druid_dp_cap="none",TblMili[[#This Row],[Homeland%]]/druid_dp_bonus,MIN(druid_dp_cap,TblMili[[#This Row],[Homeland%]]/druid_dp_bonus))</f>
        <v>2</v>
      </c>
      <c r="CB17" s="251">
        <f ca="1">MIN(dryad_cap,TblMili[[#This Row],[Homeland%]]/dryad_bonus)</f>
        <v>4</v>
      </c>
      <c r="CC17" s="251">
        <f ca="1">MIN(rocka_cap,TblMili[[#This Row],[Homeland%]]/rocka_bonus)</f>
        <v>2</v>
      </c>
      <c r="CD17" s="251">
        <f ca="1">MIN(adept_op_cap,TblMili[[#This Row],[WG]]/adept_op_bonus)</f>
        <v>0</v>
      </c>
      <c r="CE17" s="251">
        <f ca="1">MIN(adept_dp_cap,TblMili[[#This Row],[WG]]/adept_dp_bonus)</f>
        <v>0</v>
      </c>
      <c r="CF17" s="94">
        <f ca="1">MIN(TblMili[[#This Row],[Unit 3]],TblMili[[#This Row],[Unit 2]])*2</f>
        <v>0</v>
      </c>
      <c r="CG17" s="94">
        <f ca="1">MIN(TblMili[[#This Row],[Unit 1]],TblMili[[#This Row],[Unit 4]])*2</f>
        <v>0</v>
      </c>
      <c r="CH17" s="251">
        <f ca="1">MIN(frost_mage_cap,TblMili[[#This Row],[Homeland%]]/frost_mage_bonus)</f>
        <v>3</v>
      </c>
      <c r="CI17" s="45">
        <f ca="1">MIN(ice_elem_cap,TblMili[[#This Row],[Raw (2)]]*ice_elem_bonus)</f>
        <v>0</v>
      </c>
      <c r="CJ17" s="251">
        <f t="shared" si="0"/>
        <v>0.83333333333333337</v>
      </c>
      <c r="CK17" s="251">
        <f ca="1">MIN(nox_nightshade_cap,TblConstr[[#This Row],[Homeland]]/TblConstr[[#This Row],[Land]]/nox_nightshade_swamp_bonus)</f>
        <v>4</v>
      </c>
      <c r="CL17" s="251">
        <f ca="1">MIN(TblConstr[[#This Row],[Total Swamp]]/TblConstr[[#This Row],[Land]]/abyss_enforce_bonus,abyss_enforcer_cap)</f>
        <v>0</v>
      </c>
      <c r="CM17" s="251">
        <f ca="1">IF(TblMagic[[#This Row],[Active Infernal Command]]&gt;0,TblMili[[#This Row],[Unit 1]]*infernal_cmd_op,0)</f>
        <v>0</v>
      </c>
      <c r="CN17" s="252" t="s">
        <v>519</v>
      </c>
      <c r="CO17" s="252"/>
      <c r="CP17" s="252"/>
      <c r="CQ17" s="251">
        <f ca="1">MIN(6,TblMili[[#This Row],[Mystic]]+Races!$F$19)*1.8 +  IF(TblMili[[#This Row],[Mystic]]+Races!$F$19&gt;6,(TblMili[[#This Row],[Mystic]]+Races!$F$19-6)*0.2,0) - Races!$I$19</f>
        <v>1</v>
      </c>
      <c r="CR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7" s="94">
        <f ca="1">TblMili[[#This Row],[Mystic bonus]]*TblMili[[#This Row],[Unit 3]]+TblMili[[#This Row],[Druid bonus]]*TblMili[[#This Row],[Unit 4]]</f>
        <v>0</v>
      </c>
      <c r="CT17" s="155">
        <f ca="1">MIN(6,TblMili[[#This Row],[Dryad]]+Races!$F$35)*1.8 +  IF(TblMili[[#This Row],[Dryad]]+Races!$F$35&gt;6,(TblMili[[#This Row],[Dryad]]+Races!$F$35-6)*0.2,0) - Races!$I$19</f>
        <v>1</v>
      </c>
      <c r="CU17" s="94">
        <f ca="1">sylvan*(TblMili[[#This Row],[Mystic bonus]]*TblMili[[#This Row],[Unit 3]])</f>
        <v>0</v>
      </c>
      <c r="CV17" s="155">
        <f ca="1">1.8 * MIN(MAX(Races!$E$27,TblMili[[#This Row],[Rockapult]]+Races!$F$27),6)  +  0.45 * MIN(MIN(Races!$E$27,TblMili[[#This Row],[Rockapult]]+Races!$F$27),6)  +  0.2 * ( MAX(Races!$E$27-6,0) + MAX(TblMili[[#This Row],[Rockapult]]+Races!$F$27-6,0) )  -  Races!$I$20</f>
        <v>3.7000000000000011</v>
      </c>
      <c r="CW17" s="94">
        <f ca="1">gnome*(TblMili[[#This Row],[Rockapult bonus]]*TblMili[[#This Row],[Unit 3]])</f>
        <v>0</v>
      </c>
      <c r="CX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7" s="94">
        <f ca="1">dark_elf*(TblMili[[#This Row],[Adept bonus]]*TblMili[[#This Row],[Unit 3]])</f>
        <v>0</v>
      </c>
      <c r="CZ17" s="155">
        <f ca="1">1.8 * MIN(MAX(TblMili[[#This Row],[Frost Mage]]+Races!$F$71,Races!$E$71),6)  +  0.45 * MIN(MIN(TblMili[[#This Row],[Frost Mage]]+Races!$F$71,Races!$E$71),6)  +  0.2 * ( MAX(TblMili[[#This Row],[Frost Mage]]+Races!$F$71-6,0) + MAX(Races!$E$71-6,0) )  -  Races!$I$71</f>
        <v>6.15</v>
      </c>
      <c r="DA17" s="155">
        <f ca="1">1.8 * MIN(MAX(TblMili[[#This Row],[Ice Elemental]]+Races!$E$71,Races!$F$71),6)  +  0.45 * MIN(MIN(TblMili[[#This Row],[Ice Elemental]]+Races!$E$71,Races!$F$71),6)  +  0.2 * ( MAX(TblMili[[#This Row],[Ice Elemental]]+Races!$E$71-6,0) + MAX(Races!$F$71-6,0) )  -  Races!$I$71</f>
        <v>0.75</v>
      </c>
      <c r="DB17" s="94">
        <f ca="1">TblMili[[#This Row],[Frost Mage bonus]]*TblMili[[#This Row],[Unit 3]]+TblMili[[#This Row],[Ice Elemental bonus]]*TblMili[[#This Row],[Unit 4]]</f>
        <v>0</v>
      </c>
      <c r="DC17" s="253"/>
      <c r="DD17" s="143">
        <f ca="1">MIN(SUM(TblConstr[[#This Row],[Plain]:[Water]])/TblMili[[#This Row],[Land]]/favorable_terrain_bonus/100,favorable_terrain_max)</f>
        <v>0.1</v>
      </c>
      <c r="DE17" s="253"/>
      <c r="DF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7" s="142"/>
      <c r="DH17" s="254">
        <f ca="1">(TblMili[[#This Row],[Wizards]]+2*TblMili[[#This Row],[Archmages]])/TblConstr[[#This Row],[Land]]</f>
        <v>0</v>
      </c>
      <c r="DI17" s="254">
        <f ca="1">TblMili[[#This Row],[Raw (2)]]*(1+race_wizard_strength+IF(TblMili[[#This Row],[Hour]]&gt;72,tech_magical_weaponry_wiz*TblTech[[#This Row],[3-5]],0))</f>
        <v>0</v>
      </c>
    </row>
    <row r="18" spans="1:113" hidden="1" x14ac:dyDescent="0.2">
      <c r="A18" s="137">
        <f>TblRezone[[#This Row],[Hour]]</f>
        <v>15</v>
      </c>
      <c r="B18" s="246">
        <f ca="1">SUM(TblMili[[#This Row],[Unit 1]:[Archmages]])+SUM(OFFSET(TblMili[[#This Row],[Train Unit 1]],-8,0):TblMili[[#This Row],[Train Unit 2]]) + SUM(OFFSET(TblMili[[#This Row],[Train Unit 3]],-11,0):TblMili[[#This Row],[Train AM]]) + TblMili[[#This Row],[Draftees]]</f>
        <v>225</v>
      </c>
      <c r="C18" s="157">
        <f ca="1">TblPop[[#This Row],[Military%]]</f>
        <v>0.27439024390243905</v>
      </c>
      <c r="D18" s="142"/>
      <c r="E18" s="45">
        <f ca="1">OFFSET(TblMili[[#This Row],[Unit 1]],-1,0) + OFFSET(TblMili[[#This Row],[Train Unit 1]],-9,0) - TblMili[[#This Row],[Release Unit 1]] + OFFSET(TblMili[[#This Row],[DnD_Zombies]],-12,0)</f>
        <v>0</v>
      </c>
      <c r="F18" s="45">
        <f ca="1">OFFSET(TblMili[[#This Row],[Unit 2]],-1,0) + OFFSET(TblMili[[#This Row],[Train Unit 2]],-9,0)-TblMili[[#This Row],[Release Unit 2]]</f>
        <v>0</v>
      </c>
      <c r="G18" s="45">
        <f ca="1">OFFSET(TblMili[[#This Row],[Unit 3]],-1,0) + OFFSET(TblMili[[#This Row],[Train Unit 3]],-12,0)-TblMili[[#This Row],[Release Unit 3]]</f>
        <v>0</v>
      </c>
      <c r="H18" s="45">
        <f ca="1">OFFSET(TblMili[[#This Row],[Unit 4]],-1,0) + OFFSET(TblMili[[#This Row],[Train Unit 4]],-12,0)-TblMili[[#This Row],[Release Unit 4]]</f>
        <v>0</v>
      </c>
      <c r="I18" s="45">
        <f ca="1">OFFSET(TblMili[[#This Row],[Spies]],-1,0) + OFFSET(TblMili[[#This Row],[Train Spies]],-12,0) - TblMili[[#This Row],[Release Spies]]-TblMili[[#This Row],[Train AS]]</f>
        <v>0</v>
      </c>
      <c r="J18" s="45">
        <f ca="1">OFFSET(TblMili[[#This Row],[Archspies]],-1,0) + OFFSET(TblMili[[#This Row],[Train AS]],-12,0) - TblMili[[#This Row],[Release AS]]</f>
        <v>0</v>
      </c>
      <c r="K18" s="45">
        <f ca="1">OFFSET(TblMili[[#This Row],[Wizards]],-1,0) + OFFSET(TblMili[[#This Row],[Train Wiz]],-12,0) - TblMili[[#This Row],[Release Wizards]]-TblMili[[#This Row],[Train AM]]</f>
        <v>0</v>
      </c>
      <c r="L18" s="45">
        <f ca="1">OFFSET(TblMili[[#This Row],[Archmages]],-1,0) + OFFSET(TblMili[[#This Row],[Train AM]],-12,0) - TblMili[[#This Row],[Release AM]]</f>
        <v>0</v>
      </c>
      <c r="M18" s="142"/>
      <c r="N18" s="94">
        <f ca="1">TblProd[[#This Row],[Networth]]</f>
        <v>2450</v>
      </c>
      <c r="O18" s="142"/>
      <c r="P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8" s="247">
        <f ca="1">TblMili[[#This Row],[Raw]]*(1+TblMili[[#This Row],[Mods_Off]])</f>
        <v>0</v>
      </c>
      <c r="S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8" s="247">
        <f ca="1">TblMili[[#This Row],[Non Draft]]+TblMili[[#This Row],[Draftees]]</f>
        <v>225</v>
      </c>
      <c r="U18" s="248">
        <f ca="1">race_defense + TblImps[[#This Row],[Walls]] + ROUND( MIN(gt_bonus*TblConstr[[#This Row],[Tot GT]]/TblConstr[[#This Row],[Land]],gt_bonus_cap), 4) + IF(TblMagic[[#This Row],[Active Howling]]&gt;0,howling_dp_bonus,IF(TblMagic[[#This Row],[Active Ares Call]]&gt;0,ares_call_bonus))</f>
        <v>0</v>
      </c>
      <c r="V18" s="249">
        <f ca="1">TblMili[[#This Row],[Non Draft]] * (1 + TblMili[[#This Row],[Mods_Def]])</f>
        <v>0</v>
      </c>
      <c r="W18" s="247">
        <f ca="1">TblMili[[#This Row],[Draft]] * (1 + TblMili[[#This Row],[Mods_Def]])</f>
        <v>225</v>
      </c>
      <c r="X18" s="247">
        <f ca="1">TblConstr[[#This Row],[Land]]</f>
        <v>110</v>
      </c>
      <c r="Y18" s="156"/>
      <c r="Z18" s="255">
        <f ca="1">IF(TblMili[[#This Row],[Set]]&lt;&gt;"",TblMili[[#This Row],[Set]],OFFSET(TblMili[[#This Row],[Draftrate]],-1,0))</f>
        <v>0.9</v>
      </c>
      <c r="AA18" s="94">
        <f ca="1">OFFSET(TblMili[[#This Row],[Draftees]],-1,0)+OFFSET(TblPop[[#This Row],[Draft Growth]],-1,0) - SUM(TblMili[[#This Row],[Train Unit 1]:[Train Spies]],TblMili[[#This Row],[Train Wiz]],TblMili[[#This Row],[DnD_Zombies]]) - TblMili[[#This Row],[Release Draft]] + SUM(TblMili[[#This Row],[Release Unit 1]:[Release AM]]) - TblExplore[[#This Row],[Draftees (2)]]</f>
        <v>225</v>
      </c>
      <c r="AB18" s="154"/>
      <c r="AC18" s="180">
        <f ca="1">(TblConstr[[#This Row],[Tot Smi]]+TblConstr[[#This Row],[Dest Smi]])/(TblConstr[[#This Row],[Land]]-TblExplore[[#This Row],[Land Bonus]]*20)</f>
        <v>0</v>
      </c>
      <c r="AD18" s="137"/>
      <c r="AE18" s="246">
        <f>TblMili[[#This Row],[Hour]]</f>
        <v>15</v>
      </c>
      <c r="AF18" s="138">
        <f ca="1">TblExplore[[#This Row],[Time]]</f>
        <v>46047.583333333299</v>
      </c>
      <c r="AO18" s="420">
        <f ca="1">ROUND(IF(AND(TblMagic[[#This Row],[Active DnD]]&lt;12,TblMagic[[#This Row],[Active DnD]]&gt;5),OFFSET(TblPop[[#This Row],[Draft Growth]],-1,0)*0.375,0),0)</f>
        <v>0</v>
      </c>
      <c r="AP18" s="142"/>
      <c r="AQ18" s="94">
        <f ca="1">TblProd[[#This Row],[Platinum]]</f>
        <v>69998</v>
      </c>
      <c r="AR18" s="94">
        <f ca="1">INDEX(TblProd[[#Headers],[Lumber]]:TblProd[[#This Row],[Ore]],COUNTA(TblProd[[#Headers],[Lumber]]:TblProd[[#This Row],[Lumber]]),MATCH(Military!$AR$2,TblProd[[#Headers],[Lumber]:[Ore]],0))</f>
        <v>0</v>
      </c>
      <c r="AS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8" s="94">
        <f ca="1">TblMili[[#This Row],[Train Unit 1]]*TblMili[[#This Row],[OP Ore]]+TblMili[[#This Row],[Train Unit 2]]*TblMili[[#This Row],[DP Ore]]+TblMili[[#This Row],[Train Unit 3]]*TblMili[[#This Row],[E1 Ore]]+TblMili[[#This Row],[Train Unit 4]]*TblMili[[#This Row],[E2 Ore]]</f>
        <v>0</v>
      </c>
      <c r="AU18" s="142">
        <f>TblMili[[#This Row],[Hour]]</f>
        <v>15</v>
      </c>
      <c r="AV18" s="152">
        <f ca="1">TblMili[[#This Row],[Time]]</f>
        <v>46047.583333333299</v>
      </c>
      <c r="AW18" s="94">
        <f ca="1">TblMili[[#This Row],[Draftees]]</f>
        <v>225</v>
      </c>
      <c r="BG18" s="142"/>
      <c r="BH18" s="157">
        <f ca="1">TblConstr[[#This Row],[Tot WG]]/TblConstr[[#This Row],[Land]]</f>
        <v>0</v>
      </c>
      <c r="BI18" s="157">
        <f ca="1">TblConstr[[#This Row],[Tot Hav]]/TblConstr[[#This Row],[Land]]</f>
        <v>0</v>
      </c>
      <c r="BJ18" s="94">
        <f ca="1">ROUNDUP((1-MIN(TblMili[[#This Row],[Smithies]]*smithy_bonus,smithy_bonus_cap) + tech_3_5*TblTech[[#This Row],[3-5]] + tech_5_3*TblTech[[#This Row],[5-3]] + tech_5_5*TblTech[[#This Row],[5-5]])*spec_op_plat,0)</f>
        <v>275</v>
      </c>
      <c r="BK18" s="94">
        <f ca="1">ROUNDUP(IF(race="Gnome",1,(1-MIN(TblMili[[#This Row],[Smithies]]*smithy_bonus,smithy_bonus_cap) + tech_3_5*TblTech[[#This Row],[3-5]] + tech_5_3*TblTech[[#This Row],[5-3]] + tech_5_5*TblTech[[#This Row],[5-5]]))*spec_op_ore,0)</f>
        <v>25</v>
      </c>
      <c r="BL18" s="94">
        <f ca="1">ROUNDUP((1-MIN(TblMili[[#This Row],[Smithies]]*smithy_bonus,smithy_bonus_cap) + tech_3_5*TblTech[[#This Row],[3-5]] + tech_5_3*TblTech[[#This Row],[5-3]] + tech_5_5*TblTech[[#This Row],[5-5]])*spec_dp_plat,0)</f>
        <v>275</v>
      </c>
      <c r="BM18" s="94">
        <f ca="1">ROUNDUP(IF(race="Gnome",1,(1-MIN(TblMili[[#This Row],[Smithies]]*smithy_bonus,smithy_bonus_cap) + tech_3_5*TblTech[[#This Row],[3-5]] + tech_5_3*TblTech[[#This Row],[5-3]] + tech_5_5*TblTech[[#This Row],[5-5]]))*spec_dp_ore,0)</f>
        <v>15</v>
      </c>
      <c r="BN18" s="94">
        <f ca="1">ROUNDUP((1-MIN(TblMili[[#This Row],[Smithies]]*smithy_bonus,smithy_bonus_cap) + tech_3_5*TblTech[[#This Row],[3-5]] + tech_5_3*TblTech[[#This Row],[5-3]] + tech_5_5*TblTech[[#This Row],[5-5]])*elite1_plat,0)</f>
        <v>1040</v>
      </c>
      <c r="BO18" s="94">
        <f ca="1">ROUNDUP(IF(race="Gnome",1,(1-MIN(TblMili[[#This Row],[Smithies]]*smithy_bonus,smithy_bonus_cap) + tech_3_5*TblTech[[#This Row],[3-5]] + tech_5_3*TblTech[[#This Row],[5-3]] + tech_5_5*TblTech[[#This Row],[5-5]]))*elite1_ore,0)</f>
        <v>75</v>
      </c>
      <c r="BP18" s="94">
        <f ca="1">ROUNDUP((1-MIN(TblMili[[#This Row],[Smithies]]*smithy_bonus,smithy_bonus_cap) + tech_3_5*TblTech[[#This Row],[3-5]] + tech_5_3*TblTech[[#This Row],[5-3]] + tech_5_5*TblTech[[#This Row],[5-5]])*elite2_plat,0)</f>
        <v>1280</v>
      </c>
      <c r="BQ18" s="94">
        <f ca="1">ROUNDUP(IF(race="Gnome",1,(1-MIN(TblMili[[#This Row],[Smithies]]*smithy_bonus,smithy_bonus_cap) + tech_3_5*TblTech[[#This Row],[3-5]] + tech_5_3*TblTech[[#This Row],[5-3]] + tech_5_5*TblTech[[#This Row],[5-5]]))*elite2_ore,0)</f>
        <v>100</v>
      </c>
      <c r="BR18" s="94">
        <f ca="1">ROUNDUP((1-MIN(ROUND(fh_spy_cost_red*TblMili[[#This Row],[FH''s]],4),fh_spy_cost_cap)+ tech_1_9*TblTech[[#This Row],[1-9]] + tech_9_1*TblTech[[#This Row],[9-1]])*spy_plat,0)</f>
        <v>500</v>
      </c>
      <c r="BS18" s="94">
        <f ca="1">ROUNDUP((1-MIN(ROUND(fh_spy_cost_red*TblMili[[#This Row],[FH''s]],4),fh_spy_cost_cap)+ tech_1_9*TblTech[[#This Row],[1-9]] + tech_9_1*TblTech[[#This Row],[9-1]])*archspy_plat,0)</f>
        <v>1000</v>
      </c>
      <c r="BT18" s="94">
        <f ca="1">ROUNDUP((1-MIN(ROUND(wg_wiz_cost_bonus*TblMili[[#This Row],[WG''s]],4),wg_wiz_cost_cap) + tech_1_9_2*TblTech[[#This Row],[1-9]] + tech_9_1_2*TblTech[[#This Row],[9-1]])*wizard_plat,0)</f>
        <v>500</v>
      </c>
      <c r="BU18" s="94">
        <f ca="1">ROUNDUP((1-MIN(ROUND(wg_wiz_cost_bonus*TblMili[[#This Row],[WG''s]],4),wg_wiz_cost_cap) + tech_1_9_2*TblTech[[#This Row],[1-9]] + tech_9_1_2*TblTech[[#This Row],[9-1]])*archmage_plat,0)</f>
        <v>1000</v>
      </c>
      <c r="BV18" s="142"/>
      <c r="BW18" s="157">
        <f ca="1">TblConstr[[#This Row],[Homeland]]/TblConstr[[#This Row],[Land]]</f>
        <v>0.81818181818181823</v>
      </c>
      <c r="BX18" s="157">
        <f ca="1">TblMili[[#This Row],[WG''s]]</f>
        <v>0</v>
      </c>
      <c r="BY18" s="251">
        <f ca="1">IF(mystic_cap="none",TblMili[[#This Row],[Homeland%]]/mystic_bonus,MIN(mystic_cap,TblMili[[#This Row],[Homeland%]]/mystic_bonus))</f>
        <v>2</v>
      </c>
      <c r="BZ18" s="251">
        <f ca="1">IF(druid_op_cap="none",TblMili[[#This Row],[Homeland%]]/druid_op_bonus,MIN(druid_op_cap,TblMili[[#This Row],[Homeland%]]/druid_op_bonus))</f>
        <v>2</v>
      </c>
      <c r="CA18" s="251">
        <f ca="1">IF(druid_dp_cap="none",TblMili[[#This Row],[Homeland%]]/druid_dp_bonus,MIN(druid_dp_cap,TblMili[[#This Row],[Homeland%]]/druid_dp_bonus))</f>
        <v>2</v>
      </c>
      <c r="CB18" s="251">
        <f ca="1">MIN(dryad_cap,TblMili[[#This Row],[Homeland%]]/dryad_bonus)</f>
        <v>4</v>
      </c>
      <c r="CC18" s="251">
        <f ca="1">MIN(rocka_cap,TblMili[[#This Row],[Homeland%]]/rocka_bonus)</f>
        <v>2</v>
      </c>
      <c r="CD18" s="251">
        <f ca="1">MIN(adept_op_cap,TblMili[[#This Row],[WG]]/adept_op_bonus)</f>
        <v>0</v>
      </c>
      <c r="CE18" s="251">
        <f ca="1">MIN(adept_dp_cap,TblMili[[#This Row],[WG]]/adept_dp_bonus)</f>
        <v>0</v>
      </c>
      <c r="CF18" s="94">
        <f ca="1">MIN(TblMili[[#This Row],[Unit 3]],TblMili[[#This Row],[Unit 2]])*2</f>
        <v>0</v>
      </c>
      <c r="CG18" s="94">
        <f ca="1">MIN(TblMili[[#This Row],[Unit 1]],TblMili[[#This Row],[Unit 4]])*2</f>
        <v>0</v>
      </c>
      <c r="CH18" s="251">
        <f ca="1">MIN(frost_mage_cap,TblMili[[#This Row],[Homeland%]]/frost_mage_bonus)</f>
        <v>3</v>
      </c>
      <c r="CI18" s="45">
        <f ca="1">MIN(ice_elem_cap,TblMili[[#This Row],[Raw (2)]]*ice_elem_bonus)</f>
        <v>0</v>
      </c>
      <c r="CJ18" s="251">
        <f t="shared" si="0"/>
        <v>0.83333333333333337</v>
      </c>
      <c r="CK18" s="251">
        <f ca="1">MIN(nox_nightshade_cap,TblConstr[[#This Row],[Homeland]]/TblConstr[[#This Row],[Land]]/nox_nightshade_swamp_bonus)</f>
        <v>4</v>
      </c>
      <c r="CL18" s="251">
        <f ca="1">MIN(TblConstr[[#This Row],[Total Swamp]]/TblConstr[[#This Row],[Land]]/abyss_enforce_bonus,abyss_enforcer_cap)</f>
        <v>0</v>
      </c>
      <c r="CM18" s="251">
        <f ca="1">IF(TblMagic[[#This Row],[Active Infernal Command]]&gt;0,TblMili[[#This Row],[Unit 1]]*infernal_cmd_op,0)</f>
        <v>0</v>
      </c>
      <c r="CN18" s="252" t="s">
        <v>520</v>
      </c>
      <c r="CO18" s="252">
        <f>VLOOKUP(Overview!$A24,Races!$D$4:$H$120,2,FALSE)</f>
        <v>2</v>
      </c>
      <c r="CP18" s="252"/>
      <c r="CQ18" s="251">
        <f ca="1">MIN(6,TblMili[[#This Row],[Mystic]]+Races!$F$19)*1.8 +  IF(TblMili[[#This Row],[Mystic]]+Races!$F$19&gt;6,(TblMili[[#This Row],[Mystic]]+Races!$F$19-6)*0.2,0) - Races!$I$19</f>
        <v>1</v>
      </c>
      <c r="CR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8" s="94">
        <f ca="1">TblMili[[#This Row],[Mystic bonus]]*TblMili[[#This Row],[Unit 3]]+TblMili[[#This Row],[Druid bonus]]*TblMili[[#This Row],[Unit 4]]</f>
        <v>0</v>
      </c>
      <c r="CT18" s="155">
        <f ca="1">MIN(6,TblMili[[#This Row],[Dryad]]+Races!$F$35)*1.8 +  IF(TblMili[[#This Row],[Dryad]]+Races!$F$35&gt;6,(TblMili[[#This Row],[Dryad]]+Races!$F$35-6)*0.2,0) - Races!$I$19</f>
        <v>1</v>
      </c>
      <c r="CU18" s="94">
        <f ca="1">sylvan*(TblMili[[#This Row],[Mystic bonus]]*TblMili[[#This Row],[Unit 3]])</f>
        <v>0</v>
      </c>
      <c r="CV18" s="155">
        <f ca="1">1.8 * MIN(MAX(Races!$E$27,TblMili[[#This Row],[Rockapult]]+Races!$F$27),6)  +  0.45 * MIN(MIN(Races!$E$27,TblMili[[#This Row],[Rockapult]]+Races!$F$27),6)  +  0.2 * ( MAX(Races!$E$27-6,0) + MAX(TblMili[[#This Row],[Rockapult]]+Races!$F$27-6,0) )  -  Races!$I$20</f>
        <v>3.7000000000000011</v>
      </c>
      <c r="CW18" s="94">
        <f ca="1">gnome*(TblMili[[#This Row],[Rockapult bonus]]*TblMili[[#This Row],[Unit 3]])</f>
        <v>0</v>
      </c>
      <c r="CX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8" s="94">
        <f ca="1">dark_elf*(TblMili[[#This Row],[Adept bonus]]*TblMili[[#This Row],[Unit 3]])</f>
        <v>0</v>
      </c>
      <c r="CZ18" s="155">
        <f ca="1">1.8 * MIN(MAX(TblMili[[#This Row],[Frost Mage]]+Races!$F$71,Races!$E$71),6)  +  0.45 * MIN(MIN(TblMili[[#This Row],[Frost Mage]]+Races!$F$71,Races!$E$71),6)  +  0.2 * ( MAX(TblMili[[#This Row],[Frost Mage]]+Races!$F$71-6,0) + MAX(Races!$E$71-6,0) )  -  Races!$I$71</f>
        <v>6.15</v>
      </c>
      <c r="DA18" s="155">
        <f ca="1">1.8 * MIN(MAX(TblMili[[#This Row],[Ice Elemental]]+Races!$E$71,Races!$F$71),6)  +  0.45 * MIN(MIN(TblMili[[#This Row],[Ice Elemental]]+Races!$E$71,Races!$F$71),6)  +  0.2 * ( MAX(TblMili[[#This Row],[Ice Elemental]]+Races!$E$71-6,0) + MAX(Races!$F$71-6,0) )  -  Races!$I$71</f>
        <v>0.75</v>
      </c>
      <c r="DB18" s="94">
        <f ca="1">TblMili[[#This Row],[Frost Mage bonus]]*TblMili[[#This Row],[Unit 3]]+TblMili[[#This Row],[Ice Elemental bonus]]*TblMili[[#This Row],[Unit 4]]</f>
        <v>0</v>
      </c>
      <c r="DC18" s="253"/>
      <c r="DD18" s="143">
        <f ca="1">MIN(SUM(TblConstr[[#This Row],[Plain]:[Water]])/TblMili[[#This Row],[Land]]/favorable_terrain_bonus/100,favorable_terrain_max)</f>
        <v>0.1</v>
      </c>
      <c r="DE18" s="253"/>
      <c r="DF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8" s="142"/>
      <c r="DH18" s="254">
        <f ca="1">(TblMili[[#This Row],[Wizards]]+2*TblMili[[#This Row],[Archmages]])/TblConstr[[#This Row],[Land]]</f>
        <v>0</v>
      </c>
      <c r="DI18" s="254">
        <f ca="1">TblMili[[#This Row],[Raw (2)]]*(1+race_wizard_strength+IF(TblMili[[#This Row],[Hour]]&gt;72,tech_magical_weaponry_wiz*TblTech[[#This Row],[3-5]],0))</f>
        <v>0</v>
      </c>
    </row>
    <row r="19" spans="1:113" hidden="1" x14ac:dyDescent="0.2">
      <c r="A19" s="137">
        <f>TblRezone[[#This Row],[Hour]]</f>
        <v>16</v>
      </c>
      <c r="B19" s="246">
        <f ca="1">SUM(TblMili[[#This Row],[Unit 1]:[Archmages]])+SUM(OFFSET(TblMili[[#This Row],[Train Unit 1]],-8,0):TblMili[[#This Row],[Train Unit 2]]) + SUM(OFFSET(TblMili[[#This Row],[Train Unit 3]],-11,0):TblMili[[#This Row],[Train AM]]) + TblMili[[#This Row],[Draftees]]</f>
        <v>231</v>
      </c>
      <c r="C19" s="157">
        <f ca="1">TblPop[[#This Row],[Military%]]</f>
        <v>0.27565632458233891</v>
      </c>
      <c r="D19" s="142"/>
      <c r="E19" s="45">
        <f ca="1">OFFSET(TblMili[[#This Row],[Unit 1]],-1,0) + OFFSET(TblMili[[#This Row],[Train Unit 1]],-9,0) - TblMili[[#This Row],[Release Unit 1]] + OFFSET(TblMili[[#This Row],[DnD_Zombies]],-12,0)</f>
        <v>0</v>
      </c>
      <c r="F19" s="45">
        <f ca="1">OFFSET(TblMili[[#This Row],[Unit 2]],-1,0) + OFFSET(TblMili[[#This Row],[Train Unit 2]],-9,0)-TblMili[[#This Row],[Release Unit 2]]</f>
        <v>0</v>
      </c>
      <c r="G19" s="45">
        <f ca="1">OFFSET(TblMili[[#This Row],[Unit 3]],-1,0) + OFFSET(TblMili[[#This Row],[Train Unit 3]],-12,0)-TblMili[[#This Row],[Release Unit 3]]</f>
        <v>0</v>
      </c>
      <c r="H19" s="45">
        <f ca="1">OFFSET(TblMili[[#This Row],[Unit 4]],-1,0) + OFFSET(TblMili[[#This Row],[Train Unit 4]],-12,0)-TblMili[[#This Row],[Release Unit 4]]</f>
        <v>0</v>
      </c>
      <c r="I19" s="45">
        <f ca="1">OFFSET(TblMili[[#This Row],[Spies]],-1,0) + OFFSET(TblMili[[#This Row],[Train Spies]],-12,0) - TblMili[[#This Row],[Release Spies]]-TblMili[[#This Row],[Train AS]]</f>
        <v>0</v>
      </c>
      <c r="J19" s="45">
        <f ca="1">OFFSET(TblMili[[#This Row],[Archspies]],-1,0) + OFFSET(TblMili[[#This Row],[Train AS]],-12,0) - TblMili[[#This Row],[Release AS]]</f>
        <v>0</v>
      </c>
      <c r="K19" s="45">
        <f ca="1">OFFSET(TblMili[[#This Row],[Wizards]],-1,0) + OFFSET(TblMili[[#This Row],[Train Wiz]],-12,0) - TblMili[[#This Row],[Release Wizards]]-TblMili[[#This Row],[Train AM]]</f>
        <v>0</v>
      </c>
      <c r="L19" s="45">
        <f ca="1">OFFSET(TblMili[[#This Row],[Archmages]],-1,0) + OFFSET(TblMili[[#This Row],[Train AM]],-12,0) - TblMili[[#This Row],[Release AM]]</f>
        <v>0</v>
      </c>
      <c r="M19" s="142"/>
      <c r="N19" s="94">
        <f ca="1">TblProd[[#This Row],[Networth]]</f>
        <v>2450</v>
      </c>
      <c r="O19" s="142"/>
      <c r="P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9" s="247">
        <f ca="1">TblMili[[#This Row],[Raw]]*(1+TblMili[[#This Row],[Mods_Off]])</f>
        <v>0</v>
      </c>
      <c r="S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9" s="247">
        <f ca="1">TblMili[[#This Row],[Non Draft]]+TblMili[[#This Row],[Draftees]]</f>
        <v>231</v>
      </c>
      <c r="U19" s="248">
        <f ca="1">race_defense + TblImps[[#This Row],[Walls]] + ROUND( MIN(gt_bonus*TblConstr[[#This Row],[Tot GT]]/TblConstr[[#This Row],[Land]],gt_bonus_cap), 4) + IF(TblMagic[[#This Row],[Active Howling]]&gt;0,howling_dp_bonus,IF(TblMagic[[#This Row],[Active Ares Call]]&gt;0,ares_call_bonus))</f>
        <v>0</v>
      </c>
      <c r="V19" s="249">
        <f ca="1">TblMili[[#This Row],[Non Draft]] * (1 + TblMili[[#This Row],[Mods_Def]])</f>
        <v>0</v>
      </c>
      <c r="W19" s="247">
        <f ca="1">TblMili[[#This Row],[Draft]] * (1 + TblMili[[#This Row],[Mods_Def]])</f>
        <v>231</v>
      </c>
      <c r="X19" s="247">
        <f ca="1">TblConstr[[#This Row],[Land]]</f>
        <v>110</v>
      </c>
      <c r="Y19" s="156"/>
      <c r="Z19" s="255">
        <f ca="1">IF(TblMili[[#This Row],[Set]]&lt;&gt;"",TblMili[[#This Row],[Set]],OFFSET(TblMili[[#This Row],[Draftrate]],-1,0))</f>
        <v>0.9</v>
      </c>
      <c r="AA19" s="94">
        <f ca="1">OFFSET(TblMili[[#This Row],[Draftees]],-1,0)+OFFSET(TblPop[[#This Row],[Draft Growth]],-1,0) - SUM(TblMili[[#This Row],[Train Unit 1]:[Train Spies]],TblMili[[#This Row],[Train Wiz]],TblMili[[#This Row],[DnD_Zombies]]) - TblMili[[#This Row],[Release Draft]] + SUM(TblMili[[#This Row],[Release Unit 1]:[Release AM]]) - TblExplore[[#This Row],[Draftees (2)]]</f>
        <v>231</v>
      </c>
      <c r="AB19" s="154"/>
      <c r="AC19" s="180">
        <f ca="1">(TblConstr[[#This Row],[Tot Smi]]+TblConstr[[#This Row],[Dest Smi]])/(TblConstr[[#This Row],[Land]]-TblExplore[[#This Row],[Land Bonus]]*20)</f>
        <v>0</v>
      </c>
      <c r="AD19" s="137"/>
      <c r="AE19" s="246">
        <f>TblMili[[#This Row],[Hour]]</f>
        <v>16</v>
      </c>
      <c r="AF19" s="138">
        <f ca="1">TblExplore[[#This Row],[Time]]</f>
        <v>46047.624999999964</v>
      </c>
      <c r="AO19" s="420">
        <f ca="1">ROUND(IF(AND(TblMagic[[#This Row],[Active DnD]]&lt;12,TblMagic[[#This Row],[Active DnD]]&gt;5),OFFSET(TblPop[[#This Row],[Draft Growth]],-1,0)*0.375,0),0)</f>
        <v>0</v>
      </c>
      <c r="AP19" s="142"/>
      <c r="AQ19" s="94">
        <f ca="1">TblProd[[#This Row],[Platinum]]</f>
        <v>71604</v>
      </c>
      <c r="AR19" s="94">
        <f ca="1">INDEX(TblProd[[#Headers],[Lumber]]:TblProd[[#This Row],[Ore]],COUNTA(TblProd[[#Headers],[Lumber]]:TblProd[[#This Row],[Lumber]]),MATCH(Military!$AR$2,TblProd[[#Headers],[Lumber]:[Ore]],0))</f>
        <v>0</v>
      </c>
      <c r="AS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9" s="94">
        <f ca="1">TblMili[[#This Row],[Train Unit 1]]*TblMili[[#This Row],[OP Ore]]+TblMili[[#This Row],[Train Unit 2]]*TblMili[[#This Row],[DP Ore]]+TblMili[[#This Row],[Train Unit 3]]*TblMili[[#This Row],[E1 Ore]]+TblMili[[#This Row],[Train Unit 4]]*TblMili[[#This Row],[E2 Ore]]</f>
        <v>0</v>
      </c>
      <c r="AU19" s="142">
        <f>TblMili[[#This Row],[Hour]]</f>
        <v>16</v>
      </c>
      <c r="AV19" s="152">
        <f ca="1">TblMili[[#This Row],[Time]]</f>
        <v>46047.624999999964</v>
      </c>
      <c r="AW19" s="94">
        <f ca="1">TblMili[[#This Row],[Draftees]]</f>
        <v>231</v>
      </c>
      <c r="BG19" s="142"/>
      <c r="BH19" s="157">
        <f ca="1">TblConstr[[#This Row],[Tot WG]]/TblConstr[[#This Row],[Land]]</f>
        <v>0</v>
      </c>
      <c r="BI19" s="157">
        <f ca="1">TblConstr[[#This Row],[Tot Hav]]/TblConstr[[#This Row],[Land]]</f>
        <v>0</v>
      </c>
      <c r="BJ19" s="94">
        <f ca="1">ROUNDUP((1-MIN(TblMili[[#This Row],[Smithies]]*smithy_bonus,smithy_bonus_cap) + tech_3_5*TblTech[[#This Row],[3-5]] + tech_5_3*TblTech[[#This Row],[5-3]] + tech_5_5*TblTech[[#This Row],[5-5]])*spec_op_plat,0)</f>
        <v>275</v>
      </c>
      <c r="BK19" s="94">
        <f ca="1">ROUNDUP(IF(race="Gnome",1,(1-MIN(TblMili[[#This Row],[Smithies]]*smithy_bonus,smithy_bonus_cap) + tech_3_5*TblTech[[#This Row],[3-5]] + tech_5_3*TblTech[[#This Row],[5-3]] + tech_5_5*TblTech[[#This Row],[5-5]]))*spec_op_ore,0)</f>
        <v>25</v>
      </c>
      <c r="BL19" s="94">
        <f ca="1">ROUNDUP((1-MIN(TblMili[[#This Row],[Smithies]]*smithy_bonus,smithy_bonus_cap) + tech_3_5*TblTech[[#This Row],[3-5]] + tech_5_3*TblTech[[#This Row],[5-3]] + tech_5_5*TblTech[[#This Row],[5-5]])*spec_dp_plat,0)</f>
        <v>275</v>
      </c>
      <c r="BM19" s="94">
        <f ca="1">ROUNDUP(IF(race="Gnome",1,(1-MIN(TblMili[[#This Row],[Smithies]]*smithy_bonus,smithy_bonus_cap) + tech_3_5*TblTech[[#This Row],[3-5]] + tech_5_3*TblTech[[#This Row],[5-3]] + tech_5_5*TblTech[[#This Row],[5-5]]))*spec_dp_ore,0)</f>
        <v>15</v>
      </c>
      <c r="BN19" s="94">
        <f ca="1">ROUNDUP((1-MIN(TblMili[[#This Row],[Smithies]]*smithy_bonus,smithy_bonus_cap) + tech_3_5*TblTech[[#This Row],[3-5]] + tech_5_3*TblTech[[#This Row],[5-3]] + tech_5_5*TblTech[[#This Row],[5-5]])*elite1_plat,0)</f>
        <v>1040</v>
      </c>
      <c r="BO19" s="94">
        <f ca="1">ROUNDUP(IF(race="Gnome",1,(1-MIN(TblMili[[#This Row],[Smithies]]*smithy_bonus,smithy_bonus_cap) + tech_3_5*TblTech[[#This Row],[3-5]] + tech_5_3*TblTech[[#This Row],[5-3]] + tech_5_5*TblTech[[#This Row],[5-5]]))*elite1_ore,0)</f>
        <v>75</v>
      </c>
      <c r="BP19" s="94">
        <f ca="1">ROUNDUP((1-MIN(TblMili[[#This Row],[Smithies]]*smithy_bonus,smithy_bonus_cap) + tech_3_5*TblTech[[#This Row],[3-5]] + tech_5_3*TblTech[[#This Row],[5-3]] + tech_5_5*TblTech[[#This Row],[5-5]])*elite2_plat,0)</f>
        <v>1280</v>
      </c>
      <c r="BQ19" s="94">
        <f ca="1">ROUNDUP(IF(race="Gnome",1,(1-MIN(TblMili[[#This Row],[Smithies]]*smithy_bonus,smithy_bonus_cap) + tech_3_5*TblTech[[#This Row],[3-5]] + tech_5_3*TblTech[[#This Row],[5-3]] + tech_5_5*TblTech[[#This Row],[5-5]]))*elite2_ore,0)</f>
        <v>100</v>
      </c>
      <c r="BR19" s="94">
        <f ca="1">ROUNDUP((1-MIN(ROUND(fh_spy_cost_red*TblMili[[#This Row],[FH''s]],4),fh_spy_cost_cap)+ tech_1_9*TblTech[[#This Row],[1-9]] + tech_9_1*TblTech[[#This Row],[9-1]])*spy_plat,0)</f>
        <v>500</v>
      </c>
      <c r="BS19" s="94">
        <f ca="1">ROUNDUP((1-MIN(ROUND(fh_spy_cost_red*TblMili[[#This Row],[FH''s]],4),fh_spy_cost_cap)+ tech_1_9*TblTech[[#This Row],[1-9]] + tech_9_1*TblTech[[#This Row],[9-1]])*archspy_plat,0)</f>
        <v>1000</v>
      </c>
      <c r="BT19" s="94">
        <f ca="1">ROUNDUP((1-MIN(ROUND(wg_wiz_cost_bonus*TblMili[[#This Row],[WG''s]],4),wg_wiz_cost_cap) + tech_1_9_2*TblTech[[#This Row],[1-9]] + tech_9_1_2*TblTech[[#This Row],[9-1]])*wizard_plat,0)</f>
        <v>500</v>
      </c>
      <c r="BU19" s="94">
        <f ca="1">ROUNDUP((1-MIN(ROUND(wg_wiz_cost_bonus*TblMili[[#This Row],[WG''s]],4),wg_wiz_cost_cap) + tech_1_9_2*TblTech[[#This Row],[1-9]] + tech_9_1_2*TblTech[[#This Row],[9-1]])*archmage_plat,0)</f>
        <v>1000</v>
      </c>
      <c r="BV19" s="142"/>
      <c r="BW19" s="157">
        <f ca="1">TblConstr[[#This Row],[Homeland]]/TblConstr[[#This Row],[Land]]</f>
        <v>0.81818181818181823</v>
      </c>
      <c r="BX19" s="157">
        <f ca="1">TblMili[[#This Row],[WG''s]]</f>
        <v>0</v>
      </c>
      <c r="BY19" s="251">
        <f ca="1">IF(mystic_cap="none",TblMili[[#This Row],[Homeland%]]/mystic_bonus,MIN(mystic_cap,TblMili[[#This Row],[Homeland%]]/mystic_bonus))</f>
        <v>2</v>
      </c>
      <c r="BZ19" s="251">
        <f ca="1">IF(druid_op_cap="none",TblMili[[#This Row],[Homeland%]]/druid_op_bonus,MIN(druid_op_cap,TblMili[[#This Row],[Homeland%]]/druid_op_bonus))</f>
        <v>2</v>
      </c>
      <c r="CA19" s="251">
        <f ca="1">IF(druid_dp_cap="none",TblMili[[#This Row],[Homeland%]]/druid_dp_bonus,MIN(druid_dp_cap,TblMili[[#This Row],[Homeland%]]/druid_dp_bonus))</f>
        <v>2</v>
      </c>
      <c r="CB19" s="251">
        <f ca="1">MIN(dryad_cap,TblMili[[#This Row],[Homeland%]]/dryad_bonus)</f>
        <v>4</v>
      </c>
      <c r="CC19" s="251">
        <f ca="1">MIN(rocka_cap,TblMili[[#This Row],[Homeland%]]/rocka_bonus)</f>
        <v>2</v>
      </c>
      <c r="CD19" s="251">
        <f ca="1">MIN(adept_op_cap,TblMili[[#This Row],[WG]]/adept_op_bonus)</f>
        <v>0</v>
      </c>
      <c r="CE19" s="251">
        <f ca="1">MIN(adept_dp_cap,TblMili[[#This Row],[WG]]/adept_dp_bonus)</f>
        <v>0</v>
      </c>
      <c r="CF19" s="94">
        <f ca="1">MIN(TblMili[[#This Row],[Unit 3]],TblMili[[#This Row],[Unit 2]])*2</f>
        <v>0</v>
      </c>
      <c r="CG19" s="94">
        <f ca="1">MIN(TblMili[[#This Row],[Unit 1]],TblMili[[#This Row],[Unit 4]])*2</f>
        <v>0</v>
      </c>
      <c r="CH19" s="251">
        <f ca="1">MIN(frost_mage_cap,TblMili[[#This Row],[Homeland%]]/frost_mage_bonus)</f>
        <v>3</v>
      </c>
      <c r="CI19" s="45">
        <f ca="1">MIN(ice_elem_cap,TblMili[[#This Row],[Raw (2)]]*ice_elem_bonus)</f>
        <v>0</v>
      </c>
      <c r="CJ19" s="251">
        <f t="shared" si="0"/>
        <v>0.83333333333333337</v>
      </c>
      <c r="CK19" s="251">
        <f ca="1">MIN(nox_nightshade_cap,TblConstr[[#This Row],[Homeland]]/TblConstr[[#This Row],[Land]]/nox_nightshade_swamp_bonus)</f>
        <v>4</v>
      </c>
      <c r="CL19" s="251">
        <f ca="1">MIN(TblConstr[[#This Row],[Total Swamp]]/TblConstr[[#This Row],[Land]]/abyss_enforce_bonus,abyss_enforcer_cap)</f>
        <v>0</v>
      </c>
      <c r="CM19" s="251">
        <f ca="1">IF(TblMagic[[#This Row],[Active Infernal Command]]&gt;0,TblMili[[#This Row],[Unit 1]]*infernal_cmd_op,0)</f>
        <v>0</v>
      </c>
      <c r="CN19" s="252" t="s">
        <v>521</v>
      </c>
      <c r="CO19" s="252">
        <f>VLOOKUP(Overview!$A24,Races!$D$4:$H$120,3,FALSE)</f>
        <v>6</v>
      </c>
      <c r="CP19" s="252"/>
      <c r="CQ19" s="251">
        <f ca="1">MIN(6,TblMili[[#This Row],[Mystic]]+Races!$F$19)*1.8 +  IF(TblMili[[#This Row],[Mystic]]+Races!$F$19&gt;6,(TblMili[[#This Row],[Mystic]]+Races!$F$19-6)*0.2,0) - Races!$I$19</f>
        <v>1</v>
      </c>
      <c r="CR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9" s="94">
        <f ca="1">TblMili[[#This Row],[Mystic bonus]]*TblMili[[#This Row],[Unit 3]]+TblMili[[#This Row],[Druid bonus]]*TblMili[[#This Row],[Unit 4]]</f>
        <v>0</v>
      </c>
      <c r="CT19" s="155">
        <f ca="1">MIN(6,TblMili[[#This Row],[Dryad]]+Races!$F$35)*1.8 +  IF(TblMili[[#This Row],[Dryad]]+Races!$F$35&gt;6,(TblMili[[#This Row],[Dryad]]+Races!$F$35-6)*0.2,0) - Races!$I$19</f>
        <v>1</v>
      </c>
      <c r="CU19" s="94">
        <f ca="1">sylvan*(TblMili[[#This Row],[Mystic bonus]]*TblMili[[#This Row],[Unit 3]])</f>
        <v>0</v>
      </c>
      <c r="CV19" s="155">
        <f ca="1">1.8 * MIN(MAX(Races!$E$27,TblMili[[#This Row],[Rockapult]]+Races!$F$27),6)  +  0.45 * MIN(MIN(Races!$E$27,TblMili[[#This Row],[Rockapult]]+Races!$F$27),6)  +  0.2 * ( MAX(Races!$E$27-6,0) + MAX(TblMili[[#This Row],[Rockapult]]+Races!$F$27-6,0) )  -  Races!$I$20</f>
        <v>3.7000000000000011</v>
      </c>
      <c r="CW19" s="94">
        <f ca="1">gnome*(TblMili[[#This Row],[Rockapult bonus]]*TblMili[[#This Row],[Unit 3]])</f>
        <v>0</v>
      </c>
      <c r="CX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9" s="94">
        <f ca="1">dark_elf*(TblMili[[#This Row],[Adept bonus]]*TblMili[[#This Row],[Unit 3]])</f>
        <v>0</v>
      </c>
      <c r="CZ19" s="155">
        <f ca="1">1.8 * MIN(MAX(TblMili[[#This Row],[Frost Mage]]+Races!$F$71,Races!$E$71),6)  +  0.45 * MIN(MIN(TblMili[[#This Row],[Frost Mage]]+Races!$F$71,Races!$E$71),6)  +  0.2 * ( MAX(TblMili[[#This Row],[Frost Mage]]+Races!$F$71-6,0) + MAX(Races!$E$71-6,0) )  -  Races!$I$71</f>
        <v>6.15</v>
      </c>
      <c r="DA19" s="155">
        <f ca="1">1.8 * MIN(MAX(TblMili[[#This Row],[Ice Elemental]]+Races!$E$71,Races!$F$71),6)  +  0.45 * MIN(MIN(TblMili[[#This Row],[Ice Elemental]]+Races!$E$71,Races!$F$71),6)  +  0.2 * ( MAX(TblMili[[#This Row],[Ice Elemental]]+Races!$E$71-6,0) + MAX(Races!$F$71-6,0) )  -  Races!$I$71</f>
        <v>0.75</v>
      </c>
      <c r="DB19" s="94">
        <f ca="1">TblMili[[#This Row],[Frost Mage bonus]]*TblMili[[#This Row],[Unit 3]]+TblMili[[#This Row],[Ice Elemental bonus]]*TblMili[[#This Row],[Unit 4]]</f>
        <v>0</v>
      </c>
      <c r="DC19" s="253"/>
      <c r="DD19" s="143">
        <f ca="1">MIN(SUM(TblConstr[[#This Row],[Plain]:[Water]])/TblMili[[#This Row],[Land]]/favorable_terrain_bonus/100,favorable_terrain_max)</f>
        <v>0.1</v>
      </c>
      <c r="DE19" s="253"/>
      <c r="DF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9" s="142"/>
      <c r="DH19" s="254">
        <f ca="1">(TblMili[[#This Row],[Wizards]]+2*TblMili[[#This Row],[Archmages]])/TblConstr[[#This Row],[Land]]</f>
        <v>0</v>
      </c>
      <c r="DI19" s="254">
        <f ca="1">TblMili[[#This Row],[Raw (2)]]*(1+race_wizard_strength+IF(TblMili[[#This Row],[Hour]]&gt;72,tech_magical_weaponry_wiz*TblTech[[#This Row],[3-5]],0))</f>
        <v>0</v>
      </c>
    </row>
    <row r="20" spans="1:113" hidden="1" x14ac:dyDescent="0.2">
      <c r="A20" s="137">
        <f>TblRezone[[#This Row],[Hour]]</f>
        <v>17</v>
      </c>
      <c r="B20" s="246">
        <f ca="1">SUM(TblMili[[#This Row],[Unit 1]:[Archmages]])+SUM(OFFSET(TblMili[[#This Row],[Train Unit 1]],-8,0):TblMili[[#This Row],[Train Unit 2]]) + SUM(OFFSET(TblMili[[#This Row],[Train Unit 3]],-11,0):TblMili[[#This Row],[Train AM]]) + TblMili[[#This Row],[Draftees]]</f>
        <v>237</v>
      </c>
      <c r="C20" s="157">
        <f ca="1">TblPop[[#This Row],[Military%]]</f>
        <v>0.27686915887850466</v>
      </c>
      <c r="D20" s="142"/>
      <c r="E20" s="45">
        <f ca="1">OFFSET(TblMili[[#This Row],[Unit 1]],-1,0) + OFFSET(TblMili[[#This Row],[Train Unit 1]],-9,0) - TblMili[[#This Row],[Release Unit 1]] + OFFSET(TblMili[[#This Row],[DnD_Zombies]],-12,0)</f>
        <v>0</v>
      </c>
      <c r="F20" s="45">
        <f ca="1">OFFSET(TblMili[[#This Row],[Unit 2]],-1,0) + OFFSET(TblMili[[#This Row],[Train Unit 2]],-9,0)-TblMili[[#This Row],[Release Unit 2]]</f>
        <v>0</v>
      </c>
      <c r="G20" s="45">
        <f ca="1">OFFSET(TblMili[[#This Row],[Unit 3]],-1,0) + OFFSET(TblMili[[#This Row],[Train Unit 3]],-12,0)-TblMili[[#This Row],[Release Unit 3]]</f>
        <v>0</v>
      </c>
      <c r="H20" s="45">
        <f ca="1">OFFSET(TblMili[[#This Row],[Unit 4]],-1,0) + OFFSET(TblMili[[#This Row],[Train Unit 4]],-12,0)-TblMili[[#This Row],[Release Unit 4]]</f>
        <v>0</v>
      </c>
      <c r="I20" s="45">
        <f ca="1">OFFSET(TblMili[[#This Row],[Spies]],-1,0) + OFFSET(TblMili[[#This Row],[Train Spies]],-12,0) - TblMili[[#This Row],[Release Spies]]-TblMili[[#This Row],[Train AS]]</f>
        <v>0</v>
      </c>
      <c r="J20" s="45">
        <f ca="1">OFFSET(TblMili[[#This Row],[Archspies]],-1,0) + OFFSET(TblMili[[#This Row],[Train AS]],-12,0) - TblMili[[#This Row],[Release AS]]</f>
        <v>0</v>
      </c>
      <c r="K20" s="45">
        <f ca="1">OFFSET(TblMili[[#This Row],[Wizards]],-1,0) + OFFSET(TblMili[[#This Row],[Train Wiz]],-12,0) - TblMili[[#This Row],[Release Wizards]]-TblMili[[#This Row],[Train AM]]</f>
        <v>0</v>
      </c>
      <c r="L20" s="45">
        <f ca="1">OFFSET(TblMili[[#This Row],[Archmages]],-1,0) + OFFSET(TblMili[[#This Row],[Train AM]],-12,0) - TblMili[[#This Row],[Release AM]]</f>
        <v>0</v>
      </c>
      <c r="M20" s="142"/>
      <c r="N20" s="94">
        <f ca="1">TblProd[[#This Row],[Networth]]</f>
        <v>2450</v>
      </c>
      <c r="O20" s="142"/>
      <c r="P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0" s="247">
        <f ca="1">TblMili[[#This Row],[Raw]]*(1+TblMili[[#This Row],[Mods_Off]])</f>
        <v>0</v>
      </c>
      <c r="S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0" s="247">
        <f ca="1">TblMili[[#This Row],[Non Draft]]+TblMili[[#This Row],[Draftees]]</f>
        <v>237</v>
      </c>
      <c r="U20" s="248">
        <f ca="1">race_defense + TblImps[[#This Row],[Walls]] + ROUND( MIN(gt_bonus*TblConstr[[#This Row],[Tot GT]]/TblConstr[[#This Row],[Land]],gt_bonus_cap), 4) + IF(TblMagic[[#This Row],[Active Howling]]&gt;0,howling_dp_bonus,IF(TblMagic[[#This Row],[Active Ares Call]]&gt;0,ares_call_bonus))</f>
        <v>0</v>
      </c>
      <c r="V20" s="249">
        <f ca="1">TblMili[[#This Row],[Non Draft]] * (1 + TblMili[[#This Row],[Mods_Def]])</f>
        <v>0</v>
      </c>
      <c r="W20" s="247">
        <f ca="1">TblMili[[#This Row],[Draft]] * (1 + TblMili[[#This Row],[Mods_Def]])</f>
        <v>237</v>
      </c>
      <c r="X20" s="247">
        <f ca="1">TblConstr[[#This Row],[Land]]</f>
        <v>110</v>
      </c>
      <c r="Y20" s="156"/>
      <c r="Z20" s="255">
        <f ca="1">IF(TblMili[[#This Row],[Set]]&lt;&gt;"",TblMili[[#This Row],[Set]],OFFSET(TblMili[[#This Row],[Draftrate]],-1,0))</f>
        <v>0.9</v>
      </c>
      <c r="AA20" s="94">
        <f ca="1">OFFSET(TblMili[[#This Row],[Draftees]],-1,0)+OFFSET(TblPop[[#This Row],[Draft Growth]],-1,0) - SUM(TblMili[[#This Row],[Train Unit 1]:[Train Spies]],TblMili[[#This Row],[Train Wiz]],TblMili[[#This Row],[DnD_Zombies]]) - TblMili[[#This Row],[Release Draft]] + SUM(TblMili[[#This Row],[Release Unit 1]:[Release AM]]) - TblExplore[[#This Row],[Draftees (2)]]</f>
        <v>237</v>
      </c>
      <c r="AB20" s="154"/>
      <c r="AC20" s="180">
        <f ca="1">(TblConstr[[#This Row],[Tot Smi]]+TblConstr[[#This Row],[Dest Smi]])/(TblConstr[[#This Row],[Land]]-TblExplore[[#This Row],[Land Bonus]]*20)</f>
        <v>0</v>
      </c>
      <c r="AD20" s="137"/>
      <c r="AE20" s="246">
        <f>TblMili[[#This Row],[Hour]]</f>
        <v>17</v>
      </c>
      <c r="AF20" s="138">
        <f ca="1">TblExplore[[#This Row],[Time]]</f>
        <v>46047.666666666628</v>
      </c>
      <c r="AO20" s="420">
        <f ca="1">ROUND(IF(AND(TblMagic[[#This Row],[Active DnD]]&lt;12,TblMagic[[#This Row],[Active DnD]]&gt;5),OFFSET(TblPop[[#This Row],[Draft Growth]],-1,0)*0.375,0),0)</f>
        <v>0</v>
      </c>
      <c r="AP20" s="142"/>
      <c r="AQ20" s="94">
        <f ca="1">TblProd[[#This Row],[Platinum]]</f>
        <v>73242</v>
      </c>
      <c r="AR20" s="94">
        <f ca="1">INDEX(TblProd[[#Headers],[Lumber]]:TblProd[[#This Row],[Ore]],COUNTA(TblProd[[#Headers],[Lumber]]:TblProd[[#This Row],[Lumber]]),MATCH(Military!$AR$2,TblProd[[#Headers],[Lumber]:[Ore]],0))</f>
        <v>0</v>
      </c>
      <c r="AS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0" s="94">
        <f ca="1">TblMili[[#This Row],[Train Unit 1]]*TblMili[[#This Row],[OP Ore]]+TblMili[[#This Row],[Train Unit 2]]*TblMili[[#This Row],[DP Ore]]+TblMili[[#This Row],[Train Unit 3]]*TblMili[[#This Row],[E1 Ore]]+TblMili[[#This Row],[Train Unit 4]]*TblMili[[#This Row],[E2 Ore]]</f>
        <v>0</v>
      </c>
      <c r="AU20" s="142">
        <f>TblMili[[#This Row],[Hour]]</f>
        <v>17</v>
      </c>
      <c r="AV20" s="152">
        <f ca="1">TblMili[[#This Row],[Time]]</f>
        <v>46047.666666666628</v>
      </c>
      <c r="AW20" s="94">
        <f ca="1">TblMili[[#This Row],[Draftees]]</f>
        <v>237</v>
      </c>
      <c r="BG20" s="142"/>
      <c r="BH20" s="157">
        <f ca="1">TblConstr[[#This Row],[Tot WG]]/TblConstr[[#This Row],[Land]]</f>
        <v>0</v>
      </c>
      <c r="BI20" s="157">
        <f ca="1">TblConstr[[#This Row],[Tot Hav]]/TblConstr[[#This Row],[Land]]</f>
        <v>0</v>
      </c>
      <c r="BJ20" s="94">
        <f ca="1">ROUNDUP((1-MIN(TblMili[[#This Row],[Smithies]]*smithy_bonus,smithy_bonus_cap) + tech_3_5*TblTech[[#This Row],[3-5]] + tech_5_3*TblTech[[#This Row],[5-3]] + tech_5_5*TblTech[[#This Row],[5-5]])*spec_op_plat,0)</f>
        <v>275</v>
      </c>
      <c r="BK20" s="94">
        <f ca="1">ROUNDUP(IF(race="Gnome",1,(1-MIN(TblMili[[#This Row],[Smithies]]*smithy_bonus,smithy_bonus_cap) + tech_3_5*TblTech[[#This Row],[3-5]] + tech_5_3*TblTech[[#This Row],[5-3]] + tech_5_5*TblTech[[#This Row],[5-5]]))*spec_op_ore,0)</f>
        <v>25</v>
      </c>
      <c r="BL20" s="94">
        <f ca="1">ROUNDUP((1-MIN(TblMili[[#This Row],[Smithies]]*smithy_bonus,smithy_bonus_cap) + tech_3_5*TblTech[[#This Row],[3-5]] + tech_5_3*TblTech[[#This Row],[5-3]] + tech_5_5*TblTech[[#This Row],[5-5]])*spec_dp_plat,0)</f>
        <v>275</v>
      </c>
      <c r="BM20" s="94">
        <f ca="1">ROUNDUP(IF(race="Gnome",1,(1-MIN(TblMili[[#This Row],[Smithies]]*smithy_bonus,smithy_bonus_cap) + tech_3_5*TblTech[[#This Row],[3-5]] + tech_5_3*TblTech[[#This Row],[5-3]] + tech_5_5*TblTech[[#This Row],[5-5]]))*spec_dp_ore,0)</f>
        <v>15</v>
      </c>
      <c r="BN20" s="94">
        <f ca="1">ROUNDUP((1-MIN(TblMili[[#This Row],[Smithies]]*smithy_bonus,smithy_bonus_cap) + tech_3_5*TblTech[[#This Row],[3-5]] + tech_5_3*TblTech[[#This Row],[5-3]] + tech_5_5*TblTech[[#This Row],[5-5]])*elite1_plat,0)</f>
        <v>1040</v>
      </c>
      <c r="BO20" s="94">
        <f ca="1">ROUNDUP(IF(race="Gnome",1,(1-MIN(TblMili[[#This Row],[Smithies]]*smithy_bonus,smithy_bonus_cap) + tech_3_5*TblTech[[#This Row],[3-5]] + tech_5_3*TblTech[[#This Row],[5-3]] + tech_5_5*TblTech[[#This Row],[5-5]]))*elite1_ore,0)</f>
        <v>75</v>
      </c>
      <c r="BP20" s="94">
        <f ca="1">ROUNDUP((1-MIN(TblMili[[#This Row],[Smithies]]*smithy_bonus,smithy_bonus_cap) + tech_3_5*TblTech[[#This Row],[3-5]] + tech_5_3*TblTech[[#This Row],[5-3]] + tech_5_5*TblTech[[#This Row],[5-5]])*elite2_plat,0)</f>
        <v>1280</v>
      </c>
      <c r="BQ20" s="94">
        <f ca="1">ROUNDUP(IF(race="Gnome",1,(1-MIN(TblMili[[#This Row],[Smithies]]*smithy_bonus,smithy_bonus_cap) + tech_3_5*TblTech[[#This Row],[3-5]] + tech_5_3*TblTech[[#This Row],[5-3]] + tech_5_5*TblTech[[#This Row],[5-5]]))*elite2_ore,0)</f>
        <v>100</v>
      </c>
      <c r="BR20" s="94">
        <f ca="1">ROUNDUP((1-MIN(ROUND(fh_spy_cost_red*TblMili[[#This Row],[FH''s]],4),fh_spy_cost_cap)+ tech_1_9*TblTech[[#This Row],[1-9]] + tech_9_1*TblTech[[#This Row],[9-1]])*spy_plat,0)</f>
        <v>500</v>
      </c>
      <c r="BS20" s="94">
        <f ca="1">ROUNDUP((1-MIN(ROUND(fh_spy_cost_red*TblMili[[#This Row],[FH''s]],4),fh_spy_cost_cap)+ tech_1_9*TblTech[[#This Row],[1-9]] + tech_9_1*TblTech[[#This Row],[9-1]])*archspy_plat,0)</f>
        <v>1000</v>
      </c>
      <c r="BT20" s="94">
        <f ca="1">ROUNDUP((1-MIN(ROUND(wg_wiz_cost_bonus*TblMili[[#This Row],[WG''s]],4),wg_wiz_cost_cap) + tech_1_9_2*TblTech[[#This Row],[1-9]] + tech_9_1_2*TblTech[[#This Row],[9-1]])*wizard_plat,0)</f>
        <v>500</v>
      </c>
      <c r="BU20" s="94">
        <f ca="1">ROUNDUP((1-MIN(ROUND(wg_wiz_cost_bonus*TblMili[[#This Row],[WG''s]],4),wg_wiz_cost_cap) + tech_1_9_2*TblTech[[#This Row],[1-9]] + tech_9_1_2*TblTech[[#This Row],[9-1]])*archmage_plat,0)</f>
        <v>1000</v>
      </c>
      <c r="BV20" s="142"/>
      <c r="BW20" s="157">
        <f ca="1">TblConstr[[#This Row],[Homeland]]/TblConstr[[#This Row],[Land]]</f>
        <v>0.81818181818181823</v>
      </c>
      <c r="BX20" s="157">
        <f ca="1">TblMili[[#This Row],[WG''s]]</f>
        <v>0</v>
      </c>
      <c r="BY20" s="251">
        <f ca="1">IF(mystic_cap="none",TblMili[[#This Row],[Homeland%]]/mystic_bonus,MIN(mystic_cap,TblMili[[#This Row],[Homeland%]]/mystic_bonus))</f>
        <v>2</v>
      </c>
      <c r="BZ20" s="251">
        <f ca="1">IF(druid_op_cap="none",TblMili[[#This Row],[Homeland%]]/druid_op_bonus,MIN(druid_op_cap,TblMili[[#This Row],[Homeland%]]/druid_op_bonus))</f>
        <v>2</v>
      </c>
      <c r="CA20" s="251">
        <f ca="1">IF(druid_dp_cap="none",TblMili[[#This Row],[Homeland%]]/druid_dp_bonus,MIN(druid_dp_cap,TblMili[[#This Row],[Homeland%]]/druid_dp_bonus))</f>
        <v>2</v>
      </c>
      <c r="CB20" s="251">
        <f ca="1">MIN(dryad_cap,TblMili[[#This Row],[Homeland%]]/dryad_bonus)</f>
        <v>4</v>
      </c>
      <c r="CC20" s="251">
        <f ca="1">MIN(rocka_cap,TblMili[[#This Row],[Homeland%]]/rocka_bonus)</f>
        <v>2</v>
      </c>
      <c r="CD20" s="251">
        <f ca="1">MIN(adept_op_cap,TblMili[[#This Row],[WG]]/adept_op_bonus)</f>
        <v>0</v>
      </c>
      <c r="CE20" s="251">
        <f ca="1">MIN(adept_dp_cap,TblMili[[#This Row],[WG]]/adept_dp_bonus)</f>
        <v>0</v>
      </c>
      <c r="CF20" s="94">
        <f ca="1">MIN(TblMili[[#This Row],[Unit 3]],TblMili[[#This Row],[Unit 2]])*2</f>
        <v>0</v>
      </c>
      <c r="CG20" s="94">
        <f ca="1">MIN(TblMili[[#This Row],[Unit 1]],TblMili[[#This Row],[Unit 4]])*2</f>
        <v>0</v>
      </c>
      <c r="CH20" s="251">
        <f ca="1">MIN(frost_mage_cap,TblMili[[#This Row],[Homeland%]]/frost_mage_bonus)</f>
        <v>3</v>
      </c>
      <c r="CI20" s="45">
        <f ca="1">MIN(ice_elem_cap,TblMili[[#This Row],[Raw (2)]]*ice_elem_bonus)</f>
        <v>0</v>
      </c>
      <c r="CJ20" s="251">
        <f t="shared" si="0"/>
        <v>0.83333333333333337</v>
      </c>
      <c r="CK20" s="251">
        <f ca="1">MIN(nox_nightshade_cap,TblConstr[[#This Row],[Homeland]]/TblConstr[[#This Row],[Land]]/nox_nightshade_swamp_bonus)</f>
        <v>4</v>
      </c>
      <c r="CL20" s="251">
        <f ca="1">MIN(TblConstr[[#This Row],[Total Swamp]]/TblConstr[[#This Row],[Land]]/abyss_enforce_bonus,abyss_enforcer_cap)</f>
        <v>0</v>
      </c>
      <c r="CM20" s="251">
        <f ca="1">IF(TblMagic[[#This Row],[Active Infernal Command]]&gt;0,TblMili[[#This Row],[Unit 1]]*infernal_cmd_op,0)</f>
        <v>0</v>
      </c>
      <c r="CN20" s="252" t="s">
        <v>523</v>
      </c>
      <c r="CO20" s="252">
        <f>VLOOKUP(Overview!$A25,Races!$D$4:$H$120,2,FALSE)</f>
        <v>6</v>
      </c>
      <c r="CP20" s="252"/>
      <c r="CQ20" s="251">
        <f ca="1">MIN(6,TblMili[[#This Row],[Mystic]]+Races!$F$19)*1.8 +  IF(TblMili[[#This Row],[Mystic]]+Races!$F$19&gt;6,(TblMili[[#This Row],[Mystic]]+Races!$F$19-6)*0.2,0) - Races!$I$19</f>
        <v>1</v>
      </c>
      <c r="CR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0" s="94">
        <f ca="1">TblMili[[#This Row],[Mystic bonus]]*TblMili[[#This Row],[Unit 3]]+TblMili[[#This Row],[Druid bonus]]*TblMili[[#This Row],[Unit 4]]</f>
        <v>0</v>
      </c>
      <c r="CT20" s="155">
        <f ca="1">MIN(6,TblMili[[#This Row],[Dryad]]+Races!$F$35)*1.8 +  IF(TblMili[[#This Row],[Dryad]]+Races!$F$35&gt;6,(TblMili[[#This Row],[Dryad]]+Races!$F$35-6)*0.2,0) - Races!$I$19</f>
        <v>1</v>
      </c>
      <c r="CU20" s="94">
        <f ca="1">sylvan*(TblMili[[#This Row],[Mystic bonus]]*TblMili[[#This Row],[Unit 3]])</f>
        <v>0</v>
      </c>
      <c r="CV20" s="155">
        <f ca="1">1.8 * MIN(MAX(Races!$E$27,TblMili[[#This Row],[Rockapult]]+Races!$F$27),6)  +  0.45 * MIN(MIN(Races!$E$27,TblMili[[#This Row],[Rockapult]]+Races!$F$27),6)  +  0.2 * ( MAX(Races!$E$27-6,0) + MAX(TblMili[[#This Row],[Rockapult]]+Races!$F$27-6,0) )  -  Races!$I$20</f>
        <v>3.7000000000000011</v>
      </c>
      <c r="CW20" s="94">
        <f ca="1">gnome*(TblMili[[#This Row],[Rockapult bonus]]*TblMili[[#This Row],[Unit 3]])</f>
        <v>0</v>
      </c>
      <c r="CX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0" s="94">
        <f ca="1">dark_elf*(TblMili[[#This Row],[Adept bonus]]*TblMili[[#This Row],[Unit 3]])</f>
        <v>0</v>
      </c>
      <c r="CZ20" s="155">
        <f ca="1">1.8 * MIN(MAX(TblMili[[#This Row],[Frost Mage]]+Races!$F$71,Races!$E$71),6)  +  0.45 * MIN(MIN(TblMili[[#This Row],[Frost Mage]]+Races!$F$71,Races!$E$71),6)  +  0.2 * ( MAX(TblMili[[#This Row],[Frost Mage]]+Races!$F$71-6,0) + MAX(Races!$E$71-6,0) )  -  Races!$I$71</f>
        <v>6.15</v>
      </c>
      <c r="DA20" s="155">
        <f ca="1">1.8 * MIN(MAX(TblMili[[#This Row],[Ice Elemental]]+Races!$E$71,Races!$F$71),6)  +  0.45 * MIN(MIN(TblMili[[#This Row],[Ice Elemental]]+Races!$E$71,Races!$F$71),6)  +  0.2 * ( MAX(TblMili[[#This Row],[Ice Elemental]]+Races!$E$71-6,0) + MAX(Races!$F$71-6,0) )  -  Races!$I$71</f>
        <v>0.75</v>
      </c>
      <c r="DB20" s="94">
        <f ca="1">TblMili[[#This Row],[Frost Mage bonus]]*TblMili[[#This Row],[Unit 3]]+TblMili[[#This Row],[Ice Elemental bonus]]*TblMili[[#This Row],[Unit 4]]</f>
        <v>0</v>
      </c>
      <c r="DC20" s="253"/>
      <c r="DD20" s="143">
        <f ca="1">MIN(SUM(TblConstr[[#This Row],[Plain]:[Water]])/TblMili[[#This Row],[Land]]/favorable_terrain_bonus/100,favorable_terrain_max)</f>
        <v>0.1</v>
      </c>
      <c r="DE20" s="253"/>
      <c r="DF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0" s="142"/>
      <c r="DH20" s="254">
        <f ca="1">(TblMili[[#This Row],[Wizards]]+2*TblMili[[#This Row],[Archmages]])/TblConstr[[#This Row],[Land]]</f>
        <v>0</v>
      </c>
      <c r="DI20" s="254">
        <f ca="1">TblMili[[#This Row],[Raw (2)]]*(1+race_wizard_strength+IF(TblMili[[#This Row],[Hour]]&gt;72,tech_magical_weaponry_wiz*TblTech[[#This Row],[3-5]],0))</f>
        <v>0</v>
      </c>
    </row>
    <row r="21" spans="1:113" hidden="1" x14ac:dyDescent="0.2">
      <c r="A21" s="137">
        <f>TblRezone[[#This Row],[Hour]]</f>
        <v>18</v>
      </c>
      <c r="B21" s="246">
        <f ca="1">SUM(TblMili[[#This Row],[Unit 1]:[Archmages]])+SUM(OFFSET(TblMili[[#This Row],[Train Unit 1]],-8,0):TblMili[[#This Row],[Train Unit 2]]) + SUM(OFFSET(TblMili[[#This Row],[Train Unit 3]],-11,0):TblMili[[#This Row],[Train AM]]) + TblMili[[#This Row],[Draftees]]</f>
        <v>243</v>
      </c>
      <c r="C21" s="157">
        <f ca="1">TblPop[[#This Row],[Military%]]</f>
        <v>0.2780320366132723</v>
      </c>
      <c r="D21" s="142"/>
      <c r="E21" s="45">
        <f ca="1">OFFSET(TblMili[[#This Row],[Unit 1]],-1,0) + OFFSET(TblMili[[#This Row],[Train Unit 1]],-9,0) - TblMili[[#This Row],[Release Unit 1]] + OFFSET(TblMili[[#This Row],[DnD_Zombies]],-12,0)</f>
        <v>0</v>
      </c>
      <c r="F21" s="45">
        <f ca="1">OFFSET(TblMili[[#This Row],[Unit 2]],-1,0) + OFFSET(TblMili[[#This Row],[Train Unit 2]],-9,0)-TblMili[[#This Row],[Release Unit 2]]</f>
        <v>0</v>
      </c>
      <c r="G21" s="45">
        <f ca="1">OFFSET(TblMili[[#This Row],[Unit 3]],-1,0) + OFFSET(TblMili[[#This Row],[Train Unit 3]],-12,0)-TblMili[[#This Row],[Release Unit 3]]</f>
        <v>0</v>
      </c>
      <c r="H21" s="45">
        <f ca="1">OFFSET(TblMili[[#This Row],[Unit 4]],-1,0) + OFFSET(TblMili[[#This Row],[Train Unit 4]],-12,0)-TblMili[[#This Row],[Release Unit 4]]</f>
        <v>0</v>
      </c>
      <c r="I21" s="45">
        <f ca="1">OFFSET(TblMili[[#This Row],[Spies]],-1,0) + OFFSET(TblMili[[#This Row],[Train Spies]],-12,0) - TblMili[[#This Row],[Release Spies]]-TblMili[[#This Row],[Train AS]]</f>
        <v>0</v>
      </c>
      <c r="J21" s="45">
        <f ca="1">OFFSET(TblMili[[#This Row],[Archspies]],-1,0) + OFFSET(TblMili[[#This Row],[Train AS]],-12,0) - TblMili[[#This Row],[Release AS]]</f>
        <v>0</v>
      </c>
      <c r="K21" s="45">
        <f ca="1">OFFSET(TblMili[[#This Row],[Wizards]],-1,0) + OFFSET(TblMili[[#This Row],[Train Wiz]],-12,0) - TblMili[[#This Row],[Release Wizards]]-TblMili[[#This Row],[Train AM]]</f>
        <v>0</v>
      </c>
      <c r="L21" s="45">
        <f ca="1">OFFSET(TblMili[[#This Row],[Archmages]],-1,0) + OFFSET(TblMili[[#This Row],[Train AM]],-12,0) - TblMili[[#This Row],[Release AM]]</f>
        <v>0</v>
      </c>
      <c r="M21" s="142"/>
      <c r="N21" s="94">
        <f ca="1">TblProd[[#This Row],[Networth]]</f>
        <v>2450</v>
      </c>
      <c r="O21" s="142"/>
      <c r="P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1" s="247">
        <f ca="1">TblMili[[#This Row],[Raw]]*(1+TblMili[[#This Row],[Mods_Off]])</f>
        <v>0</v>
      </c>
      <c r="S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1" s="247">
        <f ca="1">TblMili[[#This Row],[Non Draft]]+TblMili[[#This Row],[Draftees]]</f>
        <v>243</v>
      </c>
      <c r="U21" s="248">
        <f ca="1">race_defense + TblImps[[#This Row],[Walls]] + ROUND( MIN(gt_bonus*TblConstr[[#This Row],[Tot GT]]/TblConstr[[#This Row],[Land]],gt_bonus_cap), 4) + IF(TblMagic[[#This Row],[Active Howling]]&gt;0,howling_dp_bonus,IF(TblMagic[[#This Row],[Active Ares Call]]&gt;0,ares_call_bonus))</f>
        <v>0</v>
      </c>
      <c r="V21" s="249">
        <f ca="1">TblMili[[#This Row],[Non Draft]] * (1 + TblMili[[#This Row],[Mods_Def]])</f>
        <v>0</v>
      </c>
      <c r="W21" s="247">
        <f ca="1">TblMili[[#This Row],[Draft]] * (1 + TblMili[[#This Row],[Mods_Def]])</f>
        <v>243</v>
      </c>
      <c r="X21" s="247">
        <f ca="1">TblConstr[[#This Row],[Land]]</f>
        <v>110</v>
      </c>
      <c r="Y21" s="156"/>
      <c r="Z21" s="255">
        <f ca="1">IF(TblMili[[#This Row],[Set]]&lt;&gt;"",TblMili[[#This Row],[Set]],OFFSET(TblMili[[#This Row],[Draftrate]],-1,0))</f>
        <v>0.9</v>
      </c>
      <c r="AA21" s="94">
        <f ca="1">OFFSET(TblMili[[#This Row],[Draftees]],-1,0)+OFFSET(TblPop[[#This Row],[Draft Growth]],-1,0) - SUM(TblMili[[#This Row],[Train Unit 1]:[Train Spies]],TblMili[[#This Row],[Train Wiz]],TblMili[[#This Row],[DnD_Zombies]]) - TblMili[[#This Row],[Release Draft]] + SUM(TblMili[[#This Row],[Release Unit 1]:[Release AM]]) - TblExplore[[#This Row],[Draftees (2)]]</f>
        <v>243</v>
      </c>
      <c r="AB21" s="154"/>
      <c r="AC21" s="180">
        <f ca="1">(TblConstr[[#This Row],[Tot Smi]]+TblConstr[[#This Row],[Dest Smi]])/(TblConstr[[#This Row],[Land]]-TblExplore[[#This Row],[Land Bonus]]*20)</f>
        <v>0</v>
      </c>
      <c r="AD21" s="137"/>
      <c r="AE21" s="246">
        <f>TblMili[[#This Row],[Hour]]</f>
        <v>18</v>
      </c>
      <c r="AF21" s="138">
        <f ca="1">TblExplore[[#This Row],[Time]]</f>
        <v>46047.708333333292</v>
      </c>
      <c r="AO21" s="420">
        <f ca="1">ROUND(IF(AND(TblMagic[[#This Row],[Active DnD]]&lt;12,TblMagic[[#This Row],[Active DnD]]&gt;5),OFFSET(TblPop[[#This Row],[Draft Growth]],-1,0)*0.375,0),0)</f>
        <v>0</v>
      </c>
      <c r="AP21" s="142"/>
      <c r="AQ21" s="94">
        <f ca="1">TblProd[[#This Row],[Platinum]]</f>
        <v>74913</v>
      </c>
      <c r="AR21" s="94">
        <f ca="1">INDEX(TblProd[[#Headers],[Lumber]]:TblProd[[#This Row],[Ore]],COUNTA(TblProd[[#Headers],[Lumber]]:TblProd[[#This Row],[Lumber]]),MATCH(Military!$AR$2,TblProd[[#Headers],[Lumber]:[Ore]],0))</f>
        <v>0</v>
      </c>
      <c r="AS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1" s="94">
        <f ca="1">TblMili[[#This Row],[Train Unit 1]]*TblMili[[#This Row],[OP Ore]]+TblMili[[#This Row],[Train Unit 2]]*TblMili[[#This Row],[DP Ore]]+TblMili[[#This Row],[Train Unit 3]]*TblMili[[#This Row],[E1 Ore]]+TblMili[[#This Row],[Train Unit 4]]*TblMili[[#This Row],[E2 Ore]]</f>
        <v>0</v>
      </c>
      <c r="AU21" s="142">
        <f>TblMili[[#This Row],[Hour]]</f>
        <v>18</v>
      </c>
      <c r="AV21" s="152">
        <f ca="1">TblMili[[#This Row],[Time]]</f>
        <v>46047.708333333292</v>
      </c>
      <c r="AW21" s="94">
        <f ca="1">TblMili[[#This Row],[Draftees]]</f>
        <v>243</v>
      </c>
      <c r="BG21" s="142"/>
      <c r="BH21" s="157">
        <f ca="1">TblConstr[[#This Row],[Tot WG]]/TblConstr[[#This Row],[Land]]</f>
        <v>0</v>
      </c>
      <c r="BI21" s="157">
        <f ca="1">TblConstr[[#This Row],[Tot Hav]]/TblConstr[[#This Row],[Land]]</f>
        <v>0</v>
      </c>
      <c r="BJ21" s="94">
        <f ca="1">ROUNDUP((1-MIN(TblMili[[#This Row],[Smithies]]*smithy_bonus,smithy_bonus_cap) + tech_3_5*TblTech[[#This Row],[3-5]] + tech_5_3*TblTech[[#This Row],[5-3]] + tech_5_5*TblTech[[#This Row],[5-5]])*spec_op_plat,0)</f>
        <v>275</v>
      </c>
      <c r="BK21" s="94">
        <f ca="1">ROUNDUP(IF(race="Gnome",1,(1-MIN(TblMili[[#This Row],[Smithies]]*smithy_bonus,smithy_bonus_cap) + tech_3_5*TblTech[[#This Row],[3-5]] + tech_5_3*TblTech[[#This Row],[5-3]] + tech_5_5*TblTech[[#This Row],[5-5]]))*spec_op_ore,0)</f>
        <v>25</v>
      </c>
      <c r="BL21" s="94">
        <f ca="1">ROUNDUP((1-MIN(TblMili[[#This Row],[Smithies]]*smithy_bonus,smithy_bonus_cap) + tech_3_5*TblTech[[#This Row],[3-5]] + tech_5_3*TblTech[[#This Row],[5-3]] + tech_5_5*TblTech[[#This Row],[5-5]])*spec_dp_plat,0)</f>
        <v>275</v>
      </c>
      <c r="BM21" s="94">
        <f ca="1">ROUNDUP(IF(race="Gnome",1,(1-MIN(TblMili[[#This Row],[Smithies]]*smithy_bonus,smithy_bonus_cap) + tech_3_5*TblTech[[#This Row],[3-5]] + tech_5_3*TblTech[[#This Row],[5-3]] + tech_5_5*TblTech[[#This Row],[5-5]]))*spec_dp_ore,0)</f>
        <v>15</v>
      </c>
      <c r="BN21" s="94">
        <f ca="1">ROUNDUP((1-MIN(TblMili[[#This Row],[Smithies]]*smithy_bonus,smithy_bonus_cap) + tech_3_5*TblTech[[#This Row],[3-5]] + tech_5_3*TblTech[[#This Row],[5-3]] + tech_5_5*TblTech[[#This Row],[5-5]])*elite1_plat,0)</f>
        <v>1040</v>
      </c>
      <c r="BO21" s="94">
        <f ca="1">ROUNDUP(IF(race="Gnome",1,(1-MIN(TblMili[[#This Row],[Smithies]]*smithy_bonus,smithy_bonus_cap) + tech_3_5*TblTech[[#This Row],[3-5]] + tech_5_3*TblTech[[#This Row],[5-3]] + tech_5_5*TblTech[[#This Row],[5-5]]))*elite1_ore,0)</f>
        <v>75</v>
      </c>
      <c r="BP21" s="94">
        <f ca="1">ROUNDUP((1-MIN(TblMili[[#This Row],[Smithies]]*smithy_bonus,smithy_bonus_cap) + tech_3_5*TblTech[[#This Row],[3-5]] + tech_5_3*TblTech[[#This Row],[5-3]] + tech_5_5*TblTech[[#This Row],[5-5]])*elite2_plat,0)</f>
        <v>1280</v>
      </c>
      <c r="BQ21" s="94">
        <f ca="1">ROUNDUP(IF(race="Gnome",1,(1-MIN(TblMili[[#This Row],[Smithies]]*smithy_bonus,smithy_bonus_cap) + tech_3_5*TblTech[[#This Row],[3-5]] + tech_5_3*TblTech[[#This Row],[5-3]] + tech_5_5*TblTech[[#This Row],[5-5]]))*elite2_ore,0)</f>
        <v>100</v>
      </c>
      <c r="BR21" s="94">
        <f ca="1">ROUNDUP((1-MIN(ROUND(fh_spy_cost_red*TblMili[[#This Row],[FH''s]],4),fh_spy_cost_cap)+ tech_1_9*TblTech[[#This Row],[1-9]] + tech_9_1*TblTech[[#This Row],[9-1]])*spy_plat,0)</f>
        <v>500</v>
      </c>
      <c r="BS21" s="94">
        <f ca="1">ROUNDUP((1-MIN(ROUND(fh_spy_cost_red*TblMili[[#This Row],[FH''s]],4),fh_spy_cost_cap)+ tech_1_9*TblTech[[#This Row],[1-9]] + tech_9_1*TblTech[[#This Row],[9-1]])*archspy_plat,0)</f>
        <v>1000</v>
      </c>
      <c r="BT21" s="94">
        <f ca="1">ROUNDUP((1-MIN(ROUND(wg_wiz_cost_bonus*TblMili[[#This Row],[WG''s]],4),wg_wiz_cost_cap) + tech_1_9_2*TblTech[[#This Row],[1-9]] + tech_9_1_2*TblTech[[#This Row],[9-1]])*wizard_plat,0)</f>
        <v>500</v>
      </c>
      <c r="BU21" s="94">
        <f ca="1">ROUNDUP((1-MIN(ROUND(wg_wiz_cost_bonus*TblMili[[#This Row],[WG''s]],4),wg_wiz_cost_cap) + tech_1_9_2*TblTech[[#This Row],[1-9]] + tech_9_1_2*TblTech[[#This Row],[9-1]])*archmage_plat,0)</f>
        <v>1000</v>
      </c>
      <c r="BV21" s="142"/>
      <c r="BW21" s="157">
        <f ca="1">TblConstr[[#This Row],[Homeland]]/TblConstr[[#This Row],[Land]]</f>
        <v>0.81818181818181823</v>
      </c>
      <c r="BX21" s="157">
        <f ca="1">TblMili[[#This Row],[WG''s]]</f>
        <v>0</v>
      </c>
      <c r="BY21" s="251">
        <f ca="1">IF(mystic_cap="none",TblMili[[#This Row],[Homeland%]]/mystic_bonus,MIN(mystic_cap,TblMili[[#This Row],[Homeland%]]/mystic_bonus))</f>
        <v>2</v>
      </c>
      <c r="BZ21" s="251">
        <f ca="1">IF(druid_op_cap="none",TblMili[[#This Row],[Homeland%]]/druid_op_bonus,MIN(druid_op_cap,TblMili[[#This Row],[Homeland%]]/druid_op_bonus))</f>
        <v>2</v>
      </c>
      <c r="CA21" s="251">
        <f ca="1">IF(druid_dp_cap="none",TblMili[[#This Row],[Homeland%]]/druid_dp_bonus,MIN(druid_dp_cap,TblMili[[#This Row],[Homeland%]]/druid_dp_bonus))</f>
        <v>2</v>
      </c>
      <c r="CB21" s="251">
        <f ca="1">MIN(dryad_cap,TblMili[[#This Row],[Homeland%]]/dryad_bonus)</f>
        <v>4</v>
      </c>
      <c r="CC21" s="251">
        <f ca="1">MIN(rocka_cap,TblMili[[#This Row],[Homeland%]]/rocka_bonus)</f>
        <v>2</v>
      </c>
      <c r="CD21" s="251">
        <f ca="1">MIN(adept_op_cap,TblMili[[#This Row],[WG]]/adept_op_bonus)</f>
        <v>0</v>
      </c>
      <c r="CE21" s="251">
        <f ca="1">MIN(adept_dp_cap,TblMili[[#This Row],[WG]]/adept_dp_bonus)</f>
        <v>0</v>
      </c>
      <c r="CF21" s="94">
        <f ca="1">MIN(TblMili[[#This Row],[Unit 3]],TblMili[[#This Row],[Unit 2]])*2</f>
        <v>0</v>
      </c>
      <c r="CG21" s="94">
        <f ca="1">MIN(TblMili[[#This Row],[Unit 1]],TblMili[[#This Row],[Unit 4]])*2</f>
        <v>0</v>
      </c>
      <c r="CH21" s="251">
        <f ca="1">MIN(frost_mage_cap,TblMili[[#This Row],[Homeland%]]/frost_mage_bonus)</f>
        <v>3</v>
      </c>
      <c r="CI21" s="45">
        <f ca="1">MIN(ice_elem_cap,TblMili[[#This Row],[Raw (2)]]*ice_elem_bonus)</f>
        <v>0</v>
      </c>
      <c r="CJ21" s="251">
        <f t="shared" si="0"/>
        <v>0.83333333333333337</v>
      </c>
      <c r="CK21" s="251">
        <f ca="1">MIN(nox_nightshade_cap,TblConstr[[#This Row],[Homeland]]/TblConstr[[#This Row],[Land]]/nox_nightshade_swamp_bonus)</f>
        <v>4</v>
      </c>
      <c r="CL21" s="251">
        <f ca="1">MIN(TblConstr[[#This Row],[Total Swamp]]/TblConstr[[#This Row],[Land]]/abyss_enforce_bonus,abyss_enforcer_cap)</f>
        <v>0</v>
      </c>
      <c r="CM21" s="251">
        <f ca="1">IF(TblMagic[[#This Row],[Active Infernal Command]]&gt;0,TblMili[[#This Row],[Unit 1]]*infernal_cmd_op,0)</f>
        <v>0</v>
      </c>
      <c r="CN21" s="252" t="s">
        <v>522</v>
      </c>
      <c r="CO21" s="252">
        <f>VLOOKUP(Overview!$A25,Races!$D$4:$H$120,3,FALSE)</f>
        <v>3</v>
      </c>
      <c r="CP21" s="252"/>
      <c r="CQ21" s="251">
        <f ca="1">MIN(6,TblMili[[#This Row],[Mystic]]+Races!$F$19)*1.8 +  IF(TblMili[[#This Row],[Mystic]]+Races!$F$19&gt;6,(TblMili[[#This Row],[Mystic]]+Races!$F$19-6)*0.2,0) - Races!$I$19</f>
        <v>1</v>
      </c>
      <c r="CR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1" s="94">
        <f ca="1">TblMili[[#This Row],[Mystic bonus]]*TblMili[[#This Row],[Unit 3]]+TblMili[[#This Row],[Druid bonus]]*TblMili[[#This Row],[Unit 4]]</f>
        <v>0</v>
      </c>
      <c r="CT21" s="155">
        <f ca="1">MIN(6,TblMili[[#This Row],[Dryad]]+Races!$F$35)*1.8 +  IF(TblMili[[#This Row],[Dryad]]+Races!$F$35&gt;6,(TblMili[[#This Row],[Dryad]]+Races!$F$35-6)*0.2,0) - Races!$I$19</f>
        <v>1</v>
      </c>
      <c r="CU21" s="94">
        <f ca="1">sylvan*(TblMili[[#This Row],[Mystic bonus]]*TblMili[[#This Row],[Unit 3]])</f>
        <v>0</v>
      </c>
      <c r="CV21" s="155">
        <f ca="1">1.8 * MIN(MAX(Races!$E$27,TblMili[[#This Row],[Rockapult]]+Races!$F$27),6)  +  0.45 * MIN(MIN(Races!$E$27,TblMili[[#This Row],[Rockapult]]+Races!$F$27),6)  +  0.2 * ( MAX(Races!$E$27-6,0) + MAX(TblMili[[#This Row],[Rockapult]]+Races!$F$27-6,0) )  -  Races!$I$20</f>
        <v>3.7000000000000011</v>
      </c>
      <c r="CW21" s="94">
        <f ca="1">gnome*(TblMili[[#This Row],[Rockapult bonus]]*TblMili[[#This Row],[Unit 3]])</f>
        <v>0</v>
      </c>
      <c r="CX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1" s="94">
        <f ca="1">dark_elf*(TblMili[[#This Row],[Adept bonus]]*TblMili[[#This Row],[Unit 3]])</f>
        <v>0</v>
      </c>
      <c r="CZ21" s="155">
        <f ca="1">1.8 * MIN(MAX(TblMili[[#This Row],[Frost Mage]]+Races!$F$71,Races!$E$71),6)  +  0.45 * MIN(MIN(TblMili[[#This Row],[Frost Mage]]+Races!$F$71,Races!$E$71),6)  +  0.2 * ( MAX(TblMili[[#This Row],[Frost Mage]]+Races!$F$71-6,0) + MAX(Races!$E$71-6,0) )  -  Races!$I$71</f>
        <v>6.15</v>
      </c>
      <c r="DA21" s="155">
        <f ca="1">1.8 * MIN(MAX(TblMili[[#This Row],[Ice Elemental]]+Races!$E$71,Races!$F$71),6)  +  0.45 * MIN(MIN(TblMili[[#This Row],[Ice Elemental]]+Races!$E$71,Races!$F$71),6)  +  0.2 * ( MAX(TblMili[[#This Row],[Ice Elemental]]+Races!$E$71-6,0) + MAX(Races!$F$71-6,0) )  -  Races!$I$71</f>
        <v>0.75</v>
      </c>
      <c r="DB21" s="94">
        <f ca="1">TblMili[[#This Row],[Frost Mage bonus]]*TblMili[[#This Row],[Unit 3]]+TblMili[[#This Row],[Ice Elemental bonus]]*TblMili[[#This Row],[Unit 4]]</f>
        <v>0</v>
      </c>
      <c r="DC21" s="253"/>
      <c r="DD21" s="143">
        <f ca="1">MIN(SUM(TblConstr[[#This Row],[Plain]:[Water]])/TblMili[[#This Row],[Land]]/favorable_terrain_bonus/100,favorable_terrain_max)</f>
        <v>0.1</v>
      </c>
      <c r="DE21" s="253"/>
      <c r="DF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1" s="142"/>
      <c r="DH21" s="254">
        <f ca="1">(TblMili[[#This Row],[Wizards]]+2*TblMili[[#This Row],[Archmages]])/TblConstr[[#This Row],[Land]]</f>
        <v>0</v>
      </c>
      <c r="DI21" s="254">
        <f ca="1">TblMili[[#This Row],[Raw (2)]]*(1+race_wizard_strength+IF(TblMili[[#This Row],[Hour]]&gt;72,tech_magical_weaponry_wiz*TblTech[[#This Row],[3-5]],0))</f>
        <v>0</v>
      </c>
    </row>
    <row r="22" spans="1:113" hidden="1" x14ac:dyDescent="0.2">
      <c r="A22" s="137">
        <f>TblRezone[[#This Row],[Hour]]</f>
        <v>19</v>
      </c>
      <c r="B22" s="246">
        <f ca="1">SUM(TblMili[[#This Row],[Unit 1]:[Archmages]])+SUM(OFFSET(TblMili[[#This Row],[Train Unit 1]],-8,0):TblMili[[#This Row],[Train Unit 2]]) + SUM(OFFSET(TblMili[[#This Row],[Train Unit 3]],-11,0):TblMili[[#This Row],[Train AM]]) + TblMili[[#This Row],[Draftees]]</f>
        <v>249</v>
      </c>
      <c r="C22" s="157">
        <f ca="1">TblPop[[#This Row],[Military%]]</f>
        <v>0.27883538633818589</v>
      </c>
      <c r="D22" s="142"/>
      <c r="E22" s="45">
        <f ca="1">OFFSET(TblMili[[#This Row],[Unit 1]],-1,0) + OFFSET(TblMili[[#This Row],[Train Unit 1]],-9,0) - TblMili[[#This Row],[Release Unit 1]] + OFFSET(TblMili[[#This Row],[DnD_Zombies]],-12,0)</f>
        <v>0</v>
      </c>
      <c r="F22" s="45">
        <f ca="1">OFFSET(TblMili[[#This Row],[Unit 2]],-1,0) + OFFSET(TblMili[[#This Row],[Train Unit 2]],-9,0)-TblMili[[#This Row],[Release Unit 2]]</f>
        <v>0</v>
      </c>
      <c r="G22" s="45">
        <f ca="1">OFFSET(TblMili[[#This Row],[Unit 3]],-1,0) + OFFSET(TblMili[[#This Row],[Train Unit 3]],-12,0)-TblMili[[#This Row],[Release Unit 3]]</f>
        <v>0</v>
      </c>
      <c r="H22" s="45">
        <f ca="1">OFFSET(TblMili[[#This Row],[Unit 4]],-1,0) + OFFSET(TblMili[[#This Row],[Train Unit 4]],-12,0)-TblMili[[#This Row],[Release Unit 4]]</f>
        <v>0</v>
      </c>
      <c r="I22" s="45">
        <f ca="1">OFFSET(TblMili[[#This Row],[Spies]],-1,0) + OFFSET(TblMili[[#This Row],[Train Spies]],-12,0) - TblMili[[#This Row],[Release Spies]]-TblMili[[#This Row],[Train AS]]</f>
        <v>0</v>
      </c>
      <c r="J22" s="45">
        <f ca="1">OFFSET(TblMili[[#This Row],[Archspies]],-1,0) + OFFSET(TblMili[[#This Row],[Train AS]],-12,0) - TblMili[[#This Row],[Release AS]]</f>
        <v>0</v>
      </c>
      <c r="K22" s="45">
        <f ca="1">OFFSET(TblMili[[#This Row],[Wizards]],-1,0) + OFFSET(TblMili[[#This Row],[Train Wiz]],-12,0) - TblMili[[#This Row],[Release Wizards]]-TblMili[[#This Row],[Train AM]]</f>
        <v>0</v>
      </c>
      <c r="L22" s="45">
        <f ca="1">OFFSET(TblMili[[#This Row],[Archmages]],-1,0) + OFFSET(TblMili[[#This Row],[Train AM]],-12,0) - TblMili[[#This Row],[Release AM]]</f>
        <v>0</v>
      </c>
      <c r="M22" s="142"/>
      <c r="N22" s="94">
        <f ca="1">TblProd[[#This Row],[Networth]]</f>
        <v>2450</v>
      </c>
      <c r="O22" s="142"/>
      <c r="P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2" s="247">
        <f ca="1">TblMili[[#This Row],[Raw]]*(1+TblMili[[#This Row],[Mods_Off]])</f>
        <v>0</v>
      </c>
      <c r="S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2" s="247">
        <f ca="1">TblMili[[#This Row],[Non Draft]]+TblMili[[#This Row],[Draftees]]</f>
        <v>249</v>
      </c>
      <c r="U22" s="248">
        <f ca="1">race_defense + TblImps[[#This Row],[Walls]] + ROUND( MIN(gt_bonus*TblConstr[[#This Row],[Tot GT]]/TblConstr[[#This Row],[Land]],gt_bonus_cap), 4) + IF(TblMagic[[#This Row],[Active Howling]]&gt;0,howling_dp_bonus,IF(TblMagic[[#This Row],[Active Ares Call]]&gt;0,ares_call_bonus))</f>
        <v>0</v>
      </c>
      <c r="V22" s="249">
        <f ca="1">TblMili[[#This Row],[Non Draft]] * (1 + TblMili[[#This Row],[Mods_Def]])</f>
        <v>0</v>
      </c>
      <c r="W22" s="247">
        <f ca="1">TblMili[[#This Row],[Draft]] * (1 + TblMili[[#This Row],[Mods_Def]])</f>
        <v>249</v>
      </c>
      <c r="X22" s="247">
        <f ca="1">TblConstr[[#This Row],[Land]]</f>
        <v>110</v>
      </c>
      <c r="Y22" s="156"/>
      <c r="Z22" s="255">
        <f ca="1">IF(TblMili[[#This Row],[Set]]&lt;&gt;"",TblMili[[#This Row],[Set]],OFFSET(TblMili[[#This Row],[Draftrate]],-1,0))</f>
        <v>0.9</v>
      </c>
      <c r="AA22" s="94">
        <f ca="1">OFFSET(TblMili[[#This Row],[Draftees]],-1,0)+OFFSET(TblPop[[#This Row],[Draft Growth]],-1,0) - SUM(TblMili[[#This Row],[Train Unit 1]:[Train Spies]],TblMili[[#This Row],[Train Wiz]],TblMili[[#This Row],[DnD_Zombies]]) - TblMili[[#This Row],[Release Draft]] + SUM(TblMili[[#This Row],[Release Unit 1]:[Release AM]]) - TblExplore[[#This Row],[Draftees (2)]]</f>
        <v>249</v>
      </c>
      <c r="AB22" s="154"/>
      <c r="AC22" s="180">
        <f ca="1">(TblConstr[[#This Row],[Tot Smi]]+TblConstr[[#This Row],[Dest Smi]])/(TblConstr[[#This Row],[Land]]-TblExplore[[#This Row],[Land Bonus]]*20)</f>
        <v>0</v>
      </c>
      <c r="AD22" s="137"/>
      <c r="AE22" s="246">
        <f>TblMili[[#This Row],[Hour]]</f>
        <v>19</v>
      </c>
      <c r="AF22" s="138">
        <f ca="1">TblExplore[[#This Row],[Time]]</f>
        <v>46047.749999999956</v>
      </c>
      <c r="AO22" s="420">
        <f ca="1">ROUND(IF(AND(TblMagic[[#This Row],[Active DnD]]&lt;12,TblMagic[[#This Row],[Active DnD]]&gt;5),OFFSET(TblPop[[#This Row],[Draft Growth]],-1,0)*0.375,0),0)</f>
        <v>0</v>
      </c>
      <c r="AP22" s="142"/>
      <c r="AQ22" s="94">
        <f ca="1">TblProd[[#This Row],[Platinum]]</f>
        <v>76616</v>
      </c>
      <c r="AR22" s="94">
        <f ca="1">INDEX(TblProd[[#Headers],[Lumber]]:TblProd[[#This Row],[Ore]],COUNTA(TblProd[[#Headers],[Lumber]]:TblProd[[#This Row],[Lumber]]),MATCH(Military!$AR$2,TblProd[[#Headers],[Lumber]:[Ore]],0))</f>
        <v>0</v>
      </c>
      <c r="AS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2" s="94">
        <f ca="1">TblMili[[#This Row],[Train Unit 1]]*TblMili[[#This Row],[OP Ore]]+TblMili[[#This Row],[Train Unit 2]]*TblMili[[#This Row],[DP Ore]]+TblMili[[#This Row],[Train Unit 3]]*TblMili[[#This Row],[E1 Ore]]+TblMili[[#This Row],[Train Unit 4]]*TblMili[[#This Row],[E2 Ore]]</f>
        <v>0</v>
      </c>
      <c r="AU22" s="142">
        <f>TblMili[[#This Row],[Hour]]</f>
        <v>19</v>
      </c>
      <c r="AV22" s="152">
        <f ca="1">TblMili[[#This Row],[Time]]</f>
        <v>46047.749999999956</v>
      </c>
      <c r="AW22" s="94">
        <f ca="1">TblMili[[#This Row],[Draftees]]</f>
        <v>249</v>
      </c>
      <c r="BG22" s="142"/>
      <c r="BH22" s="157">
        <f ca="1">TblConstr[[#This Row],[Tot WG]]/TblConstr[[#This Row],[Land]]</f>
        <v>0</v>
      </c>
      <c r="BI22" s="157">
        <f ca="1">TblConstr[[#This Row],[Tot Hav]]/TblConstr[[#This Row],[Land]]</f>
        <v>0</v>
      </c>
      <c r="BJ22" s="94">
        <f ca="1">ROUNDUP((1-MIN(TblMili[[#This Row],[Smithies]]*smithy_bonus,smithy_bonus_cap) + tech_3_5*TblTech[[#This Row],[3-5]] + tech_5_3*TblTech[[#This Row],[5-3]] + tech_5_5*TblTech[[#This Row],[5-5]])*spec_op_plat,0)</f>
        <v>275</v>
      </c>
      <c r="BK22" s="94">
        <f ca="1">ROUNDUP(IF(race="Gnome",1,(1-MIN(TblMili[[#This Row],[Smithies]]*smithy_bonus,smithy_bonus_cap) + tech_3_5*TblTech[[#This Row],[3-5]] + tech_5_3*TblTech[[#This Row],[5-3]] + tech_5_5*TblTech[[#This Row],[5-5]]))*spec_op_ore,0)</f>
        <v>25</v>
      </c>
      <c r="BL22" s="94">
        <f ca="1">ROUNDUP((1-MIN(TblMili[[#This Row],[Smithies]]*smithy_bonus,smithy_bonus_cap) + tech_3_5*TblTech[[#This Row],[3-5]] + tech_5_3*TblTech[[#This Row],[5-3]] + tech_5_5*TblTech[[#This Row],[5-5]])*spec_dp_plat,0)</f>
        <v>275</v>
      </c>
      <c r="BM22" s="94">
        <f ca="1">ROUNDUP(IF(race="Gnome",1,(1-MIN(TblMili[[#This Row],[Smithies]]*smithy_bonus,smithy_bonus_cap) + tech_3_5*TblTech[[#This Row],[3-5]] + tech_5_3*TblTech[[#This Row],[5-3]] + tech_5_5*TblTech[[#This Row],[5-5]]))*spec_dp_ore,0)</f>
        <v>15</v>
      </c>
      <c r="BN22" s="94">
        <f ca="1">ROUNDUP((1-MIN(TblMili[[#This Row],[Smithies]]*smithy_bonus,smithy_bonus_cap) + tech_3_5*TblTech[[#This Row],[3-5]] + tech_5_3*TblTech[[#This Row],[5-3]] + tech_5_5*TblTech[[#This Row],[5-5]])*elite1_plat,0)</f>
        <v>1040</v>
      </c>
      <c r="BO22" s="94">
        <f ca="1">ROUNDUP(IF(race="Gnome",1,(1-MIN(TblMili[[#This Row],[Smithies]]*smithy_bonus,smithy_bonus_cap) + tech_3_5*TblTech[[#This Row],[3-5]] + tech_5_3*TblTech[[#This Row],[5-3]] + tech_5_5*TblTech[[#This Row],[5-5]]))*elite1_ore,0)</f>
        <v>75</v>
      </c>
      <c r="BP22" s="94">
        <f ca="1">ROUNDUP((1-MIN(TblMili[[#This Row],[Smithies]]*smithy_bonus,smithy_bonus_cap) + tech_3_5*TblTech[[#This Row],[3-5]] + tech_5_3*TblTech[[#This Row],[5-3]] + tech_5_5*TblTech[[#This Row],[5-5]])*elite2_plat,0)</f>
        <v>1280</v>
      </c>
      <c r="BQ22" s="94">
        <f ca="1">ROUNDUP(IF(race="Gnome",1,(1-MIN(TblMili[[#This Row],[Smithies]]*smithy_bonus,smithy_bonus_cap) + tech_3_5*TblTech[[#This Row],[3-5]] + tech_5_3*TblTech[[#This Row],[5-3]] + tech_5_5*TblTech[[#This Row],[5-5]]))*elite2_ore,0)</f>
        <v>100</v>
      </c>
      <c r="BR22" s="94">
        <f ca="1">ROUNDUP((1-MIN(ROUND(fh_spy_cost_red*TblMili[[#This Row],[FH''s]],4),fh_spy_cost_cap)+ tech_1_9*TblTech[[#This Row],[1-9]] + tech_9_1*TblTech[[#This Row],[9-1]])*spy_plat,0)</f>
        <v>500</v>
      </c>
      <c r="BS22" s="94">
        <f ca="1">ROUNDUP((1-MIN(ROUND(fh_spy_cost_red*TblMili[[#This Row],[FH''s]],4),fh_spy_cost_cap)+ tech_1_9*TblTech[[#This Row],[1-9]] + tech_9_1*TblTech[[#This Row],[9-1]])*archspy_plat,0)</f>
        <v>1000</v>
      </c>
      <c r="BT22" s="94">
        <f ca="1">ROUNDUP((1-MIN(ROUND(wg_wiz_cost_bonus*TblMili[[#This Row],[WG''s]],4),wg_wiz_cost_cap) + tech_1_9_2*TblTech[[#This Row],[1-9]] + tech_9_1_2*TblTech[[#This Row],[9-1]])*wizard_plat,0)</f>
        <v>500</v>
      </c>
      <c r="BU22" s="94">
        <f ca="1">ROUNDUP((1-MIN(ROUND(wg_wiz_cost_bonus*TblMili[[#This Row],[WG''s]],4),wg_wiz_cost_cap) + tech_1_9_2*TblTech[[#This Row],[1-9]] + tech_9_1_2*TblTech[[#This Row],[9-1]])*archmage_plat,0)</f>
        <v>1000</v>
      </c>
      <c r="BV22" s="142"/>
      <c r="BW22" s="157">
        <f ca="1">TblConstr[[#This Row],[Homeland]]/TblConstr[[#This Row],[Land]]</f>
        <v>0.81818181818181823</v>
      </c>
      <c r="BX22" s="157">
        <f ca="1">TblMili[[#This Row],[WG''s]]</f>
        <v>0</v>
      </c>
      <c r="BY22" s="251">
        <f ca="1">IF(mystic_cap="none",TblMili[[#This Row],[Homeland%]]/mystic_bonus,MIN(mystic_cap,TblMili[[#This Row],[Homeland%]]/mystic_bonus))</f>
        <v>2</v>
      </c>
      <c r="BZ22" s="251">
        <f ca="1">IF(druid_op_cap="none",TblMili[[#This Row],[Homeland%]]/druid_op_bonus,MIN(druid_op_cap,TblMili[[#This Row],[Homeland%]]/druid_op_bonus))</f>
        <v>2</v>
      </c>
      <c r="CA22" s="251">
        <f ca="1">IF(druid_dp_cap="none",TblMili[[#This Row],[Homeland%]]/druid_dp_bonus,MIN(druid_dp_cap,TblMili[[#This Row],[Homeland%]]/druid_dp_bonus))</f>
        <v>2</v>
      </c>
      <c r="CB22" s="251">
        <f ca="1">MIN(dryad_cap,TblMili[[#This Row],[Homeland%]]/dryad_bonus)</f>
        <v>4</v>
      </c>
      <c r="CC22" s="251">
        <f ca="1">MIN(rocka_cap,TblMili[[#This Row],[Homeland%]]/rocka_bonus)</f>
        <v>2</v>
      </c>
      <c r="CD22" s="251">
        <f ca="1">MIN(adept_op_cap,TblMili[[#This Row],[WG]]/adept_op_bonus)</f>
        <v>0</v>
      </c>
      <c r="CE22" s="251">
        <f ca="1">MIN(adept_dp_cap,TblMili[[#This Row],[WG]]/adept_dp_bonus)</f>
        <v>0</v>
      </c>
      <c r="CF22" s="94">
        <f ca="1">MIN(TblMili[[#This Row],[Unit 3]],TblMili[[#This Row],[Unit 2]])*2</f>
        <v>0</v>
      </c>
      <c r="CG22" s="94">
        <f ca="1">MIN(TblMili[[#This Row],[Unit 1]],TblMili[[#This Row],[Unit 4]])*2</f>
        <v>0</v>
      </c>
      <c r="CH22" s="251">
        <f ca="1">MIN(frost_mage_cap,TblMili[[#This Row],[Homeland%]]/frost_mage_bonus)</f>
        <v>3</v>
      </c>
      <c r="CI22" s="45">
        <f ca="1">MIN(ice_elem_cap,TblMili[[#This Row],[Raw (2)]]*ice_elem_bonus)</f>
        <v>0</v>
      </c>
      <c r="CJ22" s="251">
        <f t="shared" si="0"/>
        <v>0.83333333333333337</v>
      </c>
      <c r="CK22" s="251">
        <f ca="1">MIN(nox_nightshade_cap,TblConstr[[#This Row],[Homeland]]/TblConstr[[#This Row],[Land]]/nox_nightshade_swamp_bonus)</f>
        <v>4</v>
      </c>
      <c r="CL22" s="251">
        <f ca="1">MIN(TblConstr[[#This Row],[Total Swamp]]/TblConstr[[#This Row],[Land]]/abyss_enforce_bonus,abyss_enforcer_cap)</f>
        <v>0</v>
      </c>
      <c r="CM22" s="251">
        <f ca="1">IF(TblMagic[[#This Row],[Active Infernal Command]]&gt;0,TblMili[[#This Row],[Unit 1]]*infernal_cmd_op,0)</f>
        <v>0</v>
      </c>
      <c r="CN22" s="252"/>
      <c r="CO22" s="252"/>
      <c r="CP22" s="252"/>
      <c r="CQ22" s="251">
        <f ca="1">MIN(6,TblMili[[#This Row],[Mystic]]+Races!$F$19)*1.8 +  IF(TblMili[[#This Row],[Mystic]]+Races!$F$19&gt;6,(TblMili[[#This Row],[Mystic]]+Races!$F$19-6)*0.2,0) - Races!$I$19</f>
        <v>1</v>
      </c>
      <c r="CR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2" s="94">
        <f ca="1">TblMili[[#This Row],[Mystic bonus]]*TblMili[[#This Row],[Unit 3]]+TblMili[[#This Row],[Druid bonus]]*TblMili[[#This Row],[Unit 4]]</f>
        <v>0</v>
      </c>
      <c r="CT22" s="155">
        <f ca="1">MIN(6,TblMili[[#This Row],[Dryad]]+Races!$F$35)*1.8 +  IF(TblMili[[#This Row],[Dryad]]+Races!$F$35&gt;6,(TblMili[[#This Row],[Dryad]]+Races!$F$35-6)*0.2,0) - Races!$I$19</f>
        <v>1</v>
      </c>
      <c r="CU22" s="94">
        <f ca="1">sylvan*(TblMili[[#This Row],[Mystic bonus]]*TblMili[[#This Row],[Unit 3]])</f>
        <v>0</v>
      </c>
      <c r="CV22" s="155">
        <f ca="1">1.8 * MIN(MAX(Races!$E$27,TblMili[[#This Row],[Rockapult]]+Races!$F$27),6)  +  0.45 * MIN(MIN(Races!$E$27,TblMili[[#This Row],[Rockapult]]+Races!$F$27),6)  +  0.2 * ( MAX(Races!$E$27-6,0) + MAX(TblMili[[#This Row],[Rockapult]]+Races!$F$27-6,0) )  -  Races!$I$20</f>
        <v>3.7000000000000011</v>
      </c>
      <c r="CW22" s="94">
        <f ca="1">gnome*(TblMili[[#This Row],[Rockapult bonus]]*TblMili[[#This Row],[Unit 3]])</f>
        <v>0</v>
      </c>
      <c r="CX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2" s="94">
        <f ca="1">dark_elf*(TblMili[[#This Row],[Adept bonus]]*TblMili[[#This Row],[Unit 3]])</f>
        <v>0</v>
      </c>
      <c r="CZ22" s="155">
        <f ca="1">1.8 * MIN(MAX(TblMili[[#This Row],[Frost Mage]]+Races!$F$71,Races!$E$71),6)  +  0.45 * MIN(MIN(TblMili[[#This Row],[Frost Mage]]+Races!$F$71,Races!$E$71),6)  +  0.2 * ( MAX(TblMili[[#This Row],[Frost Mage]]+Races!$F$71-6,0) + MAX(Races!$E$71-6,0) )  -  Races!$I$71</f>
        <v>6.15</v>
      </c>
      <c r="DA22" s="155">
        <f ca="1">1.8 * MIN(MAX(TblMili[[#This Row],[Ice Elemental]]+Races!$E$71,Races!$F$71),6)  +  0.45 * MIN(MIN(TblMili[[#This Row],[Ice Elemental]]+Races!$E$71,Races!$F$71),6)  +  0.2 * ( MAX(TblMili[[#This Row],[Ice Elemental]]+Races!$E$71-6,0) + MAX(Races!$F$71-6,0) )  -  Races!$I$71</f>
        <v>0.75</v>
      </c>
      <c r="DB22" s="94">
        <f ca="1">TblMili[[#This Row],[Frost Mage bonus]]*TblMili[[#This Row],[Unit 3]]+TblMili[[#This Row],[Ice Elemental bonus]]*TblMili[[#This Row],[Unit 4]]</f>
        <v>0</v>
      </c>
      <c r="DC22" s="253"/>
      <c r="DD22" s="143">
        <f ca="1">MIN(SUM(TblConstr[[#This Row],[Plain]:[Water]])/TblMili[[#This Row],[Land]]/favorable_terrain_bonus/100,favorable_terrain_max)</f>
        <v>0.1</v>
      </c>
      <c r="DE22" s="253"/>
      <c r="DF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2" s="142"/>
      <c r="DH22" s="254">
        <f ca="1">(TblMili[[#This Row],[Wizards]]+2*TblMili[[#This Row],[Archmages]])/TblConstr[[#This Row],[Land]]</f>
        <v>0</v>
      </c>
      <c r="DI22" s="254">
        <f ca="1">TblMili[[#This Row],[Raw (2)]]*(1+race_wizard_strength+IF(TblMili[[#This Row],[Hour]]&gt;72,tech_magical_weaponry_wiz*TblTech[[#This Row],[3-5]],0))</f>
        <v>0</v>
      </c>
    </row>
    <row r="23" spans="1:113" hidden="1" x14ac:dyDescent="0.2">
      <c r="A23" s="137">
        <f>TblRezone[[#This Row],[Hour]]</f>
        <v>20</v>
      </c>
      <c r="B23" s="246">
        <f ca="1">SUM(TblMili[[#This Row],[Unit 1]:[Archmages]])+SUM(OFFSET(TblMili[[#This Row],[Train Unit 1]],-8,0):TblMili[[#This Row],[Train Unit 2]]) + SUM(OFFSET(TblMili[[#This Row],[Train Unit 3]],-11,0):TblMili[[#This Row],[Train AM]]) + TblMili[[#This Row],[Draftees]]</f>
        <v>255</v>
      </c>
      <c r="C23" s="157">
        <f ca="1">TblPop[[#This Row],[Military%]]</f>
        <v>0.27960526315789475</v>
      </c>
      <c r="D23" s="142"/>
      <c r="E23" s="45">
        <f ca="1">OFFSET(TblMili[[#This Row],[Unit 1]],-1,0) + OFFSET(TblMili[[#This Row],[Train Unit 1]],-9,0) - TblMili[[#This Row],[Release Unit 1]] + OFFSET(TblMili[[#This Row],[DnD_Zombies]],-12,0)</f>
        <v>0</v>
      </c>
      <c r="F23" s="45">
        <f ca="1">OFFSET(TblMili[[#This Row],[Unit 2]],-1,0) + OFFSET(TblMili[[#This Row],[Train Unit 2]],-9,0)-TblMili[[#This Row],[Release Unit 2]]</f>
        <v>0</v>
      </c>
      <c r="G23" s="45">
        <f ca="1">OFFSET(TblMili[[#This Row],[Unit 3]],-1,0) + OFFSET(TblMili[[#This Row],[Train Unit 3]],-12,0)-TblMili[[#This Row],[Release Unit 3]]</f>
        <v>0</v>
      </c>
      <c r="H23" s="45">
        <f ca="1">OFFSET(TblMili[[#This Row],[Unit 4]],-1,0) + OFFSET(TblMili[[#This Row],[Train Unit 4]],-12,0)-TblMili[[#This Row],[Release Unit 4]]</f>
        <v>0</v>
      </c>
      <c r="I23" s="45">
        <f ca="1">OFFSET(TblMili[[#This Row],[Spies]],-1,0) + OFFSET(TblMili[[#This Row],[Train Spies]],-12,0) - TblMili[[#This Row],[Release Spies]]-TblMili[[#This Row],[Train AS]]</f>
        <v>0</v>
      </c>
      <c r="J23" s="45">
        <f ca="1">OFFSET(TblMili[[#This Row],[Archspies]],-1,0) + OFFSET(TblMili[[#This Row],[Train AS]],-12,0) - TblMili[[#This Row],[Release AS]]</f>
        <v>0</v>
      </c>
      <c r="K23" s="45">
        <f ca="1">OFFSET(TblMili[[#This Row],[Wizards]],-1,0) + OFFSET(TblMili[[#This Row],[Train Wiz]],-12,0) - TblMili[[#This Row],[Release Wizards]]-TblMili[[#This Row],[Train AM]]</f>
        <v>0</v>
      </c>
      <c r="L23" s="45">
        <f ca="1">OFFSET(TblMili[[#This Row],[Archmages]],-1,0) + OFFSET(TblMili[[#This Row],[Train AM]],-12,0) - TblMili[[#This Row],[Release AM]]</f>
        <v>0</v>
      </c>
      <c r="M23" s="142"/>
      <c r="N23" s="94">
        <f ca="1">TblProd[[#This Row],[Networth]]</f>
        <v>2450</v>
      </c>
      <c r="O23" s="142"/>
      <c r="P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3" s="247">
        <f ca="1">TblMili[[#This Row],[Raw]]*(1+TblMili[[#This Row],[Mods_Off]])</f>
        <v>0</v>
      </c>
      <c r="S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3" s="247">
        <f ca="1">TblMili[[#This Row],[Non Draft]]+TblMili[[#This Row],[Draftees]]</f>
        <v>255</v>
      </c>
      <c r="U23" s="248">
        <f ca="1">race_defense + TblImps[[#This Row],[Walls]] + ROUND( MIN(gt_bonus*TblConstr[[#This Row],[Tot GT]]/TblConstr[[#This Row],[Land]],gt_bonus_cap), 4) + IF(TblMagic[[#This Row],[Active Howling]]&gt;0,howling_dp_bonus,IF(TblMagic[[#This Row],[Active Ares Call]]&gt;0,ares_call_bonus))</f>
        <v>0</v>
      </c>
      <c r="V23" s="249">
        <f ca="1">TblMili[[#This Row],[Non Draft]] * (1 + TblMili[[#This Row],[Mods_Def]])</f>
        <v>0</v>
      </c>
      <c r="W23" s="247">
        <f ca="1">TblMili[[#This Row],[Draft]] * (1 + TblMili[[#This Row],[Mods_Def]])</f>
        <v>255</v>
      </c>
      <c r="X23" s="247">
        <f ca="1">TblConstr[[#This Row],[Land]]</f>
        <v>110</v>
      </c>
      <c r="Y23" s="156"/>
      <c r="Z23" s="255">
        <f ca="1">IF(TblMili[[#This Row],[Set]]&lt;&gt;"",TblMili[[#This Row],[Set]],OFFSET(TblMili[[#This Row],[Draftrate]],-1,0))</f>
        <v>0.9</v>
      </c>
      <c r="AA23" s="94">
        <f ca="1">OFFSET(TblMili[[#This Row],[Draftees]],-1,0)+OFFSET(TblPop[[#This Row],[Draft Growth]],-1,0) - SUM(TblMili[[#This Row],[Train Unit 1]:[Train Spies]],TblMili[[#This Row],[Train Wiz]],TblMili[[#This Row],[DnD_Zombies]]) - TblMili[[#This Row],[Release Draft]] + SUM(TblMili[[#This Row],[Release Unit 1]:[Release AM]]) - TblExplore[[#This Row],[Draftees (2)]]</f>
        <v>255</v>
      </c>
      <c r="AB23" s="154"/>
      <c r="AC23" s="180">
        <f ca="1">(TblConstr[[#This Row],[Tot Smi]]+TblConstr[[#This Row],[Dest Smi]])/(TblConstr[[#This Row],[Land]]-TblExplore[[#This Row],[Land Bonus]]*20)</f>
        <v>0</v>
      </c>
      <c r="AD23" s="137"/>
      <c r="AE23" s="246">
        <f>TblMili[[#This Row],[Hour]]</f>
        <v>20</v>
      </c>
      <c r="AF23" s="138">
        <f ca="1">TblExplore[[#This Row],[Time]]</f>
        <v>46047.791666666621</v>
      </c>
      <c r="AO23" s="420">
        <f ca="1">ROUND(IF(AND(TblMagic[[#This Row],[Active DnD]]&lt;12,TblMagic[[#This Row],[Active DnD]]&gt;5),OFFSET(TblPop[[#This Row],[Draft Growth]],-1,0)*0.375,0),0)</f>
        <v>0</v>
      </c>
      <c r="AP23" s="142"/>
      <c r="AQ23" s="94">
        <f ca="1">TblProd[[#This Row],[Platinum]]</f>
        <v>78354</v>
      </c>
      <c r="AR23" s="94">
        <f ca="1">INDEX(TblProd[[#Headers],[Lumber]]:TblProd[[#This Row],[Ore]],COUNTA(TblProd[[#Headers],[Lumber]]:TblProd[[#This Row],[Lumber]]),MATCH(Military!$AR$2,TblProd[[#Headers],[Lumber]:[Ore]],0))</f>
        <v>0</v>
      </c>
      <c r="AS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3" s="94">
        <f ca="1">TblMili[[#This Row],[Train Unit 1]]*TblMili[[#This Row],[OP Ore]]+TblMili[[#This Row],[Train Unit 2]]*TblMili[[#This Row],[DP Ore]]+TblMili[[#This Row],[Train Unit 3]]*TblMili[[#This Row],[E1 Ore]]+TblMili[[#This Row],[Train Unit 4]]*TblMili[[#This Row],[E2 Ore]]</f>
        <v>0</v>
      </c>
      <c r="AU23" s="142">
        <f>TblMili[[#This Row],[Hour]]</f>
        <v>20</v>
      </c>
      <c r="AV23" s="152">
        <f ca="1">TblMili[[#This Row],[Time]]</f>
        <v>46047.791666666621</v>
      </c>
      <c r="AW23" s="94">
        <f ca="1">TblMili[[#This Row],[Draftees]]</f>
        <v>255</v>
      </c>
      <c r="BG23" s="142"/>
      <c r="BH23" s="157">
        <f ca="1">TblConstr[[#This Row],[Tot WG]]/TblConstr[[#This Row],[Land]]</f>
        <v>0</v>
      </c>
      <c r="BI23" s="157">
        <f ca="1">TblConstr[[#This Row],[Tot Hav]]/TblConstr[[#This Row],[Land]]</f>
        <v>0</v>
      </c>
      <c r="BJ23" s="94">
        <f ca="1">ROUNDUP((1-MIN(TblMili[[#This Row],[Smithies]]*smithy_bonus,smithy_bonus_cap) + tech_3_5*TblTech[[#This Row],[3-5]] + tech_5_3*TblTech[[#This Row],[5-3]] + tech_5_5*TblTech[[#This Row],[5-5]])*spec_op_plat,0)</f>
        <v>275</v>
      </c>
      <c r="BK23" s="94">
        <f ca="1">ROUNDUP(IF(race="Gnome",1,(1-MIN(TblMili[[#This Row],[Smithies]]*smithy_bonus,smithy_bonus_cap) + tech_3_5*TblTech[[#This Row],[3-5]] + tech_5_3*TblTech[[#This Row],[5-3]] + tech_5_5*TblTech[[#This Row],[5-5]]))*spec_op_ore,0)</f>
        <v>25</v>
      </c>
      <c r="BL23" s="94">
        <f ca="1">ROUNDUP((1-MIN(TblMili[[#This Row],[Smithies]]*smithy_bonus,smithy_bonus_cap) + tech_3_5*TblTech[[#This Row],[3-5]] + tech_5_3*TblTech[[#This Row],[5-3]] + tech_5_5*TblTech[[#This Row],[5-5]])*spec_dp_plat,0)</f>
        <v>275</v>
      </c>
      <c r="BM23" s="94">
        <f ca="1">ROUNDUP(IF(race="Gnome",1,(1-MIN(TblMili[[#This Row],[Smithies]]*smithy_bonus,smithy_bonus_cap) + tech_3_5*TblTech[[#This Row],[3-5]] + tech_5_3*TblTech[[#This Row],[5-3]] + tech_5_5*TblTech[[#This Row],[5-5]]))*spec_dp_ore,0)</f>
        <v>15</v>
      </c>
      <c r="BN23" s="94">
        <f ca="1">ROUNDUP((1-MIN(TblMili[[#This Row],[Smithies]]*smithy_bonus,smithy_bonus_cap) + tech_3_5*TblTech[[#This Row],[3-5]] + tech_5_3*TblTech[[#This Row],[5-3]] + tech_5_5*TblTech[[#This Row],[5-5]])*elite1_plat,0)</f>
        <v>1040</v>
      </c>
      <c r="BO23" s="94">
        <f ca="1">ROUNDUP(IF(race="Gnome",1,(1-MIN(TblMili[[#This Row],[Smithies]]*smithy_bonus,smithy_bonus_cap) + tech_3_5*TblTech[[#This Row],[3-5]] + tech_5_3*TblTech[[#This Row],[5-3]] + tech_5_5*TblTech[[#This Row],[5-5]]))*elite1_ore,0)</f>
        <v>75</v>
      </c>
      <c r="BP23" s="94">
        <f ca="1">ROUNDUP((1-MIN(TblMili[[#This Row],[Smithies]]*smithy_bonus,smithy_bonus_cap) + tech_3_5*TblTech[[#This Row],[3-5]] + tech_5_3*TblTech[[#This Row],[5-3]] + tech_5_5*TblTech[[#This Row],[5-5]])*elite2_plat,0)</f>
        <v>1280</v>
      </c>
      <c r="BQ23" s="94">
        <f ca="1">ROUNDUP(IF(race="Gnome",1,(1-MIN(TblMili[[#This Row],[Smithies]]*smithy_bonus,smithy_bonus_cap) + tech_3_5*TblTech[[#This Row],[3-5]] + tech_5_3*TblTech[[#This Row],[5-3]] + tech_5_5*TblTech[[#This Row],[5-5]]))*elite2_ore,0)</f>
        <v>100</v>
      </c>
      <c r="BR23" s="94">
        <f ca="1">ROUNDUP((1-MIN(ROUND(fh_spy_cost_red*TblMili[[#This Row],[FH''s]],4),fh_spy_cost_cap)+ tech_1_9*TblTech[[#This Row],[1-9]] + tech_9_1*TblTech[[#This Row],[9-1]])*spy_plat,0)</f>
        <v>500</v>
      </c>
      <c r="BS23" s="94">
        <f ca="1">ROUNDUP((1-MIN(ROUND(fh_spy_cost_red*TblMili[[#This Row],[FH''s]],4),fh_spy_cost_cap)+ tech_1_9*TblTech[[#This Row],[1-9]] + tech_9_1*TblTech[[#This Row],[9-1]])*archspy_plat,0)</f>
        <v>1000</v>
      </c>
      <c r="BT23" s="94">
        <f ca="1">ROUNDUP((1-MIN(ROUND(wg_wiz_cost_bonus*TblMili[[#This Row],[WG''s]],4),wg_wiz_cost_cap) + tech_1_9_2*TblTech[[#This Row],[1-9]] + tech_9_1_2*TblTech[[#This Row],[9-1]])*wizard_plat,0)</f>
        <v>500</v>
      </c>
      <c r="BU23" s="94">
        <f ca="1">ROUNDUP((1-MIN(ROUND(wg_wiz_cost_bonus*TblMili[[#This Row],[WG''s]],4),wg_wiz_cost_cap) + tech_1_9_2*TblTech[[#This Row],[1-9]] + tech_9_1_2*TblTech[[#This Row],[9-1]])*archmage_plat,0)</f>
        <v>1000</v>
      </c>
      <c r="BV23" s="142"/>
      <c r="BW23" s="157">
        <f ca="1">TblConstr[[#This Row],[Homeland]]/TblConstr[[#This Row],[Land]]</f>
        <v>0.81818181818181823</v>
      </c>
      <c r="BX23" s="157">
        <f ca="1">TblMili[[#This Row],[WG''s]]</f>
        <v>0</v>
      </c>
      <c r="BY23" s="251">
        <f ca="1">IF(mystic_cap="none",TblMili[[#This Row],[Homeland%]]/mystic_bonus,MIN(mystic_cap,TblMili[[#This Row],[Homeland%]]/mystic_bonus))</f>
        <v>2</v>
      </c>
      <c r="BZ23" s="251">
        <f ca="1">IF(druid_op_cap="none",TblMili[[#This Row],[Homeland%]]/druid_op_bonus,MIN(druid_op_cap,TblMili[[#This Row],[Homeland%]]/druid_op_bonus))</f>
        <v>2</v>
      </c>
      <c r="CA23" s="251">
        <f ca="1">IF(druid_dp_cap="none",TblMili[[#This Row],[Homeland%]]/druid_dp_bonus,MIN(druid_dp_cap,TblMili[[#This Row],[Homeland%]]/druid_dp_bonus))</f>
        <v>2</v>
      </c>
      <c r="CB23" s="251">
        <f ca="1">MIN(dryad_cap,TblMili[[#This Row],[Homeland%]]/dryad_bonus)</f>
        <v>4</v>
      </c>
      <c r="CC23" s="251">
        <f ca="1">MIN(rocka_cap,TblMili[[#This Row],[Homeland%]]/rocka_bonus)</f>
        <v>2</v>
      </c>
      <c r="CD23" s="251">
        <f ca="1">MIN(adept_op_cap,TblMili[[#This Row],[WG]]/adept_op_bonus)</f>
        <v>0</v>
      </c>
      <c r="CE23" s="251">
        <f ca="1">MIN(adept_dp_cap,TblMili[[#This Row],[WG]]/adept_dp_bonus)</f>
        <v>0</v>
      </c>
      <c r="CF23" s="94">
        <f ca="1">MIN(TblMili[[#This Row],[Unit 3]],TblMili[[#This Row],[Unit 2]])*2</f>
        <v>0</v>
      </c>
      <c r="CG23" s="94">
        <f ca="1">MIN(TblMili[[#This Row],[Unit 1]],TblMili[[#This Row],[Unit 4]])*2</f>
        <v>0</v>
      </c>
      <c r="CH23" s="251">
        <f ca="1">MIN(frost_mage_cap,TblMili[[#This Row],[Homeland%]]/frost_mage_bonus)</f>
        <v>3</v>
      </c>
      <c r="CI23" s="45">
        <f ca="1">MIN(ice_elem_cap,TblMili[[#This Row],[Raw (2)]]*ice_elem_bonus)</f>
        <v>0</v>
      </c>
      <c r="CJ23" s="251">
        <f t="shared" si="0"/>
        <v>0.83333333333333337</v>
      </c>
      <c r="CK23" s="251">
        <f ca="1">MIN(nox_nightshade_cap,TblConstr[[#This Row],[Homeland]]/TblConstr[[#This Row],[Land]]/nox_nightshade_swamp_bonus)</f>
        <v>4</v>
      </c>
      <c r="CL23" s="251">
        <f ca="1">MIN(TblConstr[[#This Row],[Total Swamp]]/TblConstr[[#This Row],[Land]]/abyss_enforce_bonus,abyss_enforcer_cap)</f>
        <v>0</v>
      </c>
      <c r="CM23" s="251">
        <f ca="1">IF(TblMagic[[#This Row],[Active Infernal Command]]&gt;0,TblMili[[#This Row],[Unit 1]]*infernal_cmd_op,0)</f>
        <v>0</v>
      </c>
      <c r="CN23" s="252"/>
      <c r="CO23" s="252"/>
      <c r="CP23" s="252"/>
      <c r="CQ23" s="251">
        <f ca="1">MIN(6,TblMili[[#This Row],[Mystic]]+Races!$F$19)*1.8 +  IF(TblMili[[#This Row],[Mystic]]+Races!$F$19&gt;6,(TblMili[[#This Row],[Mystic]]+Races!$F$19-6)*0.2,0) - Races!$I$19</f>
        <v>1</v>
      </c>
      <c r="CR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3" s="94">
        <f ca="1">TblMili[[#This Row],[Mystic bonus]]*TblMili[[#This Row],[Unit 3]]+TblMili[[#This Row],[Druid bonus]]*TblMili[[#This Row],[Unit 4]]</f>
        <v>0</v>
      </c>
      <c r="CT23" s="155">
        <f ca="1">MIN(6,TblMili[[#This Row],[Dryad]]+Races!$F$35)*1.8 +  IF(TblMili[[#This Row],[Dryad]]+Races!$F$35&gt;6,(TblMili[[#This Row],[Dryad]]+Races!$F$35-6)*0.2,0) - Races!$I$19</f>
        <v>1</v>
      </c>
      <c r="CU23" s="94">
        <f ca="1">sylvan*(TblMili[[#This Row],[Mystic bonus]]*TblMili[[#This Row],[Unit 3]])</f>
        <v>0</v>
      </c>
      <c r="CV23" s="155">
        <f ca="1">1.8 * MIN(MAX(Races!$E$27,TblMili[[#This Row],[Rockapult]]+Races!$F$27),6)  +  0.45 * MIN(MIN(Races!$E$27,TblMili[[#This Row],[Rockapult]]+Races!$F$27),6)  +  0.2 * ( MAX(Races!$E$27-6,0) + MAX(TblMili[[#This Row],[Rockapult]]+Races!$F$27-6,0) )  -  Races!$I$20</f>
        <v>3.7000000000000011</v>
      </c>
      <c r="CW23" s="94">
        <f ca="1">gnome*(TblMili[[#This Row],[Rockapult bonus]]*TblMili[[#This Row],[Unit 3]])</f>
        <v>0</v>
      </c>
      <c r="CX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3" s="94">
        <f ca="1">dark_elf*(TblMili[[#This Row],[Adept bonus]]*TblMili[[#This Row],[Unit 3]])</f>
        <v>0</v>
      </c>
      <c r="CZ23" s="155">
        <f ca="1">1.8 * MIN(MAX(TblMili[[#This Row],[Frost Mage]]+Races!$F$71,Races!$E$71),6)  +  0.45 * MIN(MIN(TblMili[[#This Row],[Frost Mage]]+Races!$F$71,Races!$E$71),6)  +  0.2 * ( MAX(TblMili[[#This Row],[Frost Mage]]+Races!$F$71-6,0) + MAX(Races!$E$71-6,0) )  -  Races!$I$71</f>
        <v>6.15</v>
      </c>
      <c r="DA23" s="155">
        <f ca="1">1.8 * MIN(MAX(TblMili[[#This Row],[Ice Elemental]]+Races!$E$71,Races!$F$71),6)  +  0.45 * MIN(MIN(TblMili[[#This Row],[Ice Elemental]]+Races!$E$71,Races!$F$71),6)  +  0.2 * ( MAX(TblMili[[#This Row],[Ice Elemental]]+Races!$E$71-6,0) + MAX(Races!$F$71-6,0) )  -  Races!$I$71</f>
        <v>0.75</v>
      </c>
      <c r="DB23" s="94">
        <f ca="1">TblMili[[#This Row],[Frost Mage bonus]]*TblMili[[#This Row],[Unit 3]]+TblMili[[#This Row],[Ice Elemental bonus]]*TblMili[[#This Row],[Unit 4]]</f>
        <v>0</v>
      </c>
      <c r="DC23" s="253"/>
      <c r="DD23" s="143">
        <f ca="1">MIN(SUM(TblConstr[[#This Row],[Plain]:[Water]])/TblMili[[#This Row],[Land]]/favorable_terrain_bonus/100,favorable_terrain_max)</f>
        <v>0.1</v>
      </c>
      <c r="DE23" s="253"/>
      <c r="DF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3" s="142"/>
      <c r="DH23" s="254">
        <f ca="1">(TblMili[[#This Row],[Wizards]]+2*TblMili[[#This Row],[Archmages]])/TblConstr[[#This Row],[Land]]</f>
        <v>0</v>
      </c>
      <c r="DI23" s="254">
        <f ca="1">TblMili[[#This Row],[Raw (2)]]*(1+race_wizard_strength+IF(TblMili[[#This Row],[Hour]]&gt;72,tech_magical_weaponry_wiz*TblTech[[#This Row],[3-5]],0))</f>
        <v>0</v>
      </c>
    </row>
    <row r="24" spans="1:113" hidden="1" x14ac:dyDescent="0.2">
      <c r="A24" s="137">
        <f>TblRezone[[#This Row],[Hour]]</f>
        <v>21</v>
      </c>
      <c r="B24" s="246">
        <f ca="1">SUM(TblMili[[#This Row],[Unit 1]:[Archmages]])+SUM(OFFSET(TblMili[[#This Row],[Train Unit 1]],-8,0):TblMili[[#This Row],[Train Unit 2]]) + SUM(OFFSET(TblMili[[#This Row],[Train Unit 3]],-11,0):TblMili[[#This Row],[Train AM]]) + TblMili[[#This Row],[Draftees]]</f>
        <v>262</v>
      </c>
      <c r="C24" s="157">
        <f ca="1">TblPop[[#This Row],[Military%]]</f>
        <v>0.2811158798283262</v>
      </c>
      <c r="D24" s="142"/>
      <c r="E24" s="45">
        <f ca="1">OFFSET(TblMili[[#This Row],[Unit 1]],-1,0) + OFFSET(TblMili[[#This Row],[Train Unit 1]],-9,0) - TblMili[[#This Row],[Release Unit 1]] + OFFSET(TblMili[[#This Row],[DnD_Zombies]],-12,0)</f>
        <v>0</v>
      </c>
      <c r="F24" s="45">
        <f ca="1">OFFSET(TblMili[[#This Row],[Unit 2]],-1,0) + OFFSET(TblMili[[#This Row],[Train Unit 2]],-9,0)-TblMili[[#This Row],[Release Unit 2]]</f>
        <v>0</v>
      </c>
      <c r="G24" s="45">
        <f ca="1">OFFSET(TblMili[[#This Row],[Unit 3]],-1,0) + OFFSET(TblMili[[#This Row],[Train Unit 3]],-12,0)-TblMili[[#This Row],[Release Unit 3]]</f>
        <v>0</v>
      </c>
      <c r="H24" s="45">
        <f ca="1">OFFSET(TblMili[[#This Row],[Unit 4]],-1,0) + OFFSET(TblMili[[#This Row],[Train Unit 4]],-12,0)-TblMili[[#This Row],[Release Unit 4]]</f>
        <v>0</v>
      </c>
      <c r="I24" s="45">
        <f ca="1">OFFSET(TblMili[[#This Row],[Spies]],-1,0) + OFFSET(TblMili[[#This Row],[Train Spies]],-12,0) - TblMili[[#This Row],[Release Spies]]-TblMili[[#This Row],[Train AS]]</f>
        <v>0</v>
      </c>
      <c r="J24" s="45">
        <f ca="1">OFFSET(TblMili[[#This Row],[Archspies]],-1,0) + OFFSET(TblMili[[#This Row],[Train AS]],-12,0) - TblMili[[#This Row],[Release AS]]</f>
        <v>0</v>
      </c>
      <c r="K24" s="45">
        <f ca="1">OFFSET(TblMili[[#This Row],[Wizards]],-1,0) + OFFSET(TblMili[[#This Row],[Train Wiz]],-12,0) - TblMili[[#This Row],[Release Wizards]]-TblMili[[#This Row],[Train AM]]</f>
        <v>0</v>
      </c>
      <c r="L24" s="45">
        <f ca="1">OFFSET(TblMili[[#This Row],[Archmages]],-1,0) + OFFSET(TblMili[[#This Row],[Train AM]],-12,0) - TblMili[[#This Row],[Release AM]]</f>
        <v>0</v>
      </c>
      <c r="M24" s="142"/>
      <c r="N24" s="94">
        <f ca="1">TblProd[[#This Row],[Networth]]</f>
        <v>2450</v>
      </c>
      <c r="O24" s="142"/>
      <c r="P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4" s="247">
        <f ca="1">TblMili[[#This Row],[Raw]]*(1+TblMili[[#This Row],[Mods_Off]])</f>
        <v>0</v>
      </c>
      <c r="S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4" s="247">
        <f ca="1">TblMili[[#This Row],[Non Draft]]+TblMili[[#This Row],[Draftees]]</f>
        <v>262</v>
      </c>
      <c r="U24" s="248">
        <f ca="1">race_defense + TblImps[[#This Row],[Walls]] + ROUND( MIN(gt_bonus*TblConstr[[#This Row],[Tot GT]]/TblConstr[[#This Row],[Land]],gt_bonus_cap), 4) + IF(TblMagic[[#This Row],[Active Howling]]&gt;0,howling_dp_bonus,IF(TblMagic[[#This Row],[Active Ares Call]]&gt;0,ares_call_bonus))</f>
        <v>0</v>
      </c>
      <c r="V24" s="249">
        <f ca="1">TblMili[[#This Row],[Non Draft]] * (1 + TblMili[[#This Row],[Mods_Def]])</f>
        <v>0</v>
      </c>
      <c r="W24" s="247">
        <f ca="1">TblMili[[#This Row],[Draft]] * (1 + TblMili[[#This Row],[Mods_Def]])</f>
        <v>262</v>
      </c>
      <c r="X24" s="247">
        <f ca="1">TblConstr[[#This Row],[Land]]</f>
        <v>110</v>
      </c>
      <c r="Y24" s="156"/>
      <c r="Z24" s="255">
        <f ca="1">IF(TblMili[[#This Row],[Set]]&lt;&gt;"",TblMili[[#This Row],[Set]],OFFSET(TblMili[[#This Row],[Draftrate]],-1,0))</f>
        <v>0.9</v>
      </c>
      <c r="AA24" s="94">
        <f ca="1">OFFSET(TblMili[[#This Row],[Draftees]],-1,0)+OFFSET(TblPop[[#This Row],[Draft Growth]],-1,0) - SUM(TblMili[[#This Row],[Train Unit 1]:[Train Spies]],TblMili[[#This Row],[Train Wiz]],TblMili[[#This Row],[DnD_Zombies]]) - TblMili[[#This Row],[Release Draft]] + SUM(TblMili[[#This Row],[Release Unit 1]:[Release AM]]) - TblExplore[[#This Row],[Draftees (2)]]</f>
        <v>262</v>
      </c>
      <c r="AB24" s="154"/>
      <c r="AC24" s="180">
        <f ca="1">(TblConstr[[#This Row],[Tot Smi]]+TblConstr[[#This Row],[Dest Smi]])/(TblConstr[[#This Row],[Land]]-TblExplore[[#This Row],[Land Bonus]]*20)</f>
        <v>0</v>
      </c>
      <c r="AD24" s="137"/>
      <c r="AE24" s="246">
        <f>TblMili[[#This Row],[Hour]]</f>
        <v>21</v>
      </c>
      <c r="AF24" s="138">
        <f ca="1">TblExplore[[#This Row],[Time]]</f>
        <v>46047.833333333285</v>
      </c>
      <c r="AO24" s="420">
        <f ca="1">ROUND(IF(AND(TblMagic[[#This Row],[Active DnD]]&lt;12,TblMagic[[#This Row],[Active DnD]]&gt;5),OFFSET(TblPop[[#This Row],[Draft Growth]],-1,0)*0.375,0),0)</f>
        <v>0</v>
      </c>
      <c r="AP24" s="142"/>
      <c r="AQ24" s="94">
        <f ca="1">TblProd[[#This Row],[Platinum]]</f>
        <v>80127</v>
      </c>
      <c r="AR24" s="94">
        <f ca="1">INDEX(TblProd[[#Headers],[Lumber]]:TblProd[[#This Row],[Ore]],COUNTA(TblProd[[#Headers],[Lumber]]:TblProd[[#This Row],[Lumber]]),MATCH(Military!$AR$2,TblProd[[#Headers],[Lumber]:[Ore]],0))</f>
        <v>0</v>
      </c>
      <c r="AS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4" s="94">
        <f ca="1">TblMili[[#This Row],[Train Unit 1]]*TblMili[[#This Row],[OP Ore]]+TblMili[[#This Row],[Train Unit 2]]*TblMili[[#This Row],[DP Ore]]+TblMili[[#This Row],[Train Unit 3]]*TblMili[[#This Row],[E1 Ore]]+TblMili[[#This Row],[Train Unit 4]]*TblMili[[#This Row],[E2 Ore]]</f>
        <v>0</v>
      </c>
      <c r="AU24" s="142">
        <f>TblMili[[#This Row],[Hour]]</f>
        <v>21</v>
      </c>
      <c r="AV24" s="152">
        <f ca="1">TblMili[[#This Row],[Time]]</f>
        <v>46047.833333333285</v>
      </c>
      <c r="AW24" s="94">
        <f ca="1">TblMili[[#This Row],[Draftees]]</f>
        <v>262</v>
      </c>
      <c r="BG24" s="142"/>
      <c r="BH24" s="157">
        <f ca="1">TblConstr[[#This Row],[Tot WG]]/TblConstr[[#This Row],[Land]]</f>
        <v>0</v>
      </c>
      <c r="BI24" s="157">
        <f ca="1">TblConstr[[#This Row],[Tot Hav]]/TblConstr[[#This Row],[Land]]</f>
        <v>0</v>
      </c>
      <c r="BJ24" s="94">
        <f ca="1">ROUNDUP((1-MIN(TblMili[[#This Row],[Smithies]]*smithy_bonus,smithy_bonus_cap) + tech_3_5*TblTech[[#This Row],[3-5]] + tech_5_3*TblTech[[#This Row],[5-3]] + tech_5_5*TblTech[[#This Row],[5-5]])*spec_op_plat,0)</f>
        <v>275</v>
      </c>
      <c r="BK24" s="94">
        <f ca="1">ROUNDUP(IF(race="Gnome",1,(1-MIN(TblMili[[#This Row],[Smithies]]*smithy_bonus,smithy_bonus_cap) + tech_3_5*TblTech[[#This Row],[3-5]] + tech_5_3*TblTech[[#This Row],[5-3]] + tech_5_5*TblTech[[#This Row],[5-5]]))*spec_op_ore,0)</f>
        <v>25</v>
      </c>
      <c r="BL24" s="94">
        <f ca="1">ROUNDUP((1-MIN(TblMili[[#This Row],[Smithies]]*smithy_bonus,smithy_bonus_cap) + tech_3_5*TblTech[[#This Row],[3-5]] + tech_5_3*TblTech[[#This Row],[5-3]] + tech_5_5*TblTech[[#This Row],[5-5]])*spec_dp_plat,0)</f>
        <v>275</v>
      </c>
      <c r="BM24" s="94">
        <f ca="1">ROUNDUP(IF(race="Gnome",1,(1-MIN(TblMili[[#This Row],[Smithies]]*smithy_bonus,smithy_bonus_cap) + tech_3_5*TblTech[[#This Row],[3-5]] + tech_5_3*TblTech[[#This Row],[5-3]] + tech_5_5*TblTech[[#This Row],[5-5]]))*spec_dp_ore,0)</f>
        <v>15</v>
      </c>
      <c r="BN24" s="94">
        <f ca="1">ROUNDUP((1-MIN(TblMili[[#This Row],[Smithies]]*smithy_bonus,smithy_bonus_cap) + tech_3_5*TblTech[[#This Row],[3-5]] + tech_5_3*TblTech[[#This Row],[5-3]] + tech_5_5*TblTech[[#This Row],[5-5]])*elite1_plat,0)</f>
        <v>1040</v>
      </c>
      <c r="BO24" s="94">
        <f ca="1">ROUNDUP(IF(race="Gnome",1,(1-MIN(TblMili[[#This Row],[Smithies]]*smithy_bonus,smithy_bonus_cap) + tech_3_5*TblTech[[#This Row],[3-5]] + tech_5_3*TblTech[[#This Row],[5-3]] + tech_5_5*TblTech[[#This Row],[5-5]]))*elite1_ore,0)</f>
        <v>75</v>
      </c>
      <c r="BP24" s="94">
        <f ca="1">ROUNDUP((1-MIN(TblMili[[#This Row],[Smithies]]*smithy_bonus,smithy_bonus_cap) + tech_3_5*TblTech[[#This Row],[3-5]] + tech_5_3*TblTech[[#This Row],[5-3]] + tech_5_5*TblTech[[#This Row],[5-5]])*elite2_plat,0)</f>
        <v>1280</v>
      </c>
      <c r="BQ24" s="94">
        <f ca="1">ROUNDUP(IF(race="Gnome",1,(1-MIN(TblMili[[#This Row],[Smithies]]*smithy_bonus,smithy_bonus_cap) + tech_3_5*TblTech[[#This Row],[3-5]] + tech_5_3*TblTech[[#This Row],[5-3]] + tech_5_5*TblTech[[#This Row],[5-5]]))*elite2_ore,0)</f>
        <v>100</v>
      </c>
      <c r="BR24" s="94">
        <f ca="1">ROUNDUP((1-MIN(ROUND(fh_spy_cost_red*TblMili[[#This Row],[FH''s]],4),fh_spy_cost_cap)+ tech_1_9*TblTech[[#This Row],[1-9]] + tech_9_1*TblTech[[#This Row],[9-1]])*spy_plat,0)</f>
        <v>500</v>
      </c>
      <c r="BS24" s="94">
        <f ca="1">ROUNDUP((1-MIN(ROUND(fh_spy_cost_red*TblMili[[#This Row],[FH''s]],4),fh_spy_cost_cap)+ tech_1_9*TblTech[[#This Row],[1-9]] + tech_9_1*TblTech[[#This Row],[9-1]])*archspy_plat,0)</f>
        <v>1000</v>
      </c>
      <c r="BT24" s="94">
        <f ca="1">ROUNDUP((1-MIN(ROUND(wg_wiz_cost_bonus*TblMili[[#This Row],[WG''s]],4),wg_wiz_cost_cap) + tech_1_9_2*TblTech[[#This Row],[1-9]] + tech_9_1_2*TblTech[[#This Row],[9-1]])*wizard_plat,0)</f>
        <v>500</v>
      </c>
      <c r="BU24" s="94">
        <f ca="1">ROUNDUP((1-MIN(ROUND(wg_wiz_cost_bonus*TblMili[[#This Row],[WG''s]],4),wg_wiz_cost_cap) + tech_1_9_2*TblTech[[#This Row],[1-9]] + tech_9_1_2*TblTech[[#This Row],[9-1]])*archmage_plat,0)</f>
        <v>1000</v>
      </c>
      <c r="BV24" s="142"/>
      <c r="BW24" s="157">
        <f ca="1">TblConstr[[#This Row],[Homeland]]/TblConstr[[#This Row],[Land]]</f>
        <v>0.81818181818181823</v>
      </c>
      <c r="BX24" s="157">
        <f ca="1">TblMili[[#This Row],[WG''s]]</f>
        <v>0</v>
      </c>
      <c r="BY24" s="251">
        <f ca="1">IF(mystic_cap="none",TblMili[[#This Row],[Homeland%]]/mystic_bonus,MIN(mystic_cap,TblMili[[#This Row],[Homeland%]]/mystic_bonus))</f>
        <v>2</v>
      </c>
      <c r="BZ24" s="251">
        <f ca="1">IF(druid_op_cap="none",TblMili[[#This Row],[Homeland%]]/druid_op_bonus,MIN(druid_op_cap,TblMili[[#This Row],[Homeland%]]/druid_op_bonus))</f>
        <v>2</v>
      </c>
      <c r="CA24" s="251">
        <f ca="1">IF(druid_dp_cap="none",TblMili[[#This Row],[Homeland%]]/druid_dp_bonus,MIN(druid_dp_cap,TblMili[[#This Row],[Homeland%]]/druid_dp_bonus))</f>
        <v>2</v>
      </c>
      <c r="CB24" s="251">
        <f ca="1">MIN(dryad_cap,TblMili[[#This Row],[Homeland%]]/dryad_bonus)</f>
        <v>4</v>
      </c>
      <c r="CC24" s="251">
        <f ca="1">MIN(rocka_cap,TblMili[[#This Row],[Homeland%]]/rocka_bonus)</f>
        <v>2</v>
      </c>
      <c r="CD24" s="251">
        <f ca="1">MIN(adept_op_cap,TblMili[[#This Row],[WG]]/adept_op_bonus)</f>
        <v>0</v>
      </c>
      <c r="CE24" s="251">
        <f ca="1">MIN(adept_dp_cap,TblMili[[#This Row],[WG]]/adept_dp_bonus)</f>
        <v>0</v>
      </c>
      <c r="CF24" s="94">
        <f ca="1">MIN(TblMili[[#This Row],[Unit 3]],TblMili[[#This Row],[Unit 2]])*2</f>
        <v>0</v>
      </c>
      <c r="CG24" s="94">
        <f ca="1">MIN(TblMili[[#This Row],[Unit 1]],TblMili[[#This Row],[Unit 4]])*2</f>
        <v>0</v>
      </c>
      <c r="CH24" s="251">
        <f ca="1">MIN(frost_mage_cap,TblMili[[#This Row],[Homeland%]]/frost_mage_bonus)</f>
        <v>3</v>
      </c>
      <c r="CI24" s="45">
        <f ca="1">MIN(ice_elem_cap,TblMili[[#This Row],[Raw (2)]]*ice_elem_bonus)</f>
        <v>0</v>
      </c>
      <c r="CJ24" s="251">
        <f t="shared" si="0"/>
        <v>0.83333333333333337</v>
      </c>
      <c r="CK24" s="251">
        <f ca="1">MIN(nox_nightshade_cap,TblConstr[[#This Row],[Homeland]]/TblConstr[[#This Row],[Land]]/nox_nightshade_swamp_bonus)</f>
        <v>4</v>
      </c>
      <c r="CL24" s="251">
        <f ca="1">MIN(TblConstr[[#This Row],[Total Swamp]]/TblConstr[[#This Row],[Land]]/abyss_enforce_bonus,abyss_enforcer_cap)</f>
        <v>0</v>
      </c>
      <c r="CM24" s="251">
        <f ca="1">IF(TblMagic[[#This Row],[Active Infernal Command]]&gt;0,TblMili[[#This Row],[Unit 1]]*infernal_cmd_op,0)</f>
        <v>0</v>
      </c>
      <c r="CN24" s="252" t="s">
        <v>3</v>
      </c>
      <c r="CO24" s="252" t="b">
        <f>CN24=secondary_resource</f>
        <v>1</v>
      </c>
      <c r="CP24" s="252"/>
      <c r="CQ24" s="251">
        <f ca="1">MIN(6,TblMili[[#This Row],[Mystic]]+Races!$F$19)*1.8 +  IF(TblMili[[#This Row],[Mystic]]+Races!$F$19&gt;6,(TblMili[[#This Row],[Mystic]]+Races!$F$19-6)*0.2,0) - Races!$I$19</f>
        <v>1</v>
      </c>
      <c r="CR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4" s="94">
        <f ca="1">TblMili[[#This Row],[Mystic bonus]]*TblMili[[#This Row],[Unit 3]]+TblMili[[#This Row],[Druid bonus]]*TblMili[[#This Row],[Unit 4]]</f>
        <v>0</v>
      </c>
      <c r="CT24" s="155">
        <f ca="1">MIN(6,TblMili[[#This Row],[Dryad]]+Races!$F$35)*1.8 +  IF(TblMili[[#This Row],[Dryad]]+Races!$F$35&gt;6,(TblMili[[#This Row],[Dryad]]+Races!$F$35-6)*0.2,0) - Races!$I$19</f>
        <v>1</v>
      </c>
      <c r="CU24" s="94">
        <f ca="1">sylvan*(TblMili[[#This Row],[Mystic bonus]]*TblMili[[#This Row],[Unit 3]])</f>
        <v>0</v>
      </c>
      <c r="CV24" s="155">
        <f ca="1">1.8 * MIN(MAX(Races!$E$27,TblMili[[#This Row],[Rockapult]]+Races!$F$27),6)  +  0.45 * MIN(MIN(Races!$E$27,TblMili[[#This Row],[Rockapult]]+Races!$F$27),6)  +  0.2 * ( MAX(Races!$E$27-6,0) + MAX(TblMili[[#This Row],[Rockapult]]+Races!$F$27-6,0) )  -  Races!$I$20</f>
        <v>3.7000000000000011</v>
      </c>
      <c r="CW24" s="94">
        <f ca="1">gnome*(TblMili[[#This Row],[Rockapult bonus]]*TblMili[[#This Row],[Unit 3]])</f>
        <v>0</v>
      </c>
      <c r="CX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4" s="94">
        <f ca="1">dark_elf*(TblMili[[#This Row],[Adept bonus]]*TblMili[[#This Row],[Unit 3]])</f>
        <v>0</v>
      </c>
      <c r="CZ24" s="155">
        <f ca="1">1.8 * MIN(MAX(TblMili[[#This Row],[Frost Mage]]+Races!$F$71,Races!$E$71),6)  +  0.45 * MIN(MIN(TblMili[[#This Row],[Frost Mage]]+Races!$F$71,Races!$E$71),6)  +  0.2 * ( MAX(TblMili[[#This Row],[Frost Mage]]+Races!$F$71-6,0) + MAX(Races!$E$71-6,0) )  -  Races!$I$71</f>
        <v>6.15</v>
      </c>
      <c r="DA24" s="155">
        <f ca="1">1.8 * MIN(MAX(TblMili[[#This Row],[Ice Elemental]]+Races!$E$71,Races!$F$71),6)  +  0.45 * MIN(MIN(TblMili[[#This Row],[Ice Elemental]]+Races!$E$71,Races!$F$71),6)  +  0.2 * ( MAX(TblMili[[#This Row],[Ice Elemental]]+Races!$E$71-6,0) + MAX(Races!$F$71-6,0) )  -  Races!$I$71</f>
        <v>0.75</v>
      </c>
      <c r="DB24" s="94">
        <f ca="1">TblMili[[#This Row],[Frost Mage bonus]]*TblMili[[#This Row],[Unit 3]]+TblMili[[#This Row],[Ice Elemental bonus]]*TblMili[[#This Row],[Unit 4]]</f>
        <v>0</v>
      </c>
      <c r="DC24" s="253"/>
      <c r="DD24" s="143">
        <f ca="1">MIN(SUM(TblConstr[[#This Row],[Plain]:[Water]])/TblMili[[#This Row],[Land]]/favorable_terrain_bonus/100,favorable_terrain_max)</f>
        <v>0.1</v>
      </c>
      <c r="DE24" s="253"/>
      <c r="DF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4" s="142"/>
      <c r="DH24" s="254">
        <f ca="1">(TblMili[[#This Row],[Wizards]]+2*TblMili[[#This Row],[Archmages]])/TblConstr[[#This Row],[Land]]</f>
        <v>0</v>
      </c>
      <c r="DI24" s="254">
        <f ca="1">TblMili[[#This Row],[Raw (2)]]*(1+race_wizard_strength+IF(TblMili[[#This Row],[Hour]]&gt;72,tech_magical_weaponry_wiz*TblTech[[#This Row],[3-5]],0))</f>
        <v>0</v>
      </c>
    </row>
    <row r="25" spans="1:113" hidden="1" x14ac:dyDescent="0.2">
      <c r="A25" s="137">
        <f>TblRezone[[#This Row],[Hour]]</f>
        <v>22</v>
      </c>
      <c r="B25" s="246">
        <f ca="1">SUM(TblMili[[#This Row],[Unit 1]:[Archmages]])+SUM(OFFSET(TblMili[[#This Row],[Train Unit 1]],-8,0):TblMili[[#This Row],[Train Unit 2]]) + SUM(OFFSET(TblMili[[#This Row],[Train Unit 3]],-11,0):TblMili[[#This Row],[Train AM]]) + TblMili[[#This Row],[Draftees]]</f>
        <v>269</v>
      </c>
      <c r="C25" s="157">
        <f ca="1">TblPop[[#This Row],[Military%]]</f>
        <v>0.28256302521008403</v>
      </c>
      <c r="D25" s="142"/>
      <c r="E25" s="45">
        <f ca="1">OFFSET(TblMili[[#This Row],[Unit 1]],-1,0) + OFFSET(TblMili[[#This Row],[Train Unit 1]],-9,0) - TblMili[[#This Row],[Release Unit 1]] + OFFSET(TblMili[[#This Row],[DnD_Zombies]],-12,0)</f>
        <v>0</v>
      </c>
      <c r="F25" s="45">
        <f ca="1">OFFSET(TblMili[[#This Row],[Unit 2]],-1,0) + OFFSET(TblMili[[#This Row],[Train Unit 2]],-9,0)-TblMili[[#This Row],[Release Unit 2]]</f>
        <v>0</v>
      </c>
      <c r="G25" s="45">
        <f ca="1">OFFSET(TblMili[[#This Row],[Unit 3]],-1,0) + OFFSET(TblMili[[#This Row],[Train Unit 3]],-12,0)-TblMili[[#This Row],[Release Unit 3]]</f>
        <v>0</v>
      </c>
      <c r="H25" s="45">
        <f ca="1">OFFSET(TblMili[[#This Row],[Unit 4]],-1,0) + OFFSET(TblMili[[#This Row],[Train Unit 4]],-12,0)-TblMili[[#This Row],[Release Unit 4]]</f>
        <v>0</v>
      </c>
      <c r="I25" s="45">
        <f ca="1">OFFSET(TblMili[[#This Row],[Spies]],-1,0) + OFFSET(TblMili[[#This Row],[Train Spies]],-12,0) - TblMili[[#This Row],[Release Spies]]-TblMili[[#This Row],[Train AS]]</f>
        <v>0</v>
      </c>
      <c r="J25" s="45">
        <f ca="1">OFFSET(TblMili[[#This Row],[Archspies]],-1,0) + OFFSET(TblMili[[#This Row],[Train AS]],-12,0) - TblMili[[#This Row],[Release AS]]</f>
        <v>0</v>
      </c>
      <c r="K25" s="45">
        <f ca="1">OFFSET(TblMili[[#This Row],[Wizards]],-1,0) + OFFSET(TblMili[[#This Row],[Train Wiz]],-12,0) - TblMili[[#This Row],[Release Wizards]]-TblMili[[#This Row],[Train AM]]</f>
        <v>0</v>
      </c>
      <c r="L25" s="45">
        <f ca="1">OFFSET(TblMili[[#This Row],[Archmages]],-1,0) + OFFSET(TblMili[[#This Row],[Train AM]],-12,0) - TblMili[[#This Row],[Release AM]]</f>
        <v>0</v>
      </c>
      <c r="M25" s="142"/>
      <c r="N25" s="94">
        <f ca="1">TblProd[[#This Row],[Networth]]</f>
        <v>2450</v>
      </c>
      <c r="O25" s="142"/>
      <c r="P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5" s="247">
        <f ca="1">TblMili[[#This Row],[Raw]]*(1+TblMili[[#This Row],[Mods_Off]])</f>
        <v>0</v>
      </c>
      <c r="S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5" s="247">
        <f ca="1">TblMili[[#This Row],[Non Draft]]+TblMili[[#This Row],[Draftees]]</f>
        <v>269</v>
      </c>
      <c r="U25" s="248">
        <f ca="1">race_defense + TblImps[[#This Row],[Walls]] + ROUND( MIN(gt_bonus*TblConstr[[#This Row],[Tot GT]]/TblConstr[[#This Row],[Land]],gt_bonus_cap), 4) + IF(TblMagic[[#This Row],[Active Howling]]&gt;0,howling_dp_bonus,IF(TblMagic[[#This Row],[Active Ares Call]]&gt;0,ares_call_bonus))</f>
        <v>0</v>
      </c>
      <c r="V25" s="249">
        <f ca="1">TblMili[[#This Row],[Non Draft]] * (1 + TblMili[[#This Row],[Mods_Def]])</f>
        <v>0</v>
      </c>
      <c r="W25" s="247">
        <f ca="1">TblMili[[#This Row],[Draft]] * (1 + TblMili[[#This Row],[Mods_Def]])</f>
        <v>269</v>
      </c>
      <c r="X25" s="247">
        <f ca="1">TblConstr[[#This Row],[Land]]</f>
        <v>110</v>
      </c>
      <c r="Y25" s="156"/>
      <c r="Z25" s="255">
        <f ca="1">IF(TblMili[[#This Row],[Set]]&lt;&gt;"",TblMili[[#This Row],[Set]],OFFSET(TblMili[[#This Row],[Draftrate]],-1,0))</f>
        <v>0.9</v>
      </c>
      <c r="AA25" s="94">
        <f ca="1">OFFSET(TblMili[[#This Row],[Draftees]],-1,0)+OFFSET(TblPop[[#This Row],[Draft Growth]],-1,0) - SUM(TblMili[[#This Row],[Train Unit 1]:[Train Spies]],TblMili[[#This Row],[Train Wiz]],TblMili[[#This Row],[DnD_Zombies]]) - TblMili[[#This Row],[Release Draft]] + SUM(TblMili[[#This Row],[Release Unit 1]:[Release AM]]) - TblExplore[[#This Row],[Draftees (2)]]</f>
        <v>269</v>
      </c>
      <c r="AB25" s="154"/>
      <c r="AC25" s="180">
        <f ca="1">(TblConstr[[#This Row],[Tot Smi]]+TblConstr[[#This Row],[Dest Smi]])/(TblConstr[[#This Row],[Land]]-TblExplore[[#This Row],[Land Bonus]]*20)</f>
        <v>0</v>
      </c>
      <c r="AD25" s="137"/>
      <c r="AE25" s="246">
        <f>TblMili[[#This Row],[Hour]]</f>
        <v>22</v>
      </c>
      <c r="AF25" s="138">
        <f ca="1">TblExplore[[#This Row],[Time]]</f>
        <v>46047.874999999949</v>
      </c>
      <c r="AO25" s="420">
        <f ca="1">ROUND(IF(AND(TblMagic[[#This Row],[Active DnD]]&lt;12,TblMagic[[#This Row],[Active DnD]]&gt;5),OFFSET(TblPop[[#This Row],[Draft Growth]],-1,0)*0.375,0),0)</f>
        <v>0</v>
      </c>
      <c r="AP25" s="142"/>
      <c r="AQ25" s="94">
        <f ca="1">TblProd[[#This Row],[Platinum]]</f>
        <v>81936</v>
      </c>
      <c r="AR25" s="94">
        <f ca="1">INDEX(TblProd[[#Headers],[Lumber]]:TblProd[[#This Row],[Ore]],COUNTA(TblProd[[#Headers],[Lumber]]:TblProd[[#This Row],[Lumber]]),MATCH(Military!$AR$2,TblProd[[#Headers],[Lumber]:[Ore]],0))</f>
        <v>0</v>
      </c>
      <c r="AS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5" s="94">
        <f ca="1">TblMili[[#This Row],[Train Unit 1]]*TblMili[[#This Row],[OP Ore]]+TblMili[[#This Row],[Train Unit 2]]*TblMili[[#This Row],[DP Ore]]+TblMili[[#This Row],[Train Unit 3]]*TblMili[[#This Row],[E1 Ore]]+TblMili[[#This Row],[Train Unit 4]]*TblMili[[#This Row],[E2 Ore]]</f>
        <v>0</v>
      </c>
      <c r="AU25" s="142">
        <f>TblMili[[#This Row],[Hour]]</f>
        <v>22</v>
      </c>
      <c r="AV25" s="152">
        <f ca="1">TblMili[[#This Row],[Time]]</f>
        <v>46047.874999999949</v>
      </c>
      <c r="AW25" s="94">
        <f ca="1">TblMili[[#This Row],[Draftees]]</f>
        <v>269</v>
      </c>
      <c r="BG25" s="142"/>
      <c r="BH25" s="157">
        <f ca="1">TblConstr[[#This Row],[Tot WG]]/TblConstr[[#This Row],[Land]]</f>
        <v>0</v>
      </c>
      <c r="BI25" s="157">
        <f ca="1">TblConstr[[#This Row],[Tot Hav]]/TblConstr[[#This Row],[Land]]</f>
        <v>0</v>
      </c>
      <c r="BJ25" s="94">
        <f ca="1">ROUNDUP((1-MIN(TblMili[[#This Row],[Smithies]]*smithy_bonus,smithy_bonus_cap) + tech_3_5*TblTech[[#This Row],[3-5]] + tech_5_3*TblTech[[#This Row],[5-3]] + tech_5_5*TblTech[[#This Row],[5-5]])*spec_op_plat,0)</f>
        <v>275</v>
      </c>
      <c r="BK25" s="94">
        <f ca="1">ROUNDUP(IF(race="Gnome",1,(1-MIN(TblMili[[#This Row],[Smithies]]*smithy_bonus,smithy_bonus_cap) + tech_3_5*TblTech[[#This Row],[3-5]] + tech_5_3*TblTech[[#This Row],[5-3]] + tech_5_5*TblTech[[#This Row],[5-5]]))*spec_op_ore,0)</f>
        <v>25</v>
      </c>
      <c r="BL25" s="94">
        <f ca="1">ROUNDUP((1-MIN(TblMili[[#This Row],[Smithies]]*smithy_bonus,smithy_bonus_cap) + tech_3_5*TblTech[[#This Row],[3-5]] + tech_5_3*TblTech[[#This Row],[5-3]] + tech_5_5*TblTech[[#This Row],[5-5]])*spec_dp_plat,0)</f>
        <v>275</v>
      </c>
      <c r="BM25" s="94">
        <f ca="1">ROUNDUP(IF(race="Gnome",1,(1-MIN(TblMili[[#This Row],[Smithies]]*smithy_bonus,smithy_bonus_cap) + tech_3_5*TblTech[[#This Row],[3-5]] + tech_5_3*TblTech[[#This Row],[5-3]] + tech_5_5*TblTech[[#This Row],[5-5]]))*spec_dp_ore,0)</f>
        <v>15</v>
      </c>
      <c r="BN25" s="94">
        <f ca="1">ROUNDUP((1-MIN(TblMili[[#This Row],[Smithies]]*smithy_bonus,smithy_bonus_cap) + tech_3_5*TblTech[[#This Row],[3-5]] + tech_5_3*TblTech[[#This Row],[5-3]] + tech_5_5*TblTech[[#This Row],[5-5]])*elite1_plat,0)</f>
        <v>1040</v>
      </c>
      <c r="BO25" s="94">
        <f ca="1">ROUNDUP(IF(race="Gnome",1,(1-MIN(TblMili[[#This Row],[Smithies]]*smithy_bonus,smithy_bonus_cap) + tech_3_5*TblTech[[#This Row],[3-5]] + tech_5_3*TblTech[[#This Row],[5-3]] + tech_5_5*TblTech[[#This Row],[5-5]]))*elite1_ore,0)</f>
        <v>75</v>
      </c>
      <c r="BP25" s="94">
        <f ca="1">ROUNDUP((1-MIN(TblMili[[#This Row],[Smithies]]*smithy_bonus,smithy_bonus_cap) + tech_3_5*TblTech[[#This Row],[3-5]] + tech_5_3*TblTech[[#This Row],[5-3]] + tech_5_5*TblTech[[#This Row],[5-5]])*elite2_plat,0)</f>
        <v>1280</v>
      </c>
      <c r="BQ25" s="94">
        <f ca="1">ROUNDUP(IF(race="Gnome",1,(1-MIN(TblMili[[#This Row],[Smithies]]*smithy_bonus,smithy_bonus_cap) + tech_3_5*TblTech[[#This Row],[3-5]] + tech_5_3*TblTech[[#This Row],[5-3]] + tech_5_5*TblTech[[#This Row],[5-5]]))*elite2_ore,0)</f>
        <v>100</v>
      </c>
      <c r="BR25" s="94">
        <f ca="1">ROUNDUP((1-MIN(ROUND(fh_spy_cost_red*TblMili[[#This Row],[FH''s]],4),fh_spy_cost_cap)+ tech_1_9*TblTech[[#This Row],[1-9]] + tech_9_1*TblTech[[#This Row],[9-1]])*spy_plat,0)</f>
        <v>500</v>
      </c>
      <c r="BS25" s="94">
        <f ca="1">ROUNDUP((1-MIN(ROUND(fh_spy_cost_red*TblMili[[#This Row],[FH''s]],4),fh_spy_cost_cap)+ tech_1_9*TblTech[[#This Row],[1-9]] + tech_9_1*TblTech[[#This Row],[9-1]])*archspy_plat,0)</f>
        <v>1000</v>
      </c>
      <c r="BT25" s="94">
        <f ca="1">ROUNDUP((1-MIN(ROUND(wg_wiz_cost_bonus*TblMili[[#This Row],[WG''s]],4),wg_wiz_cost_cap) + tech_1_9_2*TblTech[[#This Row],[1-9]] + tech_9_1_2*TblTech[[#This Row],[9-1]])*wizard_plat,0)</f>
        <v>500</v>
      </c>
      <c r="BU25" s="94">
        <f ca="1">ROUNDUP((1-MIN(ROUND(wg_wiz_cost_bonus*TblMili[[#This Row],[WG''s]],4),wg_wiz_cost_cap) + tech_1_9_2*TblTech[[#This Row],[1-9]] + tech_9_1_2*TblTech[[#This Row],[9-1]])*archmage_plat,0)</f>
        <v>1000</v>
      </c>
      <c r="BV25" s="142"/>
      <c r="BW25" s="157">
        <f ca="1">TblConstr[[#This Row],[Homeland]]/TblConstr[[#This Row],[Land]]</f>
        <v>0.81818181818181823</v>
      </c>
      <c r="BX25" s="157">
        <f ca="1">TblMili[[#This Row],[WG''s]]</f>
        <v>0</v>
      </c>
      <c r="BY25" s="251">
        <f ca="1">IF(mystic_cap="none",TblMili[[#This Row],[Homeland%]]/mystic_bonus,MIN(mystic_cap,TblMili[[#This Row],[Homeland%]]/mystic_bonus))</f>
        <v>2</v>
      </c>
      <c r="BZ25" s="251">
        <f ca="1">IF(druid_op_cap="none",TblMili[[#This Row],[Homeland%]]/druid_op_bonus,MIN(druid_op_cap,TblMili[[#This Row],[Homeland%]]/druid_op_bonus))</f>
        <v>2</v>
      </c>
      <c r="CA25" s="251">
        <f ca="1">IF(druid_dp_cap="none",TblMili[[#This Row],[Homeland%]]/druid_dp_bonus,MIN(druid_dp_cap,TblMili[[#This Row],[Homeland%]]/druid_dp_bonus))</f>
        <v>2</v>
      </c>
      <c r="CB25" s="251">
        <f ca="1">MIN(dryad_cap,TblMili[[#This Row],[Homeland%]]/dryad_bonus)</f>
        <v>4</v>
      </c>
      <c r="CC25" s="251">
        <f ca="1">MIN(rocka_cap,TblMili[[#This Row],[Homeland%]]/rocka_bonus)</f>
        <v>2</v>
      </c>
      <c r="CD25" s="251">
        <f ca="1">MIN(adept_op_cap,TblMili[[#This Row],[WG]]/adept_op_bonus)</f>
        <v>0</v>
      </c>
      <c r="CE25" s="251">
        <f ca="1">MIN(adept_dp_cap,TblMili[[#This Row],[WG]]/adept_dp_bonus)</f>
        <v>0</v>
      </c>
      <c r="CF25" s="94">
        <f ca="1">MIN(TblMili[[#This Row],[Unit 3]],TblMili[[#This Row],[Unit 2]])*2</f>
        <v>0</v>
      </c>
      <c r="CG25" s="94">
        <f ca="1">MIN(TblMili[[#This Row],[Unit 1]],TblMili[[#This Row],[Unit 4]])*2</f>
        <v>0</v>
      </c>
      <c r="CH25" s="251">
        <f ca="1">MIN(frost_mage_cap,TblMili[[#This Row],[Homeland%]]/frost_mage_bonus)</f>
        <v>3</v>
      </c>
      <c r="CI25" s="45">
        <f ca="1">MIN(ice_elem_cap,TblMili[[#This Row],[Raw (2)]]*ice_elem_bonus)</f>
        <v>0</v>
      </c>
      <c r="CJ25" s="251">
        <f t="shared" si="0"/>
        <v>0.83333333333333337</v>
      </c>
      <c r="CK25" s="251">
        <f ca="1">MIN(nox_nightshade_cap,TblConstr[[#This Row],[Homeland]]/TblConstr[[#This Row],[Land]]/nox_nightshade_swamp_bonus)</f>
        <v>4</v>
      </c>
      <c r="CL25" s="251">
        <f ca="1">MIN(TblConstr[[#This Row],[Total Swamp]]/TblConstr[[#This Row],[Land]]/abyss_enforce_bonus,abyss_enforcer_cap)</f>
        <v>0</v>
      </c>
      <c r="CM25" s="251">
        <f ca="1">IF(TblMagic[[#This Row],[Active Infernal Command]]&gt;0,TblMili[[#This Row],[Unit 1]]*infernal_cmd_op,0)</f>
        <v>0</v>
      </c>
      <c r="CN25" s="252" t="s">
        <v>7</v>
      </c>
      <c r="CO25" s="252" t="b">
        <f>CN25=secondary_resource</f>
        <v>0</v>
      </c>
      <c r="CP25" s="252"/>
      <c r="CQ25" s="251">
        <f ca="1">MIN(6,TblMili[[#This Row],[Mystic]]+Races!$F$19)*1.8 +  IF(TblMili[[#This Row],[Mystic]]+Races!$F$19&gt;6,(TblMili[[#This Row],[Mystic]]+Races!$F$19-6)*0.2,0) - Races!$I$19</f>
        <v>1</v>
      </c>
      <c r="CR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5" s="94">
        <f ca="1">TblMili[[#This Row],[Mystic bonus]]*TblMili[[#This Row],[Unit 3]]+TblMili[[#This Row],[Druid bonus]]*TblMili[[#This Row],[Unit 4]]</f>
        <v>0</v>
      </c>
      <c r="CT25" s="155">
        <f ca="1">MIN(6,TblMili[[#This Row],[Dryad]]+Races!$F$35)*1.8 +  IF(TblMili[[#This Row],[Dryad]]+Races!$F$35&gt;6,(TblMili[[#This Row],[Dryad]]+Races!$F$35-6)*0.2,0) - Races!$I$19</f>
        <v>1</v>
      </c>
      <c r="CU25" s="94">
        <f ca="1">sylvan*(TblMili[[#This Row],[Mystic bonus]]*TblMili[[#This Row],[Unit 3]])</f>
        <v>0</v>
      </c>
      <c r="CV25" s="155">
        <f ca="1">1.8 * MIN(MAX(Races!$E$27,TblMili[[#This Row],[Rockapult]]+Races!$F$27),6)  +  0.45 * MIN(MIN(Races!$E$27,TblMili[[#This Row],[Rockapult]]+Races!$F$27),6)  +  0.2 * ( MAX(Races!$E$27-6,0) + MAX(TblMili[[#This Row],[Rockapult]]+Races!$F$27-6,0) )  -  Races!$I$20</f>
        <v>3.7000000000000011</v>
      </c>
      <c r="CW25" s="94">
        <f ca="1">gnome*(TblMili[[#This Row],[Rockapult bonus]]*TblMili[[#This Row],[Unit 3]])</f>
        <v>0</v>
      </c>
      <c r="CX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5" s="94">
        <f ca="1">dark_elf*(TblMili[[#This Row],[Adept bonus]]*TblMili[[#This Row],[Unit 3]])</f>
        <v>0</v>
      </c>
      <c r="CZ25" s="155">
        <f ca="1">1.8 * MIN(MAX(TblMili[[#This Row],[Frost Mage]]+Races!$F$71,Races!$E$71),6)  +  0.45 * MIN(MIN(TblMili[[#This Row],[Frost Mage]]+Races!$F$71,Races!$E$71),6)  +  0.2 * ( MAX(TblMili[[#This Row],[Frost Mage]]+Races!$F$71-6,0) + MAX(Races!$E$71-6,0) )  -  Races!$I$71</f>
        <v>6.15</v>
      </c>
      <c r="DA25" s="155">
        <f ca="1">1.8 * MIN(MAX(TblMili[[#This Row],[Ice Elemental]]+Races!$E$71,Races!$F$71),6)  +  0.45 * MIN(MIN(TblMili[[#This Row],[Ice Elemental]]+Races!$E$71,Races!$F$71),6)  +  0.2 * ( MAX(TblMili[[#This Row],[Ice Elemental]]+Races!$E$71-6,0) + MAX(Races!$F$71-6,0) )  -  Races!$I$71</f>
        <v>0.75</v>
      </c>
      <c r="DB25" s="94">
        <f ca="1">TblMili[[#This Row],[Frost Mage bonus]]*TblMili[[#This Row],[Unit 3]]+TblMili[[#This Row],[Ice Elemental bonus]]*TblMili[[#This Row],[Unit 4]]</f>
        <v>0</v>
      </c>
      <c r="DC25" s="253"/>
      <c r="DD25" s="143">
        <f ca="1">MIN(SUM(TblConstr[[#This Row],[Plain]:[Water]])/TblMili[[#This Row],[Land]]/favorable_terrain_bonus/100,favorable_terrain_max)</f>
        <v>0.1</v>
      </c>
      <c r="DE25" s="253"/>
      <c r="DF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5" s="142"/>
      <c r="DH25" s="254">
        <f ca="1">(TblMili[[#This Row],[Wizards]]+2*TblMili[[#This Row],[Archmages]])/TblConstr[[#This Row],[Land]]</f>
        <v>0</v>
      </c>
      <c r="DI25" s="254">
        <f ca="1">TblMili[[#This Row],[Raw (2)]]*(1+race_wizard_strength+IF(TblMili[[#This Row],[Hour]]&gt;72,tech_magical_weaponry_wiz*TblTech[[#This Row],[3-5]],0))</f>
        <v>0</v>
      </c>
    </row>
    <row r="26" spans="1:113" hidden="1" x14ac:dyDescent="0.2">
      <c r="A26" s="137">
        <f>TblRezone[[#This Row],[Hour]]</f>
        <v>23</v>
      </c>
      <c r="B26" s="246">
        <f ca="1">SUM(TblMili[[#This Row],[Unit 1]:[Archmages]])+SUM(OFFSET(TblMili[[#This Row],[Train Unit 1]],-8,0):TblMili[[#This Row],[Train Unit 2]]) + SUM(OFFSET(TblMili[[#This Row],[Train Unit 3]],-11,0):TblMili[[#This Row],[Train AM]]) + TblMili[[#This Row],[Draftees]]</f>
        <v>276</v>
      </c>
      <c r="C26" s="157">
        <f ca="1">TblPop[[#This Row],[Military%]]</f>
        <v>0.2839506172839506</v>
      </c>
      <c r="D26" s="142"/>
      <c r="E26" s="45">
        <f ca="1">OFFSET(TblMili[[#This Row],[Unit 1]],-1,0) + OFFSET(TblMili[[#This Row],[Train Unit 1]],-9,0) - TblMili[[#This Row],[Release Unit 1]] + OFFSET(TblMili[[#This Row],[DnD_Zombies]],-12,0)</f>
        <v>0</v>
      </c>
      <c r="F26" s="45">
        <f ca="1">OFFSET(TblMili[[#This Row],[Unit 2]],-1,0) + OFFSET(TblMili[[#This Row],[Train Unit 2]],-9,0)-TblMili[[#This Row],[Release Unit 2]]</f>
        <v>0</v>
      </c>
      <c r="G26" s="45">
        <f ca="1">OFFSET(TblMili[[#This Row],[Unit 3]],-1,0) + OFFSET(TblMili[[#This Row],[Train Unit 3]],-12,0)-TblMili[[#This Row],[Release Unit 3]]</f>
        <v>0</v>
      </c>
      <c r="H26" s="45">
        <f ca="1">OFFSET(TblMili[[#This Row],[Unit 4]],-1,0) + OFFSET(TblMili[[#This Row],[Train Unit 4]],-12,0)-TblMili[[#This Row],[Release Unit 4]]</f>
        <v>0</v>
      </c>
      <c r="I26" s="45">
        <f ca="1">OFFSET(TblMili[[#This Row],[Spies]],-1,0) + OFFSET(TblMili[[#This Row],[Train Spies]],-12,0) - TblMili[[#This Row],[Release Spies]]-TblMili[[#This Row],[Train AS]]</f>
        <v>0</v>
      </c>
      <c r="J26" s="45">
        <f ca="1">OFFSET(TblMili[[#This Row],[Archspies]],-1,0) + OFFSET(TblMili[[#This Row],[Train AS]],-12,0) - TblMili[[#This Row],[Release AS]]</f>
        <v>0</v>
      </c>
      <c r="K26" s="45">
        <f ca="1">OFFSET(TblMili[[#This Row],[Wizards]],-1,0) + OFFSET(TblMili[[#This Row],[Train Wiz]],-12,0) - TblMili[[#This Row],[Release Wizards]]-TblMili[[#This Row],[Train AM]]</f>
        <v>0</v>
      </c>
      <c r="L26" s="45">
        <f ca="1">OFFSET(TblMili[[#This Row],[Archmages]],-1,0) + OFFSET(TblMili[[#This Row],[Train AM]],-12,0) - TblMili[[#This Row],[Release AM]]</f>
        <v>0</v>
      </c>
      <c r="M26" s="142"/>
      <c r="N26" s="94">
        <f ca="1">TblProd[[#This Row],[Networth]]</f>
        <v>2450</v>
      </c>
      <c r="O26" s="142"/>
      <c r="P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6" s="247">
        <f ca="1">TblMili[[#This Row],[Raw]]*(1+TblMili[[#This Row],[Mods_Off]])</f>
        <v>0</v>
      </c>
      <c r="S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6" s="247">
        <f ca="1">TblMili[[#This Row],[Non Draft]]+TblMili[[#This Row],[Draftees]]</f>
        <v>276</v>
      </c>
      <c r="U26" s="248">
        <f ca="1">race_defense + TblImps[[#This Row],[Walls]] + ROUND( MIN(gt_bonus*TblConstr[[#This Row],[Tot GT]]/TblConstr[[#This Row],[Land]],gt_bonus_cap), 4) + IF(TblMagic[[#This Row],[Active Howling]]&gt;0,howling_dp_bonus,IF(TblMagic[[#This Row],[Active Ares Call]]&gt;0,ares_call_bonus))</f>
        <v>0</v>
      </c>
      <c r="V26" s="249">
        <f ca="1">TblMili[[#This Row],[Non Draft]] * (1 + TblMili[[#This Row],[Mods_Def]])</f>
        <v>0</v>
      </c>
      <c r="W26" s="247">
        <f ca="1">TblMili[[#This Row],[Draft]] * (1 + TblMili[[#This Row],[Mods_Def]])</f>
        <v>276</v>
      </c>
      <c r="X26" s="247">
        <f ca="1">TblConstr[[#This Row],[Land]]</f>
        <v>110</v>
      </c>
      <c r="Y26" s="156"/>
      <c r="Z26" s="255">
        <f ca="1">IF(TblMili[[#This Row],[Set]]&lt;&gt;"",TblMili[[#This Row],[Set]],OFFSET(TblMili[[#This Row],[Draftrate]],-1,0))</f>
        <v>0.9</v>
      </c>
      <c r="AA26" s="94">
        <f ca="1">OFFSET(TblMili[[#This Row],[Draftees]],-1,0)+OFFSET(TblPop[[#This Row],[Draft Growth]],-1,0) - SUM(TblMili[[#This Row],[Train Unit 1]:[Train Spies]],TblMili[[#This Row],[Train Wiz]],TblMili[[#This Row],[DnD_Zombies]]) - TblMili[[#This Row],[Release Draft]] + SUM(TblMili[[#This Row],[Release Unit 1]:[Release AM]]) - TblExplore[[#This Row],[Draftees (2)]]</f>
        <v>276</v>
      </c>
      <c r="AB26" s="154"/>
      <c r="AC26" s="180">
        <f ca="1">(TblConstr[[#This Row],[Tot Smi]]+TblConstr[[#This Row],[Dest Smi]])/(TblConstr[[#This Row],[Land]]-TblExplore[[#This Row],[Land Bonus]]*20)</f>
        <v>0</v>
      </c>
      <c r="AD26" s="137"/>
      <c r="AE26" s="246">
        <f>TblMili[[#This Row],[Hour]]</f>
        <v>23</v>
      </c>
      <c r="AF26" s="138">
        <f ca="1">TblExplore[[#This Row],[Time]]</f>
        <v>46047.916666666613</v>
      </c>
      <c r="AO26" s="420">
        <f ca="1">ROUND(IF(AND(TblMagic[[#This Row],[Active DnD]]&lt;12,TblMagic[[#This Row],[Active DnD]]&gt;5),OFFSET(TblPop[[#This Row],[Draft Growth]],-1,0)*0.375,0),0)</f>
        <v>0</v>
      </c>
      <c r="AP26" s="142"/>
      <c r="AQ26" s="94">
        <f ca="1">TblProd[[#This Row],[Platinum]]</f>
        <v>83780</v>
      </c>
      <c r="AR26" s="94">
        <f ca="1">INDEX(TblProd[[#Headers],[Lumber]]:TblProd[[#This Row],[Ore]],COUNTA(TblProd[[#Headers],[Lumber]]:TblProd[[#This Row],[Lumber]]),MATCH(Military!$AR$2,TblProd[[#Headers],[Lumber]:[Ore]],0))</f>
        <v>0</v>
      </c>
      <c r="AS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6" s="94">
        <f ca="1">TblMili[[#This Row],[Train Unit 1]]*TblMili[[#This Row],[OP Ore]]+TblMili[[#This Row],[Train Unit 2]]*TblMili[[#This Row],[DP Ore]]+TblMili[[#This Row],[Train Unit 3]]*TblMili[[#This Row],[E1 Ore]]+TblMili[[#This Row],[Train Unit 4]]*TblMili[[#This Row],[E2 Ore]]</f>
        <v>0</v>
      </c>
      <c r="AU26" s="142">
        <f>TblMili[[#This Row],[Hour]]</f>
        <v>23</v>
      </c>
      <c r="AV26" s="152">
        <f ca="1">TblMili[[#This Row],[Time]]</f>
        <v>46047.916666666613</v>
      </c>
      <c r="AW26" s="94">
        <f ca="1">TblMili[[#This Row],[Draftees]]</f>
        <v>276</v>
      </c>
      <c r="BG26" s="142"/>
      <c r="BH26" s="157">
        <f ca="1">TblConstr[[#This Row],[Tot WG]]/TblConstr[[#This Row],[Land]]</f>
        <v>0</v>
      </c>
      <c r="BI26" s="157">
        <f ca="1">TblConstr[[#This Row],[Tot Hav]]/TblConstr[[#This Row],[Land]]</f>
        <v>0</v>
      </c>
      <c r="BJ26" s="94">
        <f ca="1">ROUNDUP((1-MIN(TblMili[[#This Row],[Smithies]]*smithy_bonus,smithy_bonus_cap) + tech_3_5*TblTech[[#This Row],[3-5]] + tech_5_3*TblTech[[#This Row],[5-3]] + tech_5_5*TblTech[[#This Row],[5-5]])*spec_op_plat,0)</f>
        <v>275</v>
      </c>
      <c r="BK26" s="94">
        <f ca="1">ROUNDUP(IF(race="Gnome",1,(1-MIN(TblMili[[#This Row],[Smithies]]*smithy_bonus,smithy_bonus_cap) + tech_3_5*TblTech[[#This Row],[3-5]] + tech_5_3*TblTech[[#This Row],[5-3]] + tech_5_5*TblTech[[#This Row],[5-5]]))*spec_op_ore,0)</f>
        <v>25</v>
      </c>
      <c r="BL26" s="94">
        <f ca="1">ROUNDUP((1-MIN(TblMili[[#This Row],[Smithies]]*smithy_bonus,smithy_bonus_cap) + tech_3_5*TblTech[[#This Row],[3-5]] + tech_5_3*TblTech[[#This Row],[5-3]] + tech_5_5*TblTech[[#This Row],[5-5]])*spec_dp_plat,0)</f>
        <v>275</v>
      </c>
      <c r="BM26" s="94">
        <f ca="1">ROUNDUP(IF(race="Gnome",1,(1-MIN(TblMili[[#This Row],[Smithies]]*smithy_bonus,smithy_bonus_cap) + tech_3_5*TblTech[[#This Row],[3-5]] + tech_5_3*TblTech[[#This Row],[5-3]] + tech_5_5*TblTech[[#This Row],[5-5]]))*spec_dp_ore,0)</f>
        <v>15</v>
      </c>
      <c r="BN26" s="94">
        <f ca="1">ROUNDUP((1-MIN(TblMili[[#This Row],[Smithies]]*smithy_bonus,smithy_bonus_cap) + tech_3_5*TblTech[[#This Row],[3-5]] + tech_5_3*TblTech[[#This Row],[5-3]] + tech_5_5*TblTech[[#This Row],[5-5]])*elite1_plat,0)</f>
        <v>1040</v>
      </c>
      <c r="BO26" s="94">
        <f ca="1">ROUNDUP(IF(race="Gnome",1,(1-MIN(TblMili[[#This Row],[Smithies]]*smithy_bonus,smithy_bonus_cap) + tech_3_5*TblTech[[#This Row],[3-5]] + tech_5_3*TblTech[[#This Row],[5-3]] + tech_5_5*TblTech[[#This Row],[5-5]]))*elite1_ore,0)</f>
        <v>75</v>
      </c>
      <c r="BP26" s="94">
        <f ca="1">ROUNDUP((1-MIN(TblMili[[#This Row],[Smithies]]*smithy_bonus,smithy_bonus_cap) + tech_3_5*TblTech[[#This Row],[3-5]] + tech_5_3*TblTech[[#This Row],[5-3]] + tech_5_5*TblTech[[#This Row],[5-5]])*elite2_plat,0)</f>
        <v>1280</v>
      </c>
      <c r="BQ26" s="94">
        <f ca="1">ROUNDUP(IF(race="Gnome",1,(1-MIN(TblMili[[#This Row],[Smithies]]*smithy_bonus,smithy_bonus_cap) + tech_3_5*TblTech[[#This Row],[3-5]] + tech_5_3*TblTech[[#This Row],[5-3]] + tech_5_5*TblTech[[#This Row],[5-5]]))*elite2_ore,0)</f>
        <v>100</v>
      </c>
      <c r="BR26" s="94">
        <f ca="1">ROUNDUP((1-MIN(ROUND(fh_spy_cost_red*TblMili[[#This Row],[FH''s]],4),fh_spy_cost_cap)+ tech_1_9*TblTech[[#This Row],[1-9]] + tech_9_1*TblTech[[#This Row],[9-1]])*spy_plat,0)</f>
        <v>500</v>
      </c>
      <c r="BS26" s="94">
        <f ca="1">ROUNDUP((1-MIN(ROUND(fh_spy_cost_red*TblMili[[#This Row],[FH''s]],4),fh_spy_cost_cap)+ tech_1_9*TblTech[[#This Row],[1-9]] + tech_9_1*TblTech[[#This Row],[9-1]])*archspy_plat,0)</f>
        <v>1000</v>
      </c>
      <c r="BT26" s="94">
        <f ca="1">ROUNDUP((1-MIN(ROUND(wg_wiz_cost_bonus*TblMili[[#This Row],[WG''s]],4),wg_wiz_cost_cap) + tech_1_9_2*TblTech[[#This Row],[1-9]] + tech_9_1_2*TblTech[[#This Row],[9-1]])*wizard_plat,0)</f>
        <v>500</v>
      </c>
      <c r="BU26" s="94">
        <f ca="1">ROUNDUP((1-MIN(ROUND(wg_wiz_cost_bonus*TblMili[[#This Row],[WG''s]],4),wg_wiz_cost_cap) + tech_1_9_2*TblTech[[#This Row],[1-9]] + tech_9_1_2*TblTech[[#This Row],[9-1]])*archmage_plat,0)</f>
        <v>1000</v>
      </c>
      <c r="BV26" s="142"/>
      <c r="BW26" s="157">
        <f ca="1">TblConstr[[#This Row],[Homeland]]/TblConstr[[#This Row],[Land]]</f>
        <v>0.81818181818181823</v>
      </c>
      <c r="BX26" s="157">
        <f ca="1">TblMili[[#This Row],[WG''s]]</f>
        <v>0</v>
      </c>
      <c r="BY26" s="251">
        <f ca="1">IF(mystic_cap="none",TblMili[[#This Row],[Homeland%]]/mystic_bonus,MIN(mystic_cap,TblMili[[#This Row],[Homeland%]]/mystic_bonus))</f>
        <v>2</v>
      </c>
      <c r="BZ26" s="251">
        <f ca="1">IF(druid_op_cap="none",TblMili[[#This Row],[Homeland%]]/druid_op_bonus,MIN(druid_op_cap,TblMili[[#This Row],[Homeland%]]/druid_op_bonus))</f>
        <v>2</v>
      </c>
      <c r="CA26" s="251">
        <f ca="1">IF(druid_dp_cap="none",TblMili[[#This Row],[Homeland%]]/druid_dp_bonus,MIN(druid_dp_cap,TblMili[[#This Row],[Homeland%]]/druid_dp_bonus))</f>
        <v>2</v>
      </c>
      <c r="CB26" s="251">
        <f ca="1">MIN(dryad_cap,TblMili[[#This Row],[Homeland%]]/dryad_bonus)</f>
        <v>4</v>
      </c>
      <c r="CC26" s="251">
        <f ca="1">MIN(rocka_cap,TblMili[[#This Row],[Homeland%]]/rocka_bonus)</f>
        <v>2</v>
      </c>
      <c r="CD26" s="251">
        <f ca="1">MIN(adept_op_cap,TblMili[[#This Row],[WG]]/adept_op_bonus)</f>
        <v>0</v>
      </c>
      <c r="CE26" s="251">
        <f ca="1">MIN(adept_dp_cap,TblMili[[#This Row],[WG]]/adept_dp_bonus)</f>
        <v>0</v>
      </c>
      <c r="CF26" s="94">
        <f ca="1">MIN(TblMili[[#This Row],[Unit 3]],TblMili[[#This Row],[Unit 2]])*2</f>
        <v>0</v>
      </c>
      <c r="CG26" s="94">
        <f ca="1">MIN(TblMili[[#This Row],[Unit 1]],TblMili[[#This Row],[Unit 4]])*2</f>
        <v>0</v>
      </c>
      <c r="CH26" s="251">
        <f ca="1">MIN(frost_mage_cap,TblMili[[#This Row],[Homeland%]]/frost_mage_bonus)</f>
        <v>3</v>
      </c>
      <c r="CI26" s="45">
        <f ca="1">MIN(ice_elem_cap,TblMili[[#This Row],[Raw (2)]]*ice_elem_bonus)</f>
        <v>0</v>
      </c>
      <c r="CJ26" s="251">
        <f t="shared" si="0"/>
        <v>0.83333333333333337</v>
      </c>
      <c r="CK26" s="251">
        <f ca="1">MIN(nox_nightshade_cap,TblConstr[[#This Row],[Homeland]]/TblConstr[[#This Row],[Land]]/nox_nightshade_swamp_bonus)</f>
        <v>4</v>
      </c>
      <c r="CL26" s="251">
        <f ca="1">MIN(TblConstr[[#This Row],[Total Swamp]]/TblConstr[[#This Row],[Land]]/abyss_enforce_bonus,abyss_enforcer_cap)</f>
        <v>0</v>
      </c>
      <c r="CM26" s="251">
        <f ca="1">IF(TblMagic[[#This Row],[Active Infernal Command]]&gt;0,TblMili[[#This Row],[Unit 1]]*infernal_cmd_op,0)</f>
        <v>0</v>
      </c>
      <c r="CN26" s="252" t="s">
        <v>12</v>
      </c>
      <c r="CO26" s="252" t="b">
        <f>CN26=secondary_resource</f>
        <v>0</v>
      </c>
      <c r="CP26" s="252"/>
      <c r="CQ26" s="251">
        <f ca="1">MIN(6,TblMili[[#This Row],[Mystic]]+Races!$F$19)*1.8 +  IF(TblMili[[#This Row],[Mystic]]+Races!$F$19&gt;6,(TblMili[[#This Row],[Mystic]]+Races!$F$19-6)*0.2,0) - Races!$I$19</f>
        <v>1</v>
      </c>
      <c r="CR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6" s="94">
        <f ca="1">TblMili[[#This Row],[Mystic bonus]]*TblMili[[#This Row],[Unit 3]]+TblMili[[#This Row],[Druid bonus]]*TblMili[[#This Row],[Unit 4]]</f>
        <v>0</v>
      </c>
      <c r="CT26" s="155">
        <f ca="1">MIN(6,TblMili[[#This Row],[Dryad]]+Races!$F$35)*1.8 +  IF(TblMili[[#This Row],[Dryad]]+Races!$F$35&gt;6,(TblMili[[#This Row],[Dryad]]+Races!$F$35-6)*0.2,0) - Races!$I$19</f>
        <v>1</v>
      </c>
      <c r="CU26" s="94">
        <f ca="1">sylvan*(TblMili[[#This Row],[Mystic bonus]]*TblMili[[#This Row],[Unit 3]])</f>
        <v>0</v>
      </c>
      <c r="CV26" s="155">
        <f ca="1">1.8 * MIN(MAX(Races!$E$27,TblMili[[#This Row],[Rockapult]]+Races!$F$27),6)  +  0.45 * MIN(MIN(Races!$E$27,TblMili[[#This Row],[Rockapult]]+Races!$F$27),6)  +  0.2 * ( MAX(Races!$E$27-6,0) + MAX(TblMili[[#This Row],[Rockapult]]+Races!$F$27-6,0) )  -  Races!$I$20</f>
        <v>3.7000000000000011</v>
      </c>
      <c r="CW26" s="94">
        <f ca="1">gnome*(TblMili[[#This Row],[Rockapult bonus]]*TblMili[[#This Row],[Unit 3]])</f>
        <v>0</v>
      </c>
      <c r="CX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6" s="94">
        <f ca="1">dark_elf*(TblMili[[#This Row],[Adept bonus]]*TblMili[[#This Row],[Unit 3]])</f>
        <v>0</v>
      </c>
      <c r="CZ26" s="155">
        <f ca="1">1.8 * MIN(MAX(TblMili[[#This Row],[Frost Mage]]+Races!$F$71,Races!$E$71),6)  +  0.45 * MIN(MIN(TblMili[[#This Row],[Frost Mage]]+Races!$F$71,Races!$E$71),6)  +  0.2 * ( MAX(TblMili[[#This Row],[Frost Mage]]+Races!$F$71-6,0) + MAX(Races!$E$71-6,0) )  -  Races!$I$71</f>
        <v>6.15</v>
      </c>
      <c r="DA26" s="155">
        <f ca="1">1.8 * MIN(MAX(TblMili[[#This Row],[Ice Elemental]]+Races!$E$71,Races!$F$71),6)  +  0.45 * MIN(MIN(TblMili[[#This Row],[Ice Elemental]]+Races!$E$71,Races!$F$71),6)  +  0.2 * ( MAX(TblMili[[#This Row],[Ice Elemental]]+Races!$E$71-6,0) + MAX(Races!$F$71-6,0) )  -  Races!$I$71</f>
        <v>0.75</v>
      </c>
      <c r="DB26" s="94">
        <f ca="1">TblMili[[#This Row],[Frost Mage bonus]]*TblMili[[#This Row],[Unit 3]]+TblMili[[#This Row],[Ice Elemental bonus]]*TblMili[[#This Row],[Unit 4]]</f>
        <v>0</v>
      </c>
      <c r="DC26" s="253"/>
      <c r="DD26" s="143">
        <f ca="1">MIN(SUM(TblConstr[[#This Row],[Plain]:[Water]])/TblMili[[#This Row],[Land]]/favorable_terrain_bonus/100,favorable_terrain_max)</f>
        <v>0.1</v>
      </c>
      <c r="DE26" s="253"/>
      <c r="DF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6" s="142"/>
      <c r="DH26" s="254">
        <f ca="1">(TblMili[[#This Row],[Wizards]]+2*TblMili[[#This Row],[Archmages]])/TblConstr[[#This Row],[Land]]</f>
        <v>0</v>
      </c>
      <c r="DI26" s="254">
        <f ca="1">TblMili[[#This Row],[Raw (2)]]*(1+race_wizard_strength+IF(TblMili[[#This Row],[Hour]]&gt;72,tech_magical_weaponry_wiz*TblTech[[#This Row],[3-5]],0))</f>
        <v>0</v>
      </c>
    </row>
    <row r="27" spans="1:113" hidden="1" x14ac:dyDescent="0.2">
      <c r="A27" s="137">
        <f>TblRezone[[#This Row],[Hour]]</f>
        <v>24</v>
      </c>
      <c r="B27" s="246">
        <f ca="1">SUM(TblMili[[#This Row],[Unit 1]:[Archmages]])+SUM(OFFSET(TblMili[[#This Row],[Train Unit 1]],-8,0):TblMili[[#This Row],[Train Unit 2]]) + SUM(OFFSET(TblMili[[#This Row],[Train Unit 3]],-11,0):TblMili[[#This Row],[Train AM]]) + TblMili[[#This Row],[Draftees]]</f>
        <v>283</v>
      </c>
      <c r="C27" s="157">
        <f ca="1">TblPop[[#This Row],[Military%]]</f>
        <v>0.28499496475327291</v>
      </c>
      <c r="D27" s="142"/>
      <c r="E27" s="45">
        <f ca="1">OFFSET(TblMili[[#This Row],[Unit 1]],-1,0) + OFFSET(TblMili[[#This Row],[Train Unit 1]],-9,0) - TblMili[[#This Row],[Release Unit 1]] + OFFSET(TblMili[[#This Row],[DnD_Zombies]],-12,0)</f>
        <v>0</v>
      </c>
      <c r="F27" s="45">
        <f ca="1">OFFSET(TblMili[[#This Row],[Unit 2]],-1,0) + OFFSET(TblMili[[#This Row],[Train Unit 2]],-9,0)-TblMili[[#This Row],[Release Unit 2]]</f>
        <v>0</v>
      </c>
      <c r="G27" s="45">
        <f ca="1">OFFSET(TblMili[[#This Row],[Unit 3]],-1,0) + OFFSET(TblMili[[#This Row],[Train Unit 3]],-12,0)-TblMili[[#This Row],[Release Unit 3]]</f>
        <v>0</v>
      </c>
      <c r="H27" s="45">
        <f ca="1">OFFSET(TblMili[[#This Row],[Unit 4]],-1,0) + OFFSET(TblMili[[#This Row],[Train Unit 4]],-12,0)-TblMili[[#This Row],[Release Unit 4]]</f>
        <v>0</v>
      </c>
      <c r="I27" s="45">
        <f ca="1">OFFSET(TblMili[[#This Row],[Spies]],-1,0) + OFFSET(TblMili[[#This Row],[Train Spies]],-12,0) - TblMili[[#This Row],[Release Spies]]-TblMili[[#This Row],[Train AS]]</f>
        <v>0</v>
      </c>
      <c r="J27" s="45">
        <f ca="1">OFFSET(TblMili[[#This Row],[Archspies]],-1,0) + OFFSET(TblMili[[#This Row],[Train AS]],-12,0) - TblMili[[#This Row],[Release AS]]</f>
        <v>0</v>
      </c>
      <c r="K27" s="45">
        <f ca="1">OFFSET(TblMili[[#This Row],[Wizards]],-1,0) + OFFSET(TblMili[[#This Row],[Train Wiz]],-12,0) - TblMili[[#This Row],[Release Wizards]]-TblMili[[#This Row],[Train AM]]</f>
        <v>0</v>
      </c>
      <c r="L27" s="45">
        <f ca="1">OFFSET(TblMili[[#This Row],[Archmages]],-1,0) + OFFSET(TblMili[[#This Row],[Train AM]],-12,0) - TblMili[[#This Row],[Release AM]]</f>
        <v>0</v>
      </c>
      <c r="M27" s="142"/>
      <c r="N27" s="94">
        <f ca="1">TblProd[[#This Row],[Networth]]</f>
        <v>2450</v>
      </c>
      <c r="O27" s="142"/>
      <c r="P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7" s="247">
        <f ca="1">TblMili[[#This Row],[Raw]]*(1+TblMili[[#This Row],[Mods_Off]])</f>
        <v>0</v>
      </c>
      <c r="S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7" s="247">
        <f ca="1">TblMili[[#This Row],[Non Draft]]+TblMili[[#This Row],[Draftees]]</f>
        <v>283</v>
      </c>
      <c r="U27" s="248">
        <f ca="1">race_defense + TblImps[[#This Row],[Walls]] + ROUND( MIN(gt_bonus*TblConstr[[#This Row],[Tot GT]]/TblConstr[[#This Row],[Land]],gt_bonus_cap), 4) + IF(TblMagic[[#This Row],[Active Howling]]&gt;0,howling_dp_bonus,IF(TblMagic[[#This Row],[Active Ares Call]]&gt;0,ares_call_bonus))</f>
        <v>0</v>
      </c>
      <c r="V27" s="249">
        <f ca="1">TblMili[[#This Row],[Non Draft]] * (1 + TblMili[[#This Row],[Mods_Def]])</f>
        <v>0</v>
      </c>
      <c r="W27" s="247">
        <f ca="1">TblMili[[#This Row],[Draft]] * (1 + TblMili[[#This Row],[Mods_Def]])</f>
        <v>283</v>
      </c>
      <c r="X27" s="247">
        <f ca="1">TblConstr[[#This Row],[Land]]</f>
        <v>110</v>
      </c>
      <c r="Y27" s="156"/>
      <c r="Z27" s="255">
        <f ca="1">IF(TblMili[[#This Row],[Set]]&lt;&gt;"",TblMili[[#This Row],[Set]],OFFSET(TblMili[[#This Row],[Draftrate]],-1,0))</f>
        <v>0.9</v>
      </c>
      <c r="AA27" s="94">
        <f ca="1">OFFSET(TblMili[[#This Row],[Draftees]],-1,0)+OFFSET(TblPop[[#This Row],[Draft Growth]],-1,0) - SUM(TblMili[[#This Row],[Train Unit 1]:[Train Spies]],TblMili[[#This Row],[Train Wiz]],TblMili[[#This Row],[DnD_Zombies]]) - TblMili[[#This Row],[Release Draft]] + SUM(TblMili[[#This Row],[Release Unit 1]:[Release AM]]) - TblExplore[[#This Row],[Draftees (2)]]</f>
        <v>283</v>
      </c>
      <c r="AB27" s="154"/>
      <c r="AC27" s="180">
        <f ca="1">(TblConstr[[#This Row],[Tot Smi]]+TblConstr[[#This Row],[Dest Smi]])/(TblConstr[[#This Row],[Land]]-TblExplore[[#This Row],[Land Bonus]]*20)</f>
        <v>0</v>
      </c>
      <c r="AD27" s="137"/>
      <c r="AE27" s="246">
        <f>TblMili[[#This Row],[Hour]]</f>
        <v>24</v>
      </c>
      <c r="AF27" s="138">
        <f ca="1">TblExplore[[#This Row],[Time]]</f>
        <v>46047.958333333278</v>
      </c>
      <c r="AO27" s="420">
        <f ca="1">ROUND(IF(AND(TblMagic[[#This Row],[Active DnD]]&lt;12,TblMagic[[#This Row],[Active DnD]]&gt;5),OFFSET(TblPop[[#This Row],[Draft Growth]],-1,0)*0.375,0),0)</f>
        <v>0</v>
      </c>
      <c r="AP27" s="142"/>
      <c r="AQ27" s="94">
        <f ca="1">TblProd[[#This Row],[Platinum]]</f>
        <v>85659</v>
      </c>
      <c r="AR27" s="94">
        <f ca="1">INDEX(TblProd[[#Headers],[Lumber]]:TblProd[[#This Row],[Ore]],COUNTA(TblProd[[#Headers],[Lumber]]:TblProd[[#This Row],[Lumber]]),MATCH(Military!$AR$2,TblProd[[#Headers],[Lumber]:[Ore]],0))</f>
        <v>0</v>
      </c>
      <c r="AS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7" s="94">
        <f ca="1">TblMili[[#This Row],[Train Unit 1]]*TblMili[[#This Row],[OP Ore]]+TblMili[[#This Row],[Train Unit 2]]*TblMili[[#This Row],[DP Ore]]+TblMili[[#This Row],[Train Unit 3]]*TblMili[[#This Row],[E1 Ore]]+TblMili[[#This Row],[Train Unit 4]]*TblMili[[#This Row],[E2 Ore]]</f>
        <v>0</v>
      </c>
      <c r="AU27" s="142">
        <f>TblMili[[#This Row],[Hour]]</f>
        <v>24</v>
      </c>
      <c r="AV27" s="152">
        <f ca="1">TblMili[[#This Row],[Time]]</f>
        <v>46047.958333333278</v>
      </c>
      <c r="AW27" s="94">
        <f ca="1">TblMili[[#This Row],[Draftees]]</f>
        <v>283</v>
      </c>
      <c r="BG27" s="142"/>
      <c r="BH27" s="157">
        <f ca="1">TblConstr[[#This Row],[Tot WG]]/TblConstr[[#This Row],[Land]]</f>
        <v>0</v>
      </c>
      <c r="BI27" s="157">
        <f ca="1">TblConstr[[#This Row],[Tot Hav]]/TblConstr[[#This Row],[Land]]</f>
        <v>0</v>
      </c>
      <c r="BJ27" s="94">
        <f ca="1">ROUNDUP((1-MIN(TblMili[[#This Row],[Smithies]]*smithy_bonus,smithy_bonus_cap) + tech_3_5*TblTech[[#This Row],[3-5]] + tech_5_3*TblTech[[#This Row],[5-3]] + tech_5_5*TblTech[[#This Row],[5-5]])*spec_op_plat,0)</f>
        <v>275</v>
      </c>
      <c r="BK27" s="94">
        <f ca="1">ROUNDUP(IF(race="Gnome",1,(1-MIN(TblMili[[#This Row],[Smithies]]*smithy_bonus,smithy_bonus_cap) + tech_3_5*TblTech[[#This Row],[3-5]] + tech_5_3*TblTech[[#This Row],[5-3]] + tech_5_5*TblTech[[#This Row],[5-5]]))*spec_op_ore,0)</f>
        <v>25</v>
      </c>
      <c r="BL27" s="94">
        <f ca="1">ROUNDUP((1-MIN(TblMili[[#This Row],[Smithies]]*smithy_bonus,smithy_bonus_cap) + tech_3_5*TblTech[[#This Row],[3-5]] + tech_5_3*TblTech[[#This Row],[5-3]] + tech_5_5*TblTech[[#This Row],[5-5]])*spec_dp_plat,0)</f>
        <v>275</v>
      </c>
      <c r="BM27" s="94">
        <f ca="1">ROUNDUP(IF(race="Gnome",1,(1-MIN(TblMili[[#This Row],[Smithies]]*smithy_bonus,smithy_bonus_cap) + tech_3_5*TblTech[[#This Row],[3-5]] + tech_5_3*TblTech[[#This Row],[5-3]] + tech_5_5*TblTech[[#This Row],[5-5]]))*spec_dp_ore,0)</f>
        <v>15</v>
      </c>
      <c r="BN27" s="94">
        <f ca="1">ROUNDUP((1-MIN(TblMili[[#This Row],[Smithies]]*smithy_bonus,smithy_bonus_cap) + tech_3_5*TblTech[[#This Row],[3-5]] + tech_5_3*TblTech[[#This Row],[5-3]] + tech_5_5*TblTech[[#This Row],[5-5]])*elite1_plat,0)</f>
        <v>1040</v>
      </c>
      <c r="BO27" s="94">
        <f ca="1">ROUNDUP(IF(race="Gnome",1,(1-MIN(TblMili[[#This Row],[Smithies]]*smithy_bonus,smithy_bonus_cap) + tech_3_5*TblTech[[#This Row],[3-5]] + tech_5_3*TblTech[[#This Row],[5-3]] + tech_5_5*TblTech[[#This Row],[5-5]]))*elite1_ore,0)</f>
        <v>75</v>
      </c>
      <c r="BP27" s="94">
        <f ca="1">ROUNDUP((1-MIN(TblMili[[#This Row],[Smithies]]*smithy_bonus,smithy_bonus_cap) + tech_3_5*TblTech[[#This Row],[3-5]] + tech_5_3*TblTech[[#This Row],[5-3]] + tech_5_5*TblTech[[#This Row],[5-5]])*elite2_plat,0)</f>
        <v>1280</v>
      </c>
      <c r="BQ27" s="94">
        <f ca="1">ROUNDUP(IF(race="Gnome",1,(1-MIN(TblMili[[#This Row],[Smithies]]*smithy_bonus,smithy_bonus_cap) + tech_3_5*TblTech[[#This Row],[3-5]] + tech_5_3*TblTech[[#This Row],[5-3]] + tech_5_5*TblTech[[#This Row],[5-5]]))*elite2_ore,0)</f>
        <v>100</v>
      </c>
      <c r="BR27" s="94">
        <f ca="1">ROUNDUP((1-MIN(ROUND(fh_spy_cost_red*TblMili[[#This Row],[FH''s]],4),fh_spy_cost_cap)+ tech_1_9*TblTech[[#This Row],[1-9]] + tech_9_1*TblTech[[#This Row],[9-1]])*spy_plat,0)</f>
        <v>500</v>
      </c>
      <c r="BS27" s="94">
        <f ca="1">ROUNDUP((1-MIN(ROUND(fh_spy_cost_red*TblMili[[#This Row],[FH''s]],4),fh_spy_cost_cap)+ tech_1_9*TblTech[[#This Row],[1-9]] + tech_9_1*TblTech[[#This Row],[9-1]])*archspy_plat,0)</f>
        <v>1000</v>
      </c>
      <c r="BT27" s="94">
        <f ca="1">ROUNDUP((1-MIN(ROUND(wg_wiz_cost_bonus*TblMili[[#This Row],[WG''s]],4),wg_wiz_cost_cap) + tech_1_9_2*TblTech[[#This Row],[1-9]] + tech_9_1_2*TblTech[[#This Row],[9-1]])*wizard_plat,0)</f>
        <v>500</v>
      </c>
      <c r="BU27" s="94">
        <f ca="1">ROUNDUP((1-MIN(ROUND(wg_wiz_cost_bonus*TblMili[[#This Row],[WG''s]],4),wg_wiz_cost_cap) + tech_1_9_2*TblTech[[#This Row],[1-9]] + tech_9_1_2*TblTech[[#This Row],[9-1]])*archmage_plat,0)</f>
        <v>1000</v>
      </c>
      <c r="BV27" s="142"/>
      <c r="BW27" s="157">
        <f ca="1">TblConstr[[#This Row],[Homeland]]/TblConstr[[#This Row],[Land]]</f>
        <v>0.81818181818181823</v>
      </c>
      <c r="BX27" s="157">
        <f ca="1">TblMili[[#This Row],[WG''s]]</f>
        <v>0</v>
      </c>
      <c r="BY27" s="251">
        <f ca="1">IF(mystic_cap="none",TblMili[[#This Row],[Homeland%]]/mystic_bonus,MIN(mystic_cap,TblMili[[#This Row],[Homeland%]]/mystic_bonus))</f>
        <v>2</v>
      </c>
      <c r="BZ27" s="251">
        <f ca="1">IF(druid_op_cap="none",TblMili[[#This Row],[Homeland%]]/druid_op_bonus,MIN(druid_op_cap,TblMili[[#This Row],[Homeland%]]/druid_op_bonus))</f>
        <v>2</v>
      </c>
      <c r="CA27" s="251">
        <f ca="1">IF(druid_dp_cap="none",TblMili[[#This Row],[Homeland%]]/druid_dp_bonus,MIN(druid_dp_cap,TblMili[[#This Row],[Homeland%]]/druid_dp_bonus))</f>
        <v>2</v>
      </c>
      <c r="CB27" s="251">
        <f ca="1">MIN(dryad_cap,TblMili[[#This Row],[Homeland%]]/dryad_bonus)</f>
        <v>4</v>
      </c>
      <c r="CC27" s="251">
        <f ca="1">MIN(rocka_cap,TblMili[[#This Row],[Homeland%]]/rocka_bonus)</f>
        <v>2</v>
      </c>
      <c r="CD27" s="251">
        <f ca="1">MIN(adept_op_cap,TblMili[[#This Row],[WG]]/adept_op_bonus)</f>
        <v>0</v>
      </c>
      <c r="CE27" s="251">
        <f ca="1">MIN(adept_dp_cap,TblMili[[#This Row],[WG]]/adept_dp_bonus)</f>
        <v>0</v>
      </c>
      <c r="CF27" s="94">
        <f ca="1">MIN(TblMili[[#This Row],[Unit 3]],TblMili[[#This Row],[Unit 2]])*2</f>
        <v>0</v>
      </c>
      <c r="CG27" s="94">
        <f ca="1">MIN(TblMili[[#This Row],[Unit 1]],TblMili[[#This Row],[Unit 4]])*2</f>
        <v>0</v>
      </c>
      <c r="CH27" s="251">
        <f ca="1">MIN(frost_mage_cap,TblMili[[#This Row],[Homeland%]]/frost_mage_bonus)</f>
        <v>3</v>
      </c>
      <c r="CI27" s="45">
        <f ca="1">MIN(ice_elem_cap,TblMili[[#This Row],[Raw (2)]]*ice_elem_bonus)</f>
        <v>0</v>
      </c>
      <c r="CJ27" s="251">
        <f t="shared" si="0"/>
        <v>0.83333333333333337</v>
      </c>
      <c r="CK27" s="251">
        <f ca="1">MIN(nox_nightshade_cap,TblConstr[[#This Row],[Homeland]]/TblConstr[[#This Row],[Land]]/nox_nightshade_swamp_bonus)</f>
        <v>4</v>
      </c>
      <c r="CL27" s="251">
        <f ca="1">MIN(TblConstr[[#This Row],[Total Swamp]]/TblConstr[[#This Row],[Land]]/abyss_enforce_bonus,abyss_enforcer_cap)</f>
        <v>0</v>
      </c>
      <c r="CM27" s="251">
        <f ca="1">IF(TblMagic[[#This Row],[Active Infernal Command]]&gt;0,TblMili[[#This Row],[Unit 1]]*infernal_cmd_op,0)</f>
        <v>0</v>
      </c>
      <c r="CN27" s="252"/>
      <c r="CO27" s="252"/>
      <c r="CP27" s="252"/>
      <c r="CQ27" s="251">
        <f ca="1">MIN(6,TblMili[[#This Row],[Mystic]]+Races!$F$19)*1.8 +  IF(TblMili[[#This Row],[Mystic]]+Races!$F$19&gt;6,(TblMili[[#This Row],[Mystic]]+Races!$F$19-6)*0.2,0) - Races!$I$19</f>
        <v>1</v>
      </c>
      <c r="CR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7" s="94">
        <f ca="1">TblMili[[#This Row],[Mystic bonus]]*TblMili[[#This Row],[Unit 3]]+TblMili[[#This Row],[Druid bonus]]*TblMili[[#This Row],[Unit 4]]</f>
        <v>0</v>
      </c>
      <c r="CT27" s="155">
        <f ca="1">MIN(6,TblMili[[#This Row],[Dryad]]+Races!$F$35)*1.8 +  IF(TblMili[[#This Row],[Dryad]]+Races!$F$35&gt;6,(TblMili[[#This Row],[Dryad]]+Races!$F$35-6)*0.2,0) - Races!$I$19</f>
        <v>1</v>
      </c>
      <c r="CU27" s="94">
        <f ca="1">sylvan*(TblMili[[#This Row],[Mystic bonus]]*TblMili[[#This Row],[Unit 3]])</f>
        <v>0</v>
      </c>
      <c r="CV27" s="155">
        <f ca="1">1.8 * MIN(MAX(Races!$E$27,TblMili[[#This Row],[Rockapult]]+Races!$F$27),6)  +  0.45 * MIN(MIN(Races!$E$27,TblMili[[#This Row],[Rockapult]]+Races!$F$27),6)  +  0.2 * ( MAX(Races!$E$27-6,0) + MAX(TblMili[[#This Row],[Rockapult]]+Races!$F$27-6,0) )  -  Races!$I$20</f>
        <v>3.7000000000000011</v>
      </c>
      <c r="CW27" s="94">
        <f ca="1">gnome*(TblMili[[#This Row],[Rockapult bonus]]*TblMili[[#This Row],[Unit 3]])</f>
        <v>0</v>
      </c>
      <c r="CX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7" s="94">
        <f ca="1">dark_elf*(TblMili[[#This Row],[Adept bonus]]*TblMili[[#This Row],[Unit 3]])</f>
        <v>0</v>
      </c>
      <c r="CZ27" s="155">
        <f ca="1">1.8 * MIN(MAX(TblMili[[#This Row],[Frost Mage]]+Races!$F$71,Races!$E$71),6)  +  0.45 * MIN(MIN(TblMili[[#This Row],[Frost Mage]]+Races!$F$71,Races!$E$71),6)  +  0.2 * ( MAX(TblMili[[#This Row],[Frost Mage]]+Races!$F$71-6,0) + MAX(Races!$E$71-6,0) )  -  Races!$I$71</f>
        <v>6.15</v>
      </c>
      <c r="DA27" s="155">
        <f ca="1">1.8 * MIN(MAX(TblMili[[#This Row],[Ice Elemental]]+Races!$E$71,Races!$F$71),6)  +  0.45 * MIN(MIN(TblMili[[#This Row],[Ice Elemental]]+Races!$E$71,Races!$F$71),6)  +  0.2 * ( MAX(TblMili[[#This Row],[Ice Elemental]]+Races!$E$71-6,0) + MAX(Races!$F$71-6,0) )  -  Races!$I$71</f>
        <v>0.75</v>
      </c>
      <c r="DB27" s="94">
        <f ca="1">TblMili[[#This Row],[Frost Mage bonus]]*TblMili[[#This Row],[Unit 3]]+TblMili[[#This Row],[Ice Elemental bonus]]*TblMili[[#This Row],[Unit 4]]</f>
        <v>0</v>
      </c>
      <c r="DC27" s="253"/>
      <c r="DD27" s="143">
        <f ca="1">MIN(SUM(TblConstr[[#This Row],[Plain]:[Water]])/TblMili[[#This Row],[Land]]/favorable_terrain_bonus/100,favorable_terrain_max)</f>
        <v>0.1</v>
      </c>
      <c r="DE27" s="253"/>
      <c r="DF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7" s="142"/>
      <c r="DH27" s="254">
        <f ca="1">(TblMili[[#This Row],[Wizards]]+2*TblMili[[#This Row],[Archmages]])/TblConstr[[#This Row],[Land]]</f>
        <v>0</v>
      </c>
      <c r="DI27" s="254">
        <f ca="1">TblMili[[#This Row],[Raw (2)]]*(1+race_wizard_strength+IF(TblMili[[#This Row],[Hour]]&gt;72,tech_magical_weaponry_wiz*TblTech[[#This Row],[3-5]],0))</f>
        <v>0</v>
      </c>
    </row>
    <row r="28" spans="1:113" x14ac:dyDescent="0.2">
      <c r="A28" s="137">
        <f>TblRezone[[#This Row],[Hour]]</f>
        <v>25</v>
      </c>
      <c r="B28" s="246">
        <f ca="1">SUM(TblMili[[#This Row],[Unit 1]:[Archmages]])+SUM(OFFSET(TblMili[[#This Row],[Train Unit 1]],-8,0):TblMili[[#This Row],[Train Unit 2]]) + SUM(OFFSET(TblMili[[#This Row],[Train Unit 3]],-11,0):TblMili[[#This Row],[Train AM]]) + TblMili[[#This Row],[Draftees]]</f>
        <v>290</v>
      </c>
      <c r="C28" s="157">
        <f ca="1">TblPop[[#This Row],[Military%]]</f>
        <v>0.28599605522682447</v>
      </c>
      <c r="D28" s="142"/>
      <c r="E28" s="45">
        <f ca="1">OFFSET(TblMili[[#This Row],[Unit 1]],-1,0) + OFFSET(TblMili[[#This Row],[Train Unit 1]],-9,0) - TblMili[[#This Row],[Release Unit 1]] + OFFSET(TblMili[[#This Row],[DnD_Zombies]],-12,0)</f>
        <v>0</v>
      </c>
      <c r="F28" s="45">
        <f ca="1">OFFSET(TblMili[[#This Row],[Unit 2]],-1,0) + OFFSET(TblMili[[#This Row],[Train Unit 2]],-9,0)-TblMili[[#This Row],[Release Unit 2]]</f>
        <v>0</v>
      </c>
      <c r="G28" s="45">
        <f ca="1">OFFSET(TblMili[[#This Row],[Unit 3]],-1,0) + OFFSET(TblMili[[#This Row],[Train Unit 3]],-12,0)-TblMili[[#This Row],[Release Unit 3]]</f>
        <v>0</v>
      </c>
      <c r="H28" s="45">
        <f ca="1">OFFSET(TblMili[[#This Row],[Unit 4]],-1,0) + OFFSET(TblMili[[#This Row],[Train Unit 4]],-12,0)-TblMili[[#This Row],[Release Unit 4]]</f>
        <v>0</v>
      </c>
      <c r="I28" s="45">
        <f ca="1">OFFSET(TblMili[[#This Row],[Spies]],-1,0) + OFFSET(TblMili[[#This Row],[Train Spies]],-12,0) - TblMili[[#This Row],[Release Spies]]-TblMili[[#This Row],[Train AS]]</f>
        <v>0</v>
      </c>
      <c r="J28" s="45">
        <f ca="1">OFFSET(TblMili[[#This Row],[Archspies]],-1,0) + OFFSET(TblMili[[#This Row],[Train AS]],-12,0) - TblMili[[#This Row],[Release AS]]</f>
        <v>0</v>
      </c>
      <c r="K28" s="45">
        <f ca="1">OFFSET(TblMili[[#This Row],[Wizards]],-1,0) + OFFSET(TblMili[[#This Row],[Train Wiz]],-12,0) - TblMili[[#This Row],[Release Wizards]]-TblMili[[#This Row],[Train AM]]</f>
        <v>0</v>
      </c>
      <c r="L28" s="45">
        <f ca="1">OFFSET(TblMili[[#This Row],[Archmages]],-1,0) + OFFSET(TblMili[[#This Row],[Train AM]],-12,0) - TblMili[[#This Row],[Release AM]]</f>
        <v>0</v>
      </c>
      <c r="M28" s="142"/>
      <c r="N28" s="94">
        <f ca="1">TblProd[[#This Row],[Networth]]</f>
        <v>2450</v>
      </c>
      <c r="O28" s="142"/>
      <c r="P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8" s="247">
        <f ca="1">TblMili[[#This Row],[Raw]]*(1+TblMili[[#This Row],[Mods_Off]])</f>
        <v>0</v>
      </c>
      <c r="S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8" s="247">
        <f ca="1">TblMili[[#This Row],[Non Draft]]+TblMili[[#This Row],[Draftees]]</f>
        <v>290</v>
      </c>
      <c r="U28" s="248">
        <f ca="1">race_defense + TblImps[[#This Row],[Walls]] + ROUND( MIN(gt_bonus*TblConstr[[#This Row],[Tot GT]]/TblConstr[[#This Row],[Land]],gt_bonus_cap), 4) + IF(TblMagic[[#This Row],[Active Howling]]&gt;0,howling_dp_bonus,IF(TblMagic[[#This Row],[Active Ares Call]]&gt;0,ares_call_bonus))</f>
        <v>0</v>
      </c>
      <c r="V28" s="249">
        <f ca="1">TblMili[[#This Row],[Non Draft]] * (1 + TblMili[[#This Row],[Mods_Def]])</f>
        <v>0</v>
      </c>
      <c r="W28" s="247">
        <f ca="1">TblMili[[#This Row],[Draft]] * (1 + TblMili[[#This Row],[Mods_Def]])</f>
        <v>290</v>
      </c>
      <c r="X28" s="247">
        <f ca="1">TblConstr[[#This Row],[Land]]</f>
        <v>110</v>
      </c>
      <c r="Y28" s="250"/>
      <c r="Z28" s="255">
        <f ca="1">IF(TblMili[[#This Row],[Set]]&lt;&gt;"",TblMili[[#This Row],[Set]],OFFSET(TblMili[[#This Row],[Draftrate]],-1,0))</f>
        <v>0.9</v>
      </c>
      <c r="AA28" s="94">
        <f ca="1">OFFSET(TblMili[[#This Row],[Draftees]],-1,0)+OFFSET(TblPop[[#This Row],[Draft Growth]],-1,0) - SUM(TblMili[[#This Row],[Train Unit 1]:[Train Spies]],TblMili[[#This Row],[Train Wiz]],TblMili[[#This Row],[DnD_Zombies]]) - TblMili[[#This Row],[Release Draft]] + SUM(TblMili[[#This Row],[Release Unit 1]:[Release AM]]) - TblExplore[[#This Row],[Draftees (2)]]</f>
        <v>290</v>
      </c>
      <c r="AB28" s="154"/>
      <c r="AC28" s="180">
        <f ca="1">(TblConstr[[#This Row],[Tot Smi]]+TblConstr[[#This Row],[Dest Smi]])/(TblConstr[[#This Row],[Land]]-TblExplore[[#This Row],[Land Bonus]]*20)</f>
        <v>0</v>
      </c>
      <c r="AD28" s="137"/>
      <c r="AE28" s="246">
        <f>TblMili[[#This Row],[Hour]]</f>
        <v>25</v>
      </c>
      <c r="AF28" s="138">
        <f ca="1">TblExplore[[#This Row],[Time]]</f>
        <v>46047.999999999942</v>
      </c>
      <c r="AG28" s="179"/>
      <c r="AH28" s="179"/>
      <c r="AI28" s="179"/>
      <c r="AJ28" s="179"/>
      <c r="AK28" s="179"/>
      <c r="AL28" s="179"/>
      <c r="AM28" s="179"/>
      <c r="AN28" s="179"/>
      <c r="AO28" s="420">
        <f ca="1">ROUND(IF(AND(TblMagic[[#This Row],[Active DnD]]&lt;12,TblMagic[[#This Row],[Active DnD]]&gt;5),OFFSET(TblPop[[#This Row],[Draft Growth]],-1,0)*0.375,0),0)</f>
        <v>0</v>
      </c>
      <c r="AP28" s="142"/>
      <c r="AQ28" s="94">
        <f ca="1">TblProd[[#This Row],[Platinum]]</f>
        <v>87576</v>
      </c>
      <c r="AR28" s="94">
        <f ca="1">INDEX(TblProd[[#Headers],[Lumber]]:TblProd[[#This Row],[Ore]],COUNTA(TblProd[[#Headers],[Lumber]]:TblProd[[#This Row],[Lumber]]),MATCH(Military!$AR$2,TblProd[[#Headers],[Lumber]:[Ore]],0))</f>
        <v>0</v>
      </c>
      <c r="AS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8" s="94">
        <f ca="1">TblMili[[#This Row],[Train Unit 1]]*TblMili[[#This Row],[OP Ore]]+TblMili[[#This Row],[Train Unit 2]]*TblMili[[#This Row],[DP Ore]]+TblMili[[#This Row],[Train Unit 3]]*TblMili[[#This Row],[E1 Ore]]+TblMili[[#This Row],[Train Unit 4]]*TblMili[[#This Row],[E2 Ore]]</f>
        <v>0</v>
      </c>
      <c r="AU28" s="142">
        <f>TblMili[[#This Row],[Hour]]</f>
        <v>25</v>
      </c>
      <c r="AV28" s="152">
        <f ca="1">TblMili[[#This Row],[Time]]</f>
        <v>46047.999999999942</v>
      </c>
      <c r="AW28" s="94">
        <f ca="1">TblMili[[#This Row],[Draftees]]</f>
        <v>290</v>
      </c>
      <c r="AX28" s="179"/>
      <c r="AY28" s="179"/>
      <c r="AZ28" s="179"/>
      <c r="BA28" s="179"/>
      <c r="BB28" s="179"/>
      <c r="BC28" s="179"/>
      <c r="BD28" s="179"/>
      <c r="BE28" s="179"/>
      <c r="BF28" s="179"/>
      <c r="BG28" s="142"/>
      <c r="BH28" s="157">
        <f ca="1">TblConstr[[#This Row],[Tot WG]]/TblConstr[[#This Row],[Land]]</f>
        <v>0</v>
      </c>
      <c r="BI28" s="157">
        <f ca="1">TblConstr[[#This Row],[Tot Hav]]/TblConstr[[#This Row],[Land]]</f>
        <v>0</v>
      </c>
      <c r="BJ28" s="94">
        <f ca="1">ROUNDUP((1-MIN(TblMili[[#This Row],[Smithies]]*smithy_bonus,smithy_bonus_cap) + tech_3_5*TblTech[[#This Row],[3-5]] + tech_5_3*TblTech[[#This Row],[5-3]] + tech_5_5*TblTech[[#This Row],[5-5]])*spec_op_plat,0)</f>
        <v>275</v>
      </c>
      <c r="BK28" s="94">
        <f ca="1">ROUNDUP(IF(race="Gnome",1,(1-MIN(TblMili[[#This Row],[Smithies]]*smithy_bonus,smithy_bonus_cap) + tech_3_5*TblTech[[#This Row],[3-5]] + tech_5_3*TblTech[[#This Row],[5-3]] + tech_5_5*TblTech[[#This Row],[5-5]]))*spec_op_ore,0)</f>
        <v>25</v>
      </c>
      <c r="BL28" s="94">
        <f ca="1">ROUNDUP((1-MIN(TblMili[[#This Row],[Smithies]]*smithy_bonus,smithy_bonus_cap) + tech_3_5*TblTech[[#This Row],[3-5]] + tech_5_3*TblTech[[#This Row],[5-3]] + tech_5_5*TblTech[[#This Row],[5-5]])*spec_dp_plat,0)</f>
        <v>275</v>
      </c>
      <c r="BM28" s="94">
        <f ca="1">ROUNDUP(IF(race="Gnome",1,(1-MIN(TblMili[[#This Row],[Smithies]]*smithy_bonus,smithy_bonus_cap) + tech_3_5*TblTech[[#This Row],[3-5]] + tech_5_3*TblTech[[#This Row],[5-3]] + tech_5_5*TblTech[[#This Row],[5-5]]))*spec_dp_ore,0)</f>
        <v>15</v>
      </c>
      <c r="BN28" s="94">
        <f ca="1">ROUNDUP((1-MIN(TblMili[[#This Row],[Smithies]]*smithy_bonus,smithy_bonus_cap) + tech_3_5*TblTech[[#This Row],[3-5]] + tech_5_3*TblTech[[#This Row],[5-3]] + tech_5_5*TblTech[[#This Row],[5-5]])*elite1_plat,0)</f>
        <v>1040</v>
      </c>
      <c r="BO28" s="94">
        <f ca="1">ROUNDUP(IF(race="Gnome",1,(1-MIN(TblMili[[#This Row],[Smithies]]*smithy_bonus,smithy_bonus_cap) + tech_3_5*TblTech[[#This Row],[3-5]] + tech_5_3*TblTech[[#This Row],[5-3]] + tech_5_5*TblTech[[#This Row],[5-5]]))*elite1_ore,0)</f>
        <v>75</v>
      </c>
      <c r="BP28" s="94">
        <f ca="1">ROUNDUP((1-MIN(TblMili[[#This Row],[Smithies]]*smithy_bonus,smithy_bonus_cap) + tech_3_5*TblTech[[#This Row],[3-5]] + tech_5_3*TblTech[[#This Row],[5-3]] + tech_5_5*TblTech[[#This Row],[5-5]])*elite2_plat,0)</f>
        <v>1280</v>
      </c>
      <c r="BQ28" s="94">
        <f ca="1">ROUNDUP(IF(race="Gnome",1,(1-MIN(TblMili[[#This Row],[Smithies]]*smithy_bonus,smithy_bonus_cap) + tech_3_5*TblTech[[#This Row],[3-5]] + tech_5_3*TblTech[[#This Row],[5-3]] + tech_5_5*TblTech[[#This Row],[5-5]]))*elite2_ore,0)</f>
        <v>100</v>
      </c>
      <c r="BR28" s="94">
        <f ca="1">ROUNDUP((1-MIN(ROUND(fh_spy_cost_red*TblMili[[#This Row],[FH''s]],4),fh_spy_cost_cap)+ tech_1_9*TblTech[[#This Row],[1-9]] + tech_9_1*TblTech[[#This Row],[9-1]])*spy_plat,0)</f>
        <v>500</v>
      </c>
      <c r="BS28" s="94">
        <f ca="1">ROUNDUP((1-MIN(ROUND(fh_spy_cost_red*TblMili[[#This Row],[FH''s]],4),fh_spy_cost_cap)+ tech_1_9*TblTech[[#This Row],[1-9]] + tech_9_1*TblTech[[#This Row],[9-1]])*archspy_plat,0)</f>
        <v>1000</v>
      </c>
      <c r="BT28" s="94">
        <f ca="1">ROUNDUP((1-MIN(ROUND(wg_wiz_cost_bonus*TblMili[[#This Row],[WG''s]],4),wg_wiz_cost_cap) + tech_1_9_2*TblTech[[#This Row],[1-9]] + tech_9_1_2*TblTech[[#This Row],[9-1]])*wizard_plat,0)</f>
        <v>500</v>
      </c>
      <c r="BU28" s="94">
        <f ca="1">ROUNDUP((1-MIN(ROUND(wg_wiz_cost_bonus*TblMili[[#This Row],[WG''s]],4),wg_wiz_cost_cap) + tech_1_9_2*TblTech[[#This Row],[1-9]] + tech_9_1_2*TblTech[[#This Row],[9-1]])*archmage_plat,0)</f>
        <v>1000</v>
      </c>
      <c r="BV28" s="142"/>
      <c r="BW28" s="157">
        <f ca="1">TblConstr[[#This Row],[Homeland]]/TblConstr[[#This Row],[Land]]</f>
        <v>0.81818181818181823</v>
      </c>
      <c r="BX28" s="157">
        <f ca="1">TblMili[[#This Row],[WG''s]]</f>
        <v>0</v>
      </c>
      <c r="BY28" s="251">
        <f ca="1">IF(mystic_cap="none",TblMili[[#This Row],[Homeland%]]/mystic_bonus,MIN(mystic_cap,TblMili[[#This Row],[Homeland%]]/mystic_bonus))</f>
        <v>2</v>
      </c>
      <c r="BZ28" s="251">
        <f ca="1">IF(druid_op_cap="none",TblMili[[#This Row],[Homeland%]]/druid_op_bonus,MIN(druid_op_cap,TblMili[[#This Row],[Homeland%]]/druid_op_bonus))</f>
        <v>2</v>
      </c>
      <c r="CA28" s="251">
        <f ca="1">IF(druid_dp_cap="none",TblMili[[#This Row],[Homeland%]]/druid_dp_bonus,MIN(druid_dp_cap,TblMili[[#This Row],[Homeland%]]/druid_dp_bonus))</f>
        <v>2</v>
      </c>
      <c r="CB28" s="251">
        <f ca="1">MIN(dryad_cap,TblMili[[#This Row],[Homeland%]]/dryad_bonus)</f>
        <v>4</v>
      </c>
      <c r="CC28" s="251">
        <f ca="1">MIN(rocka_cap,TblMili[[#This Row],[Homeland%]]/rocka_bonus)</f>
        <v>2</v>
      </c>
      <c r="CD28" s="251">
        <f ca="1">MIN(adept_op_cap,TblMili[[#This Row],[WG]]/adept_op_bonus)</f>
        <v>0</v>
      </c>
      <c r="CE28" s="251">
        <f ca="1">MIN(adept_dp_cap,TblMili[[#This Row],[WG]]/adept_dp_bonus)</f>
        <v>0</v>
      </c>
      <c r="CF28" s="94">
        <f ca="1">MIN(TblMili[[#This Row],[Unit 3]],TblMili[[#This Row],[Unit 2]])*2</f>
        <v>0</v>
      </c>
      <c r="CG28" s="94">
        <f ca="1">MIN(TblMili[[#This Row],[Unit 1]],TblMili[[#This Row],[Unit 4]])*2</f>
        <v>0</v>
      </c>
      <c r="CH28" s="251">
        <f ca="1">MIN(frost_mage_cap,TblMili[[#This Row],[Homeland%]]/frost_mage_bonus)</f>
        <v>3</v>
      </c>
      <c r="CI28" s="45">
        <f ca="1">MIN(ice_elem_cap,TblMili[[#This Row],[Raw (2)]]*ice_elem_bonus)</f>
        <v>0</v>
      </c>
      <c r="CJ28" s="251">
        <f t="shared" si="0"/>
        <v>0.83333333333333337</v>
      </c>
      <c r="CK28" s="251">
        <f ca="1">MIN(nox_nightshade_cap,TblConstr[[#This Row],[Homeland]]/TblConstr[[#This Row],[Land]]/nox_nightshade_swamp_bonus)</f>
        <v>4</v>
      </c>
      <c r="CL28" s="251">
        <f ca="1">MIN(TblConstr[[#This Row],[Total Swamp]]/TblConstr[[#This Row],[Land]]/abyss_enforce_bonus,abyss_enforcer_cap)</f>
        <v>0</v>
      </c>
      <c r="CM28" s="251">
        <f ca="1">IF(TblMagic[[#This Row],[Active Infernal Command]]&gt;0,TblMili[[#This Row],[Unit 1]]*infernal_cmd_op,0)</f>
        <v>0</v>
      </c>
      <c r="CN28" s="252"/>
      <c r="CO28" s="252"/>
      <c r="CP28" s="252"/>
      <c r="CQ28" s="251">
        <f ca="1">MIN(6,TblMili[[#This Row],[Mystic]]+Races!$F$19)*1.8 +  IF(TblMili[[#This Row],[Mystic]]+Races!$F$19&gt;6,(TblMili[[#This Row],[Mystic]]+Races!$F$19-6)*0.2,0) - Races!$I$19</f>
        <v>1</v>
      </c>
      <c r="CR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8" s="94">
        <f ca="1">TblMili[[#This Row],[Mystic bonus]]*TblMili[[#This Row],[Unit 3]]+TblMili[[#This Row],[Druid bonus]]*TblMili[[#This Row],[Unit 4]]</f>
        <v>0</v>
      </c>
      <c r="CT28" s="155">
        <f ca="1">MIN(6,TblMili[[#This Row],[Dryad]]+Races!$F$35)*1.8 +  IF(TblMili[[#This Row],[Dryad]]+Races!$F$35&gt;6,(TblMili[[#This Row],[Dryad]]+Races!$F$35-6)*0.2,0) - Races!$I$19</f>
        <v>1</v>
      </c>
      <c r="CU28" s="94">
        <f ca="1">sylvan*(TblMili[[#This Row],[Mystic bonus]]*TblMili[[#This Row],[Unit 3]])</f>
        <v>0</v>
      </c>
      <c r="CV28" s="155">
        <f ca="1">1.8 * MIN(MAX(Races!$E$27,TblMili[[#This Row],[Rockapult]]+Races!$F$27),6)  +  0.45 * MIN(MIN(Races!$E$27,TblMili[[#This Row],[Rockapult]]+Races!$F$27),6)  +  0.2 * ( MAX(Races!$E$27-6,0) + MAX(TblMili[[#This Row],[Rockapult]]+Races!$F$27-6,0) )  -  Races!$I$20</f>
        <v>3.7000000000000011</v>
      </c>
      <c r="CW28" s="94">
        <f ca="1">gnome*(TblMili[[#This Row],[Rockapult bonus]]*TblMili[[#This Row],[Unit 3]])</f>
        <v>0</v>
      </c>
      <c r="CX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8" s="94">
        <f ca="1">dark_elf*(TblMili[[#This Row],[Adept bonus]]*TblMili[[#This Row],[Unit 3]])</f>
        <v>0</v>
      </c>
      <c r="CZ28" s="155">
        <f ca="1">1.8 * MIN(MAX(TblMili[[#This Row],[Frost Mage]]+Races!$F$71,Races!$E$71),6)  +  0.45 * MIN(MIN(TblMili[[#This Row],[Frost Mage]]+Races!$F$71,Races!$E$71),6)  +  0.2 * ( MAX(TblMili[[#This Row],[Frost Mage]]+Races!$F$71-6,0) + MAX(Races!$E$71-6,0) )  -  Races!$I$71</f>
        <v>6.15</v>
      </c>
      <c r="DA28" s="155">
        <f ca="1">1.8 * MIN(MAX(TblMili[[#This Row],[Ice Elemental]]+Races!$E$71,Races!$F$71),6)  +  0.45 * MIN(MIN(TblMili[[#This Row],[Ice Elemental]]+Races!$E$71,Races!$F$71),6)  +  0.2 * ( MAX(TblMili[[#This Row],[Ice Elemental]]+Races!$E$71-6,0) + MAX(Races!$F$71-6,0) )  -  Races!$I$71</f>
        <v>0.75</v>
      </c>
      <c r="DB28" s="94">
        <f ca="1">TblMili[[#This Row],[Frost Mage bonus]]*TblMili[[#This Row],[Unit 3]]+TblMili[[#This Row],[Ice Elemental bonus]]*TblMili[[#This Row],[Unit 4]]</f>
        <v>0</v>
      </c>
      <c r="DC28" s="253"/>
      <c r="DD28" s="143">
        <f ca="1">MIN(SUM(TblConstr[[#This Row],[Plain]:[Water]])/TblMili[[#This Row],[Land]]/favorable_terrain_bonus/100,favorable_terrain_max)</f>
        <v>0.1</v>
      </c>
      <c r="DE28" s="253"/>
      <c r="DF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8" s="142"/>
      <c r="DH28" s="254">
        <f ca="1">(TblMili[[#This Row],[Wizards]]+2*TblMili[[#This Row],[Archmages]])/TblConstr[[#This Row],[Land]]</f>
        <v>0</v>
      </c>
      <c r="DI28" s="254">
        <f ca="1">TblMili[[#This Row],[Raw (2)]]*(1+race_wizard_strength+IF(TblMili[[#This Row],[Hour]]&gt;72,tech_magical_weaponry_wiz*TblTech[[#This Row],[3-5]],0))</f>
        <v>0</v>
      </c>
    </row>
    <row r="29" spans="1:113" x14ac:dyDescent="0.2">
      <c r="A29" s="137">
        <f>TblRezone[[#This Row],[Hour]]</f>
        <v>26</v>
      </c>
      <c r="B29" s="246">
        <f ca="1">SUM(TblMili[[#This Row],[Unit 1]:[Archmages]])+SUM(OFFSET(TblMili[[#This Row],[Train Unit 1]],-8,0):TblMili[[#This Row],[Train Unit 2]]) + SUM(OFFSET(TblMili[[#This Row],[Train Unit 3]],-11,0):TblMili[[#This Row],[Train AM]]) + TblMili[[#This Row],[Draftees]]</f>
        <v>297</v>
      </c>
      <c r="C29" s="157">
        <f ca="1">TblPop[[#This Row],[Military%]]</f>
        <v>0.28667953667953666</v>
      </c>
      <c r="D29" s="142"/>
      <c r="E29" s="45">
        <f ca="1">OFFSET(TblMili[[#This Row],[Unit 1]],-1,0) + OFFSET(TblMili[[#This Row],[Train Unit 1]],-9,0) - TblMili[[#This Row],[Release Unit 1]] + OFFSET(TblMili[[#This Row],[DnD_Zombies]],-12,0)</f>
        <v>0</v>
      </c>
      <c r="F29" s="45">
        <f ca="1">OFFSET(TblMili[[#This Row],[Unit 2]],-1,0) + OFFSET(TblMili[[#This Row],[Train Unit 2]],-9,0)-TblMili[[#This Row],[Release Unit 2]]</f>
        <v>0</v>
      </c>
      <c r="G29" s="45">
        <f ca="1">OFFSET(TblMili[[#This Row],[Unit 3]],-1,0) + OFFSET(TblMili[[#This Row],[Train Unit 3]],-12,0)-TblMili[[#This Row],[Release Unit 3]]</f>
        <v>0</v>
      </c>
      <c r="H29" s="45">
        <f ca="1">OFFSET(TblMili[[#This Row],[Unit 4]],-1,0) + OFFSET(TblMili[[#This Row],[Train Unit 4]],-12,0)-TblMili[[#This Row],[Release Unit 4]]</f>
        <v>0</v>
      </c>
      <c r="I29" s="45">
        <f ca="1">OFFSET(TblMili[[#This Row],[Spies]],-1,0) + OFFSET(TblMili[[#This Row],[Train Spies]],-12,0) - TblMili[[#This Row],[Release Spies]]-TblMili[[#This Row],[Train AS]]</f>
        <v>0</v>
      </c>
      <c r="J29" s="45">
        <f ca="1">OFFSET(TblMili[[#This Row],[Archspies]],-1,0) + OFFSET(TblMili[[#This Row],[Train AS]],-12,0) - TblMili[[#This Row],[Release AS]]</f>
        <v>0</v>
      </c>
      <c r="K29" s="45">
        <f ca="1">OFFSET(TblMili[[#This Row],[Wizards]],-1,0) + OFFSET(TblMili[[#This Row],[Train Wiz]],-12,0) - TblMili[[#This Row],[Release Wizards]]-TblMili[[#This Row],[Train AM]]</f>
        <v>0</v>
      </c>
      <c r="L29" s="45">
        <f ca="1">OFFSET(TblMili[[#This Row],[Archmages]],-1,0) + OFFSET(TblMili[[#This Row],[Train AM]],-12,0) - TblMili[[#This Row],[Release AM]]</f>
        <v>0</v>
      </c>
      <c r="M29" s="142"/>
      <c r="N29" s="94">
        <f ca="1">TblProd[[#This Row],[Networth]]</f>
        <v>2450</v>
      </c>
      <c r="O29" s="142"/>
      <c r="P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29" s="247">
        <f ca="1">TblMili[[#This Row],[Raw]]*(1+TblMili[[#This Row],[Mods_Off]])</f>
        <v>0</v>
      </c>
      <c r="S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29" s="247">
        <f ca="1">TblMili[[#This Row],[Non Draft]]+TblMili[[#This Row],[Draftees]]</f>
        <v>297</v>
      </c>
      <c r="U29" s="248">
        <f ca="1">race_defense + TblImps[[#This Row],[Walls]] + ROUND( MIN(gt_bonus*TblConstr[[#This Row],[Tot GT]]/TblConstr[[#This Row],[Land]],gt_bonus_cap), 4) + IF(TblMagic[[#This Row],[Active Howling]]&gt;0,howling_dp_bonus,IF(TblMagic[[#This Row],[Active Ares Call]]&gt;0,ares_call_bonus))</f>
        <v>0</v>
      </c>
      <c r="V29" s="249">
        <f ca="1">TblMili[[#This Row],[Non Draft]] * (1 + TblMili[[#This Row],[Mods_Def]])</f>
        <v>0</v>
      </c>
      <c r="W29" s="247">
        <f ca="1">TblMili[[#This Row],[Draft]] * (1 + TblMili[[#This Row],[Mods_Def]])</f>
        <v>297</v>
      </c>
      <c r="X29" s="247">
        <f ca="1">TblConstr[[#This Row],[Land]]</f>
        <v>110</v>
      </c>
      <c r="Y29" s="250"/>
      <c r="Z29" s="255">
        <f ca="1">IF(TblMili[[#This Row],[Set]]&lt;&gt;"",TblMili[[#This Row],[Set]],OFFSET(TblMili[[#This Row],[Draftrate]],-1,0))</f>
        <v>0.9</v>
      </c>
      <c r="AA29" s="94">
        <f ca="1">OFFSET(TblMili[[#This Row],[Draftees]],-1,0)+OFFSET(TblPop[[#This Row],[Draft Growth]],-1,0) - SUM(TblMili[[#This Row],[Train Unit 1]:[Train Spies]],TblMili[[#This Row],[Train Wiz]],TblMili[[#This Row],[DnD_Zombies]]) - TblMili[[#This Row],[Release Draft]] + SUM(TblMili[[#This Row],[Release Unit 1]:[Release AM]]) - TblExplore[[#This Row],[Draftees (2)]]</f>
        <v>297</v>
      </c>
      <c r="AB29" s="154"/>
      <c r="AC29" s="180">
        <f ca="1">(TblConstr[[#This Row],[Tot Smi]]+TblConstr[[#This Row],[Dest Smi]])/(TblConstr[[#This Row],[Land]]-TblExplore[[#This Row],[Land Bonus]]*20)</f>
        <v>0</v>
      </c>
      <c r="AD29" s="137"/>
      <c r="AE29" s="246">
        <f>TblMili[[#This Row],[Hour]]</f>
        <v>26</v>
      </c>
      <c r="AF29" s="138">
        <f ca="1">TblExplore[[#This Row],[Time]]</f>
        <v>46048.041666666606</v>
      </c>
      <c r="AG29" s="179"/>
      <c r="AH29" s="179"/>
      <c r="AI29" s="179"/>
      <c r="AJ29" s="179"/>
      <c r="AK29" s="179"/>
      <c r="AL29" s="179"/>
      <c r="AM29" s="179"/>
      <c r="AN29" s="179"/>
      <c r="AO29" s="420">
        <f ca="1">ROUND(IF(AND(TblMagic[[#This Row],[Active DnD]]&lt;12,TblMagic[[#This Row],[Active DnD]]&gt;5),OFFSET(TblPop[[#This Row],[Draft Growth]],-1,0)*0.375,0),0)</f>
        <v>0</v>
      </c>
      <c r="AP29" s="142"/>
      <c r="AQ29" s="94">
        <f ca="1">TblProd[[#This Row],[Platinum]]</f>
        <v>89530</v>
      </c>
      <c r="AR29" s="94">
        <f ca="1">INDEX(TblProd[[#Headers],[Lumber]]:TblProd[[#This Row],[Ore]],COUNTA(TblProd[[#Headers],[Lumber]]:TblProd[[#This Row],[Lumber]]),MATCH(Military!$AR$2,TblProd[[#Headers],[Lumber]:[Ore]],0))</f>
        <v>0</v>
      </c>
      <c r="AS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29" s="94">
        <f ca="1">TblMili[[#This Row],[Train Unit 1]]*TblMili[[#This Row],[OP Ore]]+TblMili[[#This Row],[Train Unit 2]]*TblMili[[#This Row],[DP Ore]]+TblMili[[#This Row],[Train Unit 3]]*TblMili[[#This Row],[E1 Ore]]+TblMili[[#This Row],[Train Unit 4]]*TblMili[[#This Row],[E2 Ore]]</f>
        <v>0</v>
      </c>
      <c r="AU29" s="142">
        <f>TblMili[[#This Row],[Hour]]</f>
        <v>26</v>
      </c>
      <c r="AV29" s="152">
        <f ca="1">TblMili[[#This Row],[Time]]</f>
        <v>46048.041666666606</v>
      </c>
      <c r="AW29" s="94">
        <f ca="1">TblMili[[#This Row],[Draftees]]</f>
        <v>297</v>
      </c>
      <c r="AX29" s="179"/>
      <c r="AY29" s="179"/>
      <c r="AZ29" s="179"/>
      <c r="BA29" s="179"/>
      <c r="BB29" s="179"/>
      <c r="BC29" s="179"/>
      <c r="BD29" s="179"/>
      <c r="BE29" s="179"/>
      <c r="BF29" s="179"/>
      <c r="BG29" s="142"/>
      <c r="BH29" s="157">
        <f ca="1">TblConstr[[#This Row],[Tot WG]]/TblConstr[[#This Row],[Land]]</f>
        <v>0</v>
      </c>
      <c r="BI29" s="157">
        <f ca="1">TblConstr[[#This Row],[Tot Hav]]/TblConstr[[#This Row],[Land]]</f>
        <v>0</v>
      </c>
      <c r="BJ29" s="94">
        <f ca="1">ROUNDUP((1-MIN(TblMili[[#This Row],[Smithies]]*smithy_bonus,smithy_bonus_cap) + tech_3_5*TblTech[[#This Row],[3-5]] + tech_5_3*TblTech[[#This Row],[5-3]] + tech_5_5*TblTech[[#This Row],[5-5]])*spec_op_plat,0)</f>
        <v>275</v>
      </c>
      <c r="BK29" s="94">
        <f ca="1">ROUNDUP(IF(race="Gnome",1,(1-MIN(TblMili[[#This Row],[Smithies]]*smithy_bonus,smithy_bonus_cap) + tech_3_5*TblTech[[#This Row],[3-5]] + tech_5_3*TblTech[[#This Row],[5-3]] + tech_5_5*TblTech[[#This Row],[5-5]]))*spec_op_ore,0)</f>
        <v>25</v>
      </c>
      <c r="BL29" s="94">
        <f ca="1">ROUNDUP((1-MIN(TblMili[[#This Row],[Smithies]]*smithy_bonus,smithy_bonus_cap) + tech_3_5*TblTech[[#This Row],[3-5]] + tech_5_3*TblTech[[#This Row],[5-3]] + tech_5_5*TblTech[[#This Row],[5-5]])*spec_dp_plat,0)</f>
        <v>275</v>
      </c>
      <c r="BM29" s="94">
        <f ca="1">ROUNDUP(IF(race="Gnome",1,(1-MIN(TblMili[[#This Row],[Smithies]]*smithy_bonus,smithy_bonus_cap) + tech_3_5*TblTech[[#This Row],[3-5]] + tech_5_3*TblTech[[#This Row],[5-3]] + tech_5_5*TblTech[[#This Row],[5-5]]))*spec_dp_ore,0)</f>
        <v>15</v>
      </c>
      <c r="BN29" s="94">
        <f ca="1">ROUNDUP((1-MIN(TblMili[[#This Row],[Smithies]]*smithy_bonus,smithy_bonus_cap) + tech_3_5*TblTech[[#This Row],[3-5]] + tech_5_3*TblTech[[#This Row],[5-3]] + tech_5_5*TblTech[[#This Row],[5-5]])*elite1_plat,0)</f>
        <v>1040</v>
      </c>
      <c r="BO29" s="94">
        <f ca="1">ROUNDUP(IF(race="Gnome",1,(1-MIN(TblMili[[#This Row],[Smithies]]*smithy_bonus,smithy_bonus_cap) + tech_3_5*TblTech[[#This Row],[3-5]] + tech_5_3*TblTech[[#This Row],[5-3]] + tech_5_5*TblTech[[#This Row],[5-5]]))*elite1_ore,0)</f>
        <v>75</v>
      </c>
      <c r="BP29" s="94">
        <f ca="1">ROUNDUP((1-MIN(TblMili[[#This Row],[Smithies]]*smithy_bonus,smithy_bonus_cap) + tech_3_5*TblTech[[#This Row],[3-5]] + tech_5_3*TblTech[[#This Row],[5-3]] + tech_5_5*TblTech[[#This Row],[5-5]])*elite2_plat,0)</f>
        <v>1280</v>
      </c>
      <c r="BQ29" s="94">
        <f ca="1">ROUNDUP(IF(race="Gnome",1,(1-MIN(TblMili[[#This Row],[Smithies]]*smithy_bonus,smithy_bonus_cap) + tech_3_5*TblTech[[#This Row],[3-5]] + tech_5_3*TblTech[[#This Row],[5-3]] + tech_5_5*TblTech[[#This Row],[5-5]]))*elite2_ore,0)</f>
        <v>100</v>
      </c>
      <c r="BR29" s="94">
        <f ca="1">ROUNDUP((1-MIN(ROUND(fh_spy_cost_red*TblMili[[#This Row],[FH''s]],4),fh_spy_cost_cap)+ tech_1_9*TblTech[[#This Row],[1-9]] + tech_9_1*TblTech[[#This Row],[9-1]])*spy_plat,0)</f>
        <v>500</v>
      </c>
      <c r="BS29" s="94">
        <f ca="1">ROUNDUP((1-MIN(ROUND(fh_spy_cost_red*TblMili[[#This Row],[FH''s]],4),fh_spy_cost_cap)+ tech_1_9*TblTech[[#This Row],[1-9]] + tech_9_1*TblTech[[#This Row],[9-1]])*archspy_plat,0)</f>
        <v>1000</v>
      </c>
      <c r="BT29" s="94">
        <f ca="1">ROUNDUP((1-MIN(ROUND(wg_wiz_cost_bonus*TblMili[[#This Row],[WG''s]],4),wg_wiz_cost_cap) + tech_1_9_2*TblTech[[#This Row],[1-9]] + tech_9_1_2*TblTech[[#This Row],[9-1]])*wizard_plat,0)</f>
        <v>500</v>
      </c>
      <c r="BU29" s="94">
        <f ca="1">ROUNDUP((1-MIN(ROUND(wg_wiz_cost_bonus*TblMili[[#This Row],[WG''s]],4),wg_wiz_cost_cap) + tech_1_9_2*TblTech[[#This Row],[1-9]] + tech_9_1_2*TblTech[[#This Row],[9-1]])*archmage_plat,0)</f>
        <v>1000</v>
      </c>
      <c r="BV29" s="142"/>
      <c r="BW29" s="157">
        <f ca="1">TblConstr[[#This Row],[Homeland]]/TblConstr[[#This Row],[Land]]</f>
        <v>0.81818181818181823</v>
      </c>
      <c r="BX29" s="157">
        <f ca="1">TblMili[[#This Row],[WG''s]]</f>
        <v>0</v>
      </c>
      <c r="BY29" s="251">
        <f ca="1">IF(mystic_cap="none",TblMili[[#This Row],[Homeland%]]/mystic_bonus,MIN(mystic_cap,TblMili[[#This Row],[Homeland%]]/mystic_bonus))</f>
        <v>2</v>
      </c>
      <c r="BZ29" s="251">
        <f ca="1">IF(druid_op_cap="none",TblMili[[#This Row],[Homeland%]]/druid_op_bonus,MIN(druid_op_cap,TblMili[[#This Row],[Homeland%]]/druid_op_bonus))</f>
        <v>2</v>
      </c>
      <c r="CA29" s="251">
        <f ca="1">IF(druid_dp_cap="none",TblMili[[#This Row],[Homeland%]]/druid_dp_bonus,MIN(druid_dp_cap,TblMili[[#This Row],[Homeland%]]/druid_dp_bonus))</f>
        <v>2</v>
      </c>
      <c r="CB29" s="251">
        <f ca="1">MIN(dryad_cap,TblMili[[#This Row],[Homeland%]]/dryad_bonus)</f>
        <v>4</v>
      </c>
      <c r="CC29" s="251">
        <f ca="1">MIN(rocka_cap,TblMili[[#This Row],[Homeland%]]/rocka_bonus)</f>
        <v>2</v>
      </c>
      <c r="CD29" s="251">
        <f ca="1">MIN(adept_op_cap,TblMili[[#This Row],[WG]]/adept_op_bonus)</f>
        <v>0</v>
      </c>
      <c r="CE29" s="251">
        <f ca="1">MIN(adept_dp_cap,TblMili[[#This Row],[WG]]/adept_dp_bonus)</f>
        <v>0</v>
      </c>
      <c r="CF29" s="94">
        <f ca="1">MIN(TblMili[[#This Row],[Unit 3]],TblMili[[#This Row],[Unit 2]])*2</f>
        <v>0</v>
      </c>
      <c r="CG29" s="94">
        <f ca="1">MIN(TblMili[[#This Row],[Unit 1]],TblMili[[#This Row],[Unit 4]])*2</f>
        <v>0</v>
      </c>
      <c r="CH29" s="251">
        <f ca="1">MIN(frost_mage_cap,TblMili[[#This Row],[Homeland%]]/frost_mage_bonus)</f>
        <v>3</v>
      </c>
      <c r="CI29" s="45">
        <f ca="1">MIN(ice_elem_cap,TblMili[[#This Row],[Raw (2)]]*ice_elem_bonus)</f>
        <v>0</v>
      </c>
      <c r="CJ29" s="251">
        <f t="shared" si="0"/>
        <v>0.83333333333333337</v>
      </c>
      <c r="CK29" s="251">
        <f ca="1">MIN(nox_nightshade_cap,TblConstr[[#This Row],[Homeland]]/TblConstr[[#This Row],[Land]]/nox_nightshade_swamp_bonus)</f>
        <v>4</v>
      </c>
      <c r="CL29" s="251">
        <f ca="1">MIN(TblConstr[[#This Row],[Total Swamp]]/TblConstr[[#This Row],[Land]]/abyss_enforce_bonus,abyss_enforcer_cap)</f>
        <v>0</v>
      </c>
      <c r="CM29" s="251">
        <f ca="1">IF(TblMagic[[#This Row],[Active Infernal Command]]&gt;0,TblMili[[#This Row],[Unit 1]]*infernal_cmd_op,0)</f>
        <v>0</v>
      </c>
      <c r="CN29" s="252"/>
      <c r="CO29" s="252"/>
      <c r="CP29" s="252"/>
      <c r="CQ29" s="251">
        <f ca="1">MIN(6,TblMili[[#This Row],[Mystic]]+Races!$F$19)*1.8 +  IF(TblMili[[#This Row],[Mystic]]+Races!$F$19&gt;6,(TblMili[[#This Row],[Mystic]]+Races!$F$19-6)*0.2,0) - Races!$I$19</f>
        <v>1</v>
      </c>
      <c r="CR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29" s="94">
        <f ca="1">TblMili[[#This Row],[Mystic bonus]]*TblMili[[#This Row],[Unit 3]]+TblMili[[#This Row],[Druid bonus]]*TblMili[[#This Row],[Unit 4]]</f>
        <v>0</v>
      </c>
      <c r="CT29" s="155">
        <f ca="1">MIN(6,TblMili[[#This Row],[Dryad]]+Races!$F$35)*1.8 +  IF(TblMili[[#This Row],[Dryad]]+Races!$F$35&gt;6,(TblMili[[#This Row],[Dryad]]+Races!$F$35-6)*0.2,0) - Races!$I$19</f>
        <v>1</v>
      </c>
      <c r="CU29" s="94">
        <f ca="1">sylvan*(TblMili[[#This Row],[Mystic bonus]]*TblMili[[#This Row],[Unit 3]])</f>
        <v>0</v>
      </c>
      <c r="CV29" s="155">
        <f ca="1">1.8 * MIN(MAX(Races!$E$27,TblMili[[#This Row],[Rockapult]]+Races!$F$27),6)  +  0.45 * MIN(MIN(Races!$E$27,TblMili[[#This Row],[Rockapult]]+Races!$F$27),6)  +  0.2 * ( MAX(Races!$E$27-6,0) + MAX(TblMili[[#This Row],[Rockapult]]+Races!$F$27-6,0) )  -  Races!$I$20</f>
        <v>3.7000000000000011</v>
      </c>
      <c r="CW29" s="94">
        <f ca="1">gnome*(TblMili[[#This Row],[Rockapult bonus]]*TblMili[[#This Row],[Unit 3]])</f>
        <v>0</v>
      </c>
      <c r="CX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29" s="94">
        <f ca="1">dark_elf*(TblMili[[#This Row],[Adept bonus]]*TblMili[[#This Row],[Unit 3]])</f>
        <v>0</v>
      </c>
      <c r="CZ29" s="155">
        <f ca="1">1.8 * MIN(MAX(TblMili[[#This Row],[Frost Mage]]+Races!$F$71,Races!$E$71),6)  +  0.45 * MIN(MIN(TblMili[[#This Row],[Frost Mage]]+Races!$F$71,Races!$E$71),6)  +  0.2 * ( MAX(TblMili[[#This Row],[Frost Mage]]+Races!$F$71-6,0) + MAX(Races!$E$71-6,0) )  -  Races!$I$71</f>
        <v>6.15</v>
      </c>
      <c r="DA29" s="155">
        <f ca="1">1.8 * MIN(MAX(TblMili[[#This Row],[Ice Elemental]]+Races!$E$71,Races!$F$71),6)  +  0.45 * MIN(MIN(TblMili[[#This Row],[Ice Elemental]]+Races!$E$71,Races!$F$71),6)  +  0.2 * ( MAX(TblMili[[#This Row],[Ice Elemental]]+Races!$E$71-6,0) + MAX(Races!$F$71-6,0) )  -  Races!$I$71</f>
        <v>0.75</v>
      </c>
      <c r="DB29" s="94">
        <f ca="1">TblMili[[#This Row],[Frost Mage bonus]]*TblMili[[#This Row],[Unit 3]]+TblMili[[#This Row],[Ice Elemental bonus]]*TblMili[[#This Row],[Unit 4]]</f>
        <v>0</v>
      </c>
      <c r="DC29" s="253"/>
      <c r="DD29" s="143">
        <f ca="1">MIN(SUM(TblConstr[[#This Row],[Plain]:[Water]])/TblMili[[#This Row],[Land]]/favorable_terrain_bonus/100,favorable_terrain_max)</f>
        <v>0.1</v>
      </c>
      <c r="DE29" s="253"/>
      <c r="DF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29" s="142"/>
      <c r="DH29" s="254">
        <f ca="1">(TblMili[[#This Row],[Wizards]]+2*TblMili[[#This Row],[Archmages]])/TblConstr[[#This Row],[Land]]</f>
        <v>0</v>
      </c>
      <c r="DI29" s="254">
        <f ca="1">TblMili[[#This Row],[Raw (2)]]*(1+race_wizard_strength+IF(TblMili[[#This Row],[Hour]]&gt;72,tech_magical_weaponry_wiz*TblTech[[#This Row],[3-5]],0))</f>
        <v>0</v>
      </c>
    </row>
    <row r="30" spans="1:113" x14ac:dyDescent="0.2">
      <c r="A30" s="137">
        <f>TblRezone[[#This Row],[Hour]]</f>
        <v>27</v>
      </c>
      <c r="B30" s="246">
        <f ca="1">SUM(TblMili[[#This Row],[Unit 1]:[Archmages]])+SUM(OFFSET(TblMili[[#This Row],[Train Unit 1]],-8,0):TblMili[[#This Row],[Train Unit 2]]) + SUM(OFFSET(TblMili[[#This Row],[Train Unit 3]],-11,0):TblMili[[#This Row],[Train AM]]) + TblMili[[#This Row],[Draftees]]</f>
        <v>304</v>
      </c>
      <c r="C30" s="157">
        <f ca="1">TblPop[[#This Row],[Military%]]</f>
        <v>0.28733459357277885</v>
      </c>
      <c r="D30" s="142"/>
      <c r="E30" s="45">
        <f ca="1">OFFSET(TblMili[[#This Row],[Unit 1]],-1,0) + OFFSET(TblMili[[#This Row],[Train Unit 1]],-9,0) - TblMili[[#This Row],[Release Unit 1]] + OFFSET(TblMili[[#This Row],[DnD_Zombies]],-12,0)</f>
        <v>0</v>
      </c>
      <c r="F30" s="45">
        <f ca="1">OFFSET(TblMili[[#This Row],[Unit 2]],-1,0) + OFFSET(TblMili[[#This Row],[Train Unit 2]],-9,0)-TblMili[[#This Row],[Release Unit 2]]</f>
        <v>0</v>
      </c>
      <c r="G30" s="45">
        <f ca="1">OFFSET(TblMili[[#This Row],[Unit 3]],-1,0) + OFFSET(TblMili[[#This Row],[Train Unit 3]],-12,0)-TblMili[[#This Row],[Release Unit 3]]</f>
        <v>0</v>
      </c>
      <c r="H30" s="45">
        <f ca="1">OFFSET(TblMili[[#This Row],[Unit 4]],-1,0) + OFFSET(TblMili[[#This Row],[Train Unit 4]],-12,0)-TblMili[[#This Row],[Release Unit 4]]</f>
        <v>0</v>
      </c>
      <c r="I30" s="45">
        <f ca="1">OFFSET(TblMili[[#This Row],[Spies]],-1,0) + OFFSET(TblMili[[#This Row],[Train Spies]],-12,0) - TblMili[[#This Row],[Release Spies]]-TblMili[[#This Row],[Train AS]]</f>
        <v>0</v>
      </c>
      <c r="J30" s="45">
        <f ca="1">OFFSET(TblMili[[#This Row],[Archspies]],-1,0) + OFFSET(TblMili[[#This Row],[Train AS]],-12,0) - TblMili[[#This Row],[Release AS]]</f>
        <v>0</v>
      </c>
      <c r="K30" s="45">
        <f ca="1">OFFSET(TblMili[[#This Row],[Wizards]],-1,0) + OFFSET(TblMili[[#This Row],[Train Wiz]],-12,0) - TblMili[[#This Row],[Release Wizards]]-TblMili[[#This Row],[Train AM]]</f>
        <v>0</v>
      </c>
      <c r="L30" s="45">
        <f ca="1">OFFSET(TblMili[[#This Row],[Archmages]],-1,0) + OFFSET(TblMili[[#This Row],[Train AM]],-12,0) - TblMili[[#This Row],[Release AM]]</f>
        <v>0</v>
      </c>
      <c r="M30" s="142"/>
      <c r="N30" s="94">
        <f ca="1">TblProd[[#This Row],[Networth]]</f>
        <v>2450</v>
      </c>
      <c r="O30" s="142"/>
      <c r="P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0" s="247">
        <f ca="1">TblMili[[#This Row],[Raw]]*(1+TblMili[[#This Row],[Mods_Off]])</f>
        <v>0</v>
      </c>
      <c r="S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0" s="247">
        <f ca="1">TblMili[[#This Row],[Non Draft]]+TblMili[[#This Row],[Draftees]]</f>
        <v>304</v>
      </c>
      <c r="U30" s="248">
        <f ca="1">race_defense + TblImps[[#This Row],[Walls]] + ROUND( MIN(gt_bonus*TblConstr[[#This Row],[Tot GT]]/TblConstr[[#This Row],[Land]],gt_bonus_cap), 4) + IF(TblMagic[[#This Row],[Active Howling]]&gt;0,howling_dp_bonus,IF(TblMagic[[#This Row],[Active Ares Call]]&gt;0,ares_call_bonus))</f>
        <v>0</v>
      </c>
      <c r="V30" s="249">
        <f ca="1">TblMili[[#This Row],[Non Draft]] * (1 + TblMili[[#This Row],[Mods_Def]])</f>
        <v>0</v>
      </c>
      <c r="W30" s="247">
        <f ca="1">TblMili[[#This Row],[Draft]] * (1 + TblMili[[#This Row],[Mods_Def]])</f>
        <v>304</v>
      </c>
      <c r="X30" s="247">
        <f ca="1">TblConstr[[#This Row],[Land]]</f>
        <v>110</v>
      </c>
      <c r="Y30" s="250"/>
      <c r="Z30" s="255">
        <f ca="1">IF(TblMili[[#This Row],[Set]]&lt;&gt;"",TblMili[[#This Row],[Set]],OFFSET(TblMili[[#This Row],[Draftrate]],-1,0))</f>
        <v>0.9</v>
      </c>
      <c r="AA30" s="94">
        <f ca="1">OFFSET(TblMili[[#This Row],[Draftees]],-1,0)+OFFSET(TblPop[[#This Row],[Draft Growth]],-1,0) - SUM(TblMili[[#This Row],[Train Unit 1]:[Train Spies]],TblMili[[#This Row],[Train Wiz]],TblMili[[#This Row],[DnD_Zombies]]) - TblMili[[#This Row],[Release Draft]] + SUM(TblMili[[#This Row],[Release Unit 1]:[Release AM]]) - TblExplore[[#This Row],[Draftees (2)]]</f>
        <v>304</v>
      </c>
      <c r="AB30" s="154"/>
      <c r="AC30" s="180">
        <f ca="1">(TblConstr[[#This Row],[Tot Smi]]+TblConstr[[#This Row],[Dest Smi]])/(TblConstr[[#This Row],[Land]]-TblExplore[[#This Row],[Land Bonus]]*20)</f>
        <v>0</v>
      </c>
      <c r="AD30" s="137"/>
      <c r="AE30" s="246">
        <f>TblMili[[#This Row],[Hour]]</f>
        <v>27</v>
      </c>
      <c r="AF30" s="138">
        <f ca="1">TblExplore[[#This Row],[Time]]</f>
        <v>46048.08333333327</v>
      </c>
      <c r="AG30" s="179"/>
      <c r="AH30" s="179"/>
      <c r="AI30" s="179"/>
      <c r="AJ30" s="179"/>
      <c r="AK30" s="179"/>
      <c r="AL30" s="179"/>
      <c r="AM30" s="179"/>
      <c r="AN30" s="179"/>
      <c r="AO30" s="420">
        <f ca="1">ROUND(IF(AND(TblMagic[[#This Row],[Active DnD]]&lt;12,TblMagic[[#This Row],[Active DnD]]&gt;5),OFFSET(TblPop[[#This Row],[Draft Growth]],-1,0)*0.375,0),0)</f>
        <v>0</v>
      </c>
      <c r="AP30" s="142"/>
      <c r="AQ30" s="94">
        <f ca="1">TblProd[[#This Row],[Platinum]]</f>
        <v>91525</v>
      </c>
      <c r="AR30" s="94">
        <f ca="1">INDEX(TblProd[[#Headers],[Lumber]]:TblProd[[#This Row],[Ore]],COUNTA(TblProd[[#Headers],[Lumber]]:TblProd[[#This Row],[Lumber]]),MATCH(Military!$AR$2,TblProd[[#Headers],[Lumber]:[Ore]],0))</f>
        <v>0</v>
      </c>
      <c r="AS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0" s="94">
        <f ca="1">TblMili[[#This Row],[Train Unit 1]]*TblMili[[#This Row],[OP Ore]]+TblMili[[#This Row],[Train Unit 2]]*TblMili[[#This Row],[DP Ore]]+TblMili[[#This Row],[Train Unit 3]]*TblMili[[#This Row],[E1 Ore]]+TblMili[[#This Row],[Train Unit 4]]*TblMili[[#This Row],[E2 Ore]]</f>
        <v>0</v>
      </c>
      <c r="AU30" s="142">
        <f>TblMili[[#This Row],[Hour]]</f>
        <v>27</v>
      </c>
      <c r="AV30" s="152">
        <f ca="1">TblMili[[#This Row],[Time]]</f>
        <v>46048.08333333327</v>
      </c>
      <c r="AW30" s="94">
        <f ca="1">TblMili[[#This Row],[Draftees]]</f>
        <v>304</v>
      </c>
      <c r="AX30" s="179"/>
      <c r="AY30" s="179"/>
      <c r="AZ30" s="179"/>
      <c r="BA30" s="179"/>
      <c r="BB30" s="179"/>
      <c r="BC30" s="179"/>
      <c r="BD30" s="179"/>
      <c r="BE30" s="179"/>
      <c r="BF30" s="179"/>
      <c r="BG30" s="142"/>
      <c r="BH30" s="157">
        <f ca="1">TblConstr[[#This Row],[Tot WG]]/TblConstr[[#This Row],[Land]]</f>
        <v>0</v>
      </c>
      <c r="BI30" s="157">
        <f ca="1">TblConstr[[#This Row],[Tot Hav]]/TblConstr[[#This Row],[Land]]</f>
        <v>0</v>
      </c>
      <c r="BJ30" s="94">
        <f ca="1">ROUNDUP((1-MIN(TblMili[[#This Row],[Smithies]]*smithy_bonus,smithy_bonus_cap) + tech_3_5*TblTech[[#This Row],[3-5]] + tech_5_3*TblTech[[#This Row],[5-3]] + tech_5_5*TblTech[[#This Row],[5-5]])*spec_op_plat,0)</f>
        <v>275</v>
      </c>
      <c r="BK30" s="94">
        <f ca="1">ROUNDUP(IF(race="Gnome",1,(1-MIN(TblMili[[#This Row],[Smithies]]*smithy_bonus,smithy_bonus_cap) + tech_3_5*TblTech[[#This Row],[3-5]] + tech_5_3*TblTech[[#This Row],[5-3]] + tech_5_5*TblTech[[#This Row],[5-5]]))*spec_op_ore,0)</f>
        <v>25</v>
      </c>
      <c r="BL30" s="94">
        <f ca="1">ROUNDUP((1-MIN(TblMili[[#This Row],[Smithies]]*smithy_bonus,smithy_bonus_cap) + tech_3_5*TblTech[[#This Row],[3-5]] + tech_5_3*TblTech[[#This Row],[5-3]] + tech_5_5*TblTech[[#This Row],[5-5]])*spec_dp_plat,0)</f>
        <v>275</v>
      </c>
      <c r="BM30" s="94">
        <f ca="1">ROUNDUP(IF(race="Gnome",1,(1-MIN(TblMili[[#This Row],[Smithies]]*smithy_bonus,smithy_bonus_cap) + tech_3_5*TblTech[[#This Row],[3-5]] + tech_5_3*TblTech[[#This Row],[5-3]] + tech_5_5*TblTech[[#This Row],[5-5]]))*spec_dp_ore,0)</f>
        <v>15</v>
      </c>
      <c r="BN30" s="94">
        <f ca="1">ROUNDUP((1-MIN(TblMili[[#This Row],[Smithies]]*smithy_bonus,smithy_bonus_cap) + tech_3_5*TblTech[[#This Row],[3-5]] + tech_5_3*TblTech[[#This Row],[5-3]] + tech_5_5*TblTech[[#This Row],[5-5]])*elite1_plat,0)</f>
        <v>1040</v>
      </c>
      <c r="BO30" s="94">
        <f ca="1">ROUNDUP(IF(race="Gnome",1,(1-MIN(TblMili[[#This Row],[Smithies]]*smithy_bonus,smithy_bonus_cap) + tech_3_5*TblTech[[#This Row],[3-5]] + tech_5_3*TblTech[[#This Row],[5-3]] + tech_5_5*TblTech[[#This Row],[5-5]]))*elite1_ore,0)</f>
        <v>75</v>
      </c>
      <c r="BP30" s="94">
        <f ca="1">ROUNDUP((1-MIN(TblMili[[#This Row],[Smithies]]*smithy_bonus,smithy_bonus_cap) + tech_3_5*TblTech[[#This Row],[3-5]] + tech_5_3*TblTech[[#This Row],[5-3]] + tech_5_5*TblTech[[#This Row],[5-5]])*elite2_plat,0)</f>
        <v>1280</v>
      </c>
      <c r="BQ30" s="94">
        <f ca="1">ROUNDUP(IF(race="Gnome",1,(1-MIN(TblMili[[#This Row],[Smithies]]*smithy_bonus,smithy_bonus_cap) + tech_3_5*TblTech[[#This Row],[3-5]] + tech_5_3*TblTech[[#This Row],[5-3]] + tech_5_5*TblTech[[#This Row],[5-5]]))*elite2_ore,0)</f>
        <v>100</v>
      </c>
      <c r="BR30" s="94">
        <f ca="1">ROUNDUP((1-MIN(ROUND(fh_spy_cost_red*TblMili[[#This Row],[FH''s]],4),fh_spy_cost_cap)+ tech_1_9*TblTech[[#This Row],[1-9]] + tech_9_1*TblTech[[#This Row],[9-1]])*spy_plat,0)</f>
        <v>500</v>
      </c>
      <c r="BS30" s="94">
        <f ca="1">ROUNDUP((1-MIN(ROUND(fh_spy_cost_red*TblMili[[#This Row],[FH''s]],4),fh_spy_cost_cap)+ tech_1_9*TblTech[[#This Row],[1-9]] + tech_9_1*TblTech[[#This Row],[9-1]])*archspy_plat,0)</f>
        <v>1000</v>
      </c>
      <c r="BT30" s="94">
        <f ca="1">ROUNDUP((1-MIN(ROUND(wg_wiz_cost_bonus*TblMili[[#This Row],[WG''s]],4),wg_wiz_cost_cap) + tech_1_9_2*TblTech[[#This Row],[1-9]] + tech_9_1_2*TblTech[[#This Row],[9-1]])*wizard_plat,0)</f>
        <v>500</v>
      </c>
      <c r="BU30" s="94">
        <f ca="1">ROUNDUP((1-MIN(ROUND(wg_wiz_cost_bonus*TblMili[[#This Row],[WG''s]],4),wg_wiz_cost_cap) + tech_1_9_2*TblTech[[#This Row],[1-9]] + tech_9_1_2*TblTech[[#This Row],[9-1]])*archmage_plat,0)</f>
        <v>1000</v>
      </c>
      <c r="BV30" s="142"/>
      <c r="BW30" s="157">
        <f ca="1">TblConstr[[#This Row],[Homeland]]/TblConstr[[#This Row],[Land]]</f>
        <v>0.81818181818181823</v>
      </c>
      <c r="BX30" s="157">
        <f ca="1">TblMili[[#This Row],[WG''s]]</f>
        <v>0</v>
      </c>
      <c r="BY30" s="251">
        <f ca="1">IF(mystic_cap="none",TblMili[[#This Row],[Homeland%]]/mystic_bonus,MIN(mystic_cap,TblMili[[#This Row],[Homeland%]]/mystic_bonus))</f>
        <v>2</v>
      </c>
      <c r="BZ30" s="251">
        <f ca="1">IF(druid_op_cap="none",TblMili[[#This Row],[Homeland%]]/druid_op_bonus,MIN(druid_op_cap,TblMili[[#This Row],[Homeland%]]/druid_op_bonus))</f>
        <v>2</v>
      </c>
      <c r="CA30" s="251">
        <f ca="1">IF(druid_dp_cap="none",TblMili[[#This Row],[Homeland%]]/druid_dp_bonus,MIN(druid_dp_cap,TblMili[[#This Row],[Homeland%]]/druid_dp_bonus))</f>
        <v>2</v>
      </c>
      <c r="CB30" s="251">
        <f ca="1">MIN(dryad_cap,TblMili[[#This Row],[Homeland%]]/dryad_bonus)</f>
        <v>4</v>
      </c>
      <c r="CC30" s="251">
        <f ca="1">MIN(rocka_cap,TblMili[[#This Row],[Homeland%]]/rocka_bonus)</f>
        <v>2</v>
      </c>
      <c r="CD30" s="251">
        <f ca="1">MIN(adept_op_cap,TblMili[[#This Row],[WG]]/adept_op_bonus)</f>
        <v>0</v>
      </c>
      <c r="CE30" s="251">
        <f ca="1">MIN(adept_dp_cap,TblMili[[#This Row],[WG]]/adept_dp_bonus)</f>
        <v>0</v>
      </c>
      <c r="CF30" s="94">
        <f ca="1">MIN(TblMili[[#This Row],[Unit 3]],TblMili[[#This Row],[Unit 2]])*2</f>
        <v>0</v>
      </c>
      <c r="CG30" s="94">
        <f ca="1">MIN(TblMili[[#This Row],[Unit 1]],TblMili[[#This Row],[Unit 4]])*2</f>
        <v>0</v>
      </c>
      <c r="CH30" s="251">
        <f ca="1">MIN(frost_mage_cap,TblMili[[#This Row],[Homeland%]]/frost_mage_bonus)</f>
        <v>3</v>
      </c>
      <c r="CI30" s="45">
        <f ca="1">MIN(ice_elem_cap,TblMili[[#This Row],[Raw (2)]]*ice_elem_bonus)</f>
        <v>0</v>
      </c>
      <c r="CJ30" s="251">
        <f t="shared" si="0"/>
        <v>0.83333333333333337</v>
      </c>
      <c r="CK30" s="251">
        <f ca="1">MIN(nox_nightshade_cap,TblConstr[[#This Row],[Homeland]]/TblConstr[[#This Row],[Land]]/nox_nightshade_swamp_bonus)</f>
        <v>4</v>
      </c>
      <c r="CL30" s="251">
        <f ca="1">MIN(TblConstr[[#This Row],[Total Swamp]]/TblConstr[[#This Row],[Land]]/abyss_enforce_bonus,abyss_enforcer_cap)</f>
        <v>0</v>
      </c>
      <c r="CM30" s="251">
        <f ca="1">IF(TblMagic[[#This Row],[Active Infernal Command]]&gt;0,TblMili[[#This Row],[Unit 1]]*infernal_cmd_op,0)</f>
        <v>0</v>
      </c>
      <c r="CN30" s="252"/>
      <c r="CO30" s="252"/>
      <c r="CP30" s="252"/>
      <c r="CQ30" s="251">
        <f ca="1">MIN(6,TblMili[[#This Row],[Mystic]]+Races!$F$19)*1.8 +  IF(TblMili[[#This Row],[Mystic]]+Races!$F$19&gt;6,(TblMili[[#This Row],[Mystic]]+Races!$F$19-6)*0.2,0) - Races!$I$19</f>
        <v>1</v>
      </c>
      <c r="CR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0" s="94">
        <f ca="1">TblMili[[#This Row],[Mystic bonus]]*TblMili[[#This Row],[Unit 3]]+TblMili[[#This Row],[Druid bonus]]*TblMili[[#This Row],[Unit 4]]</f>
        <v>0</v>
      </c>
      <c r="CT30" s="155">
        <f ca="1">MIN(6,TblMili[[#This Row],[Dryad]]+Races!$F$35)*1.8 +  IF(TblMili[[#This Row],[Dryad]]+Races!$F$35&gt;6,(TblMili[[#This Row],[Dryad]]+Races!$F$35-6)*0.2,0) - Races!$I$19</f>
        <v>1</v>
      </c>
      <c r="CU30" s="94">
        <f ca="1">sylvan*(TblMili[[#This Row],[Mystic bonus]]*TblMili[[#This Row],[Unit 3]])</f>
        <v>0</v>
      </c>
      <c r="CV30" s="155">
        <f ca="1">1.8 * MIN(MAX(Races!$E$27,TblMili[[#This Row],[Rockapult]]+Races!$F$27),6)  +  0.45 * MIN(MIN(Races!$E$27,TblMili[[#This Row],[Rockapult]]+Races!$F$27),6)  +  0.2 * ( MAX(Races!$E$27-6,0) + MAX(TblMili[[#This Row],[Rockapult]]+Races!$F$27-6,0) )  -  Races!$I$20</f>
        <v>3.7000000000000011</v>
      </c>
      <c r="CW30" s="94">
        <f ca="1">gnome*(TblMili[[#This Row],[Rockapult bonus]]*TblMili[[#This Row],[Unit 3]])</f>
        <v>0</v>
      </c>
      <c r="CX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0" s="94">
        <f ca="1">dark_elf*(TblMili[[#This Row],[Adept bonus]]*TblMili[[#This Row],[Unit 3]])</f>
        <v>0</v>
      </c>
      <c r="CZ30" s="155">
        <f ca="1">1.8 * MIN(MAX(TblMili[[#This Row],[Frost Mage]]+Races!$F$71,Races!$E$71),6)  +  0.45 * MIN(MIN(TblMili[[#This Row],[Frost Mage]]+Races!$F$71,Races!$E$71),6)  +  0.2 * ( MAX(TblMili[[#This Row],[Frost Mage]]+Races!$F$71-6,0) + MAX(Races!$E$71-6,0) )  -  Races!$I$71</f>
        <v>6.15</v>
      </c>
      <c r="DA30" s="155">
        <f ca="1">1.8 * MIN(MAX(TblMili[[#This Row],[Ice Elemental]]+Races!$E$71,Races!$F$71),6)  +  0.45 * MIN(MIN(TblMili[[#This Row],[Ice Elemental]]+Races!$E$71,Races!$F$71),6)  +  0.2 * ( MAX(TblMili[[#This Row],[Ice Elemental]]+Races!$E$71-6,0) + MAX(Races!$F$71-6,0) )  -  Races!$I$71</f>
        <v>0.75</v>
      </c>
      <c r="DB30" s="94">
        <f ca="1">TblMili[[#This Row],[Frost Mage bonus]]*TblMili[[#This Row],[Unit 3]]+TblMili[[#This Row],[Ice Elemental bonus]]*TblMili[[#This Row],[Unit 4]]</f>
        <v>0</v>
      </c>
      <c r="DC30" s="253"/>
      <c r="DD30" s="143">
        <f ca="1">MIN(SUM(TblConstr[[#This Row],[Plain]:[Water]])/TblMili[[#This Row],[Land]]/favorable_terrain_bonus/100,favorable_terrain_max)</f>
        <v>0.1</v>
      </c>
      <c r="DE30" s="253"/>
      <c r="DF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0" s="142"/>
      <c r="DH30" s="254">
        <f ca="1">(TblMili[[#This Row],[Wizards]]+2*TblMili[[#This Row],[Archmages]])/TblConstr[[#This Row],[Land]]</f>
        <v>0</v>
      </c>
      <c r="DI30" s="254">
        <f ca="1">TblMili[[#This Row],[Raw (2)]]*(1+race_wizard_strength+IF(TblMili[[#This Row],[Hour]]&gt;72,tech_magical_weaponry_wiz*TblTech[[#This Row],[3-5]],0))</f>
        <v>0</v>
      </c>
    </row>
    <row r="31" spans="1:113" x14ac:dyDescent="0.2">
      <c r="A31" s="137">
        <f>TblRezone[[#This Row],[Hour]]</f>
        <v>28</v>
      </c>
      <c r="B31" s="246">
        <f ca="1">SUM(TblMili[[#This Row],[Unit 1]:[Archmages]])+SUM(OFFSET(TblMili[[#This Row],[Train Unit 1]],-8,0):TblMili[[#This Row],[Train Unit 2]]) + SUM(OFFSET(TblMili[[#This Row],[Train Unit 3]],-11,0):TblMili[[#This Row],[Train AM]]) + TblMili[[#This Row],[Draftees]]</f>
        <v>312</v>
      </c>
      <c r="C31" s="157">
        <f ca="1">TblPop[[#This Row],[Military%]]</f>
        <v>0.2899628252788104</v>
      </c>
      <c r="D31" s="142"/>
      <c r="E31" s="45">
        <f ca="1">OFFSET(TblMili[[#This Row],[Unit 1]],-1,0) + OFFSET(TblMili[[#This Row],[Train Unit 1]],-9,0) - TblMili[[#This Row],[Release Unit 1]] + OFFSET(TblMili[[#This Row],[DnD_Zombies]],-12,0)</f>
        <v>0</v>
      </c>
      <c r="F31" s="45">
        <f ca="1">OFFSET(TblMili[[#This Row],[Unit 2]],-1,0) + OFFSET(TblMili[[#This Row],[Train Unit 2]],-9,0)-TblMili[[#This Row],[Release Unit 2]]</f>
        <v>0</v>
      </c>
      <c r="G31" s="45">
        <f ca="1">OFFSET(TblMili[[#This Row],[Unit 3]],-1,0) + OFFSET(TblMili[[#This Row],[Train Unit 3]],-12,0)-TblMili[[#This Row],[Release Unit 3]]</f>
        <v>0</v>
      </c>
      <c r="H31" s="45">
        <f ca="1">OFFSET(TblMili[[#This Row],[Unit 4]],-1,0) + OFFSET(TblMili[[#This Row],[Train Unit 4]],-12,0)-TblMili[[#This Row],[Release Unit 4]]</f>
        <v>0</v>
      </c>
      <c r="I31" s="45">
        <f ca="1">OFFSET(TblMili[[#This Row],[Spies]],-1,0) + OFFSET(TblMili[[#This Row],[Train Spies]],-12,0) - TblMili[[#This Row],[Release Spies]]-TblMili[[#This Row],[Train AS]]</f>
        <v>0</v>
      </c>
      <c r="J31" s="45">
        <f ca="1">OFFSET(TblMili[[#This Row],[Archspies]],-1,0) + OFFSET(TblMili[[#This Row],[Train AS]],-12,0) - TblMili[[#This Row],[Release AS]]</f>
        <v>0</v>
      </c>
      <c r="K31" s="45">
        <f ca="1">OFFSET(TblMili[[#This Row],[Wizards]],-1,0) + OFFSET(TblMili[[#This Row],[Train Wiz]],-12,0) - TblMili[[#This Row],[Release Wizards]]-TblMili[[#This Row],[Train AM]]</f>
        <v>0</v>
      </c>
      <c r="L31" s="45">
        <f ca="1">OFFSET(TblMili[[#This Row],[Archmages]],-1,0) + OFFSET(TblMili[[#This Row],[Train AM]],-12,0) - TblMili[[#This Row],[Release AM]]</f>
        <v>0</v>
      </c>
      <c r="M31" s="142"/>
      <c r="N31" s="94">
        <f ca="1">TblProd[[#This Row],[Networth]]</f>
        <v>2450</v>
      </c>
      <c r="O31" s="142"/>
      <c r="P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1" s="247">
        <f ca="1">TblMili[[#This Row],[Raw]]*(1+TblMili[[#This Row],[Mods_Off]])</f>
        <v>0</v>
      </c>
      <c r="S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1" s="247">
        <f ca="1">TblMili[[#This Row],[Non Draft]]+TblMili[[#This Row],[Draftees]]</f>
        <v>312</v>
      </c>
      <c r="U31" s="248">
        <f ca="1">race_defense + TblImps[[#This Row],[Walls]] + ROUND( MIN(gt_bonus*TblConstr[[#This Row],[Tot GT]]/TblConstr[[#This Row],[Land]],gt_bonus_cap), 4) + IF(TblMagic[[#This Row],[Active Howling]]&gt;0,howling_dp_bonus,IF(TblMagic[[#This Row],[Active Ares Call]]&gt;0,ares_call_bonus))</f>
        <v>0</v>
      </c>
      <c r="V31" s="249">
        <f ca="1">TblMili[[#This Row],[Non Draft]] * (1 + TblMili[[#This Row],[Mods_Def]])</f>
        <v>0</v>
      </c>
      <c r="W31" s="247">
        <f ca="1">TblMili[[#This Row],[Draft]] * (1 + TblMili[[#This Row],[Mods_Def]])</f>
        <v>312</v>
      </c>
      <c r="X31" s="247">
        <f ca="1">TblConstr[[#This Row],[Land]]</f>
        <v>110</v>
      </c>
      <c r="Y31" s="250"/>
      <c r="Z31" s="255">
        <f ca="1">IF(TblMili[[#This Row],[Set]]&lt;&gt;"",TblMili[[#This Row],[Set]],OFFSET(TblMili[[#This Row],[Draftrate]],-1,0))</f>
        <v>0.9</v>
      </c>
      <c r="AA31" s="94">
        <f ca="1">OFFSET(TblMili[[#This Row],[Draftees]],-1,0)+OFFSET(TblPop[[#This Row],[Draft Growth]],-1,0) - SUM(TblMili[[#This Row],[Train Unit 1]:[Train Spies]],TblMili[[#This Row],[Train Wiz]],TblMili[[#This Row],[DnD_Zombies]]) - TblMili[[#This Row],[Release Draft]] + SUM(TblMili[[#This Row],[Release Unit 1]:[Release AM]]) - TblExplore[[#This Row],[Draftees (2)]]</f>
        <v>312</v>
      </c>
      <c r="AB31" s="154"/>
      <c r="AC31" s="180">
        <f ca="1">(TblConstr[[#This Row],[Tot Smi]]+TblConstr[[#This Row],[Dest Smi]])/(TblConstr[[#This Row],[Land]]-TblExplore[[#This Row],[Land Bonus]]*20)</f>
        <v>0</v>
      </c>
      <c r="AD31" s="137"/>
      <c r="AE31" s="246">
        <f>TblMili[[#This Row],[Hour]]</f>
        <v>28</v>
      </c>
      <c r="AF31" s="138">
        <f ca="1">TblExplore[[#This Row],[Time]]</f>
        <v>46048.124999999935</v>
      </c>
      <c r="AG31" s="179"/>
      <c r="AH31" s="179"/>
      <c r="AI31" s="179"/>
      <c r="AJ31" s="179"/>
      <c r="AK31" s="179"/>
      <c r="AL31" s="179"/>
      <c r="AM31" s="179"/>
      <c r="AN31" s="179"/>
      <c r="AO31" s="420">
        <f ca="1">ROUND(IF(AND(TblMagic[[#This Row],[Active DnD]]&lt;12,TblMagic[[#This Row],[Active DnD]]&gt;5),OFFSET(TblPop[[#This Row],[Draft Growth]],-1,0)*0.375,0),0)</f>
        <v>0</v>
      </c>
      <c r="AP31" s="142"/>
      <c r="AQ31" s="94">
        <f ca="1">TblProd[[#This Row],[Platinum]]</f>
        <v>93560</v>
      </c>
      <c r="AR31" s="94">
        <f ca="1">INDEX(TblProd[[#Headers],[Lumber]]:TblProd[[#This Row],[Ore]],COUNTA(TblProd[[#Headers],[Lumber]]:TblProd[[#This Row],[Lumber]]),MATCH(Military!$AR$2,TblProd[[#Headers],[Lumber]:[Ore]],0))</f>
        <v>0</v>
      </c>
      <c r="AS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1" s="94">
        <f ca="1">TblMili[[#This Row],[Train Unit 1]]*TblMili[[#This Row],[OP Ore]]+TblMili[[#This Row],[Train Unit 2]]*TblMili[[#This Row],[DP Ore]]+TblMili[[#This Row],[Train Unit 3]]*TblMili[[#This Row],[E1 Ore]]+TblMili[[#This Row],[Train Unit 4]]*TblMili[[#This Row],[E2 Ore]]</f>
        <v>0</v>
      </c>
      <c r="AU31" s="142">
        <f>TblMili[[#This Row],[Hour]]</f>
        <v>28</v>
      </c>
      <c r="AV31" s="152">
        <f ca="1">TblMili[[#This Row],[Time]]</f>
        <v>46048.124999999935</v>
      </c>
      <c r="AW31" s="94">
        <f ca="1">TblMili[[#This Row],[Draftees]]</f>
        <v>312</v>
      </c>
      <c r="AX31" s="179"/>
      <c r="AY31" s="179"/>
      <c r="AZ31" s="179"/>
      <c r="BA31" s="179"/>
      <c r="BB31" s="179"/>
      <c r="BC31" s="179"/>
      <c r="BD31" s="179"/>
      <c r="BE31" s="179"/>
      <c r="BF31" s="179"/>
      <c r="BG31" s="142"/>
      <c r="BH31" s="157">
        <f ca="1">TblConstr[[#This Row],[Tot WG]]/TblConstr[[#This Row],[Land]]</f>
        <v>0</v>
      </c>
      <c r="BI31" s="157">
        <f ca="1">TblConstr[[#This Row],[Tot Hav]]/TblConstr[[#This Row],[Land]]</f>
        <v>0</v>
      </c>
      <c r="BJ31" s="94">
        <f ca="1">ROUNDUP((1-MIN(TblMili[[#This Row],[Smithies]]*smithy_bonus,smithy_bonus_cap) + tech_3_5*TblTech[[#This Row],[3-5]] + tech_5_3*TblTech[[#This Row],[5-3]] + tech_5_5*TblTech[[#This Row],[5-5]])*spec_op_plat,0)</f>
        <v>275</v>
      </c>
      <c r="BK31" s="94">
        <f ca="1">ROUNDUP(IF(race="Gnome",1,(1-MIN(TblMili[[#This Row],[Smithies]]*smithy_bonus,smithy_bonus_cap) + tech_3_5*TblTech[[#This Row],[3-5]] + tech_5_3*TblTech[[#This Row],[5-3]] + tech_5_5*TblTech[[#This Row],[5-5]]))*spec_op_ore,0)</f>
        <v>25</v>
      </c>
      <c r="BL31" s="94">
        <f ca="1">ROUNDUP((1-MIN(TblMili[[#This Row],[Smithies]]*smithy_bonus,smithy_bonus_cap) + tech_3_5*TblTech[[#This Row],[3-5]] + tech_5_3*TblTech[[#This Row],[5-3]] + tech_5_5*TblTech[[#This Row],[5-5]])*spec_dp_plat,0)</f>
        <v>275</v>
      </c>
      <c r="BM31" s="94">
        <f ca="1">ROUNDUP(IF(race="Gnome",1,(1-MIN(TblMili[[#This Row],[Smithies]]*smithy_bonus,smithy_bonus_cap) + tech_3_5*TblTech[[#This Row],[3-5]] + tech_5_3*TblTech[[#This Row],[5-3]] + tech_5_5*TblTech[[#This Row],[5-5]]))*spec_dp_ore,0)</f>
        <v>15</v>
      </c>
      <c r="BN31" s="94">
        <f ca="1">ROUNDUP((1-MIN(TblMili[[#This Row],[Smithies]]*smithy_bonus,smithy_bonus_cap) + tech_3_5*TblTech[[#This Row],[3-5]] + tech_5_3*TblTech[[#This Row],[5-3]] + tech_5_5*TblTech[[#This Row],[5-5]])*elite1_plat,0)</f>
        <v>1040</v>
      </c>
      <c r="BO31" s="94">
        <f ca="1">ROUNDUP(IF(race="Gnome",1,(1-MIN(TblMili[[#This Row],[Smithies]]*smithy_bonus,smithy_bonus_cap) + tech_3_5*TblTech[[#This Row],[3-5]] + tech_5_3*TblTech[[#This Row],[5-3]] + tech_5_5*TblTech[[#This Row],[5-5]]))*elite1_ore,0)</f>
        <v>75</v>
      </c>
      <c r="BP31" s="94">
        <f ca="1">ROUNDUP((1-MIN(TblMili[[#This Row],[Smithies]]*smithy_bonus,smithy_bonus_cap) + tech_3_5*TblTech[[#This Row],[3-5]] + tech_5_3*TblTech[[#This Row],[5-3]] + tech_5_5*TblTech[[#This Row],[5-5]])*elite2_plat,0)</f>
        <v>1280</v>
      </c>
      <c r="BQ31" s="94">
        <f ca="1">ROUNDUP(IF(race="Gnome",1,(1-MIN(TblMili[[#This Row],[Smithies]]*smithy_bonus,smithy_bonus_cap) + tech_3_5*TblTech[[#This Row],[3-5]] + tech_5_3*TblTech[[#This Row],[5-3]] + tech_5_5*TblTech[[#This Row],[5-5]]))*elite2_ore,0)</f>
        <v>100</v>
      </c>
      <c r="BR31" s="94">
        <f ca="1">ROUNDUP((1-MIN(ROUND(fh_spy_cost_red*TblMili[[#This Row],[FH''s]],4),fh_spy_cost_cap)+ tech_1_9*TblTech[[#This Row],[1-9]] + tech_9_1*TblTech[[#This Row],[9-1]])*spy_plat,0)</f>
        <v>500</v>
      </c>
      <c r="BS31" s="94">
        <f ca="1">ROUNDUP((1-MIN(ROUND(fh_spy_cost_red*TblMili[[#This Row],[FH''s]],4),fh_spy_cost_cap)+ tech_1_9*TblTech[[#This Row],[1-9]] + tech_9_1*TblTech[[#This Row],[9-1]])*archspy_plat,0)</f>
        <v>1000</v>
      </c>
      <c r="BT31" s="94">
        <f ca="1">ROUNDUP((1-MIN(ROUND(wg_wiz_cost_bonus*TblMili[[#This Row],[WG''s]],4),wg_wiz_cost_cap) + tech_1_9_2*TblTech[[#This Row],[1-9]] + tech_9_1_2*TblTech[[#This Row],[9-1]])*wizard_plat,0)</f>
        <v>500</v>
      </c>
      <c r="BU31" s="94">
        <f ca="1">ROUNDUP((1-MIN(ROUND(wg_wiz_cost_bonus*TblMili[[#This Row],[WG''s]],4),wg_wiz_cost_cap) + tech_1_9_2*TblTech[[#This Row],[1-9]] + tech_9_1_2*TblTech[[#This Row],[9-1]])*archmage_plat,0)</f>
        <v>1000</v>
      </c>
      <c r="BV31" s="142"/>
      <c r="BW31" s="157">
        <f ca="1">TblConstr[[#This Row],[Homeland]]/TblConstr[[#This Row],[Land]]</f>
        <v>0.81818181818181823</v>
      </c>
      <c r="BX31" s="157">
        <f ca="1">TblMili[[#This Row],[WG''s]]</f>
        <v>0</v>
      </c>
      <c r="BY31" s="251">
        <f ca="1">IF(mystic_cap="none",TblMili[[#This Row],[Homeland%]]/mystic_bonus,MIN(mystic_cap,TblMili[[#This Row],[Homeland%]]/mystic_bonus))</f>
        <v>2</v>
      </c>
      <c r="BZ31" s="251">
        <f ca="1">IF(druid_op_cap="none",TblMili[[#This Row],[Homeland%]]/druid_op_bonus,MIN(druid_op_cap,TblMili[[#This Row],[Homeland%]]/druid_op_bonus))</f>
        <v>2</v>
      </c>
      <c r="CA31" s="251">
        <f ca="1">IF(druid_dp_cap="none",TblMili[[#This Row],[Homeland%]]/druid_dp_bonus,MIN(druid_dp_cap,TblMili[[#This Row],[Homeland%]]/druid_dp_bonus))</f>
        <v>2</v>
      </c>
      <c r="CB31" s="251">
        <f ca="1">MIN(dryad_cap,TblMili[[#This Row],[Homeland%]]/dryad_bonus)</f>
        <v>4</v>
      </c>
      <c r="CC31" s="251">
        <f ca="1">MIN(rocka_cap,TblMili[[#This Row],[Homeland%]]/rocka_bonus)</f>
        <v>2</v>
      </c>
      <c r="CD31" s="251">
        <f ca="1">MIN(adept_op_cap,TblMili[[#This Row],[WG]]/adept_op_bonus)</f>
        <v>0</v>
      </c>
      <c r="CE31" s="251">
        <f ca="1">MIN(adept_dp_cap,TblMili[[#This Row],[WG]]/adept_dp_bonus)</f>
        <v>0</v>
      </c>
      <c r="CF31" s="94">
        <f ca="1">MIN(TblMili[[#This Row],[Unit 3]],TblMili[[#This Row],[Unit 2]])*2</f>
        <v>0</v>
      </c>
      <c r="CG31" s="94">
        <f ca="1">MIN(TblMili[[#This Row],[Unit 1]],TblMili[[#This Row],[Unit 4]])*2</f>
        <v>0</v>
      </c>
      <c r="CH31" s="251">
        <f ca="1">MIN(frost_mage_cap,TblMili[[#This Row],[Homeland%]]/frost_mage_bonus)</f>
        <v>3</v>
      </c>
      <c r="CI31" s="45">
        <f ca="1">MIN(ice_elem_cap,TblMili[[#This Row],[Raw (2)]]*ice_elem_bonus)</f>
        <v>0</v>
      </c>
      <c r="CJ31" s="251">
        <f t="shared" si="0"/>
        <v>0.83333333333333337</v>
      </c>
      <c r="CK31" s="251">
        <f ca="1">MIN(nox_nightshade_cap,TblConstr[[#This Row],[Homeland]]/TblConstr[[#This Row],[Land]]/nox_nightshade_swamp_bonus)</f>
        <v>4</v>
      </c>
      <c r="CL31" s="251">
        <f ca="1">MIN(TblConstr[[#This Row],[Total Swamp]]/TblConstr[[#This Row],[Land]]/abyss_enforce_bonus,abyss_enforcer_cap)</f>
        <v>0</v>
      </c>
      <c r="CM31" s="251">
        <f ca="1">IF(TblMagic[[#This Row],[Active Infernal Command]]&gt;0,TblMili[[#This Row],[Unit 1]]*infernal_cmd_op,0)</f>
        <v>0</v>
      </c>
      <c r="CN31" s="252"/>
      <c r="CO31" s="252"/>
      <c r="CP31" s="252"/>
      <c r="CQ31" s="251">
        <f ca="1">MIN(6,TblMili[[#This Row],[Mystic]]+Races!$F$19)*1.8 +  IF(TblMili[[#This Row],[Mystic]]+Races!$F$19&gt;6,(TblMili[[#This Row],[Mystic]]+Races!$F$19-6)*0.2,0) - Races!$I$19</f>
        <v>1</v>
      </c>
      <c r="CR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1" s="94">
        <f ca="1">TblMili[[#This Row],[Mystic bonus]]*TblMili[[#This Row],[Unit 3]]+TblMili[[#This Row],[Druid bonus]]*TblMili[[#This Row],[Unit 4]]</f>
        <v>0</v>
      </c>
      <c r="CT31" s="155">
        <f ca="1">MIN(6,TblMili[[#This Row],[Dryad]]+Races!$F$35)*1.8 +  IF(TblMili[[#This Row],[Dryad]]+Races!$F$35&gt;6,(TblMili[[#This Row],[Dryad]]+Races!$F$35-6)*0.2,0) - Races!$I$19</f>
        <v>1</v>
      </c>
      <c r="CU31" s="94">
        <f ca="1">sylvan*(TblMili[[#This Row],[Mystic bonus]]*TblMili[[#This Row],[Unit 3]])</f>
        <v>0</v>
      </c>
      <c r="CV31" s="155">
        <f ca="1">1.8 * MIN(MAX(Races!$E$27,TblMili[[#This Row],[Rockapult]]+Races!$F$27),6)  +  0.45 * MIN(MIN(Races!$E$27,TblMili[[#This Row],[Rockapult]]+Races!$F$27),6)  +  0.2 * ( MAX(Races!$E$27-6,0) + MAX(TblMili[[#This Row],[Rockapult]]+Races!$F$27-6,0) )  -  Races!$I$20</f>
        <v>3.7000000000000011</v>
      </c>
      <c r="CW31" s="94">
        <f ca="1">gnome*(TblMili[[#This Row],[Rockapult bonus]]*TblMili[[#This Row],[Unit 3]])</f>
        <v>0</v>
      </c>
      <c r="CX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1" s="94">
        <f ca="1">dark_elf*(TblMili[[#This Row],[Adept bonus]]*TblMili[[#This Row],[Unit 3]])</f>
        <v>0</v>
      </c>
      <c r="CZ31" s="155">
        <f ca="1">1.8 * MIN(MAX(TblMili[[#This Row],[Frost Mage]]+Races!$F$71,Races!$E$71),6)  +  0.45 * MIN(MIN(TblMili[[#This Row],[Frost Mage]]+Races!$F$71,Races!$E$71),6)  +  0.2 * ( MAX(TblMili[[#This Row],[Frost Mage]]+Races!$F$71-6,0) + MAX(Races!$E$71-6,0) )  -  Races!$I$71</f>
        <v>6.15</v>
      </c>
      <c r="DA31" s="155">
        <f ca="1">1.8 * MIN(MAX(TblMili[[#This Row],[Ice Elemental]]+Races!$E$71,Races!$F$71),6)  +  0.45 * MIN(MIN(TblMili[[#This Row],[Ice Elemental]]+Races!$E$71,Races!$F$71),6)  +  0.2 * ( MAX(TblMili[[#This Row],[Ice Elemental]]+Races!$E$71-6,0) + MAX(Races!$F$71-6,0) )  -  Races!$I$71</f>
        <v>0.75</v>
      </c>
      <c r="DB31" s="94">
        <f ca="1">TblMili[[#This Row],[Frost Mage bonus]]*TblMili[[#This Row],[Unit 3]]+TblMili[[#This Row],[Ice Elemental bonus]]*TblMili[[#This Row],[Unit 4]]</f>
        <v>0</v>
      </c>
      <c r="DC31" s="253"/>
      <c r="DD31" s="143">
        <f ca="1">MIN(SUM(TblConstr[[#This Row],[Plain]:[Water]])/TblMili[[#This Row],[Land]]/favorable_terrain_bonus/100,favorable_terrain_max)</f>
        <v>0.1</v>
      </c>
      <c r="DE31" s="253"/>
      <c r="DF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1" s="142"/>
      <c r="DH31" s="254">
        <f ca="1">(TblMili[[#This Row],[Wizards]]+2*TblMili[[#This Row],[Archmages]])/TblConstr[[#This Row],[Land]]</f>
        <v>0</v>
      </c>
      <c r="DI31" s="254">
        <f ca="1">TblMili[[#This Row],[Raw (2)]]*(1+race_wizard_strength+IF(TblMili[[#This Row],[Hour]]&gt;72,tech_magical_weaponry_wiz*TblTech[[#This Row],[3-5]],0))</f>
        <v>0</v>
      </c>
    </row>
    <row r="32" spans="1:113" x14ac:dyDescent="0.2">
      <c r="A32" s="137">
        <f>TblRezone[[#This Row],[Hour]]</f>
        <v>29</v>
      </c>
      <c r="B32" s="246">
        <f ca="1">SUM(TblMili[[#This Row],[Unit 1]:[Archmages]])+SUM(OFFSET(TblMili[[#This Row],[Train Unit 1]],-8,0):TblMili[[#This Row],[Train Unit 2]]) + SUM(OFFSET(TblMili[[#This Row],[Train Unit 3]],-11,0):TblMili[[#This Row],[Train AM]]) + TblMili[[#This Row],[Draftees]]</f>
        <v>320</v>
      </c>
      <c r="C32" s="157">
        <f ca="1">TblPop[[#This Row],[Military%]]</f>
        <v>0.29739776951672864</v>
      </c>
      <c r="D32" s="142"/>
      <c r="E32" s="45">
        <f ca="1">OFFSET(TblMili[[#This Row],[Unit 1]],-1,0) + OFFSET(TblMili[[#This Row],[Train Unit 1]],-9,0) - TblMili[[#This Row],[Release Unit 1]] + OFFSET(TblMili[[#This Row],[DnD_Zombies]],-12,0)</f>
        <v>0</v>
      </c>
      <c r="F32" s="45">
        <f ca="1">OFFSET(TblMili[[#This Row],[Unit 2]],-1,0) + OFFSET(TblMili[[#This Row],[Train Unit 2]],-9,0)-TblMili[[#This Row],[Release Unit 2]]</f>
        <v>0</v>
      </c>
      <c r="G32" s="45">
        <f ca="1">OFFSET(TblMili[[#This Row],[Unit 3]],-1,0) + OFFSET(TblMili[[#This Row],[Train Unit 3]],-12,0)-TblMili[[#This Row],[Release Unit 3]]</f>
        <v>0</v>
      </c>
      <c r="H32" s="45">
        <f ca="1">OFFSET(TblMili[[#This Row],[Unit 4]],-1,0) + OFFSET(TblMili[[#This Row],[Train Unit 4]],-12,0)-TblMili[[#This Row],[Release Unit 4]]</f>
        <v>0</v>
      </c>
      <c r="I32" s="45">
        <f ca="1">OFFSET(TblMili[[#This Row],[Spies]],-1,0) + OFFSET(TblMili[[#This Row],[Train Spies]],-12,0) - TblMili[[#This Row],[Release Spies]]-TblMili[[#This Row],[Train AS]]</f>
        <v>0</v>
      </c>
      <c r="J32" s="45">
        <f ca="1">OFFSET(TblMili[[#This Row],[Archspies]],-1,0) + OFFSET(TblMili[[#This Row],[Train AS]],-12,0) - TblMili[[#This Row],[Release AS]]</f>
        <v>0</v>
      </c>
      <c r="K32" s="45">
        <f ca="1">OFFSET(TblMili[[#This Row],[Wizards]],-1,0) + OFFSET(TblMili[[#This Row],[Train Wiz]],-12,0) - TblMili[[#This Row],[Release Wizards]]-TblMili[[#This Row],[Train AM]]</f>
        <v>0</v>
      </c>
      <c r="L32" s="45">
        <f ca="1">OFFSET(TblMili[[#This Row],[Archmages]],-1,0) + OFFSET(TblMili[[#This Row],[Train AM]],-12,0) - TblMili[[#This Row],[Release AM]]</f>
        <v>0</v>
      </c>
      <c r="M32" s="142"/>
      <c r="N32" s="94">
        <f ca="1">TblProd[[#This Row],[Networth]]</f>
        <v>2450</v>
      </c>
      <c r="O32" s="142"/>
      <c r="P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2" s="247">
        <f ca="1">TblMili[[#This Row],[Raw]]*(1+TblMili[[#This Row],[Mods_Off]])</f>
        <v>0</v>
      </c>
      <c r="S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2" s="247">
        <f ca="1">TblMili[[#This Row],[Non Draft]]+TblMili[[#This Row],[Draftees]]</f>
        <v>320</v>
      </c>
      <c r="U32" s="248">
        <f ca="1">race_defense + TblImps[[#This Row],[Walls]] + ROUND( MIN(gt_bonus*TblConstr[[#This Row],[Tot GT]]/TblConstr[[#This Row],[Land]],gt_bonus_cap), 4) + IF(TblMagic[[#This Row],[Active Howling]]&gt;0,howling_dp_bonus,IF(TblMagic[[#This Row],[Active Ares Call]]&gt;0,ares_call_bonus))</f>
        <v>0</v>
      </c>
      <c r="V32" s="249">
        <f ca="1">TblMili[[#This Row],[Non Draft]] * (1 + TblMili[[#This Row],[Mods_Def]])</f>
        <v>0</v>
      </c>
      <c r="W32" s="247">
        <f ca="1">TblMili[[#This Row],[Draft]] * (1 + TblMili[[#This Row],[Mods_Def]])</f>
        <v>320</v>
      </c>
      <c r="X32" s="247">
        <f ca="1">TblConstr[[#This Row],[Land]]</f>
        <v>110</v>
      </c>
      <c r="Y32" s="250"/>
      <c r="Z32" s="255">
        <f ca="1">IF(TblMili[[#This Row],[Set]]&lt;&gt;"",TblMili[[#This Row],[Set]],OFFSET(TblMili[[#This Row],[Draftrate]],-1,0))</f>
        <v>0.9</v>
      </c>
      <c r="AA32" s="94">
        <f ca="1">OFFSET(TblMili[[#This Row],[Draftees]],-1,0)+OFFSET(TblPop[[#This Row],[Draft Growth]],-1,0) - SUM(TblMili[[#This Row],[Train Unit 1]:[Train Spies]],TblMili[[#This Row],[Train Wiz]],TblMili[[#This Row],[DnD_Zombies]]) - TblMili[[#This Row],[Release Draft]] + SUM(TblMili[[#This Row],[Release Unit 1]:[Release AM]]) - TblExplore[[#This Row],[Draftees (2)]]</f>
        <v>320</v>
      </c>
      <c r="AB32" s="154"/>
      <c r="AC32" s="180">
        <f ca="1">(TblConstr[[#This Row],[Tot Smi]]+TblConstr[[#This Row],[Dest Smi]])/(TblConstr[[#This Row],[Land]]-TblExplore[[#This Row],[Land Bonus]]*20)</f>
        <v>0</v>
      </c>
      <c r="AD32" s="137"/>
      <c r="AE32" s="246">
        <f>TblMili[[#This Row],[Hour]]</f>
        <v>29</v>
      </c>
      <c r="AF32" s="138">
        <f ca="1">TblExplore[[#This Row],[Time]]</f>
        <v>46048.166666666599</v>
      </c>
      <c r="AG32" s="179"/>
      <c r="AH32" s="179"/>
      <c r="AI32" s="179"/>
      <c r="AJ32" s="179"/>
      <c r="AK32" s="179"/>
      <c r="AL32" s="179"/>
      <c r="AM32" s="179"/>
      <c r="AN32" s="179"/>
      <c r="AO32" s="420">
        <f ca="1">ROUND(IF(AND(TblMagic[[#This Row],[Active DnD]]&lt;12,TblMagic[[#This Row],[Active DnD]]&gt;5),OFFSET(TblPop[[#This Row],[Draft Growth]],-1,0)*0.375,0),0)</f>
        <v>0</v>
      </c>
      <c r="AP32" s="142"/>
      <c r="AQ32" s="94">
        <f ca="1">TblProd[[#This Row],[Platinum]]</f>
        <v>95622</v>
      </c>
      <c r="AR32" s="94">
        <f ca="1">INDEX(TblProd[[#Headers],[Lumber]]:TblProd[[#This Row],[Ore]],COUNTA(TblProd[[#Headers],[Lumber]]:TblProd[[#This Row],[Lumber]]),MATCH(Military!$AR$2,TblProd[[#Headers],[Lumber]:[Ore]],0))</f>
        <v>0</v>
      </c>
      <c r="AS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2" s="94">
        <f ca="1">TblMili[[#This Row],[Train Unit 1]]*TblMili[[#This Row],[OP Ore]]+TblMili[[#This Row],[Train Unit 2]]*TblMili[[#This Row],[DP Ore]]+TblMili[[#This Row],[Train Unit 3]]*TblMili[[#This Row],[E1 Ore]]+TblMili[[#This Row],[Train Unit 4]]*TblMili[[#This Row],[E2 Ore]]</f>
        <v>0</v>
      </c>
      <c r="AU32" s="142">
        <f>TblMili[[#This Row],[Hour]]</f>
        <v>29</v>
      </c>
      <c r="AV32" s="152">
        <f ca="1">TblMili[[#This Row],[Time]]</f>
        <v>46048.166666666599</v>
      </c>
      <c r="AW32" s="94">
        <f ca="1">TblMili[[#This Row],[Draftees]]</f>
        <v>320</v>
      </c>
      <c r="AX32" s="179"/>
      <c r="AY32" s="179"/>
      <c r="AZ32" s="179"/>
      <c r="BA32" s="179"/>
      <c r="BB32" s="179"/>
      <c r="BC32" s="179"/>
      <c r="BD32" s="179"/>
      <c r="BE32" s="179"/>
      <c r="BF32" s="179"/>
      <c r="BG32" s="142"/>
      <c r="BH32" s="157">
        <f ca="1">TblConstr[[#This Row],[Tot WG]]/TblConstr[[#This Row],[Land]]</f>
        <v>0</v>
      </c>
      <c r="BI32" s="157">
        <f ca="1">TblConstr[[#This Row],[Tot Hav]]/TblConstr[[#This Row],[Land]]</f>
        <v>0</v>
      </c>
      <c r="BJ32" s="94">
        <f ca="1">ROUNDUP((1-MIN(TblMili[[#This Row],[Smithies]]*smithy_bonus,smithy_bonus_cap) + tech_3_5*TblTech[[#This Row],[3-5]] + tech_5_3*TblTech[[#This Row],[5-3]] + tech_5_5*TblTech[[#This Row],[5-5]])*spec_op_plat,0)</f>
        <v>275</v>
      </c>
      <c r="BK32" s="94">
        <f ca="1">ROUNDUP(IF(race="Gnome",1,(1-MIN(TblMili[[#This Row],[Smithies]]*smithy_bonus,smithy_bonus_cap) + tech_3_5*TblTech[[#This Row],[3-5]] + tech_5_3*TblTech[[#This Row],[5-3]] + tech_5_5*TblTech[[#This Row],[5-5]]))*spec_op_ore,0)</f>
        <v>25</v>
      </c>
      <c r="BL32" s="94">
        <f ca="1">ROUNDUP((1-MIN(TblMili[[#This Row],[Smithies]]*smithy_bonus,smithy_bonus_cap) + tech_3_5*TblTech[[#This Row],[3-5]] + tech_5_3*TblTech[[#This Row],[5-3]] + tech_5_5*TblTech[[#This Row],[5-5]])*spec_dp_plat,0)</f>
        <v>275</v>
      </c>
      <c r="BM32" s="94">
        <f ca="1">ROUNDUP(IF(race="Gnome",1,(1-MIN(TblMili[[#This Row],[Smithies]]*smithy_bonus,smithy_bonus_cap) + tech_3_5*TblTech[[#This Row],[3-5]] + tech_5_3*TblTech[[#This Row],[5-3]] + tech_5_5*TblTech[[#This Row],[5-5]]))*spec_dp_ore,0)</f>
        <v>15</v>
      </c>
      <c r="BN32" s="94">
        <f ca="1">ROUNDUP((1-MIN(TblMili[[#This Row],[Smithies]]*smithy_bonus,smithy_bonus_cap) + tech_3_5*TblTech[[#This Row],[3-5]] + tech_5_3*TblTech[[#This Row],[5-3]] + tech_5_5*TblTech[[#This Row],[5-5]])*elite1_plat,0)</f>
        <v>1040</v>
      </c>
      <c r="BO32" s="94">
        <f ca="1">ROUNDUP(IF(race="Gnome",1,(1-MIN(TblMili[[#This Row],[Smithies]]*smithy_bonus,smithy_bonus_cap) + tech_3_5*TblTech[[#This Row],[3-5]] + tech_5_3*TblTech[[#This Row],[5-3]] + tech_5_5*TblTech[[#This Row],[5-5]]))*elite1_ore,0)</f>
        <v>75</v>
      </c>
      <c r="BP32" s="94">
        <f ca="1">ROUNDUP((1-MIN(TblMili[[#This Row],[Smithies]]*smithy_bonus,smithy_bonus_cap) + tech_3_5*TblTech[[#This Row],[3-5]] + tech_5_3*TblTech[[#This Row],[5-3]] + tech_5_5*TblTech[[#This Row],[5-5]])*elite2_plat,0)</f>
        <v>1280</v>
      </c>
      <c r="BQ32" s="94">
        <f ca="1">ROUNDUP(IF(race="Gnome",1,(1-MIN(TblMili[[#This Row],[Smithies]]*smithy_bonus,smithy_bonus_cap) + tech_3_5*TblTech[[#This Row],[3-5]] + tech_5_3*TblTech[[#This Row],[5-3]] + tech_5_5*TblTech[[#This Row],[5-5]]))*elite2_ore,0)</f>
        <v>100</v>
      </c>
      <c r="BR32" s="94">
        <f ca="1">ROUNDUP((1-MIN(ROUND(fh_spy_cost_red*TblMili[[#This Row],[FH''s]],4),fh_spy_cost_cap)+ tech_1_9*TblTech[[#This Row],[1-9]] + tech_9_1*TblTech[[#This Row],[9-1]])*spy_plat,0)</f>
        <v>500</v>
      </c>
      <c r="BS32" s="94">
        <f ca="1">ROUNDUP((1-MIN(ROUND(fh_spy_cost_red*TblMili[[#This Row],[FH''s]],4),fh_spy_cost_cap)+ tech_1_9*TblTech[[#This Row],[1-9]] + tech_9_1*TblTech[[#This Row],[9-1]])*archspy_plat,0)</f>
        <v>1000</v>
      </c>
      <c r="BT32" s="94">
        <f ca="1">ROUNDUP((1-MIN(ROUND(wg_wiz_cost_bonus*TblMili[[#This Row],[WG''s]],4),wg_wiz_cost_cap) + tech_1_9_2*TblTech[[#This Row],[1-9]] + tech_9_1_2*TblTech[[#This Row],[9-1]])*wizard_plat,0)</f>
        <v>500</v>
      </c>
      <c r="BU32" s="94">
        <f ca="1">ROUNDUP((1-MIN(ROUND(wg_wiz_cost_bonus*TblMili[[#This Row],[WG''s]],4),wg_wiz_cost_cap) + tech_1_9_2*TblTech[[#This Row],[1-9]] + tech_9_1_2*TblTech[[#This Row],[9-1]])*archmage_plat,0)</f>
        <v>1000</v>
      </c>
      <c r="BV32" s="142"/>
      <c r="BW32" s="157">
        <f ca="1">TblConstr[[#This Row],[Homeland]]/TblConstr[[#This Row],[Land]]</f>
        <v>0.81818181818181823</v>
      </c>
      <c r="BX32" s="157">
        <f ca="1">TblMili[[#This Row],[WG''s]]</f>
        <v>0</v>
      </c>
      <c r="BY32" s="251">
        <f ca="1">IF(mystic_cap="none",TblMili[[#This Row],[Homeland%]]/mystic_bonus,MIN(mystic_cap,TblMili[[#This Row],[Homeland%]]/mystic_bonus))</f>
        <v>2</v>
      </c>
      <c r="BZ32" s="251">
        <f ca="1">IF(druid_op_cap="none",TblMili[[#This Row],[Homeland%]]/druid_op_bonus,MIN(druid_op_cap,TblMili[[#This Row],[Homeland%]]/druid_op_bonus))</f>
        <v>2</v>
      </c>
      <c r="CA32" s="251">
        <f ca="1">IF(druid_dp_cap="none",TblMili[[#This Row],[Homeland%]]/druid_dp_bonus,MIN(druid_dp_cap,TblMili[[#This Row],[Homeland%]]/druid_dp_bonus))</f>
        <v>2</v>
      </c>
      <c r="CB32" s="251">
        <f ca="1">MIN(dryad_cap,TblMili[[#This Row],[Homeland%]]/dryad_bonus)</f>
        <v>4</v>
      </c>
      <c r="CC32" s="251">
        <f ca="1">MIN(rocka_cap,TblMili[[#This Row],[Homeland%]]/rocka_bonus)</f>
        <v>2</v>
      </c>
      <c r="CD32" s="251">
        <f ca="1">MIN(adept_op_cap,TblMili[[#This Row],[WG]]/adept_op_bonus)</f>
        <v>0</v>
      </c>
      <c r="CE32" s="251">
        <f ca="1">MIN(adept_dp_cap,TblMili[[#This Row],[WG]]/adept_dp_bonus)</f>
        <v>0</v>
      </c>
      <c r="CF32" s="94">
        <f ca="1">MIN(TblMili[[#This Row],[Unit 3]],TblMili[[#This Row],[Unit 2]])*2</f>
        <v>0</v>
      </c>
      <c r="CG32" s="94">
        <f ca="1">MIN(TblMili[[#This Row],[Unit 1]],TblMili[[#This Row],[Unit 4]])*2</f>
        <v>0</v>
      </c>
      <c r="CH32" s="251">
        <f ca="1">MIN(frost_mage_cap,TblMili[[#This Row],[Homeland%]]/frost_mage_bonus)</f>
        <v>3</v>
      </c>
      <c r="CI32" s="45">
        <f ca="1">MIN(ice_elem_cap,TblMili[[#This Row],[Raw (2)]]*ice_elem_bonus)</f>
        <v>0</v>
      </c>
      <c r="CJ32" s="251">
        <f t="shared" si="0"/>
        <v>0.83333333333333337</v>
      </c>
      <c r="CK32" s="251">
        <f ca="1">MIN(nox_nightshade_cap,TblConstr[[#This Row],[Homeland]]/TblConstr[[#This Row],[Land]]/nox_nightshade_swamp_bonus)</f>
        <v>4</v>
      </c>
      <c r="CL32" s="251">
        <f ca="1">MIN(TblConstr[[#This Row],[Total Swamp]]/TblConstr[[#This Row],[Land]]/abyss_enforce_bonus,abyss_enforcer_cap)</f>
        <v>0</v>
      </c>
      <c r="CM32" s="251">
        <f ca="1">IF(TblMagic[[#This Row],[Active Infernal Command]]&gt;0,TblMili[[#This Row],[Unit 1]]*infernal_cmd_op,0)</f>
        <v>0</v>
      </c>
      <c r="CN32" s="252"/>
      <c r="CO32" s="252"/>
      <c r="CP32" s="252"/>
      <c r="CQ32" s="251">
        <f ca="1">MIN(6,TblMili[[#This Row],[Mystic]]+Races!$F$19)*1.8 +  IF(TblMili[[#This Row],[Mystic]]+Races!$F$19&gt;6,(TblMili[[#This Row],[Mystic]]+Races!$F$19-6)*0.2,0) - Races!$I$19</f>
        <v>1</v>
      </c>
      <c r="CR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2" s="94">
        <f ca="1">TblMili[[#This Row],[Mystic bonus]]*TblMili[[#This Row],[Unit 3]]+TblMili[[#This Row],[Druid bonus]]*TblMili[[#This Row],[Unit 4]]</f>
        <v>0</v>
      </c>
      <c r="CT32" s="155">
        <f ca="1">MIN(6,TblMili[[#This Row],[Dryad]]+Races!$F$35)*1.8 +  IF(TblMili[[#This Row],[Dryad]]+Races!$F$35&gt;6,(TblMili[[#This Row],[Dryad]]+Races!$F$35-6)*0.2,0) - Races!$I$19</f>
        <v>1</v>
      </c>
      <c r="CU32" s="94">
        <f ca="1">sylvan*(TblMili[[#This Row],[Mystic bonus]]*TblMili[[#This Row],[Unit 3]])</f>
        <v>0</v>
      </c>
      <c r="CV32" s="155">
        <f ca="1">1.8 * MIN(MAX(Races!$E$27,TblMili[[#This Row],[Rockapult]]+Races!$F$27),6)  +  0.45 * MIN(MIN(Races!$E$27,TblMili[[#This Row],[Rockapult]]+Races!$F$27),6)  +  0.2 * ( MAX(Races!$E$27-6,0) + MAX(TblMili[[#This Row],[Rockapult]]+Races!$F$27-6,0) )  -  Races!$I$20</f>
        <v>3.7000000000000011</v>
      </c>
      <c r="CW32" s="94">
        <f ca="1">gnome*(TblMili[[#This Row],[Rockapult bonus]]*TblMili[[#This Row],[Unit 3]])</f>
        <v>0</v>
      </c>
      <c r="CX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2" s="94">
        <f ca="1">dark_elf*(TblMili[[#This Row],[Adept bonus]]*TblMili[[#This Row],[Unit 3]])</f>
        <v>0</v>
      </c>
      <c r="CZ32" s="155">
        <f ca="1">1.8 * MIN(MAX(TblMili[[#This Row],[Frost Mage]]+Races!$F$71,Races!$E$71),6)  +  0.45 * MIN(MIN(TblMili[[#This Row],[Frost Mage]]+Races!$F$71,Races!$E$71),6)  +  0.2 * ( MAX(TblMili[[#This Row],[Frost Mage]]+Races!$F$71-6,0) + MAX(Races!$E$71-6,0) )  -  Races!$I$71</f>
        <v>6.15</v>
      </c>
      <c r="DA32" s="155">
        <f ca="1">1.8 * MIN(MAX(TblMili[[#This Row],[Ice Elemental]]+Races!$E$71,Races!$F$71),6)  +  0.45 * MIN(MIN(TblMili[[#This Row],[Ice Elemental]]+Races!$E$71,Races!$F$71),6)  +  0.2 * ( MAX(TblMili[[#This Row],[Ice Elemental]]+Races!$E$71-6,0) + MAX(Races!$F$71-6,0) )  -  Races!$I$71</f>
        <v>0.75</v>
      </c>
      <c r="DB32" s="94">
        <f ca="1">TblMili[[#This Row],[Frost Mage bonus]]*TblMili[[#This Row],[Unit 3]]+TblMili[[#This Row],[Ice Elemental bonus]]*TblMili[[#This Row],[Unit 4]]</f>
        <v>0</v>
      </c>
      <c r="DC32" s="253"/>
      <c r="DD32" s="143">
        <f ca="1">MIN(SUM(TblConstr[[#This Row],[Plain]:[Water]])/TblMili[[#This Row],[Land]]/favorable_terrain_bonus/100,favorable_terrain_max)</f>
        <v>0.1</v>
      </c>
      <c r="DE32" s="253"/>
      <c r="DF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2" s="142"/>
      <c r="DH32" s="254">
        <f ca="1">(TblMili[[#This Row],[Wizards]]+2*TblMili[[#This Row],[Archmages]])/TblConstr[[#This Row],[Land]]</f>
        <v>0</v>
      </c>
      <c r="DI32" s="254">
        <f ca="1">TblMili[[#This Row],[Raw (2)]]*(1+race_wizard_strength+IF(TblMili[[#This Row],[Hour]]&gt;72,tech_magical_weaponry_wiz*TblTech[[#This Row],[3-5]],0))</f>
        <v>0</v>
      </c>
    </row>
    <row r="33" spans="1:113" x14ac:dyDescent="0.2">
      <c r="A33" s="137">
        <f>TblRezone[[#This Row],[Hour]]</f>
        <v>30</v>
      </c>
      <c r="B33" s="246">
        <f ca="1">SUM(TblMili[[#This Row],[Unit 1]:[Archmages]])+SUM(OFFSET(TblMili[[#This Row],[Train Unit 1]],-8,0):TblMili[[#This Row],[Train Unit 2]]) + SUM(OFFSET(TblMili[[#This Row],[Train Unit 3]],-11,0):TblMili[[#This Row],[Train AM]]) + TblMili[[#This Row],[Draftees]]</f>
        <v>328</v>
      </c>
      <c r="C33" s="157">
        <f ca="1">TblPop[[#This Row],[Military%]]</f>
        <v>0.30483271375464682</v>
      </c>
      <c r="D33" s="142"/>
      <c r="E33" s="45">
        <f ca="1">OFFSET(TblMili[[#This Row],[Unit 1]],-1,0) + OFFSET(TblMili[[#This Row],[Train Unit 1]],-9,0) - TblMili[[#This Row],[Release Unit 1]] + OFFSET(TblMili[[#This Row],[DnD_Zombies]],-12,0)</f>
        <v>0</v>
      </c>
      <c r="F33" s="45">
        <f ca="1">OFFSET(TblMili[[#This Row],[Unit 2]],-1,0) + OFFSET(TblMili[[#This Row],[Train Unit 2]],-9,0)-TblMili[[#This Row],[Release Unit 2]]</f>
        <v>0</v>
      </c>
      <c r="G33" s="45">
        <f ca="1">OFFSET(TblMili[[#This Row],[Unit 3]],-1,0) + OFFSET(TblMili[[#This Row],[Train Unit 3]],-12,0)-TblMili[[#This Row],[Release Unit 3]]</f>
        <v>0</v>
      </c>
      <c r="H33" s="45">
        <f ca="1">OFFSET(TblMili[[#This Row],[Unit 4]],-1,0) + OFFSET(TblMili[[#This Row],[Train Unit 4]],-12,0)-TblMili[[#This Row],[Release Unit 4]]</f>
        <v>0</v>
      </c>
      <c r="I33" s="45">
        <f ca="1">OFFSET(TblMili[[#This Row],[Spies]],-1,0) + OFFSET(TblMili[[#This Row],[Train Spies]],-12,0) - TblMili[[#This Row],[Release Spies]]-TblMili[[#This Row],[Train AS]]</f>
        <v>0</v>
      </c>
      <c r="J33" s="45">
        <f ca="1">OFFSET(TblMili[[#This Row],[Archspies]],-1,0) + OFFSET(TblMili[[#This Row],[Train AS]],-12,0) - TblMili[[#This Row],[Release AS]]</f>
        <v>0</v>
      </c>
      <c r="K33" s="45">
        <f ca="1">OFFSET(TblMili[[#This Row],[Wizards]],-1,0) + OFFSET(TblMili[[#This Row],[Train Wiz]],-12,0) - TblMili[[#This Row],[Release Wizards]]-TblMili[[#This Row],[Train AM]]</f>
        <v>0</v>
      </c>
      <c r="L33" s="45">
        <f ca="1">OFFSET(TblMili[[#This Row],[Archmages]],-1,0) + OFFSET(TblMili[[#This Row],[Train AM]],-12,0) - TblMili[[#This Row],[Release AM]]</f>
        <v>0</v>
      </c>
      <c r="M33" s="142"/>
      <c r="N33" s="94">
        <f ca="1">TblProd[[#This Row],[Networth]]</f>
        <v>2450</v>
      </c>
      <c r="O33" s="142"/>
      <c r="P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3" s="247">
        <f ca="1">TblMili[[#This Row],[Raw]]*(1+TblMili[[#This Row],[Mods_Off]])</f>
        <v>0</v>
      </c>
      <c r="S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3" s="247">
        <f ca="1">TblMili[[#This Row],[Non Draft]]+TblMili[[#This Row],[Draftees]]</f>
        <v>328</v>
      </c>
      <c r="U33" s="248">
        <f ca="1">race_defense + TblImps[[#This Row],[Walls]] + ROUND( MIN(gt_bonus*TblConstr[[#This Row],[Tot GT]]/TblConstr[[#This Row],[Land]],gt_bonus_cap), 4) + IF(TblMagic[[#This Row],[Active Howling]]&gt;0,howling_dp_bonus,IF(TblMagic[[#This Row],[Active Ares Call]]&gt;0,ares_call_bonus))</f>
        <v>0</v>
      </c>
      <c r="V33" s="249">
        <f ca="1">TblMili[[#This Row],[Non Draft]] * (1 + TblMili[[#This Row],[Mods_Def]])</f>
        <v>0</v>
      </c>
      <c r="W33" s="247">
        <f ca="1">TblMili[[#This Row],[Draft]] * (1 + TblMili[[#This Row],[Mods_Def]])</f>
        <v>328</v>
      </c>
      <c r="X33" s="247">
        <f ca="1">TblConstr[[#This Row],[Land]]</f>
        <v>110</v>
      </c>
      <c r="Y33" s="250"/>
      <c r="Z33" s="255">
        <f ca="1">IF(TblMili[[#This Row],[Set]]&lt;&gt;"",TblMili[[#This Row],[Set]],OFFSET(TblMili[[#This Row],[Draftrate]],-1,0))</f>
        <v>0.9</v>
      </c>
      <c r="AA33" s="94">
        <f ca="1">OFFSET(TblMili[[#This Row],[Draftees]],-1,0)+OFFSET(TblPop[[#This Row],[Draft Growth]],-1,0) - SUM(TblMili[[#This Row],[Train Unit 1]:[Train Spies]],TblMili[[#This Row],[Train Wiz]],TblMili[[#This Row],[DnD_Zombies]]) - TblMili[[#This Row],[Release Draft]] + SUM(TblMili[[#This Row],[Release Unit 1]:[Release AM]]) - TblExplore[[#This Row],[Draftees (2)]]</f>
        <v>328</v>
      </c>
      <c r="AB33" s="154"/>
      <c r="AC33" s="180">
        <f ca="1">(TblConstr[[#This Row],[Tot Smi]]+TblConstr[[#This Row],[Dest Smi]])/(TblConstr[[#This Row],[Land]]-TblExplore[[#This Row],[Land Bonus]]*20)</f>
        <v>0</v>
      </c>
      <c r="AD33" s="137"/>
      <c r="AE33" s="246">
        <f>TblMili[[#This Row],[Hour]]</f>
        <v>30</v>
      </c>
      <c r="AF33" s="138">
        <f ca="1">TblExplore[[#This Row],[Time]]</f>
        <v>46048.208333333263</v>
      </c>
      <c r="AG33" s="179"/>
      <c r="AH33" s="179"/>
      <c r="AI33" s="179"/>
      <c r="AJ33" s="179"/>
      <c r="AK33" s="179"/>
      <c r="AL33" s="179"/>
      <c r="AM33" s="179"/>
      <c r="AN33" s="179"/>
      <c r="AO33" s="420">
        <f ca="1">ROUND(IF(AND(TblMagic[[#This Row],[Active DnD]]&lt;12,TblMagic[[#This Row],[Active DnD]]&gt;5),OFFSET(TblPop[[#This Row],[Draft Growth]],-1,0)*0.375,0),0)</f>
        <v>0</v>
      </c>
      <c r="AP33" s="142"/>
      <c r="AQ33" s="94">
        <f ca="1">TblProd[[#This Row],[Platinum]]</f>
        <v>97663</v>
      </c>
      <c r="AR33" s="94">
        <f ca="1">INDEX(TblProd[[#Headers],[Lumber]]:TblProd[[#This Row],[Ore]],COUNTA(TblProd[[#Headers],[Lumber]]:TblProd[[#This Row],[Lumber]]),MATCH(Military!$AR$2,TblProd[[#Headers],[Lumber]:[Ore]],0))</f>
        <v>0</v>
      </c>
      <c r="AS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3" s="94">
        <f ca="1">TblMili[[#This Row],[Train Unit 1]]*TblMili[[#This Row],[OP Ore]]+TblMili[[#This Row],[Train Unit 2]]*TblMili[[#This Row],[DP Ore]]+TblMili[[#This Row],[Train Unit 3]]*TblMili[[#This Row],[E1 Ore]]+TblMili[[#This Row],[Train Unit 4]]*TblMili[[#This Row],[E2 Ore]]</f>
        <v>0</v>
      </c>
      <c r="AU33" s="142">
        <f>TblMili[[#This Row],[Hour]]</f>
        <v>30</v>
      </c>
      <c r="AV33" s="152">
        <f ca="1">TblMili[[#This Row],[Time]]</f>
        <v>46048.208333333263</v>
      </c>
      <c r="AW33" s="94">
        <f ca="1">TblMili[[#This Row],[Draftees]]</f>
        <v>328</v>
      </c>
      <c r="AX33" s="179"/>
      <c r="AY33" s="179"/>
      <c r="AZ33" s="179"/>
      <c r="BA33" s="179"/>
      <c r="BB33" s="179"/>
      <c r="BC33" s="179"/>
      <c r="BD33" s="179"/>
      <c r="BE33" s="179"/>
      <c r="BF33" s="179"/>
      <c r="BG33" s="142"/>
      <c r="BH33" s="157">
        <f ca="1">TblConstr[[#This Row],[Tot WG]]/TblConstr[[#This Row],[Land]]</f>
        <v>0</v>
      </c>
      <c r="BI33" s="157">
        <f ca="1">TblConstr[[#This Row],[Tot Hav]]/TblConstr[[#This Row],[Land]]</f>
        <v>0</v>
      </c>
      <c r="BJ33" s="94">
        <f ca="1">ROUNDUP((1-MIN(TblMili[[#This Row],[Smithies]]*smithy_bonus,smithy_bonus_cap) + tech_3_5*TblTech[[#This Row],[3-5]] + tech_5_3*TblTech[[#This Row],[5-3]] + tech_5_5*TblTech[[#This Row],[5-5]])*spec_op_plat,0)</f>
        <v>275</v>
      </c>
      <c r="BK33" s="94">
        <f ca="1">ROUNDUP(IF(race="Gnome",1,(1-MIN(TblMili[[#This Row],[Smithies]]*smithy_bonus,smithy_bonus_cap) + tech_3_5*TblTech[[#This Row],[3-5]] + tech_5_3*TblTech[[#This Row],[5-3]] + tech_5_5*TblTech[[#This Row],[5-5]]))*spec_op_ore,0)</f>
        <v>25</v>
      </c>
      <c r="BL33" s="94">
        <f ca="1">ROUNDUP((1-MIN(TblMili[[#This Row],[Smithies]]*smithy_bonus,smithy_bonus_cap) + tech_3_5*TblTech[[#This Row],[3-5]] + tech_5_3*TblTech[[#This Row],[5-3]] + tech_5_5*TblTech[[#This Row],[5-5]])*spec_dp_plat,0)</f>
        <v>275</v>
      </c>
      <c r="BM33" s="94">
        <f ca="1">ROUNDUP(IF(race="Gnome",1,(1-MIN(TblMili[[#This Row],[Smithies]]*smithy_bonus,smithy_bonus_cap) + tech_3_5*TblTech[[#This Row],[3-5]] + tech_5_3*TblTech[[#This Row],[5-3]] + tech_5_5*TblTech[[#This Row],[5-5]]))*spec_dp_ore,0)</f>
        <v>15</v>
      </c>
      <c r="BN33" s="94">
        <f ca="1">ROUNDUP((1-MIN(TblMili[[#This Row],[Smithies]]*smithy_bonus,smithy_bonus_cap) + tech_3_5*TblTech[[#This Row],[3-5]] + tech_5_3*TblTech[[#This Row],[5-3]] + tech_5_5*TblTech[[#This Row],[5-5]])*elite1_plat,0)</f>
        <v>1040</v>
      </c>
      <c r="BO33" s="94">
        <f ca="1">ROUNDUP(IF(race="Gnome",1,(1-MIN(TblMili[[#This Row],[Smithies]]*smithy_bonus,smithy_bonus_cap) + tech_3_5*TblTech[[#This Row],[3-5]] + tech_5_3*TblTech[[#This Row],[5-3]] + tech_5_5*TblTech[[#This Row],[5-5]]))*elite1_ore,0)</f>
        <v>75</v>
      </c>
      <c r="BP33" s="94">
        <f ca="1">ROUNDUP((1-MIN(TblMili[[#This Row],[Smithies]]*smithy_bonus,smithy_bonus_cap) + tech_3_5*TblTech[[#This Row],[3-5]] + tech_5_3*TblTech[[#This Row],[5-3]] + tech_5_5*TblTech[[#This Row],[5-5]])*elite2_plat,0)</f>
        <v>1280</v>
      </c>
      <c r="BQ33" s="94">
        <f ca="1">ROUNDUP(IF(race="Gnome",1,(1-MIN(TblMili[[#This Row],[Smithies]]*smithy_bonus,smithy_bonus_cap) + tech_3_5*TblTech[[#This Row],[3-5]] + tech_5_3*TblTech[[#This Row],[5-3]] + tech_5_5*TblTech[[#This Row],[5-5]]))*elite2_ore,0)</f>
        <v>100</v>
      </c>
      <c r="BR33" s="94">
        <f ca="1">ROUNDUP((1-MIN(ROUND(fh_spy_cost_red*TblMili[[#This Row],[FH''s]],4),fh_spy_cost_cap)+ tech_1_9*TblTech[[#This Row],[1-9]] + tech_9_1*TblTech[[#This Row],[9-1]])*spy_plat,0)</f>
        <v>500</v>
      </c>
      <c r="BS33" s="94">
        <f ca="1">ROUNDUP((1-MIN(ROUND(fh_spy_cost_red*TblMili[[#This Row],[FH''s]],4),fh_spy_cost_cap)+ tech_1_9*TblTech[[#This Row],[1-9]] + tech_9_1*TblTech[[#This Row],[9-1]])*archspy_plat,0)</f>
        <v>1000</v>
      </c>
      <c r="BT33" s="94">
        <f ca="1">ROUNDUP((1-MIN(ROUND(wg_wiz_cost_bonus*TblMili[[#This Row],[WG''s]],4),wg_wiz_cost_cap) + tech_1_9_2*TblTech[[#This Row],[1-9]] + tech_9_1_2*TblTech[[#This Row],[9-1]])*wizard_plat,0)</f>
        <v>500</v>
      </c>
      <c r="BU33" s="94">
        <f ca="1">ROUNDUP((1-MIN(ROUND(wg_wiz_cost_bonus*TblMili[[#This Row],[WG''s]],4),wg_wiz_cost_cap) + tech_1_9_2*TblTech[[#This Row],[1-9]] + tech_9_1_2*TblTech[[#This Row],[9-1]])*archmage_plat,0)</f>
        <v>1000</v>
      </c>
      <c r="BV33" s="142"/>
      <c r="BW33" s="157">
        <f ca="1">TblConstr[[#This Row],[Homeland]]/TblConstr[[#This Row],[Land]]</f>
        <v>0.81818181818181823</v>
      </c>
      <c r="BX33" s="157">
        <f ca="1">TblMili[[#This Row],[WG''s]]</f>
        <v>0</v>
      </c>
      <c r="BY33" s="251">
        <f ca="1">IF(mystic_cap="none",TblMili[[#This Row],[Homeland%]]/mystic_bonus,MIN(mystic_cap,TblMili[[#This Row],[Homeland%]]/mystic_bonus))</f>
        <v>2</v>
      </c>
      <c r="BZ33" s="251">
        <f ca="1">IF(druid_op_cap="none",TblMili[[#This Row],[Homeland%]]/druid_op_bonus,MIN(druid_op_cap,TblMili[[#This Row],[Homeland%]]/druid_op_bonus))</f>
        <v>2</v>
      </c>
      <c r="CA33" s="251">
        <f ca="1">IF(druid_dp_cap="none",TblMili[[#This Row],[Homeland%]]/druid_dp_bonus,MIN(druid_dp_cap,TblMili[[#This Row],[Homeland%]]/druid_dp_bonus))</f>
        <v>2</v>
      </c>
      <c r="CB33" s="251">
        <f ca="1">MIN(dryad_cap,TblMili[[#This Row],[Homeland%]]/dryad_bonus)</f>
        <v>4</v>
      </c>
      <c r="CC33" s="251">
        <f ca="1">MIN(rocka_cap,TblMili[[#This Row],[Homeland%]]/rocka_bonus)</f>
        <v>2</v>
      </c>
      <c r="CD33" s="251">
        <f ca="1">MIN(adept_op_cap,TblMili[[#This Row],[WG]]/adept_op_bonus)</f>
        <v>0</v>
      </c>
      <c r="CE33" s="251">
        <f ca="1">MIN(adept_dp_cap,TblMili[[#This Row],[WG]]/adept_dp_bonus)</f>
        <v>0</v>
      </c>
      <c r="CF33" s="94">
        <f ca="1">MIN(TblMili[[#This Row],[Unit 3]],TblMili[[#This Row],[Unit 2]])*2</f>
        <v>0</v>
      </c>
      <c r="CG33" s="94">
        <f ca="1">MIN(TblMili[[#This Row],[Unit 1]],TblMili[[#This Row],[Unit 4]])*2</f>
        <v>0</v>
      </c>
      <c r="CH33" s="251">
        <f ca="1">MIN(frost_mage_cap,TblMili[[#This Row],[Homeland%]]/frost_mage_bonus)</f>
        <v>3</v>
      </c>
      <c r="CI33" s="45">
        <f ca="1">MIN(ice_elem_cap,TblMili[[#This Row],[Raw (2)]]*ice_elem_bonus)</f>
        <v>0</v>
      </c>
      <c r="CJ33" s="251">
        <f t="shared" si="0"/>
        <v>0.83333333333333337</v>
      </c>
      <c r="CK33" s="251">
        <f ca="1">MIN(nox_nightshade_cap,TblConstr[[#This Row],[Homeland]]/TblConstr[[#This Row],[Land]]/nox_nightshade_swamp_bonus)</f>
        <v>4</v>
      </c>
      <c r="CL33" s="251">
        <f ca="1">MIN(TblConstr[[#This Row],[Total Swamp]]/TblConstr[[#This Row],[Land]]/abyss_enforce_bonus,abyss_enforcer_cap)</f>
        <v>0</v>
      </c>
      <c r="CM33" s="251">
        <f ca="1">IF(TblMagic[[#This Row],[Active Infernal Command]]&gt;0,TblMili[[#This Row],[Unit 1]]*infernal_cmd_op,0)</f>
        <v>0</v>
      </c>
      <c r="CN33" s="252"/>
      <c r="CO33" s="252"/>
      <c r="CP33" s="252"/>
      <c r="CQ33" s="251">
        <f ca="1">MIN(6,TblMili[[#This Row],[Mystic]]+Races!$F$19)*1.8 +  IF(TblMili[[#This Row],[Mystic]]+Races!$F$19&gt;6,(TblMili[[#This Row],[Mystic]]+Races!$F$19-6)*0.2,0) - Races!$I$19</f>
        <v>1</v>
      </c>
      <c r="CR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3" s="94">
        <f ca="1">TblMili[[#This Row],[Mystic bonus]]*TblMili[[#This Row],[Unit 3]]+TblMili[[#This Row],[Druid bonus]]*TblMili[[#This Row],[Unit 4]]</f>
        <v>0</v>
      </c>
      <c r="CT33" s="155">
        <f ca="1">MIN(6,TblMili[[#This Row],[Dryad]]+Races!$F$35)*1.8 +  IF(TblMili[[#This Row],[Dryad]]+Races!$F$35&gt;6,(TblMili[[#This Row],[Dryad]]+Races!$F$35-6)*0.2,0) - Races!$I$19</f>
        <v>1</v>
      </c>
      <c r="CU33" s="94">
        <f ca="1">sylvan*(TblMili[[#This Row],[Mystic bonus]]*TblMili[[#This Row],[Unit 3]])</f>
        <v>0</v>
      </c>
      <c r="CV33" s="155">
        <f ca="1">1.8 * MIN(MAX(Races!$E$27,TblMili[[#This Row],[Rockapult]]+Races!$F$27),6)  +  0.45 * MIN(MIN(Races!$E$27,TblMili[[#This Row],[Rockapult]]+Races!$F$27),6)  +  0.2 * ( MAX(Races!$E$27-6,0) + MAX(TblMili[[#This Row],[Rockapult]]+Races!$F$27-6,0) )  -  Races!$I$20</f>
        <v>3.7000000000000011</v>
      </c>
      <c r="CW33" s="94">
        <f ca="1">gnome*(TblMili[[#This Row],[Rockapult bonus]]*TblMili[[#This Row],[Unit 3]])</f>
        <v>0</v>
      </c>
      <c r="CX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3" s="94">
        <f ca="1">dark_elf*(TblMili[[#This Row],[Adept bonus]]*TblMili[[#This Row],[Unit 3]])</f>
        <v>0</v>
      </c>
      <c r="CZ33" s="155">
        <f ca="1">1.8 * MIN(MAX(TblMili[[#This Row],[Frost Mage]]+Races!$F$71,Races!$E$71),6)  +  0.45 * MIN(MIN(TblMili[[#This Row],[Frost Mage]]+Races!$F$71,Races!$E$71),6)  +  0.2 * ( MAX(TblMili[[#This Row],[Frost Mage]]+Races!$F$71-6,0) + MAX(Races!$E$71-6,0) )  -  Races!$I$71</f>
        <v>6.15</v>
      </c>
      <c r="DA33" s="155">
        <f ca="1">1.8 * MIN(MAX(TblMili[[#This Row],[Ice Elemental]]+Races!$E$71,Races!$F$71),6)  +  0.45 * MIN(MIN(TblMili[[#This Row],[Ice Elemental]]+Races!$E$71,Races!$F$71),6)  +  0.2 * ( MAX(TblMili[[#This Row],[Ice Elemental]]+Races!$E$71-6,0) + MAX(Races!$F$71-6,0) )  -  Races!$I$71</f>
        <v>0.75</v>
      </c>
      <c r="DB33" s="94">
        <f ca="1">TblMili[[#This Row],[Frost Mage bonus]]*TblMili[[#This Row],[Unit 3]]+TblMili[[#This Row],[Ice Elemental bonus]]*TblMili[[#This Row],[Unit 4]]</f>
        <v>0</v>
      </c>
      <c r="DC33" s="253"/>
      <c r="DD33" s="143">
        <f ca="1">MIN(SUM(TblConstr[[#This Row],[Plain]:[Water]])/TblMili[[#This Row],[Land]]/favorable_terrain_bonus/100,favorable_terrain_max)</f>
        <v>0.1</v>
      </c>
      <c r="DE33" s="253"/>
      <c r="DF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3" s="142"/>
      <c r="DH33" s="254">
        <f ca="1">(TblMili[[#This Row],[Wizards]]+2*TblMili[[#This Row],[Archmages]])/TblConstr[[#This Row],[Land]]</f>
        <v>0</v>
      </c>
      <c r="DI33" s="254">
        <f ca="1">TblMili[[#This Row],[Raw (2)]]*(1+race_wizard_strength+IF(TblMili[[#This Row],[Hour]]&gt;72,tech_magical_weaponry_wiz*TblTech[[#This Row],[3-5]],0))</f>
        <v>0</v>
      </c>
    </row>
    <row r="34" spans="1:113" x14ac:dyDescent="0.2">
      <c r="A34" s="137">
        <f>TblRezone[[#This Row],[Hour]]</f>
        <v>31</v>
      </c>
      <c r="B34" s="246">
        <f ca="1">SUM(TblMili[[#This Row],[Unit 1]:[Archmages]])+SUM(OFFSET(TblMili[[#This Row],[Train Unit 1]],-8,0):TblMili[[#This Row],[Train Unit 2]]) + SUM(OFFSET(TblMili[[#This Row],[Train Unit 3]],-11,0):TblMili[[#This Row],[Train AM]]) + TblMili[[#This Row],[Draftees]]</f>
        <v>335</v>
      </c>
      <c r="C34" s="157">
        <f ca="1">TblPop[[#This Row],[Military%]]</f>
        <v>0.31133828996282525</v>
      </c>
      <c r="D34" s="142"/>
      <c r="E34" s="45">
        <f ca="1">OFFSET(TblMili[[#This Row],[Unit 1]],-1,0) + OFFSET(TblMili[[#This Row],[Train Unit 1]],-9,0) - TblMili[[#This Row],[Release Unit 1]] + OFFSET(TblMili[[#This Row],[DnD_Zombies]],-12,0)</f>
        <v>0</v>
      </c>
      <c r="F34" s="45">
        <f ca="1">OFFSET(TblMili[[#This Row],[Unit 2]],-1,0) + OFFSET(TblMili[[#This Row],[Train Unit 2]],-9,0)-TblMili[[#This Row],[Release Unit 2]]</f>
        <v>0</v>
      </c>
      <c r="G34" s="45">
        <f ca="1">OFFSET(TblMili[[#This Row],[Unit 3]],-1,0) + OFFSET(TblMili[[#This Row],[Train Unit 3]],-12,0)-TblMili[[#This Row],[Release Unit 3]]</f>
        <v>0</v>
      </c>
      <c r="H34" s="45">
        <f ca="1">OFFSET(TblMili[[#This Row],[Unit 4]],-1,0) + OFFSET(TblMili[[#This Row],[Train Unit 4]],-12,0)-TblMili[[#This Row],[Release Unit 4]]</f>
        <v>0</v>
      </c>
      <c r="I34" s="45">
        <f ca="1">OFFSET(TblMili[[#This Row],[Spies]],-1,0) + OFFSET(TblMili[[#This Row],[Train Spies]],-12,0) - TblMili[[#This Row],[Release Spies]]-TblMili[[#This Row],[Train AS]]</f>
        <v>0</v>
      </c>
      <c r="J34" s="45">
        <f ca="1">OFFSET(TblMili[[#This Row],[Archspies]],-1,0) + OFFSET(TblMili[[#This Row],[Train AS]],-12,0) - TblMili[[#This Row],[Release AS]]</f>
        <v>0</v>
      </c>
      <c r="K34" s="45">
        <f ca="1">OFFSET(TblMili[[#This Row],[Wizards]],-1,0) + OFFSET(TblMili[[#This Row],[Train Wiz]],-12,0) - TblMili[[#This Row],[Release Wizards]]-TblMili[[#This Row],[Train AM]]</f>
        <v>0</v>
      </c>
      <c r="L34" s="45">
        <f ca="1">OFFSET(TblMili[[#This Row],[Archmages]],-1,0) + OFFSET(TblMili[[#This Row],[Train AM]],-12,0) - TblMili[[#This Row],[Release AM]]</f>
        <v>0</v>
      </c>
      <c r="M34" s="142"/>
      <c r="N34" s="94">
        <f ca="1">TblProd[[#This Row],[Networth]]</f>
        <v>2450</v>
      </c>
      <c r="O34" s="142"/>
      <c r="P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4" s="247">
        <f ca="1">TblMili[[#This Row],[Raw]]*(1+TblMili[[#This Row],[Mods_Off]])</f>
        <v>0</v>
      </c>
      <c r="S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4" s="247">
        <f ca="1">TblMili[[#This Row],[Non Draft]]+TblMili[[#This Row],[Draftees]]</f>
        <v>335</v>
      </c>
      <c r="U34" s="248">
        <f ca="1">race_defense + TblImps[[#This Row],[Walls]] + ROUND( MIN(gt_bonus*TblConstr[[#This Row],[Tot GT]]/TblConstr[[#This Row],[Land]],gt_bonus_cap), 4) + IF(TblMagic[[#This Row],[Active Howling]]&gt;0,howling_dp_bonus,IF(TblMagic[[#This Row],[Active Ares Call]]&gt;0,ares_call_bonus))</f>
        <v>0</v>
      </c>
      <c r="V34" s="249">
        <f ca="1">TblMili[[#This Row],[Non Draft]] * (1 + TblMili[[#This Row],[Mods_Def]])</f>
        <v>0</v>
      </c>
      <c r="W34" s="247">
        <f ca="1">TblMili[[#This Row],[Draft]] * (1 + TblMili[[#This Row],[Mods_Def]])</f>
        <v>335</v>
      </c>
      <c r="X34" s="247">
        <f ca="1">TblConstr[[#This Row],[Land]]</f>
        <v>110</v>
      </c>
      <c r="Y34" s="250"/>
      <c r="Z34" s="255">
        <f ca="1">IF(TblMili[[#This Row],[Set]]&lt;&gt;"",TblMili[[#This Row],[Set]],OFFSET(TblMili[[#This Row],[Draftrate]],-1,0))</f>
        <v>0.9</v>
      </c>
      <c r="AA34" s="94">
        <f ca="1">OFFSET(TblMili[[#This Row],[Draftees]],-1,0)+OFFSET(TblPop[[#This Row],[Draft Growth]],-1,0) - SUM(TblMili[[#This Row],[Train Unit 1]:[Train Spies]],TblMili[[#This Row],[Train Wiz]],TblMili[[#This Row],[DnD_Zombies]]) - TblMili[[#This Row],[Release Draft]] + SUM(TblMili[[#This Row],[Release Unit 1]:[Release AM]]) - TblExplore[[#This Row],[Draftees (2)]]</f>
        <v>335</v>
      </c>
      <c r="AB34" s="154"/>
      <c r="AC34" s="180">
        <f ca="1">(TblConstr[[#This Row],[Tot Smi]]+TblConstr[[#This Row],[Dest Smi]])/(TblConstr[[#This Row],[Land]]-TblExplore[[#This Row],[Land Bonus]]*20)</f>
        <v>0</v>
      </c>
      <c r="AD34" s="137"/>
      <c r="AE34" s="246">
        <f>TblMili[[#This Row],[Hour]]</f>
        <v>31</v>
      </c>
      <c r="AF34" s="138">
        <f ca="1">TblExplore[[#This Row],[Time]]</f>
        <v>46048.249999999927</v>
      </c>
      <c r="AG34" s="179"/>
      <c r="AH34" s="179"/>
      <c r="AI34" s="179"/>
      <c r="AJ34" s="179"/>
      <c r="AK34" s="179"/>
      <c r="AL34" s="179"/>
      <c r="AM34" s="179"/>
      <c r="AN34" s="179"/>
      <c r="AO34" s="420">
        <f ca="1">ROUND(IF(AND(TblMagic[[#This Row],[Active DnD]]&lt;12,TblMagic[[#This Row],[Active DnD]]&gt;5),OFFSET(TblPop[[#This Row],[Draft Growth]],-1,0)*0.375,0),0)</f>
        <v>0</v>
      </c>
      <c r="AP34" s="142"/>
      <c r="AQ34" s="94">
        <f ca="1">TblProd[[#This Row],[Platinum]]</f>
        <v>99682</v>
      </c>
      <c r="AR34" s="94">
        <f ca="1">INDEX(TblProd[[#Headers],[Lumber]]:TblProd[[#This Row],[Ore]],COUNTA(TblProd[[#Headers],[Lumber]]:TblProd[[#This Row],[Lumber]]),MATCH(Military!$AR$2,TblProd[[#Headers],[Lumber]:[Ore]],0))</f>
        <v>0</v>
      </c>
      <c r="AS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4" s="94">
        <f ca="1">TblMili[[#This Row],[Train Unit 1]]*TblMili[[#This Row],[OP Ore]]+TblMili[[#This Row],[Train Unit 2]]*TblMili[[#This Row],[DP Ore]]+TblMili[[#This Row],[Train Unit 3]]*TblMili[[#This Row],[E1 Ore]]+TblMili[[#This Row],[Train Unit 4]]*TblMili[[#This Row],[E2 Ore]]</f>
        <v>0</v>
      </c>
      <c r="AU34" s="142">
        <f>TblMili[[#This Row],[Hour]]</f>
        <v>31</v>
      </c>
      <c r="AV34" s="152">
        <f ca="1">TblMili[[#This Row],[Time]]</f>
        <v>46048.249999999927</v>
      </c>
      <c r="AW34" s="94">
        <f ca="1">TblMili[[#This Row],[Draftees]]</f>
        <v>335</v>
      </c>
      <c r="AX34" s="179"/>
      <c r="AY34" s="179"/>
      <c r="AZ34" s="179"/>
      <c r="BA34" s="179"/>
      <c r="BB34" s="179"/>
      <c r="BC34" s="179"/>
      <c r="BD34" s="179"/>
      <c r="BE34" s="179"/>
      <c r="BF34" s="179"/>
      <c r="BG34" s="142"/>
      <c r="BH34" s="157">
        <f ca="1">TblConstr[[#This Row],[Tot WG]]/TblConstr[[#This Row],[Land]]</f>
        <v>0</v>
      </c>
      <c r="BI34" s="157">
        <f ca="1">TblConstr[[#This Row],[Tot Hav]]/TblConstr[[#This Row],[Land]]</f>
        <v>0</v>
      </c>
      <c r="BJ34" s="94">
        <f ca="1">ROUNDUP((1-MIN(TblMili[[#This Row],[Smithies]]*smithy_bonus,smithy_bonus_cap) + tech_3_5*TblTech[[#This Row],[3-5]] + tech_5_3*TblTech[[#This Row],[5-3]] + tech_5_5*TblTech[[#This Row],[5-5]])*spec_op_plat,0)</f>
        <v>275</v>
      </c>
      <c r="BK34" s="94">
        <f ca="1">ROUNDUP(IF(race="Gnome",1,(1-MIN(TblMili[[#This Row],[Smithies]]*smithy_bonus,smithy_bonus_cap) + tech_3_5*TblTech[[#This Row],[3-5]] + tech_5_3*TblTech[[#This Row],[5-3]] + tech_5_5*TblTech[[#This Row],[5-5]]))*spec_op_ore,0)</f>
        <v>25</v>
      </c>
      <c r="BL34" s="94">
        <f ca="1">ROUNDUP((1-MIN(TblMili[[#This Row],[Smithies]]*smithy_bonus,smithy_bonus_cap) + tech_3_5*TblTech[[#This Row],[3-5]] + tech_5_3*TblTech[[#This Row],[5-3]] + tech_5_5*TblTech[[#This Row],[5-5]])*spec_dp_plat,0)</f>
        <v>275</v>
      </c>
      <c r="BM34" s="94">
        <f ca="1">ROUNDUP(IF(race="Gnome",1,(1-MIN(TblMili[[#This Row],[Smithies]]*smithy_bonus,smithy_bonus_cap) + tech_3_5*TblTech[[#This Row],[3-5]] + tech_5_3*TblTech[[#This Row],[5-3]] + tech_5_5*TblTech[[#This Row],[5-5]]))*spec_dp_ore,0)</f>
        <v>15</v>
      </c>
      <c r="BN34" s="94">
        <f ca="1">ROUNDUP((1-MIN(TblMili[[#This Row],[Smithies]]*smithy_bonus,smithy_bonus_cap) + tech_3_5*TblTech[[#This Row],[3-5]] + tech_5_3*TblTech[[#This Row],[5-3]] + tech_5_5*TblTech[[#This Row],[5-5]])*elite1_plat,0)</f>
        <v>1040</v>
      </c>
      <c r="BO34" s="94">
        <f ca="1">ROUNDUP(IF(race="Gnome",1,(1-MIN(TblMili[[#This Row],[Smithies]]*smithy_bonus,smithy_bonus_cap) + tech_3_5*TblTech[[#This Row],[3-5]] + tech_5_3*TblTech[[#This Row],[5-3]] + tech_5_5*TblTech[[#This Row],[5-5]]))*elite1_ore,0)</f>
        <v>75</v>
      </c>
      <c r="BP34" s="94">
        <f ca="1">ROUNDUP((1-MIN(TblMili[[#This Row],[Smithies]]*smithy_bonus,smithy_bonus_cap) + tech_3_5*TblTech[[#This Row],[3-5]] + tech_5_3*TblTech[[#This Row],[5-3]] + tech_5_5*TblTech[[#This Row],[5-5]])*elite2_plat,0)</f>
        <v>1280</v>
      </c>
      <c r="BQ34" s="94">
        <f ca="1">ROUNDUP(IF(race="Gnome",1,(1-MIN(TblMili[[#This Row],[Smithies]]*smithy_bonus,smithy_bonus_cap) + tech_3_5*TblTech[[#This Row],[3-5]] + tech_5_3*TblTech[[#This Row],[5-3]] + tech_5_5*TblTech[[#This Row],[5-5]]))*elite2_ore,0)</f>
        <v>100</v>
      </c>
      <c r="BR34" s="94">
        <f ca="1">ROUNDUP((1-MIN(ROUND(fh_spy_cost_red*TblMili[[#This Row],[FH''s]],4),fh_spy_cost_cap)+ tech_1_9*TblTech[[#This Row],[1-9]] + tech_9_1*TblTech[[#This Row],[9-1]])*spy_plat,0)</f>
        <v>500</v>
      </c>
      <c r="BS34" s="94">
        <f ca="1">ROUNDUP((1-MIN(ROUND(fh_spy_cost_red*TblMili[[#This Row],[FH''s]],4),fh_spy_cost_cap)+ tech_1_9*TblTech[[#This Row],[1-9]] + tech_9_1*TblTech[[#This Row],[9-1]])*archspy_plat,0)</f>
        <v>1000</v>
      </c>
      <c r="BT34" s="94">
        <f ca="1">ROUNDUP((1-MIN(ROUND(wg_wiz_cost_bonus*TblMili[[#This Row],[WG''s]],4),wg_wiz_cost_cap) + tech_1_9_2*TblTech[[#This Row],[1-9]] + tech_9_1_2*TblTech[[#This Row],[9-1]])*wizard_plat,0)</f>
        <v>500</v>
      </c>
      <c r="BU34" s="94">
        <f ca="1">ROUNDUP((1-MIN(ROUND(wg_wiz_cost_bonus*TblMili[[#This Row],[WG''s]],4),wg_wiz_cost_cap) + tech_1_9_2*TblTech[[#This Row],[1-9]] + tech_9_1_2*TblTech[[#This Row],[9-1]])*archmage_plat,0)</f>
        <v>1000</v>
      </c>
      <c r="BV34" s="142"/>
      <c r="BW34" s="157">
        <f ca="1">TblConstr[[#This Row],[Homeland]]/TblConstr[[#This Row],[Land]]</f>
        <v>0.81818181818181823</v>
      </c>
      <c r="BX34" s="157">
        <f ca="1">TblMili[[#This Row],[WG''s]]</f>
        <v>0</v>
      </c>
      <c r="BY34" s="251">
        <f ca="1">IF(mystic_cap="none",TblMili[[#This Row],[Homeland%]]/mystic_bonus,MIN(mystic_cap,TblMili[[#This Row],[Homeland%]]/mystic_bonus))</f>
        <v>2</v>
      </c>
      <c r="BZ34" s="251">
        <f ca="1">IF(druid_op_cap="none",TblMili[[#This Row],[Homeland%]]/druid_op_bonus,MIN(druid_op_cap,TblMili[[#This Row],[Homeland%]]/druid_op_bonus))</f>
        <v>2</v>
      </c>
      <c r="CA34" s="251">
        <f ca="1">IF(druid_dp_cap="none",TblMili[[#This Row],[Homeland%]]/druid_dp_bonus,MIN(druid_dp_cap,TblMili[[#This Row],[Homeland%]]/druid_dp_bonus))</f>
        <v>2</v>
      </c>
      <c r="CB34" s="251">
        <f ca="1">MIN(dryad_cap,TblMili[[#This Row],[Homeland%]]/dryad_bonus)</f>
        <v>4</v>
      </c>
      <c r="CC34" s="251">
        <f ca="1">MIN(rocka_cap,TblMili[[#This Row],[Homeland%]]/rocka_bonus)</f>
        <v>2</v>
      </c>
      <c r="CD34" s="251">
        <f ca="1">MIN(adept_op_cap,TblMili[[#This Row],[WG]]/adept_op_bonus)</f>
        <v>0</v>
      </c>
      <c r="CE34" s="251">
        <f ca="1">MIN(adept_dp_cap,TblMili[[#This Row],[WG]]/adept_dp_bonus)</f>
        <v>0</v>
      </c>
      <c r="CF34" s="94">
        <f ca="1">MIN(TblMili[[#This Row],[Unit 3]],TblMili[[#This Row],[Unit 2]])*2</f>
        <v>0</v>
      </c>
      <c r="CG34" s="94">
        <f ca="1">MIN(TblMili[[#This Row],[Unit 1]],TblMili[[#This Row],[Unit 4]])*2</f>
        <v>0</v>
      </c>
      <c r="CH34" s="251">
        <f ca="1">MIN(frost_mage_cap,TblMili[[#This Row],[Homeland%]]/frost_mage_bonus)</f>
        <v>3</v>
      </c>
      <c r="CI34" s="45">
        <f ca="1">MIN(ice_elem_cap,TblMili[[#This Row],[Raw (2)]]*ice_elem_bonus)</f>
        <v>0</v>
      </c>
      <c r="CJ34" s="251">
        <f t="shared" si="0"/>
        <v>0.83333333333333337</v>
      </c>
      <c r="CK34" s="251">
        <f ca="1">MIN(nox_nightshade_cap,TblConstr[[#This Row],[Homeland]]/TblConstr[[#This Row],[Land]]/nox_nightshade_swamp_bonus)</f>
        <v>4</v>
      </c>
      <c r="CL34" s="251">
        <f ca="1">MIN(TblConstr[[#This Row],[Total Swamp]]/TblConstr[[#This Row],[Land]]/abyss_enforce_bonus,abyss_enforcer_cap)</f>
        <v>0</v>
      </c>
      <c r="CM34" s="251">
        <f ca="1">IF(TblMagic[[#This Row],[Active Infernal Command]]&gt;0,TblMili[[#This Row],[Unit 1]]*infernal_cmd_op,0)</f>
        <v>0</v>
      </c>
      <c r="CN34" s="252"/>
      <c r="CO34" s="252"/>
      <c r="CP34" s="252"/>
      <c r="CQ34" s="251">
        <f ca="1">MIN(6,TblMili[[#This Row],[Mystic]]+Races!$F$19)*1.8 +  IF(TblMili[[#This Row],[Mystic]]+Races!$F$19&gt;6,(TblMili[[#This Row],[Mystic]]+Races!$F$19-6)*0.2,0) - Races!$I$19</f>
        <v>1</v>
      </c>
      <c r="CR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4" s="94">
        <f ca="1">TblMili[[#This Row],[Mystic bonus]]*TblMili[[#This Row],[Unit 3]]+TblMili[[#This Row],[Druid bonus]]*TblMili[[#This Row],[Unit 4]]</f>
        <v>0</v>
      </c>
      <c r="CT34" s="155">
        <f ca="1">MIN(6,TblMili[[#This Row],[Dryad]]+Races!$F$35)*1.8 +  IF(TblMili[[#This Row],[Dryad]]+Races!$F$35&gt;6,(TblMili[[#This Row],[Dryad]]+Races!$F$35-6)*0.2,0) - Races!$I$19</f>
        <v>1</v>
      </c>
      <c r="CU34" s="94">
        <f ca="1">sylvan*(TblMili[[#This Row],[Mystic bonus]]*TblMili[[#This Row],[Unit 3]])</f>
        <v>0</v>
      </c>
      <c r="CV34" s="155">
        <f ca="1">1.8 * MIN(MAX(Races!$E$27,TblMili[[#This Row],[Rockapult]]+Races!$F$27),6)  +  0.45 * MIN(MIN(Races!$E$27,TblMili[[#This Row],[Rockapult]]+Races!$F$27),6)  +  0.2 * ( MAX(Races!$E$27-6,0) + MAX(TblMili[[#This Row],[Rockapult]]+Races!$F$27-6,0) )  -  Races!$I$20</f>
        <v>3.7000000000000011</v>
      </c>
      <c r="CW34" s="94">
        <f ca="1">gnome*(TblMili[[#This Row],[Rockapult bonus]]*TblMili[[#This Row],[Unit 3]])</f>
        <v>0</v>
      </c>
      <c r="CX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4" s="94">
        <f ca="1">dark_elf*(TblMili[[#This Row],[Adept bonus]]*TblMili[[#This Row],[Unit 3]])</f>
        <v>0</v>
      </c>
      <c r="CZ34" s="155">
        <f ca="1">1.8 * MIN(MAX(TblMili[[#This Row],[Frost Mage]]+Races!$F$71,Races!$E$71),6)  +  0.45 * MIN(MIN(TblMili[[#This Row],[Frost Mage]]+Races!$F$71,Races!$E$71),6)  +  0.2 * ( MAX(TblMili[[#This Row],[Frost Mage]]+Races!$F$71-6,0) + MAX(Races!$E$71-6,0) )  -  Races!$I$71</f>
        <v>6.15</v>
      </c>
      <c r="DA34" s="155">
        <f ca="1">1.8 * MIN(MAX(TblMili[[#This Row],[Ice Elemental]]+Races!$E$71,Races!$F$71),6)  +  0.45 * MIN(MIN(TblMili[[#This Row],[Ice Elemental]]+Races!$E$71,Races!$F$71),6)  +  0.2 * ( MAX(TblMili[[#This Row],[Ice Elemental]]+Races!$E$71-6,0) + MAX(Races!$F$71-6,0) )  -  Races!$I$71</f>
        <v>0.75</v>
      </c>
      <c r="DB34" s="94">
        <f ca="1">TblMili[[#This Row],[Frost Mage bonus]]*TblMili[[#This Row],[Unit 3]]+TblMili[[#This Row],[Ice Elemental bonus]]*TblMili[[#This Row],[Unit 4]]</f>
        <v>0</v>
      </c>
      <c r="DC34" s="253"/>
      <c r="DD34" s="143">
        <f ca="1">MIN(SUM(TblConstr[[#This Row],[Plain]:[Water]])/TblMili[[#This Row],[Land]]/favorable_terrain_bonus/100,favorable_terrain_max)</f>
        <v>0.1</v>
      </c>
      <c r="DE34" s="253"/>
      <c r="DF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4" s="142"/>
      <c r="DH34" s="254">
        <f ca="1">(TblMili[[#This Row],[Wizards]]+2*TblMili[[#This Row],[Archmages]])/TblConstr[[#This Row],[Land]]</f>
        <v>0</v>
      </c>
      <c r="DI34" s="254">
        <f ca="1">TblMili[[#This Row],[Raw (2)]]*(1+race_wizard_strength+IF(TblMili[[#This Row],[Hour]]&gt;72,tech_magical_weaponry_wiz*TblTech[[#This Row],[3-5]],0))</f>
        <v>0</v>
      </c>
    </row>
    <row r="35" spans="1:113" x14ac:dyDescent="0.2">
      <c r="A35" s="137">
        <f>TblRezone[[#This Row],[Hour]]</f>
        <v>32</v>
      </c>
      <c r="B35" s="246">
        <f ca="1">SUM(TblMili[[#This Row],[Unit 1]:[Archmages]])+SUM(OFFSET(TblMili[[#This Row],[Train Unit 1]],-8,0):TblMili[[#This Row],[Train Unit 2]]) + SUM(OFFSET(TblMili[[#This Row],[Train Unit 3]],-11,0):TblMili[[#This Row],[Train AM]]) + TblMili[[#This Row],[Draftees]]</f>
        <v>342</v>
      </c>
      <c r="C35" s="157">
        <f ca="1">TblPop[[#This Row],[Military%]]</f>
        <v>0.31784386617100374</v>
      </c>
      <c r="D35" s="142"/>
      <c r="E35" s="45">
        <f ca="1">OFFSET(TblMili[[#This Row],[Unit 1]],-1,0) + OFFSET(TblMili[[#This Row],[Train Unit 1]],-9,0) - TblMili[[#This Row],[Release Unit 1]] + OFFSET(TblMili[[#This Row],[DnD_Zombies]],-12,0)</f>
        <v>0</v>
      </c>
      <c r="F35" s="45">
        <f ca="1">OFFSET(TblMili[[#This Row],[Unit 2]],-1,0) + OFFSET(TblMili[[#This Row],[Train Unit 2]],-9,0)-TblMili[[#This Row],[Release Unit 2]]</f>
        <v>0</v>
      </c>
      <c r="G35" s="45">
        <f ca="1">OFFSET(TblMili[[#This Row],[Unit 3]],-1,0) + OFFSET(TblMili[[#This Row],[Train Unit 3]],-12,0)-TblMili[[#This Row],[Release Unit 3]]</f>
        <v>0</v>
      </c>
      <c r="H35" s="45">
        <f ca="1">OFFSET(TblMili[[#This Row],[Unit 4]],-1,0) + OFFSET(TblMili[[#This Row],[Train Unit 4]],-12,0)-TblMili[[#This Row],[Release Unit 4]]</f>
        <v>0</v>
      </c>
      <c r="I35" s="45">
        <f ca="1">OFFSET(TblMili[[#This Row],[Spies]],-1,0) + OFFSET(TblMili[[#This Row],[Train Spies]],-12,0) - TblMili[[#This Row],[Release Spies]]-TblMili[[#This Row],[Train AS]]</f>
        <v>0</v>
      </c>
      <c r="J35" s="45">
        <f ca="1">OFFSET(TblMili[[#This Row],[Archspies]],-1,0) + OFFSET(TblMili[[#This Row],[Train AS]],-12,0) - TblMili[[#This Row],[Release AS]]</f>
        <v>0</v>
      </c>
      <c r="K35" s="45">
        <f ca="1">OFFSET(TblMili[[#This Row],[Wizards]],-1,0) + OFFSET(TblMili[[#This Row],[Train Wiz]],-12,0) - TblMili[[#This Row],[Release Wizards]]-TblMili[[#This Row],[Train AM]]</f>
        <v>0</v>
      </c>
      <c r="L35" s="45">
        <f ca="1">OFFSET(TblMili[[#This Row],[Archmages]],-1,0) + OFFSET(TblMili[[#This Row],[Train AM]],-12,0) - TblMili[[#This Row],[Release AM]]</f>
        <v>0</v>
      </c>
      <c r="M35" s="142"/>
      <c r="N35" s="94">
        <f ca="1">TblProd[[#This Row],[Networth]]</f>
        <v>2450</v>
      </c>
      <c r="O35" s="142"/>
      <c r="P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5" s="247">
        <f ca="1">TblMili[[#This Row],[Raw]]*(1+TblMili[[#This Row],[Mods_Off]])</f>
        <v>0</v>
      </c>
      <c r="S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5" s="247">
        <f ca="1">TblMili[[#This Row],[Non Draft]]+TblMili[[#This Row],[Draftees]]</f>
        <v>342</v>
      </c>
      <c r="U35" s="248">
        <f ca="1">race_defense + TblImps[[#This Row],[Walls]] + ROUND( MIN(gt_bonus*TblConstr[[#This Row],[Tot GT]]/TblConstr[[#This Row],[Land]],gt_bonus_cap), 4) + IF(TblMagic[[#This Row],[Active Howling]]&gt;0,howling_dp_bonus,IF(TblMagic[[#This Row],[Active Ares Call]]&gt;0,ares_call_bonus))</f>
        <v>0</v>
      </c>
      <c r="V35" s="249">
        <f ca="1">TblMili[[#This Row],[Non Draft]] * (1 + TblMili[[#This Row],[Mods_Def]])</f>
        <v>0</v>
      </c>
      <c r="W35" s="247">
        <f ca="1">TblMili[[#This Row],[Draft]] * (1 + TblMili[[#This Row],[Mods_Def]])</f>
        <v>342</v>
      </c>
      <c r="X35" s="247">
        <f ca="1">TblConstr[[#This Row],[Land]]</f>
        <v>110</v>
      </c>
      <c r="Y35" s="250"/>
      <c r="Z35" s="255">
        <f ca="1">IF(TblMili[[#This Row],[Set]]&lt;&gt;"",TblMili[[#This Row],[Set]],OFFSET(TblMili[[#This Row],[Draftrate]],-1,0))</f>
        <v>0.9</v>
      </c>
      <c r="AA35" s="94">
        <f ca="1">OFFSET(TblMili[[#This Row],[Draftees]],-1,0)+OFFSET(TblPop[[#This Row],[Draft Growth]],-1,0) - SUM(TblMili[[#This Row],[Train Unit 1]:[Train Spies]],TblMili[[#This Row],[Train Wiz]],TblMili[[#This Row],[DnD_Zombies]]) - TblMili[[#This Row],[Release Draft]] + SUM(TblMili[[#This Row],[Release Unit 1]:[Release AM]]) - TblExplore[[#This Row],[Draftees (2)]]</f>
        <v>342</v>
      </c>
      <c r="AB35" s="154"/>
      <c r="AC35" s="180">
        <f ca="1">(TblConstr[[#This Row],[Tot Smi]]+TblConstr[[#This Row],[Dest Smi]])/(TblConstr[[#This Row],[Land]]-TblExplore[[#This Row],[Land Bonus]]*20)</f>
        <v>0</v>
      </c>
      <c r="AD35" s="137"/>
      <c r="AE35" s="246">
        <f>TblMili[[#This Row],[Hour]]</f>
        <v>32</v>
      </c>
      <c r="AF35" s="138">
        <f ca="1">TblExplore[[#This Row],[Time]]</f>
        <v>46048.291666666591</v>
      </c>
      <c r="AG35" s="179"/>
      <c r="AH35" s="179"/>
      <c r="AI35" s="179"/>
      <c r="AJ35" s="179"/>
      <c r="AK35" s="179"/>
      <c r="AL35" s="179"/>
      <c r="AM35" s="179"/>
      <c r="AN35" s="179"/>
      <c r="AO35" s="420">
        <f ca="1">ROUND(IF(AND(TblMagic[[#This Row],[Active DnD]]&lt;12,TblMagic[[#This Row],[Active DnD]]&gt;5),OFFSET(TblPop[[#This Row],[Draft Growth]],-1,0)*0.375,0),0)</f>
        <v>0</v>
      </c>
      <c r="AP35" s="142"/>
      <c r="AQ35" s="94">
        <f ca="1">TblProd[[#This Row],[Platinum]]</f>
        <v>101682</v>
      </c>
      <c r="AR35" s="94">
        <f ca="1">INDEX(TblProd[[#Headers],[Lumber]]:TblProd[[#This Row],[Ore]],COUNTA(TblProd[[#Headers],[Lumber]]:TblProd[[#This Row],[Lumber]]),MATCH(Military!$AR$2,TblProd[[#Headers],[Lumber]:[Ore]],0))</f>
        <v>0</v>
      </c>
      <c r="AS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5" s="94">
        <f ca="1">TblMili[[#This Row],[Train Unit 1]]*TblMili[[#This Row],[OP Ore]]+TblMili[[#This Row],[Train Unit 2]]*TblMili[[#This Row],[DP Ore]]+TblMili[[#This Row],[Train Unit 3]]*TblMili[[#This Row],[E1 Ore]]+TblMili[[#This Row],[Train Unit 4]]*TblMili[[#This Row],[E2 Ore]]</f>
        <v>0</v>
      </c>
      <c r="AU35" s="142">
        <f>TblMili[[#This Row],[Hour]]</f>
        <v>32</v>
      </c>
      <c r="AV35" s="152">
        <f ca="1">TblMili[[#This Row],[Time]]</f>
        <v>46048.291666666591</v>
      </c>
      <c r="AW35" s="94">
        <f ca="1">TblMili[[#This Row],[Draftees]]</f>
        <v>342</v>
      </c>
      <c r="AX35" s="179"/>
      <c r="AY35" s="179"/>
      <c r="AZ35" s="179"/>
      <c r="BA35" s="179"/>
      <c r="BB35" s="179"/>
      <c r="BC35" s="179"/>
      <c r="BD35" s="179"/>
      <c r="BE35" s="179"/>
      <c r="BF35" s="179"/>
      <c r="BG35" s="142"/>
      <c r="BH35" s="157">
        <f ca="1">TblConstr[[#This Row],[Tot WG]]/TblConstr[[#This Row],[Land]]</f>
        <v>0</v>
      </c>
      <c r="BI35" s="157">
        <f ca="1">TblConstr[[#This Row],[Tot Hav]]/TblConstr[[#This Row],[Land]]</f>
        <v>0</v>
      </c>
      <c r="BJ35" s="94">
        <f ca="1">ROUNDUP((1-MIN(TblMili[[#This Row],[Smithies]]*smithy_bonus,smithy_bonus_cap) + tech_3_5*TblTech[[#This Row],[3-5]] + tech_5_3*TblTech[[#This Row],[5-3]] + tech_5_5*TblTech[[#This Row],[5-5]])*spec_op_plat,0)</f>
        <v>275</v>
      </c>
      <c r="BK35" s="94">
        <f ca="1">ROUNDUP(IF(race="Gnome",1,(1-MIN(TblMili[[#This Row],[Smithies]]*smithy_bonus,smithy_bonus_cap) + tech_3_5*TblTech[[#This Row],[3-5]] + tech_5_3*TblTech[[#This Row],[5-3]] + tech_5_5*TblTech[[#This Row],[5-5]]))*spec_op_ore,0)</f>
        <v>25</v>
      </c>
      <c r="BL35" s="94">
        <f ca="1">ROUNDUP((1-MIN(TblMili[[#This Row],[Smithies]]*smithy_bonus,smithy_bonus_cap) + tech_3_5*TblTech[[#This Row],[3-5]] + tech_5_3*TblTech[[#This Row],[5-3]] + tech_5_5*TblTech[[#This Row],[5-5]])*spec_dp_plat,0)</f>
        <v>275</v>
      </c>
      <c r="BM35" s="94">
        <f ca="1">ROUNDUP(IF(race="Gnome",1,(1-MIN(TblMili[[#This Row],[Smithies]]*smithy_bonus,smithy_bonus_cap) + tech_3_5*TblTech[[#This Row],[3-5]] + tech_5_3*TblTech[[#This Row],[5-3]] + tech_5_5*TblTech[[#This Row],[5-5]]))*spec_dp_ore,0)</f>
        <v>15</v>
      </c>
      <c r="BN35" s="94">
        <f ca="1">ROUNDUP((1-MIN(TblMili[[#This Row],[Smithies]]*smithy_bonus,smithy_bonus_cap) + tech_3_5*TblTech[[#This Row],[3-5]] + tech_5_3*TblTech[[#This Row],[5-3]] + tech_5_5*TblTech[[#This Row],[5-5]])*elite1_plat,0)</f>
        <v>1040</v>
      </c>
      <c r="BO35" s="94">
        <f ca="1">ROUNDUP(IF(race="Gnome",1,(1-MIN(TblMili[[#This Row],[Smithies]]*smithy_bonus,smithy_bonus_cap) + tech_3_5*TblTech[[#This Row],[3-5]] + tech_5_3*TblTech[[#This Row],[5-3]] + tech_5_5*TblTech[[#This Row],[5-5]]))*elite1_ore,0)</f>
        <v>75</v>
      </c>
      <c r="BP35" s="94">
        <f ca="1">ROUNDUP((1-MIN(TblMili[[#This Row],[Smithies]]*smithy_bonus,smithy_bonus_cap) + tech_3_5*TblTech[[#This Row],[3-5]] + tech_5_3*TblTech[[#This Row],[5-3]] + tech_5_5*TblTech[[#This Row],[5-5]])*elite2_plat,0)</f>
        <v>1280</v>
      </c>
      <c r="BQ35" s="94">
        <f ca="1">ROUNDUP(IF(race="Gnome",1,(1-MIN(TblMili[[#This Row],[Smithies]]*smithy_bonus,smithy_bonus_cap) + tech_3_5*TblTech[[#This Row],[3-5]] + tech_5_3*TblTech[[#This Row],[5-3]] + tech_5_5*TblTech[[#This Row],[5-5]]))*elite2_ore,0)</f>
        <v>100</v>
      </c>
      <c r="BR35" s="94">
        <f ca="1">ROUNDUP((1-MIN(ROUND(fh_spy_cost_red*TblMili[[#This Row],[FH''s]],4),fh_spy_cost_cap)+ tech_1_9*TblTech[[#This Row],[1-9]] + tech_9_1*TblTech[[#This Row],[9-1]])*spy_plat,0)</f>
        <v>500</v>
      </c>
      <c r="BS35" s="94">
        <f ca="1">ROUNDUP((1-MIN(ROUND(fh_spy_cost_red*TblMili[[#This Row],[FH''s]],4),fh_spy_cost_cap)+ tech_1_9*TblTech[[#This Row],[1-9]] + tech_9_1*TblTech[[#This Row],[9-1]])*archspy_plat,0)</f>
        <v>1000</v>
      </c>
      <c r="BT35" s="94">
        <f ca="1">ROUNDUP((1-MIN(ROUND(wg_wiz_cost_bonus*TblMili[[#This Row],[WG''s]],4),wg_wiz_cost_cap) + tech_1_9_2*TblTech[[#This Row],[1-9]] + tech_9_1_2*TblTech[[#This Row],[9-1]])*wizard_plat,0)</f>
        <v>500</v>
      </c>
      <c r="BU35" s="94">
        <f ca="1">ROUNDUP((1-MIN(ROUND(wg_wiz_cost_bonus*TblMili[[#This Row],[WG''s]],4),wg_wiz_cost_cap) + tech_1_9_2*TblTech[[#This Row],[1-9]] + tech_9_1_2*TblTech[[#This Row],[9-1]])*archmage_plat,0)</f>
        <v>1000</v>
      </c>
      <c r="BV35" s="142"/>
      <c r="BW35" s="157">
        <f ca="1">TblConstr[[#This Row],[Homeland]]/TblConstr[[#This Row],[Land]]</f>
        <v>0.81818181818181823</v>
      </c>
      <c r="BX35" s="157">
        <f ca="1">TblMili[[#This Row],[WG''s]]</f>
        <v>0</v>
      </c>
      <c r="BY35" s="251">
        <f ca="1">IF(mystic_cap="none",TblMili[[#This Row],[Homeland%]]/mystic_bonus,MIN(mystic_cap,TblMili[[#This Row],[Homeland%]]/mystic_bonus))</f>
        <v>2</v>
      </c>
      <c r="BZ35" s="251">
        <f ca="1">IF(druid_op_cap="none",TblMili[[#This Row],[Homeland%]]/druid_op_bonus,MIN(druid_op_cap,TblMili[[#This Row],[Homeland%]]/druid_op_bonus))</f>
        <v>2</v>
      </c>
      <c r="CA35" s="251">
        <f ca="1">IF(druid_dp_cap="none",TblMili[[#This Row],[Homeland%]]/druid_dp_bonus,MIN(druid_dp_cap,TblMili[[#This Row],[Homeland%]]/druid_dp_bonus))</f>
        <v>2</v>
      </c>
      <c r="CB35" s="251">
        <f ca="1">MIN(dryad_cap,TblMili[[#This Row],[Homeland%]]/dryad_bonus)</f>
        <v>4</v>
      </c>
      <c r="CC35" s="251">
        <f ca="1">MIN(rocka_cap,TblMili[[#This Row],[Homeland%]]/rocka_bonus)</f>
        <v>2</v>
      </c>
      <c r="CD35" s="251">
        <f ca="1">MIN(adept_op_cap,TblMili[[#This Row],[WG]]/adept_op_bonus)</f>
        <v>0</v>
      </c>
      <c r="CE35" s="251">
        <f ca="1">MIN(adept_dp_cap,TblMili[[#This Row],[WG]]/adept_dp_bonus)</f>
        <v>0</v>
      </c>
      <c r="CF35" s="94">
        <f ca="1">MIN(TblMili[[#This Row],[Unit 3]],TblMili[[#This Row],[Unit 2]])*2</f>
        <v>0</v>
      </c>
      <c r="CG35" s="94">
        <f ca="1">MIN(TblMili[[#This Row],[Unit 1]],TblMili[[#This Row],[Unit 4]])*2</f>
        <v>0</v>
      </c>
      <c r="CH35" s="251">
        <f ca="1">MIN(frost_mage_cap,TblMili[[#This Row],[Homeland%]]/frost_mage_bonus)</f>
        <v>3</v>
      </c>
      <c r="CI35" s="45">
        <f ca="1">MIN(ice_elem_cap,TblMili[[#This Row],[Raw (2)]]*ice_elem_bonus)</f>
        <v>0</v>
      </c>
      <c r="CJ35" s="251">
        <f t="shared" si="0"/>
        <v>0.83333333333333337</v>
      </c>
      <c r="CK35" s="251">
        <f ca="1">MIN(nox_nightshade_cap,TblConstr[[#This Row],[Homeland]]/TblConstr[[#This Row],[Land]]/nox_nightshade_swamp_bonus)</f>
        <v>4</v>
      </c>
      <c r="CL35" s="251">
        <f ca="1">MIN(TblConstr[[#This Row],[Total Swamp]]/TblConstr[[#This Row],[Land]]/abyss_enforce_bonus,abyss_enforcer_cap)</f>
        <v>0</v>
      </c>
      <c r="CM35" s="251">
        <f ca="1">IF(TblMagic[[#This Row],[Active Infernal Command]]&gt;0,TblMili[[#This Row],[Unit 1]]*infernal_cmd_op,0)</f>
        <v>0</v>
      </c>
      <c r="CN35" s="252"/>
      <c r="CO35" s="252"/>
      <c r="CP35" s="252"/>
      <c r="CQ35" s="251">
        <f ca="1">MIN(6,TblMili[[#This Row],[Mystic]]+Races!$F$19)*1.8 +  IF(TblMili[[#This Row],[Mystic]]+Races!$F$19&gt;6,(TblMili[[#This Row],[Mystic]]+Races!$F$19-6)*0.2,0) - Races!$I$19</f>
        <v>1</v>
      </c>
      <c r="CR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5" s="94">
        <f ca="1">TblMili[[#This Row],[Mystic bonus]]*TblMili[[#This Row],[Unit 3]]+TblMili[[#This Row],[Druid bonus]]*TblMili[[#This Row],[Unit 4]]</f>
        <v>0</v>
      </c>
      <c r="CT35" s="155">
        <f ca="1">MIN(6,TblMili[[#This Row],[Dryad]]+Races!$F$35)*1.8 +  IF(TblMili[[#This Row],[Dryad]]+Races!$F$35&gt;6,(TblMili[[#This Row],[Dryad]]+Races!$F$35-6)*0.2,0) - Races!$I$19</f>
        <v>1</v>
      </c>
      <c r="CU35" s="94">
        <f ca="1">sylvan*(TblMili[[#This Row],[Mystic bonus]]*TblMili[[#This Row],[Unit 3]])</f>
        <v>0</v>
      </c>
      <c r="CV35" s="155">
        <f ca="1">1.8 * MIN(MAX(Races!$E$27,TblMili[[#This Row],[Rockapult]]+Races!$F$27),6)  +  0.45 * MIN(MIN(Races!$E$27,TblMili[[#This Row],[Rockapult]]+Races!$F$27),6)  +  0.2 * ( MAX(Races!$E$27-6,0) + MAX(TblMili[[#This Row],[Rockapult]]+Races!$F$27-6,0) )  -  Races!$I$20</f>
        <v>3.7000000000000011</v>
      </c>
      <c r="CW35" s="94">
        <f ca="1">gnome*(TblMili[[#This Row],[Rockapult bonus]]*TblMili[[#This Row],[Unit 3]])</f>
        <v>0</v>
      </c>
      <c r="CX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5" s="94">
        <f ca="1">dark_elf*(TblMili[[#This Row],[Adept bonus]]*TblMili[[#This Row],[Unit 3]])</f>
        <v>0</v>
      </c>
      <c r="CZ35" s="155">
        <f ca="1">1.8 * MIN(MAX(TblMili[[#This Row],[Frost Mage]]+Races!$F$71,Races!$E$71),6)  +  0.45 * MIN(MIN(TblMili[[#This Row],[Frost Mage]]+Races!$F$71,Races!$E$71),6)  +  0.2 * ( MAX(TblMili[[#This Row],[Frost Mage]]+Races!$F$71-6,0) + MAX(Races!$E$71-6,0) )  -  Races!$I$71</f>
        <v>6.15</v>
      </c>
      <c r="DA35" s="155">
        <f ca="1">1.8 * MIN(MAX(TblMili[[#This Row],[Ice Elemental]]+Races!$E$71,Races!$F$71),6)  +  0.45 * MIN(MIN(TblMili[[#This Row],[Ice Elemental]]+Races!$E$71,Races!$F$71),6)  +  0.2 * ( MAX(TblMili[[#This Row],[Ice Elemental]]+Races!$E$71-6,0) + MAX(Races!$F$71-6,0) )  -  Races!$I$71</f>
        <v>0.75</v>
      </c>
      <c r="DB35" s="94">
        <f ca="1">TblMili[[#This Row],[Frost Mage bonus]]*TblMili[[#This Row],[Unit 3]]+TblMili[[#This Row],[Ice Elemental bonus]]*TblMili[[#This Row],[Unit 4]]</f>
        <v>0</v>
      </c>
      <c r="DC35" s="253"/>
      <c r="DD35" s="143">
        <f ca="1">MIN(SUM(TblConstr[[#This Row],[Plain]:[Water]])/TblMili[[#This Row],[Land]]/favorable_terrain_bonus/100,favorable_terrain_max)</f>
        <v>0.1</v>
      </c>
      <c r="DE35" s="253"/>
      <c r="DF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5" s="142"/>
      <c r="DH35" s="254">
        <f ca="1">(TblMili[[#This Row],[Wizards]]+2*TblMili[[#This Row],[Archmages]])/TblConstr[[#This Row],[Land]]</f>
        <v>0</v>
      </c>
      <c r="DI35" s="254">
        <f ca="1">TblMili[[#This Row],[Raw (2)]]*(1+race_wizard_strength+IF(TblMili[[#This Row],[Hour]]&gt;72,tech_magical_weaponry_wiz*TblTech[[#This Row],[3-5]],0))</f>
        <v>0</v>
      </c>
    </row>
    <row r="36" spans="1:113" x14ac:dyDescent="0.2">
      <c r="A36" s="137">
        <f>TblRezone[[#This Row],[Hour]]</f>
        <v>33</v>
      </c>
      <c r="B36" s="246">
        <f ca="1">SUM(TblMili[[#This Row],[Unit 1]:[Archmages]])+SUM(OFFSET(TblMili[[#This Row],[Train Unit 1]],-8,0):TblMili[[#This Row],[Train Unit 2]]) + SUM(OFFSET(TblMili[[#This Row],[Train Unit 3]],-11,0):TblMili[[#This Row],[Train AM]]) + TblMili[[#This Row],[Draftees]]</f>
        <v>349</v>
      </c>
      <c r="C36" s="157">
        <f ca="1">TblPop[[#This Row],[Military%]]</f>
        <v>0.32434944237918217</v>
      </c>
      <c r="D36" s="142"/>
      <c r="E36" s="45">
        <f ca="1">OFFSET(TblMili[[#This Row],[Unit 1]],-1,0) + OFFSET(TblMili[[#This Row],[Train Unit 1]],-9,0) - TblMili[[#This Row],[Release Unit 1]] + OFFSET(TblMili[[#This Row],[DnD_Zombies]],-12,0)</f>
        <v>0</v>
      </c>
      <c r="F36" s="45">
        <f ca="1">OFFSET(TblMili[[#This Row],[Unit 2]],-1,0) + OFFSET(TblMili[[#This Row],[Train Unit 2]],-9,0)-TblMili[[#This Row],[Release Unit 2]]</f>
        <v>0</v>
      </c>
      <c r="G36" s="45">
        <f ca="1">OFFSET(TblMili[[#This Row],[Unit 3]],-1,0) + OFFSET(TblMili[[#This Row],[Train Unit 3]],-12,0)-TblMili[[#This Row],[Release Unit 3]]</f>
        <v>0</v>
      </c>
      <c r="H36" s="45">
        <f ca="1">OFFSET(TblMili[[#This Row],[Unit 4]],-1,0) + OFFSET(TblMili[[#This Row],[Train Unit 4]],-12,0)-TblMili[[#This Row],[Release Unit 4]]</f>
        <v>0</v>
      </c>
      <c r="I36" s="45">
        <f ca="1">OFFSET(TblMili[[#This Row],[Spies]],-1,0) + OFFSET(TblMili[[#This Row],[Train Spies]],-12,0) - TblMili[[#This Row],[Release Spies]]-TblMili[[#This Row],[Train AS]]</f>
        <v>0</v>
      </c>
      <c r="J36" s="45">
        <f ca="1">OFFSET(TblMili[[#This Row],[Archspies]],-1,0) + OFFSET(TblMili[[#This Row],[Train AS]],-12,0) - TblMili[[#This Row],[Release AS]]</f>
        <v>0</v>
      </c>
      <c r="K36" s="45">
        <f ca="1">OFFSET(TblMili[[#This Row],[Wizards]],-1,0) + OFFSET(TblMili[[#This Row],[Train Wiz]],-12,0) - TblMili[[#This Row],[Release Wizards]]-TblMili[[#This Row],[Train AM]]</f>
        <v>0</v>
      </c>
      <c r="L36" s="45">
        <f ca="1">OFFSET(TblMili[[#This Row],[Archmages]],-1,0) + OFFSET(TblMili[[#This Row],[Train AM]],-12,0) - TblMili[[#This Row],[Release AM]]</f>
        <v>0</v>
      </c>
      <c r="M36" s="142"/>
      <c r="N36" s="94">
        <f ca="1">TblProd[[#This Row],[Networth]]</f>
        <v>2450</v>
      </c>
      <c r="O36" s="142"/>
      <c r="P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6" s="247">
        <f ca="1">TblMili[[#This Row],[Raw]]*(1+TblMili[[#This Row],[Mods_Off]])</f>
        <v>0</v>
      </c>
      <c r="S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6" s="247">
        <f ca="1">TblMili[[#This Row],[Non Draft]]+TblMili[[#This Row],[Draftees]]</f>
        <v>349</v>
      </c>
      <c r="U36" s="248">
        <f ca="1">race_defense + TblImps[[#This Row],[Walls]] + ROUND( MIN(gt_bonus*TblConstr[[#This Row],[Tot GT]]/TblConstr[[#This Row],[Land]],gt_bonus_cap), 4) + IF(TblMagic[[#This Row],[Active Howling]]&gt;0,howling_dp_bonus,IF(TblMagic[[#This Row],[Active Ares Call]]&gt;0,ares_call_bonus))</f>
        <v>0</v>
      </c>
      <c r="V36" s="249">
        <f ca="1">TblMili[[#This Row],[Non Draft]] * (1 + TblMili[[#This Row],[Mods_Def]])</f>
        <v>0</v>
      </c>
      <c r="W36" s="247">
        <f ca="1">TblMili[[#This Row],[Draft]] * (1 + TblMili[[#This Row],[Mods_Def]])</f>
        <v>349</v>
      </c>
      <c r="X36" s="247">
        <f ca="1">TblConstr[[#This Row],[Land]]</f>
        <v>110</v>
      </c>
      <c r="Y36" s="250"/>
      <c r="Z36" s="255">
        <f ca="1">IF(TblMili[[#This Row],[Set]]&lt;&gt;"",TblMili[[#This Row],[Set]],OFFSET(TblMili[[#This Row],[Draftrate]],-1,0))</f>
        <v>0.9</v>
      </c>
      <c r="AA36" s="94">
        <f ca="1">OFFSET(TblMili[[#This Row],[Draftees]],-1,0)+OFFSET(TblPop[[#This Row],[Draft Growth]],-1,0) - SUM(TblMili[[#This Row],[Train Unit 1]:[Train Spies]],TblMili[[#This Row],[Train Wiz]],TblMili[[#This Row],[DnD_Zombies]]) - TblMili[[#This Row],[Release Draft]] + SUM(TblMili[[#This Row],[Release Unit 1]:[Release AM]]) - TblExplore[[#This Row],[Draftees (2)]]</f>
        <v>349</v>
      </c>
      <c r="AB36" s="154"/>
      <c r="AC36" s="180">
        <f ca="1">(TblConstr[[#This Row],[Tot Smi]]+TblConstr[[#This Row],[Dest Smi]])/(TblConstr[[#This Row],[Land]]-TblExplore[[#This Row],[Land Bonus]]*20)</f>
        <v>0</v>
      </c>
      <c r="AD36" s="137"/>
      <c r="AE36" s="246">
        <f>TblMili[[#This Row],[Hour]]</f>
        <v>33</v>
      </c>
      <c r="AF36" s="138">
        <f ca="1">TblExplore[[#This Row],[Time]]</f>
        <v>46048.333333333256</v>
      </c>
      <c r="AG36" s="179"/>
      <c r="AH36" s="179"/>
      <c r="AI36" s="179"/>
      <c r="AJ36" s="179"/>
      <c r="AK36" s="179"/>
      <c r="AL36" s="179"/>
      <c r="AM36" s="179"/>
      <c r="AN36" s="179"/>
      <c r="AO36" s="420">
        <f ca="1">ROUND(IF(AND(TblMagic[[#This Row],[Active DnD]]&lt;12,TblMagic[[#This Row],[Active DnD]]&gt;5),OFFSET(TblPop[[#This Row],[Draft Growth]],-1,0)*0.375,0),0)</f>
        <v>0</v>
      </c>
      <c r="AP36" s="142"/>
      <c r="AQ36" s="94">
        <f ca="1">TblProd[[#This Row],[Platinum]]</f>
        <v>103663</v>
      </c>
      <c r="AR36" s="94">
        <f ca="1">INDEX(TblProd[[#Headers],[Lumber]]:TblProd[[#This Row],[Ore]],COUNTA(TblProd[[#Headers],[Lumber]]:TblProd[[#This Row],[Lumber]]),MATCH(Military!$AR$2,TblProd[[#Headers],[Lumber]:[Ore]],0))</f>
        <v>0</v>
      </c>
      <c r="AS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6" s="94">
        <f ca="1">TblMili[[#This Row],[Train Unit 1]]*TblMili[[#This Row],[OP Ore]]+TblMili[[#This Row],[Train Unit 2]]*TblMili[[#This Row],[DP Ore]]+TblMili[[#This Row],[Train Unit 3]]*TblMili[[#This Row],[E1 Ore]]+TblMili[[#This Row],[Train Unit 4]]*TblMili[[#This Row],[E2 Ore]]</f>
        <v>0</v>
      </c>
      <c r="AU36" s="142">
        <f>TblMili[[#This Row],[Hour]]</f>
        <v>33</v>
      </c>
      <c r="AV36" s="152">
        <f ca="1">TblMili[[#This Row],[Time]]</f>
        <v>46048.333333333256</v>
      </c>
      <c r="AW36" s="94">
        <f ca="1">TblMili[[#This Row],[Draftees]]</f>
        <v>349</v>
      </c>
      <c r="AX36" s="179"/>
      <c r="AY36" s="179"/>
      <c r="AZ36" s="179"/>
      <c r="BA36" s="179"/>
      <c r="BB36" s="179"/>
      <c r="BC36" s="179"/>
      <c r="BD36" s="179"/>
      <c r="BE36" s="179"/>
      <c r="BF36" s="179"/>
      <c r="BG36" s="142"/>
      <c r="BH36" s="157">
        <f ca="1">TblConstr[[#This Row],[Tot WG]]/TblConstr[[#This Row],[Land]]</f>
        <v>0</v>
      </c>
      <c r="BI36" s="157">
        <f ca="1">TblConstr[[#This Row],[Tot Hav]]/TblConstr[[#This Row],[Land]]</f>
        <v>0</v>
      </c>
      <c r="BJ36" s="94">
        <f ca="1">ROUNDUP((1-MIN(TblMili[[#This Row],[Smithies]]*smithy_bonus,smithy_bonus_cap) + tech_3_5*TblTech[[#This Row],[3-5]] + tech_5_3*TblTech[[#This Row],[5-3]] + tech_5_5*TblTech[[#This Row],[5-5]])*spec_op_plat,0)</f>
        <v>275</v>
      </c>
      <c r="BK36" s="94">
        <f ca="1">ROUNDUP(IF(race="Gnome",1,(1-MIN(TblMili[[#This Row],[Smithies]]*smithy_bonus,smithy_bonus_cap) + tech_3_5*TblTech[[#This Row],[3-5]] + tech_5_3*TblTech[[#This Row],[5-3]] + tech_5_5*TblTech[[#This Row],[5-5]]))*spec_op_ore,0)</f>
        <v>25</v>
      </c>
      <c r="BL36" s="94">
        <f ca="1">ROUNDUP((1-MIN(TblMili[[#This Row],[Smithies]]*smithy_bonus,smithy_bonus_cap) + tech_3_5*TblTech[[#This Row],[3-5]] + tech_5_3*TblTech[[#This Row],[5-3]] + tech_5_5*TblTech[[#This Row],[5-5]])*spec_dp_plat,0)</f>
        <v>275</v>
      </c>
      <c r="BM36" s="94">
        <f ca="1">ROUNDUP(IF(race="Gnome",1,(1-MIN(TblMili[[#This Row],[Smithies]]*smithy_bonus,smithy_bonus_cap) + tech_3_5*TblTech[[#This Row],[3-5]] + tech_5_3*TblTech[[#This Row],[5-3]] + tech_5_5*TblTech[[#This Row],[5-5]]))*spec_dp_ore,0)</f>
        <v>15</v>
      </c>
      <c r="BN36" s="94">
        <f ca="1">ROUNDUP((1-MIN(TblMili[[#This Row],[Smithies]]*smithy_bonus,smithy_bonus_cap) + tech_3_5*TblTech[[#This Row],[3-5]] + tech_5_3*TblTech[[#This Row],[5-3]] + tech_5_5*TblTech[[#This Row],[5-5]])*elite1_plat,0)</f>
        <v>1040</v>
      </c>
      <c r="BO36" s="94">
        <f ca="1">ROUNDUP(IF(race="Gnome",1,(1-MIN(TblMili[[#This Row],[Smithies]]*smithy_bonus,smithy_bonus_cap) + tech_3_5*TblTech[[#This Row],[3-5]] + tech_5_3*TblTech[[#This Row],[5-3]] + tech_5_5*TblTech[[#This Row],[5-5]]))*elite1_ore,0)</f>
        <v>75</v>
      </c>
      <c r="BP36" s="94">
        <f ca="1">ROUNDUP((1-MIN(TblMili[[#This Row],[Smithies]]*smithy_bonus,smithy_bonus_cap) + tech_3_5*TblTech[[#This Row],[3-5]] + tech_5_3*TblTech[[#This Row],[5-3]] + tech_5_5*TblTech[[#This Row],[5-5]])*elite2_plat,0)</f>
        <v>1280</v>
      </c>
      <c r="BQ36" s="94">
        <f ca="1">ROUNDUP(IF(race="Gnome",1,(1-MIN(TblMili[[#This Row],[Smithies]]*smithy_bonus,smithy_bonus_cap) + tech_3_5*TblTech[[#This Row],[3-5]] + tech_5_3*TblTech[[#This Row],[5-3]] + tech_5_5*TblTech[[#This Row],[5-5]]))*elite2_ore,0)</f>
        <v>100</v>
      </c>
      <c r="BR36" s="94">
        <f ca="1">ROUNDUP((1-MIN(ROUND(fh_spy_cost_red*TblMili[[#This Row],[FH''s]],4),fh_spy_cost_cap)+ tech_1_9*TblTech[[#This Row],[1-9]] + tech_9_1*TblTech[[#This Row],[9-1]])*spy_plat,0)</f>
        <v>500</v>
      </c>
      <c r="BS36" s="94">
        <f ca="1">ROUNDUP((1-MIN(ROUND(fh_spy_cost_red*TblMili[[#This Row],[FH''s]],4),fh_spy_cost_cap)+ tech_1_9*TblTech[[#This Row],[1-9]] + tech_9_1*TblTech[[#This Row],[9-1]])*archspy_plat,0)</f>
        <v>1000</v>
      </c>
      <c r="BT36" s="94">
        <f ca="1">ROUNDUP((1-MIN(ROUND(wg_wiz_cost_bonus*TblMili[[#This Row],[WG''s]],4),wg_wiz_cost_cap) + tech_1_9_2*TblTech[[#This Row],[1-9]] + tech_9_1_2*TblTech[[#This Row],[9-1]])*wizard_plat,0)</f>
        <v>500</v>
      </c>
      <c r="BU36" s="94">
        <f ca="1">ROUNDUP((1-MIN(ROUND(wg_wiz_cost_bonus*TblMili[[#This Row],[WG''s]],4),wg_wiz_cost_cap) + tech_1_9_2*TblTech[[#This Row],[1-9]] + tech_9_1_2*TblTech[[#This Row],[9-1]])*archmage_plat,0)</f>
        <v>1000</v>
      </c>
      <c r="BV36" s="142"/>
      <c r="BW36" s="157">
        <f ca="1">TblConstr[[#This Row],[Homeland]]/TblConstr[[#This Row],[Land]]</f>
        <v>0.81818181818181823</v>
      </c>
      <c r="BX36" s="157">
        <f ca="1">TblMili[[#This Row],[WG''s]]</f>
        <v>0</v>
      </c>
      <c r="BY36" s="251">
        <f ca="1">IF(mystic_cap="none",TblMili[[#This Row],[Homeland%]]/mystic_bonus,MIN(mystic_cap,TblMili[[#This Row],[Homeland%]]/mystic_bonus))</f>
        <v>2</v>
      </c>
      <c r="BZ36" s="251">
        <f ca="1">IF(druid_op_cap="none",TblMili[[#This Row],[Homeland%]]/druid_op_bonus,MIN(druid_op_cap,TblMili[[#This Row],[Homeland%]]/druid_op_bonus))</f>
        <v>2</v>
      </c>
      <c r="CA36" s="251">
        <f ca="1">IF(druid_dp_cap="none",TblMili[[#This Row],[Homeland%]]/druid_dp_bonus,MIN(druid_dp_cap,TblMili[[#This Row],[Homeland%]]/druid_dp_bonus))</f>
        <v>2</v>
      </c>
      <c r="CB36" s="251">
        <f ca="1">MIN(dryad_cap,TblMili[[#This Row],[Homeland%]]/dryad_bonus)</f>
        <v>4</v>
      </c>
      <c r="CC36" s="251">
        <f ca="1">MIN(rocka_cap,TblMili[[#This Row],[Homeland%]]/rocka_bonus)</f>
        <v>2</v>
      </c>
      <c r="CD36" s="251">
        <f ca="1">MIN(adept_op_cap,TblMili[[#This Row],[WG]]/adept_op_bonus)</f>
        <v>0</v>
      </c>
      <c r="CE36" s="251">
        <f ca="1">MIN(adept_dp_cap,TblMili[[#This Row],[WG]]/adept_dp_bonus)</f>
        <v>0</v>
      </c>
      <c r="CF36" s="94">
        <f ca="1">MIN(TblMili[[#This Row],[Unit 3]],TblMili[[#This Row],[Unit 2]])*2</f>
        <v>0</v>
      </c>
      <c r="CG36" s="94">
        <f ca="1">MIN(TblMili[[#This Row],[Unit 1]],TblMili[[#This Row],[Unit 4]])*2</f>
        <v>0</v>
      </c>
      <c r="CH36" s="251">
        <f ca="1">MIN(frost_mage_cap,TblMili[[#This Row],[Homeland%]]/frost_mage_bonus)</f>
        <v>3</v>
      </c>
      <c r="CI36" s="45">
        <f ca="1">MIN(ice_elem_cap,TblMili[[#This Row],[Raw (2)]]*ice_elem_bonus)</f>
        <v>0</v>
      </c>
      <c r="CJ36" s="251">
        <f t="shared" ref="CJ36:CJ67" si="2">MIN(bone_breaker_cap,250/bone_breaker_bonus)</f>
        <v>0.83333333333333337</v>
      </c>
      <c r="CK36" s="251">
        <f ca="1">MIN(nox_nightshade_cap,TblConstr[[#This Row],[Homeland]]/TblConstr[[#This Row],[Land]]/nox_nightshade_swamp_bonus)</f>
        <v>4</v>
      </c>
      <c r="CL36" s="251">
        <f ca="1">MIN(TblConstr[[#This Row],[Total Swamp]]/TblConstr[[#This Row],[Land]]/abyss_enforce_bonus,abyss_enforcer_cap)</f>
        <v>0</v>
      </c>
      <c r="CM36" s="251">
        <f ca="1">IF(TblMagic[[#This Row],[Active Infernal Command]]&gt;0,TblMili[[#This Row],[Unit 1]]*infernal_cmd_op,0)</f>
        <v>0</v>
      </c>
      <c r="CN36" s="252"/>
      <c r="CO36" s="252"/>
      <c r="CP36" s="252"/>
      <c r="CQ36" s="251">
        <f ca="1">MIN(6,TblMili[[#This Row],[Mystic]]+Races!$F$19)*1.8 +  IF(TblMili[[#This Row],[Mystic]]+Races!$F$19&gt;6,(TblMili[[#This Row],[Mystic]]+Races!$F$19-6)*0.2,0) - Races!$I$19</f>
        <v>1</v>
      </c>
      <c r="CR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6" s="94">
        <f ca="1">TblMili[[#This Row],[Mystic bonus]]*TblMili[[#This Row],[Unit 3]]+TblMili[[#This Row],[Druid bonus]]*TblMili[[#This Row],[Unit 4]]</f>
        <v>0</v>
      </c>
      <c r="CT36" s="155">
        <f ca="1">MIN(6,TblMili[[#This Row],[Dryad]]+Races!$F$35)*1.8 +  IF(TblMili[[#This Row],[Dryad]]+Races!$F$35&gt;6,(TblMili[[#This Row],[Dryad]]+Races!$F$35-6)*0.2,0) - Races!$I$19</f>
        <v>1</v>
      </c>
      <c r="CU36" s="94">
        <f ca="1">sylvan*(TblMili[[#This Row],[Mystic bonus]]*TblMili[[#This Row],[Unit 3]])</f>
        <v>0</v>
      </c>
      <c r="CV36" s="155">
        <f ca="1">1.8 * MIN(MAX(Races!$E$27,TblMili[[#This Row],[Rockapult]]+Races!$F$27),6)  +  0.45 * MIN(MIN(Races!$E$27,TblMili[[#This Row],[Rockapult]]+Races!$F$27),6)  +  0.2 * ( MAX(Races!$E$27-6,0) + MAX(TblMili[[#This Row],[Rockapult]]+Races!$F$27-6,0) )  -  Races!$I$20</f>
        <v>3.7000000000000011</v>
      </c>
      <c r="CW36" s="94">
        <f ca="1">gnome*(TblMili[[#This Row],[Rockapult bonus]]*TblMili[[#This Row],[Unit 3]])</f>
        <v>0</v>
      </c>
      <c r="CX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6" s="94">
        <f ca="1">dark_elf*(TblMili[[#This Row],[Adept bonus]]*TblMili[[#This Row],[Unit 3]])</f>
        <v>0</v>
      </c>
      <c r="CZ36" s="155">
        <f ca="1">1.8 * MIN(MAX(TblMili[[#This Row],[Frost Mage]]+Races!$F$71,Races!$E$71),6)  +  0.45 * MIN(MIN(TblMili[[#This Row],[Frost Mage]]+Races!$F$71,Races!$E$71),6)  +  0.2 * ( MAX(TblMili[[#This Row],[Frost Mage]]+Races!$F$71-6,0) + MAX(Races!$E$71-6,0) )  -  Races!$I$71</f>
        <v>6.15</v>
      </c>
      <c r="DA36" s="155">
        <f ca="1">1.8 * MIN(MAX(TblMili[[#This Row],[Ice Elemental]]+Races!$E$71,Races!$F$71),6)  +  0.45 * MIN(MIN(TblMili[[#This Row],[Ice Elemental]]+Races!$E$71,Races!$F$71),6)  +  0.2 * ( MAX(TblMili[[#This Row],[Ice Elemental]]+Races!$E$71-6,0) + MAX(Races!$F$71-6,0) )  -  Races!$I$71</f>
        <v>0.75</v>
      </c>
      <c r="DB36" s="94">
        <f ca="1">TblMili[[#This Row],[Frost Mage bonus]]*TblMili[[#This Row],[Unit 3]]+TblMili[[#This Row],[Ice Elemental bonus]]*TblMili[[#This Row],[Unit 4]]</f>
        <v>0</v>
      </c>
      <c r="DC36" s="253"/>
      <c r="DD36" s="143">
        <f ca="1">MIN(SUM(TblConstr[[#This Row],[Plain]:[Water]])/TblMili[[#This Row],[Land]]/favorable_terrain_bonus/100,favorable_terrain_max)</f>
        <v>0.1</v>
      </c>
      <c r="DE36" s="253"/>
      <c r="DF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6" s="142"/>
      <c r="DH36" s="254">
        <f ca="1">(TblMili[[#This Row],[Wizards]]+2*TblMili[[#This Row],[Archmages]])/TblConstr[[#This Row],[Land]]</f>
        <v>0</v>
      </c>
      <c r="DI36" s="254">
        <f ca="1">TblMili[[#This Row],[Raw (2)]]*(1+race_wizard_strength+IF(TblMili[[#This Row],[Hour]]&gt;72,tech_magical_weaponry_wiz*TblTech[[#This Row],[3-5]],0))</f>
        <v>0</v>
      </c>
    </row>
    <row r="37" spans="1:113" x14ac:dyDescent="0.2">
      <c r="A37" s="137">
        <f>TblRezone[[#This Row],[Hour]]</f>
        <v>34</v>
      </c>
      <c r="B37" s="246">
        <f ca="1">SUM(TblMili[[#This Row],[Unit 1]:[Archmages]])+SUM(OFFSET(TblMili[[#This Row],[Train Unit 1]],-8,0):TblMili[[#This Row],[Train Unit 2]]) + SUM(OFFSET(TblMili[[#This Row],[Train Unit 3]],-11,0):TblMili[[#This Row],[Train AM]]) + TblMili[[#This Row],[Draftees]]</f>
        <v>356</v>
      </c>
      <c r="C37" s="157">
        <f ca="1">TblPop[[#This Row],[Military%]]</f>
        <v>0.33085501858736061</v>
      </c>
      <c r="D37" s="142"/>
      <c r="E37" s="45">
        <f ca="1">OFFSET(TblMili[[#This Row],[Unit 1]],-1,0) + OFFSET(TblMili[[#This Row],[Train Unit 1]],-9,0) - TblMili[[#This Row],[Release Unit 1]] + OFFSET(TblMili[[#This Row],[DnD_Zombies]],-12,0)</f>
        <v>0</v>
      </c>
      <c r="F37" s="45">
        <f ca="1">OFFSET(TblMili[[#This Row],[Unit 2]],-1,0) + OFFSET(TblMili[[#This Row],[Train Unit 2]],-9,0)-TblMili[[#This Row],[Release Unit 2]]</f>
        <v>0</v>
      </c>
      <c r="G37" s="45">
        <f ca="1">OFFSET(TblMili[[#This Row],[Unit 3]],-1,0) + OFFSET(TblMili[[#This Row],[Train Unit 3]],-12,0)-TblMili[[#This Row],[Release Unit 3]]</f>
        <v>0</v>
      </c>
      <c r="H37" s="45">
        <f ca="1">OFFSET(TblMili[[#This Row],[Unit 4]],-1,0) + OFFSET(TblMili[[#This Row],[Train Unit 4]],-12,0)-TblMili[[#This Row],[Release Unit 4]]</f>
        <v>0</v>
      </c>
      <c r="I37" s="45">
        <f ca="1">OFFSET(TblMili[[#This Row],[Spies]],-1,0) + OFFSET(TblMili[[#This Row],[Train Spies]],-12,0) - TblMili[[#This Row],[Release Spies]]-TblMili[[#This Row],[Train AS]]</f>
        <v>0</v>
      </c>
      <c r="J37" s="45">
        <f ca="1">OFFSET(TblMili[[#This Row],[Archspies]],-1,0) + OFFSET(TblMili[[#This Row],[Train AS]],-12,0) - TblMili[[#This Row],[Release AS]]</f>
        <v>0</v>
      </c>
      <c r="K37" s="45">
        <f ca="1">OFFSET(TblMili[[#This Row],[Wizards]],-1,0) + OFFSET(TblMili[[#This Row],[Train Wiz]],-12,0) - TblMili[[#This Row],[Release Wizards]]-TblMili[[#This Row],[Train AM]]</f>
        <v>0</v>
      </c>
      <c r="L37" s="45">
        <f ca="1">OFFSET(TblMili[[#This Row],[Archmages]],-1,0) + OFFSET(TblMili[[#This Row],[Train AM]],-12,0) - TblMili[[#This Row],[Release AM]]</f>
        <v>0</v>
      </c>
      <c r="M37" s="142"/>
      <c r="N37" s="94">
        <f ca="1">TblProd[[#This Row],[Networth]]</f>
        <v>2450</v>
      </c>
      <c r="O37" s="142"/>
      <c r="P3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7" s="247">
        <f ca="1">TblMili[[#This Row],[Raw]]*(1+TblMili[[#This Row],[Mods_Off]])</f>
        <v>0</v>
      </c>
      <c r="S3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7" s="247">
        <f ca="1">TblMili[[#This Row],[Non Draft]]+TblMili[[#This Row],[Draftees]]</f>
        <v>356</v>
      </c>
      <c r="U37" s="248">
        <f ca="1">race_defense + TblImps[[#This Row],[Walls]] + ROUND( MIN(gt_bonus*TblConstr[[#This Row],[Tot GT]]/TblConstr[[#This Row],[Land]],gt_bonus_cap), 4) + IF(TblMagic[[#This Row],[Active Howling]]&gt;0,howling_dp_bonus,IF(TblMagic[[#This Row],[Active Ares Call]]&gt;0,ares_call_bonus))</f>
        <v>0</v>
      </c>
      <c r="V37" s="249">
        <f ca="1">TblMili[[#This Row],[Non Draft]] * (1 + TblMili[[#This Row],[Mods_Def]])</f>
        <v>0</v>
      </c>
      <c r="W37" s="247">
        <f ca="1">TblMili[[#This Row],[Draft]] * (1 + TblMili[[#This Row],[Mods_Def]])</f>
        <v>356</v>
      </c>
      <c r="X37" s="247">
        <f ca="1">TblConstr[[#This Row],[Land]]</f>
        <v>110</v>
      </c>
      <c r="Y37" s="250"/>
      <c r="Z37" s="255">
        <f ca="1">IF(TblMili[[#This Row],[Set]]&lt;&gt;"",TblMili[[#This Row],[Set]],OFFSET(TblMili[[#This Row],[Draftrate]],-1,0))</f>
        <v>0.9</v>
      </c>
      <c r="AA37" s="94">
        <f ca="1">OFFSET(TblMili[[#This Row],[Draftees]],-1,0)+OFFSET(TblPop[[#This Row],[Draft Growth]],-1,0) - SUM(TblMili[[#This Row],[Train Unit 1]:[Train Spies]],TblMili[[#This Row],[Train Wiz]],TblMili[[#This Row],[DnD_Zombies]]) - TblMili[[#This Row],[Release Draft]] + SUM(TblMili[[#This Row],[Release Unit 1]:[Release AM]]) - TblExplore[[#This Row],[Draftees (2)]]</f>
        <v>356</v>
      </c>
      <c r="AB37" s="154"/>
      <c r="AC37" s="180">
        <f ca="1">(TblConstr[[#This Row],[Tot Smi]]+TblConstr[[#This Row],[Dest Smi]])/(TblConstr[[#This Row],[Land]]-TblExplore[[#This Row],[Land Bonus]]*20)</f>
        <v>0</v>
      </c>
      <c r="AD37" s="137"/>
      <c r="AE37" s="246">
        <f>TblMili[[#This Row],[Hour]]</f>
        <v>34</v>
      </c>
      <c r="AF37" s="138">
        <f ca="1">TblExplore[[#This Row],[Time]]</f>
        <v>46048.37499999992</v>
      </c>
      <c r="AG37" s="179"/>
      <c r="AH37" s="179"/>
      <c r="AI37" s="179"/>
      <c r="AJ37" s="179"/>
      <c r="AK37" s="179"/>
      <c r="AL37" s="179"/>
      <c r="AM37" s="179"/>
      <c r="AN37" s="179"/>
      <c r="AO37" s="420">
        <f ca="1">ROUND(IF(AND(TblMagic[[#This Row],[Active DnD]]&lt;12,TblMagic[[#This Row],[Active DnD]]&gt;5),OFFSET(TblPop[[#This Row],[Draft Growth]],-1,0)*0.375,0),0)</f>
        <v>0</v>
      </c>
      <c r="AP37" s="142"/>
      <c r="AQ37" s="94">
        <f ca="1">TblProd[[#This Row],[Platinum]]</f>
        <v>105625</v>
      </c>
      <c r="AR37" s="94">
        <f ca="1">INDEX(TblProd[[#Headers],[Lumber]]:TblProd[[#This Row],[Ore]],COUNTA(TblProd[[#Headers],[Lumber]]:TblProd[[#This Row],[Lumber]]),MATCH(Military!$AR$2,TblProd[[#Headers],[Lumber]:[Ore]],0))</f>
        <v>0</v>
      </c>
      <c r="AS3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7" s="94">
        <f ca="1">TblMili[[#This Row],[Train Unit 1]]*TblMili[[#This Row],[OP Ore]]+TblMili[[#This Row],[Train Unit 2]]*TblMili[[#This Row],[DP Ore]]+TblMili[[#This Row],[Train Unit 3]]*TblMili[[#This Row],[E1 Ore]]+TblMili[[#This Row],[Train Unit 4]]*TblMili[[#This Row],[E2 Ore]]</f>
        <v>0</v>
      </c>
      <c r="AU37" s="142">
        <f>TblMili[[#This Row],[Hour]]</f>
        <v>34</v>
      </c>
      <c r="AV37" s="152">
        <f ca="1">TblMili[[#This Row],[Time]]</f>
        <v>46048.37499999992</v>
      </c>
      <c r="AW37" s="94">
        <f ca="1">TblMili[[#This Row],[Draftees]]</f>
        <v>356</v>
      </c>
      <c r="AX37" s="179"/>
      <c r="AY37" s="179"/>
      <c r="AZ37" s="179"/>
      <c r="BA37" s="179"/>
      <c r="BB37" s="179"/>
      <c r="BC37" s="179"/>
      <c r="BD37" s="179"/>
      <c r="BE37" s="179"/>
      <c r="BF37" s="179"/>
      <c r="BG37" s="142"/>
      <c r="BH37" s="157">
        <f ca="1">TblConstr[[#This Row],[Tot WG]]/TblConstr[[#This Row],[Land]]</f>
        <v>0</v>
      </c>
      <c r="BI37" s="157">
        <f ca="1">TblConstr[[#This Row],[Tot Hav]]/TblConstr[[#This Row],[Land]]</f>
        <v>0</v>
      </c>
      <c r="BJ37" s="94">
        <f ca="1">ROUNDUP((1-MIN(TblMili[[#This Row],[Smithies]]*smithy_bonus,smithy_bonus_cap) + tech_3_5*TblTech[[#This Row],[3-5]] + tech_5_3*TblTech[[#This Row],[5-3]] + tech_5_5*TblTech[[#This Row],[5-5]])*spec_op_plat,0)</f>
        <v>275</v>
      </c>
      <c r="BK37" s="94">
        <f ca="1">ROUNDUP(IF(race="Gnome",1,(1-MIN(TblMili[[#This Row],[Smithies]]*smithy_bonus,smithy_bonus_cap) + tech_3_5*TblTech[[#This Row],[3-5]] + tech_5_3*TblTech[[#This Row],[5-3]] + tech_5_5*TblTech[[#This Row],[5-5]]))*spec_op_ore,0)</f>
        <v>25</v>
      </c>
      <c r="BL37" s="94">
        <f ca="1">ROUNDUP((1-MIN(TblMili[[#This Row],[Smithies]]*smithy_bonus,smithy_bonus_cap) + tech_3_5*TblTech[[#This Row],[3-5]] + tech_5_3*TblTech[[#This Row],[5-3]] + tech_5_5*TblTech[[#This Row],[5-5]])*spec_dp_plat,0)</f>
        <v>275</v>
      </c>
      <c r="BM37" s="94">
        <f ca="1">ROUNDUP(IF(race="Gnome",1,(1-MIN(TblMili[[#This Row],[Smithies]]*smithy_bonus,smithy_bonus_cap) + tech_3_5*TblTech[[#This Row],[3-5]] + tech_5_3*TblTech[[#This Row],[5-3]] + tech_5_5*TblTech[[#This Row],[5-5]]))*spec_dp_ore,0)</f>
        <v>15</v>
      </c>
      <c r="BN37" s="94">
        <f ca="1">ROUNDUP((1-MIN(TblMili[[#This Row],[Smithies]]*smithy_bonus,smithy_bonus_cap) + tech_3_5*TblTech[[#This Row],[3-5]] + tech_5_3*TblTech[[#This Row],[5-3]] + tech_5_5*TblTech[[#This Row],[5-5]])*elite1_plat,0)</f>
        <v>1040</v>
      </c>
      <c r="BO37" s="94">
        <f ca="1">ROUNDUP(IF(race="Gnome",1,(1-MIN(TblMili[[#This Row],[Smithies]]*smithy_bonus,smithy_bonus_cap) + tech_3_5*TblTech[[#This Row],[3-5]] + tech_5_3*TblTech[[#This Row],[5-3]] + tech_5_5*TblTech[[#This Row],[5-5]]))*elite1_ore,0)</f>
        <v>75</v>
      </c>
      <c r="BP37" s="94">
        <f ca="1">ROUNDUP((1-MIN(TblMili[[#This Row],[Smithies]]*smithy_bonus,smithy_bonus_cap) + tech_3_5*TblTech[[#This Row],[3-5]] + tech_5_3*TblTech[[#This Row],[5-3]] + tech_5_5*TblTech[[#This Row],[5-5]])*elite2_plat,0)</f>
        <v>1280</v>
      </c>
      <c r="BQ37" s="94">
        <f ca="1">ROUNDUP(IF(race="Gnome",1,(1-MIN(TblMili[[#This Row],[Smithies]]*smithy_bonus,smithy_bonus_cap) + tech_3_5*TblTech[[#This Row],[3-5]] + tech_5_3*TblTech[[#This Row],[5-3]] + tech_5_5*TblTech[[#This Row],[5-5]]))*elite2_ore,0)</f>
        <v>100</v>
      </c>
      <c r="BR37" s="94">
        <f ca="1">ROUNDUP((1-MIN(ROUND(fh_spy_cost_red*TblMili[[#This Row],[FH''s]],4),fh_spy_cost_cap)+ tech_1_9*TblTech[[#This Row],[1-9]] + tech_9_1*TblTech[[#This Row],[9-1]])*spy_plat,0)</f>
        <v>500</v>
      </c>
      <c r="BS37" s="94">
        <f ca="1">ROUNDUP((1-MIN(ROUND(fh_spy_cost_red*TblMili[[#This Row],[FH''s]],4),fh_spy_cost_cap)+ tech_1_9*TblTech[[#This Row],[1-9]] + tech_9_1*TblTech[[#This Row],[9-1]])*archspy_plat,0)</f>
        <v>1000</v>
      </c>
      <c r="BT37" s="94">
        <f ca="1">ROUNDUP((1-MIN(ROUND(wg_wiz_cost_bonus*TblMili[[#This Row],[WG''s]],4),wg_wiz_cost_cap) + tech_1_9_2*TblTech[[#This Row],[1-9]] + tech_9_1_2*TblTech[[#This Row],[9-1]])*wizard_plat,0)</f>
        <v>500</v>
      </c>
      <c r="BU37" s="94">
        <f ca="1">ROUNDUP((1-MIN(ROUND(wg_wiz_cost_bonus*TblMili[[#This Row],[WG''s]],4),wg_wiz_cost_cap) + tech_1_9_2*TblTech[[#This Row],[1-9]] + tech_9_1_2*TblTech[[#This Row],[9-1]])*archmage_plat,0)</f>
        <v>1000</v>
      </c>
      <c r="BV37" s="142"/>
      <c r="BW37" s="157">
        <f ca="1">TblConstr[[#This Row],[Homeland]]/TblConstr[[#This Row],[Land]]</f>
        <v>0.81818181818181823</v>
      </c>
      <c r="BX37" s="157">
        <f ca="1">TblMili[[#This Row],[WG''s]]</f>
        <v>0</v>
      </c>
      <c r="BY37" s="251">
        <f ca="1">IF(mystic_cap="none",TblMili[[#This Row],[Homeland%]]/mystic_bonus,MIN(mystic_cap,TblMili[[#This Row],[Homeland%]]/mystic_bonus))</f>
        <v>2</v>
      </c>
      <c r="BZ37" s="251">
        <f ca="1">IF(druid_op_cap="none",TblMili[[#This Row],[Homeland%]]/druid_op_bonus,MIN(druid_op_cap,TblMili[[#This Row],[Homeland%]]/druid_op_bonus))</f>
        <v>2</v>
      </c>
      <c r="CA37" s="251">
        <f ca="1">IF(druid_dp_cap="none",TblMili[[#This Row],[Homeland%]]/druid_dp_bonus,MIN(druid_dp_cap,TblMili[[#This Row],[Homeland%]]/druid_dp_bonus))</f>
        <v>2</v>
      </c>
      <c r="CB37" s="251">
        <f ca="1">MIN(dryad_cap,TblMili[[#This Row],[Homeland%]]/dryad_bonus)</f>
        <v>4</v>
      </c>
      <c r="CC37" s="251">
        <f ca="1">MIN(rocka_cap,TblMili[[#This Row],[Homeland%]]/rocka_bonus)</f>
        <v>2</v>
      </c>
      <c r="CD37" s="251">
        <f ca="1">MIN(adept_op_cap,TblMili[[#This Row],[WG]]/adept_op_bonus)</f>
        <v>0</v>
      </c>
      <c r="CE37" s="251">
        <f ca="1">MIN(adept_dp_cap,TblMili[[#This Row],[WG]]/adept_dp_bonus)</f>
        <v>0</v>
      </c>
      <c r="CF37" s="94">
        <f ca="1">MIN(TblMili[[#This Row],[Unit 3]],TblMili[[#This Row],[Unit 2]])*2</f>
        <v>0</v>
      </c>
      <c r="CG37" s="94">
        <f ca="1">MIN(TblMili[[#This Row],[Unit 1]],TblMili[[#This Row],[Unit 4]])*2</f>
        <v>0</v>
      </c>
      <c r="CH37" s="251">
        <f ca="1">MIN(frost_mage_cap,TblMili[[#This Row],[Homeland%]]/frost_mage_bonus)</f>
        <v>3</v>
      </c>
      <c r="CI37" s="45">
        <f ca="1">MIN(ice_elem_cap,TblMili[[#This Row],[Raw (2)]]*ice_elem_bonus)</f>
        <v>0</v>
      </c>
      <c r="CJ37" s="251">
        <f t="shared" si="2"/>
        <v>0.83333333333333337</v>
      </c>
      <c r="CK37" s="251">
        <f ca="1">MIN(nox_nightshade_cap,TblConstr[[#This Row],[Homeland]]/TblConstr[[#This Row],[Land]]/nox_nightshade_swamp_bonus)</f>
        <v>4</v>
      </c>
      <c r="CL37" s="251">
        <f ca="1">MIN(TblConstr[[#This Row],[Total Swamp]]/TblConstr[[#This Row],[Land]]/abyss_enforce_bonus,abyss_enforcer_cap)</f>
        <v>0</v>
      </c>
      <c r="CM37" s="251">
        <f ca="1">IF(TblMagic[[#This Row],[Active Infernal Command]]&gt;0,TblMili[[#This Row],[Unit 1]]*infernal_cmd_op,0)</f>
        <v>0</v>
      </c>
      <c r="CN37" s="252"/>
      <c r="CO37" s="252"/>
      <c r="CP37" s="252"/>
      <c r="CQ37" s="251">
        <f ca="1">MIN(6,TblMili[[#This Row],[Mystic]]+Races!$F$19)*1.8 +  IF(TblMili[[#This Row],[Mystic]]+Races!$F$19&gt;6,(TblMili[[#This Row],[Mystic]]+Races!$F$19-6)*0.2,0) - Races!$I$19</f>
        <v>1</v>
      </c>
      <c r="CR3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7" s="94">
        <f ca="1">TblMili[[#This Row],[Mystic bonus]]*TblMili[[#This Row],[Unit 3]]+TblMili[[#This Row],[Druid bonus]]*TblMili[[#This Row],[Unit 4]]</f>
        <v>0</v>
      </c>
      <c r="CT37" s="155">
        <f ca="1">MIN(6,TblMili[[#This Row],[Dryad]]+Races!$F$35)*1.8 +  IF(TblMili[[#This Row],[Dryad]]+Races!$F$35&gt;6,(TblMili[[#This Row],[Dryad]]+Races!$F$35-6)*0.2,0) - Races!$I$19</f>
        <v>1</v>
      </c>
      <c r="CU37" s="94">
        <f ca="1">sylvan*(TblMili[[#This Row],[Mystic bonus]]*TblMili[[#This Row],[Unit 3]])</f>
        <v>0</v>
      </c>
      <c r="CV37" s="155">
        <f ca="1">1.8 * MIN(MAX(Races!$E$27,TblMili[[#This Row],[Rockapult]]+Races!$F$27),6)  +  0.45 * MIN(MIN(Races!$E$27,TblMili[[#This Row],[Rockapult]]+Races!$F$27),6)  +  0.2 * ( MAX(Races!$E$27-6,0) + MAX(TblMili[[#This Row],[Rockapult]]+Races!$F$27-6,0) )  -  Races!$I$20</f>
        <v>3.7000000000000011</v>
      </c>
      <c r="CW37" s="94">
        <f ca="1">gnome*(TblMili[[#This Row],[Rockapult bonus]]*TblMili[[#This Row],[Unit 3]])</f>
        <v>0</v>
      </c>
      <c r="CX3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7" s="94">
        <f ca="1">dark_elf*(TblMili[[#This Row],[Adept bonus]]*TblMili[[#This Row],[Unit 3]])</f>
        <v>0</v>
      </c>
      <c r="CZ37" s="155">
        <f ca="1">1.8 * MIN(MAX(TblMili[[#This Row],[Frost Mage]]+Races!$F$71,Races!$E$71),6)  +  0.45 * MIN(MIN(TblMili[[#This Row],[Frost Mage]]+Races!$F$71,Races!$E$71),6)  +  0.2 * ( MAX(TblMili[[#This Row],[Frost Mage]]+Races!$F$71-6,0) + MAX(Races!$E$71-6,0) )  -  Races!$I$71</f>
        <v>6.15</v>
      </c>
      <c r="DA37" s="155">
        <f ca="1">1.8 * MIN(MAX(TblMili[[#This Row],[Ice Elemental]]+Races!$E$71,Races!$F$71),6)  +  0.45 * MIN(MIN(TblMili[[#This Row],[Ice Elemental]]+Races!$E$71,Races!$F$71),6)  +  0.2 * ( MAX(TblMili[[#This Row],[Ice Elemental]]+Races!$E$71-6,0) + MAX(Races!$F$71-6,0) )  -  Races!$I$71</f>
        <v>0.75</v>
      </c>
      <c r="DB37" s="94">
        <f ca="1">TblMili[[#This Row],[Frost Mage bonus]]*TblMili[[#This Row],[Unit 3]]+TblMili[[#This Row],[Ice Elemental bonus]]*TblMili[[#This Row],[Unit 4]]</f>
        <v>0</v>
      </c>
      <c r="DC37" s="253"/>
      <c r="DD37" s="143">
        <f ca="1">MIN(SUM(TblConstr[[#This Row],[Plain]:[Water]])/TblMili[[#This Row],[Land]]/favorable_terrain_bonus/100,favorable_terrain_max)</f>
        <v>0.1</v>
      </c>
      <c r="DE37" s="253"/>
      <c r="DF3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7" s="142"/>
      <c r="DH37" s="254">
        <f ca="1">(TblMili[[#This Row],[Wizards]]+2*TblMili[[#This Row],[Archmages]])/TblConstr[[#This Row],[Land]]</f>
        <v>0</v>
      </c>
      <c r="DI37" s="254">
        <f ca="1">TblMili[[#This Row],[Raw (2)]]*(1+race_wizard_strength+IF(TblMili[[#This Row],[Hour]]&gt;72,tech_magical_weaponry_wiz*TblTech[[#This Row],[3-5]],0))</f>
        <v>0</v>
      </c>
    </row>
    <row r="38" spans="1:113" x14ac:dyDescent="0.2">
      <c r="A38" s="137">
        <f>TblRezone[[#This Row],[Hour]]</f>
        <v>35</v>
      </c>
      <c r="B38" s="246">
        <f ca="1">SUM(TblMili[[#This Row],[Unit 1]:[Archmages]])+SUM(OFFSET(TblMili[[#This Row],[Train Unit 1]],-8,0):TblMili[[#This Row],[Train Unit 2]]) + SUM(OFFSET(TblMili[[#This Row],[Train Unit 3]],-11,0):TblMili[[#This Row],[Train AM]]) + TblMili[[#This Row],[Draftees]]</f>
        <v>363</v>
      </c>
      <c r="C38" s="157">
        <f ca="1">TblPop[[#This Row],[Military%]]</f>
        <v>0.33736059479553904</v>
      </c>
      <c r="D38" s="142"/>
      <c r="E38" s="45">
        <f ca="1">OFFSET(TblMili[[#This Row],[Unit 1]],-1,0) + OFFSET(TblMili[[#This Row],[Train Unit 1]],-9,0) - TblMili[[#This Row],[Release Unit 1]] + OFFSET(TblMili[[#This Row],[DnD_Zombies]],-12,0)</f>
        <v>0</v>
      </c>
      <c r="F38" s="45">
        <f ca="1">OFFSET(TblMili[[#This Row],[Unit 2]],-1,0) + OFFSET(TblMili[[#This Row],[Train Unit 2]],-9,0)-TblMili[[#This Row],[Release Unit 2]]</f>
        <v>0</v>
      </c>
      <c r="G38" s="45">
        <f ca="1">OFFSET(TblMili[[#This Row],[Unit 3]],-1,0) + OFFSET(TblMili[[#This Row],[Train Unit 3]],-12,0)-TblMili[[#This Row],[Release Unit 3]]</f>
        <v>0</v>
      </c>
      <c r="H38" s="45">
        <f ca="1">OFFSET(TblMili[[#This Row],[Unit 4]],-1,0) + OFFSET(TblMili[[#This Row],[Train Unit 4]],-12,0)-TblMili[[#This Row],[Release Unit 4]]</f>
        <v>0</v>
      </c>
      <c r="I38" s="45">
        <f ca="1">OFFSET(TblMili[[#This Row],[Spies]],-1,0) + OFFSET(TblMili[[#This Row],[Train Spies]],-12,0) - TblMili[[#This Row],[Release Spies]]-TblMili[[#This Row],[Train AS]]</f>
        <v>0</v>
      </c>
      <c r="J38" s="45">
        <f ca="1">OFFSET(TblMili[[#This Row],[Archspies]],-1,0) + OFFSET(TblMili[[#This Row],[Train AS]],-12,0) - TblMili[[#This Row],[Release AS]]</f>
        <v>0</v>
      </c>
      <c r="K38" s="45">
        <f ca="1">OFFSET(TblMili[[#This Row],[Wizards]],-1,0) + OFFSET(TblMili[[#This Row],[Train Wiz]],-12,0) - TblMili[[#This Row],[Release Wizards]]-TblMili[[#This Row],[Train AM]]</f>
        <v>0</v>
      </c>
      <c r="L38" s="45">
        <f ca="1">OFFSET(TblMili[[#This Row],[Archmages]],-1,0) + OFFSET(TblMili[[#This Row],[Train AM]],-12,0) - TblMili[[#This Row],[Release AM]]</f>
        <v>0</v>
      </c>
      <c r="M38" s="142"/>
      <c r="N38" s="94">
        <f ca="1">TblProd[[#This Row],[Networth]]</f>
        <v>2450</v>
      </c>
      <c r="O38" s="142"/>
      <c r="P3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8" s="247">
        <f ca="1">TblMili[[#This Row],[Raw]]*(1+TblMili[[#This Row],[Mods_Off]])</f>
        <v>0</v>
      </c>
      <c r="S3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8" s="247">
        <f ca="1">TblMili[[#This Row],[Non Draft]]+TblMili[[#This Row],[Draftees]]</f>
        <v>363</v>
      </c>
      <c r="U38" s="248">
        <f ca="1">race_defense + TblImps[[#This Row],[Walls]] + ROUND( MIN(gt_bonus*TblConstr[[#This Row],[Tot GT]]/TblConstr[[#This Row],[Land]],gt_bonus_cap), 4) + IF(TblMagic[[#This Row],[Active Howling]]&gt;0,howling_dp_bonus,IF(TblMagic[[#This Row],[Active Ares Call]]&gt;0,ares_call_bonus))</f>
        <v>0</v>
      </c>
      <c r="V38" s="249">
        <f ca="1">TblMili[[#This Row],[Non Draft]] * (1 + TblMili[[#This Row],[Mods_Def]])</f>
        <v>0</v>
      </c>
      <c r="W38" s="247">
        <f ca="1">TblMili[[#This Row],[Draft]] * (1 + TblMili[[#This Row],[Mods_Def]])</f>
        <v>363</v>
      </c>
      <c r="X38" s="247">
        <f ca="1">TblConstr[[#This Row],[Land]]</f>
        <v>110</v>
      </c>
      <c r="Y38" s="250"/>
      <c r="Z38" s="255">
        <f ca="1">IF(TblMili[[#This Row],[Set]]&lt;&gt;"",TblMili[[#This Row],[Set]],OFFSET(TblMili[[#This Row],[Draftrate]],-1,0))</f>
        <v>0.9</v>
      </c>
      <c r="AA38" s="94">
        <f ca="1">OFFSET(TblMili[[#This Row],[Draftees]],-1,0)+OFFSET(TblPop[[#This Row],[Draft Growth]],-1,0) - SUM(TblMili[[#This Row],[Train Unit 1]:[Train Spies]],TblMili[[#This Row],[Train Wiz]],TblMili[[#This Row],[DnD_Zombies]]) - TblMili[[#This Row],[Release Draft]] + SUM(TblMili[[#This Row],[Release Unit 1]:[Release AM]]) - TblExplore[[#This Row],[Draftees (2)]]</f>
        <v>363</v>
      </c>
      <c r="AB38" s="154"/>
      <c r="AC38" s="180">
        <f ca="1">(TblConstr[[#This Row],[Tot Smi]]+TblConstr[[#This Row],[Dest Smi]])/(TblConstr[[#This Row],[Land]]-TblExplore[[#This Row],[Land Bonus]]*20)</f>
        <v>0</v>
      </c>
      <c r="AD38" s="137"/>
      <c r="AE38" s="246">
        <f>TblMili[[#This Row],[Hour]]</f>
        <v>35</v>
      </c>
      <c r="AF38" s="138">
        <f ca="1">TblExplore[[#This Row],[Time]]</f>
        <v>46048.416666666584</v>
      </c>
      <c r="AG38" s="179"/>
      <c r="AH38" s="179"/>
      <c r="AI38" s="179"/>
      <c r="AJ38" s="179"/>
      <c r="AK38" s="179"/>
      <c r="AL38" s="179"/>
      <c r="AM38" s="179"/>
      <c r="AN38" s="179"/>
      <c r="AO38" s="420">
        <f ca="1">ROUND(IF(AND(TblMagic[[#This Row],[Active DnD]]&lt;12,TblMagic[[#This Row],[Active DnD]]&gt;5),OFFSET(TblPop[[#This Row],[Draft Growth]],-1,0)*0.375,0),0)</f>
        <v>0</v>
      </c>
      <c r="AP38" s="142"/>
      <c r="AQ38" s="94">
        <f ca="1">TblProd[[#This Row],[Platinum]]</f>
        <v>107569</v>
      </c>
      <c r="AR38" s="94">
        <f ca="1">INDEX(TblProd[[#Headers],[Lumber]]:TblProd[[#This Row],[Ore]],COUNTA(TblProd[[#Headers],[Lumber]]:TblProd[[#This Row],[Lumber]]),MATCH(Military!$AR$2,TblProd[[#Headers],[Lumber]:[Ore]],0))</f>
        <v>0</v>
      </c>
      <c r="AS3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8" s="94">
        <f ca="1">TblMili[[#This Row],[Train Unit 1]]*TblMili[[#This Row],[OP Ore]]+TblMili[[#This Row],[Train Unit 2]]*TblMili[[#This Row],[DP Ore]]+TblMili[[#This Row],[Train Unit 3]]*TblMili[[#This Row],[E1 Ore]]+TblMili[[#This Row],[Train Unit 4]]*TblMili[[#This Row],[E2 Ore]]</f>
        <v>0</v>
      </c>
      <c r="AU38" s="142">
        <f>TblMili[[#This Row],[Hour]]</f>
        <v>35</v>
      </c>
      <c r="AV38" s="152">
        <f ca="1">TblMili[[#This Row],[Time]]</f>
        <v>46048.416666666584</v>
      </c>
      <c r="AW38" s="94">
        <f ca="1">TblMili[[#This Row],[Draftees]]</f>
        <v>363</v>
      </c>
      <c r="AX38" s="179"/>
      <c r="AY38" s="179"/>
      <c r="AZ38" s="179"/>
      <c r="BA38" s="179"/>
      <c r="BB38" s="179"/>
      <c r="BC38" s="179"/>
      <c r="BD38" s="179"/>
      <c r="BE38" s="179"/>
      <c r="BF38" s="179"/>
      <c r="BG38" s="142"/>
      <c r="BH38" s="157">
        <f ca="1">TblConstr[[#This Row],[Tot WG]]/TblConstr[[#This Row],[Land]]</f>
        <v>0</v>
      </c>
      <c r="BI38" s="157">
        <f ca="1">TblConstr[[#This Row],[Tot Hav]]/TblConstr[[#This Row],[Land]]</f>
        <v>0</v>
      </c>
      <c r="BJ38" s="94">
        <f ca="1">ROUNDUP((1-MIN(TblMili[[#This Row],[Smithies]]*smithy_bonus,smithy_bonus_cap) + tech_3_5*TblTech[[#This Row],[3-5]] + tech_5_3*TblTech[[#This Row],[5-3]] + tech_5_5*TblTech[[#This Row],[5-5]])*spec_op_plat,0)</f>
        <v>275</v>
      </c>
      <c r="BK38" s="94">
        <f ca="1">ROUNDUP(IF(race="Gnome",1,(1-MIN(TblMili[[#This Row],[Smithies]]*smithy_bonus,smithy_bonus_cap) + tech_3_5*TblTech[[#This Row],[3-5]] + tech_5_3*TblTech[[#This Row],[5-3]] + tech_5_5*TblTech[[#This Row],[5-5]]))*spec_op_ore,0)</f>
        <v>25</v>
      </c>
      <c r="BL38" s="94">
        <f ca="1">ROUNDUP((1-MIN(TblMili[[#This Row],[Smithies]]*smithy_bonus,smithy_bonus_cap) + tech_3_5*TblTech[[#This Row],[3-5]] + tech_5_3*TblTech[[#This Row],[5-3]] + tech_5_5*TblTech[[#This Row],[5-5]])*spec_dp_plat,0)</f>
        <v>275</v>
      </c>
      <c r="BM38" s="94">
        <f ca="1">ROUNDUP(IF(race="Gnome",1,(1-MIN(TblMili[[#This Row],[Smithies]]*smithy_bonus,smithy_bonus_cap) + tech_3_5*TblTech[[#This Row],[3-5]] + tech_5_3*TblTech[[#This Row],[5-3]] + tech_5_5*TblTech[[#This Row],[5-5]]))*spec_dp_ore,0)</f>
        <v>15</v>
      </c>
      <c r="BN38" s="94">
        <f ca="1">ROUNDUP((1-MIN(TblMili[[#This Row],[Smithies]]*smithy_bonus,smithy_bonus_cap) + tech_3_5*TblTech[[#This Row],[3-5]] + tech_5_3*TblTech[[#This Row],[5-3]] + tech_5_5*TblTech[[#This Row],[5-5]])*elite1_plat,0)</f>
        <v>1040</v>
      </c>
      <c r="BO38" s="94">
        <f ca="1">ROUNDUP(IF(race="Gnome",1,(1-MIN(TblMili[[#This Row],[Smithies]]*smithy_bonus,smithy_bonus_cap) + tech_3_5*TblTech[[#This Row],[3-5]] + tech_5_3*TblTech[[#This Row],[5-3]] + tech_5_5*TblTech[[#This Row],[5-5]]))*elite1_ore,0)</f>
        <v>75</v>
      </c>
      <c r="BP38" s="94">
        <f ca="1">ROUNDUP((1-MIN(TblMili[[#This Row],[Smithies]]*smithy_bonus,smithy_bonus_cap) + tech_3_5*TblTech[[#This Row],[3-5]] + tech_5_3*TblTech[[#This Row],[5-3]] + tech_5_5*TblTech[[#This Row],[5-5]])*elite2_plat,0)</f>
        <v>1280</v>
      </c>
      <c r="BQ38" s="94">
        <f ca="1">ROUNDUP(IF(race="Gnome",1,(1-MIN(TblMili[[#This Row],[Smithies]]*smithy_bonus,smithy_bonus_cap) + tech_3_5*TblTech[[#This Row],[3-5]] + tech_5_3*TblTech[[#This Row],[5-3]] + tech_5_5*TblTech[[#This Row],[5-5]]))*elite2_ore,0)</f>
        <v>100</v>
      </c>
      <c r="BR38" s="94">
        <f ca="1">ROUNDUP((1-MIN(ROUND(fh_spy_cost_red*TblMili[[#This Row],[FH''s]],4),fh_spy_cost_cap)+ tech_1_9*TblTech[[#This Row],[1-9]] + tech_9_1*TblTech[[#This Row],[9-1]])*spy_plat,0)</f>
        <v>500</v>
      </c>
      <c r="BS38" s="94">
        <f ca="1">ROUNDUP((1-MIN(ROUND(fh_spy_cost_red*TblMili[[#This Row],[FH''s]],4),fh_spy_cost_cap)+ tech_1_9*TblTech[[#This Row],[1-9]] + tech_9_1*TblTech[[#This Row],[9-1]])*archspy_plat,0)</f>
        <v>1000</v>
      </c>
      <c r="BT38" s="94">
        <f ca="1">ROUNDUP((1-MIN(ROUND(wg_wiz_cost_bonus*TblMili[[#This Row],[WG''s]],4),wg_wiz_cost_cap) + tech_1_9_2*TblTech[[#This Row],[1-9]] + tech_9_1_2*TblTech[[#This Row],[9-1]])*wizard_plat,0)</f>
        <v>500</v>
      </c>
      <c r="BU38" s="94">
        <f ca="1">ROUNDUP((1-MIN(ROUND(wg_wiz_cost_bonus*TblMili[[#This Row],[WG''s]],4),wg_wiz_cost_cap) + tech_1_9_2*TblTech[[#This Row],[1-9]] + tech_9_1_2*TblTech[[#This Row],[9-1]])*archmage_plat,0)</f>
        <v>1000</v>
      </c>
      <c r="BV38" s="142"/>
      <c r="BW38" s="157">
        <f ca="1">TblConstr[[#This Row],[Homeland]]/TblConstr[[#This Row],[Land]]</f>
        <v>0.81818181818181823</v>
      </c>
      <c r="BX38" s="157">
        <f ca="1">TblMili[[#This Row],[WG''s]]</f>
        <v>0</v>
      </c>
      <c r="BY38" s="251">
        <f ca="1">IF(mystic_cap="none",TblMili[[#This Row],[Homeland%]]/mystic_bonus,MIN(mystic_cap,TblMili[[#This Row],[Homeland%]]/mystic_bonus))</f>
        <v>2</v>
      </c>
      <c r="BZ38" s="251">
        <f ca="1">IF(druid_op_cap="none",TblMili[[#This Row],[Homeland%]]/druid_op_bonus,MIN(druid_op_cap,TblMili[[#This Row],[Homeland%]]/druid_op_bonus))</f>
        <v>2</v>
      </c>
      <c r="CA38" s="251">
        <f ca="1">IF(druid_dp_cap="none",TblMili[[#This Row],[Homeland%]]/druid_dp_bonus,MIN(druid_dp_cap,TblMili[[#This Row],[Homeland%]]/druid_dp_bonus))</f>
        <v>2</v>
      </c>
      <c r="CB38" s="251">
        <f ca="1">MIN(dryad_cap,TblMili[[#This Row],[Homeland%]]/dryad_bonus)</f>
        <v>4</v>
      </c>
      <c r="CC38" s="251">
        <f ca="1">MIN(rocka_cap,TblMili[[#This Row],[Homeland%]]/rocka_bonus)</f>
        <v>2</v>
      </c>
      <c r="CD38" s="251">
        <f ca="1">MIN(adept_op_cap,TblMili[[#This Row],[WG]]/adept_op_bonus)</f>
        <v>0</v>
      </c>
      <c r="CE38" s="251">
        <f ca="1">MIN(adept_dp_cap,TblMili[[#This Row],[WG]]/adept_dp_bonus)</f>
        <v>0</v>
      </c>
      <c r="CF38" s="94">
        <f ca="1">MIN(TblMili[[#This Row],[Unit 3]],TblMili[[#This Row],[Unit 2]])*2</f>
        <v>0</v>
      </c>
      <c r="CG38" s="94">
        <f ca="1">MIN(TblMili[[#This Row],[Unit 1]],TblMili[[#This Row],[Unit 4]])*2</f>
        <v>0</v>
      </c>
      <c r="CH38" s="251">
        <f ca="1">MIN(frost_mage_cap,TblMili[[#This Row],[Homeland%]]/frost_mage_bonus)</f>
        <v>3</v>
      </c>
      <c r="CI38" s="45">
        <f ca="1">MIN(ice_elem_cap,TblMili[[#This Row],[Raw (2)]]*ice_elem_bonus)</f>
        <v>0</v>
      </c>
      <c r="CJ38" s="251">
        <f t="shared" si="2"/>
        <v>0.83333333333333337</v>
      </c>
      <c r="CK38" s="251">
        <f ca="1">MIN(nox_nightshade_cap,TblConstr[[#This Row],[Homeland]]/TblConstr[[#This Row],[Land]]/nox_nightshade_swamp_bonus)</f>
        <v>4</v>
      </c>
      <c r="CL38" s="251">
        <f ca="1">MIN(TblConstr[[#This Row],[Total Swamp]]/TblConstr[[#This Row],[Land]]/abyss_enforce_bonus,abyss_enforcer_cap)</f>
        <v>0</v>
      </c>
      <c r="CM38" s="251">
        <f ca="1">IF(TblMagic[[#This Row],[Active Infernal Command]]&gt;0,TblMili[[#This Row],[Unit 1]]*infernal_cmd_op,0)</f>
        <v>0</v>
      </c>
      <c r="CN38" s="252"/>
      <c r="CO38" s="252"/>
      <c r="CP38" s="252"/>
      <c r="CQ38" s="251">
        <f ca="1">MIN(6,TblMili[[#This Row],[Mystic]]+Races!$F$19)*1.8 +  IF(TblMili[[#This Row],[Mystic]]+Races!$F$19&gt;6,(TblMili[[#This Row],[Mystic]]+Races!$F$19-6)*0.2,0) - Races!$I$19</f>
        <v>1</v>
      </c>
      <c r="CR3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8" s="94">
        <f ca="1">TblMili[[#This Row],[Mystic bonus]]*TblMili[[#This Row],[Unit 3]]+TblMili[[#This Row],[Druid bonus]]*TblMili[[#This Row],[Unit 4]]</f>
        <v>0</v>
      </c>
      <c r="CT38" s="155">
        <f ca="1">MIN(6,TblMili[[#This Row],[Dryad]]+Races!$F$35)*1.8 +  IF(TblMili[[#This Row],[Dryad]]+Races!$F$35&gt;6,(TblMili[[#This Row],[Dryad]]+Races!$F$35-6)*0.2,0) - Races!$I$19</f>
        <v>1</v>
      </c>
      <c r="CU38" s="94">
        <f ca="1">sylvan*(TblMili[[#This Row],[Mystic bonus]]*TblMili[[#This Row],[Unit 3]])</f>
        <v>0</v>
      </c>
      <c r="CV38" s="155">
        <f ca="1">1.8 * MIN(MAX(Races!$E$27,TblMili[[#This Row],[Rockapult]]+Races!$F$27),6)  +  0.45 * MIN(MIN(Races!$E$27,TblMili[[#This Row],[Rockapult]]+Races!$F$27),6)  +  0.2 * ( MAX(Races!$E$27-6,0) + MAX(TblMili[[#This Row],[Rockapult]]+Races!$F$27-6,0) )  -  Races!$I$20</f>
        <v>3.7000000000000011</v>
      </c>
      <c r="CW38" s="94">
        <f ca="1">gnome*(TblMili[[#This Row],[Rockapult bonus]]*TblMili[[#This Row],[Unit 3]])</f>
        <v>0</v>
      </c>
      <c r="CX3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8" s="94">
        <f ca="1">dark_elf*(TblMili[[#This Row],[Adept bonus]]*TblMili[[#This Row],[Unit 3]])</f>
        <v>0</v>
      </c>
      <c r="CZ38" s="155">
        <f ca="1">1.8 * MIN(MAX(TblMili[[#This Row],[Frost Mage]]+Races!$F$71,Races!$E$71),6)  +  0.45 * MIN(MIN(TblMili[[#This Row],[Frost Mage]]+Races!$F$71,Races!$E$71),6)  +  0.2 * ( MAX(TblMili[[#This Row],[Frost Mage]]+Races!$F$71-6,0) + MAX(Races!$E$71-6,0) )  -  Races!$I$71</f>
        <v>6.15</v>
      </c>
      <c r="DA38" s="155">
        <f ca="1">1.8 * MIN(MAX(TblMili[[#This Row],[Ice Elemental]]+Races!$E$71,Races!$F$71),6)  +  0.45 * MIN(MIN(TblMili[[#This Row],[Ice Elemental]]+Races!$E$71,Races!$F$71),6)  +  0.2 * ( MAX(TblMili[[#This Row],[Ice Elemental]]+Races!$E$71-6,0) + MAX(Races!$F$71-6,0) )  -  Races!$I$71</f>
        <v>0.75</v>
      </c>
      <c r="DB38" s="94">
        <f ca="1">TblMili[[#This Row],[Frost Mage bonus]]*TblMili[[#This Row],[Unit 3]]+TblMili[[#This Row],[Ice Elemental bonus]]*TblMili[[#This Row],[Unit 4]]</f>
        <v>0</v>
      </c>
      <c r="DC38" s="253"/>
      <c r="DD38" s="143">
        <f ca="1">MIN(SUM(TblConstr[[#This Row],[Plain]:[Water]])/TblMili[[#This Row],[Land]]/favorable_terrain_bonus/100,favorable_terrain_max)</f>
        <v>0.1</v>
      </c>
      <c r="DE38" s="253"/>
      <c r="DF3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8" s="142"/>
      <c r="DH38" s="254">
        <f ca="1">(TblMili[[#This Row],[Wizards]]+2*TblMili[[#This Row],[Archmages]])/TblConstr[[#This Row],[Land]]</f>
        <v>0</v>
      </c>
      <c r="DI38" s="254">
        <f ca="1">TblMili[[#This Row],[Raw (2)]]*(1+race_wizard_strength+IF(TblMili[[#This Row],[Hour]]&gt;72,tech_magical_weaponry_wiz*TblTech[[#This Row],[3-5]],0))</f>
        <v>0</v>
      </c>
    </row>
    <row r="39" spans="1:113" x14ac:dyDescent="0.2">
      <c r="A39" s="137">
        <f>TblRezone[[#This Row],[Hour]]</f>
        <v>36</v>
      </c>
      <c r="B39" s="246">
        <f ca="1">SUM(TblMili[[#This Row],[Unit 1]:[Archmages]])+SUM(OFFSET(TblMili[[#This Row],[Train Unit 1]],-8,0):TblMili[[#This Row],[Train Unit 2]]) + SUM(OFFSET(TblMili[[#This Row],[Train Unit 3]],-11,0):TblMili[[#This Row],[Train AM]]) + TblMili[[#This Row],[Draftees]]</f>
        <v>370</v>
      </c>
      <c r="C39" s="157">
        <f ca="1">TblPop[[#This Row],[Military%]]</f>
        <v>0.34386617100371747</v>
      </c>
      <c r="D39" s="142"/>
      <c r="E39" s="45">
        <f ca="1">OFFSET(TblMili[[#This Row],[Unit 1]],-1,0) + OFFSET(TblMili[[#This Row],[Train Unit 1]],-9,0) - TblMili[[#This Row],[Release Unit 1]] + OFFSET(TblMili[[#This Row],[DnD_Zombies]],-12,0)</f>
        <v>0</v>
      </c>
      <c r="F39" s="45">
        <f ca="1">OFFSET(TblMili[[#This Row],[Unit 2]],-1,0) + OFFSET(TblMili[[#This Row],[Train Unit 2]],-9,0)-TblMili[[#This Row],[Release Unit 2]]</f>
        <v>0</v>
      </c>
      <c r="G39" s="45">
        <f ca="1">OFFSET(TblMili[[#This Row],[Unit 3]],-1,0) + OFFSET(TblMili[[#This Row],[Train Unit 3]],-12,0)-TblMili[[#This Row],[Release Unit 3]]</f>
        <v>0</v>
      </c>
      <c r="H39" s="45">
        <f ca="1">OFFSET(TblMili[[#This Row],[Unit 4]],-1,0) + OFFSET(TblMili[[#This Row],[Train Unit 4]],-12,0)-TblMili[[#This Row],[Release Unit 4]]</f>
        <v>0</v>
      </c>
      <c r="I39" s="45">
        <f ca="1">OFFSET(TblMili[[#This Row],[Spies]],-1,0) + OFFSET(TblMili[[#This Row],[Train Spies]],-12,0) - TblMili[[#This Row],[Release Spies]]-TblMili[[#This Row],[Train AS]]</f>
        <v>0</v>
      </c>
      <c r="J39" s="45">
        <f ca="1">OFFSET(TblMili[[#This Row],[Archspies]],-1,0) + OFFSET(TblMili[[#This Row],[Train AS]],-12,0) - TblMili[[#This Row],[Release AS]]</f>
        <v>0</v>
      </c>
      <c r="K39" s="45">
        <f ca="1">OFFSET(TblMili[[#This Row],[Wizards]],-1,0) + OFFSET(TblMili[[#This Row],[Train Wiz]],-12,0) - TblMili[[#This Row],[Release Wizards]]-TblMili[[#This Row],[Train AM]]</f>
        <v>0</v>
      </c>
      <c r="L39" s="45">
        <f ca="1">OFFSET(TblMili[[#This Row],[Archmages]],-1,0) + OFFSET(TblMili[[#This Row],[Train AM]],-12,0) - TblMili[[#This Row],[Release AM]]</f>
        <v>0</v>
      </c>
      <c r="M39" s="142"/>
      <c r="N39" s="94">
        <f ca="1">TblProd[[#This Row],[Networth]]</f>
        <v>2450</v>
      </c>
      <c r="O39" s="142"/>
      <c r="P3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3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39" s="247">
        <f ca="1">TblMili[[#This Row],[Raw]]*(1+TblMili[[#This Row],[Mods_Off]])</f>
        <v>0</v>
      </c>
      <c r="S3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39" s="247">
        <f ca="1">TblMili[[#This Row],[Non Draft]]+TblMili[[#This Row],[Draftees]]</f>
        <v>370</v>
      </c>
      <c r="U39" s="248">
        <f ca="1">race_defense + TblImps[[#This Row],[Walls]] + ROUND( MIN(gt_bonus*TblConstr[[#This Row],[Tot GT]]/TblConstr[[#This Row],[Land]],gt_bonus_cap), 4) + IF(TblMagic[[#This Row],[Active Howling]]&gt;0,howling_dp_bonus,IF(TblMagic[[#This Row],[Active Ares Call]]&gt;0,ares_call_bonus))</f>
        <v>0</v>
      </c>
      <c r="V39" s="249">
        <f ca="1">TblMili[[#This Row],[Non Draft]] * (1 + TblMili[[#This Row],[Mods_Def]])</f>
        <v>0</v>
      </c>
      <c r="W39" s="247">
        <f ca="1">TblMili[[#This Row],[Draft]] * (1 + TblMili[[#This Row],[Mods_Def]])</f>
        <v>370</v>
      </c>
      <c r="X39" s="247">
        <f ca="1">TblConstr[[#This Row],[Land]]</f>
        <v>110</v>
      </c>
      <c r="Y39" s="250"/>
      <c r="Z39" s="255">
        <f ca="1">IF(TblMili[[#This Row],[Set]]&lt;&gt;"",TblMili[[#This Row],[Set]],OFFSET(TblMili[[#This Row],[Draftrate]],-1,0))</f>
        <v>0.9</v>
      </c>
      <c r="AA39" s="94">
        <f ca="1">OFFSET(TblMili[[#This Row],[Draftees]],-1,0)+OFFSET(TblPop[[#This Row],[Draft Growth]],-1,0) - SUM(TblMili[[#This Row],[Train Unit 1]:[Train Spies]],TblMili[[#This Row],[Train Wiz]],TblMili[[#This Row],[DnD_Zombies]]) - TblMili[[#This Row],[Release Draft]] + SUM(TblMili[[#This Row],[Release Unit 1]:[Release AM]]) - TblExplore[[#This Row],[Draftees (2)]]</f>
        <v>370</v>
      </c>
      <c r="AB39" s="154"/>
      <c r="AC39" s="180">
        <f ca="1">(TblConstr[[#This Row],[Tot Smi]]+TblConstr[[#This Row],[Dest Smi]])/(TblConstr[[#This Row],[Land]]-TblExplore[[#This Row],[Land Bonus]]*20)</f>
        <v>0</v>
      </c>
      <c r="AD39" s="137"/>
      <c r="AE39" s="246">
        <f>TblMili[[#This Row],[Hour]]</f>
        <v>36</v>
      </c>
      <c r="AF39" s="138">
        <f ca="1">TblExplore[[#This Row],[Time]]</f>
        <v>46048.458333333248</v>
      </c>
      <c r="AG39" s="179"/>
      <c r="AH39" s="179"/>
      <c r="AI39" s="179"/>
      <c r="AJ39" s="179"/>
      <c r="AK39" s="179"/>
      <c r="AL39" s="179"/>
      <c r="AM39" s="179"/>
      <c r="AN39" s="179"/>
      <c r="AO39" s="420">
        <f ca="1">ROUND(IF(AND(TblMagic[[#This Row],[Active DnD]]&lt;12,TblMagic[[#This Row],[Active DnD]]&gt;5),OFFSET(TblPop[[#This Row],[Draft Growth]],-1,0)*0.375,0),0)</f>
        <v>0</v>
      </c>
      <c r="AP39" s="142"/>
      <c r="AQ39" s="94">
        <f ca="1">TblProd[[#This Row],[Platinum]]</f>
        <v>109494</v>
      </c>
      <c r="AR39" s="94">
        <f ca="1">INDEX(TblProd[[#Headers],[Lumber]]:TblProd[[#This Row],[Ore]],COUNTA(TblProd[[#Headers],[Lumber]]:TblProd[[#This Row],[Lumber]]),MATCH(Military!$AR$2,TblProd[[#Headers],[Lumber]:[Ore]],0))</f>
        <v>0</v>
      </c>
      <c r="AS3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39" s="94">
        <f ca="1">TblMili[[#This Row],[Train Unit 1]]*TblMili[[#This Row],[OP Ore]]+TblMili[[#This Row],[Train Unit 2]]*TblMili[[#This Row],[DP Ore]]+TblMili[[#This Row],[Train Unit 3]]*TblMili[[#This Row],[E1 Ore]]+TblMili[[#This Row],[Train Unit 4]]*TblMili[[#This Row],[E2 Ore]]</f>
        <v>0</v>
      </c>
      <c r="AU39" s="142">
        <f>TblMili[[#This Row],[Hour]]</f>
        <v>36</v>
      </c>
      <c r="AV39" s="152">
        <f ca="1">TblMili[[#This Row],[Time]]</f>
        <v>46048.458333333248</v>
      </c>
      <c r="AW39" s="94">
        <f ca="1">TblMili[[#This Row],[Draftees]]</f>
        <v>370</v>
      </c>
      <c r="AX39" s="179"/>
      <c r="AY39" s="179"/>
      <c r="AZ39" s="179"/>
      <c r="BA39" s="179"/>
      <c r="BB39" s="179"/>
      <c r="BC39" s="179"/>
      <c r="BD39" s="179"/>
      <c r="BE39" s="179"/>
      <c r="BF39" s="179"/>
      <c r="BG39" s="142"/>
      <c r="BH39" s="157">
        <f ca="1">TblConstr[[#This Row],[Tot WG]]/TblConstr[[#This Row],[Land]]</f>
        <v>0</v>
      </c>
      <c r="BI39" s="157">
        <f ca="1">TblConstr[[#This Row],[Tot Hav]]/TblConstr[[#This Row],[Land]]</f>
        <v>0</v>
      </c>
      <c r="BJ39" s="94">
        <f ca="1">ROUNDUP((1-MIN(TblMili[[#This Row],[Smithies]]*smithy_bonus,smithy_bonus_cap) + tech_3_5*TblTech[[#This Row],[3-5]] + tech_5_3*TblTech[[#This Row],[5-3]] + tech_5_5*TblTech[[#This Row],[5-5]])*spec_op_plat,0)</f>
        <v>275</v>
      </c>
      <c r="BK39" s="94">
        <f ca="1">ROUNDUP(IF(race="Gnome",1,(1-MIN(TblMili[[#This Row],[Smithies]]*smithy_bonus,smithy_bonus_cap) + tech_3_5*TblTech[[#This Row],[3-5]] + tech_5_3*TblTech[[#This Row],[5-3]] + tech_5_5*TblTech[[#This Row],[5-5]]))*spec_op_ore,0)</f>
        <v>25</v>
      </c>
      <c r="BL39" s="94">
        <f ca="1">ROUNDUP((1-MIN(TblMili[[#This Row],[Smithies]]*smithy_bonus,smithy_bonus_cap) + tech_3_5*TblTech[[#This Row],[3-5]] + tech_5_3*TblTech[[#This Row],[5-3]] + tech_5_5*TblTech[[#This Row],[5-5]])*spec_dp_plat,0)</f>
        <v>275</v>
      </c>
      <c r="BM39" s="94">
        <f ca="1">ROUNDUP(IF(race="Gnome",1,(1-MIN(TblMili[[#This Row],[Smithies]]*smithy_bonus,smithy_bonus_cap) + tech_3_5*TblTech[[#This Row],[3-5]] + tech_5_3*TblTech[[#This Row],[5-3]] + tech_5_5*TblTech[[#This Row],[5-5]]))*spec_dp_ore,0)</f>
        <v>15</v>
      </c>
      <c r="BN39" s="94">
        <f ca="1">ROUNDUP((1-MIN(TblMili[[#This Row],[Smithies]]*smithy_bonus,smithy_bonus_cap) + tech_3_5*TblTech[[#This Row],[3-5]] + tech_5_3*TblTech[[#This Row],[5-3]] + tech_5_5*TblTech[[#This Row],[5-5]])*elite1_plat,0)</f>
        <v>1040</v>
      </c>
      <c r="BO39" s="94">
        <f ca="1">ROUNDUP(IF(race="Gnome",1,(1-MIN(TblMili[[#This Row],[Smithies]]*smithy_bonus,smithy_bonus_cap) + tech_3_5*TblTech[[#This Row],[3-5]] + tech_5_3*TblTech[[#This Row],[5-3]] + tech_5_5*TblTech[[#This Row],[5-5]]))*elite1_ore,0)</f>
        <v>75</v>
      </c>
      <c r="BP39" s="94">
        <f ca="1">ROUNDUP((1-MIN(TblMili[[#This Row],[Smithies]]*smithy_bonus,smithy_bonus_cap) + tech_3_5*TblTech[[#This Row],[3-5]] + tech_5_3*TblTech[[#This Row],[5-3]] + tech_5_5*TblTech[[#This Row],[5-5]])*elite2_plat,0)</f>
        <v>1280</v>
      </c>
      <c r="BQ39" s="94">
        <f ca="1">ROUNDUP(IF(race="Gnome",1,(1-MIN(TblMili[[#This Row],[Smithies]]*smithy_bonus,smithy_bonus_cap) + tech_3_5*TblTech[[#This Row],[3-5]] + tech_5_3*TblTech[[#This Row],[5-3]] + tech_5_5*TblTech[[#This Row],[5-5]]))*elite2_ore,0)</f>
        <v>100</v>
      </c>
      <c r="BR39" s="94">
        <f ca="1">ROUNDUP((1-MIN(ROUND(fh_spy_cost_red*TblMili[[#This Row],[FH''s]],4),fh_spy_cost_cap)+ tech_1_9*TblTech[[#This Row],[1-9]] + tech_9_1*TblTech[[#This Row],[9-1]])*spy_plat,0)</f>
        <v>500</v>
      </c>
      <c r="BS39" s="94">
        <f ca="1">ROUNDUP((1-MIN(ROUND(fh_spy_cost_red*TblMili[[#This Row],[FH''s]],4),fh_spy_cost_cap)+ tech_1_9*TblTech[[#This Row],[1-9]] + tech_9_1*TblTech[[#This Row],[9-1]])*archspy_plat,0)</f>
        <v>1000</v>
      </c>
      <c r="BT39" s="94">
        <f ca="1">ROUNDUP((1-MIN(ROUND(wg_wiz_cost_bonus*TblMili[[#This Row],[WG''s]],4),wg_wiz_cost_cap) + tech_1_9_2*TblTech[[#This Row],[1-9]] + tech_9_1_2*TblTech[[#This Row],[9-1]])*wizard_plat,0)</f>
        <v>500</v>
      </c>
      <c r="BU39" s="94">
        <f ca="1">ROUNDUP((1-MIN(ROUND(wg_wiz_cost_bonus*TblMili[[#This Row],[WG''s]],4),wg_wiz_cost_cap) + tech_1_9_2*TblTech[[#This Row],[1-9]] + tech_9_1_2*TblTech[[#This Row],[9-1]])*archmage_plat,0)</f>
        <v>1000</v>
      </c>
      <c r="BV39" s="142"/>
      <c r="BW39" s="157">
        <f ca="1">TblConstr[[#This Row],[Homeland]]/TblConstr[[#This Row],[Land]]</f>
        <v>0.81818181818181823</v>
      </c>
      <c r="BX39" s="157">
        <f ca="1">TblMili[[#This Row],[WG''s]]</f>
        <v>0</v>
      </c>
      <c r="BY39" s="251">
        <f ca="1">IF(mystic_cap="none",TblMili[[#This Row],[Homeland%]]/mystic_bonus,MIN(mystic_cap,TblMili[[#This Row],[Homeland%]]/mystic_bonus))</f>
        <v>2</v>
      </c>
      <c r="BZ39" s="251">
        <f ca="1">IF(druid_op_cap="none",TblMili[[#This Row],[Homeland%]]/druid_op_bonus,MIN(druid_op_cap,TblMili[[#This Row],[Homeland%]]/druid_op_bonus))</f>
        <v>2</v>
      </c>
      <c r="CA39" s="251">
        <f ca="1">IF(druid_dp_cap="none",TblMili[[#This Row],[Homeland%]]/druid_dp_bonus,MIN(druid_dp_cap,TblMili[[#This Row],[Homeland%]]/druid_dp_bonus))</f>
        <v>2</v>
      </c>
      <c r="CB39" s="251">
        <f ca="1">MIN(dryad_cap,TblMili[[#This Row],[Homeland%]]/dryad_bonus)</f>
        <v>4</v>
      </c>
      <c r="CC39" s="251">
        <f ca="1">MIN(rocka_cap,TblMili[[#This Row],[Homeland%]]/rocka_bonus)</f>
        <v>2</v>
      </c>
      <c r="CD39" s="251">
        <f ca="1">MIN(adept_op_cap,TblMili[[#This Row],[WG]]/adept_op_bonus)</f>
        <v>0</v>
      </c>
      <c r="CE39" s="251">
        <f ca="1">MIN(adept_dp_cap,TblMili[[#This Row],[WG]]/adept_dp_bonus)</f>
        <v>0</v>
      </c>
      <c r="CF39" s="94">
        <f ca="1">MIN(TblMili[[#This Row],[Unit 3]],TblMili[[#This Row],[Unit 2]])*2</f>
        <v>0</v>
      </c>
      <c r="CG39" s="94">
        <f ca="1">MIN(TblMili[[#This Row],[Unit 1]],TblMili[[#This Row],[Unit 4]])*2</f>
        <v>0</v>
      </c>
      <c r="CH39" s="251">
        <f ca="1">MIN(frost_mage_cap,TblMili[[#This Row],[Homeland%]]/frost_mage_bonus)</f>
        <v>3</v>
      </c>
      <c r="CI39" s="45">
        <f ca="1">MIN(ice_elem_cap,TblMili[[#This Row],[Raw (2)]]*ice_elem_bonus)</f>
        <v>0</v>
      </c>
      <c r="CJ39" s="251">
        <f t="shared" si="2"/>
        <v>0.83333333333333337</v>
      </c>
      <c r="CK39" s="251">
        <f ca="1">MIN(nox_nightshade_cap,TblConstr[[#This Row],[Homeland]]/TblConstr[[#This Row],[Land]]/nox_nightshade_swamp_bonus)</f>
        <v>4</v>
      </c>
      <c r="CL39" s="251">
        <f ca="1">MIN(TblConstr[[#This Row],[Total Swamp]]/TblConstr[[#This Row],[Land]]/abyss_enforce_bonus,abyss_enforcer_cap)</f>
        <v>0</v>
      </c>
      <c r="CM39" s="251">
        <f ca="1">IF(TblMagic[[#This Row],[Active Infernal Command]]&gt;0,TblMili[[#This Row],[Unit 1]]*infernal_cmd_op,0)</f>
        <v>0</v>
      </c>
      <c r="CN39" s="252"/>
      <c r="CO39" s="252"/>
      <c r="CP39" s="252"/>
      <c r="CQ39" s="251">
        <f ca="1">MIN(6,TblMili[[#This Row],[Mystic]]+Races!$F$19)*1.8 +  IF(TblMili[[#This Row],[Mystic]]+Races!$F$19&gt;6,(TblMili[[#This Row],[Mystic]]+Races!$F$19-6)*0.2,0) - Races!$I$19</f>
        <v>1</v>
      </c>
      <c r="CR3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39" s="94">
        <f ca="1">TblMili[[#This Row],[Mystic bonus]]*TblMili[[#This Row],[Unit 3]]+TblMili[[#This Row],[Druid bonus]]*TblMili[[#This Row],[Unit 4]]</f>
        <v>0</v>
      </c>
      <c r="CT39" s="155">
        <f ca="1">MIN(6,TblMili[[#This Row],[Dryad]]+Races!$F$35)*1.8 +  IF(TblMili[[#This Row],[Dryad]]+Races!$F$35&gt;6,(TblMili[[#This Row],[Dryad]]+Races!$F$35-6)*0.2,0) - Races!$I$19</f>
        <v>1</v>
      </c>
      <c r="CU39" s="94">
        <f ca="1">sylvan*(TblMili[[#This Row],[Mystic bonus]]*TblMili[[#This Row],[Unit 3]])</f>
        <v>0</v>
      </c>
      <c r="CV39" s="155">
        <f ca="1">1.8 * MIN(MAX(Races!$E$27,TblMili[[#This Row],[Rockapult]]+Races!$F$27),6)  +  0.45 * MIN(MIN(Races!$E$27,TblMili[[#This Row],[Rockapult]]+Races!$F$27),6)  +  0.2 * ( MAX(Races!$E$27-6,0) + MAX(TblMili[[#This Row],[Rockapult]]+Races!$F$27-6,0) )  -  Races!$I$20</f>
        <v>3.7000000000000011</v>
      </c>
      <c r="CW39" s="94">
        <f ca="1">gnome*(TblMili[[#This Row],[Rockapult bonus]]*TblMili[[#This Row],[Unit 3]])</f>
        <v>0</v>
      </c>
      <c r="CX3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39" s="94">
        <f ca="1">dark_elf*(TblMili[[#This Row],[Adept bonus]]*TblMili[[#This Row],[Unit 3]])</f>
        <v>0</v>
      </c>
      <c r="CZ39" s="155">
        <f ca="1">1.8 * MIN(MAX(TblMili[[#This Row],[Frost Mage]]+Races!$F$71,Races!$E$71),6)  +  0.45 * MIN(MIN(TblMili[[#This Row],[Frost Mage]]+Races!$F$71,Races!$E$71),6)  +  0.2 * ( MAX(TblMili[[#This Row],[Frost Mage]]+Races!$F$71-6,0) + MAX(Races!$E$71-6,0) )  -  Races!$I$71</f>
        <v>6.15</v>
      </c>
      <c r="DA39" s="155">
        <f ca="1">1.8 * MIN(MAX(TblMili[[#This Row],[Ice Elemental]]+Races!$E$71,Races!$F$71),6)  +  0.45 * MIN(MIN(TblMili[[#This Row],[Ice Elemental]]+Races!$E$71,Races!$F$71),6)  +  0.2 * ( MAX(TblMili[[#This Row],[Ice Elemental]]+Races!$E$71-6,0) + MAX(Races!$F$71-6,0) )  -  Races!$I$71</f>
        <v>0.75</v>
      </c>
      <c r="DB39" s="94">
        <f ca="1">TblMili[[#This Row],[Frost Mage bonus]]*TblMili[[#This Row],[Unit 3]]+TblMili[[#This Row],[Ice Elemental bonus]]*TblMili[[#This Row],[Unit 4]]</f>
        <v>0</v>
      </c>
      <c r="DC39" s="253"/>
      <c r="DD39" s="143">
        <f ca="1">MIN(SUM(TblConstr[[#This Row],[Plain]:[Water]])/TblMili[[#This Row],[Land]]/favorable_terrain_bonus/100,favorable_terrain_max)</f>
        <v>0.1</v>
      </c>
      <c r="DE39" s="253"/>
      <c r="DF3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39" s="142"/>
      <c r="DH39" s="254">
        <f ca="1">(TblMili[[#This Row],[Wizards]]+2*TblMili[[#This Row],[Archmages]])/TblConstr[[#This Row],[Land]]</f>
        <v>0</v>
      </c>
      <c r="DI39" s="254">
        <f ca="1">TblMili[[#This Row],[Raw (2)]]*(1+race_wizard_strength+IF(TblMili[[#This Row],[Hour]]&gt;72,tech_magical_weaponry_wiz*TblTech[[#This Row],[3-5]],0))</f>
        <v>0</v>
      </c>
    </row>
    <row r="40" spans="1:113" s="5" customFormat="1" x14ac:dyDescent="0.2">
      <c r="A40" s="144">
        <f>TblRezone[[#This Row],[Hour]]</f>
        <v>37</v>
      </c>
      <c r="B40" s="258">
        <f ca="1">SUM(TblMili[[#This Row],[Unit 1]:[Archmages]])+SUM(OFFSET(TblMili[[#This Row],[Train Unit 1]],-8,0):TblMili[[#This Row],[Train Unit 2]]) + SUM(OFFSET(TblMili[[#This Row],[Train Unit 3]],-11,0):TblMili[[#This Row],[Train AM]]) + TblMili[[#This Row],[Draftees]]</f>
        <v>377</v>
      </c>
      <c r="C40" s="165">
        <f ca="1">TblPop[[#This Row],[Military%]]</f>
        <v>0.3503717472118959</v>
      </c>
      <c r="D40" s="149"/>
      <c r="E40" s="5">
        <f ca="1">OFFSET(TblMili[[#This Row],[Unit 1]],-1,0) + OFFSET(TblMili[[#This Row],[Train Unit 1]],-9,0) - TblMili[[#This Row],[Release Unit 1]] + OFFSET(TblMili[[#This Row],[DnD_Zombies]],-12,0)</f>
        <v>0</v>
      </c>
      <c r="F40" s="5">
        <f ca="1">OFFSET(TblMili[[#This Row],[Unit 2]],-1,0) + OFFSET(TblMili[[#This Row],[Train Unit 2]],-9,0)-TblMili[[#This Row],[Release Unit 2]]</f>
        <v>0</v>
      </c>
      <c r="G40" s="5">
        <f ca="1">OFFSET(TblMili[[#This Row],[Unit 3]],-1,0) + OFFSET(TblMili[[#This Row],[Train Unit 3]],-12,0)-TblMili[[#This Row],[Release Unit 3]]</f>
        <v>0</v>
      </c>
      <c r="H40" s="5">
        <f ca="1">OFFSET(TblMili[[#This Row],[Unit 4]],-1,0) + OFFSET(TblMili[[#This Row],[Train Unit 4]],-12,0)-TblMili[[#This Row],[Release Unit 4]]</f>
        <v>0</v>
      </c>
      <c r="I40" s="5">
        <f ca="1">OFFSET(TblMili[[#This Row],[Spies]],-1,0) + OFFSET(TblMili[[#This Row],[Train Spies]],-12,0) - TblMili[[#This Row],[Release Spies]]-TblMili[[#This Row],[Train AS]]</f>
        <v>0</v>
      </c>
      <c r="J40" s="5">
        <f ca="1">OFFSET(TblMili[[#This Row],[Archspies]],-1,0) + OFFSET(TblMili[[#This Row],[Train AS]],-12,0) - TblMili[[#This Row],[Release AS]]</f>
        <v>0</v>
      </c>
      <c r="K40" s="5">
        <f ca="1">OFFSET(TblMili[[#This Row],[Wizards]],-1,0) + OFFSET(TblMili[[#This Row],[Train Wiz]],-12,0) - TblMili[[#This Row],[Release Wizards]]-TblMili[[#This Row],[Train AM]]</f>
        <v>0</v>
      </c>
      <c r="L40" s="5">
        <f ca="1">OFFSET(TblMili[[#This Row],[Archmages]],-1,0) + OFFSET(TblMili[[#This Row],[Train AM]],-12,0) - TblMili[[#This Row],[Release AM]]</f>
        <v>0</v>
      </c>
      <c r="M40" s="149"/>
      <c r="N40" s="35">
        <f ca="1">TblProd[[#This Row],[Networth]]</f>
        <v>2450</v>
      </c>
      <c r="O40" s="149"/>
      <c r="P40" s="448">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0" s="165">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0" s="448">
        <f ca="1">TblMili[[#This Row],[Raw]]*(1+TblMili[[#This Row],[Mods_Off]])</f>
        <v>0</v>
      </c>
      <c r="S40" s="448">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0" s="448">
        <f ca="1">TblMili[[#This Row],[Non Draft]]+TblMili[[#This Row],[Draftees]]</f>
        <v>377</v>
      </c>
      <c r="U40" s="449">
        <f ca="1">race_defense + TblImps[[#This Row],[Walls]] + ROUND( MIN(gt_bonus*TblConstr[[#This Row],[Tot GT]]/TblConstr[[#This Row],[Land]],gt_bonus_cap), 4) + IF(TblMagic[[#This Row],[Active Howling]]&gt;0,howling_dp_bonus,IF(TblMagic[[#This Row],[Active Ares Call]]&gt;0,ares_call_bonus))</f>
        <v>0</v>
      </c>
      <c r="V40" s="450">
        <f ca="1">TblMili[[#This Row],[Non Draft]] * (1 + TblMili[[#This Row],[Mods_Def]])</f>
        <v>0</v>
      </c>
      <c r="W40" s="448">
        <f ca="1">TblMili[[#This Row],[Draft]] * (1 + TblMili[[#This Row],[Mods_Def]])</f>
        <v>377</v>
      </c>
      <c r="X40" s="448">
        <f ca="1">TblConstr[[#This Row],[Land]]</f>
        <v>110</v>
      </c>
      <c r="Y40" s="259"/>
      <c r="Z40" s="451">
        <f ca="1">IF(TblMili[[#This Row],[Set]]&lt;&gt;"",TblMili[[#This Row],[Set]],OFFSET(TblMili[[#This Row],[Draftrate]],-1,0))</f>
        <v>0.9</v>
      </c>
      <c r="AA40" s="35">
        <f ca="1">OFFSET(TblMili[[#This Row],[Draftees]],-1,0)+OFFSET(TblPop[[#This Row],[Draft Growth]],-1,0) - SUM(TblMili[[#This Row],[Train Unit 1]:[Train Spies]],TblMili[[#This Row],[Train Wiz]],TblMili[[#This Row],[DnD_Zombies]]) - TblMili[[#This Row],[Release Draft]] + SUM(TblMili[[#This Row],[Release Unit 1]:[Release AM]]) - TblExplore[[#This Row],[Draftees (2)]]</f>
        <v>377</v>
      </c>
      <c r="AB40" s="162"/>
      <c r="AC40" s="436">
        <f ca="1">(TblConstr[[#This Row],[Tot Smi]]+TblConstr[[#This Row],[Dest Smi]])/(TblConstr[[#This Row],[Land]]-TblExplore[[#This Row],[Land Bonus]]*20)</f>
        <v>0</v>
      </c>
      <c r="AD40" s="144"/>
      <c r="AE40" s="258">
        <f>TblMili[[#This Row],[Hour]]</f>
        <v>37</v>
      </c>
      <c r="AF40" s="145">
        <f ca="1">TblExplore[[#This Row],[Time]]</f>
        <v>46048.499999999913</v>
      </c>
      <c r="AG40" s="201"/>
      <c r="AH40" s="201"/>
      <c r="AI40" s="201"/>
      <c r="AJ40" s="201"/>
      <c r="AK40" s="201"/>
      <c r="AL40" s="201"/>
      <c r="AM40" s="201"/>
      <c r="AN40" s="201"/>
      <c r="AO40" s="421">
        <f ca="1">ROUND(IF(AND(TblMagic[[#This Row],[Active DnD]]&lt;12,TblMagic[[#This Row],[Active DnD]]&gt;5),OFFSET(TblPop[[#This Row],[Draft Growth]],-1,0)*0.375,0),0)</f>
        <v>0</v>
      </c>
      <c r="AP40" s="149"/>
      <c r="AQ40" s="35">
        <f ca="1">TblProd[[#This Row],[Platinum]]</f>
        <v>111400</v>
      </c>
      <c r="AR40" s="35">
        <f ca="1">INDEX(TblProd[[#Headers],[Lumber]]:TblProd[[#This Row],[Ore]],COUNTA(TblProd[[#Headers],[Lumber]]:TblProd[[#This Row],[Lumber]]),MATCH(Military!$AR$2,TblProd[[#Headers],[Lumber]:[Ore]],0))</f>
        <v>0</v>
      </c>
      <c r="AS40" s="35">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0" s="35">
        <f ca="1">TblMili[[#This Row],[Train Unit 1]]*TblMili[[#This Row],[OP Ore]]+TblMili[[#This Row],[Train Unit 2]]*TblMili[[#This Row],[DP Ore]]+TblMili[[#This Row],[Train Unit 3]]*TblMili[[#This Row],[E1 Ore]]+TblMili[[#This Row],[Train Unit 4]]*TblMili[[#This Row],[E2 Ore]]</f>
        <v>0</v>
      </c>
      <c r="AU40" s="149">
        <f>TblMili[[#This Row],[Hour]]</f>
        <v>37</v>
      </c>
      <c r="AV40" s="160">
        <f ca="1">TblMili[[#This Row],[Time]]</f>
        <v>46048.499999999913</v>
      </c>
      <c r="AW40" s="35">
        <f ca="1">TblMili[[#This Row],[Draftees]]</f>
        <v>377</v>
      </c>
      <c r="AX40" s="201"/>
      <c r="AY40" s="201"/>
      <c r="AZ40" s="201"/>
      <c r="BA40" s="201"/>
      <c r="BB40" s="201"/>
      <c r="BC40" s="201"/>
      <c r="BD40" s="201"/>
      <c r="BE40" s="201"/>
      <c r="BF40" s="201"/>
      <c r="BG40" s="149"/>
      <c r="BH40" s="165">
        <f ca="1">TblConstr[[#This Row],[Tot WG]]/TblConstr[[#This Row],[Land]]</f>
        <v>0</v>
      </c>
      <c r="BI40" s="165">
        <f ca="1">TblConstr[[#This Row],[Tot Hav]]/TblConstr[[#This Row],[Land]]</f>
        <v>0</v>
      </c>
      <c r="BJ40" s="35">
        <f ca="1">ROUNDUP((1-MIN(TblMili[[#This Row],[Smithies]]*smithy_bonus,smithy_bonus_cap) + tech_3_5*TblTech[[#This Row],[3-5]] + tech_5_3*TblTech[[#This Row],[5-3]] + tech_5_5*TblTech[[#This Row],[5-5]])*spec_op_plat,0)</f>
        <v>275</v>
      </c>
      <c r="BK40" s="35">
        <f ca="1">ROUNDUP(IF(race="Gnome",1,(1-MIN(TblMili[[#This Row],[Smithies]]*smithy_bonus,smithy_bonus_cap) + tech_3_5*TblTech[[#This Row],[3-5]] + tech_5_3*TblTech[[#This Row],[5-3]] + tech_5_5*TblTech[[#This Row],[5-5]]))*spec_op_ore,0)</f>
        <v>25</v>
      </c>
      <c r="BL40" s="35">
        <f ca="1">ROUNDUP((1-MIN(TblMili[[#This Row],[Smithies]]*smithy_bonus,smithy_bonus_cap) + tech_3_5*TblTech[[#This Row],[3-5]] + tech_5_3*TblTech[[#This Row],[5-3]] + tech_5_5*TblTech[[#This Row],[5-5]])*spec_dp_plat,0)</f>
        <v>275</v>
      </c>
      <c r="BM40" s="35">
        <f ca="1">ROUNDUP(IF(race="Gnome",1,(1-MIN(TblMili[[#This Row],[Smithies]]*smithy_bonus,smithy_bonus_cap) + tech_3_5*TblTech[[#This Row],[3-5]] + tech_5_3*TblTech[[#This Row],[5-3]] + tech_5_5*TblTech[[#This Row],[5-5]]))*spec_dp_ore,0)</f>
        <v>15</v>
      </c>
      <c r="BN40" s="35">
        <f ca="1">ROUNDUP((1-MIN(TblMili[[#This Row],[Smithies]]*smithy_bonus,smithy_bonus_cap) + tech_3_5*TblTech[[#This Row],[3-5]] + tech_5_3*TblTech[[#This Row],[5-3]] + tech_5_5*TblTech[[#This Row],[5-5]])*elite1_plat,0)</f>
        <v>1040</v>
      </c>
      <c r="BO40" s="35">
        <f ca="1">ROUNDUP(IF(race="Gnome",1,(1-MIN(TblMili[[#This Row],[Smithies]]*smithy_bonus,smithy_bonus_cap) + tech_3_5*TblTech[[#This Row],[3-5]] + tech_5_3*TblTech[[#This Row],[5-3]] + tech_5_5*TblTech[[#This Row],[5-5]]))*elite1_ore,0)</f>
        <v>75</v>
      </c>
      <c r="BP40" s="35">
        <f ca="1">ROUNDUP((1-MIN(TblMili[[#This Row],[Smithies]]*smithy_bonus,smithy_bonus_cap) + tech_3_5*TblTech[[#This Row],[3-5]] + tech_5_3*TblTech[[#This Row],[5-3]] + tech_5_5*TblTech[[#This Row],[5-5]])*elite2_plat,0)</f>
        <v>1280</v>
      </c>
      <c r="BQ40" s="35">
        <f ca="1">ROUNDUP(IF(race="Gnome",1,(1-MIN(TblMili[[#This Row],[Smithies]]*smithy_bonus,smithy_bonus_cap) + tech_3_5*TblTech[[#This Row],[3-5]] + tech_5_3*TblTech[[#This Row],[5-3]] + tech_5_5*TblTech[[#This Row],[5-5]]))*elite2_ore,0)</f>
        <v>100</v>
      </c>
      <c r="BR40" s="35">
        <f ca="1">ROUNDUP((1-MIN(ROUND(fh_spy_cost_red*TblMili[[#This Row],[FH''s]],4),fh_spy_cost_cap)+ tech_1_9*TblTech[[#This Row],[1-9]] + tech_9_1*TblTech[[#This Row],[9-1]])*spy_plat,0)</f>
        <v>500</v>
      </c>
      <c r="BS40" s="35">
        <f ca="1">ROUNDUP((1-MIN(ROUND(fh_spy_cost_red*TblMili[[#This Row],[FH''s]],4),fh_spy_cost_cap)+ tech_1_9*TblTech[[#This Row],[1-9]] + tech_9_1*TblTech[[#This Row],[9-1]])*archspy_plat,0)</f>
        <v>1000</v>
      </c>
      <c r="BT40" s="35">
        <f ca="1">ROUNDUP((1-MIN(ROUND(wg_wiz_cost_bonus*TblMili[[#This Row],[WG''s]],4),wg_wiz_cost_cap) + tech_1_9_2*TblTech[[#This Row],[1-9]] + tech_9_1_2*TblTech[[#This Row],[9-1]])*wizard_plat,0)</f>
        <v>500</v>
      </c>
      <c r="BU40" s="35">
        <f ca="1">ROUNDUP((1-MIN(ROUND(wg_wiz_cost_bonus*TblMili[[#This Row],[WG''s]],4),wg_wiz_cost_cap) + tech_1_9_2*TblTech[[#This Row],[1-9]] + tech_9_1_2*TblTech[[#This Row],[9-1]])*archmage_plat,0)</f>
        <v>1000</v>
      </c>
      <c r="BV40" s="149"/>
      <c r="BW40" s="165">
        <f ca="1">TblConstr[[#This Row],[Homeland]]/TblConstr[[#This Row],[Land]]</f>
        <v>0.81818181818181823</v>
      </c>
      <c r="BX40" s="165">
        <f ca="1">TblMili[[#This Row],[WG''s]]</f>
        <v>0</v>
      </c>
      <c r="BY40" s="452">
        <f ca="1">IF(mystic_cap="none",TblMili[[#This Row],[Homeland%]]/mystic_bonus,MIN(mystic_cap,TblMili[[#This Row],[Homeland%]]/mystic_bonus))</f>
        <v>2</v>
      </c>
      <c r="BZ40" s="452">
        <f ca="1">IF(druid_op_cap="none",TblMili[[#This Row],[Homeland%]]/druid_op_bonus,MIN(druid_op_cap,TblMili[[#This Row],[Homeland%]]/druid_op_bonus))</f>
        <v>2</v>
      </c>
      <c r="CA40" s="452">
        <f ca="1">IF(druid_dp_cap="none",TblMili[[#This Row],[Homeland%]]/druid_dp_bonus,MIN(druid_dp_cap,TblMili[[#This Row],[Homeland%]]/druid_dp_bonus))</f>
        <v>2</v>
      </c>
      <c r="CB40" s="452">
        <f ca="1">MIN(dryad_cap,TblMili[[#This Row],[Homeland%]]/dryad_bonus)</f>
        <v>4</v>
      </c>
      <c r="CC40" s="452">
        <f ca="1">MIN(rocka_cap,TblMili[[#This Row],[Homeland%]]/rocka_bonus)</f>
        <v>2</v>
      </c>
      <c r="CD40" s="452">
        <f ca="1">MIN(adept_op_cap,TblMili[[#This Row],[WG]]/adept_op_bonus)</f>
        <v>0</v>
      </c>
      <c r="CE40" s="452">
        <f ca="1">MIN(adept_dp_cap,TblMili[[#This Row],[WG]]/adept_dp_bonus)</f>
        <v>0</v>
      </c>
      <c r="CF40" s="35">
        <f ca="1">MIN(TblMili[[#This Row],[Unit 3]],TblMili[[#This Row],[Unit 2]])*2</f>
        <v>0</v>
      </c>
      <c r="CG40" s="35">
        <f ca="1">MIN(TblMili[[#This Row],[Unit 1]],TblMili[[#This Row],[Unit 4]])*2</f>
        <v>0</v>
      </c>
      <c r="CH40" s="452">
        <f ca="1">MIN(frost_mage_cap,TblMili[[#This Row],[Homeland%]]/frost_mage_bonus)</f>
        <v>3</v>
      </c>
      <c r="CI40" s="5">
        <f ca="1">MIN(ice_elem_cap,TblMili[[#This Row],[Raw (2)]]*ice_elem_bonus)</f>
        <v>0</v>
      </c>
      <c r="CJ40" s="452">
        <f t="shared" si="2"/>
        <v>0.83333333333333337</v>
      </c>
      <c r="CK40" s="452">
        <f ca="1">MIN(nox_nightshade_cap,TblConstr[[#This Row],[Homeland]]/TblConstr[[#This Row],[Land]]/nox_nightshade_swamp_bonus)</f>
        <v>4</v>
      </c>
      <c r="CL40" s="452">
        <f ca="1">MIN(TblConstr[[#This Row],[Total Swamp]]/TblConstr[[#This Row],[Land]]/abyss_enforce_bonus,abyss_enforcer_cap)</f>
        <v>0</v>
      </c>
      <c r="CM40" s="452">
        <f ca="1">IF(TblMagic[[#This Row],[Active Infernal Command]]&gt;0,TblMili[[#This Row],[Unit 1]]*infernal_cmd_op,0)</f>
        <v>0</v>
      </c>
      <c r="CN40" s="260"/>
      <c r="CO40" s="260"/>
      <c r="CP40" s="260"/>
      <c r="CQ40" s="452">
        <f ca="1">MIN(6,TblMili[[#This Row],[Mystic]]+Races!$F$19)*1.8 +  IF(TblMili[[#This Row],[Mystic]]+Races!$F$19&gt;6,(TblMili[[#This Row],[Mystic]]+Races!$F$19-6)*0.2,0) - Races!$I$19</f>
        <v>1</v>
      </c>
      <c r="CR40" s="452">
        <f ca="1">1.8 * MIN(MAX(TblMili[[#This Row],[Druid (op)]]+Races!$E$20,TblMili[[#This Row],[Druid (dp)]]+Races!$F$20),6)  +  0.45 * MIN(MIN(TblMili[[#This Row],[Druid (op)]]+Races!$E$20,TblMili[[#This Row],[Druid (dp)]]+Races!$F$20),6)  +  0.2 * ( MAX(TblMili[[#This Row],[Druid (op)]]+Races!$E$20-6,0) + MAX(TblMili[[#This Row],[Druid (dp)]]+Races!$F$20-6,0) )  -  Races!$I$20</f>
        <v>4.6000000000000014</v>
      </c>
      <c r="CS40" s="35">
        <f ca="1">TblMili[[#This Row],[Mystic bonus]]*TblMili[[#This Row],[Unit 3]]+TblMili[[#This Row],[Druid bonus]]*TblMili[[#This Row],[Unit 4]]</f>
        <v>0</v>
      </c>
      <c r="CT40" s="163">
        <f ca="1">MIN(6,TblMili[[#This Row],[Dryad]]+Races!$F$35)*1.8 +  IF(TblMili[[#This Row],[Dryad]]+Races!$F$35&gt;6,(TblMili[[#This Row],[Dryad]]+Races!$F$35-6)*0.2,0) - Races!$I$19</f>
        <v>1</v>
      </c>
      <c r="CU40" s="35">
        <f ca="1">sylvan*(TblMili[[#This Row],[Mystic bonus]]*TblMili[[#This Row],[Unit 3]])</f>
        <v>0</v>
      </c>
      <c r="CV40" s="163">
        <f ca="1">1.8 * MIN(MAX(Races!$E$27,TblMili[[#This Row],[Rockapult]]+Races!$F$27),6)  +  0.45 * MIN(MIN(Races!$E$27,TblMili[[#This Row],[Rockapult]]+Races!$F$27),6)  +  0.2 * ( MAX(Races!$E$27-6,0) + MAX(TblMili[[#This Row],[Rockapult]]+Races!$F$27-6,0) )  -  Races!$I$20</f>
        <v>3.7000000000000011</v>
      </c>
      <c r="CW40" s="35">
        <f ca="1">gnome*(TblMili[[#This Row],[Rockapult bonus]]*TblMili[[#This Row],[Unit 3]])</f>
        <v>0</v>
      </c>
      <c r="CX40" s="163">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0" s="35">
        <f ca="1">dark_elf*(TblMili[[#This Row],[Adept bonus]]*TblMili[[#This Row],[Unit 3]])</f>
        <v>0</v>
      </c>
      <c r="CZ40" s="163">
        <f ca="1">1.8 * MIN(MAX(TblMili[[#This Row],[Frost Mage]]+Races!$F$71,Races!$E$71),6)  +  0.45 * MIN(MIN(TblMili[[#This Row],[Frost Mage]]+Races!$F$71,Races!$E$71),6)  +  0.2 * ( MAX(TblMili[[#This Row],[Frost Mage]]+Races!$F$71-6,0) + MAX(Races!$E$71-6,0) )  -  Races!$I$71</f>
        <v>6.15</v>
      </c>
      <c r="DA40" s="163">
        <f ca="1">1.8 * MIN(MAX(TblMili[[#This Row],[Ice Elemental]]+Races!$E$71,Races!$F$71),6)  +  0.45 * MIN(MIN(TblMili[[#This Row],[Ice Elemental]]+Races!$E$71,Races!$F$71),6)  +  0.2 * ( MAX(TblMili[[#This Row],[Ice Elemental]]+Races!$E$71-6,0) + MAX(Races!$F$71-6,0) )  -  Races!$I$71</f>
        <v>0.75</v>
      </c>
      <c r="DB40" s="35">
        <f ca="1">TblMili[[#This Row],[Frost Mage bonus]]*TblMili[[#This Row],[Unit 3]]+TblMili[[#This Row],[Ice Elemental bonus]]*TblMili[[#This Row],[Unit 4]]</f>
        <v>0</v>
      </c>
      <c r="DC40" s="261"/>
      <c r="DD40" s="150">
        <f ca="1">MIN(SUM(TblConstr[[#This Row],[Plain]:[Water]])/TblMili[[#This Row],[Land]]/favorable_terrain_bonus/100,favorable_terrain_max)</f>
        <v>0.1</v>
      </c>
      <c r="DE40" s="261"/>
      <c r="DF40" s="35">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0" s="149"/>
      <c r="DH40" s="453">
        <f ca="1">(TblMili[[#This Row],[Wizards]]+2*TblMili[[#This Row],[Archmages]])/TblConstr[[#This Row],[Land]]</f>
        <v>0</v>
      </c>
      <c r="DI40" s="453">
        <f ca="1">TblMili[[#This Row],[Raw (2)]]*(1+race_wizard_strength+IF(TblMili[[#This Row],[Hour]]&gt;72,tech_magical_weaponry_wiz*TblTech[[#This Row],[3-5]],0))</f>
        <v>0</v>
      </c>
    </row>
    <row r="41" spans="1:113" x14ac:dyDescent="0.2">
      <c r="A41" s="137">
        <f>TblRezone[[#This Row],[Hour]]</f>
        <v>38</v>
      </c>
      <c r="B41" s="246">
        <f ca="1">SUM(TblMili[[#This Row],[Unit 1]:[Archmages]])+SUM(OFFSET(TblMili[[#This Row],[Train Unit 1]],-8,0):TblMili[[#This Row],[Train Unit 2]]) + SUM(OFFSET(TblMili[[#This Row],[Train Unit 3]],-11,0):TblMili[[#This Row],[Train AM]]) + TblMili[[#This Row],[Draftees]]</f>
        <v>384</v>
      </c>
      <c r="C41" s="157">
        <f ca="1">TblPop[[#This Row],[Military%]]</f>
        <v>0.35687732342007433</v>
      </c>
      <c r="D41" s="142"/>
      <c r="E41" s="45">
        <f ca="1">OFFSET(TblMili[[#This Row],[Unit 1]],-1,0) + OFFSET(TblMili[[#This Row],[Train Unit 1]],-9,0) - TblMili[[#This Row],[Release Unit 1]] + OFFSET(TblMili[[#This Row],[DnD_Zombies]],-12,0)</f>
        <v>0</v>
      </c>
      <c r="F41" s="45">
        <f ca="1">OFFSET(TblMili[[#This Row],[Unit 2]],-1,0) + OFFSET(TblMili[[#This Row],[Train Unit 2]],-9,0)-TblMili[[#This Row],[Release Unit 2]]</f>
        <v>0</v>
      </c>
      <c r="G41" s="45">
        <f ca="1">OFFSET(TblMili[[#This Row],[Unit 3]],-1,0) + OFFSET(TblMili[[#This Row],[Train Unit 3]],-12,0)-TblMili[[#This Row],[Release Unit 3]]</f>
        <v>0</v>
      </c>
      <c r="H41" s="45">
        <f ca="1">OFFSET(TblMili[[#This Row],[Unit 4]],-1,0) + OFFSET(TblMili[[#This Row],[Train Unit 4]],-12,0)-TblMili[[#This Row],[Release Unit 4]]</f>
        <v>0</v>
      </c>
      <c r="I41" s="45">
        <f ca="1">OFFSET(TblMili[[#This Row],[Spies]],-1,0) + OFFSET(TblMili[[#This Row],[Train Spies]],-12,0) - TblMili[[#This Row],[Release Spies]]-TblMili[[#This Row],[Train AS]]</f>
        <v>0</v>
      </c>
      <c r="J41" s="45">
        <f ca="1">OFFSET(TblMili[[#This Row],[Archspies]],-1,0) + OFFSET(TblMili[[#This Row],[Train AS]],-12,0) - TblMili[[#This Row],[Release AS]]</f>
        <v>0</v>
      </c>
      <c r="K41" s="45">
        <f ca="1">OFFSET(TblMili[[#This Row],[Wizards]],-1,0) + OFFSET(TblMili[[#This Row],[Train Wiz]],-12,0) - TblMili[[#This Row],[Release Wizards]]-TblMili[[#This Row],[Train AM]]</f>
        <v>0</v>
      </c>
      <c r="L41" s="45">
        <f ca="1">OFFSET(TblMili[[#This Row],[Archmages]],-1,0) + OFFSET(TblMili[[#This Row],[Train AM]],-12,0) - TblMili[[#This Row],[Release AM]]</f>
        <v>0</v>
      </c>
      <c r="M41" s="142"/>
      <c r="N41" s="94">
        <f ca="1">TblProd[[#This Row],[Networth]]</f>
        <v>2450</v>
      </c>
      <c r="O41" s="142"/>
      <c r="P4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1" s="247">
        <f ca="1">TblMili[[#This Row],[Raw]]*(1+TblMili[[#This Row],[Mods_Off]])</f>
        <v>0</v>
      </c>
      <c r="S4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1" s="247">
        <f ca="1">TblMili[[#This Row],[Non Draft]]+TblMili[[#This Row],[Draftees]]</f>
        <v>384</v>
      </c>
      <c r="U41" s="248">
        <f ca="1">race_defense + TblImps[[#This Row],[Walls]] + ROUND( MIN(gt_bonus*TblConstr[[#This Row],[Tot GT]]/TblConstr[[#This Row],[Land]],gt_bonus_cap), 4) + IF(TblMagic[[#This Row],[Active Howling]]&gt;0,howling_dp_bonus,IF(TblMagic[[#This Row],[Active Ares Call]]&gt;0,ares_call_bonus))</f>
        <v>0</v>
      </c>
      <c r="V41" s="249">
        <f ca="1">TblMili[[#This Row],[Non Draft]] * (1 + TblMili[[#This Row],[Mods_Def]])</f>
        <v>0</v>
      </c>
      <c r="W41" s="247">
        <f ca="1">TblMili[[#This Row],[Draft]] * (1 + TblMili[[#This Row],[Mods_Def]])</f>
        <v>384</v>
      </c>
      <c r="X41" s="247">
        <f ca="1">TblConstr[[#This Row],[Land]]</f>
        <v>110</v>
      </c>
      <c r="Y41" s="250"/>
      <c r="Z41" s="255">
        <f ca="1">IF(TblMili[[#This Row],[Set]]&lt;&gt;"",TblMili[[#This Row],[Set]],OFFSET(TblMili[[#This Row],[Draftrate]],-1,0))</f>
        <v>0.9</v>
      </c>
      <c r="AA41" s="94">
        <f ca="1">OFFSET(TblMili[[#This Row],[Draftees]],-1,0)+OFFSET(TblPop[[#This Row],[Draft Growth]],-1,0) - SUM(TblMili[[#This Row],[Train Unit 1]:[Train Spies]],TblMili[[#This Row],[Train Wiz]],TblMili[[#This Row],[DnD_Zombies]]) - TblMili[[#This Row],[Release Draft]] + SUM(TblMili[[#This Row],[Release Unit 1]:[Release AM]]) - TblExplore[[#This Row],[Draftees (2)]]</f>
        <v>384</v>
      </c>
      <c r="AB41" s="154"/>
      <c r="AC41" s="180">
        <f ca="1">(TblConstr[[#This Row],[Tot Smi]]+TblConstr[[#This Row],[Dest Smi]])/(TblConstr[[#This Row],[Land]]-TblExplore[[#This Row],[Land Bonus]]*20)</f>
        <v>0</v>
      </c>
      <c r="AD41" s="137"/>
      <c r="AE41" s="246">
        <f>TblMili[[#This Row],[Hour]]</f>
        <v>38</v>
      </c>
      <c r="AF41" s="138">
        <f ca="1">TblExplore[[#This Row],[Time]]</f>
        <v>46048.541666666577</v>
      </c>
      <c r="AG41" s="179"/>
      <c r="AH41" s="179"/>
      <c r="AI41" s="179"/>
      <c r="AJ41" s="179"/>
      <c r="AK41" s="179"/>
      <c r="AL41" s="179"/>
      <c r="AM41" s="179"/>
      <c r="AN41" s="179"/>
      <c r="AO41" s="420">
        <f ca="1">ROUND(IF(AND(TblMagic[[#This Row],[Active DnD]]&lt;12,TblMagic[[#This Row],[Active DnD]]&gt;5),OFFSET(TblPop[[#This Row],[Draft Growth]],-1,0)*0.375,0),0)</f>
        <v>0</v>
      </c>
      <c r="AP41" s="142"/>
      <c r="AQ41" s="94">
        <f ca="1">TblProd[[#This Row],[Platinum]]</f>
        <v>113287</v>
      </c>
      <c r="AR41" s="94">
        <f ca="1">INDEX(TblProd[[#Headers],[Lumber]]:TblProd[[#This Row],[Ore]],COUNTA(TblProd[[#Headers],[Lumber]]:TblProd[[#This Row],[Lumber]]),MATCH(Military!$AR$2,TblProd[[#Headers],[Lumber]:[Ore]],0))</f>
        <v>0</v>
      </c>
      <c r="AS4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1" s="94">
        <f ca="1">TblMili[[#This Row],[Train Unit 1]]*TblMili[[#This Row],[OP Ore]]+TblMili[[#This Row],[Train Unit 2]]*TblMili[[#This Row],[DP Ore]]+TblMili[[#This Row],[Train Unit 3]]*TblMili[[#This Row],[E1 Ore]]+TblMili[[#This Row],[Train Unit 4]]*TblMili[[#This Row],[E2 Ore]]</f>
        <v>0</v>
      </c>
      <c r="AU41" s="142">
        <f>TblMili[[#This Row],[Hour]]</f>
        <v>38</v>
      </c>
      <c r="AV41" s="152">
        <f ca="1">TblMili[[#This Row],[Time]]</f>
        <v>46048.541666666577</v>
      </c>
      <c r="AW41" s="94">
        <f ca="1">TblMili[[#This Row],[Draftees]]</f>
        <v>384</v>
      </c>
      <c r="AX41" s="179"/>
      <c r="AY41" s="179"/>
      <c r="AZ41" s="179"/>
      <c r="BA41" s="179"/>
      <c r="BB41" s="179"/>
      <c r="BC41" s="179"/>
      <c r="BD41" s="179"/>
      <c r="BE41" s="179"/>
      <c r="BF41" s="179"/>
      <c r="BG41" s="142"/>
      <c r="BH41" s="157">
        <f ca="1">TblConstr[[#This Row],[Tot WG]]/TblConstr[[#This Row],[Land]]</f>
        <v>0</v>
      </c>
      <c r="BI41" s="157">
        <f ca="1">TblConstr[[#This Row],[Tot Hav]]/TblConstr[[#This Row],[Land]]</f>
        <v>0</v>
      </c>
      <c r="BJ41" s="94">
        <f ca="1">ROUNDUP((1-MIN(TblMili[[#This Row],[Smithies]]*smithy_bonus,smithy_bonus_cap) + tech_3_5*TblTech[[#This Row],[3-5]] + tech_5_3*TblTech[[#This Row],[5-3]] + tech_5_5*TblTech[[#This Row],[5-5]])*spec_op_plat,0)</f>
        <v>275</v>
      </c>
      <c r="BK41" s="94">
        <f ca="1">ROUNDUP(IF(race="Gnome",1,(1-MIN(TblMili[[#This Row],[Smithies]]*smithy_bonus,smithy_bonus_cap) + tech_3_5*TblTech[[#This Row],[3-5]] + tech_5_3*TblTech[[#This Row],[5-3]] + tech_5_5*TblTech[[#This Row],[5-5]]))*spec_op_ore,0)</f>
        <v>25</v>
      </c>
      <c r="BL41" s="94">
        <f ca="1">ROUNDUP((1-MIN(TblMili[[#This Row],[Smithies]]*smithy_bonus,smithy_bonus_cap) + tech_3_5*TblTech[[#This Row],[3-5]] + tech_5_3*TblTech[[#This Row],[5-3]] + tech_5_5*TblTech[[#This Row],[5-5]])*spec_dp_plat,0)</f>
        <v>275</v>
      </c>
      <c r="BM41" s="94">
        <f ca="1">ROUNDUP(IF(race="Gnome",1,(1-MIN(TblMili[[#This Row],[Smithies]]*smithy_bonus,smithy_bonus_cap) + tech_3_5*TblTech[[#This Row],[3-5]] + tech_5_3*TblTech[[#This Row],[5-3]] + tech_5_5*TblTech[[#This Row],[5-5]]))*spec_dp_ore,0)</f>
        <v>15</v>
      </c>
      <c r="BN41" s="94">
        <f ca="1">ROUNDUP((1-MIN(TblMili[[#This Row],[Smithies]]*smithy_bonus,smithy_bonus_cap) + tech_3_5*TblTech[[#This Row],[3-5]] + tech_5_3*TblTech[[#This Row],[5-3]] + tech_5_5*TblTech[[#This Row],[5-5]])*elite1_plat,0)</f>
        <v>1040</v>
      </c>
      <c r="BO41" s="94">
        <f ca="1">ROUNDUP(IF(race="Gnome",1,(1-MIN(TblMili[[#This Row],[Smithies]]*smithy_bonus,smithy_bonus_cap) + tech_3_5*TblTech[[#This Row],[3-5]] + tech_5_3*TblTech[[#This Row],[5-3]] + tech_5_5*TblTech[[#This Row],[5-5]]))*elite1_ore,0)</f>
        <v>75</v>
      </c>
      <c r="BP41" s="94">
        <f ca="1">ROUNDUP((1-MIN(TblMili[[#This Row],[Smithies]]*smithy_bonus,smithy_bonus_cap) + tech_3_5*TblTech[[#This Row],[3-5]] + tech_5_3*TblTech[[#This Row],[5-3]] + tech_5_5*TblTech[[#This Row],[5-5]])*elite2_plat,0)</f>
        <v>1280</v>
      </c>
      <c r="BQ41" s="94">
        <f ca="1">ROUNDUP(IF(race="Gnome",1,(1-MIN(TblMili[[#This Row],[Smithies]]*smithy_bonus,smithy_bonus_cap) + tech_3_5*TblTech[[#This Row],[3-5]] + tech_5_3*TblTech[[#This Row],[5-3]] + tech_5_5*TblTech[[#This Row],[5-5]]))*elite2_ore,0)</f>
        <v>100</v>
      </c>
      <c r="BR41" s="94">
        <f ca="1">ROUNDUP((1-MIN(ROUND(fh_spy_cost_red*TblMili[[#This Row],[FH''s]],4),fh_spy_cost_cap)+ tech_1_9*TblTech[[#This Row],[1-9]] + tech_9_1*TblTech[[#This Row],[9-1]])*spy_plat,0)</f>
        <v>500</v>
      </c>
      <c r="BS41" s="94">
        <f ca="1">ROUNDUP((1-MIN(ROUND(fh_spy_cost_red*TblMili[[#This Row],[FH''s]],4),fh_spy_cost_cap)+ tech_1_9*TblTech[[#This Row],[1-9]] + tech_9_1*TblTech[[#This Row],[9-1]])*archspy_plat,0)</f>
        <v>1000</v>
      </c>
      <c r="BT41" s="94">
        <f ca="1">ROUNDUP((1-MIN(ROUND(wg_wiz_cost_bonus*TblMili[[#This Row],[WG''s]],4),wg_wiz_cost_cap) + tech_1_9_2*TblTech[[#This Row],[1-9]] + tech_9_1_2*TblTech[[#This Row],[9-1]])*wizard_plat,0)</f>
        <v>500</v>
      </c>
      <c r="BU41" s="94">
        <f ca="1">ROUNDUP((1-MIN(ROUND(wg_wiz_cost_bonus*TblMili[[#This Row],[WG''s]],4),wg_wiz_cost_cap) + tech_1_9_2*TblTech[[#This Row],[1-9]] + tech_9_1_2*TblTech[[#This Row],[9-1]])*archmage_plat,0)</f>
        <v>1000</v>
      </c>
      <c r="BV41" s="142"/>
      <c r="BW41" s="157">
        <f ca="1">TblConstr[[#This Row],[Homeland]]/TblConstr[[#This Row],[Land]]</f>
        <v>0.81818181818181823</v>
      </c>
      <c r="BX41" s="157">
        <f ca="1">TblMili[[#This Row],[WG''s]]</f>
        <v>0</v>
      </c>
      <c r="BY41" s="251">
        <f ca="1">IF(mystic_cap="none",TblMili[[#This Row],[Homeland%]]/mystic_bonus,MIN(mystic_cap,TblMili[[#This Row],[Homeland%]]/mystic_bonus))</f>
        <v>2</v>
      </c>
      <c r="BZ41" s="251">
        <f ca="1">IF(druid_op_cap="none",TblMili[[#This Row],[Homeland%]]/druid_op_bonus,MIN(druid_op_cap,TblMili[[#This Row],[Homeland%]]/druid_op_bonus))</f>
        <v>2</v>
      </c>
      <c r="CA41" s="251">
        <f ca="1">IF(druid_dp_cap="none",TblMili[[#This Row],[Homeland%]]/druid_dp_bonus,MIN(druid_dp_cap,TblMili[[#This Row],[Homeland%]]/druid_dp_bonus))</f>
        <v>2</v>
      </c>
      <c r="CB41" s="251">
        <f ca="1">MIN(dryad_cap,TblMili[[#This Row],[Homeland%]]/dryad_bonus)</f>
        <v>4</v>
      </c>
      <c r="CC41" s="251">
        <f ca="1">MIN(rocka_cap,TblMili[[#This Row],[Homeland%]]/rocka_bonus)</f>
        <v>2</v>
      </c>
      <c r="CD41" s="251">
        <f ca="1">MIN(adept_op_cap,TblMili[[#This Row],[WG]]/adept_op_bonus)</f>
        <v>0</v>
      </c>
      <c r="CE41" s="251">
        <f ca="1">MIN(adept_dp_cap,TblMili[[#This Row],[WG]]/adept_dp_bonus)</f>
        <v>0</v>
      </c>
      <c r="CF41" s="94">
        <f ca="1">MIN(TblMili[[#This Row],[Unit 3]],TblMili[[#This Row],[Unit 2]])*2</f>
        <v>0</v>
      </c>
      <c r="CG41" s="94">
        <f ca="1">MIN(TblMili[[#This Row],[Unit 1]],TblMili[[#This Row],[Unit 4]])*2</f>
        <v>0</v>
      </c>
      <c r="CH41" s="251">
        <f ca="1">MIN(frost_mage_cap,TblMili[[#This Row],[Homeland%]]/frost_mage_bonus)</f>
        <v>3</v>
      </c>
      <c r="CI41" s="45">
        <f ca="1">MIN(ice_elem_cap,TblMili[[#This Row],[Raw (2)]]*ice_elem_bonus)</f>
        <v>0</v>
      </c>
      <c r="CJ41" s="251">
        <f t="shared" si="2"/>
        <v>0.83333333333333337</v>
      </c>
      <c r="CK41" s="251">
        <f ca="1">MIN(nox_nightshade_cap,TblConstr[[#This Row],[Homeland]]/TblConstr[[#This Row],[Land]]/nox_nightshade_swamp_bonus)</f>
        <v>4</v>
      </c>
      <c r="CL41" s="251">
        <f ca="1">MIN(TblConstr[[#This Row],[Total Swamp]]/TblConstr[[#This Row],[Land]]/abyss_enforce_bonus,abyss_enforcer_cap)</f>
        <v>0</v>
      </c>
      <c r="CM41" s="251">
        <f ca="1">IF(TblMagic[[#This Row],[Active Infernal Command]]&gt;0,TblMili[[#This Row],[Unit 1]]*infernal_cmd_op,0)</f>
        <v>0</v>
      </c>
      <c r="CN41" s="252"/>
      <c r="CO41" s="252"/>
      <c r="CP41" s="252"/>
      <c r="CQ41" s="251">
        <f ca="1">MIN(6,TblMili[[#This Row],[Mystic]]+Races!$F$19)*1.8 +  IF(TblMili[[#This Row],[Mystic]]+Races!$F$19&gt;6,(TblMili[[#This Row],[Mystic]]+Races!$F$19-6)*0.2,0) - Races!$I$19</f>
        <v>1</v>
      </c>
      <c r="CR4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1" s="94">
        <f ca="1">TblMili[[#This Row],[Mystic bonus]]*TblMili[[#This Row],[Unit 3]]+TblMili[[#This Row],[Druid bonus]]*TblMili[[#This Row],[Unit 4]]</f>
        <v>0</v>
      </c>
      <c r="CT41" s="155">
        <f ca="1">MIN(6,TblMili[[#This Row],[Dryad]]+Races!$F$35)*1.8 +  IF(TblMili[[#This Row],[Dryad]]+Races!$F$35&gt;6,(TblMili[[#This Row],[Dryad]]+Races!$F$35-6)*0.2,0) - Races!$I$19</f>
        <v>1</v>
      </c>
      <c r="CU41" s="94">
        <f ca="1">sylvan*(TblMili[[#This Row],[Mystic bonus]]*TblMili[[#This Row],[Unit 3]])</f>
        <v>0</v>
      </c>
      <c r="CV41" s="155">
        <f ca="1">1.8 * MIN(MAX(Races!$E$27,TblMili[[#This Row],[Rockapult]]+Races!$F$27),6)  +  0.45 * MIN(MIN(Races!$E$27,TblMili[[#This Row],[Rockapult]]+Races!$F$27),6)  +  0.2 * ( MAX(Races!$E$27-6,0) + MAX(TblMili[[#This Row],[Rockapult]]+Races!$F$27-6,0) )  -  Races!$I$20</f>
        <v>3.7000000000000011</v>
      </c>
      <c r="CW41" s="94">
        <f ca="1">gnome*(TblMili[[#This Row],[Rockapult bonus]]*TblMili[[#This Row],[Unit 3]])</f>
        <v>0</v>
      </c>
      <c r="CX4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1" s="94">
        <f ca="1">dark_elf*(TblMili[[#This Row],[Adept bonus]]*TblMili[[#This Row],[Unit 3]])</f>
        <v>0</v>
      </c>
      <c r="CZ41" s="155">
        <f ca="1">1.8 * MIN(MAX(TblMili[[#This Row],[Frost Mage]]+Races!$F$71,Races!$E$71),6)  +  0.45 * MIN(MIN(TblMili[[#This Row],[Frost Mage]]+Races!$F$71,Races!$E$71),6)  +  0.2 * ( MAX(TblMili[[#This Row],[Frost Mage]]+Races!$F$71-6,0) + MAX(Races!$E$71-6,0) )  -  Races!$I$71</f>
        <v>6.15</v>
      </c>
      <c r="DA41" s="155">
        <f ca="1">1.8 * MIN(MAX(TblMili[[#This Row],[Ice Elemental]]+Races!$E$71,Races!$F$71),6)  +  0.45 * MIN(MIN(TblMili[[#This Row],[Ice Elemental]]+Races!$E$71,Races!$F$71),6)  +  0.2 * ( MAX(TblMili[[#This Row],[Ice Elemental]]+Races!$E$71-6,0) + MAX(Races!$F$71-6,0) )  -  Races!$I$71</f>
        <v>0.75</v>
      </c>
      <c r="DB41" s="94">
        <f ca="1">TblMili[[#This Row],[Frost Mage bonus]]*TblMili[[#This Row],[Unit 3]]+TblMili[[#This Row],[Ice Elemental bonus]]*TblMili[[#This Row],[Unit 4]]</f>
        <v>0</v>
      </c>
      <c r="DC41" s="253"/>
      <c r="DD41" s="143">
        <f ca="1">MIN(SUM(TblConstr[[#This Row],[Plain]:[Water]])/TblMili[[#This Row],[Land]]/favorable_terrain_bonus/100,favorable_terrain_max)</f>
        <v>0.1</v>
      </c>
      <c r="DE41" s="253"/>
      <c r="DF4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1" s="142"/>
      <c r="DH41" s="254">
        <f ca="1">(TblMili[[#This Row],[Wizards]]+2*TblMili[[#This Row],[Archmages]])/TblConstr[[#This Row],[Land]]</f>
        <v>0</v>
      </c>
      <c r="DI41" s="254">
        <f ca="1">TblMili[[#This Row],[Raw (2)]]*(1+race_wizard_strength+IF(TblMili[[#This Row],[Hour]]&gt;72,tech_magical_weaponry_wiz*TblTech[[#This Row],[3-5]],0))</f>
        <v>0</v>
      </c>
    </row>
    <row r="42" spans="1:113" x14ac:dyDescent="0.2">
      <c r="A42" s="137">
        <f>TblRezone[[#This Row],[Hour]]</f>
        <v>39</v>
      </c>
      <c r="B42" s="246">
        <f ca="1">SUM(TblMili[[#This Row],[Unit 1]:[Archmages]])+SUM(OFFSET(TblMili[[#This Row],[Train Unit 1]],-8,0):TblMili[[#This Row],[Train Unit 2]]) + SUM(OFFSET(TblMili[[#This Row],[Train Unit 3]],-11,0):TblMili[[#This Row],[Train AM]]) + TblMili[[#This Row],[Draftees]]</f>
        <v>391</v>
      </c>
      <c r="C42" s="157">
        <f ca="1">TblPop[[#This Row],[Military%]]</f>
        <v>0.36338289962825276</v>
      </c>
      <c r="D42" s="142"/>
      <c r="E42" s="45">
        <f ca="1">OFFSET(TblMili[[#This Row],[Unit 1]],-1,0) + OFFSET(TblMili[[#This Row],[Train Unit 1]],-9,0) - TblMili[[#This Row],[Release Unit 1]] + OFFSET(TblMili[[#This Row],[DnD_Zombies]],-12,0)</f>
        <v>0</v>
      </c>
      <c r="F42" s="45">
        <f ca="1">OFFSET(TblMili[[#This Row],[Unit 2]],-1,0) + OFFSET(TblMili[[#This Row],[Train Unit 2]],-9,0)-TblMili[[#This Row],[Release Unit 2]]</f>
        <v>0</v>
      </c>
      <c r="G42" s="45">
        <f ca="1">OFFSET(TblMili[[#This Row],[Unit 3]],-1,0) + OFFSET(TblMili[[#This Row],[Train Unit 3]],-12,0)-TblMili[[#This Row],[Release Unit 3]]</f>
        <v>0</v>
      </c>
      <c r="H42" s="45">
        <f ca="1">OFFSET(TblMili[[#This Row],[Unit 4]],-1,0) + OFFSET(TblMili[[#This Row],[Train Unit 4]],-12,0)-TblMili[[#This Row],[Release Unit 4]]</f>
        <v>0</v>
      </c>
      <c r="I42" s="45">
        <f ca="1">OFFSET(TblMili[[#This Row],[Spies]],-1,0) + OFFSET(TblMili[[#This Row],[Train Spies]],-12,0) - TblMili[[#This Row],[Release Spies]]-TblMili[[#This Row],[Train AS]]</f>
        <v>0</v>
      </c>
      <c r="J42" s="45">
        <f ca="1">OFFSET(TblMili[[#This Row],[Archspies]],-1,0) + OFFSET(TblMili[[#This Row],[Train AS]],-12,0) - TblMili[[#This Row],[Release AS]]</f>
        <v>0</v>
      </c>
      <c r="K42" s="45">
        <f ca="1">OFFSET(TblMili[[#This Row],[Wizards]],-1,0) + OFFSET(TblMili[[#This Row],[Train Wiz]],-12,0) - TblMili[[#This Row],[Release Wizards]]-TblMili[[#This Row],[Train AM]]</f>
        <v>0</v>
      </c>
      <c r="L42" s="45">
        <f ca="1">OFFSET(TblMili[[#This Row],[Archmages]],-1,0) + OFFSET(TblMili[[#This Row],[Train AM]],-12,0) - TblMili[[#This Row],[Release AM]]</f>
        <v>0</v>
      </c>
      <c r="M42" s="142"/>
      <c r="N42" s="94">
        <f ca="1">TblProd[[#This Row],[Networth]]</f>
        <v>2450</v>
      </c>
      <c r="O42" s="142"/>
      <c r="P4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2" s="247">
        <f ca="1">TblMili[[#This Row],[Raw]]*(1+TblMili[[#This Row],[Mods_Off]])</f>
        <v>0</v>
      </c>
      <c r="S4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2" s="247">
        <f ca="1">TblMili[[#This Row],[Non Draft]]+TblMili[[#This Row],[Draftees]]</f>
        <v>391</v>
      </c>
      <c r="U42" s="248">
        <f ca="1">race_defense + TblImps[[#This Row],[Walls]] + ROUND( MIN(gt_bonus*TblConstr[[#This Row],[Tot GT]]/TblConstr[[#This Row],[Land]],gt_bonus_cap), 4) + IF(TblMagic[[#This Row],[Active Howling]]&gt;0,howling_dp_bonus,IF(TblMagic[[#This Row],[Active Ares Call]]&gt;0,ares_call_bonus))</f>
        <v>0</v>
      </c>
      <c r="V42" s="249">
        <f ca="1">TblMili[[#This Row],[Non Draft]] * (1 + TblMili[[#This Row],[Mods_Def]])</f>
        <v>0</v>
      </c>
      <c r="W42" s="247">
        <f ca="1">TblMili[[#This Row],[Draft]] * (1 + TblMili[[#This Row],[Mods_Def]])</f>
        <v>391</v>
      </c>
      <c r="X42" s="247">
        <f ca="1">TblConstr[[#This Row],[Land]]</f>
        <v>110</v>
      </c>
      <c r="Y42" s="250"/>
      <c r="Z42" s="255">
        <f ca="1">IF(TblMili[[#This Row],[Set]]&lt;&gt;"",TblMili[[#This Row],[Set]],OFFSET(TblMili[[#This Row],[Draftrate]],-1,0))</f>
        <v>0.9</v>
      </c>
      <c r="AA42" s="94">
        <f ca="1">OFFSET(TblMili[[#This Row],[Draftees]],-1,0)+OFFSET(TblPop[[#This Row],[Draft Growth]],-1,0) - SUM(TblMili[[#This Row],[Train Unit 1]:[Train Spies]],TblMili[[#This Row],[Train Wiz]],TblMili[[#This Row],[DnD_Zombies]]) - TblMili[[#This Row],[Release Draft]] + SUM(TblMili[[#This Row],[Release Unit 1]:[Release AM]]) - TblExplore[[#This Row],[Draftees (2)]]</f>
        <v>391</v>
      </c>
      <c r="AB42" s="154"/>
      <c r="AC42" s="180">
        <f ca="1">(TblConstr[[#This Row],[Tot Smi]]+TblConstr[[#This Row],[Dest Smi]])/(TblConstr[[#This Row],[Land]]-TblExplore[[#This Row],[Land Bonus]]*20)</f>
        <v>0</v>
      </c>
      <c r="AD42" s="137"/>
      <c r="AE42" s="246">
        <f>TblMili[[#This Row],[Hour]]</f>
        <v>39</v>
      </c>
      <c r="AF42" s="138">
        <f ca="1">TblExplore[[#This Row],[Time]]</f>
        <v>46048.583333333241</v>
      </c>
      <c r="AG42" s="179"/>
      <c r="AH42" s="179"/>
      <c r="AI42" s="179"/>
      <c r="AJ42" s="179"/>
      <c r="AK42" s="179"/>
      <c r="AL42" s="179"/>
      <c r="AM42" s="179"/>
      <c r="AN42" s="179"/>
      <c r="AO42" s="420">
        <f ca="1">ROUND(IF(AND(TblMagic[[#This Row],[Active DnD]]&lt;12,TblMagic[[#This Row],[Active DnD]]&gt;5),OFFSET(TblPop[[#This Row],[Draft Growth]],-1,0)*0.375,0),0)</f>
        <v>0</v>
      </c>
      <c r="AP42" s="142"/>
      <c r="AQ42" s="94">
        <f ca="1">TblProd[[#This Row],[Platinum]]</f>
        <v>115155</v>
      </c>
      <c r="AR42" s="94">
        <f ca="1">INDEX(TblProd[[#Headers],[Lumber]]:TblProd[[#This Row],[Ore]],COUNTA(TblProd[[#Headers],[Lumber]]:TblProd[[#This Row],[Lumber]]),MATCH(Military!$AR$2,TblProd[[#Headers],[Lumber]:[Ore]],0))</f>
        <v>0</v>
      </c>
      <c r="AS4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2" s="94">
        <f ca="1">TblMili[[#This Row],[Train Unit 1]]*TblMili[[#This Row],[OP Ore]]+TblMili[[#This Row],[Train Unit 2]]*TblMili[[#This Row],[DP Ore]]+TblMili[[#This Row],[Train Unit 3]]*TblMili[[#This Row],[E1 Ore]]+TblMili[[#This Row],[Train Unit 4]]*TblMili[[#This Row],[E2 Ore]]</f>
        <v>0</v>
      </c>
      <c r="AU42" s="142">
        <f>TblMili[[#This Row],[Hour]]</f>
        <v>39</v>
      </c>
      <c r="AV42" s="152">
        <f ca="1">TblMili[[#This Row],[Time]]</f>
        <v>46048.583333333241</v>
      </c>
      <c r="AW42" s="94">
        <f ca="1">TblMili[[#This Row],[Draftees]]</f>
        <v>391</v>
      </c>
      <c r="AX42" s="179"/>
      <c r="AY42" s="179"/>
      <c r="AZ42" s="179"/>
      <c r="BA42" s="179"/>
      <c r="BB42" s="179"/>
      <c r="BC42" s="179"/>
      <c r="BD42" s="179"/>
      <c r="BE42" s="179"/>
      <c r="BF42" s="179"/>
      <c r="BG42" s="142"/>
      <c r="BH42" s="157">
        <f ca="1">TblConstr[[#This Row],[Tot WG]]/TblConstr[[#This Row],[Land]]</f>
        <v>0</v>
      </c>
      <c r="BI42" s="157">
        <f ca="1">TblConstr[[#This Row],[Tot Hav]]/TblConstr[[#This Row],[Land]]</f>
        <v>0</v>
      </c>
      <c r="BJ42" s="94">
        <f ca="1">ROUNDUP((1-MIN(TblMili[[#This Row],[Smithies]]*smithy_bonus,smithy_bonus_cap) + tech_3_5*TblTech[[#This Row],[3-5]] + tech_5_3*TblTech[[#This Row],[5-3]] + tech_5_5*TblTech[[#This Row],[5-5]])*spec_op_plat,0)</f>
        <v>275</v>
      </c>
      <c r="BK42" s="94">
        <f ca="1">ROUNDUP(IF(race="Gnome",1,(1-MIN(TblMili[[#This Row],[Smithies]]*smithy_bonus,smithy_bonus_cap) + tech_3_5*TblTech[[#This Row],[3-5]] + tech_5_3*TblTech[[#This Row],[5-3]] + tech_5_5*TblTech[[#This Row],[5-5]]))*spec_op_ore,0)</f>
        <v>25</v>
      </c>
      <c r="BL42" s="94">
        <f ca="1">ROUNDUP((1-MIN(TblMili[[#This Row],[Smithies]]*smithy_bonus,smithy_bonus_cap) + tech_3_5*TblTech[[#This Row],[3-5]] + tech_5_3*TblTech[[#This Row],[5-3]] + tech_5_5*TblTech[[#This Row],[5-5]])*spec_dp_plat,0)</f>
        <v>275</v>
      </c>
      <c r="BM42" s="94">
        <f ca="1">ROUNDUP(IF(race="Gnome",1,(1-MIN(TblMili[[#This Row],[Smithies]]*smithy_bonus,smithy_bonus_cap) + tech_3_5*TblTech[[#This Row],[3-5]] + tech_5_3*TblTech[[#This Row],[5-3]] + tech_5_5*TblTech[[#This Row],[5-5]]))*spec_dp_ore,0)</f>
        <v>15</v>
      </c>
      <c r="BN42" s="94">
        <f ca="1">ROUNDUP((1-MIN(TblMili[[#This Row],[Smithies]]*smithy_bonus,smithy_bonus_cap) + tech_3_5*TblTech[[#This Row],[3-5]] + tech_5_3*TblTech[[#This Row],[5-3]] + tech_5_5*TblTech[[#This Row],[5-5]])*elite1_plat,0)</f>
        <v>1040</v>
      </c>
      <c r="BO42" s="94">
        <f ca="1">ROUNDUP(IF(race="Gnome",1,(1-MIN(TblMili[[#This Row],[Smithies]]*smithy_bonus,smithy_bonus_cap) + tech_3_5*TblTech[[#This Row],[3-5]] + tech_5_3*TblTech[[#This Row],[5-3]] + tech_5_5*TblTech[[#This Row],[5-5]]))*elite1_ore,0)</f>
        <v>75</v>
      </c>
      <c r="BP42" s="94">
        <f ca="1">ROUNDUP((1-MIN(TblMili[[#This Row],[Smithies]]*smithy_bonus,smithy_bonus_cap) + tech_3_5*TblTech[[#This Row],[3-5]] + tech_5_3*TblTech[[#This Row],[5-3]] + tech_5_5*TblTech[[#This Row],[5-5]])*elite2_plat,0)</f>
        <v>1280</v>
      </c>
      <c r="BQ42" s="94">
        <f ca="1">ROUNDUP(IF(race="Gnome",1,(1-MIN(TblMili[[#This Row],[Smithies]]*smithy_bonus,smithy_bonus_cap) + tech_3_5*TblTech[[#This Row],[3-5]] + tech_5_3*TblTech[[#This Row],[5-3]] + tech_5_5*TblTech[[#This Row],[5-5]]))*elite2_ore,0)</f>
        <v>100</v>
      </c>
      <c r="BR42" s="94">
        <f ca="1">ROUNDUP((1-MIN(ROUND(fh_spy_cost_red*TblMili[[#This Row],[FH''s]],4),fh_spy_cost_cap)+ tech_1_9*TblTech[[#This Row],[1-9]] + tech_9_1*TblTech[[#This Row],[9-1]])*spy_plat,0)</f>
        <v>500</v>
      </c>
      <c r="BS42" s="94">
        <f ca="1">ROUNDUP((1-MIN(ROUND(fh_spy_cost_red*TblMili[[#This Row],[FH''s]],4),fh_spy_cost_cap)+ tech_1_9*TblTech[[#This Row],[1-9]] + tech_9_1*TblTech[[#This Row],[9-1]])*archspy_plat,0)</f>
        <v>1000</v>
      </c>
      <c r="BT42" s="94">
        <f ca="1">ROUNDUP((1-MIN(ROUND(wg_wiz_cost_bonus*TblMili[[#This Row],[WG''s]],4),wg_wiz_cost_cap) + tech_1_9_2*TblTech[[#This Row],[1-9]] + tech_9_1_2*TblTech[[#This Row],[9-1]])*wizard_plat,0)</f>
        <v>500</v>
      </c>
      <c r="BU42" s="94">
        <f ca="1">ROUNDUP((1-MIN(ROUND(wg_wiz_cost_bonus*TblMili[[#This Row],[WG''s]],4),wg_wiz_cost_cap) + tech_1_9_2*TblTech[[#This Row],[1-9]] + tech_9_1_2*TblTech[[#This Row],[9-1]])*archmage_plat,0)</f>
        <v>1000</v>
      </c>
      <c r="BV42" s="142"/>
      <c r="BW42" s="157">
        <f ca="1">TblConstr[[#This Row],[Homeland]]/TblConstr[[#This Row],[Land]]</f>
        <v>0.81818181818181823</v>
      </c>
      <c r="BX42" s="157">
        <f ca="1">TblMili[[#This Row],[WG''s]]</f>
        <v>0</v>
      </c>
      <c r="BY42" s="251">
        <f ca="1">IF(mystic_cap="none",TblMili[[#This Row],[Homeland%]]/mystic_bonus,MIN(mystic_cap,TblMili[[#This Row],[Homeland%]]/mystic_bonus))</f>
        <v>2</v>
      </c>
      <c r="BZ42" s="251">
        <f ca="1">IF(druid_op_cap="none",TblMili[[#This Row],[Homeland%]]/druid_op_bonus,MIN(druid_op_cap,TblMili[[#This Row],[Homeland%]]/druid_op_bonus))</f>
        <v>2</v>
      </c>
      <c r="CA42" s="251">
        <f ca="1">IF(druid_dp_cap="none",TblMili[[#This Row],[Homeland%]]/druid_dp_bonus,MIN(druid_dp_cap,TblMili[[#This Row],[Homeland%]]/druid_dp_bonus))</f>
        <v>2</v>
      </c>
      <c r="CB42" s="251">
        <f ca="1">MIN(dryad_cap,TblMili[[#This Row],[Homeland%]]/dryad_bonus)</f>
        <v>4</v>
      </c>
      <c r="CC42" s="251">
        <f ca="1">MIN(rocka_cap,TblMili[[#This Row],[Homeland%]]/rocka_bonus)</f>
        <v>2</v>
      </c>
      <c r="CD42" s="251">
        <f ca="1">MIN(adept_op_cap,TblMili[[#This Row],[WG]]/adept_op_bonus)</f>
        <v>0</v>
      </c>
      <c r="CE42" s="251">
        <f ca="1">MIN(adept_dp_cap,TblMili[[#This Row],[WG]]/adept_dp_bonus)</f>
        <v>0</v>
      </c>
      <c r="CF42" s="94">
        <f ca="1">MIN(TblMili[[#This Row],[Unit 3]],TblMili[[#This Row],[Unit 2]])*2</f>
        <v>0</v>
      </c>
      <c r="CG42" s="94">
        <f ca="1">MIN(TblMili[[#This Row],[Unit 1]],TblMili[[#This Row],[Unit 4]])*2</f>
        <v>0</v>
      </c>
      <c r="CH42" s="251">
        <f ca="1">MIN(frost_mage_cap,TblMili[[#This Row],[Homeland%]]/frost_mage_bonus)</f>
        <v>3</v>
      </c>
      <c r="CI42" s="45">
        <f ca="1">MIN(ice_elem_cap,TblMili[[#This Row],[Raw (2)]]*ice_elem_bonus)</f>
        <v>0</v>
      </c>
      <c r="CJ42" s="251">
        <f t="shared" si="2"/>
        <v>0.83333333333333337</v>
      </c>
      <c r="CK42" s="251">
        <f ca="1">MIN(nox_nightshade_cap,TblConstr[[#This Row],[Homeland]]/TblConstr[[#This Row],[Land]]/nox_nightshade_swamp_bonus)</f>
        <v>4</v>
      </c>
      <c r="CL42" s="251">
        <f ca="1">MIN(TblConstr[[#This Row],[Total Swamp]]/TblConstr[[#This Row],[Land]]/abyss_enforce_bonus,abyss_enforcer_cap)</f>
        <v>0</v>
      </c>
      <c r="CM42" s="251">
        <f ca="1">IF(TblMagic[[#This Row],[Active Infernal Command]]&gt;0,TblMili[[#This Row],[Unit 1]]*infernal_cmd_op,0)</f>
        <v>0</v>
      </c>
      <c r="CN42" s="252"/>
      <c r="CO42" s="252"/>
      <c r="CP42" s="252"/>
      <c r="CQ42" s="251">
        <f ca="1">MIN(6,TblMili[[#This Row],[Mystic]]+Races!$F$19)*1.8 +  IF(TblMili[[#This Row],[Mystic]]+Races!$F$19&gt;6,(TblMili[[#This Row],[Mystic]]+Races!$F$19-6)*0.2,0) - Races!$I$19</f>
        <v>1</v>
      </c>
      <c r="CR4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2" s="94">
        <f ca="1">TblMili[[#This Row],[Mystic bonus]]*TblMili[[#This Row],[Unit 3]]+TblMili[[#This Row],[Druid bonus]]*TblMili[[#This Row],[Unit 4]]</f>
        <v>0</v>
      </c>
      <c r="CT42" s="155">
        <f ca="1">MIN(6,TblMili[[#This Row],[Dryad]]+Races!$F$35)*1.8 +  IF(TblMili[[#This Row],[Dryad]]+Races!$F$35&gt;6,(TblMili[[#This Row],[Dryad]]+Races!$F$35-6)*0.2,0) - Races!$I$19</f>
        <v>1</v>
      </c>
      <c r="CU42" s="94">
        <f ca="1">sylvan*(TblMili[[#This Row],[Mystic bonus]]*TblMili[[#This Row],[Unit 3]])</f>
        <v>0</v>
      </c>
      <c r="CV42" s="155">
        <f ca="1">1.8 * MIN(MAX(Races!$E$27,TblMili[[#This Row],[Rockapult]]+Races!$F$27),6)  +  0.45 * MIN(MIN(Races!$E$27,TblMili[[#This Row],[Rockapult]]+Races!$F$27),6)  +  0.2 * ( MAX(Races!$E$27-6,0) + MAX(TblMili[[#This Row],[Rockapult]]+Races!$F$27-6,0) )  -  Races!$I$20</f>
        <v>3.7000000000000011</v>
      </c>
      <c r="CW42" s="94">
        <f ca="1">gnome*(TblMili[[#This Row],[Rockapult bonus]]*TblMili[[#This Row],[Unit 3]])</f>
        <v>0</v>
      </c>
      <c r="CX4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2" s="94">
        <f ca="1">dark_elf*(TblMili[[#This Row],[Adept bonus]]*TblMili[[#This Row],[Unit 3]])</f>
        <v>0</v>
      </c>
      <c r="CZ42" s="155">
        <f ca="1">1.8 * MIN(MAX(TblMili[[#This Row],[Frost Mage]]+Races!$F$71,Races!$E$71),6)  +  0.45 * MIN(MIN(TblMili[[#This Row],[Frost Mage]]+Races!$F$71,Races!$E$71),6)  +  0.2 * ( MAX(TblMili[[#This Row],[Frost Mage]]+Races!$F$71-6,0) + MAX(Races!$E$71-6,0) )  -  Races!$I$71</f>
        <v>6.15</v>
      </c>
      <c r="DA42" s="155">
        <f ca="1">1.8 * MIN(MAX(TblMili[[#This Row],[Ice Elemental]]+Races!$E$71,Races!$F$71),6)  +  0.45 * MIN(MIN(TblMili[[#This Row],[Ice Elemental]]+Races!$E$71,Races!$F$71),6)  +  0.2 * ( MAX(TblMili[[#This Row],[Ice Elemental]]+Races!$E$71-6,0) + MAX(Races!$F$71-6,0) )  -  Races!$I$71</f>
        <v>0.75</v>
      </c>
      <c r="DB42" s="94">
        <f ca="1">TblMili[[#This Row],[Frost Mage bonus]]*TblMili[[#This Row],[Unit 3]]+TblMili[[#This Row],[Ice Elemental bonus]]*TblMili[[#This Row],[Unit 4]]</f>
        <v>0</v>
      </c>
      <c r="DC42" s="253"/>
      <c r="DD42" s="143">
        <f ca="1">MIN(SUM(TblConstr[[#This Row],[Plain]:[Water]])/TblMili[[#This Row],[Land]]/favorable_terrain_bonus/100,favorable_terrain_max)</f>
        <v>0.1</v>
      </c>
      <c r="DE42" s="253"/>
      <c r="DF4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2" s="142"/>
      <c r="DH42" s="254">
        <f ca="1">(TblMili[[#This Row],[Wizards]]+2*TblMili[[#This Row],[Archmages]])/TblConstr[[#This Row],[Land]]</f>
        <v>0</v>
      </c>
      <c r="DI42" s="254">
        <f ca="1">TblMili[[#This Row],[Raw (2)]]*(1+race_wizard_strength+IF(TblMili[[#This Row],[Hour]]&gt;72,tech_magical_weaponry_wiz*TblTech[[#This Row],[3-5]],0))</f>
        <v>0</v>
      </c>
    </row>
    <row r="43" spans="1:113" x14ac:dyDescent="0.2">
      <c r="A43" s="137">
        <f>TblRezone[[#This Row],[Hour]]</f>
        <v>40</v>
      </c>
      <c r="B43" s="246">
        <f ca="1">SUM(TblMili[[#This Row],[Unit 1]:[Archmages]])+SUM(OFFSET(TblMili[[#This Row],[Train Unit 1]],-8,0):TblMili[[#This Row],[Train Unit 2]]) + SUM(OFFSET(TblMili[[#This Row],[Train Unit 3]],-11,0):TblMili[[#This Row],[Train AM]]) + TblMili[[#This Row],[Draftees]]</f>
        <v>398</v>
      </c>
      <c r="C43" s="157">
        <f ca="1">TblPop[[#This Row],[Military%]]</f>
        <v>0.36988847583643125</v>
      </c>
      <c r="D43" s="142"/>
      <c r="E43" s="45">
        <f ca="1">OFFSET(TblMili[[#This Row],[Unit 1]],-1,0) + OFFSET(TblMili[[#This Row],[Train Unit 1]],-9,0) - TblMili[[#This Row],[Release Unit 1]] + OFFSET(TblMili[[#This Row],[DnD_Zombies]],-12,0)</f>
        <v>0</v>
      </c>
      <c r="F43" s="45">
        <f ca="1">OFFSET(TblMili[[#This Row],[Unit 2]],-1,0) + OFFSET(TblMili[[#This Row],[Train Unit 2]],-9,0)-TblMili[[#This Row],[Release Unit 2]]</f>
        <v>0</v>
      </c>
      <c r="G43" s="45">
        <f ca="1">OFFSET(TblMili[[#This Row],[Unit 3]],-1,0) + OFFSET(TblMili[[#This Row],[Train Unit 3]],-12,0)-TblMili[[#This Row],[Release Unit 3]]</f>
        <v>0</v>
      </c>
      <c r="H43" s="45">
        <f ca="1">OFFSET(TblMili[[#This Row],[Unit 4]],-1,0) + OFFSET(TblMili[[#This Row],[Train Unit 4]],-12,0)-TblMili[[#This Row],[Release Unit 4]]</f>
        <v>0</v>
      </c>
      <c r="I43" s="45">
        <f ca="1">OFFSET(TblMili[[#This Row],[Spies]],-1,0) + OFFSET(TblMili[[#This Row],[Train Spies]],-12,0) - TblMili[[#This Row],[Release Spies]]-TblMili[[#This Row],[Train AS]]</f>
        <v>0</v>
      </c>
      <c r="J43" s="45">
        <f ca="1">OFFSET(TblMili[[#This Row],[Archspies]],-1,0) + OFFSET(TblMili[[#This Row],[Train AS]],-12,0) - TblMili[[#This Row],[Release AS]]</f>
        <v>0</v>
      </c>
      <c r="K43" s="45">
        <f ca="1">OFFSET(TblMili[[#This Row],[Wizards]],-1,0) + OFFSET(TblMili[[#This Row],[Train Wiz]],-12,0) - TblMili[[#This Row],[Release Wizards]]-TblMili[[#This Row],[Train AM]]</f>
        <v>0</v>
      </c>
      <c r="L43" s="45">
        <f ca="1">OFFSET(TblMili[[#This Row],[Archmages]],-1,0) + OFFSET(TblMili[[#This Row],[Train AM]],-12,0) - TblMili[[#This Row],[Release AM]]</f>
        <v>0</v>
      </c>
      <c r="M43" s="142"/>
      <c r="N43" s="94">
        <f ca="1">TblProd[[#This Row],[Networth]]</f>
        <v>2450</v>
      </c>
      <c r="O43" s="142"/>
      <c r="P4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3" s="247">
        <f ca="1">TblMili[[#This Row],[Raw]]*(1+TblMili[[#This Row],[Mods_Off]])</f>
        <v>0</v>
      </c>
      <c r="S4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3" s="247">
        <f ca="1">TblMili[[#This Row],[Non Draft]]+TblMili[[#This Row],[Draftees]]</f>
        <v>398</v>
      </c>
      <c r="U43" s="248">
        <f ca="1">race_defense + TblImps[[#This Row],[Walls]] + ROUND( MIN(gt_bonus*TblConstr[[#This Row],[Tot GT]]/TblConstr[[#This Row],[Land]],gt_bonus_cap), 4) + IF(TblMagic[[#This Row],[Active Howling]]&gt;0,howling_dp_bonus,IF(TblMagic[[#This Row],[Active Ares Call]]&gt;0,ares_call_bonus))</f>
        <v>0</v>
      </c>
      <c r="V43" s="249">
        <f ca="1">TblMili[[#This Row],[Non Draft]] * (1 + TblMili[[#This Row],[Mods_Def]])</f>
        <v>0</v>
      </c>
      <c r="W43" s="247">
        <f ca="1">TblMili[[#This Row],[Draft]] * (1 + TblMili[[#This Row],[Mods_Def]])</f>
        <v>398</v>
      </c>
      <c r="X43" s="247">
        <f ca="1">TblConstr[[#This Row],[Land]]</f>
        <v>110</v>
      </c>
      <c r="Y43" s="250"/>
      <c r="Z43" s="255">
        <f ca="1">IF(TblMili[[#This Row],[Set]]&lt;&gt;"",TblMili[[#This Row],[Set]],OFFSET(TblMili[[#This Row],[Draftrate]],-1,0))</f>
        <v>0.9</v>
      </c>
      <c r="AA43" s="94">
        <f ca="1">OFFSET(TblMili[[#This Row],[Draftees]],-1,0)+OFFSET(TblPop[[#This Row],[Draft Growth]],-1,0) - SUM(TblMili[[#This Row],[Train Unit 1]:[Train Spies]],TblMili[[#This Row],[Train Wiz]],TblMili[[#This Row],[DnD_Zombies]]) - TblMili[[#This Row],[Release Draft]] + SUM(TblMili[[#This Row],[Release Unit 1]:[Release AM]]) - TblExplore[[#This Row],[Draftees (2)]]</f>
        <v>398</v>
      </c>
      <c r="AB43" s="154"/>
      <c r="AC43" s="180">
        <f ca="1">(TblConstr[[#This Row],[Tot Smi]]+TblConstr[[#This Row],[Dest Smi]])/(TblConstr[[#This Row],[Land]]-TblExplore[[#This Row],[Land Bonus]]*20)</f>
        <v>0</v>
      </c>
      <c r="AD43" s="137"/>
      <c r="AE43" s="246">
        <f>TblMili[[#This Row],[Hour]]</f>
        <v>40</v>
      </c>
      <c r="AF43" s="138">
        <f ca="1">TblExplore[[#This Row],[Time]]</f>
        <v>46048.624999999905</v>
      </c>
      <c r="AG43" s="179"/>
      <c r="AH43" s="179"/>
      <c r="AI43" s="179"/>
      <c r="AJ43" s="179"/>
      <c r="AK43" s="179"/>
      <c r="AL43" s="179"/>
      <c r="AM43" s="179"/>
      <c r="AN43" s="179"/>
      <c r="AO43" s="420">
        <f ca="1">ROUND(IF(AND(TblMagic[[#This Row],[Active DnD]]&lt;12,TblMagic[[#This Row],[Active DnD]]&gt;5),OFFSET(TblPop[[#This Row],[Draft Growth]],-1,0)*0.375,0),0)</f>
        <v>0</v>
      </c>
      <c r="AP43" s="142"/>
      <c r="AQ43" s="94">
        <f ca="1">TblProd[[#This Row],[Platinum]]</f>
        <v>117004</v>
      </c>
      <c r="AR43" s="94">
        <f ca="1">INDEX(TblProd[[#Headers],[Lumber]]:TblProd[[#This Row],[Ore]],COUNTA(TblProd[[#Headers],[Lumber]]:TblProd[[#This Row],[Lumber]]),MATCH(Military!$AR$2,TblProd[[#Headers],[Lumber]:[Ore]],0))</f>
        <v>0</v>
      </c>
      <c r="AS4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3" s="94">
        <f ca="1">TblMili[[#This Row],[Train Unit 1]]*TblMili[[#This Row],[OP Ore]]+TblMili[[#This Row],[Train Unit 2]]*TblMili[[#This Row],[DP Ore]]+TblMili[[#This Row],[Train Unit 3]]*TblMili[[#This Row],[E1 Ore]]+TblMili[[#This Row],[Train Unit 4]]*TblMili[[#This Row],[E2 Ore]]</f>
        <v>0</v>
      </c>
      <c r="AU43" s="142">
        <f>TblMili[[#This Row],[Hour]]</f>
        <v>40</v>
      </c>
      <c r="AV43" s="152">
        <f ca="1">TblMili[[#This Row],[Time]]</f>
        <v>46048.624999999905</v>
      </c>
      <c r="AW43" s="94">
        <f ca="1">TblMili[[#This Row],[Draftees]]</f>
        <v>398</v>
      </c>
      <c r="AX43" s="179"/>
      <c r="AY43" s="179"/>
      <c r="AZ43" s="179"/>
      <c r="BA43" s="179"/>
      <c r="BB43" s="179"/>
      <c r="BC43" s="179"/>
      <c r="BD43" s="179"/>
      <c r="BE43" s="179"/>
      <c r="BF43" s="179"/>
      <c r="BG43" s="142"/>
      <c r="BH43" s="157">
        <f ca="1">TblConstr[[#This Row],[Tot WG]]/TblConstr[[#This Row],[Land]]</f>
        <v>0</v>
      </c>
      <c r="BI43" s="157">
        <f ca="1">TblConstr[[#This Row],[Tot Hav]]/TblConstr[[#This Row],[Land]]</f>
        <v>0</v>
      </c>
      <c r="BJ43" s="94">
        <f ca="1">ROUNDUP((1-MIN(TblMili[[#This Row],[Smithies]]*smithy_bonus,smithy_bonus_cap) + tech_3_5*TblTech[[#This Row],[3-5]] + tech_5_3*TblTech[[#This Row],[5-3]] + tech_5_5*TblTech[[#This Row],[5-5]])*spec_op_plat,0)</f>
        <v>275</v>
      </c>
      <c r="BK43" s="94">
        <f ca="1">ROUNDUP(IF(race="Gnome",1,(1-MIN(TblMili[[#This Row],[Smithies]]*smithy_bonus,smithy_bonus_cap) + tech_3_5*TblTech[[#This Row],[3-5]] + tech_5_3*TblTech[[#This Row],[5-3]] + tech_5_5*TblTech[[#This Row],[5-5]]))*spec_op_ore,0)</f>
        <v>25</v>
      </c>
      <c r="BL43" s="94">
        <f ca="1">ROUNDUP((1-MIN(TblMili[[#This Row],[Smithies]]*smithy_bonus,smithy_bonus_cap) + tech_3_5*TblTech[[#This Row],[3-5]] + tech_5_3*TblTech[[#This Row],[5-3]] + tech_5_5*TblTech[[#This Row],[5-5]])*spec_dp_plat,0)</f>
        <v>275</v>
      </c>
      <c r="BM43" s="94">
        <f ca="1">ROUNDUP(IF(race="Gnome",1,(1-MIN(TblMili[[#This Row],[Smithies]]*smithy_bonus,smithy_bonus_cap) + tech_3_5*TblTech[[#This Row],[3-5]] + tech_5_3*TblTech[[#This Row],[5-3]] + tech_5_5*TblTech[[#This Row],[5-5]]))*spec_dp_ore,0)</f>
        <v>15</v>
      </c>
      <c r="BN43" s="94">
        <f ca="1">ROUNDUP((1-MIN(TblMili[[#This Row],[Smithies]]*smithy_bonus,smithy_bonus_cap) + tech_3_5*TblTech[[#This Row],[3-5]] + tech_5_3*TblTech[[#This Row],[5-3]] + tech_5_5*TblTech[[#This Row],[5-5]])*elite1_plat,0)</f>
        <v>1040</v>
      </c>
      <c r="BO43" s="94">
        <f ca="1">ROUNDUP(IF(race="Gnome",1,(1-MIN(TblMili[[#This Row],[Smithies]]*smithy_bonus,smithy_bonus_cap) + tech_3_5*TblTech[[#This Row],[3-5]] + tech_5_3*TblTech[[#This Row],[5-3]] + tech_5_5*TblTech[[#This Row],[5-5]]))*elite1_ore,0)</f>
        <v>75</v>
      </c>
      <c r="BP43" s="94">
        <f ca="1">ROUNDUP((1-MIN(TblMili[[#This Row],[Smithies]]*smithy_bonus,smithy_bonus_cap) + tech_3_5*TblTech[[#This Row],[3-5]] + tech_5_3*TblTech[[#This Row],[5-3]] + tech_5_5*TblTech[[#This Row],[5-5]])*elite2_plat,0)</f>
        <v>1280</v>
      </c>
      <c r="BQ43" s="94">
        <f ca="1">ROUNDUP(IF(race="Gnome",1,(1-MIN(TblMili[[#This Row],[Smithies]]*smithy_bonus,smithy_bonus_cap) + tech_3_5*TblTech[[#This Row],[3-5]] + tech_5_3*TblTech[[#This Row],[5-3]] + tech_5_5*TblTech[[#This Row],[5-5]]))*elite2_ore,0)</f>
        <v>100</v>
      </c>
      <c r="BR43" s="94">
        <f ca="1">ROUNDUP((1-MIN(ROUND(fh_spy_cost_red*TblMili[[#This Row],[FH''s]],4),fh_spy_cost_cap)+ tech_1_9*TblTech[[#This Row],[1-9]] + tech_9_1*TblTech[[#This Row],[9-1]])*spy_plat,0)</f>
        <v>500</v>
      </c>
      <c r="BS43" s="94">
        <f ca="1">ROUNDUP((1-MIN(ROUND(fh_spy_cost_red*TblMili[[#This Row],[FH''s]],4),fh_spy_cost_cap)+ tech_1_9*TblTech[[#This Row],[1-9]] + tech_9_1*TblTech[[#This Row],[9-1]])*archspy_plat,0)</f>
        <v>1000</v>
      </c>
      <c r="BT43" s="94">
        <f ca="1">ROUNDUP((1-MIN(ROUND(wg_wiz_cost_bonus*TblMili[[#This Row],[WG''s]],4),wg_wiz_cost_cap) + tech_1_9_2*TblTech[[#This Row],[1-9]] + tech_9_1_2*TblTech[[#This Row],[9-1]])*wizard_plat,0)</f>
        <v>500</v>
      </c>
      <c r="BU43" s="94">
        <f ca="1">ROUNDUP((1-MIN(ROUND(wg_wiz_cost_bonus*TblMili[[#This Row],[WG''s]],4),wg_wiz_cost_cap) + tech_1_9_2*TblTech[[#This Row],[1-9]] + tech_9_1_2*TblTech[[#This Row],[9-1]])*archmage_plat,0)</f>
        <v>1000</v>
      </c>
      <c r="BV43" s="142"/>
      <c r="BW43" s="157">
        <f ca="1">TblConstr[[#This Row],[Homeland]]/TblConstr[[#This Row],[Land]]</f>
        <v>0.81818181818181823</v>
      </c>
      <c r="BX43" s="157">
        <f ca="1">TblMili[[#This Row],[WG''s]]</f>
        <v>0</v>
      </c>
      <c r="BY43" s="251">
        <f ca="1">IF(mystic_cap="none",TblMili[[#This Row],[Homeland%]]/mystic_bonus,MIN(mystic_cap,TblMili[[#This Row],[Homeland%]]/mystic_bonus))</f>
        <v>2</v>
      </c>
      <c r="BZ43" s="251">
        <f ca="1">IF(druid_op_cap="none",TblMili[[#This Row],[Homeland%]]/druid_op_bonus,MIN(druid_op_cap,TblMili[[#This Row],[Homeland%]]/druid_op_bonus))</f>
        <v>2</v>
      </c>
      <c r="CA43" s="251">
        <f ca="1">IF(druid_dp_cap="none",TblMili[[#This Row],[Homeland%]]/druid_dp_bonus,MIN(druid_dp_cap,TblMili[[#This Row],[Homeland%]]/druid_dp_bonus))</f>
        <v>2</v>
      </c>
      <c r="CB43" s="251">
        <f ca="1">MIN(dryad_cap,TblMili[[#This Row],[Homeland%]]/dryad_bonus)</f>
        <v>4</v>
      </c>
      <c r="CC43" s="251">
        <f ca="1">MIN(rocka_cap,TblMili[[#This Row],[Homeland%]]/rocka_bonus)</f>
        <v>2</v>
      </c>
      <c r="CD43" s="251">
        <f ca="1">MIN(adept_op_cap,TblMili[[#This Row],[WG]]/adept_op_bonus)</f>
        <v>0</v>
      </c>
      <c r="CE43" s="251">
        <f ca="1">MIN(adept_dp_cap,TblMili[[#This Row],[WG]]/adept_dp_bonus)</f>
        <v>0</v>
      </c>
      <c r="CF43" s="94">
        <f ca="1">MIN(TblMili[[#This Row],[Unit 3]],TblMili[[#This Row],[Unit 2]])*2</f>
        <v>0</v>
      </c>
      <c r="CG43" s="94">
        <f ca="1">MIN(TblMili[[#This Row],[Unit 1]],TblMili[[#This Row],[Unit 4]])*2</f>
        <v>0</v>
      </c>
      <c r="CH43" s="251">
        <f ca="1">MIN(frost_mage_cap,TblMili[[#This Row],[Homeland%]]/frost_mage_bonus)</f>
        <v>3</v>
      </c>
      <c r="CI43" s="45">
        <f ca="1">MIN(ice_elem_cap,TblMili[[#This Row],[Raw (2)]]*ice_elem_bonus)</f>
        <v>0</v>
      </c>
      <c r="CJ43" s="251">
        <f t="shared" si="2"/>
        <v>0.83333333333333337</v>
      </c>
      <c r="CK43" s="251">
        <f ca="1">MIN(nox_nightshade_cap,TblConstr[[#This Row],[Homeland]]/TblConstr[[#This Row],[Land]]/nox_nightshade_swamp_bonus)</f>
        <v>4</v>
      </c>
      <c r="CL43" s="251">
        <f ca="1">MIN(TblConstr[[#This Row],[Total Swamp]]/TblConstr[[#This Row],[Land]]/abyss_enforce_bonus,abyss_enforcer_cap)</f>
        <v>0</v>
      </c>
      <c r="CM43" s="251">
        <f ca="1">IF(TblMagic[[#This Row],[Active Infernal Command]]&gt;0,TblMili[[#This Row],[Unit 1]]*infernal_cmd_op,0)</f>
        <v>0</v>
      </c>
      <c r="CN43" s="252"/>
      <c r="CO43" s="252"/>
      <c r="CP43" s="252"/>
      <c r="CQ43" s="251">
        <f ca="1">MIN(6,TblMili[[#This Row],[Mystic]]+Races!$F$19)*1.8 +  IF(TblMili[[#This Row],[Mystic]]+Races!$F$19&gt;6,(TblMili[[#This Row],[Mystic]]+Races!$F$19-6)*0.2,0) - Races!$I$19</f>
        <v>1</v>
      </c>
      <c r="CR4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3" s="94">
        <f ca="1">TblMili[[#This Row],[Mystic bonus]]*TblMili[[#This Row],[Unit 3]]+TblMili[[#This Row],[Druid bonus]]*TblMili[[#This Row],[Unit 4]]</f>
        <v>0</v>
      </c>
      <c r="CT43" s="155">
        <f ca="1">MIN(6,TblMili[[#This Row],[Dryad]]+Races!$F$35)*1.8 +  IF(TblMili[[#This Row],[Dryad]]+Races!$F$35&gt;6,(TblMili[[#This Row],[Dryad]]+Races!$F$35-6)*0.2,0) - Races!$I$19</f>
        <v>1</v>
      </c>
      <c r="CU43" s="94">
        <f ca="1">sylvan*(TblMili[[#This Row],[Mystic bonus]]*TblMili[[#This Row],[Unit 3]])</f>
        <v>0</v>
      </c>
      <c r="CV43" s="155">
        <f ca="1">1.8 * MIN(MAX(Races!$E$27,TblMili[[#This Row],[Rockapult]]+Races!$F$27),6)  +  0.45 * MIN(MIN(Races!$E$27,TblMili[[#This Row],[Rockapult]]+Races!$F$27),6)  +  0.2 * ( MAX(Races!$E$27-6,0) + MAX(TblMili[[#This Row],[Rockapult]]+Races!$F$27-6,0) )  -  Races!$I$20</f>
        <v>3.7000000000000011</v>
      </c>
      <c r="CW43" s="94">
        <f ca="1">gnome*(TblMili[[#This Row],[Rockapult bonus]]*TblMili[[#This Row],[Unit 3]])</f>
        <v>0</v>
      </c>
      <c r="CX4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3" s="94">
        <f ca="1">dark_elf*(TblMili[[#This Row],[Adept bonus]]*TblMili[[#This Row],[Unit 3]])</f>
        <v>0</v>
      </c>
      <c r="CZ43" s="155">
        <f ca="1">1.8 * MIN(MAX(TblMili[[#This Row],[Frost Mage]]+Races!$F$71,Races!$E$71),6)  +  0.45 * MIN(MIN(TblMili[[#This Row],[Frost Mage]]+Races!$F$71,Races!$E$71),6)  +  0.2 * ( MAX(TblMili[[#This Row],[Frost Mage]]+Races!$F$71-6,0) + MAX(Races!$E$71-6,0) )  -  Races!$I$71</f>
        <v>6.15</v>
      </c>
      <c r="DA43" s="155">
        <f ca="1">1.8 * MIN(MAX(TblMili[[#This Row],[Ice Elemental]]+Races!$E$71,Races!$F$71),6)  +  0.45 * MIN(MIN(TblMili[[#This Row],[Ice Elemental]]+Races!$E$71,Races!$F$71),6)  +  0.2 * ( MAX(TblMili[[#This Row],[Ice Elemental]]+Races!$E$71-6,0) + MAX(Races!$F$71-6,0) )  -  Races!$I$71</f>
        <v>0.75</v>
      </c>
      <c r="DB43" s="94">
        <f ca="1">TblMili[[#This Row],[Frost Mage bonus]]*TblMili[[#This Row],[Unit 3]]+TblMili[[#This Row],[Ice Elemental bonus]]*TblMili[[#This Row],[Unit 4]]</f>
        <v>0</v>
      </c>
      <c r="DC43" s="253"/>
      <c r="DD43" s="143">
        <f ca="1">MIN(SUM(TblConstr[[#This Row],[Plain]:[Water]])/TblMili[[#This Row],[Land]]/favorable_terrain_bonus/100,favorable_terrain_max)</f>
        <v>0.1</v>
      </c>
      <c r="DE43" s="253"/>
      <c r="DF4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3" s="142"/>
      <c r="DH43" s="254">
        <f ca="1">(TblMili[[#This Row],[Wizards]]+2*TblMili[[#This Row],[Archmages]])/TblConstr[[#This Row],[Land]]</f>
        <v>0</v>
      </c>
      <c r="DI43" s="254">
        <f ca="1">TblMili[[#This Row],[Raw (2)]]*(1+race_wizard_strength+IF(TblMili[[#This Row],[Hour]]&gt;72,tech_magical_weaponry_wiz*TblTech[[#This Row],[3-5]],0))</f>
        <v>0</v>
      </c>
    </row>
    <row r="44" spans="1:113" x14ac:dyDescent="0.2">
      <c r="A44" s="137">
        <f>TblRezone[[#This Row],[Hour]]</f>
        <v>41</v>
      </c>
      <c r="B44" s="246">
        <f ca="1">SUM(TblMili[[#This Row],[Unit 1]:[Archmages]])+SUM(OFFSET(TblMili[[#This Row],[Train Unit 1]],-8,0):TblMili[[#This Row],[Train Unit 2]]) + SUM(OFFSET(TblMili[[#This Row],[Train Unit 3]],-11,0):TblMili[[#This Row],[Train AM]]) + TblMili[[#This Row],[Draftees]]</f>
        <v>405</v>
      </c>
      <c r="C44" s="157">
        <f ca="1">TblPop[[#This Row],[Military%]]</f>
        <v>0.37639405204460968</v>
      </c>
      <c r="D44" s="142"/>
      <c r="E44" s="45">
        <f ca="1">OFFSET(TblMili[[#This Row],[Unit 1]],-1,0) + OFFSET(TblMili[[#This Row],[Train Unit 1]],-9,0) - TblMili[[#This Row],[Release Unit 1]] + OFFSET(TblMili[[#This Row],[DnD_Zombies]],-12,0)</f>
        <v>0</v>
      </c>
      <c r="F44" s="45">
        <f ca="1">OFFSET(TblMili[[#This Row],[Unit 2]],-1,0) + OFFSET(TblMili[[#This Row],[Train Unit 2]],-9,0)-TblMili[[#This Row],[Release Unit 2]]</f>
        <v>0</v>
      </c>
      <c r="G44" s="45">
        <f ca="1">OFFSET(TblMili[[#This Row],[Unit 3]],-1,0) + OFFSET(TblMili[[#This Row],[Train Unit 3]],-12,0)-TblMili[[#This Row],[Release Unit 3]]</f>
        <v>0</v>
      </c>
      <c r="H44" s="45">
        <f ca="1">OFFSET(TblMili[[#This Row],[Unit 4]],-1,0) + OFFSET(TblMili[[#This Row],[Train Unit 4]],-12,0)-TblMili[[#This Row],[Release Unit 4]]</f>
        <v>0</v>
      </c>
      <c r="I44" s="45">
        <f ca="1">OFFSET(TblMili[[#This Row],[Spies]],-1,0) + OFFSET(TblMili[[#This Row],[Train Spies]],-12,0) - TblMili[[#This Row],[Release Spies]]-TblMili[[#This Row],[Train AS]]</f>
        <v>0</v>
      </c>
      <c r="J44" s="45">
        <f ca="1">OFFSET(TblMili[[#This Row],[Archspies]],-1,0) + OFFSET(TblMili[[#This Row],[Train AS]],-12,0) - TblMili[[#This Row],[Release AS]]</f>
        <v>0</v>
      </c>
      <c r="K44" s="45">
        <f ca="1">OFFSET(TblMili[[#This Row],[Wizards]],-1,0) + OFFSET(TblMili[[#This Row],[Train Wiz]],-12,0) - TblMili[[#This Row],[Release Wizards]]-TblMili[[#This Row],[Train AM]]</f>
        <v>0</v>
      </c>
      <c r="L44" s="45">
        <f ca="1">OFFSET(TblMili[[#This Row],[Archmages]],-1,0) + OFFSET(TblMili[[#This Row],[Train AM]],-12,0) - TblMili[[#This Row],[Release AM]]</f>
        <v>0</v>
      </c>
      <c r="M44" s="142"/>
      <c r="N44" s="94">
        <f ca="1">TblProd[[#This Row],[Networth]]</f>
        <v>2450</v>
      </c>
      <c r="O44" s="142"/>
      <c r="P4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4" s="247">
        <f ca="1">TblMili[[#This Row],[Raw]]*(1+TblMili[[#This Row],[Mods_Off]])</f>
        <v>0</v>
      </c>
      <c r="S4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4" s="247">
        <f ca="1">TblMili[[#This Row],[Non Draft]]+TblMili[[#This Row],[Draftees]]</f>
        <v>405</v>
      </c>
      <c r="U44" s="248">
        <f ca="1">race_defense + TblImps[[#This Row],[Walls]] + ROUND( MIN(gt_bonus*TblConstr[[#This Row],[Tot GT]]/TblConstr[[#This Row],[Land]],gt_bonus_cap), 4) + IF(TblMagic[[#This Row],[Active Howling]]&gt;0,howling_dp_bonus,IF(TblMagic[[#This Row],[Active Ares Call]]&gt;0,ares_call_bonus))</f>
        <v>0</v>
      </c>
      <c r="V44" s="249">
        <f ca="1">TblMili[[#This Row],[Non Draft]] * (1 + TblMili[[#This Row],[Mods_Def]])</f>
        <v>0</v>
      </c>
      <c r="W44" s="247">
        <f ca="1">TblMili[[#This Row],[Draft]] * (1 + TblMili[[#This Row],[Mods_Def]])</f>
        <v>405</v>
      </c>
      <c r="X44" s="247">
        <f ca="1">TblConstr[[#This Row],[Land]]</f>
        <v>110</v>
      </c>
      <c r="Y44" s="250"/>
      <c r="Z44" s="255">
        <f ca="1">IF(TblMili[[#This Row],[Set]]&lt;&gt;"",TblMili[[#This Row],[Set]],OFFSET(TblMili[[#This Row],[Draftrate]],-1,0))</f>
        <v>0.9</v>
      </c>
      <c r="AA44" s="94">
        <f ca="1">OFFSET(TblMili[[#This Row],[Draftees]],-1,0)+OFFSET(TblPop[[#This Row],[Draft Growth]],-1,0) - SUM(TblMili[[#This Row],[Train Unit 1]:[Train Spies]],TblMili[[#This Row],[Train Wiz]],TblMili[[#This Row],[DnD_Zombies]]) - TblMili[[#This Row],[Release Draft]] + SUM(TblMili[[#This Row],[Release Unit 1]:[Release AM]]) - TblExplore[[#This Row],[Draftees (2)]]</f>
        <v>405</v>
      </c>
      <c r="AB44" s="154"/>
      <c r="AC44" s="180">
        <f ca="1">(TblConstr[[#This Row],[Tot Smi]]+TblConstr[[#This Row],[Dest Smi]])/(TblConstr[[#This Row],[Land]]-TblExplore[[#This Row],[Land Bonus]]*20)</f>
        <v>0</v>
      </c>
      <c r="AD44" s="137"/>
      <c r="AE44" s="246">
        <f>TblMili[[#This Row],[Hour]]</f>
        <v>41</v>
      </c>
      <c r="AF44" s="138">
        <f ca="1">TblExplore[[#This Row],[Time]]</f>
        <v>46048.66666666657</v>
      </c>
      <c r="AG44" s="179"/>
      <c r="AH44" s="179"/>
      <c r="AI44" s="179"/>
      <c r="AJ44" s="179"/>
      <c r="AK44" s="179"/>
      <c r="AL44" s="179"/>
      <c r="AM44" s="179"/>
      <c r="AN44" s="179"/>
      <c r="AO44" s="420">
        <f ca="1">ROUND(IF(AND(TblMagic[[#This Row],[Active DnD]]&lt;12,TblMagic[[#This Row],[Active DnD]]&gt;5),OFFSET(TblPop[[#This Row],[Draft Growth]],-1,0)*0.375,0),0)</f>
        <v>0</v>
      </c>
      <c r="AP44" s="142"/>
      <c r="AQ44" s="94">
        <f ca="1">TblProd[[#This Row],[Platinum]]</f>
        <v>118834</v>
      </c>
      <c r="AR44" s="94">
        <f ca="1">INDEX(TblProd[[#Headers],[Lumber]]:TblProd[[#This Row],[Ore]],COUNTA(TblProd[[#Headers],[Lumber]]:TblProd[[#This Row],[Lumber]]),MATCH(Military!$AR$2,TblProd[[#Headers],[Lumber]:[Ore]],0))</f>
        <v>0</v>
      </c>
      <c r="AS4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4" s="94">
        <f ca="1">TblMili[[#This Row],[Train Unit 1]]*TblMili[[#This Row],[OP Ore]]+TblMili[[#This Row],[Train Unit 2]]*TblMili[[#This Row],[DP Ore]]+TblMili[[#This Row],[Train Unit 3]]*TblMili[[#This Row],[E1 Ore]]+TblMili[[#This Row],[Train Unit 4]]*TblMili[[#This Row],[E2 Ore]]</f>
        <v>0</v>
      </c>
      <c r="AU44" s="142">
        <f>TblMili[[#This Row],[Hour]]</f>
        <v>41</v>
      </c>
      <c r="AV44" s="152">
        <f ca="1">TblMili[[#This Row],[Time]]</f>
        <v>46048.66666666657</v>
      </c>
      <c r="AW44" s="94">
        <f ca="1">TblMili[[#This Row],[Draftees]]</f>
        <v>405</v>
      </c>
      <c r="AX44" s="179"/>
      <c r="AY44" s="179"/>
      <c r="AZ44" s="179"/>
      <c r="BA44" s="179"/>
      <c r="BB44" s="179"/>
      <c r="BC44" s="179"/>
      <c r="BD44" s="179"/>
      <c r="BE44" s="179"/>
      <c r="BF44" s="179"/>
      <c r="BG44" s="142"/>
      <c r="BH44" s="157">
        <f ca="1">TblConstr[[#This Row],[Tot WG]]/TblConstr[[#This Row],[Land]]</f>
        <v>0</v>
      </c>
      <c r="BI44" s="157">
        <f ca="1">TblConstr[[#This Row],[Tot Hav]]/TblConstr[[#This Row],[Land]]</f>
        <v>0</v>
      </c>
      <c r="BJ44" s="94">
        <f ca="1">ROUNDUP((1-MIN(TblMili[[#This Row],[Smithies]]*smithy_bonus,smithy_bonus_cap) + tech_3_5*TblTech[[#This Row],[3-5]] + tech_5_3*TblTech[[#This Row],[5-3]] + tech_5_5*TblTech[[#This Row],[5-5]])*spec_op_plat,0)</f>
        <v>275</v>
      </c>
      <c r="BK44" s="94">
        <f ca="1">ROUNDUP(IF(race="Gnome",1,(1-MIN(TblMili[[#This Row],[Smithies]]*smithy_bonus,smithy_bonus_cap) + tech_3_5*TblTech[[#This Row],[3-5]] + tech_5_3*TblTech[[#This Row],[5-3]] + tech_5_5*TblTech[[#This Row],[5-5]]))*spec_op_ore,0)</f>
        <v>25</v>
      </c>
      <c r="BL44" s="94">
        <f ca="1">ROUNDUP((1-MIN(TblMili[[#This Row],[Smithies]]*smithy_bonus,smithy_bonus_cap) + tech_3_5*TblTech[[#This Row],[3-5]] + tech_5_3*TblTech[[#This Row],[5-3]] + tech_5_5*TblTech[[#This Row],[5-5]])*spec_dp_plat,0)</f>
        <v>275</v>
      </c>
      <c r="BM44" s="94">
        <f ca="1">ROUNDUP(IF(race="Gnome",1,(1-MIN(TblMili[[#This Row],[Smithies]]*smithy_bonus,smithy_bonus_cap) + tech_3_5*TblTech[[#This Row],[3-5]] + tech_5_3*TblTech[[#This Row],[5-3]] + tech_5_5*TblTech[[#This Row],[5-5]]))*spec_dp_ore,0)</f>
        <v>15</v>
      </c>
      <c r="BN44" s="94">
        <f ca="1">ROUNDUP((1-MIN(TblMili[[#This Row],[Smithies]]*smithy_bonus,smithy_bonus_cap) + tech_3_5*TblTech[[#This Row],[3-5]] + tech_5_3*TblTech[[#This Row],[5-3]] + tech_5_5*TblTech[[#This Row],[5-5]])*elite1_plat,0)</f>
        <v>1040</v>
      </c>
      <c r="BO44" s="94">
        <f ca="1">ROUNDUP(IF(race="Gnome",1,(1-MIN(TblMili[[#This Row],[Smithies]]*smithy_bonus,smithy_bonus_cap) + tech_3_5*TblTech[[#This Row],[3-5]] + tech_5_3*TblTech[[#This Row],[5-3]] + tech_5_5*TblTech[[#This Row],[5-5]]))*elite1_ore,0)</f>
        <v>75</v>
      </c>
      <c r="BP44" s="94">
        <f ca="1">ROUNDUP((1-MIN(TblMili[[#This Row],[Smithies]]*smithy_bonus,smithy_bonus_cap) + tech_3_5*TblTech[[#This Row],[3-5]] + tech_5_3*TblTech[[#This Row],[5-3]] + tech_5_5*TblTech[[#This Row],[5-5]])*elite2_plat,0)</f>
        <v>1280</v>
      </c>
      <c r="BQ44" s="94">
        <f ca="1">ROUNDUP(IF(race="Gnome",1,(1-MIN(TblMili[[#This Row],[Smithies]]*smithy_bonus,smithy_bonus_cap) + tech_3_5*TblTech[[#This Row],[3-5]] + tech_5_3*TblTech[[#This Row],[5-3]] + tech_5_5*TblTech[[#This Row],[5-5]]))*elite2_ore,0)</f>
        <v>100</v>
      </c>
      <c r="BR44" s="94">
        <f ca="1">ROUNDUP((1-MIN(ROUND(fh_spy_cost_red*TblMili[[#This Row],[FH''s]],4),fh_spy_cost_cap)+ tech_1_9*TblTech[[#This Row],[1-9]] + tech_9_1*TblTech[[#This Row],[9-1]])*spy_plat,0)</f>
        <v>500</v>
      </c>
      <c r="BS44" s="94">
        <f ca="1">ROUNDUP((1-MIN(ROUND(fh_spy_cost_red*TblMili[[#This Row],[FH''s]],4),fh_spy_cost_cap)+ tech_1_9*TblTech[[#This Row],[1-9]] + tech_9_1*TblTech[[#This Row],[9-1]])*archspy_plat,0)</f>
        <v>1000</v>
      </c>
      <c r="BT44" s="94">
        <f ca="1">ROUNDUP((1-MIN(ROUND(wg_wiz_cost_bonus*TblMili[[#This Row],[WG''s]],4),wg_wiz_cost_cap) + tech_1_9_2*TblTech[[#This Row],[1-9]] + tech_9_1_2*TblTech[[#This Row],[9-1]])*wizard_plat,0)</f>
        <v>500</v>
      </c>
      <c r="BU44" s="94">
        <f ca="1">ROUNDUP((1-MIN(ROUND(wg_wiz_cost_bonus*TblMili[[#This Row],[WG''s]],4),wg_wiz_cost_cap) + tech_1_9_2*TblTech[[#This Row],[1-9]] + tech_9_1_2*TblTech[[#This Row],[9-1]])*archmage_plat,0)</f>
        <v>1000</v>
      </c>
      <c r="BV44" s="142"/>
      <c r="BW44" s="157">
        <f ca="1">TblConstr[[#This Row],[Homeland]]/TblConstr[[#This Row],[Land]]</f>
        <v>0.81818181818181823</v>
      </c>
      <c r="BX44" s="157">
        <f ca="1">TblMili[[#This Row],[WG''s]]</f>
        <v>0</v>
      </c>
      <c r="BY44" s="251">
        <f ca="1">IF(mystic_cap="none",TblMili[[#This Row],[Homeland%]]/mystic_bonus,MIN(mystic_cap,TblMili[[#This Row],[Homeland%]]/mystic_bonus))</f>
        <v>2</v>
      </c>
      <c r="BZ44" s="251">
        <f ca="1">IF(druid_op_cap="none",TblMili[[#This Row],[Homeland%]]/druid_op_bonus,MIN(druid_op_cap,TblMili[[#This Row],[Homeland%]]/druid_op_bonus))</f>
        <v>2</v>
      </c>
      <c r="CA44" s="251">
        <f ca="1">IF(druid_dp_cap="none",TblMili[[#This Row],[Homeland%]]/druid_dp_bonus,MIN(druid_dp_cap,TblMili[[#This Row],[Homeland%]]/druid_dp_bonus))</f>
        <v>2</v>
      </c>
      <c r="CB44" s="251">
        <f ca="1">MIN(dryad_cap,TblMili[[#This Row],[Homeland%]]/dryad_bonus)</f>
        <v>4</v>
      </c>
      <c r="CC44" s="251">
        <f ca="1">MIN(rocka_cap,TblMili[[#This Row],[Homeland%]]/rocka_bonus)</f>
        <v>2</v>
      </c>
      <c r="CD44" s="251">
        <f ca="1">MIN(adept_op_cap,TblMili[[#This Row],[WG]]/adept_op_bonus)</f>
        <v>0</v>
      </c>
      <c r="CE44" s="251">
        <f ca="1">MIN(adept_dp_cap,TblMili[[#This Row],[WG]]/adept_dp_bonus)</f>
        <v>0</v>
      </c>
      <c r="CF44" s="94">
        <f ca="1">MIN(TblMili[[#This Row],[Unit 3]],TblMili[[#This Row],[Unit 2]])*2</f>
        <v>0</v>
      </c>
      <c r="CG44" s="94">
        <f ca="1">MIN(TblMili[[#This Row],[Unit 1]],TblMili[[#This Row],[Unit 4]])*2</f>
        <v>0</v>
      </c>
      <c r="CH44" s="251">
        <f ca="1">MIN(frost_mage_cap,TblMili[[#This Row],[Homeland%]]/frost_mage_bonus)</f>
        <v>3</v>
      </c>
      <c r="CI44" s="45">
        <f ca="1">MIN(ice_elem_cap,TblMili[[#This Row],[Raw (2)]]*ice_elem_bonus)</f>
        <v>0</v>
      </c>
      <c r="CJ44" s="251">
        <f t="shared" si="2"/>
        <v>0.83333333333333337</v>
      </c>
      <c r="CK44" s="251">
        <f ca="1">MIN(nox_nightshade_cap,TblConstr[[#This Row],[Homeland]]/TblConstr[[#This Row],[Land]]/nox_nightshade_swamp_bonus)</f>
        <v>4</v>
      </c>
      <c r="CL44" s="251">
        <f ca="1">MIN(TblConstr[[#This Row],[Total Swamp]]/TblConstr[[#This Row],[Land]]/abyss_enforce_bonus,abyss_enforcer_cap)</f>
        <v>0</v>
      </c>
      <c r="CM44" s="251">
        <f ca="1">IF(TblMagic[[#This Row],[Active Infernal Command]]&gt;0,TblMili[[#This Row],[Unit 1]]*infernal_cmd_op,0)</f>
        <v>0</v>
      </c>
      <c r="CN44" s="252"/>
      <c r="CO44" s="252"/>
      <c r="CP44" s="252"/>
      <c r="CQ44" s="251">
        <f ca="1">MIN(6,TblMili[[#This Row],[Mystic]]+Races!$F$19)*1.8 +  IF(TblMili[[#This Row],[Mystic]]+Races!$F$19&gt;6,(TblMili[[#This Row],[Mystic]]+Races!$F$19-6)*0.2,0) - Races!$I$19</f>
        <v>1</v>
      </c>
      <c r="CR4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4" s="94">
        <f ca="1">TblMili[[#This Row],[Mystic bonus]]*TblMili[[#This Row],[Unit 3]]+TblMili[[#This Row],[Druid bonus]]*TblMili[[#This Row],[Unit 4]]</f>
        <v>0</v>
      </c>
      <c r="CT44" s="155">
        <f ca="1">MIN(6,TblMili[[#This Row],[Dryad]]+Races!$F$35)*1.8 +  IF(TblMili[[#This Row],[Dryad]]+Races!$F$35&gt;6,(TblMili[[#This Row],[Dryad]]+Races!$F$35-6)*0.2,0) - Races!$I$19</f>
        <v>1</v>
      </c>
      <c r="CU44" s="94">
        <f ca="1">sylvan*(TblMili[[#This Row],[Mystic bonus]]*TblMili[[#This Row],[Unit 3]])</f>
        <v>0</v>
      </c>
      <c r="CV44" s="155">
        <f ca="1">1.8 * MIN(MAX(Races!$E$27,TblMili[[#This Row],[Rockapult]]+Races!$F$27),6)  +  0.45 * MIN(MIN(Races!$E$27,TblMili[[#This Row],[Rockapult]]+Races!$F$27),6)  +  0.2 * ( MAX(Races!$E$27-6,0) + MAX(TblMili[[#This Row],[Rockapult]]+Races!$F$27-6,0) )  -  Races!$I$20</f>
        <v>3.7000000000000011</v>
      </c>
      <c r="CW44" s="94">
        <f ca="1">gnome*(TblMili[[#This Row],[Rockapult bonus]]*TblMili[[#This Row],[Unit 3]])</f>
        <v>0</v>
      </c>
      <c r="CX4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4" s="94">
        <f ca="1">dark_elf*(TblMili[[#This Row],[Adept bonus]]*TblMili[[#This Row],[Unit 3]])</f>
        <v>0</v>
      </c>
      <c r="CZ44" s="155">
        <f ca="1">1.8 * MIN(MAX(TblMili[[#This Row],[Frost Mage]]+Races!$F$71,Races!$E$71),6)  +  0.45 * MIN(MIN(TblMili[[#This Row],[Frost Mage]]+Races!$F$71,Races!$E$71),6)  +  0.2 * ( MAX(TblMili[[#This Row],[Frost Mage]]+Races!$F$71-6,0) + MAX(Races!$E$71-6,0) )  -  Races!$I$71</f>
        <v>6.15</v>
      </c>
      <c r="DA44" s="155">
        <f ca="1">1.8 * MIN(MAX(TblMili[[#This Row],[Ice Elemental]]+Races!$E$71,Races!$F$71),6)  +  0.45 * MIN(MIN(TblMili[[#This Row],[Ice Elemental]]+Races!$E$71,Races!$F$71),6)  +  0.2 * ( MAX(TblMili[[#This Row],[Ice Elemental]]+Races!$E$71-6,0) + MAX(Races!$F$71-6,0) )  -  Races!$I$71</f>
        <v>0.75</v>
      </c>
      <c r="DB44" s="94">
        <f ca="1">TblMili[[#This Row],[Frost Mage bonus]]*TblMili[[#This Row],[Unit 3]]+TblMili[[#This Row],[Ice Elemental bonus]]*TblMili[[#This Row],[Unit 4]]</f>
        <v>0</v>
      </c>
      <c r="DC44" s="253"/>
      <c r="DD44" s="143">
        <f ca="1">MIN(SUM(TblConstr[[#This Row],[Plain]:[Water]])/TblMili[[#This Row],[Land]]/favorable_terrain_bonus/100,favorable_terrain_max)</f>
        <v>0.1</v>
      </c>
      <c r="DE44" s="253"/>
      <c r="DF4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4" s="142"/>
      <c r="DH44" s="254">
        <f ca="1">(TblMili[[#This Row],[Wizards]]+2*TblMili[[#This Row],[Archmages]])/TblConstr[[#This Row],[Land]]</f>
        <v>0</v>
      </c>
      <c r="DI44" s="254">
        <f ca="1">TblMili[[#This Row],[Raw (2)]]*(1+race_wizard_strength+IF(TblMili[[#This Row],[Hour]]&gt;72,tech_magical_weaponry_wiz*TblTech[[#This Row],[3-5]],0))</f>
        <v>0</v>
      </c>
    </row>
    <row r="45" spans="1:113" x14ac:dyDescent="0.2">
      <c r="A45" s="137">
        <f>TblRezone[[#This Row],[Hour]]</f>
        <v>42</v>
      </c>
      <c r="B45" s="246">
        <f ca="1">SUM(TblMili[[#This Row],[Unit 1]:[Archmages]])+SUM(OFFSET(TblMili[[#This Row],[Train Unit 1]],-8,0):TblMili[[#This Row],[Train Unit 2]]) + SUM(OFFSET(TblMili[[#This Row],[Train Unit 3]],-11,0):TblMili[[#This Row],[Train AM]]) + TblMili[[#This Row],[Draftees]]</f>
        <v>412</v>
      </c>
      <c r="C45" s="157">
        <f ca="1">TblPop[[#This Row],[Military%]]</f>
        <v>0.38289962825278812</v>
      </c>
      <c r="D45" s="142"/>
      <c r="E45" s="45">
        <f ca="1">OFFSET(TblMili[[#This Row],[Unit 1]],-1,0) + OFFSET(TblMili[[#This Row],[Train Unit 1]],-9,0) - TblMili[[#This Row],[Release Unit 1]] + OFFSET(TblMili[[#This Row],[DnD_Zombies]],-12,0)</f>
        <v>0</v>
      </c>
      <c r="F45" s="45">
        <f ca="1">OFFSET(TblMili[[#This Row],[Unit 2]],-1,0) + OFFSET(TblMili[[#This Row],[Train Unit 2]],-9,0)-TblMili[[#This Row],[Release Unit 2]]</f>
        <v>0</v>
      </c>
      <c r="G45" s="45">
        <f ca="1">OFFSET(TblMili[[#This Row],[Unit 3]],-1,0) + OFFSET(TblMili[[#This Row],[Train Unit 3]],-12,0)-TblMili[[#This Row],[Release Unit 3]]</f>
        <v>0</v>
      </c>
      <c r="H45" s="45">
        <f ca="1">OFFSET(TblMili[[#This Row],[Unit 4]],-1,0) + OFFSET(TblMili[[#This Row],[Train Unit 4]],-12,0)-TblMili[[#This Row],[Release Unit 4]]</f>
        <v>0</v>
      </c>
      <c r="I45" s="45">
        <f ca="1">OFFSET(TblMili[[#This Row],[Spies]],-1,0) + OFFSET(TblMili[[#This Row],[Train Spies]],-12,0) - TblMili[[#This Row],[Release Spies]]-TblMili[[#This Row],[Train AS]]</f>
        <v>0</v>
      </c>
      <c r="J45" s="45">
        <f ca="1">OFFSET(TblMili[[#This Row],[Archspies]],-1,0) + OFFSET(TblMili[[#This Row],[Train AS]],-12,0) - TblMili[[#This Row],[Release AS]]</f>
        <v>0</v>
      </c>
      <c r="K45" s="45">
        <f ca="1">OFFSET(TblMili[[#This Row],[Wizards]],-1,0) + OFFSET(TblMili[[#This Row],[Train Wiz]],-12,0) - TblMili[[#This Row],[Release Wizards]]-TblMili[[#This Row],[Train AM]]</f>
        <v>0</v>
      </c>
      <c r="L45" s="45">
        <f ca="1">OFFSET(TblMili[[#This Row],[Archmages]],-1,0) + OFFSET(TblMili[[#This Row],[Train AM]],-12,0) - TblMili[[#This Row],[Release AM]]</f>
        <v>0</v>
      </c>
      <c r="M45" s="142"/>
      <c r="N45" s="94">
        <f ca="1">TblProd[[#This Row],[Networth]]</f>
        <v>2450</v>
      </c>
      <c r="O45" s="142"/>
      <c r="P4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5" s="247">
        <f ca="1">TblMili[[#This Row],[Raw]]*(1+TblMili[[#This Row],[Mods_Off]])</f>
        <v>0</v>
      </c>
      <c r="S4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5" s="247">
        <f ca="1">TblMili[[#This Row],[Non Draft]]+TblMili[[#This Row],[Draftees]]</f>
        <v>412</v>
      </c>
      <c r="U45" s="248">
        <f ca="1">race_defense + TblImps[[#This Row],[Walls]] + ROUND( MIN(gt_bonus*TblConstr[[#This Row],[Tot GT]]/TblConstr[[#This Row],[Land]],gt_bonus_cap), 4) + IF(TblMagic[[#This Row],[Active Howling]]&gt;0,howling_dp_bonus,IF(TblMagic[[#This Row],[Active Ares Call]]&gt;0,ares_call_bonus))</f>
        <v>0</v>
      </c>
      <c r="V45" s="249">
        <f ca="1">TblMili[[#This Row],[Non Draft]] * (1 + TblMili[[#This Row],[Mods_Def]])</f>
        <v>0</v>
      </c>
      <c r="W45" s="247">
        <f ca="1">TblMili[[#This Row],[Draft]] * (1 + TblMili[[#This Row],[Mods_Def]])</f>
        <v>412</v>
      </c>
      <c r="X45" s="247">
        <f ca="1">TblConstr[[#This Row],[Land]]</f>
        <v>110</v>
      </c>
      <c r="Y45" s="250"/>
      <c r="Z45" s="255">
        <f ca="1">IF(TblMili[[#This Row],[Set]]&lt;&gt;"",TblMili[[#This Row],[Set]],OFFSET(TblMili[[#This Row],[Draftrate]],-1,0))</f>
        <v>0.9</v>
      </c>
      <c r="AA45" s="94">
        <f ca="1">OFFSET(TblMili[[#This Row],[Draftees]],-1,0)+OFFSET(TblPop[[#This Row],[Draft Growth]],-1,0) - SUM(TblMili[[#This Row],[Train Unit 1]:[Train Spies]],TblMili[[#This Row],[Train Wiz]],TblMili[[#This Row],[DnD_Zombies]]) - TblMili[[#This Row],[Release Draft]] + SUM(TblMili[[#This Row],[Release Unit 1]:[Release AM]]) - TblExplore[[#This Row],[Draftees (2)]]</f>
        <v>412</v>
      </c>
      <c r="AB45" s="154"/>
      <c r="AC45" s="180">
        <f ca="1">(TblConstr[[#This Row],[Tot Smi]]+TblConstr[[#This Row],[Dest Smi]])/(TblConstr[[#This Row],[Land]]-TblExplore[[#This Row],[Land Bonus]]*20)</f>
        <v>0</v>
      </c>
      <c r="AD45" s="137"/>
      <c r="AE45" s="246">
        <f>TblMili[[#This Row],[Hour]]</f>
        <v>42</v>
      </c>
      <c r="AF45" s="138">
        <f ca="1">TblExplore[[#This Row],[Time]]</f>
        <v>46048.708333333234</v>
      </c>
      <c r="AG45" s="179"/>
      <c r="AH45" s="179"/>
      <c r="AI45" s="179"/>
      <c r="AJ45" s="179"/>
      <c r="AK45" s="179"/>
      <c r="AL45" s="179"/>
      <c r="AM45" s="179"/>
      <c r="AN45" s="179"/>
      <c r="AO45" s="420">
        <f ca="1">ROUND(IF(AND(TblMagic[[#This Row],[Active DnD]]&lt;12,TblMagic[[#This Row],[Active DnD]]&gt;5),OFFSET(TblPop[[#This Row],[Draft Growth]],-1,0)*0.375,0),0)</f>
        <v>0</v>
      </c>
      <c r="AP45" s="142"/>
      <c r="AQ45" s="94">
        <f ca="1">TblProd[[#This Row],[Platinum]]</f>
        <v>120645</v>
      </c>
      <c r="AR45" s="94">
        <f ca="1">INDEX(TblProd[[#Headers],[Lumber]]:TblProd[[#This Row],[Ore]],COUNTA(TblProd[[#Headers],[Lumber]]:TblProd[[#This Row],[Lumber]]),MATCH(Military!$AR$2,TblProd[[#Headers],[Lumber]:[Ore]],0))</f>
        <v>0</v>
      </c>
      <c r="AS4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5" s="94">
        <f ca="1">TblMili[[#This Row],[Train Unit 1]]*TblMili[[#This Row],[OP Ore]]+TblMili[[#This Row],[Train Unit 2]]*TblMili[[#This Row],[DP Ore]]+TblMili[[#This Row],[Train Unit 3]]*TblMili[[#This Row],[E1 Ore]]+TblMili[[#This Row],[Train Unit 4]]*TblMili[[#This Row],[E2 Ore]]</f>
        <v>0</v>
      </c>
      <c r="AU45" s="142">
        <f>TblMili[[#This Row],[Hour]]</f>
        <v>42</v>
      </c>
      <c r="AV45" s="152">
        <f ca="1">TblMili[[#This Row],[Time]]</f>
        <v>46048.708333333234</v>
      </c>
      <c r="AW45" s="94">
        <f ca="1">TblMili[[#This Row],[Draftees]]</f>
        <v>412</v>
      </c>
      <c r="AX45" s="179"/>
      <c r="AY45" s="179"/>
      <c r="AZ45" s="179"/>
      <c r="BA45" s="179"/>
      <c r="BB45" s="179"/>
      <c r="BC45" s="179"/>
      <c r="BD45" s="179"/>
      <c r="BE45" s="179"/>
      <c r="BF45" s="179"/>
      <c r="BG45" s="142"/>
      <c r="BH45" s="157">
        <f ca="1">TblConstr[[#This Row],[Tot WG]]/TblConstr[[#This Row],[Land]]</f>
        <v>0</v>
      </c>
      <c r="BI45" s="157">
        <f ca="1">TblConstr[[#This Row],[Tot Hav]]/TblConstr[[#This Row],[Land]]</f>
        <v>0</v>
      </c>
      <c r="BJ45" s="94">
        <f ca="1">ROUNDUP((1-MIN(TblMili[[#This Row],[Smithies]]*smithy_bonus,smithy_bonus_cap) + tech_3_5*TblTech[[#This Row],[3-5]] + tech_5_3*TblTech[[#This Row],[5-3]] + tech_5_5*TblTech[[#This Row],[5-5]])*spec_op_plat,0)</f>
        <v>275</v>
      </c>
      <c r="BK45" s="94">
        <f ca="1">ROUNDUP(IF(race="Gnome",1,(1-MIN(TblMili[[#This Row],[Smithies]]*smithy_bonus,smithy_bonus_cap) + tech_3_5*TblTech[[#This Row],[3-5]] + tech_5_3*TblTech[[#This Row],[5-3]] + tech_5_5*TblTech[[#This Row],[5-5]]))*spec_op_ore,0)</f>
        <v>25</v>
      </c>
      <c r="BL45" s="94">
        <f ca="1">ROUNDUP((1-MIN(TblMili[[#This Row],[Smithies]]*smithy_bonus,smithy_bonus_cap) + tech_3_5*TblTech[[#This Row],[3-5]] + tech_5_3*TblTech[[#This Row],[5-3]] + tech_5_5*TblTech[[#This Row],[5-5]])*spec_dp_plat,0)</f>
        <v>275</v>
      </c>
      <c r="BM45" s="94">
        <f ca="1">ROUNDUP(IF(race="Gnome",1,(1-MIN(TblMili[[#This Row],[Smithies]]*smithy_bonus,smithy_bonus_cap) + tech_3_5*TblTech[[#This Row],[3-5]] + tech_5_3*TblTech[[#This Row],[5-3]] + tech_5_5*TblTech[[#This Row],[5-5]]))*spec_dp_ore,0)</f>
        <v>15</v>
      </c>
      <c r="BN45" s="94">
        <f ca="1">ROUNDUP((1-MIN(TblMili[[#This Row],[Smithies]]*smithy_bonus,smithy_bonus_cap) + tech_3_5*TblTech[[#This Row],[3-5]] + tech_5_3*TblTech[[#This Row],[5-3]] + tech_5_5*TblTech[[#This Row],[5-5]])*elite1_plat,0)</f>
        <v>1040</v>
      </c>
      <c r="BO45" s="94">
        <f ca="1">ROUNDUP(IF(race="Gnome",1,(1-MIN(TblMili[[#This Row],[Smithies]]*smithy_bonus,smithy_bonus_cap) + tech_3_5*TblTech[[#This Row],[3-5]] + tech_5_3*TblTech[[#This Row],[5-3]] + tech_5_5*TblTech[[#This Row],[5-5]]))*elite1_ore,0)</f>
        <v>75</v>
      </c>
      <c r="BP45" s="94">
        <f ca="1">ROUNDUP((1-MIN(TblMili[[#This Row],[Smithies]]*smithy_bonus,smithy_bonus_cap) + tech_3_5*TblTech[[#This Row],[3-5]] + tech_5_3*TblTech[[#This Row],[5-3]] + tech_5_5*TblTech[[#This Row],[5-5]])*elite2_plat,0)</f>
        <v>1280</v>
      </c>
      <c r="BQ45" s="94">
        <f ca="1">ROUNDUP(IF(race="Gnome",1,(1-MIN(TblMili[[#This Row],[Smithies]]*smithy_bonus,smithy_bonus_cap) + tech_3_5*TblTech[[#This Row],[3-5]] + tech_5_3*TblTech[[#This Row],[5-3]] + tech_5_5*TblTech[[#This Row],[5-5]]))*elite2_ore,0)</f>
        <v>100</v>
      </c>
      <c r="BR45" s="94">
        <f ca="1">ROUNDUP((1-MIN(ROUND(fh_spy_cost_red*TblMili[[#This Row],[FH''s]],4),fh_spy_cost_cap)+ tech_1_9*TblTech[[#This Row],[1-9]] + tech_9_1*TblTech[[#This Row],[9-1]])*spy_plat,0)</f>
        <v>500</v>
      </c>
      <c r="BS45" s="94">
        <f ca="1">ROUNDUP((1-MIN(ROUND(fh_spy_cost_red*TblMili[[#This Row],[FH''s]],4),fh_spy_cost_cap)+ tech_1_9*TblTech[[#This Row],[1-9]] + tech_9_1*TblTech[[#This Row],[9-1]])*archspy_plat,0)</f>
        <v>1000</v>
      </c>
      <c r="BT45" s="94">
        <f ca="1">ROUNDUP((1-MIN(ROUND(wg_wiz_cost_bonus*TblMili[[#This Row],[WG''s]],4),wg_wiz_cost_cap) + tech_1_9_2*TblTech[[#This Row],[1-9]] + tech_9_1_2*TblTech[[#This Row],[9-1]])*wizard_plat,0)</f>
        <v>500</v>
      </c>
      <c r="BU45" s="94">
        <f ca="1">ROUNDUP((1-MIN(ROUND(wg_wiz_cost_bonus*TblMili[[#This Row],[WG''s]],4),wg_wiz_cost_cap) + tech_1_9_2*TblTech[[#This Row],[1-9]] + tech_9_1_2*TblTech[[#This Row],[9-1]])*archmage_plat,0)</f>
        <v>1000</v>
      </c>
      <c r="BV45" s="142"/>
      <c r="BW45" s="157">
        <f ca="1">TblConstr[[#This Row],[Homeland]]/TblConstr[[#This Row],[Land]]</f>
        <v>0.81818181818181823</v>
      </c>
      <c r="BX45" s="157">
        <f ca="1">TblMili[[#This Row],[WG''s]]</f>
        <v>0</v>
      </c>
      <c r="BY45" s="251">
        <f ca="1">IF(mystic_cap="none",TblMili[[#This Row],[Homeland%]]/mystic_bonus,MIN(mystic_cap,TblMili[[#This Row],[Homeland%]]/mystic_bonus))</f>
        <v>2</v>
      </c>
      <c r="BZ45" s="251">
        <f ca="1">IF(druid_op_cap="none",TblMili[[#This Row],[Homeland%]]/druid_op_bonus,MIN(druid_op_cap,TblMili[[#This Row],[Homeland%]]/druid_op_bonus))</f>
        <v>2</v>
      </c>
      <c r="CA45" s="251">
        <f ca="1">IF(druid_dp_cap="none",TblMili[[#This Row],[Homeland%]]/druid_dp_bonus,MIN(druid_dp_cap,TblMili[[#This Row],[Homeland%]]/druid_dp_bonus))</f>
        <v>2</v>
      </c>
      <c r="CB45" s="251">
        <f ca="1">MIN(dryad_cap,TblMili[[#This Row],[Homeland%]]/dryad_bonus)</f>
        <v>4</v>
      </c>
      <c r="CC45" s="251">
        <f ca="1">MIN(rocka_cap,TblMili[[#This Row],[Homeland%]]/rocka_bonus)</f>
        <v>2</v>
      </c>
      <c r="CD45" s="251">
        <f ca="1">MIN(adept_op_cap,TblMili[[#This Row],[WG]]/adept_op_bonus)</f>
        <v>0</v>
      </c>
      <c r="CE45" s="251">
        <f ca="1">MIN(adept_dp_cap,TblMili[[#This Row],[WG]]/adept_dp_bonus)</f>
        <v>0</v>
      </c>
      <c r="CF45" s="94">
        <f ca="1">MIN(TblMili[[#This Row],[Unit 3]],TblMili[[#This Row],[Unit 2]])*2</f>
        <v>0</v>
      </c>
      <c r="CG45" s="94">
        <f ca="1">MIN(TblMili[[#This Row],[Unit 1]],TblMili[[#This Row],[Unit 4]])*2</f>
        <v>0</v>
      </c>
      <c r="CH45" s="251">
        <f ca="1">MIN(frost_mage_cap,TblMili[[#This Row],[Homeland%]]/frost_mage_bonus)</f>
        <v>3</v>
      </c>
      <c r="CI45" s="45">
        <f ca="1">MIN(ice_elem_cap,TblMili[[#This Row],[Raw (2)]]*ice_elem_bonus)</f>
        <v>0</v>
      </c>
      <c r="CJ45" s="251">
        <f t="shared" si="2"/>
        <v>0.83333333333333337</v>
      </c>
      <c r="CK45" s="251">
        <f ca="1">MIN(nox_nightshade_cap,TblConstr[[#This Row],[Homeland]]/TblConstr[[#This Row],[Land]]/nox_nightshade_swamp_bonus)</f>
        <v>4</v>
      </c>
      <c r="CL45" s="251">
        <f ca="1">MIN(TblConstr[[#This Row],[Total Swamp]]/TblConstr[[#This Row],[Land]]/abyss_enforce_bonus,abyss_enforcer_cap)</f>
        <v>0</v>
      </c>
      <c r="CM45" s="251">
        <f ca="1">IF(TblMagic[[#This Row],[Active Infernal Command]]&gt;0,TblMili[[#This Row],[Unit 1]]*infernal_cmd_op,0)</f>
        <v>0</v>
      </c>
      <c r="CN45" s="252"/>
      <c r="CO45" s="252"/>
      <c r="CP45" s="252"/>
      <c r="CQ45" s="251">
        <f ca="1">MIN(6,TblMili[[#This Row],[Mystic]]+Races!$F$19)*1.8 +  IF(TblMili[[#This Row],[Mystic]]+Races!$F$19&gt;6,(TblMili[[#This Row],[Mystic]]+Races!$F$19-6)*0.2,0) - Races!$I$19</f>
        <v>1</v>
      </c>
      <c r="CR4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5" s="94">
        <f ca="1">TblMili[[#This Row],[Mystic bonus]]*TblMili[[#This Row],[Unit 3]]+TblMili[[#This Row],[Druid bonus]]*TblMili[[#This Row],[Unit 4]]</f>
        <v>0</v>
      </c>
      <c r="CT45" s="155">
        <f ca="1">MIN(6,TblMili[[#This Row],[Dryad]]+Races!$F$35)*1.8 +  IF(TblMili[[#This Row],[Dryad]]+Races!$F$35&gt;6,(TblMili[[#This Row],[Dryad]]+Races!$F$35-6)*0.2,0) - Races!$I$19</f>
        <v>1</v>
      </c>
      <c r="CU45" s="94">
        <f ca="1">sylvan*(TblMili[[#This Row],[Mystic bonus]]*TblMili[[#This Row],[Unit 3]])</f>
        <v>0</v>
      </c>
      <c r="CV45" s="155">
        <f ca="1">1.8 * MIN(MAX(Races!$E$27,TblMili[[#This Row],[Rockapult]]+Races!$F$27),6)  +  0.45 * MIN(MIN(Races!$E$27,TblMili[[#This Row],[Rockapult]]+Races!$F$27),6)  +  0.2 * ( MAX(Races!$E$27-6,0) + MAX(TblMili[[#This Row],[Rockapult]]+Races!$F$27-6,0) )  -  Races!$I$20</f>
        <v>3.7000000000000011</v>
      </c>
      <c r="CW45" s="94">
        <f ca="1">gnome*(TblMili[[#This Row],[Rockapult bonus]]*TblMili[[#This Row],[Unit 3]])</f>
        <v>0</v>
      </c>
      <c r="CX4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5" s="94">
        <f ca="1">dark_elf*(TblMili[[#This Row],[Adept bonus]]*TblMili[[#This Row],[Unit 3]])</f>
        <v>0</v>
      </c>
      <c r="CZ45" s="155">
        <f ca="1">1.8 * MIN(MAX(TblMili[[#This Row],[Frost Mage]]+Races!$F$71,Races!$E$71),6)  +  0.45 * MIN(MIN(TblMili[[#This Row],[Frost Mage]]+Races!$F$71,Races!$E$71),6)  +  0.2 * ( MAX(TblMili[[#This Row],[Frost Mage]]+Races!$F$71-6,0) + MAX(Races!$E$71-6,0) )  -  Races!$I$71</f>
        <v>6.15</v>
      </c>
      <c r="DA45" s="155">
        <f ca="1">1.8 * MIN(MAX(TblMili[[#This Row],[Ice Elemental]]+Races!$E$71,Races!$F$71),6)  +  0.45 * MIN(MIN(TblMili[[#This Row],[Ice Elemental]]+Races!$E$71,Races!$F$71),6)  +  0.2 * ( MAX(TblMili[[#This Row],[Ice Elemental]]+Races!$E$71-6,0) + MAX(Races!$F$71-6,0) )  -  Races!$I$71</f>
        <v>0.75</v>
      </c>
      <c r="DB45" s="94">
        <f ca="1">TblMili[[#This Row],[Frost Mage bonus]]*TblMili[[#This Row],[Unit 3]]+TblMili[[#This Row],[Ice Elemental bonus]]*TblMili[[#This Row],[Unit 4]]</f>
        <v>0</v>
      </c>
      <c r="DC45" s="253"/>
      <c r="DD45" s="143">
        <f ca="1">MIN(SUM(TblConstr[[#This Row],[Plain]:[Water]])/TblMili[[#This Row],[Land]]/favorable_terrain_bonus/100,favorable_terrain_max)</f>
        <v>0.1</v>
      </c>
      <c r="DE45" s="253"/>
      <c r="DF4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5" s="142"/>
      <c r="DH45" s="254">
        <f ca="1">(TblMili[[#This Row],[Wizards]]+2*TblMili[[#This Row],[Archmages]])/TblConstr[[#This Row],[Land]]</f>
        <v>0</v>
      </c>
      <c r="DI45" s="254">
        <f ca="1">TblMili[[#This Row],[Raw (2)]]*(1+race_wizard_strength+IF(TblMili[[#This Row],[Hour]]&gt;72,tech_magical_weaponry_wiz*TblTech[[#This Row],[3-5]],0))</f>
        <v>0</v>
      </c>
    </row>
    <row r="46" spans="1:113" x14ac:dyDescent="0.2">
      <c r="A46" s="137">
        <f>TblRezone[[#This Row],[Hour]]</f>
        <v>43</v>
      </c>
      <c r="B46" s="246">
        <f ca="1">SUM(TblMili[[#This Row],[Unit 1]:[Archmages]])+SUM(OFFSET(TblMili[[#This Row],[Train Unit 1]],-8,0):TblMili[[#This Row],[Train Unit 2]]) + SUM(OFFSET(TblMili[[#This Row],[Train Unit 3]],-11,0):TblMili[[#This Row],[Train AM]]) + TblMili[[#This Row],[Draftees]]</f>
        <v>419</v>
      </c>
      <c r="C46" s="157">
        <f ca="1">TblPop[[#This Row],[Military%]]</f>
        <v>0.38940520446096655</v>
      </c>
      <c r="D46" s="142"/>
      <c r="E46" s="45">
        <f ca="1">OFFSET(TblMili[[#This Row],[Unit 1]],-1,0) + OFFSET(TblMili[[#This Row],[Train Unit 1]],-9,0) - TblMili[[#This Row],[Release Unit 1]] + OFFSET(TblMili[[#This Row],[DnD_Zombies]],-12,0)</f>
        <v>0</v>
      </c>
      <c r="F46" s="45">
        <f ca="1">OFFSET(TblMili[[#This Row],[Unit 2]],-1,0) + OFFSET(TblMili[[#This Row],[Train Unit 2]],-9,0)-TblMili[[#This Row],[Release Unit 2]]</f>
        <v>0</v>
      </c>
      <c r="G46" s="45">
        <f ca="1">OFFSET(TblMili[[#This Row],[Unit 3]],-1,0) + OFFSET(TblMili[[#This Row],[Train Unit 3]],-12,0)-TblMili[[#This Row],[Release Unit 3]]</f>
        <v>0</v>
      </c>
      <c r="H46" s="45">
        <f ca="1">OFFSET(TblMili[[#This Row],[Unit 4]],-1,0) + OFFSET(TblMili[[#This Row],[Train Unit 4]],-12,0)-TblMili[[#This Row],[Release Unit 4]]</f>
        <v>0</v>
      </c>
      <c r="I46" s="45">
        <f ca="1">OFFSET(TblMili[[#This Row],[Spies]],-1,0) + OFFSET(TblMili[[#This Row],[Train Spies]],-12,0) - TblMili[[#This Row],[Release Spies]]-TblMili[[#This Row],[Train AS]]</f>
        <v>0</v>
      </c>
      <c r="J46" s="45">
        <f ca="1">OFFSET(TblMili[[#This Row],[Archspies]],-1,0) + OFFSET(TblMili[[#This Row],[Train AS]],-12,0) - TblMili[[#This Row],[Release AS]]</f>
        <v>0</v>
      </c>
      <c r="K46" s="45">
        <f ca="1">OFFSET(TblMili[[#This Row],[Wizards]],-1,0) + OFFSET(TblMili[[#This Row],[Train Wiz]],-12,0) - TblMili[[#This Row],[Release Wizards]]-TblMili[[#This Row],[Train AM]]</f>
        <v>0</v>
      </c>
      <c r="L46" s="45">
        <f ca="1">OFFSET(TblMili[[#This Row],[Archmages]],-1,0) + OFFSET(TblMili[[#This Row],[Train AM]],-12,0) - TblMili[[#This Row],[Release AM]]</f>
        <v>0</v>
      </c>
      <c r="M46" s="142"/>
      <c r="N46" s="94">
        <f ca="1">TblProd[[#This Row],[Networth]]</f>
        <v>2450</v>
      </c>
      <c r="O46" s="142"/>
      <c r="P4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6" s="247">
        <f ca="1">TblMili[[#This Row],[Raw]]*(1+TblMili[[#This Row],[Mods_Off]])</f>
        <v>0</v>
      </c>
      <c r="S4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6" s="247">
        <f ca="1">TblMili[[#This Row],[Non Draft]]+TblMili[[#This Row],[Draftees]]</f>
        <v>419</v>
      </c>
      <c r="U46" s="248">
        <f ca="1">race_defense + TblImps[[#This Row],[Walls]] + ROUND( MIN(gt_bonus*TblConstr[[#This Row],[Tot GT]]/TblConstr[[#This Row],[Land]],gt_bonus_cap), 4) + IF(TblMagic[[#This Row],[Active Howling]]&gt;0,howling_dp_bonus,IF(TblMagic[[#This Row],[Active Ares Call]]&gt;0,ares_call_bonus))</f>
        <v>0</v>
      </c>
      <c r="V46" s="249">
        <f ca="1">TblMili[[#This Row],[Non Draft]] * (1 + TblMili[[#This Row],[Mods_Def]])</f>
        <v>0</v>
      </c>
      <c r="W46" s="247">
        <f ca="1">TblMili[[#This Row],[Draft]] * (1 + TblMili[[#This Row],[Mods_Def]])</f>
        <v>419</v>
      </c>
      <c r="X46" s="247">
        <f ca="1">TblConstr[[#This Row],[Land]]</f>
        <v>110</v>
      </c>
      <c r="Y46" s="250"/>
      <c r="Z46" s="255">
        <f ca="1">IF(TblMili[[#This Row],[Set]]&lt;&gt;"",TblMili[[#This Row],[Set]],OFFSET(TblMili[[#This Row],[Draftrate]],-1,0))</f>
        <v>0.9</v>
      </c>
      <c r="AA46" s="94">
        <f ca="1">OFFSET(TblMili[[#This Row],[Draftees]],-1,0)+OFFSET(TblPop[[#This Row],[Draft Growth]],-1,0) - SUM(TblMili[[#This Row],[Train Unit 1]:[Train Spies]],TblMili[[#This Row],[Train Wiz]],TblMili[[#This Row],[DnD_Zombies]]) - TblMili[[#This Row],[Release Draft]] + SUM(TblMili[[#This Row],[Release Unit 1]:[Release AM]]) - TblExplore[[#This Row],[Draftees (2)]]</f>
        <v>419</v>
      </c>
      <c r="AB46" s="154"/>
      <c r="AC46" s="180">
        <f ca="1">(TblConstr[[#This Row],[Tot Smi]]+TblConstr[[#This Row],[Dest Smi]])/(TblConstr[[#This Row],[Land]]-TblExplore[[#This Row],[Land Bonus]]*20)</f>
        <v>0</v>
      </c>
      <c r="AD46" s="137"/>
      <c r="AE46" s="246">
        <f>TblMili[[#This Row],[Hour]]</f>
        <v>43</v>
      </c>
      <c r="AF46" s="138">
        <f ca="1">TblExplore[[#This Row],[Time]]</f>
        <v>46048.749999999898</v>
      </c>
      <c r="AG46" s="179"/>
      <c r="AH46" s="179"/>
      <c r="AI46" s="179"/>
      <c r="AJ46" s="179"/>
      <c r="AK46" s="179"/>
      <c r="AL46" s="179"/>
      <c r="AM46" s="179"/>
      <c r="AN46" s="179"/>
      <c r="AO46" s="420">
        <f ca="1">ROUND(IF(AND(TblMagic[[#This Row],[Active DnD]]&lt;12,TblMagic[[#This Row],[Active DnD]]&gt;5),OFFSET(TblPop[[#This Row],[Draft Growth]],-1,0)*0.375,0),0)</f>
        <v>0</v>
      </c>
      <c r="AP46" s="142"/>
      <c r="AQ46" s="94">
        <f ca="1">TblProd[[#This Row],[Platinum]]</f>
        <v>122437</v>
      </c>
      <c r="AR46" s="94">
        <f ca="1">INDEX(TblProd[[#Headers],[Lumber]]:TblProd[[#This Row],[Ore]],COUNTA(TblProd[[#Headers],[Lumber]]:TblProd[[#This Row],[Lumber]]),MATCH(Military!$AR$2,TblProd[[#Headers],[Lumber]:[Ore]],0))</f>
        <v>0</v>
      </c>
      <c r="AS4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6" s="94">
        <f ca="1">TblMili[[#This Row],[Train Unit 1]]*TblMili[[#This Row],[OP Ore]]+TblMili[[#This Row],[Train Unit 2]]*TblMili[[#This Row],[DP Ore]]+TblMili[[#This Row],[Train Unit 3]]*TblMili[[#This Row],[E1 Ore]]+TblMili[[#This Row],[Train Unit 4]]*TblMili[[#This Row],[E2 Ore]]</f>
        <v>0</v>
      </c>
      <c r="AU46" s="142">
        <f>TblMili[[#This Row],[Hour]]</f>
        <v>43</v>
      </c>
      <c r="AV46" s="152">
        <f ca="1">TblMili[[#This Row],[Time]]</f>
        <v>46048.749999999898</v>
      </c>
      <c r="AW46" s="94">
        <f ca="1">TblMili[[#This Row],[Draftees]]</f>
        <v>419</v>
      </c>
      <c r="AX46" s="179"/>
      <c r="AY46" s="179"/>
      <c r="AZ46" s="179"/>
      <c r="BA46" s="179"/>
      <c r="BB46" s="179"/>
      <c r="BC46" s="179"/>
      <c r="BD46" s="179"/>
      <c r="BE46" s="179"/>
      <c r="BF46" s="179"/>
      <c r="BG46" s="142"/>
      <c r="BH46" s="157">
        <f ca="1">TblConstr[[#This Row],[Tot WG]]/TblConstr[[#This Row],[Land]]</f>
        <v>0</v>
      </c>
      <c r="BI46" s="157">
        <f ca="1">TblConstr[[#This Row],[Tot Hav]]/TblConstr[[#This Row],[Land]]</f>
        <v>0</v>
      </c>
      <c r="BJ46" s="94">
        <f ca="1">ROUNDUP((1-MIN(TblMili[[#This Row],[Smithies]]*smithy_bonus,smithy_bonus_cap) + tech_3_5*TblTech[[#This Row],[3-5]] + tech_5_3*TblTech[[#This Row],[5-3]] + tech_5_5*TblTech[[#This Row],[5-5]])*spec_op_plat,0)</f>
        <v>275</v>
      </c>
      <c r="BK46" s="94">
        <f ca="1">ROUNDUP(IF(race="Gnome",1,(1-MIN(TblMili[[#This Row],[Smithies]]*smithy_bonus,smithy_bonus_cap) + tech_3_5*TblTech[[#This Row],[3-5]] + tech_5_3*TblTech[[#This Row],[5-3]] + tech_5_5*TblTech[[#This Row],[5-5]]))*spec_op_ore,0)</f>
        <v>25</v>
      </c>
      <c r="BL46" s="94">
        <f ca="1">ROUNDUP((1-MIN(TblMili[[#This Row],[Smithies]]*smithy_bonus,smithy_bonus_cap) + tech_3_5*TblTech[[#This Row],[3-5]] + tech_5_3*TblTech[[#This Row],[5-3]] + tech_5_5*TblTech[[#This Row],[5-5]])*spec_dp_plat,0)</f>
        <v>275</v>
      </c>
      <c r="BM46" s="94">
        <f ca="1">ROUNDUP(IF(race="Gnome",1,(1-MIN(TblMili[[#This Row],[Smithies]]*smithy_bonus,smithy_bonus_cap) + tech_3_5*TblTech[[#This Row],[3-5]] + tech_5_3*TblTech[[#This Row],[5-3]] + tech_5_5*TblTech[[#This Row],[5-5]]))*spec_dp_ore,0)</f>
        <v>15</v>
      </c>
      <c r="BN46" s="94">
        <f ca="1">ROUNDUP((1-MIN(TblMili[[#This Row],[Smithies]]*smithy_bonus,smithy_bonus_cap) + tech_3_5*TblTech[[#This Row],[3-5]] + tech_5_3*TblTech[[#This Row],[5-3]] + tech_5_5*TblTech[[#This Row],[5-5]])*elite1_plat,0)</f>
        <v>1040</v>
      </c>
      <c r="BO46" s="94">
        <f ca="1">ROUNDUP(IF(race="Gnome",1,(1-MIN(TblMili[[#This Row],[Smithies]]*smithy_bonus,smithy_bonus_cap) + tech_3_5*TblTech[[#This Row],[3-5]] + tech_5_3*TblTech[[#This Row],[5-3]] + tech_5_5*TblTech[[#This Row],[5-5]]))*elite1_ore,0)</f>
        <v>75</v>
      </c>
      <c r="BP46" s="94">
        <f ca="1">ROUNDUP((1-MIN(TblMili[[#This Row],[Smithies]]*smithy_bonus,smithy_bonus_cap) + tech_3_5*TblTech[[#This Row],[3-5]] + tech_5_3*TblTech[[#This Row],[5-3]] + tech_5_5*TblTech[[#This Row],[5-5]])*elite2_plat,0)</f>
        <v>1280</v>
      </c>
      <c r="BQ46" s="94">
        <f ca="1">ROUNDUP(IF(race="Gnome",1,(1-MIN(TblMili[[#This Row],[Smithies]]*smithy_bonus,smithy_bonus_cap) + tech_3_5*TblTech[[#This Row],[3-5]] + tech_5_3*TblTech[[#This Row],[5-3]] + tech_5_5*TblTech[[#This Row],[5-5]]))*elite2_ore,0)</f>
        <v>100</v>
      </c>
      <c r="BR46" s="94">
        <f ca="1">ROUNDUP((1-MIN(ROUND(fh_spy_cost_red*TblMili[[#This Row],[FH''s]],4),fh_spy_cost_cap)+ tech_1_9*TblTech[[#This Row],[1-9]] + tech_9_1*TblTech[[#This Row],[9-1]])*spy_plat,0)</f>
        <v>500</v>
      </c>
      <c r="BS46" s="94">
        <f ca="1">ROUNDUP((1-MIN(ROUND(fh_spy_cost_red*TblMili[[#This Row],[FH''s]],4),fh_spy_cost_cap)+ tech_1_9*TblTech[[#This Row],[1-9]] + tech_9_1*TblTech[[#This Row],[9-1]])*archspy_plat,0)</f>
        <v>1000</v>
      </c>
      <c r="BT46" s="94">
        <f ca="1">ROUNDUP((1-MIN(ROUND(wg_wiz_cost_bonus*TblMili[[#This Row],[WG''s]],4),wg_wiz_cost_cap) + tech_1_9_2*TblTech[[#This Row],[1-9]] + tech_9_1_2*TblTech[[#This Row],[9-1]])*wizard_plat,0)</f>
        <v>500</v>
      </c>
      <c r="BU46" s="94">
        <f ca="1">ROUNDUP((1-MIN(ROUND(wg_wiz_cost_bonus*TblMili[[#This Row],[WG''s]],4),wg_wiz_cost_cap) + tech_1_9_2*TblTech[[#This Row],[1-9]] + tech_9_1_2*TblTech[[#This Row],[9-1]])*archmage_plat,0)</f>
        <v>1000</v>
      </c>
      <c r="BV46" s="142"/>
      <c r="BW46" s="157">
        <f ca="1">TblConstr[[#This Row],[Homeland]]/TblConstr[[#This Row],[Land]]</f>
        <v>0.81818181818181823</v>
      </c>
      <c r="BX46" s="157">
        <f ca="1">TblMili[[#This Row],[WG''s]]</f>
        <v>0</v>
      </c>
      <c r="BY46" s="251">
        <f ca="1">IF(mystic_cap="none",TblMili[[#This Row],[Homeland%]]/mystic_bonus,MIN(mystic_cap,TblMili[[#This Row],[Homeland%]]/mystic_bonus))</f>
        <v>2</v>
      </c>
      <c r="BZ46" s="251">
        <f ca="1">IF(druid_op_cap="none",TblMili[[#This Row],[Homeland%]]/druid_op_bonus,MIN(druid_op_cap,TblMili[[#This Row],[Homeland%]]/druid_op_bonus))</f>
        <v>2</v>
      </c>
      <c r="CA46" s="251">
        <f ca="1">IF(druid_dp_cap="none",TblMili[[#This Row],[Homeland%]]/druid_dp_bonus,MIN(druid_dp_cap,TblMili[[#This Row],[Homeland%]]/druid_dp_bonus))</f>
        <v>2</v>
      </c>
      <c r="CB46" s="251">
        <f ca="1">MIN(dryad_cap,TblMili[[#This Row],[Homeland%]]/dryad_bonus)</f>
        <v>4</v>
      </c>
      <c r="CC46" s="251">
        <f ca="1">MIN(rocka_cap,TblMili[[#This Row],[Homeland%]]/rocka_bonus)</f>
        <v>2</v>
      </c>
      <c r="CD46" s="251">
        <f ca="1">MIN(adept_op_cap,TblMili[[#This Row],[WG]]/adept_op_bonus)</f>
        <v>0</v>
      </c>
      <c r="CE46" s="251">
        <f ca="1">MIN(adept_dp_cap,TblMili[[#This Row],[WG]]/adept_dp_bonus)</f>
        <v>0</v>
      </c>
      <c r="CF46" s="94">
        <f ca="1">MIN(TblMili[[#This Row],[Unit 3]],TblMili[[#This Row],[Unit 2]])*2</f>
        <v>0</v>
      </c>
      <c r="CG46" s="94">
        <f ca="1">MIN(TblMili[[#This Row],[Unit 1]],TblMili[[#This Row],[Unit 4]])*2</f>
        <v>0</v>
      </c>
      <c r="CH46" s="251">
        <f ca="1">MIN(frost_mage_cap,TblMili[[#This Row],[Homeland%]]/frost_mage_bonus)</f>
        <v>3</v>
      </c>
      <c r="CI46" s="45">
        <f ca="1">MIN(ice_elem_cap,TblMili[[#This Row],[Raw (2)]]*ice_elem_bonus)</f>
        <v>0</v>
      </c>
      <c r="CJ46" s="251">
        <f t="shared" si="2"/>
        <v>0.83333333333333337</v>
      </c>
      <c r="CK46" s="251">
        <f ca="1">MIN(nox_nightshade_cap,TblConstr[[#This Row],[Homeland]]/TblConstr[[#This Row],[Land]]/nox_nightshade_swamp_bonus)</f>
        <v>4</v>
      </c>
      <c r="CL46" s="251">
        <f ca="1">MIN(TblConstr[[#This Row],[Total Swamp]]/TblConstr[[#This Row],[Land]]/abyss_enforce_bonus,abyss_enforcer_cap)</f>
        <v>0</v>
      </c>
      <c r="CM46" s="251">
        <f ca="1">IF(TblMagic[[#This Row],[Active Infernal Command]]&gt;0,TblMili[[#This Row],[Unit 1]]*infernal_cmd_op,0)</f>
        <v>0</v>
      </c>
      <c r="CN46" s="252"/>
      <c r="CO46" s="252"/>
      <c r="CP46" s="252"/>
      <c r="CQ46" s="251">
        <f ca="1">MIN(6,TblMili[[#This Row],[Mystic]]+Races!$F$19)*1.8 +  IF(TblMili[[#This Row],[Mystic]]+Races!$F$19&gt;6,(TblMili[[#This Row],[Mystic]]+Races!$F$19-6)*0.2,0) - Races!$I$19</f>
        <v>1</v>
      </c>
      <c r="CR4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6" s="94">
        <f ca="1">TblMili[[#This Row],[Mystic bonus]]*TblMili[[#This Row],[Unit 3]]+TblMili[[#This Row],[Druid bonus]]*TblMili[[#This Row],[Unit 4]]</f>
        <v>0</v>
      </c>
      <c r="CT46" s="155">
        <f ca="1">MIN(6,TblMili[[#This Row],[Dryad]]+Races!$F$35)*1.8 +  IF(TblMili[[#This Row],[Dryad]]+Races!$F$35&gt;6,(TblMili[[#This Row],[Dryad]]+Races!$F$35-6)*0.2,0) - Races!$I$19</f>
        <v>1</v>
      </c>
      <c r="CU46" s="94">
        <f ca="1">sylvan*(TblMili[[#This Row],[Mystic bonus]]*TblMili[[#This Row],[Unit 3]])</f>
        <v>0</v>
      </c>
      <c r="CV46" s="155">
        <f ca="1">1.8 * MIN(MAX(Races!$E$27,TblMili[[#This Row],[Rockapult]]+Races!$F$27),6)  +  0.45 * MIN(MIN(Races!$E$27,TblMili[[#This Row],[Rockapult]]+Races!$F$27),6)  +  0.2 * ( MAX(Races!$E$27-6,0) + MAX(TblMili[[#This Row],[Rockapult]]+Races!$F$27-6,0) )  -  Races!$I$20</f>
        <v>3.7000000000000011</v>
      </c>
      <c r="CW46" s="94">
        <f ca="1">gnome*(TblMili[[#This Row],[Rockapult bonus]]*TblMili[[#This Row],[Unit 3]])</f>
        <v>0</v>
      </c>
      <c r="CX4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6" s="94">
        <f ca="1">dark_elf*(TblMili[[#This Row],[Adept bonus]]*TblMili[[#This Row],[Unit 3]])</f>
        <v>0</v>
      </c>
      <c r="CZ46" s="155">
        <f ca="1">1.8 * MIN(MAX(TblMili[[#This Row],[Frost Mage]]+Races!$F$71,Races!$E$71),6)  +  0.45 * MIN(MIN(TblMili[[#This Row],[Frost Mage]]+Races!$F$71,Races!$E$71),6)  +  0.2 * ( MAX(TblMili[[#This Row],[Frost Mage]]+Races!$F$71-6,0) + MAX(Races!$E$71-6,0) )  -  Races!$I$71</f>
        <v>6.15</v>
      </c>
      <c r="DA46" s="155">
        <f ca="1">1.8 * MIN(MAX(TblMili[[#This Row],[Ice Elemental]]+Races!$E$71,Races!$F$71),6)  +  0.45 * MIN(MIN(TblMili[[#This Row],[Ice Elemental]]+Races!$E$71,Races!$F$71),6)  +  0.2 * ( MAX(TblMili[[#This Row],[Ice Elemental]]+Races!$E$71-6,0) + MAX(Races!$F$71-6,0) )  -  Races!$I$71</f>
        <v>0.75</v>
      </c>
      <c r="DB46" s="94">
        <f ca="1">TblMili[[#This Row],[Frost Mage bonus]]*TblMili[[#This Row],[Unit 3]]+TblMili[[#This Row],[Ice Elemental bonus]]*TblMili[[#This Row],[Unit 4]]</f>
        <v>0</v>
      </c>
      <c r="DC46" s="253"/>
      <c r="DD46" s="143">
        <f ca="1">MIN(SUM(TblConstr[[#This Row],[Plain]:[Water]])/TblMili[[#This Row],[Land]]/favorable_terrain_bonus/100,favorable_terrain_max)</f>
        <v>0.1</v>
      </c>
      <c r="DE46" s="253"/>
      <c r="DF4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6" s="142"/>
      <c r="DH46" s="254">
        <f ca="1">(TblMili[[#This Row],[Wizards]]+2*TblMili[[#This Row],[Archmages]])/TblConstr[[#This Row],[Land]]</f>
        <v>0</v>
      </c>
      <c r="DI46" s="254">
        <f ca="1">TblMili[[#This Row],[Raw (2)]]*(1+race_wizard_strength+IF(TblMili[[#This Row],[Hour]]&gt;72,tech_magical_weaponry_wiz*TblTech[[#This Row],[3-5]],0))</f>
        <v>0</v>
      </c>
    </row>
    <row r="47" spans="1:113" x14ac:dyDescent="0.2">
      <c r="A47" s="137">
        <f>TblRezone[[#This Row],[Hour]]</f>
        <v>44</v>
      </c>
      <c r="B47" s="246">
        <f ca="1">SUM(TblMili[[#This Row],[Unit 1]:[Archmages]])+SUM(OFFSET(TblMili[[#This Row],[Train Unit 1]],-8,0):TblMili[[#This Row],[Train Unit 2]]) + SUM(OFFSET(TblMili[[#This Row],[Train Unit 3]],-11,0):TblMili[[#This Row],[Train AM]]) + TblMili[[#This Row],[Draftees]]</f>
        <v>426</v>
      </c>
      <c r="C47" s="157">
        <f ca="1">TblPop[[#This Row],[Military%]]</f>
        <v>0.39591078066914498</v>
      </c>
      <c r="D47" s="142"/>
      <c r="E47" s="45">
        <f ca="1">OFFSET(TblMili[[#This Row],[Unit 1]],-1,0) + OFFSET(TblMili[[#This Row],[Train Unit 1]],-9,0) - TblMili[[#This Row],[Release Unit 1]] + OFFSET(TblMili[[#This Row],[DnD_Zombies]],-12,0)</f>
        <v>0</v>
      </c>
      <c r="F47" s="45">
        <f ca="1">OFFSET(TblMili[[#This Row],[Unit 2]],-1,0) + OFFSET(TblMili[[#This Row],[Train Unit 2]],-9,0)-TblMili[[#This Row],[Release Unit 2]]</f>
        <v>0</v>
      </c>
      <c r="G47" s="45">
        <f ca="1">OFFSET(TblMili[[#This Row],[Unit 3]],-1,0) + OFFSET(TblMili[[#This Row],[Train Unit 3]],-12,0)-TblMili[[#This Row],[Release Unit 3]]</f>
        <v>0</v>
      </c>
      <c r="H47" s="45">
        <f ca="1">OFFSET(TblMili[[#This Row],[Unit 4]],-1,0) + OFFSET(TblMili[[#This Row],[Train Unit 4]],-12,0)-TblMili[[#This Row],[Release Unit 4]]</f>
        <v>0</v>
      </c>
      <c r="I47" s="45">
        <f ca="1">OFFSET(TblMili[[#This Row],[Spies]],-1,0) + OFFSET(TblMili[[#This Row],[Train Spies]],-12,0) - TblMili[[#This Row],[Release Spies]]-TblMili[[#This Row],[Train AS]]</f>
        <v>0</v>
      </c>
      <c r="J47" s="45">
        <f ca="1">OFFSET(TblMili[[#This Row],[Archspies]],-1,0) + OFFSET(TblMili[[#This Row],[Train AS]],-12,0) - TblMili[[#This Row],[Release AS]]</f>
        <v>0</v>
      </c>
      <c r="K47" s="45">
        <f ca="1">OFFSET(TblMili[[#This Row],[Wizards]],-1,0) + OFFSET(TblMili[[#This Row],[Train Wiz]],-12,0) - TblMili[[#This Row],[Release Wizards]]-TblMili[[#This Row],[Train AM]]</f>
        <v>0</v>
      </c>
      <c r="L47" s="45">
        <f ca="1">OFFSET(TblMili[[#This Row],[Archmages]],-1,0) + OFFSET(TblMili[[#This Row],[Train AM]],-12,0) - TblMili[[#This Row],[Release AM]]</f>
        <v>0</v>
      </c>
      <c r="M47" s="142"/>
      <c r="N47" s="94">
        <f ca="1">TblProd[[#This Row],[Networth]]</f>
        <v>2450</v>
      </c>
      <c r="O47" s="142"/>
      <c r="P4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7" s="247">
        <f ca="1">TblMili[[#This Row],[Raw]]*(1+TblMili[[#This Row],[Mods_Off]])</f>
        <v>0</v>
      </c>
      <c r="S4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7" s="247">
        <f ca="1">TblMili[[#This Row],[Non Draft]]+TblMili[[#This Row],[Draftees]]</f>
        <v>426</v>
      </c>
      <c r="U47" s="248">
        <f ca="1">race_defense + TblImps[[#This Row],[Walls]] + ROUND( MIN(gt_bonus*TblConstr[[#This Row],[Tot GT]]/TblConstr[[#This Row],[Land]],gt_bonus_cap), 4) + IF(TblMagic[[#This Row],[Active Howling]]&gt;0,howling_dp_bonus,IF(TblMagic[[#This Row],[Active Ares Call]]&gt;0,ares_call_bonus))</f>
        <v>0</v>
      </c>
      <c r="V47" s="249">
        <f ca="1">TblMili[[#This Row],[Non Draft]] * (1 + TblMili[[#This Row],[Mods_Def]])</f>
        <v>0</v>
      </c>
      <c r="W47" s="247">
        <f ca="1">TblMili[[#This Row],[Draft]] * (1 + TblMili[[#This Row],[Mods_Def]])</f>
        <v>426</v>
      </c>
      <c r="X47" s="247">
        <f ca="1">TblConstr[[#This Row],[Land]]</f>
        <v>110</v>
      </c>
      <c r="Y47" s="250"/>
      <c r="Z47" s="255">
        <f ca="1">IF(TblMili[[#This Row],[Set]]&lt;&gt;"",TblMili[[#This Row],[Set]],OFFSET(TblMili[[#This Row],[Draftrate]],-1,0))</f>
        <v>0.9</v>
      </c>
      <c r="AA47" s="94">
        <f ca="1">OFFSET(TblMili[[#This Row],[Draftees]],-1,0)+OFFSET(TblPop[[#This Row],[Draft Growth]],-1,0) - SUM(TblMili[[#This Row],[Train Unit 1]:[Train Spies]],TblMili[[#This Row],[Train Wiz]],TblMili[[#This Row],[DnD_Zombies]]) - TblMili[[#This Row],[Release Draft]] + SUM(TblMili[[#This Row],[Release Unit 1]:[Release AM]]) - TblExplore[[#This Row],[Draftees (2)]]</f>
        <v>426</v>
      </c>
      <c r="AB47" s="154"/>
      <c r="AC47" s="180">
        <f ca="1">(TblConstr[[#This Row],[Tot Smi]]+TblConstr[[#This Row],[Dest Smi]])/(TblConstr[[#This Row],[Land]]-TblExplore[[#This Row],[Land Bonus]]*20)</f>
        <v>0</v>
      </c>
      <c r="AD47" s="137"/>
      <c r="AE47" s="246">
        <f>TblMili[[#This Row],[Hour]]</f>
        <v>44</v>
      </c>
      <c r="AF47" s="138">
        <f ca="1">TblExplore[[#This Row],[Time]]</f>
        <v>46048.791666666562</v>
      </c>
      <c r="AG47" s="179"/>
      <c r="AH47" s="179"/>
      <c r="AI47" s="179"/>
      <c r="AJ47" s="179"/>
      <c r="AK47" s="179"/>
      <c r="AL47" s="179"/>
      <c r="AM47" s="179"/>
      <c r="AN47" s="179"/>
      <c r="AO47" s="420">
        <f ca="1">ROUND(IF(AND(TblMagic[[#This Row],[Active DnD]]&lt;12,TblMagic[[#This Row],[Active DnD]]&gt;5),OFFSET(TblPop[[#This Row],[Draft Growth]],-1,0)*0.375,0),0)</f>
        <v>0</v>
      </c>
      <c r="AP47" s="142"/>
      <c r="AQ47" s="94">
        <f ca="1">TblProd[[#This Row],[Platinum]]</f>
        <v>124210</v>
      </c>
      <c r="AR47" s="94">
        <f ca="1">INDEX(TblProd[[#Headers],[Lumber]]:TblProd[[#This Row],[Ore]],COUNTA(TblProd[[#Headers],[Lumber]]:TblProd[[#This Row],[Lumber]]),MATCH(Military!$AR$2,TblProd[[#Headers],[Lumber]:[Ore]],0))</f>
        <v>0</v>
      </c>
      <c r="AS4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7" s="94">
        <f ca="1">TblMili[[#This Row],[Train Unit 1]]*TblMili[[#This Row],[OP Ore]]+TblMili[[#This Row],[Train Unit 2]]*TblMili[[#This Row],[DP Ore]]+TblMili[[#This Row],[Train Unit 3]]*TblMili[[#This Row],[E1 Ore]]+TblMili[[#This Row],[Train Unit 4]]*TblMili[[#This Row],[E2 Ore]]</f>
        <v>0</v>
      </c>
      <c r="AU47" s="142">
        <f>TblMili[[#This Row],[Hour]]</f>
        <v>44</v>
      </c>
      <c r="AV47" s="152">
        <f ca="1">TblMili[[#This Row],[Time]]</f>
        <v>46048.791666666562</v>
      </c>
      <c r="AW47" s="94">
        <f ca="1">TblMili[[#This Row],[Draftees]]</f>
        <v>426</v>
      </c>
      <c r="AX47" s="179"/>
      <c r="AY47" s="179"/>
      <c r="AZ47" s="179"/>
      <c r="BA47" s="179"/>
      <c r="BB47" s="179"/>
      <c r="BC47" s="179"/>
      <c r="BD47" s="179"/>
      <c r="BE47" s="179"/>
      <c r="BF47" s="179"/>
      <c r="BG47" s="142"/>
      <c r="BH47" s="157">
        <f ca="1">TblConstr[[#This Row],[Tot WG]]/TblConstr[[#This Row],[Land]]</f>
        <v>0</v>
      </c>
      <c r="BI47" s="157">
        <f ca="1">TblConstr[[#This Row],[Tot Hav]]/TblConstr[[#This Row],[Land]]</f>
        <v>0</v>
      </c>
      <c r="BJ47" s="94">
        <f ca="1">ROUNDUP((1-MIN(TblMili[[#This Row],[Smithies]]*smithy_bonus,smithy_bonus_cap) + tech_3_5*TblTech[[#This Row],[3-5]] + tech_5_3*TblTech[[#This Row],[5-3]] + tech_5_5*TblTech[[#This Row],[5-5]])*spec_op_plat,0)</f>
        <v>275</v>
      </c>
      <c r="BK47" s="94">
        <f ca="1">ROUNDUP(IF(race="Gnome",1,(1-MIN(TblMili[[#This Row],[Smithies]]*smithy_bonus,smithy_bonus_cap) + tech_3_5*TblTech[[#This Row],[3-5]] + tech_5_3*TblTech[[#This Row],[5-3]] + tech_5_5*TblTech[[#This Row],[5-5]]))*spec_op_ore,0)</f>
        <v>25</v>
      </c>
      <c r="BL47" s="94">
        <f ca="1">ROUNDUP((1-MIN(TblMili[[#This Row],[Smithies]]*smithy_bonus,smithy_bonus_cap) + tech_3_5*TblTech[[#This Row],[3-5]] + tech_5_3*TblTech[[#This Row],[5-3]] + tech_5_5*TblTech[[#This Row],[5-5]])*spec_dp_plat,0)</f>
        <v>275</v>
      </c>
      <c r="BM47" s="94">
        <f ca="1">ROUNDUP(IF(race="Gnome",1,(1-MIN(TblMili[[#This Row],[Smithies]]*smithy_bonus,smithy_bonus_cap) + tech_3_5*TblTech[[#This Row],[3-5]] + tech_5_3*TblTech[[#This Row],[5-3]] + tech_5_5*TblTech[[#This Row],[5-5]]))*spec_dp_ore,0)</f>
        <v>15</v>
      </c>
      <c r="BN47" s="94">
        <f ca="1">ROUNDUP((1-MIN(TblMili[[#This Row],[Smithies]]*smithy_bonus,smithy_bonus_cap) + tech_3_5*TblTech[[#This Row],[3-5]] + tech_5_3*TblTech[[#This Row],[5-3]] + tech_5_5*TblTech[[#This Row],[5-5]])*elite1_plat,0)</f>
        <v>1040</v>
      </c>
      <c r="BO47" s="94">
        <f ca="1">ROUNDUP(IF(race="Gnome",1,(1-MIN(TblMili[[#This Row],[Smithies]]*smithy_bonus,smithy_bonus_cap) + tech_3_5*TblTech[[#This Row],[3-5]] + tech_5_3*TblTech[[#This Row],[5-3]] + tech_5_5*TblTech[[#This Row],[5-5]]))*elite1_ore,0)</f>
        <v>75</v>
      </c>
      <c r="BP47" s="94">
        <f ca="1">ROUNDUP((1-MIN(TblMili[[#This Row],[Smithies]]*smithy_bonus,smithy_bonus_cap) + tech_3_5*TblTech[[#This Row],[3-5]] + tech_5_3*TblTech[[#This Row],[5-3]] + tech_5_5*TblTech[[#This Row],[5-5]])*elite2_plat,0)</f>
        <v>1280</v>
      </c>
      <c r="BQ47" s="94">
        <f ca="1">ROUNDUP(IF(race="Gnome",1,(1-MIN(TblMili[[#This Row],[Smithies]]*smithy_bonus,smithy_bonus_cap) + tech_3_5*TblTech[[#This Row],[3-5]] + tech_5_3*TblTech[[#This Row],[5-3]] + tech_5_5*TblTech[[#This Row],[5-5]]))*elite2_ore,0)</f>
        <v>100</v>
      </c>
      <c r="BR47" s="94">
        <f ca="1">ROUNDUP((1-MIN(ROUND(fh_spy_cost_red*TblMili[[#This Row],[FH''s]],4),fh_spy_cost_cap)+ tech_1_9*TblTech[[#This Row],[1-9]] + tech_9_1*TblTech[[#This Row],[9-1]])*spy_plat,0)</f>
        <v>500</v>
      </c>
      <c r="BS47" s="94">
        <f ca="1">ROUNDUP((1-MIN(ROUND(fh_spy_cost_red*TblMili[[#This Row],[FH''s]],4),fh_spy_cost_cap)+ tech_1_9*TblTech[[#This Row],[1-9]] + tech_9_1*TblTech[[#This Row],[9-1]])*archspy_plat,0)</f>
        <v>1000</v>
      </c>
      <c r="BT47" s="94">
        <f ca="1">ROUNDUP((1-MIN(ROUND(wg_wiz_cost_bonus*TblMili[[#This Row],[WG''s]],4),wg_wiz_cost_cap) + tech_1_9_2*TblTech[[#This Row],[1-9]] + tech_9_1_2*TblTech[[#This Row],[9-1]])*wizard_plat,0)</f>
        <v>500</v>
      </c>
      <c r="BU47" s="94">
        <f ca="1">ROUNDUP((1-MIN(ROUND(wg_wiz_cost_bonus*TblMili[[#This Row],[WG''s]],4),wg_wiz_cost_cap) + tech_1_9_2*TblTech[[#This Row],[1-9]] + tech_9_1_2*TblTech[[#This Row],[9-1]])*archmage_plat,0)</f>
        <v>1000</v>
      </c>
      <c r="BV47" s="142"/>
      <c r="BW47" s="157">
        <f ca="1">TblConstr[[#This Row],[Homeland]]/TblConstr[[#This Row],[Land]]</f>
        <v>0.81818181818181823</v>
      </c>
      <c r="BX47" s="157">
        <f ca="1">TblMili[[#This Row],[WG''s]]</f>
        <v>0</v>
      </c>
      <c r="BY47" s="251">
        <f ca="1">IF(mystic_cap="none",TblMili[[#This Row],[Homeland%]]/mystic_bonus,MIN(mystic_cap,TblMili[[#This Row],[Homeland%]]/mystic_bonus))</f>
        <v>2</v>
      </c>
      <c r="BZ47" s="251">
        <f ca="1">IF(druid_op_cap="none",TblMili[[#This Row],[Homeland%]]/druid_op_bonus,MIN(druid_op_cap,TblMili[[#This Row],[Homeland%]]/druid_op_bonus))</f>
        <v>2</v>
      </c>
      <c r="CA47" s="251">
        <f ca="1">IF(druid_dp_cap="none",TblMili[[#This Row],[Homeland%]]/druid_dp_bonus,MIN(druid_dp_cap,TblMili[[#This Row],[Homeland%]]/druid_dp_bonus))</f>
        <v>2</v>
      </c>
      <c r="CB47" s="251">
        <f ca="1">MIN(dryad_cap,TblMili[[#This Row],[Homeland%]]/dryad_bonus)</f>
        <v>4</v>
      </c>
      <c r="CC47" s="251">
        <f ca="1">MIN(rocka_cap,TblMili[[#This Row],[Homeland%]]/rocka_bonus)</f>
        <v>2</v>
      </c>
      <c r="CD47" s="251">
        <f ca="1">MIN(adept_op_cap,TblMili[[#This Row],[WG]]/adept_op_bonus)</f>
        <v>0</v>
      </c>
      <c r="CE47" s="251">
        <f ca="1">MIN(adept_dp_cap,TblMili[[#This Row],[WG]]/adept_dp_bonus)</f>
        <v>0</v>
      </c>
      <c r="CF47" s="94">
        <f ca="1">MIN(TblMili[[#This Row],[Unit 3]],TblMili[[#This Row],[Unit 2]])*2</f>
        <v>0</v>
      </c>
      <c r="CG47" s="94">
        <f ca="1">MIN(TblMili[[#This Row],[Unit 1]],TblMili[[#This Row],[Unit 4]])*2</f>
        <v>0</v>
      </c>
      <c r="CH47" s="251">
        <f ca="1">MIN(frost_mage_cap,TblMili[[#This Row],[Homeland%]]/frost_mage_bonus)</f>
        <v>3</v>
      </c>
      <c r="CI47" s="45">
        <f ca="1">MIN(ice_elem_cap,TblMili[[#This Row],[Raw (2)]]*ice_elem_bonus)</f>
        <v>0</v>
      </c>
      <c r="CJ47" s="251">
        <f t="shared" si="2"/>
        <v>0.83333333333333337</v>
      </c>
      <c r="CK47" s="251">
        <f ca="1">MIN(nox_nightshade_cap,TblConstr[[#This Row],[Homeland]]/TblConstr[[#This Row],[Land]]/nox_nightshade_swamp_bonus)</f>
        <v>4</v>
      </c>
      <c r="CL47" s="251">
        <f ca="1">MIN(TblConstr[[#This Row],[Total Swamp]]/TblConstr[[#This Row],[Land]]/abyss_enforce_bonus,abyss_enforcer_cap)</f>
        <v>0</v>
      </c>
      <c r="CM47" s="251">
        <f ca="1">IF(TblMagic[[#This Row],[Active Infernal Command]]&gt;0,TblMili[[#This Row],[Unit 1]]*infernal_cmd_op,0)</f>
        <v>0</v>
      </c>
      <c r="CN47" s="252"/>
      <c r="CO47" s="252"/>
      <c r="CP47" s="252"/>
      <c r="CQ47" s="251">
        <f ca="1">MIN(6,TblMili[[#This Row],[Mystic]]+Races!$F$19)*1.8 +  IF(TblMili[[#This Row],[Mystic]]+Races!$F$19&gt;6,(TblMili[[#This Row],[Mystic]]+Races!$F$19-6)*0.2,0) - Races!$I$19</f>
        <v>1</v>
      </c>
      <c r="CR4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7" s="94">
        <f ca="1">TblMili[[#This Row],[Mystic bonus]]*TblMili[[#This Row],[Unit 3]]+TblMili[[#This Row],[Druid bonus]]*TblMili[[#This Row],[Unit 4]]</f>
        <v>0</v>
      </c>
      <c r="CT47" s="155">
        <f ca="1">MIN(6,TblMili[[#This Row],[Dryad]]+Races!$F$35)*1.8 +  IF(TblMili[[#This Row],[Dryad]]+Races!$F$35&gt;6,(TblMili[[#This Row],[Dryad]]+Races!$F$35-6)*0.2,0) - Races!$I$19</f>
        <v>1</v>
      </c>
      <c r="CU47" s="94">
        <f ca="1">sylvan*(TblMili[[#This Row],[Mystic bonus]]*TblMili[[#This Row],[Unit 3]])</f>
        <v>0</v>
      </c>
      <c r="CV47" s="155">
        <f ca="1">1.8 * MIN(MAX(Races!$E$27,TblMili[[#This Row],[Rockapult]]+Races!$F$27),6)  +  0.45 * MIN(MIN(Races!$E$27,TblMili[[#This Row],[Rockapult]]+Races!$F$27),6)  +  0.2 * ( MAX(Races!$E$27-6,0) + MAX(TblMili[[#This Row],[Rockapult]]+Races!$F$27-6,0) )  -  Races!$I$20</f>
        <v>3.7000000000000011</v>
      </c>
      <c r="CW47" s="94">
        <f ca="1">gnome*(TblMili[[#This Row],[Rockapult bonus]]*TblMili[[#This Row],[Unit 3]])</f>
        <v>0</v>
      </c>
      <c r="CX4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7" s="94">
        <f ca="1">dark_elf*(TblMili[[#This Row],[Adept bonus]]*TblMili[[#This Row],[Unit 3]])</f>
        <v>0</v>
      </c>
      <c r="CZ47" s="155">
        <f ca="1">1.8 * MIN(MAX(TblMili[[#This Row],[Frost Mage]]+Races!$F$71,Races!$E$71),6)  +  0.45 * MIN(MIN(TblMili[[#This Row],[Frost Mage]]+Races!$F$71,Races!$E$71),6)  +  0.2 * ( MAX(TblMili[[#This Row],[Frost Mage]]+Races!$F$71-6,0) + MAX(Races!$E$71-6,0) )  -  Races!$I$71</f>
        <v>6.15</v>
      </c>
      <c r="DA47" s="155">
        <f ca="1">1.8 * MIN(MAX(TblMili[[#This Row],[Ice Elemental]]+Races!$E$71,Races!$F$71),6)  +  0.45 * MIN(MIN(TblMili[[#This Row],[Ice Elemental]]+Races!$E$71,Races!$F$71),6)  +  0.2 * ( MAX(TblMili[[#This Row],[Ice Elemental]]+Races!$E$71-6,0) + MAX(Races!$F$71-6,0) )  -  Races!$I$71</f>
        <v>0.75</v>
      </c>
      <c r="DB47" s="94">
        <f ca="1">TblMili[[#This Row],[Frost Mage bonus]]*TblMili[[#This Row],[Unit 3]]+TblMili[[#This Row],[Ice Elemental bonus]]*TblMili[[#This Row],[Unit 4]]</f>
        <v>0</v>
      </c>
      <c r="DC47" s="253"/>
      <c r="DD47" s="143">
        <f ca="1">MIN(SUM(TblConstr[[#This Row],[Plain]:[Water]])/TblMili[[#This Row],[Land]]/favorable_terrain_bonus/100,favorable_terrain_max)</f>
        <v>0.1</v>
      </c>
      <c r="DE47" s="253"/>
      <c r="DF4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7" s="142"/>
      <c r="DH47" s="254">
        <f ca="1">(TblMili[[#This Row],[Wizards]]+2*TblMili[[#This Row],[Archmages]])/TblConstr[[#This Row],[Land]]</f>
        <v>0</v>
      </c>
      <c r="DI47" s="254">
        <f ca="1">TblMili[[#This Row],[Raw (2)]]*(1+race_wizard_strength+IF(TblMili[[#This Row],[Hour]]&gt;72,tech_magical_weaponry_wiz*TblTech[[#This Row],[3-5]],0))</f>
        <v>0</v>
      </c>
    </row>
    <row r="48" spans="1:113" x14ac:dyDescent="0.2">
      <c r="A48" s="137">
        <f>TblRezone[[#This Row],[Hour]]</f>
        <v>45</v>
      </c>
      <c r="B48" s="246">
        <f ca="1">SUM(TblMili[[#This Row],[Unit 1]:[Archmages]])+SUM(OFFSET(TblMili[[#This Row],[Train Unit 1]],-8,0):TblMili[[#This Row],[Train Unit 2]]) + SUM(OFFSET(TblMili[[#This Row],[Train Unit 3]],-11,0):TblMili[[#This Row],[Train AM]]) + TblMili[[#This Row],[Draftees]]</f>
        <v>433</v>
      </c>
      <c r="C48" s="157">
        <f ca="1">TblPop[[#This Row],[Military%]]</f>
        <v>0.40241635687732341</v>
      </c>
      <c r="D48" s="142"/>
      <c r="E48" s="45">
        <f ca="1">OFFSET(TblMili[[#This Row],[Unit 1]],-1,0) + OFFSET(TblMili[[#This Row],[Train Unit 1]],-9,0) - TblMili[[#This Row],[Release Unit 1]] + OFFSET(TblMili[[#This Row],[DnD_Zombies]],-12,0)</f>
        <v>0</v>
      </c>
      <c r="F48" s="45">
        <f ca="1">OFFSET(TblMili[[#This Row],[Unit 2]],-1,0) + OFFSET(TblMili[[#This Row],[Train Unit 2]],-9,0)-TblMili[[#This Row],[Release Unit 2]]</f>
        <v>0</v>
      </c>
      <c r="G48" s="45">
        <f ca="1">OFFSET(TblMili[[#This Row],[Unit 3]],-1,0) + OFFSET(TblMili[[#This Row],[Train Unit 3]],-12,0)-TblMili[[#This Row],[Release Unit 3]]</f>
        <v>0</v>
      </c>
      <c r="H48" s="45">
        <f ca="1">OFFSET(TblMili[[#This Row],[Unit 4]],-1,0) + OFFSET(TblMili[[#This Row],[Train Unit 4]],-12,0)-TblMili[[#This Row],[Release Unit 4]]</f>
        <v>0</v>
      </c>
      <c r="I48" s="45">
        <f ca="1">OFFSET(TblMili[[#This Row],[Spies]],-1,0) + OFFSET(TblMili[[#This Row],[Train Spies]],-12,0) - TblMili[[#This Row],[Release Spies]]-TblMili[[#This Row],[Train AS]]</f>
        <v>0</v>
      </c>
      <c r="J48" s="45">
        <f ca="1">OFFSET(TblMili[[#This Row],[Archspies]],-1,0) + OFFSET(TblMili[[#This Row],[Train AS]],-12,0) - TblMili[[#This Row],[Release AS]]</f>
        <v>0</v>
      </c>
      <c r="K48" s="45">
        <f ca="1">OFFSET(TblMili[[#This Row],[Wizards]],-1,0) + OFFSET(TblMili[[#This Row],[Train Wiz]],-12,0) - TblMili[[#This Row],[Release Wizards]]-TblMili[[#This Row],[Train AM]]</f>
        <v>0</v>
      </c>
      <c r="L48" s="45">
        <f ca="1">OFFSET(TblMili[[#This Row],[Archmages]],-1,0) + OFFSET(TblMili[[#This Row],[Train AM]],-12,0) - TblMili[[#This Row],[Release AM]]</f>
        <v>0</v>
      </c>
      <c r="M48" s="142"/>
      <c r="N48" s="94">
        <f ca="1">TblProd[[#This Row],[Networth]]</f>
        <v>2450</v>
      </c>
      <c r="O48" s="142"/>
      <c r="P4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8" s="247">
        <f ca="1">TblMili[[#This Row],[Raw]]*(1+TblMili[[#This Row],[Mods_Off]])</f>
        <v>0</v>
      </c>
      <c r="S4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8" s="247">
        <f ca="1">TblMili[[#This Row],[Non Draft]]+TblMili[[#This Row],[Draftees]]</f>
        <v>433</v>
      </c>
      <c r="U48" s="248">
        <f ca="1">race_defense + TblImps[[#This Row],[Walls]] + ROUND( MIN(gt_bonus*TblConstr[[#This Row],[Tot GT]]/TblConstr[[#This Row],[Land]],gt_bonus_cap), 4) + IF(TblMagic[[#This Row],[Active Howling]]&gt;0,howling_dp_bonus,IF(TblMagic[[#This Row],[Active Ares Call]]&gt;0,ares_call_bonus))</f>
        <v>0</v>
      </c>
      <c r="V48" s="249">
        <f ca="1">TblMili[[#This Row],[Non Draft]] * (1 + TblMili[[#This Row],[Mods_Def]])</f>
        <v>0</v>
      </c>
      <c r="W48" s="247">
        <f ca="1">TblMili[[#This Row],[Draft]] * (1 + TblMili[[#This Row],[Mods_Def]])</f>
        <v>433</v>
      </c>
      <c r="X48" s="247">
        <f ca="1">TblConstr[[#This Row],[Land]]</f>
        <v>110</v>
      </c>
      <c r="Y48" s="250"/>
      <c r="Z48" s="255">
        <f ca="1">IF(TblMili[[#This Row],[Set]]&lt;&gt;"",TblMili[[#This Row],[Set]],OFFSET(TblMili[[#This Row],[Draftrate]],-1,0))</f>
        <v>0.9</v>
      </c>
      <c r="AA48" s="94">
        <f ca="1">OFFSET(TblMili[[#This Row],[Draftees]],-1,0)+OFFSET(TblPop[[#This Row],[Draft Growth]],-1,0) - SUM(TblMili[[#This Row],[Train Unit 1]:[Train Spies]],TblMili[[#This Row],[Train Wiz]],TblMili[[#This Row],[DnD_Zombies]]) - TblMili[[#This Row],[Release Draft]] + SUM(TblMili[[#This Row],[Release Unit 1]:[Release AM]]) - TblExplore[[#This Row],[Draftees (2)]]</f>
        <v>433</v>
      </c>
      <c r="AB48" s="154"/>
      <c r="AC48" s="180">
        <f ca="1">(TblConstr[[#This Row],[Tot Smi]]+TblConstr[[#This Row],[Dest Smi]])/(TblConstr[[#This Row],[Land]]-TblExplore[[#This Row],[Land Bonus]]*20)</f>
        <v>0</v>
      </c>
      <c r="AD48" s="137"/>
      <c r="AE48" s="246">
        <f>TblMili[[#This Row],[Hour]]</f>
        <v>45</v>
      </c>
      <c r="AF48" s="138">
        <f ca="1">TblExplore[[#This Row],[Time]]</f>
        <v>46048.833333333227</v>
      </c>
      <c r="AG48" s="179"/>
      <c r="AH48" s="179"/>
      <c r="AI48" s="179"/>
      <c r="AJ48" s="179"/>
      <c r="AK48" s="179"/>
      <c r="AL48" s="179"/>
      <c r="AM48" s="179"/>
      <c r="AN48" s="179"/>
      <c r="AO48" s="420">
        <f ca="1">ROUND(IF(AND(TblMagic[[#This Row],[Active DnD]]&lt;12,TblMagic[[#This Row],[Active DnD]]&gt;5),OFFSET(TblPop[[#This Row],[Draft Growth]],-1,0)*0.375,0),0)</f>
        <v>0</v>
      </c>
      <c r="AP48" s="142"/>
      <c r="AQ48" s="94">
        <f ca="1">TblProd[[#This Row],[Platinum]]</f>
        <v>125965</v>
      </c>
      <c r="AR48" s="94">
        <f ca="1">INDEX(TblProd[[#Headers],[Lumber]]:TblProd[[#This Row],[Ore]],COUNTA(TblProd[[#Headers],[Lumber]]:TblProd[[#This Row],[Lumber]]),MATCH(Military!$AR$2,TblProd[[#Headers],[Lumber]:[Ore]],0))</f>
        <v>0</v>
      </c>
      <c r="AS4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8" s="94">
        <f ca="1">TblMili[[#This Row],[Train Unit 1]]*TblMili[[#This Row],[OP Ore]]+TblMili[[#This Row],[Train Unit 2]]*TblMili[[#This Row],[DP Ore]]+TblMili[[#This Row],[Train Unit 3]]*TblMili[[#This Row],[E1 Ore]]+TblMili[[#This Row],[Train Unit 4]]*TblMili[[#This Row],[E2 Ore]]</f>
        <v>0</v>
      </c>
      <c r="AU48" s="142">
        <f>TblMili[[#This Row],[Hour]]</f>
        <v>45</v>
      </c>
      <c r="AV48" s="152">
        <f ca="1">TblMili[[#This Row],[Time]]</f>
        <v>46048.833333333227</v>
      </c>
      <c r="AW48" s="94">
        <f ca="1">TblMili[[#This Row],[Draftees]]</f>
        <v>433</v>
      </c>
      <c r="AX48" s="179"/>
      <c r="AY48" s="179"/>
      <c r="AZ48" s="179"/>
      <c r="BA48" s="179"/>
      <c r="BB48" s="179"/>
      <c r="BC48" s="179"/>
      <c r="BD48" s="179"/>
      <c r="BE48" s="179"/>
      <c r="BF48" s="179"/>
      <c r="BG48" s="142"/>
      <c r="BH48" s="157">
        <f ca="1">TblConstr[[#This Row],[Tot WG]]/TblConstr[[#This Row],[Land]]</f>
        <v>0</v>
      </c>
      <c r="BI48" s="157">
        <f ca="1">TblConstr[[#This Row],[Tot Hav]]/TblConstr[[#This Row],[Land]]</f>
        <v>0</v>
      </c>
      <c r="BJ48" s="94">
        <f ca="1">ROUNDUP((1-MIN(TblMili[[#This Row],[Smithies]]*smithy_bonus,smithy_bonus_cap) + tech_3_5*TblTech[[#This Row],[3-5]] + tech_5_3*TblTech[[#This Row],[5-3]] + tech_5_5*TblTech[[#This Row],[5-5]])*spec_op_plat,0)</f>
        <v>275</v>
      </c>
      <c r="BK48" s="94">
        <f ca="1">ROUNDUP(IF(race="Gnome",1,(1-MIN(TblMili[[#This Row],[Smithies]]*smithy_bonus,smithy_bonus_cap) + tech_3_5*TblTech[[#This Row],[3-5]] + tech_5_3*TblTech[[#This Row],[5-3]] + tech_5_5*TblTech[[#This Row],[5-5]]))*spec_op_ore,0)</f>
        <v>25</v>
      </c>
      <c r="BL48" s="94">
        <f ca="1">ROUNDUP((1-MIN(TblMili[[#This Row],[Smithies]]*smithy_bonus,smithy_bonus_cap) + tech_3_5*TblTech[[#This Row],[3-5]] + tech_5_3*TblTech[[#This Row],[5-3]] + tech_5_5*TblTech[[#This Row],[5-5]])*spec_dp_plat,0)</f>
        <v>275</v>
      </c>
      <c r="BM48" s="94">
        <f ca="1">ROUNDUP(IF(race="Gnome",1,(1-MIN(TblMili[[#This Row],[Smithies]]*smithy_bonus,smithy_bonus_cap) + tech_3_5*TblTech[[#This Row],[3-5]] + tech_5_3*TblTech[[#This Row],[5-3]] + tech_5_5*TblTech[[#This Row],[5-5]]))*spec_dp_ore,0)</f>
        <v>15</v>
      </c>
      <c r="BN48" s="94">
        <f ca="1">ROUNDUP((1-MIN(TblMili[[#This Row],[Smithies]]*smithy_bonus,smithy_bonus_cap) + tech_3_5*TblTech[[#This Row],[3-5]] + tech_5_3*TblTech[[#This Row],[5-3]] + tech_5_5*TblTech[[#This Row],[5-5]])*elite1_plat,0)</f>
        <v>1040</v>
      </c>
      <c r="BO48" s="94">
        <f ca="1">ROUNDUP(IF(race="Gnome",1,(1-MIN(TblMili[[#This Row],[Smithies]]*smithy_bonus,smithy_bonus_cap) + tech_3_5*TblTech[[#This Row],[3-5]] + tech_5_3*TblTech[[#This Row],[5-3]] + tech_5_5*TblTech[[#This Row],[5-5]]))*elite1_ore,0)</f>
        <v>75</v>
      </c>
      <c r="BP48" s="94">
        <f ca="1">ROUNDUP((1-MIN(TblMili[[#This Row],[Smithies]]*smithy_bonus,smithy_bonus_cap) + tech_3_5*TblTech[[#This Row],[3-5]] + tech_5_3*TblTech[[#This Row],[5-3]] + tech_5_5*TblTech[[#This Row],[5-5]])*elite2_plat,0)</f>
        <v>1280</v>
      </c>
      <c r="BQ48" s="94">
        <f ca="1">ROUNDUP(IF(race="Gnome",1,(1-MIN(TblMili[[#This Row],[Smithies]]*smithy_bonus,smithy_bonus_cap) + tech_3_5*TblTech[[#This Row],[3-5]] + tech_5_3*TblTech[[#This Row],[5-3]] + tech_5_5*TblTech[[#This Row],[5-5]]))*elite2_ore,0)</f>
        <v>100</v>
      </c>
      <c r="BR48" s="94">
        <f ca="1">ROUNDUP((1-MIN(ROUND(fh_spy_cost_red*TblMili[[#This Row],[FH''s]],4),fh_spy_cost_cap)+ tech_1_9*TblTech[[#This Row],[1-9]] + tech_9_1*TblTech[[#This Row],[9-1]])*spy_plat,0)</f>
        <v>500</v>
      </c>
      <c r="BS48" s="94">
        <f ca="1">ROUNDUP((1-MIN(ROUND(fh_spy_cost_red*TblMili[[#This Row],[FH''s]],4),fh_spy_cost_cap)+ tech_1_9*TblTech[[#This Row],[1-9]] + tech_9_1*TblTech[[#This Row],[9-1]])*archspy_plat,0)</f>
        <v>1000</v>
      </c>
      <c r="BT48" s="94">
        <f ca="1">ROUNDUP((1-MIN(ROUND(wg_wiz_cost_bonus*TblMili[[#This Row],[WG''s]],4),wg_wiz_cost_cap) + tech_1_9_2*TblTech[[#This Row],[1-9]] + tech_9_1_2*TblTech[[#This Row],[9-1]])*wizard_plat,0)</f>
        <v>500</v>
      </c>
      <c r="BU48" s="94">
        <f ca="1">ROUNDUP((1-MIN(ROUND(wg_wiz_cost_bonus*TblMili[[#This Row],[WG''s]],4),wg_wiz_cost_cap) + tech_1_9_2*TblTech[[#This Row],[1-9]] + tech_9_1_2*TblTech[[#This Row],[9-1]])*archmage_plat,0)</f>
        <v>1000</v>
      </c>
      <c r="BV48" s="142"/>
      <c r="BW48" s="157">
        <f ca="1">TblConstr[[#This Row],[Homeland]]/TblConstr[[#This Row],[Land]]</f>
        <v>0.81818181818181823</v>
      </c>
      <c r="BX48" s="157">
        <f ca="1">TblMili[[#This Row],[WG''s]]</f>
        <v>0</v>
      </c>
      <c r="BY48" s="251">
        <f ca="1">IF(mystic_cap="none",TblMili[[#This Row],[Homeland%]]/mystic_bonus,MIN(mystic_cap,TblMili[[#This Row],[Homeland%]]/mystic_bonus))</f>
        <v>2</v>
      </c>
      <c r="BZ48" s="251">
        <f ca="1">IF(druid_op_cap="none",TblMili[[#This Row],[Homeland%]]/druid_op_bonus,MIN(druid_op_cap,TblMili[[#This Row],[Homeland%]]/druid_op_bonus))</f>
        <v>2</v>
      </c>
      <c r="CA48" s="251">
        <f ca="1">IF(druid_dp_cap="none",TblMili[[#This Row],[Homeland%]]/druid_dp_bonus,MIN(druid_dp_cap,TblMili[[#This Row],[Homeland%]]/druid_dp_bonus))</f>
        <v>2</v>
      </c>
      <c r="CB48" s="251">
        <f ca="1">MIN(dryad_cap,TblMili[[#This Row],[Homeland%]]/dryad_bonus)</f>
        <v>4</v>
      </c>
      <c r="CC48" s="251">
        <f ca="1">MIN(rocka_cap,TblMili[[#This Row],[Homeland%]]/rocka_bonus)</f>
        <v>2</v>
      </c>
      <c r="CD48" s="251">
        <f ca="1">MIN(adept_op_cap,TblMili[[#This Row],[WG]]/adept_op_bonus)</f>
        <v>0</v>
      </c>
      <c r="CE48" s="251">
        <f ca="1">MIN(adept_dp_cap,TblMili[[#This Row],[WG]]/adept_dp_bonus)</f>
        <v>0</v>
      </c>
      <c r="CF48" s="94">
        <f ca="1">MIN(TblMili[[#This Row],[Unit 3]],TblMili[[#This Row],[Unit 2]])*2</f>
        <v>0</v>
      </c>
      <c r="CG48" s="94">
        <f ca="1">MIN(TblMili[[#This Row],[Unit 1]],TblMili[[#This Row],[Unit 4]])*2</f>
        <v>0</v>
      </c>
      <c r="CH48" s="251">
        <f ca="1">MIN(frost_mage_cap,TblMili[[#This Row],[Homeland%]]/frost_mage_bonus)</f>
        <v>3</v>
      </c>
      <c r="CI48" s="45">
        <f ca="1">MIN(ice_elem_cap,TblMili[[#This Row],[Raw (2)]]*ice_elem_bonus)</f>
        <v>0</v>
      </c>
      <c r="CJ48" s="251">
        <f t="shared" si="2"/>
        <v>0.83333333333333337</v>
      </c>
      <c r="CK48" s="251">
        <f ca="1">MIN(nox_nightshade_cap,TblConstr[[#This Row],[Homeland]]/TblConstr[[#This Row],[Land]]/nox_nightshade_swamp_bonus)</f>
        <v>4</v>
      </c>
      <c r="CL48" s="251">
        <f ca="1">MIN(TblConstr[[#This Row],[Total Swamp]]/TblConstr[[#This Row],[Land]]/abyss_enforce_bonus,abyss_enforcer_cap)</f>
        <v>0</v>
      </c>
      <c r="CM48" s="251">
        <f ca="1">IF(TblMagic[[#This Row],[Active Infernal Command]]&gt;0,TblMili[[#This Row],[Unit 1]]*infernal_cmd_op,0)</f>
        <v>0</v>
      </c>
      <c r="CN48" s="252"/>
      <c r="CO48" s="252"/>
      <c r="CP48" s="252"/>
      <c r="CQ48" s="251">
        <f ca="1">MIN(6,TblMili[[#This Row],[Mystic]]+Races!$F$19)*1.8 +  IF(TblMili[[#This Row],[Mystic]]+Races!$F$19&gt;6,(TblMili[[#This Row],[Mystic]]+Races!$F$19-6)*0.2,0) - Races!$I$19</f>
        <v>1</v>
      </c>
      <c r="CR4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8" s="94">
        <f ca="1">TblMili[[#This Row],[Mystic bonus]]*TblMili[[#This Row],[Unit 3]]+TblMili[[#This Row],[Druid bonus]]*TblMili[[#This Row],[Unit 4]]</f>
        <v>0</v>
      </c>
      <c r="CT48" s="155">
        <f ca="1">MIN(6,TblMili[[#This Row],[Dryad]]+Races!$F$35)*1.8 +  IF(TblMili[[#This Row],[Dryad]]+Races!$F$35&gt;6,(TblMili[[#This Row],[Dryad]]+Races!$F$35-6)*0.2,0) - Races!$I$19</f>
        <v>1</v>
      </c>
      <c r="CU48" s="94">
        <f ca="1">sylvan*(TblMili[[#This Row],[Mystic bonus]]*TblMili[[#This Row],[Unit 3]])</f>
        <v>0</v>
      </c>
      <c r="CV48" s="155">
        <f ca="1">1.8 * MIN(MAX(Races!$E$27,TblMili[[#This Row],[Rockapult]]+Races!$F$27),6)  +  0.45 * MIN(MIN(Races!$E$27,TblMili[[#This Row],[Rockapult]]+Races!$F$27),6)  +  0.2 * ( MAX(Races!$E$27-6,0) + MAX(TblMili[[#This Row],[Rockapult]]+Races!$F$27-6,0) )  -  Races!$I$20</f>
        <v>3.7000000000000011</v>
      </c>
      <c r="CW48" s="94">
        <f ca="1">gnome*(TblMili[[#This Row],[Rockapult bonus]]*TblMili[[#This Row],[Unit 3]])</f>
        <v>0</v>
      </c>
      <c r="CX4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8" s="94">
        <f ca="1">dark_elf*(TblMili[[#This Row],[Adept bonus]]*TblMili[[#This Row],[Unit 3]])</f>
        <v>0</v>
      </c>
      <c r="CZ48" s="155">
        <f ca="1">1.8 * MIN(MAX(TblMili[[#This Row],[Frost Mage]]+Races!$F$71,Races!$E$71),6)  +  0.45 * MIN(MIN(TblMili[[#This Row],[Frost Mage]]+Races!$F$71,Races!$E$71),6)  +  0.2 * ( MAX(TblMili[[#This Row],[Frost Mage]]+Races!$F$71-6,0) + MAX(Races!$E$71-6,0) )  -  Races!$I$71</f>
        <v>6.15</v>
      </c>
      <c r="DA48" s="155">
        <f ca="1">1.8 * MIN(MAX(TblMili[[#This Row],[Ice Elemental]]+Races!$E$71,Races!$F$71),6)  +  0.45 * MIN(MIN(TblMili[[#This Row],[Ice Elemental]]+Races!$E$71,Races!$F$71),6)  +  0.2 * ( MAX(TblMili[[#This Row],[Ice Elemental]]+Races!$E$71-6,0) + MAX(Races!$F$71-6,0) )  -  Races!$I$71</f>
        <v>0.75</v>
      </c>
      <c r="DB48" s="94">
        <f ca="1">TblMili[[#This Row],[Frost Mage bonus]]*TblMili[[#This Row],[Unit 3]]+TblMili[[#This Row],[Ice Elemental bonus]]*TblMili[[#This Row],[Unit 4]]</f>
        <v>0</v>
      </c>
      <c r="DC48" s="253"/>
      <c r="DD48" s="143">
        <f ca="1">MIN(SUM(TblConstr[[#This Row],[Plain]:[Water]])/TblMili[[#This Row],[Land]]/favorable_terrain_bonus/100,favorable_terrain_max)</f>
        <v>0.1</v>
      </c>
      <c r="DE48" s="253"/>
      <c r="DF4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8" s="142"/>
      <c r="DH48" s="254">
        <f ca="1">(TblMili[[#This Row],[Wizards]]+2*TblMili[[#This Row],[Archmages]])/TblConstr[[#This Row],[Land]]</f>
        <v>0</v>
      </c>
      <c r="DI48" s="254">
        <f ca="1">TblMili[[#This Row],[Raw (2)]]*(1+race_wizard_strength+IF(TblMili[[#This Row],[Hour]]&gt;72,tech_magical_weaponry_wiz*TblTech[[#This Row],[3-5]],0))</f>
        <v>0</v>
      </c>
    </row>
    <row r="49" spans="1:113" x14ac:dyDescent="0.2">
      <c r="A49" s="137">
        <f>TblRezone[[#This Row],[Hour]]</f>
        <v>46</v>
      </c>
      <c r="B49" s="246">
        <f ca="1">SUM(TblMili[[#This Row],[Unit 1]:[Archmages]])+SUM(OFFSET(TblMili[[#This Row],[Train Unit 1]],-8,0):TblMili[[#This Row],[Train Unit 2]]) + SUM(OFFSET(TblMili[[#This Row],[Train Unit 3]],-11,0):TblMili[[#This Row],[Train AM]]) + TblMili[[#This Row],[Draftees]]</f>
        <v>439</v>
      </c>
      <c r="C49" s="157">
        <f ca="1">TblPop[[#This Row],[Military%]]</f>
        <v>0.40799256505576209</v>
      </c>
      <c r="D49" s="142"/>
      <c r="E49" s="45">
        <f ca="1">OFFSET(TblMili[[#This Row],[Unit 1]],-1,0) + OFFSET(TblMili[[#This Row],[Train Unit 1]],-9,0) - TblMili[[#This Row],[Release Unit 1]] + OFFSET(TblMili[[#This Row],[DnD_Zombies]],-12,0)</f>
        <v>0</v>
      </c>
      <c r="F49" s="45">
        <f ca="1">OFFSET(TblMili[[#This Row],[Unit 2]],-1,0) + OFFSET(TblMili[[#This Row],[Train Unit 2]],-9,0)-TblMili[[#This Row],[Release Unit 2]]</f>
        <v>0</v>
      </c>
      <c r="G49" s="45">
        <f ca="1">OFFSET(TblMili[[#This Row],[Unit 3]],-1,0) + OFFSET(TblMili[[#This Row],[Train Unit 3]],-12,0)-TblMili[[#This Row],[Release Unit 3]]</f>
        <v>0</v>
      </c>
      <c r="H49" s="45">
        <f ca="1">OFFSET(TblMili[[#This Row],[Unit 4]],-1,0) + OFFSET(TblMili[[#This Row],[Train Unit 4]],-12,0)-TblMili[[#This Row],[Release Unit 4]]</f>
        <v>0</v>
      </c>
      <c r="I49" s="45">
        <f ca="1">OFFSET(TblMili[[#This Row],[Spies]],-1,0) + OFFSET(TblMili[[#This Row],[Train Spies]],-12,0) - TblMili[[#This Row],[Release Spies]]-TblMili[[#This Row],[Train AS]]</f>
        <v>0</v>
      </c>
      <c r="J49" s="45">
        <f ca="1">OFFSET(TblMili[[#This Row],[Archspies]],-1,0) + OFFSET(TblMili[[#This Row],[Train AS]],-12,0) - TblMili[[#This Row],[Release AS]]</f>
        <v>0</v>
      </c>
      <c r="K49" s="45">
        <f ca="1">OFFSET(TblMili[[#This Row],[Wizards]],-1,0) + OFFSET(TblMili[[#This Row],[Train Wiz]],-12,0) - TblMili[[#This Row],[Release Wizards]]-TblMili[[#This Row],[Train AM]]</f>
        <v>0</v>
      </c>
      <c r="L49" s="45">
        <f ca="1">OFFSET(TblMili[[#This Row],[Archmages]],-1,0) + OFFSET(TblMili[[#This Row],[Train AM]],-12,0) - TblMili[[#This Row],[Release AM]]</f>
        <v>0</v>
      </c>
      <c r="M49" s="142"/>
      <c r="N49" s="94">
        <f ca="1">TblProd[[#This Row],[Networth]]</f>
        <v>2450</v>
      </c>
      <c r="O49" s="142"/>
      <c r="P4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4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49" s="247">
        <f ca="1">TblMili[[#This Row],[Raw]]*(1+TblMili[[#This Row],[Mods_Off]])</f>
        <v>0</v>
      </c>
      <c r="S4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49" s="247">
        <f ca="1">TblMili[[#This Row],[Non Draft]]+TblMili[[#This Row],[Draftees]]</f>
        <v>439</v>
      </c>
      <c r="U49" s="248">
        <f ca="1">race_defense + TblImps[[#This Row],[Walls]] + ROUND( MIN(gt_bonus*TblConstr[[#This Row],[Tot GT]]/TblConstr[[#This Row],[Land]],gt_bonus_cap), 4) + IF(TblMagic[[#This Row],[Active Howling]]&gt;0,howling_dp_bonus,IF(TblMagic[[#This Row],[Active Ares Call]]&gt;0,ares_call_bonus))</f>
        <v>0</v>
      </c>
      <c r="V49" s="249">
        <f ca="1">TblMili[[#This Row],[Non Draft]] * (1 + TblMili[[#This Row],[Mods_Def]])</f>
        <v>0</v>
      </c>
      <c r="W49" s="247">
        <f ca="1">TblMili[[#This Row],[Draft]] * (1 + TblMili[[#This Row],[Mods_Def]])</f>
        <v>439</v>
      </c>
      <c r="X49" s="247">
        <f ca="1">TblConstr[[#This Row],[Land]]</f>
        <v>110</v>
      </c>
      <c r="Y49" s="250"/>
      <c r="Z49" s="255">
        <f ca="1">IF(TblMili[[#This Row],[Set]]&lt;&gt;"",TblMili[[#This Row],[Set]],OFFSET(TblMili[[#This Row],[Draftrate]],-1,0))</f>
        <v>0.9</v>
      </c>
      <c r="AA49" s="94">
        <f ca="1">OFFSET(TblMili[[#This Row],[Draftees]],-1,0)+OFFSET(TblPop[[#This Row],[Draft Growth]],-1,0) - SUM(TblMili[[#This Row],[Train Unit 1]:[Train Spies]],TblMili[[#This Row],[Train Wiz]],TblMili[[#This Row],[DnD_Zombies]]) - TblMili[[#This Row],[Release Draft]] + SUM(TblMili[[#This Row],[Release Unit 1]:[Release AM]]) - TblExplore[[#This Row],[Draftees (2)]]</f>
        <v>439</v>
      </c>
      <c r="AB49" s="154"/>
      <c r="AC49" s="180">
        <f ca="1">(TblConstr[[#This Row],[Tot Smi]]+TblConstr[[#This Row],[Dest Smi]])/(TblConstr[[#This Row],[Land]]-TblExplore[[#This Row],[Land Bonus]]*20)</f>
        <v>0</v>
      </c>
      <c r="AD49" s="137"/>
      <c r="AE49" s="246">
        <f>TblMili[[#This Row],[Hour]]</f>
        <v>46</v>
      </c>
      <c r="AF49" s="138">
        <f ca="1">TblExplore[[#This Row],[Time]]</f>
        <v>46048.874999999891</v>
      </c>
      <c r="AG49" s="179"/>
      <c r="AH49" s="179"/>
      <c r="AI49" s="179"/>
      <c r="AJ49" s="179"/>
      <c r="AK49" s="179"/>
      <c r="AL49" s="179"/>
      <c r="AM49" s="179"/>
      <c r="AN49" s="179"/>
      <c r="AO49" s="420">
        <f ca="1">ROUND(IF(AND(TblMagic[[#This Row],[Active DnD]]&lt;12,TblMagic[[#This Row],[Active DnD]]&gt;5),OFFSET(TblPop[[#This Row],[Draft Growth]],-1,0)*0.375,0),0)</f>
        <v>0</v>
      </c>
      <c r="AP49" s="142"/>
      <c r="AQ49" s="94">
        <f ca="1">TblProd[[#This Row],[Platinum]]</f>
        <v>127701</v>
      </c>
      <c r="AR49" s="94">
        <f ca="1">INDEX(TblProd[[#Headers],[Lumber]]:TblProd[[#This Row],[Ore]],COUNTA(TblProd[[#Headers],[Lumber]]:TblProd[[#This Row],[Lumber]]),MATCH(Military!$AR$2,TblProd[[#Headers],[Lumber]:[Ore]],0))</f>
        <v>0</v>
      </c>
      <c r="AS4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49" s="94">
        <f ca="1">TblMili[[#This Row],[Train Unit 1]]*TblMili[[#This Row],[OP Ore]]+TblMili[[#This Row],[Train Unit 2]]*TblMili[[#This Row],[DP Ore]]+TblMili[[#This Row],[Train Unit 3]]*TblMili[[#This Row],[E1 Ore]]+TblMili[[#This Row],[Train Unit 4]]*TblMili[[#This Row],[E2 Ore]]</f>
        <v>0</v>
      </c>
      <c r="AU49" s="142">
        <f>TblMili[[#This Row],[Hour]]</f>
        <v>46</v>
      </c>
      <c r="AV49" s="152">
        <f ca="1">TblMili[[#This Row],[Time]]</f>
        <v>46048.874999999891</v>
      </c>
      <c r="AW49" s="94">
        <f ca="1">TblMili[[#This Row],[Draftees]]</f>
        <v>439</v>
      </c>
      <c r="AX49" s="179"/>
      <c r="AY49" s="179"/>
      <c r="AZ49" s="179"/>
      <c r="BA49" s="179"/>
      <c r="BB49" s="179"/>
      <c r="BC49" s="179"/>
      <c r="BD49" s="179"/>
      <c r="BE49" s="179"/>
      <c r="BF49" s="179"/>
      <c r="BG49" s="142"/>
      <c r="BH49" s="157">
        <f ca="1">TblConstr[[#This Row],[Tot WG]]/TblConstr[[#This Row],[Land]]</f>
        <v>0</v>
      </c>
      <c r="BI49" s="157">
        <f ca="1">TblConstr[[#This Row],[Tot Hav]]/TblConstr[[#This Row],[Land]]</f>
        <v>0</v>
      </c>
      <c r="BJ49" s="94">
        <f ca="1">ROUNDUP((1-MIN(TblMili[[#This Row],[Smithies]]*smithy_bonus,smithy_bonus_cap) + tech_3_5*TblTech[[#This Row],[3-5]] + tech_5_3*TblTech[[#This Row],[5-3]] + tech_5_5*TblTech[[#This Row],[5-5]])*spec_op_plat,0)</f>
        <v>275</v>
      </c>
      <c r="BK49" s="94">
        <f ca="1">ROUNDUP(IF(race="Gnome",1,(1-MIN(TblMili[[#This Row],[Smithies]]*smithy_bonus,smithy_bonus_cap) + tech_3_5*TblTech[[#This Row],[3-5]] + tech_5_3*TblTech[[#This Row],[5-3]] + tech_5_5*TblTech[[#This Row],[5-5]]))*spec_op_ore,0)</f>
        <v>25</v>
      </c>
      <c r="BL49" s="94">
        <f ca="1">ROUNDUP((1-MIN(TblMili[[#This Row],[Smithies]]*smithy_bonus,smithy_bonus_cap) + tech_3_5*TblTech[[#This Row],[3-5]] + tech_5_3*TblTech[[#This Row],[5-3]] + tech_5_5*TblTech[[#This Row],[5-5]])*spec_dp_plat,0)</f>
        <v>275</v>
      </c>
      <c r="BM49" s="94">
        <f ca="1">ROUNDUP(IF(race="Gnome",1,(1-MIN(TblMili[[#This Row],[Smithies]]*smithy_bonus,smithy_bonus_cap) + tech_3_5*TblTech[[#This Row],[3-5]] + tech_5_3*TblTech[[#This Row],[5-3]] + tech_5_5*TblTech[[#This Row],[5-5]]))*spec_dp_ore,0)</f>
        <v>15</v>
      </c>
      <c r="BN49" s="94">
        <f ca="1">ROUNDUP((1-MIN(TblMili[[#This Row],[Smithies]]*smithy_bonus,smithy_bonus_cap) + tech_3_5*TblTech[[#This Row],[3-5]] + tech_5_3*TblTech[[#This Row],[5-3]] + tech_5_5*TblTech[[#This Row],[5-5]])*elite1_plat,0)</f>
        <v>1040</v>
      </c>
      <c r="BO49" s="94">
        <f ca="1">ROUNDUP(IF(race="Gnome",1,(1-MIN(TblMili[[#This Row],[Smithies]]*smithy_bonus,smithy_bonus_cap) + tech_3_5*TblTech[[#This Row],[3-5]] + tech_5_3*TblTech[[#This Row],[5-3]] + tech_5_5*TblTech[[#This Row],[5-5]]))*elite1_ore,0)</f>
        <v>75</v>
      </c>
      <c r="BP49" s="94">
        <f ca="1">ROUNDUP((1-MIN(TblMili[[#This Row],[Smithies]]*smithy_bonus,smithy_bonus_cap) + tech_3_5*TblTech[[#This Row],[3-5]] + tech_5_3*TblTech[[#This Row],[5-3]] + tech_5_5*TblTech[[#This Row],[5-5]])*elite2_plat,0)</f>
        <v>1280</v>
      </c>
      <c r="BQ49" s="94">
        <f ca="1">ROUNDUP(IF(race="Gnome",1,(1-MIN(TblMili[[#This Row],[Smithies]]*smithy_bonus,smithy_bonus_cap) + tech_3_5*TblTech[[#This Row],[3-5]] + tech_5_3*TblTech[[#This Row],[5-3]] + tech_5_5*TblTech[[#This Row],[5-5]]))*elite2_ore,0)</f>
        <v>100</v>
      </c>
      <c r="BR49" s="94">
        <f ca="1">ROUNDUP((1-MIN(ROUND(fh_spy_cost_red*TblMili[[#This Row],[FH''s]],4),fh_spy_cost_cap)+ tech_1_9*TblTech[[#This Row],[1-9]] + tech_9_1*TblTech[[#This Row],[9-1]])*spy_plat,0)</f>
        <v>500</v>
      </c>
      <c r="BS49" s="94">
        <f ca="1">ROUNDUP((1-MIN(ROUND(fh_spy_cost_red*TblMili[[#This Row],[FH''s]],4),fh_spy_cost_cap)+ tech_1_9*TblTech[[#This Row],[1-9]] + tech_9_1*TblTech[[#This Row],[9-1]])*archspy_plat,0)</f>
        <v>1000</v>
      </c>
      <c r="BT49" s="94">
        <f ca="1">ROUNDUP((1-MIN(ROUND(wg_wiz_cost_bonus*TblMili[[#This Row],[WG''s]],4),wg_wiz_cost_cap) + tech_1_9_2*TblTech[[#This Row],[1-9]] + tech_9_1_2*TblTech[[#This Row],[9-1]])*wizard_plat,0)</f>
        <v>500</v>
      </c>
      <c r="BU49" s="94">
        <f ca="1">ROUNDUP((1-MIN(ROUND(wg_wiz_cost_bonus*TblMili[[#This Row],[WG''s]],4),wg_wiz_cost_cap) + tech_1_9_2*TblTech[[#This Row],[1-9]] + tech_9_1_2*TblTech[[#This Row],[9-1]])*archmage_plat,0)</f>
        <v>1000</v>
      </c>
      <c r="BV49" s="142"/>
      <c r="BW49" s="157">
        <f ca="1">TblConstr[[#This Row],[Homeland]]/TblConstr[[#This Row],[Land]]</f>
        <v>0.81818181818181823</v>
      </c>
      <c r="BX49" s="157">
        <f ca="1">TblMili[[#This Row],[WG''s]]</f>
        <v>0</v>
      </c>
      <c r="BY49" s="251">
        <f ca="1">IF(mystic_cap="none",TblMili[[#This Row],[Homeland%]]/mystic_bonus,MIN(mystic_cap,TblMili[[#This Row],[Homeland%]]/mystic_bonus))</f>
        <v>2</v>
      </c>
      <c r="BZ49" s="251">
        <f ca="1">IF(druid_op_cap="none",TblMili[[#This Row],[Homeland%]]/druid_op_bonus,MIN(druid_op_cap,TblMili[[#This Row],[Homeland%]]/druid_op_bonus))</f>
        <v>2</v>
      </c>
      <c r="CA49" s="251">
        <f ca="1">IF(druid_dp_cap="none",TblMili[[#This Row],[Homeland%]]/druid_dp_bonus,MIN(druid_dp_cap,TblMili[[#This Row],[Homeland%]]/druid_dp_bonus))</f>
        <v>2</v>
      </c>
      <c r="CB49" s="251">
        <f ca="1">MIN(dryad_cap,TblMili[[#This Row],[Homeland%]]/dryad_bonus)</f>
        <v>4</v>
      </c>
      <c r="CC49" s="251">
        <f ca="1">MIN(rocka_cap,TblMili[[#This Row],[Homeland%]]/rocka_bonus)</f>
        <v>2</v>
      </c>
      <c r="CD49" s="251">
        <f ca="1">MIN(adept_op_cap,TblMili[[#This Row],[WG]]/adept_op_bonus)</f>
        <v>0</v>
      </c>
      <c r="CE49" s="251">
        <f ca="1">MIN(adept_dp_cap,TblMili[[#This Row],[WG]]/adept_dp_bonus)</f>
        <v>0</v>
      </c>
      <c r="CF49" s="94">
        <f ca="1">MIN(TblMili[[#This Row],[Unit 3]],TblMili[[#This Row],[Unit 2]])*2</f>
        <v>0</v>
      </c>
      <c r="CG49" s="94">
        <f ca="1">MIN(TblMili[[#This Row],[Unit 1]],TblMili[[#This Row],[Unit 4]])*2</f>
        <v>0</v>
      </c>
      <c r="CH49" s="251">
        <f ca="1">MIN(frost_mage_cap,TblMili[[#This Row],[Homeland%]]/frost_mage_bonus)</f>
        <v>3</v>
      </c>
      <c r="CI49" s="45">
        <f ca="1">MIN(ice_elem_cap,TblMili[[#This Row],[Raw (2)]]*ice_elem_bonus)</f>
        <v>0</v>
      </c>
      <c r="CJ49" s="251">
        <f t="shared" si="2"/>
        <v>0.83333333333333337</v>
      </c>
      <c r="CK49" s="251">
        <f ca="1">MIN(nox_nightshade_cap,TblConstr[[#This Row],[Homeland]]/TblConstr[[#This Row],[Land]]/nox_nightshade_swamp_bonus)</f>
        <v>4</v>
      </c>
      <c r="CL49" s="251">
        <f ca="1">MIN(TblConstr[[#This Row],[Total Swamp]]/TblConstr[[#This Row],[Land]]/abyss_enforce_bonus,abyss_enforcer_cap)</f>
        <v>0</v>
      </c>
      <c r="CM49" s="251">
        <f ca="1">IF(TblMagic[[#This Row],[Active Infernal Command]]&gt;0,TblMili[[#This Row],[Unit 1]]*infernal_cmd_op,0)</f>
        <v>0</v>
      </c>
      <c r="CN49" s="252"/>
      <c r="CO49" s="252"/>
      <c r="CP49" s="252"/>
      <c r="CQ49" s="251">
        <f ca="1">MIN(6,TblMili[[#This Row],[Mystic]]+Races!$F$19)*1.8 +  IF(TblMili[[#This Row],[Mystic]]+Races!$F$19&gt;6,(TblMili[[#This Row],[Mystic]]+Races!$F$19-6)*0.2,0) - Races!$I$19</f>
        <v>1</v>
      </c>
      <c r="CR4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49" s="94">
        <f ca="1">TblMili[[#This Row],[Mystic bonus]]*TblMili[[#This Row],[Unit 3]]+TblMili[[#This Row],[Druid bonus]]*TblMili[[#This Row],[Unit 4]]</f>
        <v>0</v>
      </c>
      <c r="CT49" s="155">
        <f ca="1">MIN(6,TblMili[[#This Row],[Dryad]]+Races!$F$35)*1.8 +  IF(TblMili[[#This Row],[Dryad]]+Races!$F$35&gt;6,(TblMili[[#This Row],[Dryad]]+Races!$F$35-6)*0.2,0) - Races!$I$19</f>
        <v>1</v>
      </c>
      <c r="CU49" s="94">
        <f ca="1">sylvan*(TblMili[[#This Row],[Mystic bonus]]*TblMili[[#This Row],[Unit 3]])</f>
        <v>0</v>
      </c>
      <c r="CV49" s="155">
        <f ca="1">1.8 * MIN(MAX(Races!$E$27,TblMili[[#This Row],[Rockapult]]+Races!$F$27),6)  +  0.45 * MIN(MIN(Races!$E$27,TblMili[[#This Row],[Rockapult]]+Races!$F$27),6)  +  0.2 * ( MAX(Races!$E$27-6,0) + MAX(TblMili[[#This Row],[Rockapult]]+Races!$F$27-6,0) )  -  Races!$I$20</f>
        <v>3.7000000000000011</v>
      </c>
      <c r="CW49" s="94">
        <f ca="1">gnome*(TblMili[[#This Row],[Rockapult bonus]]*TblMili[[#This Row],[Unit 3]])</f>
        <v>0</v>
      </c>
      <c r="CX4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49" s="94">
        <f ca="1">dark_elf*(TblMili[[#This Row],[Adept bonus]]*TblMili[[#This Row],[Unit 3]])</f>
        <v>0</v>
      </c>
      <c r="CZ49" s="155">
        <f ca="1">1.8 * MIN(MAX(TblMili[[#This Row],[Frost Mage]]+Races!$F$71,Races!$E$71),6)  +  0.45 * MIN(MIN(TblMili[[#This Row],[Frost Mage]]+Races!$F$71,Races!$E$71),6)  +  0.2 * ( MAX(TblMili[[#This Row],[Frost Mage]]+Races!$F$71-6,0) + MAX(Races!$E$71-6,0) )  -  Races!$I$71</f>
        <v>6.15</v>
      </c>
      <c r="DA49" s="155">
        <f ca="1">1.8 * MIN(MAX(TblMili[[#This Row],[Ice Elemental]]+Races!$E$71,Races!$F$71),6)  +  0.45 * MIN(MIN(TblMili[[#This Row],[Ice Elemental]]+Races!$E$71,Races!$F$71),6)  +  0.2 * ( MAX(TblMili[[#This Row],[Ice Elemental]]+Races!$E$71-6,0) + MAX(Races!$F$71-6,0) )  -  Races!$I$71</f>
        <v>0.75</v>
      </c>
      <c r="DB49" s="94">
        <f ca="1">TblMili[[#This Row],[Frost Mage bonus]]*TblMili[[#This Row],[Unit 3]]+TblMili[[#This Row],[Ice Elemental bonus]]*TblMili[[#This Row],[Unit 4]]</f>
        <v>0</v>
      </c>
      <c r="DC49" s="253"/>
      <c r="DD49" s="143">
        <f ca="1">MIN(SUM(TblConstr[[#This Row],[Plain]:[Water]])/TblMili[[#This Row],[Land]]/favorable_terrain_bonus/100,favorable_terrain_max)</f>
        <v>0.1</v>
      </c>
      <c r="DE49" s="253"/>
      <c r="DF4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49" s="142"/>
      <c r="DH49" s="254">
        <f ca="1">(TblMili[[#This Row],[Wizards]]+2*TblMili[[#This Row],[Archmages]])/TblConstr[[#This Row],[Land]]</f>
        <v>0</v>
      </c>
      <c r="DI49" s="254">
        <f ca="1">TblMili[[#This Row],[Raw (2)]]*(1+race_wizard_strength+IF(TblMili[[#This Row],[Hour]]&gt;72,tech_magical_weaponry_wiz*TblTech[[#This Row],[3-5]],0))</f>
        <v>0</v>
      </c>
    </row>
    <row r="50" spans="1:113" x14ac:dyDescent="0.2">
      <c r="A50" s="137">
        <f>TblRezone[[#This Row],[Hour]]</f>
        <v>47</v>
      </c>
      <c r="B50" s="246">
        <f ca="1">SUM(TblMili[[#This Row],[Unit 1]:[Archmages]])+SUM(OFFSET(TblMili[[#This Row],[Train Unit 1]],-8,0):TblMili[[#This Row],[Train Unit 2]]) + SUM(OFFSET(TblMili[[#This Row],[Train Unit 3]],-11,0):TblMili[[#This Row],[Train AM]]) + TblMili[[#This Row],[Draftees]]</f>
        <v>445</v>
      </c>
      <c r="C50" s="157">
        <f ca="1">TblPop[[#This Row],[Military%]]</f>
        <v>0.41356877323420077</v>
      </c>
      <c r="D50" s="142"/>
      <c r="E50" s="45">
        <f ca="1">OFFSET(TblMili[[#This Row],[Unit 1]],-1,0) + OFFSET(TblMili[[#This Row],[Train Unit 1]],-9,0) - TblMili[[#This Row],[Release Unit 1]] + OFFSET(TblMili[[#This Row],[DnD_Zombies]],-12,0)</f>
        <v>0</v>
      </c>
      <c r="F50" s="45">
        <f ca="1">OFFSET(TblMili[[#This Row],[Unit 2]],-1,0) + OFFSET(TblMili[[#This Row],[Train Unit 2]],-9,0)-TblMili[[#This Row],[Release Unit 2]]</f>
        <v>0</v>
      </c>
      <c r="G50" s="45">
        <f ca="1">OFFSET(TblMili[[#This Row],[Unit 3]],-1,0) + OFFSET(TblMili[[#This Row],[Train Unit 3]],-12,0)-TblMili[[#This Row],[Release Unit 3]]</f>
        <v>0</v>
      </c>
      <c r="H50" s="45">
        <f ca="1">OFFSET(TblMili[[#This Row],[Unit 4]],-1,0) + OFFSET(TblMili[[#This Row],[Train Unit 4]],-12,0)-TblMili[[#This Row],[Release Unit 4]]</f>
        <v>0</v>
      </c>
      <c r="I50" s="45">
        <f ca="1">OFFSET(TblMili[[#This Row],[Spies]],-1,0) + OFFSET(TblMili[[#This Row],[Train Spies]],-12,0) - TblMili[[#This Row],[Release Spies]]-TblMili[[#This Row],[Train AS]]</f>
        <v>0</v>
      </c>
      <c r="J50" s="45">
        <f ca="1">OFFSET(TblMili[[#This Row],[Archspies]],-1,0) + OFFSET(TblMili[[#This Row],[Train AS]],-12,0) - TblMili[[#This Row],[Release AS]]</f>
        <v>0</v>
      </c>
      <c r="K50" s="45">
        <f ca="1">OFFSET(TblMili[[#This Row],[Wizards]],-1,0) + OFFSET(TblMili[[#This Row],[Train Wiz]],-12,0) - TblMili[[#This Row],[Release Wizards]]-TblMili[[#This Row],[Train AM]]</f>
        <v>0</v>
      </c>
      <c r="L50" s="45">
        <f ca="1">OFFSET(TblMili[[#This Row],[Archmages]],-1,0) + OFFSET(TblMili[[#This Row],[Train AM]],-12,0) - TblMili[[#This Row],[Release AM]]</f>
        <v>0</v>
      </c>
      <c r="M50" s="142"/>
      <c r="N50" s="94">
        <f ca="1">TblProd[[#This Row],[Networth]]</f>
        <v>2450</v>
      </c>
      <c r="O50" s="142"/>
      <c r="P5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0" s="247">
        <f ca="1">TblMili[[#This Row],[Raw]]*(1+TblMili[[#This Row],[Mods_Off]])</f>
        <v>0</v>
      </c>
      <c r="S5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0" s="247">
        <f ca="1">TblMili[[#This Row],[Non Draft]]+TblMili[[#This Row],[Draftees]]</f>
        <v>445</v>
      </c>
      <c r="U50" s="248">
        <f ca="1">race_defense + TblImps[[#This Row],[Walls]] + ROUND( MIN(gt_bonus*TblConstr[[#This Row],[Tot GT]]/TblConstr[[#This Row],[Land]],gt_bonus_cap), 4) + IF(TblMagic[[#This Row],[Active Howling]]&gt;0,howling_dp_bonus,IF(TblMagic[[#This Row],[Active Ares Call]]&gt;0,ares_call_bonus))</f>
        <v>0</v>
      </c>
      <c r="V50" s="249">
        <f ca="1">TblMili[[#This Row],[Non Draft]] * (1 + TblMili[[#This Row],[Mods_Def]])</f>
        <v>0</v>
      </c>
      <c r="W50" s="247">
        <f ca="1">TblMili[[#This Row],[Draft]] * (1 + TblMili[[#This Row],[Mods_Def]])</f>
        <v>445</v>
      </c>
      <c r="X50" s="247">
        <f ca="1">TblConstr[[#This Row],[Land]]</f>
        <v>110</v>
      </c>
      <c r="Y50" s="250"/>
      <c r="Z50" s="255">
        <f ca="1">IF(TblMili[[#This Row],[Set]]&lt;&gt;"",TblMili[[#This Row],[Set]],OFFSET(TblMili[[#This Row],[Draftrate]],-1,0))</f>
        <v>0.9</v>
      </c>
      <c r="AA50" s="94">
        <f ca="1">OFFSET(TblMili[[#This Row],[Draftees]],-1,0)+OFFSET(TblPop[[#This Row],[Draft Growth]],-1,0) - SUM(TblMili[[#This Row],[Train Unit 1]:[Train Spies]],TblMili[[#This Row],[Train Wiz]],TblMili[[#This Row],[DnD_Zombies]]) - TblMili[[#This Row],[Release Draft]] + SUM(TblMili[[#This Row],[Release Unit 1]:[Release AM]]) - TblExplore[[#This Row],[Draftees (2)]]</f>
        <v>445</v>
      </c>
      <c r="AB50" s="154"/>
      <c r="AC50" s="180">
        <f ca="1">(TblConstr[[#This Row],[Tot Smi]]+TblConstr[[#This Row],[Dest Smi]])/(TblConstr[[#This Row],[Land]]-TblExplore[[#This Row],[Land Bonus]]*20)</f>
        <v>0</v>
      </c>
      <c r="AD50" s="137"/>
      <c r="AE50" s="246">
        <f>TblMili[[#This Row],[Hour]]</f>
        <v>47</v>
      </c>
      <c r="AF50" s="138">
        <f ca="1">TblExplore[[#This Row],[Time]]</f>
        <v>46048.916666666555</v>
      </c>
      <c r="AG50" s="179"/>
      <c r="AH50" s="179"/>
      <c r="AI50" s="179"/>
      <c r="AJ50" s="179"/>
      <c r="AK50" s="179"/>
      <c r="AL50" s="179"/>
      <c r="AM50" s="179"/>
      <c r="AN50" s="179"/>
      <c r="AO50" s="420">
        <f ca="1">ROUND(IF(AND(TblMagic[[#This Row],[Active DnD]]&lt;12,TblMagic[[#This Row],[Active DnD]]&gt;5),OFFSET(TblPop[[#This Row],[Draft Growth]],-1,0)*0.375,0),0)</f>
        <v>0</v>
      </c>
      <c r="AP50" s="142"/>
      <c r="AQ50" s="94">
        <f ca="1">TblProd[[#This Row],[Platinum]]</f>
        <v>129420</v>
      </c>
      <c r="AR50" s="94">
        <f ca="1">INDEX(TblProd[[#Headers],[Lumber]]:TblProd[[#This Row],[Ore]],COUNTA(TblProd[[#Headers],[Lumber]]:TblProd[[#This Row],[Lumber]]),MATCH(Military!$AR$2,TblProd[[#Headers],[Lumber]:[Ore]],0))</f>
        <v>0</v>
      </c>
      <c r="AS5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0" s="94">
        <f ca="1">TblMili[[#This Row],[Train Unit 1]]*TblMili[[#This Row],[OP Ore]]+TblMili[[#This Row],[Train Unit 2]]*TblMili[[#This Row],[DP Ore]]+TblMili[[#This Row],[Train Unit 3]]*TblMili[[#This Row],[E1 Ore]]+TblMili[[#This Row],[Train Unit 4]]*TblMili[[#This Row],[E2 Ore]]</f>
        <v>0</v>
      </c>
      <c r="AU50" s="142">
        <f>TblMili[[#This Row],[Hour]]</f>
        <v>47</v>
      </c>
      <c r="AV50" s="152">
        <f ca="1">TblMili[[#This Row],[Time]]</f>
        <v>46048.916666666555</v>
      </c>
      <c r="AW50" s="94">
        <f ca="1">TblMili[[#This Row],[Draftees]]</f>
        <v>445</v>
      </c>
      <c r="AX50" s="179"/>
      <c r="AY50" s="179"/>
      <c r="AZ50" s="179"/>
      <c r="BA50" s="179"/>
      <c r="BB50" s="179"/>
      <c r="BC50" s="179"/>
      <c r="BD50" s="179"/>
      <c r="BE50" s="179"/>
      <c r="BF50" s="179"/>
      <c r="BG50" s="142"/>
      <c r="BH50" s="157">
        <f ca="1">TblConstr[[#This Row],[Tot WG]]/TblConstr[[#This Row],[Land]]</f>
        <v>0</v>
      </c>
      <c r="BI50" s="157">
        <f ca="1">TblConstr[[#This Row],[Tot Hav]]/TblConstr[[#This Row],[Land]]</f>
        <v>0</v>
      </c>
      <c r="BJ50" s="94">
        <f ca="1">ROUNDUP((1-MIN(TblMili[[#This Row],[Smithies]]*smithy_bonus,smithy_bonus_cap) + tech_3_5*TblTech[[#This Row],[3-5]] + tech_5_3*TblTech[[#This Row],[5-3]] + tech_5_5*TblTech[[#This Row],[5-5]])*spec_op_plat,0)</f>
        <v>275</v>
      </c>
      <c r="BK50" s="94">
        <f ca="1">ROUNDUP(IF(race="Gnome",1,(1-MIN(TblMili[[#This Row],[Smithies]]*smithy_bonus,smithy_bonus_cap) + tech_3_5*TblTech[[#This Row],[3-5]] + tech_5_3*TblTech[[#This Row],[5-3]] + tech_5_5*TblTech[[#This Row],[5-5]]))*spec_op_ore,0)</f>
        <v>25</v>
      </c>
      <c r="BL50" s="94">
        <f ca="1">ROUNDUP((1-MIN(TblMili[[#This Row],[Smithies]]*smithy_bonus,smithy_bonus_cap) + tech_3_5*TblTech[[#This Row],[3-5]] + tech_5_3*TblTech[[#This Row],[5-3]] + tech_5_5*TblTech[[#This Row],[5-5]])*spec_dp_plat,0)</f>
        <v>275</v>
      </c>
      <c r="BM50" s="94">
        <f ca="1">ROUNDUP(IF(race="Gnome",1,(1-MIN(TblMili[[#This Row],[Smithies]]*smithy_bonus,smithy_bonus_cap) + tech_3_5*TblTech[[#This Row],[3-5]] + tech_5_3*TblTech[[#This Row],[5-3]] + tech_5_5*TblTech[[#This Row],[5-5]]))*spec_dp_ore,0)</f>
        <v>15</v>
      </c>
      <c r="BN50" s="94">
        <f ca="1">ROUNDUP((1-MIN(TblMili[[#This Row],[Smithies]]*smithy_bonus,smithy_bonus_cap) + tech_3_5*TblTech[[#This Row],[3-5]] + tech_5_3*TblTech[[#This Row],[5-3]] + tech_5_5*TblTech[[#This Row],[5-5]])*elite1_plat,0)</f>
        <v>1040</v>
      </c>
      <c r="BO50" s="94">
        <f ca="1">ROUNDUP(IF(race="Gnome",1,(1-MIN(TblMili[[#This Row],[Smithies]]*smithy_bonus,smithy_bonus_cap) + tech_3_5*TblTech[[#This Row],[3-5]] + tech_5_3*TblTech[[#This Row],[5-3]] + tech_5_5*TblTech[[#This Row],[5-5]]))*elite1_ore,0)</f>
        <v>75</v>
      </c>
      <c r="BP50" s="94">
        <f ca="1">ROUNDUP((1-MIN(TblMili[[#This Row],[Smithies]]*smithy_bonus,smithy_bonus_cap) + tech_3_5*TblTech[[#This Row],[3-5]] + tech_5_3*TblTech[[#This Row],[5-3]] + tech_5_5*TblTech[[#This Row],[5-5]])*elite2_plat,0)</f>
        <v>1280</v>
      </c>
      <c r="BQ50" s="94">
        <f ca="1">ROUNDUP(IF(race="Gnome",1,(1-MIN(TblMili[[#This Row],[Smithies]]*smithy_bonus,smithy_bonus_cap) + tech_3_5*TblTech[[#This Row],[3-5]] + tech_5_3*TblTech[[#This Row],[5-3]] + tech_5_5*TblTech[[#This Row],[5-5]]))*elite2_ore,0)</f>
        <v>100</v>
      </c>
      <c r="BR50" s="94">
        <f ca="1">ROUNDUP((1-MIN(ROUND(fh_spy_cost_red*TblMili[[#This Row],[FH''s]],4),fh_spy_cost_cap)+ tech_1_9*TblTech[[#This Row],[1-9]] + tech_9_1*TblTech[[#This Row],[9-1]])*spy_plat,0)</f>
        <v>500</v>
      </c>
      <c r="BS50" s="94">
        <f ca="1">ROUNDUP((1-MIN(ROUND(fh_spy_cost_red*TblMili[[#This Row],[FH''s]],4),fh_spy_cost_cap)+ tech_1_9*TblTech[[#This Row],[1-9]] + tech_9_1*TblTech[[#This Row],[9-1]])*archspy_plat,0)</f>
        <v>1000</v>
      </c>
      <c r="BT50" s="94">
        <f ca="1">ROUNDUP((1-MIN(ROUND(wg_wiz_cost_bonus*TblMili[[#This Row],[WG''s]],4),wg_wiz_cost_cap) + tech_1_9_2*TblTech[[#This Row],[1-9]] + tech_9_1_2*TblTech[[#This Row],[9-1]])*wizard_plat,0)</f>
        <v>500</v>
      </c>
      <c r="BU50" s="94">
        <f ca="1">ROUNDUP((1-MIN(ROUND(wg_wiz_cost_bonus*TblMili[[#This Row],[WG''s]],4),wg_wiz_cost_cap) + tech_1_9_2*TblTech[[#This Row],[1-9]] + tech_9_1_2*TblTech[[#This Row],[9-1]])*archmage_plat,0)</f>
        <v>1000</v>
      </c>
      <c r="BV50" s="142"/>
      <c r="BW50" s="157">
        <f ca="1">TblConstr[[#This Row],[Homeland]]/TblConstr[[#This Row],[Land]]</f>
        <v>0.81818181818181823</v>
      </c>
      <c r="BX50" s="157">
        <f ca="1">TblMili[[#This Row],[WG''s]]</f>
        <v>0</v>
      </c>
      <c r="BY50" s="251">
        <f ca="1">IF(mystic_cap="none",TblMili[[#This Row],[Homeland%]]/mystic_bonus,MIN(mystic_cap,TblMili[[#This Row],[Homeland%]]/mystic_bonus))</f>
        <v>2</v>
      </c>
      <c r="BZ50" s="251">
        <f ca="1">IF(druid_op_cap="none",TblMili[[#This Row],[Homeland%]]/druid_op_bonus,MIN(druid_op_cap,TblMili[[#This Row],[Homeland%]]/druid_op_bonus))</f>
        <v>2</v>
      </c>
      <c r="CA50" s="251">
        <f ca="1">IF(druid_dp_cap="none",TblMili[[#This Row],[Homeland%]]/druid_dp_bonus,MIN(druid_dp_cap,TblMili[[#This Row],[Homeland%]]/druid_dp_bonus))</f>
        <v>2</v>
      </c>
      <c r="CB50" s="251">
        <f ca="1">MIN(dryad_cap,TblMili[[#This Row],[Homeland%]]/dryad_bonus)</f>
        <v>4</v>
      </c>
      <c r="CC50" s="251">
        <f ca="1">MIN(rocka_cap,TblMili[[#This Row],[Homeland%]]/rocka_bonus)</f>
        <v>2</v>
      </c>
      <c r="CD50" s="251">
        <f ca="1">MIN(adept_op_cap,TblMili[[#This Row],[WG]]/adept_op_bonus)</f>
        <v>0</v>
      </c>
      <c r="CE50" s="251">
        <f ca="1">MIN(adept_dp_cap,TblMili[[#This Row],[WG]]/adept_dp_bonus)</f>
        <v>0</v>
      </c>
      <c r="CF50" s="94">
        <f ca="1">MIN(TblMili[[#This Row],[Unit 3]],TblMili[[#This Row],[Unit 2]])*2</f>
        <v>0</v>
      </c>
      <c r="CG50" s="94">
        <f ca="1">MIN(TblMili[[#This Row],[Unit 1]],TblMili[[#This Row],[Unit 4]])*2</f>
        <v>0</v>
      </c>
      <c r="CH50" s="251">
        <f ca="1">MIN(frost_mage_cap,TblMili[[#This Row],[Homeland%]]/frost_mage_bonus)</f>
        <v>3</v>
      </c>
      <c r="CI50" s="45">
        <f ca="1">MIN(ice_elem_cap,TblMili[[#This Row],[Raw (2)]]*ice_elem_bonus)</f>
        <v>0</v>
      </c>
      <c r="CJ50" s="251">
        <f t="shared" si="2"/>
        <v>0.83333333333333337</v>
      </c>
      <c r="CK50" s="251">
        <f ca="1">MIN(nox_nightshade_cap,TblConstr[[#This Row],[Homeland]]/TblConstr[[#This Row],[Land]]/nox_nightshade_swamp_bonus)</f>
        <v>4</v>
      </c>
      <c r="CL50" s="251">
        <f ca="1">MIN(TblConstr[[#This Row],[Total Swamp]]/TblConstr[[#This Row],[Land]]/abyss_enforce_bonus,abyss_enforcer_cap)</f>
        <v>0</v>
      </c>
      <c r="CM50" s="251">
        <f ca="1">IF(TblMagic[[#This Row],[Active Infernal Command]]&gt;0,TblMili[[#This Row],[Unit 1]]*infernal_cmd_op,0)</f>
        <v>0</v>
      </c>
      <c r="CN50" s="252"/>
      <c r="CO50" s="252"/>
      <c r="CP50" s="252"/>
      <c r="CQ50" s="251">
        <f ca="1">MIN(6,TblMili[[#This Row],[Mystic]]+Races!$F$19)*1.8 +  IF(TblMili[[#This Row],[Mystic]]+Races!$F$19&gt;6,(TblMili[[#This Row],[Mystic]]+Races!$F$19-6)*0.2,0) - Races!$I$19</f>
        <v>1</v>
      </c>
      <c r="CR5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0" s="94">
        <f ca="1">TblMili[[#This Row],[Mystic bonus]]*TblMili[[#This Row],[Unit 3]]+TblMili[[#This Row],[Druid bonus]]*TblMili[[#This Row],[Unit 4]]</f>
        <v>0</v>
      </c>
      <c r="CT50" s="155">
        <f ca="1">MIN(6,TblMili[[#This Row],[Dryad]]+Races!$F$35)*1.8 +  IF(TblMili[[#This Row],[Dryad]]+Races!$F$35&gt;6,(TblMili[[#This Row],[Dryad]]+Races!$F$35-6)*0.2,0) - Races!$I$19</f>
        <v>1</v>
      </c>
      <c r="CU50" s="94">
        <f ca="1">sylvan*(TblMili[[#This Row],[Mystic bonus]]*TblMili[[#This Row],[Unit 3]])</f>
        <v>0</v>
      </c>
      <c r="CV50" s="155">
        <f ca="1">1.8 * MIN(MAX(Races!$E$27,TblMili[[#This Row],[Rockapult]]+Races!$F$27),6)  +  0.45 * MIN(MIN(Races!$E$27,TblMili[[#This Row],[Rockapult]]+Races!$F$27),6)  +  0.2 * ( MAX(Races!$E$27-6,0) + MAX(TblMili[[#This Row],[Rockapult]]+Races!$F$27-6,0) )  -  Races!$I$20</f>
        <v>3.7000000000000011</v>
      </c>
      <c r="CW50" s="94">
        <f ca="1">gnome*(TblMili[[#This Row],[Rockapult bonus]]*TblMili[[#This Row],[Unit 3]])</f>
        <v>0</v>
      </c>
      <c r="CX5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0" s="94">
        <f ca="1">dark_elf*(TblMili[[#This Row],[Adept bonus]]*TblMili[[#This Row],[Unit 3]])</f>
        <v>0</v>
      </c>
      <c r="CZ50" s="155">
        <f ca="1">1.8 * MIN(MAX(TblMili[[#This Row],[Frost Mage]]+Races!$F$71,Races!$E$71),6)  +  0.45 * MIN(MIN(TblMili[[#This Row],[Frost Mage]]+Races!$F$71,Races!$E$71),6)  +  0.2 * ( MAX(TblMili[[#This Row],[Frost Mage]]+Races!$F$71-6,0) + MAX(Races!$E$71-6,0) )  -  Races!$I$71</f>
        <v>6.15</v>
      </c>
      <c r="DA50" s="155">
        <f ca="1">1.8 * MIN(MAX(TblMili[[#This Row],[Ice Elemental]]+Races!$E$71,Races!$F$71),6)  +  0.45 * MIN(MIN(TblMili[[#This Row],[Ice Elemental]]+Races!$E$71,Races!$F$71),6)  +  0.2 * ( MAX(TblMili[[#This Row],[Ice Elemental]]+Races!$E$71-6,0) + MAX(Races!$F$71-6,0) )  -  Races!$I$71</f>
        <v>0.75</v>
      </c>
      <c r="DB50" s="94">
        <f ca="1">TblMili[[#This Row],[Frost Mage bonus]]*TblMili[[#This Row],[Unit 3]]+TblMili[[#This Row],[Ice Elemental bonus]]*TblMili[[#This Row],[Unit 4]]</f>
        <v>0</v>
      </c>
      <c r="DC50" s="253"/>
      <c r="DD50" s="143">
        <f ca="1">MIN(SUM(TblConstr[[#This Row],[Plain]:[Water]])/TblMili[[#This Row],[Land]]/favorable_terrain_bonus/100,favorable_terrain_max)</f>
        <v>0.1</v>
      </c>
      <c r="DE50" s="253"/>
      <c r="DF5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0" s="142"/>
      <c r="DH50" s="254">
        <f ca="1">(TblMili[[#This Row],[Wizards]]+2*TblMili[[#This Row],[Archmages]])/TblConstr[[#This Row],[Land]]</f>
        <v>0</v>
      </c>
      <c r="DI50" s="254">
        <f ca="1">TblMili[[#This Row],[Raw (2)]]*(1+race_wizard_strength+IF(TblMili[[#This Row],[Hour]]&gt;72,tech_magical_weaponry_wiz*TblTech[[#This Row],[3-5]],0))</f>
        <v>0</v>
      </c>
    </row>
    <row r="51" spans="1:113" x14ac:dyDescent="0.2">
      <c r="A51" s="137">
        <f>TblRezone[[#This Row],[Hour]]</f>
        <v>48</v>
      </c>
      <c r="B51" s="246">
        <f ca="1">SUM(TblMili[[#This Row],[Unit 1]:[Archmages]])+SUM(OFFSET(TblMili[[#This Row],[Train Unit 1]],-8,0):TblMili[[#This Row],[Train Unit 2]]) + SUM(OFFSET(TblMili[[#This Row],[Train Unit 3]],-11,0):TblMili[[#This Row],[Train AM]]) + TblMili[[#This Row],[Draftees]]</f>
        <v>451</v>
      </c>
      <c r="C51" s="157">
        <f ca="1">TblPop[[#This Row],[Military%]]</f>
        <v>0.41914498141263939</v>
      </c>
      <c r="D51" s="142"/>
      <c r="E51" s="45">
        <f ca="1">OFFSET(TblMili[[#This Row],[Unit 1]],-1,0) + OFFSET(TblMili[[#This Row],[Train Unit 1]],-9,0) - TblMili[[#This Row],[Release Unit 1]] + OFFSET(TblMili[[#This Row],[DnD_Zombies]],-12,0)</f>
        <v>0</v>
      </c>
      <c r="F51" s="45">
        <f ca="1">OFFSET(TblMili[[#This Row],[Unit 2]],-1,0) + OFFSET(TblMili[[#This Row],[Train Unit 2]],-9,0)-TblMili[[#This Row],[Release Unit 2]]</f>
        <v>0</v>
      </c>
      <c r="G51" s="45">
        <f ca="1">OFFSET(TblMili[[#This Row],[Unit 3]],-1,0) + OFFSET(TblMili[[#This Row],[Train Unit 3]],-12,0)-TblMili[[#This Row],[Release Unit 3]]</f>
        <v>0</v>
      </c>
      <c r="H51" s="45">
        <f ca="1">OFFSET(TblMili[[#This Row],[Unit 4]],-1,0) + OFFSET(TblMili[[#This Row],[Train Unit 4]],-12,0)-TblMili[[#This Row],[Release Unit 4]]</f>
        <v>0</v>
      </c>
      <c r="I51" s="45">
        <f ca="1">OFFSET(TblMili[[#This Row],[Spies]],-1,0) + OFFSET(TblMili[[#This Row],[Train Spies]],-12,0) - TblMili[[#This Row],[Release Spies]]-TblMili[[#This Row],[Train AS]]</f>
        <v>0</v>
      </c>
      <c r="J51" s="45">
        <f ca="1">OFFSET(TblMili[[#This Row],[Archspies]],-1,0) + OFFSET(TblMili[[#This Row],[Train AS]],-12,0) - TblMili[[#This Row],[Release AS]]</f>
        <v>0</v>
      </c>
      <c r="K51" s="45">
        <f ca="1">OFFSET(TblMili[[#This Row],[Wizards]],-1,0) + OFFSET(TblMili[[#This Row],[Train Wiz]],-12,0) - TblMili[[#This Row],[Release Wizards]]-TblMili[[#This Row],[Train AM]]</f>
        <v>0</v>
      </c>
      <c r="L51" s="45">
        <f ca="1">OFFSET(TblMili[[#This Row],[Archmages]],-1,0) + OFFSET(TblMili[[#This Row],[Train AM]],-12,0) - TblMili[[#This Row],[Release AM]]</f>
        <v>0</v>
      </c>
      <c r="M51" s="142"/>
      <c r="N51" s="94">
        <f ca="1">TblProd[[#This Row],[Networth]]</f>
        <v>2450</v>
      </c>
      <c r="O51" s="142"/>
      <c r="P5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1" s="247">
        <f ca="1">TblMili[[#This Row],[Raw]]*(1+TblMili[[#This Row],[Mods_Off]])</f>
        <v>0</v>
      </c>
      <c r="S5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1" s="247">
        <f ca="1">TblMili[[#This Row],[Non Draft]]+TblMili[[#This Row],[Draftees]]</f>
        <v>451</v>
      </c>
      <c r="U51" s="248">
        <f ca="1">race_defense + TblImps[[#This Row],[Walls]] + ROUND( MIN(gt_bonus*TblConstr[[#This Row],[Tot GT]]/TblConstr[[#This Row],[Land]],gt_bonus_cap), 4) + IF(TblMagic[[#This Row],[Active Howling]]&gt;0,howling_dp_bonus,IF(TblMagic[[#This Row],[Active Ares Call]]&gt;0,ares_call_bonus))</f>
        <v>0</v>
      </c>
      <c r="V51" s="249">
        <f ca="1">TblMili[[#This Row],[Non Draft]] * (1 + TblMili[[#This Row],[Mods_Def]])</f>
        <v>0</v>
      </c>
      <c r="W51" s="247">
        <f ca="1">TblMili[[#This Row],[Draft]] * (1 + TblMili[[#This Row],[Mods_Def]])</f>
        <v>451</v>
      </c>
      <c r="X51" s="247">
        <f ca="1">TblConstr[[#This Row],[Land]]</f>
        <v>110</v>
      </c>
      <c r="Y51" s="250"/>
      <c r="Z51" s="255">
        <f ca="1">IF(TblMili[[#This Row],[Set]]&lt;&gt;"",TblMili[[#This Row],[Set]],OFFSET(TblMili[[#This Row],[Draftrate]],-1,0))</f>
        <v>0.9</v>
      </c>
      <c r="AA51" s="94">
        <f ca="1">OFFSET(TblMili[[#This Row],[Draftees]],-1,0)+OFFSET(TblPop[[#This Row],[Draft Growth]],-1,0) - SUM(TblMili[[#This Row],[Train Unit 1]:[Train Spies]],TblMili[[#This Row],[Train Wiz]],TblMili[[#This Row],[DnD_Zombies]]) - TblMili[[#This Row],[Release Draft]] + SUM(TblMili[[#This Row],[Release Unit 1]:[Release AM]]) - TblExplore[[#This Row],[Draftees (2)]]</f>
        <v>451</v>
      </c>
      <c r="AB51" s="154"/>
      <c r="AC51" s="180">
        <f ca="1">(TblConstr[[#This Row],[Tot Smi]]+TblConstr[[#This Row],[Dest Smi]])/(TblConstr[[#This Row],[Land]]-TblExplore[[#This Row],[Land Bonus]]*20)</f>
        <v>0</v>
      </c>
      <c r="AD51" s="137"/>
      <c r="AE51" s="246">
        <f>TblMili[[#This Row],[Hour]]</f>
        <v>48</v>
      </c>
      <c r="AF51" s="138">
        <f ca="1">TblExplore[[#This Row],[Time]]</f>
        <v>46048.958333333219</v>
      </c>
      <c r="AG51" s="179"/>
      <c r="AH51" s="179"/>
      <c r="AI51" s="179"/>
      <c r="AJ51" s="179"/>
      <c r="AK51" s="179"/>
      <c r="AL51" s="179"/>
      <c r="AM51" s="179"/>
      <c r="AN51" s="179"/>
      <c r="AO51" s="420">
        <f ca="1">ROUND(IF(AND(TblMagic[[#This Row],[Active DnD]]&lt;12,TblMagic[[#This Row],[Active DnD]]&gt;5),OFFSET(TblPop[[#This Row],[Draft Growth]],-1,0)*0.375,0),0)</f>
        <v>0</v>
      </c>
      <c r="AP51" s="142"/>
      <c r="AQ51" s="94">
        <f ca="1">TblProd[[#This Row],[Platinum]]</f>
        <v>131123</v>
      </c>
      <c r="AR51" s="94">
        <f ca="1">INDEX(TblProd[[#Headers],[Lumber]]:TblProd[[#This Row],[Ore]],COUNTA(TblProd[[#Headers],[Lumber]]:TblProd[[#This Row],[Lumber]]),MATCH(Military!$AR$2,TblProd[[#Headers],[Lumber]:[Ore]],0))</f>
        <v>0</v>
      </c>
      <c r="AS5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1" s="94">
        <f ca="1">TblMili[[#This Row],[Train Unit 1]]*TblMili[[#This Row],[OP Ore]]+TblMili[[#This Row],[Train Unit 2]]*TblMili[[#This Row],[DP Ore]]+TblMili[[#This Row],[Train Unit 3]]*TblMili[[#This Row],[E1 Ore]]+TblMili[[#This Row],[Train Unit 4]]*TblMili[[#This Row],[E2 Ore]]</f>
        <v>0</v>
      </c>
      <c r="AU51" s="142">
        <f>TblMili[[#This Row],[Hour]]</f>
        <v>48</v>
      </c>
      <c r="AV51" s="152">
        <f ca="1">TblMili[[#This Row],[Time]]</f>
        <v>46048.958333333219</v>
      </c>
      <c r="AW51" s="94">
        <f ca="1">TblMili[[#This Row],[Draftees]]</f>
        <v>451</v>
      </c>
      <c r="AX51" s="179"/>
      <c r="AY51" s="179"/>
      <c r="AZ51" s="179"/>
      <c r="BA51" s="179"/>
      <c r="BB51" s="179"/>
      <c r="BC51" s="179"/>
      <c r="BD51" s="179"/>
      <c r="BE51" s="179"/>
      <c r="BF51" s="179"/>
      <c r="BG51" s="142"/>
      <c r="BH51" s="157">
        <f ca="1">TblConstr[[#This Row],[Tot WG]]/TblConstr[[#This Row],[Land]]</f>
        <v>0</v>
      </c>
      <c r="BI51" s="157">
        <f ca="1">TblConstr[[#This Row],[Tot Hav]]/TblConstr[[#This Row],[Land]]</f>
        <v>0</v>
      </c>
      <c r="BJ51" s="94">
        <f ca="1">ROUNDUP((1-MIN(TblMili[[#This Row],[Smithies]]*smithy_bonus,smithy_bonus_cap) + tech_3_5*TblTech[[#This Row],[3-5]] + tech_5_3*TblTech[[#This Row],[5-3]] + tech_5_5*TblTech[[#This Row],[5-5]])*spec_op_plat,0)</f>
        <v>275</v>
      </c>
      <c r="BK51" s="94">
        <f ca="1">ROUNDUP(IF(race="Gnome",1,(1-MIN(TblMili[[#This Row],[Smithies]]*smithy_bonus,smithy_bonus_cap) + tech_3_5*TblTech[[#This Row],[3-5]] + tech_5_3*TblTech[[#This Row],[5-3]] + tech_5_5*TblTech[[#This Row],[5-5]]))*spec_op_ore,0)</f>
        <v>25</v>
      </c>
      <c r="BL51" s="94">
        <f ca="1">ROUNDUP((1-MIN(TblMili[[#This Row],[Smithies]]*smithy_bonus,smithy_bonus_cap) + tech_3_5*TblTech[[#This Row],[3-5]] + tech_5_3*TblTech[[#This Row],[5-3]] + tech_5_5*TblTech[[#This Row],[5-5]])*spec_dp_plat,0)</f>
        <v>275</v>
      </c>
      <c r="BM51" s="94">
        <f ca="1">ROUNDUP(IF(race="Gnome",1,(1-MIN(TblMili[[#This Row],[Smithies]]*smithy_bonus,smithy_bonus_cap) + tech_3_5*TblTech[[#This Row],[3-5]] + tech_5_3*TblTech[[#This Row],[5-3]] + tech_5_5*TblTech[[#This Row],[5-5]]))*spec_dp_ore,0)</f>
        <v>15</v>
      </c>
      <c r="BN51" s="94">
        <f ca="1">ROUNDUP((1-MIN(TblMili[[#This Row],[Smithies]]*smithy_bonus,smithy_bonus_cap) + tech_3_5*TblTech[[#This Row],[3-5]] + tech_5_3*TblTech[[#This Row],[5-3]] + tech_5_5*TblTech[[#This Row],[5-5]])*elite1_plat,0)</f>
        <v>1040</v>
      </c>
      <c r="BO51" s="94">
        <f ca="1">ROUNDUP(IF(race="Gnome",1,(1-MIN(TblMili[[#This Row],[Smithies]]*smithy_bonus,smithy_bonus_cap) + tech_3_5*TblTech[[#This Row],[3-5]] + tech_5_3*TblTech[[#This Row],[5-3]] + tech_5_5*TblTech[[#This Row],[5-5]]))*elite1_ore,0)</f>
        <v>75</v>
      </c>
      <c r="BP51" s="94">
        <f ca="1">ROUNDUP((1-MIN(TblMili[[#This Row],[Smithies]]*smithy_bonus,smithy_bonus_cap) + tech_3_5*TblTech[[#This Row],[3-5]] + tech_5_3*TblTech[[#This Row],[5-3]] + tech_5_5*TblTech[[#This Row],[5-5]])*elite2_plat,0)</f>
        <v>1280</v>
      </c>
      <c r="BQ51" s="94">
        <f ca="1">ROUNDUP(IF(race="Gnome",1,(1-MIN(TblMili[[#This Row],[Smithies]]*smithy_bonus,smithy_bonus_cap) + tech_3_5*TblTech[[#This Row],[3-5]] + tech_5_3*TblTech[[#This Row],[5-3]] + tech_5_5*TblTech[[#This Row],[5-5]]))*elite2_ore,0)</f>
        <v>100</v>
      </c>
      <c r="BR51" s="94">
        <f ca="1">ROUNDUP((1-MIN(ROUND(fh_spy_cost_red*TblMili[[#This Row],[FH''s]],4),fh_spy_cost_cap)+ tech_1_9*TblTech[[#This Row],[1-9]] + tech_9_1*TblTech[[#This Row],[9-1]])*spy_plat,0)</f>
        <v>500</v>
      </c>
      <c r="BS51" s="94">
        <f ca="1">ROUNDUP((1-MIN(ROUND(fh_spy_cost_red*TblMili[[#This Row],[FH''s]],4),fh_spy_cost_cap)+ tech_1_9*TblTech[[#This Row],[1-9]] + tech_9_1*TblTech[[#This Row],[9-1]])*archspy_plat,0)</f>
        <v>1000</v>
      </c>
      <c r="BT51" s="94">
        <f ca="1">ROUNDUP((1-MIN(ROUND(wg_wiz_cost_bonus*TblMili[[#This Row],[WG''s]],4),wg_wiz_cost_cap) + tech_1_9_2*TblTech[[#This Row],[1-9]] + tech_9_1_2*TblTech[[#This Row],[9-1]])*wizard_plat,0)</f>
        <v>500</v>
      </c>
      <c r="BU51" s="94">
        <f ca="1">ROUNDUP((1-MIN(ROUND(wg_wiz_cost_bonus*TblMili[[#This Row],[WG''s]],4),wg_wiz_cost_cap) + tech_1_9_2*TblTech[[#This Row],[1-9]] + tech_9_1_2*TblTech[[#This Row],[9-1]])*archmage_plat,0)</f>
        <v>1000</v>
      </c>
      <c r="BV51" s="142"/>
      <c r="BW51" s="157">
        <f ca="1">TblConstr[[#This Row],[Homeland]]/TblConstr[[#This Row],[Land]]</f>
        <v>0.81818181818181823</v>
      </c>
      <c r="BX51" s="157">
        <f ca="1">TblMili[[#This Row],[WG''s]]</f>
        <v>0</v>
      </c>
      <c r="BY51" s="251">
        <f ca="1">IF(mystic_cap="none",TblMili[[#This Row],[Homeland%]]/mystic_bonus,MIN(mystic_cap,TblMili[[#This Row],[Homeland%]]/mystic_bonus))</f>
        <v>2</v>
      </c>
      <c r="BZ51" s="251">
        <f ca="1">IF(druid_op_cap="none",TblMili[[#This Row],[Homeland%]]/druid_op_bonus,MIN(druid_op_cap,TblMili[[#This Row],[Homeland%]]/druid_op_bonus))</f>
        <v>2</v>
      </c>
      <c r="CA51" s="251">
        <f ca="1">IF(druid_dp_cap="none",TblMili[[#This Row],[Homeland%]]/druid_dp_bonus,MIN(druid_dp_cap,TblMili[[#This Row],[Homeland%]]/druid_dp_bonus))</f>
        <v>2</v>
      </c>
      <c r="CB51" s="251">
        <f ca="1">MIN(dryad_cap,TblMili[[#This Row],[Homeland%]]/dryad_bonus)</f>
        <v>4</v>
      </c>
      <c r="CC51" s="251">
        <f ca="1">MIN(rocka_cap,TblMili[[#This Row],[Homeland%]]/rocka_bonus)</f>
        <v>2</v>
      </c>
      <c r="CD51" s="251">
        <f ca="1">MIN(adept_op_cap,TblMili[[#This Row],[WG]]/adept_op_bonus)</f>
        <v>0</v>
      </c>
      <c r="CE51" s="251">
        <f ca="1">MIN(adept_dp_cap,TblMili[[#This Row],[WG]]/adept_dp_bonus)</f>
        <v>0</v>
      </c>
      <c r="CF51" s="94">
        <f ca="1">MIN(TblMili[[#This Row],[Unit 3]],TblMili[[#This Row],[Unit 2]])*2</f>
        <v>0</v>
      </c>
      <c r="CG51" s="94">
        <f ca="1">MIN(TblMili[[#This Row],[Unit 1]],TblMili[[#This Row],[Unit 4]])*2</f>
        <v>0</v>
      </c>
      <c r="CH51" s="251">
        <f ca="1">MIN(frost_mage_cap,TblMili[[#This Row],[Homeland%]]/frost_mage_bonus)</f>
        <v>3</v>
      </c>
      <c r="CI51" s="45">
        <f ca="1">MIN(ice_elem_cap,TblMili[[#This Row],[Raw (2)]]*ice_elem_bonus)</f>
        <v>0</v>
      </c>
      <c r="CJ51" s="251">
        <f t="shared" si="2"/>
        <v>0.83333333333333337</v>
      </c>
      <c r="CK51" s="251">
        <f ca="1">MIN(nox_nightshade_cap,TblConstr[[#This Row],[Homeland]]/TblConstr[[#This Row],[Land]]/nox_nightshade_swamp_bonus)</f>
        <v>4</v>
      </c>
      <c r="CL51" s="251">
        <f ca="1">MIN(TblConstr[[#This Row],[Total Swamp]]/TblConstr[[#This Row],[Land]]/abyss_enforce_bonus,abyss_enforcer_cap)</f>
        <v>0</v>
      </c>
      <c r="CM51" s="251">
        <f ca="1">IF(TblMagic[[#This Row],[Active Infernal Command]]&gt;0,TblMili[[#This Row],[Unit 1]]*infernal_cmd_op,0)</f>
        <v>0</v>
      </c>
      <c r="CN51" s="252"/>
      <c r="CO51" s="252"/>
      <c r="CP51" s="252"/>
      <c r="CQ51" s="251">
        <f ca="1">MIN(6,TblMili[[#This Row],[Mystic]]+Races!$F$19)*1.8 +  IF(TblMili[[#This Row],[Mystic]]+Races!$F$19&gt;6,(TblMili[[#This Row],[Mystic]]+Races!$F$19-6)*0.2,0) - Races!$I$19</f>
        <v>1</v>
      </c>
      <c r="CR5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1" s="94">
        <f ca="1">TblMili[[#This Row],[Mystic bonus]]*TblMili[[#This Row],[Unit 3]]+TblMili[[#This Row],[Druid bonus]]*TblMili[[#This Row],[Unit 4]]</f>
        <v>0</v>
      </c>
      <c r="CT51" s="155">
        <f ca="1">MIN(6,TblMili[[#This Row],[Dryad]]+Races!$F$35)*1.8 +  IF(TblMili[[#This Row],[Dryad]]+Races!$F$35&gt;6,(TblMili[[#This Row],[Dryad]]+Races!$F$35-6)*0.2,0) - Races!$I$19</f>
        <v>1</v>
      </c>
      <c r="CU51" s="94">
        <f ca="1">sylvan*(TblMili[[#This Row],[Mystic bonus]]*TblMili[[#This Row],[Unit 3]])</f>
        <v>0</v>
      </c>
      <c r="CV51" s="155">
        <f ca="1">1.8 * MIN(MAX(Races!$E$27,TblMili[[#This Row],[Rockapult]]+Races!$F$27),6)  +  0.45 * MIN(MIN(Races!$E$27,TblMili[[#This Row],[Rockapult]]+Races!$F$27),6)  +  0.2 * ( MAX(Races!$E$27-6,0) + MAX(TblMili[[#This Row],[Rockapult]]+Races!$F$27-6,0) )  -  Races!$I$20</f>
        <v>3.7000000000000011</v>
      </c>
      <c r="CW51" s="94">
        <f ca="1">gnome*(TblMili[[#This Row],[Rockapult bonus]]*TblMili[[#This Row],[Unit 3]])</f>
        <v>0</v>
      </c>
      <c r="CX5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1" s="94">
        <f ca="1">dark_elf*(TblMili[[#This Row],[Adept bonus]]*TblMili[[#This Row],[Unit 3]])</f>
        <v>0</v>
      </c>
      <c r="CZ51" s="155">
        <f ca="1">1.8 * MIN(MAX(TblMili[[#This Row],[Frost Mage]]+Races!$F$71,Races!$E$71),6)  +  0.45 * MIN(MIN(TblMili[[#This Row],[Frost Mage]]+Races!$F$71,Races!$E$71),6)  +  0.2 * ( MAX(TblMili[[#This Row],[Frost Mage]]+Races!$F$71-6,0) + MAX(Races!$E$71-6,0) )  -  Races!$I$71</f>
        <v>6.15</v>
      </c>
      <c r="DA51" s="155">
        <f ca="1">1.8 * MIN(MAX(TblMili[[#This Row],[Ice Elemental]]+Races!$E$71,Races!$F$71),6)  +  0.45 * MIN(MIN(TblMili[[#This Row],[Ice Elemental]]+Races!$E$71,Races!$F$71),6)  +  0.2 * ( MAX(TblMili[[#This Row],[Ice Elemental]]+Races!$E$71-6,0) + MAX(Races!$F$71-6,0) )  -  Races!$I$71</f>
        <v>0.75</v>
      </c>
      <c r="DB51" s="94">
        <f ca="1">TblMili[[#This Row],[Frost Mage bonus]]*TblMili[[#This Row],[Unit 3]]+TblMili[[#This Row],[Ice Elemental bonus]]*TblMili[[#This Row],[Unit 4]]</f>
        <v>0</v>
      </c>
      <c r="DC51" s="253"/>
      <c r="DD51" s="143">
        <f ca="1">MIN(SUM(TblConstr[[#This Row],[Plain]:[Water]])/TblMili[[#This Row],[Land]]/favorable_terrain_bonus/100,favorable_terrain_max)</f>
        <v>0.1</v>
      </c>
      <c r="DE51" s="253"/>
      <c r="DF5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1" s="142"/>
      <c r="DH51" s="254">
        <f ca="1">(TblMili[[#This Row],[Wizards]]+2*TblMili[[#This Row],[Archmages]])/TblConstr[[#This Row],[Land]]</f>
        <v>0</v>
      </c>
      <c r="DI51" s="254">
        <f ca="1">TblMili[[#This Row],[Raw (2)]]*(1+race_wizard_strength+IF(TblMili[[#This Row],[Hour]]&gt;72,tech_magical_weaponry_wiz*TblTech[[#This Row],[3-5]],0))</f>
        <v>0</v>
      </c>
    </row>
    <row r="52" spans="1:113" x14ac:dyDescent="0.2">
      <c r="A52" s="137">
        <f>TblRezone[[#This Row],[Hour]]</f>
        <v>49</v>
      </c>
      <c r="B52" s="246">
        <f ca="1">SUM(TblMili[[#This Row],[Unit 1]:[Archmages]])+SUM(OFFSET(TblMili[[#This Row],[Train Unit 1]],-8,0):TblMili[[#This Row],[Train Unit 2]]) + SUM(OFFSET(TblMili[[#This Row],[Train Unit 3]],-11,0):TblMili[[#This Row],[Train AM]]) + TblMili[[#This Row],[Draftees]]</f>
        <v>457</v>
      </c>
      <c r="C52" s="157">
        <f ca="1">TblPop[[#This Row],[Military%]]</f>
        <v>0.42472118959107807</v>
      </c>
      <c r="D52" s="142"/>
      <c r="E52" s="45">
        <f ca="1">OFFSET(TblMili[[#This Row],[Unit 1]],-1,0) + OFFSET(TblMili[[#This Row],[Train Unit 1]],-9,0) - TblMili[[#This Row],[Release Unit 1]] + OFFSET(TblMili[[#This Row],[DnD_Zombies]],-12,0)</f>
        <v>0</v>
      </c>
      <c r="F52" s="45">
        <f ca="1">OFFSET(TblMili[[#This Row],[Unit 2]],-1,0) + OFFSET(TblMili[[#This Row],[Train Unit 2]],-9,0)-TblMili[[#This Row],[Release Unit 2]]</f>
        <v>0</v>
      </c>
      <c r="G52" s="45">
        <f ca="1">OFFSET(TblMili[[#This Row],[Unit 3]],-1,0) + OFFSET(TblMili[[#This Row],[Train Unit 3]],-12,0)-TblMili[[#This Row],[Release Unit 3]]</f>
        <v>0</v>
      </c>
      <c r="H52" s="45">
        <f ca="1">OFFSET(TblMili[[#This Row],[Unit 4]],-1,0) + OFFSET(TblMili[[#This Row],[Train Unit 4]],-12,0)-TblMili[[#This Row],[Release Unit 4]]</f>
        <v>0</v>
      </c>
      <c r="I52" s="45">
        <f ca="1">OFFSET(TblMili[[#This Row],[Spies]],-1,0) + OFFSET(TblMili[[#This Row],[Train Spies]],-12,0) - TblMili[[#This Row],[Release Spies]]-TblMili[[#This Row],[Train AS]]</f>
        <v>0</v>
      </c>
      <c r="J52" s="45">
        <f ca="1">OFFSET(TblMili[[#This Row],[Archspies]],-1,0) + OFFSET(TblMili[[#This Row],[Train AS]],-12,0) - TblMili[[#This Row],[Release AS]]</f>
        <v>0</v>
      </c>
      <c r="K52" s="45">
        <f ca="1">OFFSET(TblMili[[#This Row],[Wizards]],-1,0) + OFFSET(TblMili[[#This Row],[Train Wiz]],-12,0) - TblMili[[#This Row],[Release Wizards]]-TblMili[[#This Row],[Train AM]]</f>
        <v>0</v>
      </c>
      <c r="L52" s="45">
        <f ca="1">OFFSET(TblMili[[#This Row],[Archmages]],-1,0) + OFFSET(TblMili[[#This Row],[Train AM]],-12,0) - TblMili[[#This Row],[Release AM]]</f>
        <v>0</v>
      </c>
      <c r="M52" s="142"/>
      <c r="N52" s="94">
        <f ca="1">TblProd[[#This Row],[Networth]]</f>
        <v>2450</v>
      </c>
      <c r="O52" s="142"/>
      <c r="P5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2" s="247">
        <f ca="1">TblMili[[#This Row],[Raw]]*(1+TblMili[[#This Row],[Mods_Off]])</f>
        <v>0</v>
      </c>
      <c r="S5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2" s="247">
        <f ca="1">TblMili[[#This Row],[Non Draft]]+TblMili[[#This Row],[Draftees]]</f>
        <v>457</v>
      </c>
      <c r="U52" s="248">
        <f ca="1">race_defense + TblImps[[#This Row],[Walls]] + ROUND( MIN(gt_bonus*TblConstr[[#This Row],[Tot GT]]/TblConstr[[#This Row],[Land]],gt_bonus_cap), 4) + IF(TblMagic[[#This Row],[Active Howling]]&gt;0,howling_dp_bonus,IF(TblMagic[[#This Row],[Active Ares Call]]&gt;0,ares_call_bonus))</f>
        <v>0</v>
      </c>
      <c r="V52" s="249">
        <f ca="1">TblMili[[#This Row],[Non Draft]] * (1 + TblMili[[#This Row],[Mods_Def]])</f>
        <v>0</v>
      </c>
      <c r="W52" s="247">
        <f ca="1">TblMili[[#This Row],[Draft]] * (1 + TblMili[[#This Row],[Mods_Def]])</f>
        <v>457</v>
      </c>
      <c r="X52" s="247">
        <f ca="1">TblConstr[[#This Row],[Land]]</f>
        <v>110</v>
      </c>
      <c r="Y52" s="250"/>
      <c r="Z52" s="255">
        <f ca="1">IF(TblMili[[#This Row],[Set]]&lt;&gt;"",TblMili[[#This Row],[Set]],OFFSET(TblMili[[#This Row],[Draftrate]],-1,0))</f>
        <v>0.9</v>
      </c>
      <c r="AA52" s="94">
        <f ca="1">OFFSET(TblMili[[#This Row],[Draftees]],-1,0)+OFFSET(TblPop[[#This Row],[Draft Growth]],-1,0) - SUM(TblMili[[#This Row],[Train Unit 1]:[Train Spies]],TblMili[[#This Row],[Train Wiz]],TblMili[[#This Row],[DnD_Zombies]]) - TblMili[[#This Row],[Release Draft]] + SUM(TblMili[[#This Row],[Release Unit 1]:[Release AM]]) - TblExplore[[#This Row],[Draftees (2)]]</f>
        <v>457</v>
      </c>
      <c r="AB52" s="154"/>
      <c r="AC52" s="180">
        <f ca="1">(TblConstr[[#This Row],[Tot Smi]]+TblConstr[[#This Row],[Dest Smi]])/(TblConstr[[#This Row],[Land]]-TblExplore[[#This Row],[Land Bonus]]*20)</f>
        <v>0</v>
      </c>
      <c r="AD52" s="256"/>
      <c r="AE52" s="257">
        <f>TblMili[[#This Row],[Hour]]</f>
        <v>49</v>
      </c>
      <c r="AF52" s="138">
        <f ca="1">TblExplore[[#This Row],[Time]]</f>
        <v>46048.999999999884</v>
      </c>
      <c r="AG52" s="179"/>
      <c r="AH52" s="179"/>
      <c r="AI52" s="179"/>
      <c r="AJ52" s="179"/>
      <c r="AK52" s="179"/>
      <c r="AL52" s="179"/>
      <c r="AM52" s="179"/>
      <c r="AN52" s="179"/>
      <c r="AO52" s="420">
        <f ca="1">ROUND(IF(AND(TblMagic[[#This Row],[Active DnD]]&lt;12,TblMagic[[#This Row],[Active DnD]]&gt;5),OFFSET(TblPop[[#This Row],[Draft Growth]],-1,0)*0.375,0),0)</f>
        <v>0</v>
      </c>
      <c r="AP52" s="142"/>
      <c r="AQ52" s="94">
        <f ca="1">TblProd[[#This Row],[Platinum]]</f>
        <v>132810</v>
      </c>
      <c r="AR52" s="94">
        <f ca="1">INDEX(TblProd[[#Headers],[Lumber]]:TblProd[[#This Row],[Ore]],COUNTA(TblProd[[#Headers],[Lumber]]:TblProd[[#This Row],[Lumber]]),MATCH(Military!$AR$2,TblProd[[#Headers],[Lumber]:[Ore]],0))</f>
        <v>0</v>
      </c>
      <c r="AS5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2" s="94">
        <f ca="1">TblMili[[#This Row],[Train Unit 1]]*TblMili[[#This Row],[OP Ore]]+TblMili[[#This Row],[Train Unit 2]]*TblMili[[#This Row],[DP Ore]]+TblMili[[#This Row],[Train Unit 3]]*TblMili[[#This Row],[E1 Ore]]+TblMili[[#This Row],[Train Unit 4]]*TblMili[[#This Row],[E2 Ore]]</f>
        <v>0</v>
      </c>
      <c r="AU52" s="142">
        <f>TblMili[[#This Row],[Hour]]</f>
        <v>49</v>
      </c>
      <c r="AV52" s="152">
        <f ca="1">TblMili[[#This Row],[Time]]</f>
        <v>46048.999999999884</v>
      </c>
      <c r="AW52" s="94">
        <f ca="1">TblMili[[#This Row],[Draftees]]</f>
        <v>457</v>
      </c>
      <c r="AX52" s="179"/>
      <c r="AY52" s="179"/>
      <c r="AZ52" s="179"/>
      <c r="BA52" s="179"/>
      <c r="BB52" s="179"/>
      <c r="BC52" s="179"/>
      <c r="BD52" s="179"/>
      <c r="BE52" s="179"/>
      <c r="BF52" s="179"/>
      <c r="BG52" s="142"/>
      <c r="BH52" s="157">
        <f ca="1">TblConstr[[#This Row],[Tot WG]]/TblConstr[[#This Row],[Land]]</f>
        <v>0</v>
      </c>
      <c r="BI52" s="157">
        <f ca="1">TblConstr[[#This Row],[Tot Hav]]/TblConstr[[#This Row],[Land]]</f>
        <v>0</v>
      </c>
      <c r="BJ52" s="94">
        <f ca="1">ROUNDUP((1-MIN(TblMili[[#This Row],[Smithies]]*smithy_bonus,smithy_bonus_cap) + tech_3_5*TblTech[[#This Row],[3-5]] + tech_5_3*TblTech[[#This Row],[5-3]] + tech_5_5*TblTech[[#This Row],[5-5]])*spec_op_plat,0)</f>
        <v>275</v>
      </c>
      <c r="BK52" s="94">
        <f ca="1">ROUNDUP(IF(race="Gnome",1,(1-MIN(TblMili[[#This Row],[Smithies]]*smithy_bonus,smithy_bonus_cap) + tech_3_5*TblTech[[#This Row],[3-5]] + tech_5_3*TblTech[[#This Row],[5-3]] + tech_5_5*TblTech[[#This Row],[5-5]]))*spec_op_ore,0)</f>
        <v>25</v>
      </c>
      <c r="BL52" s="94">
        <f ca="1">ROUNDUP((1-MIN(TblMili[[#This Row],[Smithies]]*smithy_bonus,smithy_bonus_cap) + tech_3_5*TblTech[[#This Row],[3-5]] + tech_5_3*TblTech[[#This Row],[5-3]] + tech_5_5*TblTech[[#This Row],[5-5]])*spec_dp_plat,0)</f>
        <v>275</v>
      </c>
      <c r="BM52" s="94">
        <f ca="1">ROUNDUP(IF(race="Gnome",1,(1-MIN(TblMili[[#This Row],[Smithies]]*smithy_bonus,smithy_bonus_cap) + tech_3_5*TblTech[[#This Row],[3-5]] + tech_5_3*TblTech[[#This Row],[5-3]] + tech_5_5*TblTech[[#This Row],[5-5]]))*spec_dp_ore,0)</f>
        <v>15</v>
      </c>
      <c r="BN52" s="94">
        <f ca="1">ROUNDUP((1-MIN(TblMili[[#This Row],[Smithies]]*smithy_bonus,smithy_bonus_cap) + tech_3_5*TblTech[[#This Row],[3-5]] + tech_5_3*TblTech[[#This Row],[5-3]] + tech_5_5*TblTech[[#This Row],[5-5]])*elite1_plat,0)</f>
        <v>1040</v>
      </c>
      <c r="BO52" s="94">
        <f ca="1">ROUNDUP(IF(race="Gnome",1,(1-MIN(TblMili[[#This Row],[Smithies]]*smithy_bonus,smithy_bonus_cap) + tech_3_5*TblTech[[#This Row],[3-5]] + tech_5_3*TblTech[[#This Row],[5-3]] + tech_5_5*TblTech[[#This Row],[5-5]]))*elite1_ore,0)</f>
        <v>75</v>
      </c>
      <c r="BP52" s="94">
        <f ca="1">ROUNDUP((1-MIN(TblMili[[#This Row],[Smithies]]*smithy_bonus,smithy_bonus_cap) + tech_3_5*TblTech[[#This Row],[3-5]] + tech_5_3*TblTech[[#This Row],[5-3]] + tech_5_5*TblTech[[#This Row],[5-5]])*elite2_plat,0)</f>
        <v>1280</v>
      </c>
      <c r="BQ52" s="94">
        <f ca="1">ROUNDUP(IF(race="Gnome",1,(1-MIN(TblMili[[#This Row],[Smithies]]*smithy_bonus,smithy_bonus_cap) + tech_3_5*TblTech[[#This Row],[3-5]] + tech_5_3*TblTech[[#This Row],[5-3]] + tech_5_5*TblTech[[#This Row],[5-5]]))*elite2_ore,0)</f>
        <v>100</v>
      </c>
      <c r="BR52" s="94">
        <f ca="1">ROUNDUP((1-MIN(ROUND(fh_spy_cost_red*TblMili[[#This Row],[FH''s]],4),fh_spy_cost_cap)+ tech_1_9*TblTech[[#This Row],[1-9]] + tech_9_1*TblTech[[#This Row],[9-1]])*spy_plat,0)</f>
        <v>500</v>
      </c>
      <c r="BS52" s="94">
        <f ca="1">ROUNDUP((1-MIN(ROUND(fh_spy_cost_red*TblMili[[#This Row],[FH''s]],4),fh_spy_cost_cap)+ tech_1_9*TblTech[[#This Row],[1-9]] + tech_9_1*TblTech[[#This Row],[9-1]])*archspy_plat,0)</f>
        <v>1000</v>
      </c>
      <c r="BT52" s="94">
        <f ca="1">ROUNDUP((1-MIN(ROUND(wg_wiz_cost_bonus*TblMili[[#This Row],[WG''s]],4),wg_wiz_cost_cap) + tech_1_9_2*TblTech[[#This Row],[1-9]] + tech_9_1_2*TblTech[[#This Row],[9-1]])*wizard_plat,0)</f>
        <v>500</v>
      </c>
      <c r="BU52" s="94">
        <f ca="1">ROUNDUP((1-MIN(ROUND(wg_wiz_cost_bonus*TblMili[[#This Row],[WG''s]],4),wg_wiz_cost_cap) + tech_1_9_2*TblTech[[#This Row],[1-9]] + tech_9_1_2*TblTech[[#This Row],[9-1]])*archmage_plat,0)</f>
        <v>1000</v>
      </c>
      <c r="BV52" s="142"/>
      <c r="BW52" s="157">
        <f ca="1">TblConstr[[#This Row],[Homeland]]/TblConstr[[#This Row],[Land]]</f>
        <v>0.81818181818181823</v>
      </c>
      <c r="BX52" s="157">
        <f ca="1">TblMili[[#This Row],[WG''s]]</f>
        <v>0</v>
      </c>
      <c r="BY52" s="251">
        <f ca="1">IF(mystic_cap="none",TblMili[[#This Row],[Homeland%]]/mystic_bonus,MIN(mystic_cap,TblMili[[#This Row],[Homeland%]]/mystic_bonus))</f>
        <v>2</v>
      </c>
      <c r="BZ52" s="251">
        <f ca="1">IF(druid_op_cap="none",TblMili[[#This Row],[Homeland%]]/druid_op_bonus,MIN(druid_op_cap,TblMili[[#This Row],[Homeland%]]/druid_op_bonus))</f>
        <v>2</v>
      </c>
      <c r="CA52" s="251">
        <f ca="1">IF(druid_dp_cap="none",TblMili[[#This Row],[Homeland%]]/druid_dp_bonus,MIN(druid_dp_cap,TblMili[[#This Row],[Homeland%]]/druid_dp_bonus))</f>
        <v>2</v>
      </c>
      <c r="CB52" s="251">
        <f ca="1">MIN(dryad_cap,TblMili[[#This Row],[Homeland%]]/dryad_bonus)</f>
        <v>4</v>
      </c>
      <c r="CC52" s="251">
        <f ca="1">MIN(rocka_cap,TblMili[[#This Row],[Homeland%]]/rocka_bonus)</f>
        <v>2</v>
      </c>
      <c r="CD52" s="251">
        <f ca="1">MIN(adept_op_cap,TblMili[[#This Row],[WG]]/adept_op_bonus)</f>
        <v>0</v>
      </c>
      <c r="CE52" s="251">
        <f ca="1">MIN(adept_dp_cap,TblMili[[#This Row],[WG]]/adept_dp_bonus)</f>
        <v>0</v>
      </c>
      <c r="CF52" s="94">
        <f ca="1">MIN(TblMili[[#This Row],[Unit 3]],TblMili[[#This Row],[Unit 2]])*2</f>
        <v>0</v>
      </c>
      <c r="CG52" s="94">
        <f ca="1">MIN(TblMili[[#This Row],[Unit 1]],TblMili[[#This Row],[Unit 4]])*2</f>
        <v>0</v>
      </c>
      <c r="CH52" s="251">
        <f ca="1">MIN(frost_mage_cap,TblMili[[#This Row],[Homeland%]]/frost_mage_bonus)</f>
        <v>3</v>
      </c>
      <c r="CI52" s="45">
        <f ca="1">MIN(ice_elem_cap,TblMili[[#This Row],[Raw (2)]]*ice_elem_bonus)</f>
        <v>0</v>
      </c>
      <c r="CJ52" s="251">
        <f t="shared" si="2"/>
        <v>0.83333333333333337</v>
      </c>
      <c r="CK52" s="251">
        <f ca="1">MIN(nox_nightshade_cap,TblConstr[[#This Row],[Homeland]]/TblConstr[[#This Row],[Land]]/nox_nightshade_swamp_bonus)</f>
        <v>4</v>
      </c>
      <c r="CL52" s="251">
        <f ca="1">MIN(TblConstr[[#This Row],[Total Swamp]]/TblConstr[[#This Row],[Land]]/abyss_enforce_bonus,abyss_enforcer_cap)</f>
        <v>0</v>
      </c>
      <c r="CM52" s="251">
        <f ca="1">IF(TblMagic[[#This Row],[Active Infernal Command]]&gt;0,TblMili[[#This Row],[Unit 1]]*infernal_cmd_op,0)</f>
        <v>0</v>
      </c>
      <c r="CN52" s="252"/>
      <c r="CO52" s="252"/>
      <c r="CP52" s="252"/>
      <c r="CQ52" s="251">
        <f ca="1">MIN(6,TblMili[[#This Row],[Mystic]]+Races!$F$19)*1.8 +  IF(TblMili[[#This Row],[Mystic]]+Races!$F$19&gt;6,(TblMili[[#This Row],[Mystic]]+Races!$F$19-6)*0.2,0) - Races!$I$19</f>
        <v>1</v>
      </c>
      <c r="CR5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2" s="94">
        <f ca="1">TblMili[[#This Row],[Mystic bonus]]*TblMili[[#This Row],[Unit 3]]+TblMili[[#This Row],[Druid bonus]]*TblMili[[#This Row],[Unit 4]]</f>
        <v>0</v>
      </c>
      <c r="CT52" s="155">
        <f ca="1">MIN(6,TblMili[[#This Row],[Dryad]]+Races!$F$35)*1.8 +  IF(TblMili[[#This Row],[Dryad]]+Races!$F$35&gt;6,(TblMili[[#This Row],[Dryad]]+Races!$F$35-6)*0.2,0) - Races!$I$19</f>
        <v>1</v>
      </c>
      <c r="CU52" s="94">
        <f ca="1">sylvan*(TblMili[[#This Row],[Mystic bonus]]*TblMili[[#This Row],[Unit 3]])</f>
        <v>0</v>
      </c>
      <c r="CV52" s="155">
        <f ca="1">1.8 * MIN(MAX(Races!$E$27,TblMili[[#This Row],[Rockapult]]+Races!$F$27),6)  +  0.45 * MIN(MIN(Races!$E$27,TblMili[[#This Row],[Rockapult]]+Races!$F$27),6)  +  0.2 * ( MAX(Races!$E$27-6,0) + MAX(TblMili[[#This Row],[Rockapult]]+Races!$F$27-6,0) )  -  Races!$I$20</f>
        <v>3.7000000000000011</v>
      </c>
      <c r="CW52" s="94">
        <f ca="1">gnome*(TblMili[[#This Row],[Rockapult bonus]]*TblMili[[#This Row],[Unit 3]])</f>
        <v>0</v>
      </c>
      <c r="CX5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2" s="94">
        <f ca="1">dark_elf*(TblMili[[#This Row],[Adept bonus]]*TblMili[[#This Row],[Unit 3]])</f>
        <v>0</v>
      </c>
      <c r="CZ52" s="155">
        <f ca="1">1.8 * MIN(MAX(TblMili[[#This Row],[Frost Mage]]+Races!$F$71,Races!$E$71),6)  +  0.45 * MIN(MIN(TblMili[[#This Row],[Frost Mage]]+Races!$F$71,Races!$E$71),6)  +  0.2 * ( MAX(TblMili[[#This Row],[Frost Mage]]+Races!$F$71-6,0) + MAX(Races!$E$71-6,0) )  -  Races!$I$71</f>
        <v>6.15</v>
      </c>
      <c r="DA52" s="155">
        <f ca="1">1.8 * MIN(MAX(TblMili[[#This Row],[Ice Elemental]]+Races!$E$71,Races!$F$71),6)  +  0.45 * MIN(MIN(TblMili[[#This Row],[Ice Elemental]]+Races!$E$71,Races!$F$71),6)  +  0.2 * ( MAX(TblMili[[#This Row],[Ice Elemental]]+Races!$E$71-6,0) + MAX(Races!$F$71-6,0) )  -  Races!$I$71</f>
        <v>0.75</v>
      </c>
      <c r="DB52" s="94">
        <f ca="1">TblMili[[#This Row],[Frost Mage bonus]]*TblMili[[#This Row],[Unit 3]]+TblMili[[#This Row],[Ice Elemental bonus]]*TblMili[[#This Row],[Unit 4]]</f>
        <v>0</v>
      </c>
      <c r="DC52" s="253"/>
      <c r="DD52" s="143">
        <f ca="1">MIN(SUM(TblConstr[[#This Row],[Plain]:[Water]])/TblMili[[#This Row],[Land]]/favorable_terrain_bonus/100,favorable_terrain_max)</f>
        <v>0.1</v>
      </c>
      <c r="DE52" s="253"/>
      <c r="DF5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2" s="142"/>
      <c r="DH52" s="254">
        <f ca="1">(TblMili[[#This Row],[Wizards]]+2*TblMili[[#This Row],[Archmages]])/TblConstr[[#This Row],[Land]]</f>
        <v>0</v>
      </c>
      <c r="DI52" s="254">
        <f ca="1">TblMili[[#This Row],[Raw (2)]]*(1+race_wizard_strength+IF(TblMili[[#This Row],[Hour]]&gt;72,tech_magical_weaponry_wiz*TblTech[[#This Row],[3-5]],0))</f>
        <v>0</v>
      </c>
    </row>
    <row r="53" spans="1:113" x14ac:dyDescent="0.2">
      <c r="A53" s="137">
        <f>TblRezone[[#This Row],[Hour]]</f>
        <v>50</v>
      </c>
      <c r="B53" s="246">
        <f ca="1">SUM(TblMili[[#This Row],[Unit 1]:[Archmages]])+SUM(OFFSET(TblMili[[#This Row],[Train Unit 1]],-8,0):TblMili[[#This Row],[Train Unit 2]]) + SUM(OFFSET(TblMili[[#This Row],[Train Unit 3]],-11,0):TblMili[[#This Row],[Train AM]]) + TblMili[[#This Row],[Draftees]]</f>
        <v>463</v>
      </c>
      <c r="C53" s="157">
        <f ca="1">TblPop[[#This Row],[Military%]]</f>
        <v>0.43029739776951675</v>
      </c>
      <c r="D53" s="142"/>
      <c r="E53" s="45">
        <f ca="1">OFFSET(TblMili[[#This Row],[Unit 1]],-1,0) + OFFSET(TblMili[[#This Row],[Train Unit 1]],-9,0) - TblMili[[#This Row],[Release Unit 1]] + OFFSET(TblMili[[#This Row],[DnD_Zombies]],-12,0)</f>
        <v>0</v>
      </c>
      <c r="F53" s="45">
        <f ca="1">OFFSET(TblMili[[#This Row],[Unit 2]],-1,0) + OFFSET(TblMili[[#This Row],[Train Unit 2]],-9,0)-TblMili[[#This Row],[Release Unit 2]]</f>
        <v>0</v>
      </c>
      <c r="G53" s="45">
        <f ca="1">OFFSET(TblMili[[#This Row],[Unit 3]],-1,0) + OFFSET(TblMili[[#This Row],[Train Unit 3]],-12,0)-TblMili[[#This Row],[Release Unit 3]]</f>
        <v>0</v>
      </c>
      <c r="H53" s="45">
        <f ca="1">OFFSET(TblMili[[#This Row],[Unit 4]],-1,0) + OFFSET(TblMili[[#This Row],[Train Unit 4]],-12,0)-TblMili[[#This Row],[Release Unit 4]]</f>
        <v>0</v>
      </c>
      <c r="I53" s="45">
        <f ca="1">OFFSET(TblMili[[#This Row],[Spies]],-1,0) + OFFSET(TblMili[[#This Row],[Train Spies]],-12,0) - TblMili[[#This Row],[Release Spies]]-TblMili[[#This Row],[Train AS]]</f>
        <v>0</v>
      </c>
      <c r="J53" s="45">
        <f ca="1">OFFSET(TblMili[[#This Row],[Archspies]],-1,0) + OFFSET(TblMili[[#This Row],[Train AS]],-12,0) - TblMili[[#This Row],[Release AS]]</f>
        <v>0</v>
      </c>
      <c r="K53" s="45">
        <f ca="1">OFFSET(TblMili[[#This Row],[Wizards]],-1,0) + OFFSET(TblMili[[#This Row],[Train Wiz]],-12,0) - TblMili[[#This Row],[Release Wizards]]-TblMili[[#This Row],[Train AM]]</f>
        <v>0</v>
      </c>
      <c r="L53" s="45">
        <f ca="1">OFFSET(TblMili[[#This Row],[Archmages]],-1,0) + OFFSET(TblMili[[#This Row],[Train AM]],-12,0) - TblMili[[#This Row],[Release AM]]</f>
        <v>0</v>
      </c>
      <c r="M53" s="142"/>
      <c r="N53" s="94">
        <f ca="1">TblProd[[#This Row],[Networth]]</f>
        <v>2450</v>
      </c>
      <c r="O53" s="142"/>
      <c r="P5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3" s="247">
        <f ca="1">TblMili[[#This Row],[Raw]]*(1+TblMili[[#This Row],[Mods_Off]])</f>
        <v>0</v>
      </c>
      <c r="S5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3" s="247">
        <f ca="1">TblMili[[#This Row],[Non Draft]]+TblMili[[#This Row],[Draftees]]</f>
        <v>463</v>
      </c>
      <c r="U53" s="248">
        <f ca="1">race_defense + TblImps[[#This Row],[Walls]] + ROUND( MIN(gt_bonus*TblConstr[[#This Row],[Tot GT]]/TblConstr[[#This Row],[Land]],gt_bonus_cap), 4) + IF(TblMagic[[#This Row],[Active Howling]]&gt;0,howling_dp_bonus,IF(TblMagic[[#This Row],[Active Ares Call]]&gt;0,ares_call_bonus))</f>
        <v>0</v>
      </c>
      <c r="V53" s="249">
        <f ca="1">TblMili[[#This Row],[Non Draft]] * (1 + TblMili[[#This Row],[Mods_Def]])</f>
        <v>0</v>
      </c>
      <c r="W53" s="247">
        <f ca="1">TblMili[[#This Row],[Draft]] * (1 + TblMili[[#This Row],[Mods_Def]])</f>
        <v>463</v>
      </c>
      <c r="X53" s="247">
        <f ca="1">TblConstr[[#This Row],[Land]]</f>
        <v>110</v>
      </c>
      <c r="Y53" s="250"/>
      <c r="Z53" s="255">
        <f ca="1">IF(TblMili[[#This Row],[Set]]&lt;&gt;"",TblMili[[#This Row],[Set]],OFFSET(TblMili[[#This Row],[Draftrate]],-1,0))</f>
        <v>0.9</v>
      </c>
      <c r="AA53" s="94">
        <f ca="1">OFFSET(TblMili[[#This Row],[Draftees]],-1,0)+OFFSET(TblPop[[#This Row],[Draft Growth]],-1,0) - SUM(TblMili[[#This Row],[Train Unit 1]:[Train Spies]],TblMili[[#This Row],[Train Wiz]],TblMili[[#This Row],[DnD_Zombies]]) - TblMili[[#This Row],[Release Draft]] + SUM(TblMili[[#This Row],[Release Unit 1]:[Release AM]]) - TblExplore[[#This Row],[Draftees (2)]]</f>
        <v>463</v>
      </c>
      <c r="AB53" s="154"/>
      <c r="AC53" s="180">
        <f ca="1">(TblConstr[[#This Row],[Tot Smi]]+TblConstr[[#This Row],[Dest Smi]])/(TblConstr[[#This Row],[Land]]-TblExplore[[#This Row],[Land Bonus]]*20)</f>
        <v>0</v>
      </c>
      <c r="AD53" s="137"/>
      <c r="AE53" s="246">
        <f>TblMili[[#This Row],[Hour]]</f>
        <v>50</v>
      </c>
      <c r="AF53" s="138">
        <f ca="1">TblExplore[[#This Row],[Time]]</f>
        <v>46049.041666666548</v>
      </c>
      <c r="AG53" s="158"/>
      <c r="AH53" s="179"/>
      <c r="AI53" s="158"/>
      <c r="AJ53" s="179"/>
      <c r="AK53" s="179"/>
      <c r="AL53" s="179"/>
      <c r="AM53" s="179"/>
      <c r="AN53" s="179"/>
      <c r="AO53" s="420">
        <f ca="1">ROUND(IF(AND(TblMagic[[#This Row],[Active DnD]]&lt;12,TblMagic[[#This Row],[Active DnD]]&gt;5),OFFSET(TblPop[[#This Row],[Draft Growth]],-1,0)*0.375,0),0)</f>
        <v>0</v>
      </c>
      <c r="AP53" s="142"/>
      <c r="AQ53" s="94">
        <f ca="1">TblProd[[#This Row],[Platinum]]</f>
        <v>134481</v>
      </c>
      <c r="AR53" s="94">
        <f ca="1">INDEX(TblProd[[#Headers],[Lumber]]:TblProd[[#This Row],[Ore]],COUNTA(TblProd[[#Headers],[Lumber]]:TblProd[[#This Row],[Lumber]]),MATCH(Military!$AR$2,TblProd[[#Headers],[Lumber]:[Ore]],0))</f>
        <v>0</v>
      </c>
      <c r="AS5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3" s="94">
        <f ca="1">TblMili[[#This Row],[Train Unit 1]]*TblMili[[#This Row],[OP Ore]]+TblMili[[#This Row],[Train Unit 2]]*TblMili[[#This Row],[DP Ore]]+TblMili[[#This Row],[Train Unit 3]]*TblMili[[#This Row],[E1 Ore]]+TblMili[[#This Row],[Train Unit 4]]*TblMili[[#This Row],[E2 Ore]]</f>
        <v>0</v>
      </c>
      <c r="AU53" s="142">
        <f>TblMili[[#This Row],[Hour]]</f>
        <v>50</v>
      </c>
      <c r="AV53" s="152">
        <f ca="1">TblMili[[#This Row],[Time]]</f>
        <v>46049.041666666548</v>
      </c>
      <c r="AW53" s="94">
        <f ca="1">TblMili[[#This Row],[Draftees]]</f>
        <v>463</v>
      </c>
      <c r="AX53" s="179"/>
      <c r="AY53" s="179"/>
      <c r="AZ53" s="179"/>
      <c r="BA53" s="179"/>
      <c r="BB53" s="179"/>
      <c r="BC53" s="179"/>
      <c r="BD53" s="179"/>
      <c r="BE53" s="179"/>
      <c r="BF53" s="179"/>
      <c r="BG53" s="142"/>
      <c r="BH53" s="157">
        <f ca="1">TblConstr[[#This Row],[Tot WG]]/TblConstr[[#This Row],[Land]]</f>
        <v>0</v>
      </c>
      <c r="BI53" s="157">
        <f ca="1">TblConstr[[#This Row],[Tot Hav]]/TblConstr[[#This Row],[Land]]</f>
        <v>0</v>
      </c>
      <c r="BJ53" s="94">
        <f ca="1">ROUNDUP((1-MIN(TblMili[[#This Row],[Smithies]]*smithy_bonus,smithy_bonus_cap) + tech_3_5*TblTech[[#This Row],[3-5]] + tech_5_3*TblTech[[#This Row],[5-3]] + tech_5_5*TblTech[[#This Row],[5-5]])*spec_op_plat,0)</f>
        <v>275</v>
      </c>
      <c r="BK53" s="94">
        <f ca="1">ROUNDUP(IF(race="Gnome",1,(1-MIN(TblMili[[#This Row],[Smithies]]*smithy_bonus,smithy_bonus_cap) + tech_3_5*TblTech[[#This Row],[3-5]] + tech_5_3*TblTech[[#This Row],[5-3]] + tech_5_5*TblTech[[#This Row],[5-5]]))*spec_op_ore,0)</f>
        <v>25</v>
      </c>
      <c r="BL53" s="94">
        <f ca="1">ROUNDUP((1-MIN(TblMili[[#This Row],[Smithies]]*smithy_bonus,smithy_bonus_cap) + tech_3_5*TblTech[[#This Row],[3-5]] + tech_5_3*TblTech[[#This Row],[5-3]] + tech_5_5*TblTech[[#This Row],[5-5]])*spec_dp_plat,0)</f>
        <v>275</v>
      </c>
      <c r="BM53" s="94">
        <f ca="1">ROUNDUP(IF(race="Gnome",1,(1-MIN(TblMili[[#This Row],[Smithies]]*smithy_bonus,smithy_bonus_cap) + tech_3_5*TblTech[[#This Row],[3-5]] + tech_5_3*TblTech[[#This Row],[5-3]] + tech_5_5*TblTech[[#This Row],[5-5]]))*spec_dp_ore,0)</f>
        <v>15</v>
      </c>
      <c r="BN53" s="94">
        <f ca="1">ROUNDUP((1-MIN(TblMili[[#This Row],[Smithies]]*smithy_bonus,smithy_bonus_cap) + tech_3_5*TblTech[[#This Row],[3-5]] + tech_5_3*TblTech[[#This Row],[5-3]] + tech_5_5*TblTech[[#This Row],[5-5]])*elite1_plat,0)</f>
        <v>1040</v>
      </c>
      <c r="BO53" s="94">
        <f ca="1">ROUNDUP(IF(race="Gnome",1,(1-MIN(TblMili[[#This Row],[Smithies]]*smithy_bonus,smithy_bonus_cap) + tech_3_5*TblTech[[#This Row],[3-5]] + tech_5_3*TblTech[[#This Row],[5-3]] + tech_5_5*TblTech[[#This Row],[5-5]]))*elite1_ore,0)</f>
        <v>75</v>
      </c>
      <c r="BP53" s="94">
        <f ca="1">ROUNDUP((1-MIN(TblMili[[#This Row],[Smithies]]*smithy_bonus,smithy_bonus_cap) + tech_3_5*TblTech[[#This Row],[3-5]] + tech_5_3*TblTech[[#This Row],[5-3]] + tech_5_5*TblTech[[#This Row],[5-5]])*elite2_plat,0)</f>
        <v>1280</v>
      </c>
      <c r="BQ53" s="94">
        <f ca="1">ROUNDUP(IF(race="Gnome",1,(1-MIN(TblMili[[#This Row],[Smithies]]*smithy_bonus,smithy_bonus_cap) + tech_3_5*TblTech[[#This Row],[3-5]] + tech_5_3*TblTech[[#This Row],[5-3]] + tech_5_5*TblTech[[#This Row],[5-5]]))*elite2_ore,0)</f>
        <v>100</v>
      </c>
      <c r="BR53" s="94">
        <f ca="1">ROUNDUP((1-MIN(ROUND(fh_spy_cost_red*TblMili[[#This Row],[FH''s]],4),fh_spy_cost_cap)+ tech_1_9*TblTech[[#This Row],[1-9]] + tech_9_1*TblTech[[#This Row],[9-1]])*spy_plat,0)</f>
        <v>500</v>
      </c>
      <c r="BS53" s="94">
        <f ca="1">ROUNDUP((1-MIN(ROUND(fh_spy_cost_red*TblMili[[#This Row],[FH''s]],4),fh_spy_cost_cap)+ tech_1_9*TblTech[[#This Row],[1-9]] + tech_9_1*TblTech[[#This Row],[9-1]])*archspy_plat,0)</f>
        <v>1000</v>
      </c>
      <c r="BT53" s="94">
        <f ca="1">ROUNDUP((1-MIN(ROUND(wg_wiz_cost_bonus*TblMili[[#This Row],[WG''s]],4),wg_wiz_cost_cap) + tech_1_9_2*TblTech[[#This Row],[1-9]] + tech_9_1_2*TblTech[[#This Row],[9-1]])*wizard_plat,0)</f>
        <v>500</v>
      </c>
      <c r="BU53" s="94">
        <f ca="1">ROUNDUP((1-MIN(ROUND(wg_wiz_cost_bonus*TblMili[[#This Row],[WG''s]],4),wg_wiz_cost_cap) + tech_1_9_2*TblTech[[#This Row],[1-9]] + tech_9_1_2*TblTech[[#This Row],[9-1]])*archmage_plat,0)</f>
        <v>1000</v>
      </c>
      <c r="BV53" s="142"/>
      <c r="BW53" s="157">
        <f ca="1">TblConstr[[#This Row],[Homeland]]/TblConstr[[#This Row],[Land]]</f>
        <v>0.81818181818181823</v>
      </c>
      <c r="BX53" s="157">
        <f ca="1">TblMili[[#This Row],[WG''s]]</f>
        <v>0</v>
      </c>
      <c r="BY53" s="251">
        <f ca="1">IF(mystic_cap="none",TblMili[[#This Row],[Homeland%]]/mystic_bonus,MIN(mystic_cap,TblMili[[#This Row],[Homeland%]]/mystic_bonus))</f>
        <v>2</v>
      </c>
      <c r="BZ53" s="251">
        <f ca="1">IF(druid_op_cap="none",TblMili[[#This Row],[Homeland%]]/druid_op_bonus,MIN(druid_op_cap,TblMili[[#This Row],[Homeland%]]/druid_op_bonus))</f>
        <v>2</v>
      </c>
      <c r="CA53" s="251">
        <f ca="1">IF(druid_dp_cap="none",TblMili[[#This Row],[Homeland%]]/druid_dp_bonus,MIN(druid_dp_cap,TblMili[[#This Row],[Homeland%]]/druid_dp_bonus))</f>
        <v>2</v>
      </c>
      <c r="CB53" s="251">
        <f ca="1">MIN(dryad_cap,TblMili[[#This Row],[Homeland%]]/dryad_bonus)</f>
        <v>4</v>
      </c>
      <c r="CC53" s="251">
        <f ca="1">MIN(rocka_cap,TblMili[[#This Row],[Homeland%]]/rocka_bonus)</f>
        <v>2</v>
      </c>
      <c r="CD53" s="251">
        <f ca="1">MIN(adept_op_cap,TblMili[[#This Row],[WG]]/adept_op_bonus)</f>
        <v>0</v>
      </c>
      <c r="CE53" s="251">
        <f ca="1">MIN(adept_dp_cap,TblMili[[#This Row],[WG]]/adept_dp_bonus)</f>
        <v>0</v>
      </c>
      <c r="CF53" s="94">
        <f ca="1">MIN(TblMili[[#This Row],[Unit 3]],TblMili[[#This Row],[Unit 2]])*2</f>
        <v>0</v>
      </c>
      <c r="CG53" s="94">
        <f ca="1">MIN(TblMili[[#This Row],[Unit 1]],TblMili[[#This Row],[Unit 4]])*2</f>
        <v>0</v>
      </c>
      <c r="CH53" s="251">
        <f ca="1">MIN(frost_mage_cap,TblMili[[#This Row],[Homeland%]]/frost_mage_bonus)</f>
        <v>3</v>
      </c>
      <c r="CI53" s="45">
        <f ca="1">MIN(ice_elem_cap,TblMili[[#This Row],[Raw (2)]]*ice_elem_bonus)</f>
        <v>0</v>
      </c>
      <c r="CJ53" s="251">
        <f t="shared" si="2"/>
        <v>0.83333333333333337</v>
      </c>
      <c r="CK53" s="251">
        <f ca="1">MIN(nox_nightshade_cap,TblConstr[[#This Row],[Homeland]]/TblConstr[[#This Row],[Land]]/nox_nightshade_swamp_bonus)</f>
        <v>4</v>
      </c>
      <c r="CL53" s="251">
        <f ca="1">MIN(TblConstr[[#This Row],[Total Swamp]]/TblConstr[[#This Row],[Land]]/abyss_enforce_bonus,abyss_enforcer_cap)</f>
        <v>0</v>
      </c>
      <c r="CM53" s="251">
        <f ca="1">IF(TblMagic[[#This Row],[Active Infernal Command]]&gt;0,TblMili[[#This Row],[Unit 1]]*infernal_cmd_op,0)</f>
        <v>0</v>
      </c>
      <c r="CN53" s="252"/>
      <c r="CO53" s="252"/>
      <c r="CP53" s="252"/>
      <c r="CQ53" s="251">
        <f ca="1">MIN(6,TblMili[[#This Row],[Mystic]]+Races!$F$19)*1.8 +  IF(TblMili[[#This Row],[Mystic]]+Races!$F$19&gt;6,(TblMili[[#This Row],[Mystic]]+Races!$F$19-6)*0.2,0) - Races!$I$19</f>
        <v>1</v>
      </c>
      <c r="CR5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3" s="94">
        <f ca="1">TblMili[[#This Row],[Mystic bonus]]*TblMili[[#This Row],[Unit 3]]+TblMili[[#This Row],[Druid bonus]]*TblMili[[#This Row],[Unit 4]]</f>
        <v>0</v>
      </c>
      <c r="CT53" s="155">
        <f ca="1">MIN(6,TblMili[[#This Row],[Dryad]]+Races!$F$35)*1.8 +  IF(TblMili[[#This Row],[Dryad]]+Races!$F$35&gt;6,(TblMili[[#This Row],[Dryad]]+Races!$F$35-6)*0.2,0) - Races!$I$19</f>
        <v>1</v>
      </c>
      <c r="CU53" s="94">
        <f ca="1">sylvan*(TblMili[[#This Row],[Mystic bonus]]*TblMili[[#This Row],[Unit 3]])</f>
        <v>0</v>
      </c>
      <c r="CV53" s="155">
        <f ca="1">1.8 * MIN(MAX(Races!$E$27,TblMili[[#This Row],[Rockapult]]+Races!$F$27),6)  +  0.45 * MIN(MIN(Races!$E$27,TblMili[[#This Row],[Rockapult]]+Races!$F$27),6)  +  0.2 * ( MAX(Races!$E$27-6,0) + MAX(TblMili[[#This Row],[Rockapult]]+Races!$F$27-6,0) )  -  Races!$I$20</f>
        <v>3.7000000000000011</v>
      </c>
      <c r="CW53" s="94">
        <f ca="1">gnome*(TblMili[[#This Row],[Rockapult bonus]]*TblMili[[#This Row],[Unit 3]])</f>
        <v>0</v>
      </c>
      <c r="CX5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3" s="94">
        <f ca="1">dark_elf*(TblMili[[#This Row],[Adept bonus]]*TblMili[[#This Row],[Unit 3]])</f>
        <v>0</v>
      </c>
      <c r="CZ53" s="155">
        <f ca="1">1.8 * MIN(MAX(TblMili[[#This Row],[Frost Mage]]+Races!$F$71,Races!$E$71),6)  +  0.45 * MIN(MIN(TblMili[[#This Row],[Frost Mage]]+Races!$F$71,Races!$E$71),6)  +  0.2 * ( MAX(TblMili[[#This Row],[Frost Mage]]+Races!$F$71-6,0) + MAX(Races!$E$71-6,0) )  -  Races!$I$71</f>
        <v>6.15</v>
      </c>
      <c r="DA53" s="155">
        <f ca="1">1.8 * MIN(MAX(TblMili[[#This Row],[Ice Elemental]]+Races!$E$71,Races!$F$71),6)  +  0.45 * MIN(MIN(TblMili[[#This Row],[Ice Elemental]]+Races!$E$71,Races!$F$71),6)  +  0.2 * ( MAX(TblMili[[#This Row],[Ice Elemental]]+Races!$E$71-6,0) + MAX(Races!$F$71-6,0) )  -  Races!$I$71</f>
        <v>0.75</v>
      </c>
      <c r="DB53" s="94">
        <f ca="1">TblMili[[#This Row],[Frost Mage bonus]]*TblMili[[#This Row],[Unit 3]]+TblMili[[#This Row],[Ice Elemental bonus]]*TblMili[[#This Row],[Unit 4]]</f>
        <v>0</v>
      </c>
      <c r="DC53" s="253"/>
      <c r="DD53" s="143">
        <f ca="1">MIN(SUM(TblConstr[[#This Row],[Plain]:[Water]])/TblMili[[#This Row],[Land]]/favorable_terrain_bonus/100,favorable_terrain_max)</f>
        <v>0.1</v>
      </c>
      <c r="DE53" s="253"/>
      <c r="DF5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3" s="142"/>
      <c r="DH53" s="254">
        <f ca="1">(TblMili[[#This Row],[Wizards]]+2*TblMili[[#This Row],[Archmages]])/TblConstr[[#This Row],[Land]]</f>
        <v>0</v>
      </c>
      <c r="DI53" s="254">
        <f ca="1">TblMili[[#This Row],[Raw (2)]]*(1+race_wizard_strength+IF(TblMili[[#This Row],[Hour]]&gt;72,tech_magical_weaponry_wiz*TblTech[[#This Row],[3-5]],0))</f>
        <v>0</v>
      </c>
    </row>
    <row r="54" spans="1:113" x14ac:dyDescent="0.2">
      <c r="A54" s="137">
        <f>TblRezone[[#This Row],[Hour]]</f>
        <v>51</v>
      </c>
      <c r="B54" s="246">
        <f ca="1">SUM(TblMili[[#This Row],[Unit 1]:[Archmages]])+SUM(OFFSET(TblMili[[#This Row],[Train Unit 1]],-8,0):TblMili[[#This Row],[Train Unit 2]]) + SUM(OFFSET(TblMili[[#This Row],[Train Unit 3]],-11,0):TblMili[[#This Row],[Train AM]]) + TblMili[[#This Row],[Draftees]]</f>
        <v>469</v>
      </c>
      <c r="C54" s="157">
        <f ca="1">TblPop[[#This Row],[Military%]]</f>
        <v>0.43587360594795538</v>
      </c>
      <c r="D54" s="142"/>
      <c r="E54" s="45">
        <f ca="1">OFFSET(TblMili[[#This Row],[Unit 1]],-1,0) + OFFSET(TblMili[[#This Row],[Train Unit 1]],-9,0) - TblMili[[#This Row],[Release Unit 1]] + OFFSET(TblMili[[#This Row],[DnD_Zombies]],-12,0)</f>
        <v>0</v>
      </c>
      <c r="F54" s="45">
        <f ca="1">OFFSET(TblMili[[#This Row],[Unit 2]],-1,0) + OFFSET(TblMili[[#This Row],[Train Unit 2]],-9,0)-TblMili[[#This Row],[Release Unit 2]]</f>
        <v>0</v>
      </c>
      <c r="G54" s="45">
        <f ca="1">OFFSET(TblMili[[#This Row],[Unit 3]],-1,0) + OFFSET(TblMili[[#This Row],[Train Unit 3]],-12,0)-TblMili[[#This Row],[Release Unit 3]]</f>
        <v>0</v>
      </c>
      <c r="H54" s="45">
        <f ca="1">OFFSET(TblMili[[#This Row],[Unit 4]],-1,0) + OFFSET(TblMili[[#This Row],[Train Unit 4]],-12,0)-TblMili[[#This Row],[Release Unit 4]]</f>
        <v>0</v>
      </c>
      <c r="I54" s="45">
        <f ca="1">OFFSET(TblMili[[#This Row],[Spies]],-1,0) + OFFSET(TblMili[[#This Row],[Train Spies]],-12,0) - TblMili[[#This Row],[Release Spies]]-TblMili[[#This Row],[Train AS]]</f>
        <v>0</v>
      </c>
      <c r="J54" s="45">
        <f ca="1">OFFSET(TblMili[[#This Row],[Archspies]],-1,0) + OFFSET(TblMili[[#This Row],[Train AS]],-12,0) - TblMili[[#This Row],[Release AS]]</f>
        <v>0</v>
      </c>
      <c r="K54" s="45">
        <f ca="1">OFFSET(TblMili[[#This Row],[Wizards]],-1,0) + OFFSET(TblMili[[#This Row],[Train Wiz]],-12,0) - TblMili[[#This Row],[Release Wizards]]-TblMili[[#This Row],[Train AM]]</f>
        <v>0</v>
      </c>
      <c r="L54" s="45">
        <f ca="1">OFFSET(TblMili[[#This Row],[Archmages]],-1,0) + OFFSET(TblMili[[#This Row],[Train AM]],-12,0) - TblMili[[#This Row],[Release AM]]</f>
        <v>0</v>
      </c>
      <c r="M54" s="142"/>
      <c r="N54" s="94">
        <f ca="1">TblProd[[#This Row],[Networth]]</f>
        <v>2450</v>
      </c>
      <c r="O54" s="142"/>
      <c r="P5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4" s="247">
        <f ca="1">TblMili[[#This Row],[Raw]]*(1+TblMili[[#This Row],[Mods_Off]])</f>
        <v>0</v>
      </c>
      <c r="S5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4" s="247">
        <f ca="1">TblMili[[#This Row],[Non Draft]]+TblMili[[#This Row],[Draftees]]</f>
        <v>469</v>
      </c>
      <c r="U54" s="248">
        <f ca="1">race_defense + TblImps[[#This Row],[Walls]] + ROUND( MIN(gt_bonus*TblConstr[[#This Row],[Tot GT]]/TblConstr[[#This Row],[Land]],gt_bonus_cap), 4) + IF(TblMagic[[#This Row],[Active Howling]]&gt;0,howling_dp_bonus,IF(TblMagic[[#This Row],[Active Ares Call]]&gt;0,ares_call_bonus))</f>
        <v>0</v>
      </c>
      <c r="V54" s="249">
        <f ca="1">TblMili[[#This Row],[Non Draft]] * (1 + TblMili[[#This Row],[Mods_Def]])</f>
        <v>0</v>
      </c>
      <c r="W54" s="247">
        <f ca="1">TblMili[[#This Row],[Draft]] * (1 + TblMili[[#This Row],[Mods_Def]])</f>
        <v>469</v>
      </c>
      <c r="X54" s="247">
        <f ca="1">TblConstr[[#This Row],[Land]]</f>
        <v>110</v>
      </c>
      <c r="Y54" s="250"/>
      <c r="Z54" s="255">
        <f ca="1">IF(TblMili[[#This Row],[Set]]&lt;&gt;"",TblMili[[#This Row],[Set]],OFFSET(TblMili[[#This Row],[Draftrate]],-1,0))</f>
        <v>0.9</v>
      </c>
      <c r="AA54" s="94">
        <f ca="1">OFFSET(TblMili[[#This Row],[Draftees]],-1,0)+OFFSET(TblPop[[#This Row],[Draft Growth]],-1,0) - SUM(TblMili[[#This Row],[Train Unit 1]:[Train Spies]],TblMili[[#This Row],[Train Wiz]],TblMili[[#This Row],[DnD_Zombies]]) - TblMili[[#This Row],[Release Draft]] + SUM(TblMili[[#This Row],[Release Unit 1]:[Release AM]]) - TblExplore[[#This Row],[Draftees (2)]]</f>
        <v>469</v>
      </c>
      <c r="AB54" s="154"/>
      <c r="AC54" s="180">
        <f ca="1">(TblConstr[[#This Row],[Tot Smi]]+TblConstr[[#This Row],[Dest Smi]])/(TblConstr[[#This Row],[Land]]-TblExplore[[#This Row],[Land Bonus]]*20)</f>
        <v>0</v>
      </c>
      <c r="AD54" s="137"/>
      <c r="AE54" s="246">
        <f>TblMili[[#This Row],[Hour]]</f>
        <v>51</v>
      </c>
      <c r="AF54" s="138">
        <f ca="1">TblExplore[[#This Row],[Time]]</f>
        <v>46049.083333333212</v>
      </c>
      <c r="AG54" s="179"/>
      <c r="AH54" s="179"/>
      <c r="AI54" s="179"/>
      <c r="AJ54" s="179"/>
      <c r="AK54" s="179"/>
      <c r="AL54" s="179"/>
      <c r="AM54" s="179"/>
      <c r="AN54" s="179"/>
      <c r="AO54" s="420">
        <f ca="1">ROUND(IF(AND(TblMagic[[#This Row],[Active DnD]]&lt;12,TblMagic[[#This Row],[Active DnD]]&gt;5),OFFSET(TblPop[[#This Row],[Draft Growth]],-1,0)*0.375,0),0)</f>
        <v>0</v>
      </c>
      <c r="AP54" s="142"/>
      <c r="AQ54" s="94">
        <f ca="1">TblProd[[#This Row],[Platinum]]</f>
        <v>136136</v>
      </c>
      <c r="AR54" s="94">
        <f ca="1">INDEX(TblProd[[#Headers],[Lumber]]:TblProd[[#This Row],[Ore]],COUNTA(TblProd[[#Headers],[Lumber]]:TblProd[[#This Row],[Lumber]]),MATCH(Military!$AR$2,TblProd[[#Headers],[Lumber]:[Ore]],0))</f>
        <v>0</v>
      </c>
      <c r="AS5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4" s="94">
        <f ca="1">TblMili[[#This Row],[Train Unit 1]]*TblMili[[#This Row],[OP Ore]]+TblMili[[#This Row],[Train Unit 2]]*TblMili[[#This Row],[DP Ore]]+TblMili[[#This Row],[Train Unit 3]]*TblMili[[#This Row],[E1 Ore]]+TblMili[[#This Row],[Train Unit 4]]*TblMili[[#This Row],[E2 Ore]]</f>
        <v>0</v>
      </c>
      <c r="AU54" s="142">
        <f>TblMili[[#This Row],[Hour]]</f>
        <v>51</v>
      </c>
      <c r="AV54" s="152">
        <f ca="1">TblMili[[#This Row],[Time]]</f>
        <v>46049.083333333212</v>
      </c>
      <c r="AW54" s="94">
        <f ca="1">TblMili[[#This Row],[Draftees]]</f>
        <v>469</v>
      </c>
      <c r="AX54" s="179"/>
      <c r="AY54" s="179"/>
      <c r="AZ54" s="179"/>
      <c r="BA54" s="179"/>
      <c r="BB54" s="179"/>
      <c r="BC54" s="179"/>
      <c r="BD54" s="179"/>
      <c r="BE54" s="179"/>
      <c r="BF54" s="179"/>
      <c r="BG54" s="142"/>
      <c r="BH54" s="157">
        <f ca="1">TblConstr[[#This Row],[Tot WG]]/TblConstr[[#This Row],[Land]]</f>
        <v>0</v>
      </c>
      <c r="BI54" s="157">
        <f ca="1">TblConstr[[#This Row],[Tot Hav]]/TblConstr[[#This Row],[Land]]</f>
        <v>0</v>
      </c>
      <c r="BJ54" s="94">
        <f ca="1">ROUNDUP((1-MIN(TblMili[[#This Row],[Smithies]]*smithy_bonus,smithy_bonus_cap) + tech_3_5*TblTech[[#This Row],[3-5]] + tech_5_3*TblTech[[#This Row],[5-3]] + tech_5_5*TblTech[[#This Row],[5-5]])*spec_op_plat,0)</f>
        <v>275</v>
      </c>
      <c r="BK54" s="94">
        <f ca="1">ROUNDUP(IF(race="Gnome",1,(1-MIN(TblMili[[#This Row],[Smithies]]*smithy_bonus,smithy_bonus_cap) + tech_3_5*TblTech[[#This Row],[3-5]] + tech_5_3*TblTech[[#This Row],[5-3]] + tech_5_5*TblTech[[#This Row],[5-5]]))*spec_op_ore,0)</f>
        <v>25</v>
      </c>
      <c r="BL54" s="94">
        <f ca="1">ROUNDUP((1-MIN(TblMili[[#This Row],[Smithies]]*smithy_bonus,smithy_bonus_cap) + tech_3_5*TblTech[[#This Row],[3-5]] + tech_5_3*TblTech[[#This Row],[5-3]] + tech_5_5*TblTech[[#This Row],[5-5]])*spec_dp_plat,0)</f>
        <v>275</v>
      </c>
      <c r="BM54" s="94">
        <f ca="1">ROUNDUP(IF(race="Gnome",1,(1-MIN(TblMili[[#This Row],[Smithies]]*smithy_bonus,smithy_bonus_cap) + tech_3_5*TblTech[[#This Row],[3-5]] + tech_5_3*TblTech[[#This Row],[5-3]] + tech_5_5*TblTech[[#This Row],[5-5]]))*spec_dp_ore,0)</f>
        <v>15</v>
      </c>
      <c r="BN54" s="94">
        <f ca="1">ROUNDUP((1-MIN(TblMili[[#This Row],[Smithies]]*smithy_bonus,smithy_bonus_cap) + tech_3_5*TblTech[[#This Row],[3-5]] + tech_5_3*TblTech[[#This Row],[5-3]] + tech_5_5*TblTech[[#This Row],[5-5]])*elite1_plat,0)</f>
        <v>1040</v>
      </c>
      <c r="BO54" s="94">
        <f ca="1">ROUNDUP(IF(race="Gnome",1,(1-MIN(TblMili[[#This Row],[Smithies]]*smithy_bonus,smithy_bonus_cap) + tech_3_5*TblTech[[#This Row],[3-5]] + tech_5_3*TblTech[[#This Row],[5-3]] + tech_5_5*TblTech[[#This Row],[5-5]]))*elite1_ore,0)</f>
        <v>75</v>
      </c>
      <c r="BP54" s="94">
        <f ca="1">ROUNDUP((1-MIN(TblMili[[#This Row],[Smithies]]*smithy_bonus,smithy_bonus_cap) + tech_3_5*TblTech[[#This Row],[3-5]] + tech_5_3*TblTech[[#This Row],[5-3]] + tech_5_5*TblTech[[#This Row],[5-5]])*elite2_plat,0)</f>
        <v>1280</v>
      </c>
      <c r="BQ54" s="94">
        <f ca="1">ROUNDUP(IF(race="Gnome",1,(1-MIN(TblMili[[#This Row],[Smithies]]*smithy_bonus,smithy_bonus_cap) + tech_3_5*TblTech[[#This Row],[3-5]] + tech_5_3*TblTech[[#This Row],[5-3]] + tech_5_5*TblTech[[#This Row],[5-5]]))*elite2_ore,0)</f>
        <v>100</v>
      </c>
      <c r="BR54" s="94">
        <f ca="1">ROUNDUP((1-MIN(ROUND(fh_spy_cost_red*TblMili[[#This Row],[FH''s]],4),fh_spy_cost_cap)+ tech_1_9*TblTech[[#This Row],[1-9]] + tech_9_1*TblTech[[#This Row],[9-1]])*spy_plat,0)</f>
        <v>500</v>
      </c>
      <c r="BS54" s="94">
        <f ca="1">ROUNDUP((1-MIN(ROUND(fh_spy_cost_red*TblMili[[#This Row],[FH''s]],4),fh_spy_cost_cap)+ tech_1_9*TblTech[[#This Row],[1-9]] + tech_9_1*TblTech[[#This Row],[9-1]])*archspy_plat,0)</f>
        <v>1000</v>
      </c>
      <c r="BT54" s="94">
        <f ca="1">ROUNDUP((1-MIN(ROUND(wg_wiz_cost_bonus*TblMili[[#This Row],[WG''s]],4),wg_wiz_cost_cap) + tech_1_9_2*TblTech[[#This Row],[1-9]] + tech_9_1_2*TblTech[[#This Row],[9-1]])*wizard_plat,0)</f>
        <v>500</v>
      </c>
      <c r="BU54" s="94">
        <f ca="1">ROUNDUP((1-MIN(ROUND(wg_wiz_cost_bonus*TblMili[[#This Row],[WG''s]],4),wg_wiz_cost_cap) + tech_1_9_2*TblTech[[#This Row],[1-9]] + tech_9_1_2*TblTech[[#This Row],[9-1]])*archmage_plat,0)</f>
        <v>1000</v>
      </c>
      <c r="BV54" s="142"/>
      <c r="BW54" s="157">
        <f ca="1">TblConstr[[#This Row],[Homeland]]/TblConstr[[#This Row],[Land]]</f>
        <v>0.81818181818181823</v>
      </c>
      <c r="BX54" s="157">
        <f ca="1">TblMili[[#This Row],[WG''s]]</f>
        <v>0</v>
      </c>
      <c r="BY54" s="251">
        <f ca="1">IF(mystic_cap="none",TblMili[[#This Row],[Homeland%]]/mystic_bonus,MIN(mystic_cap,TblMili[[#This Row],[Homeland%]]/mystic_bonus))</f>
        <v>2</v>
      </c>
      <c r="BZ54" s="251">
        <f ca="1">IF(druid_op_cap="none",TblMili[[#This Row],[Homeland%]]/druid_op_bonus,MIN(druid_op_cap,TblMili[[#This Row],[Homeland%]]/druid_op_bonus))</f>
        <v>2</v>
      </c>
      <c r="CA54" s="251">
        <f ca="1">IF(druid_dp_cap="none",TblMili[[#This Row],[Homeland%]]/druid_dp_bonus,MIN(druid_dp_cap,TblMili[[#This Row],[Homeland%]]/druid_dp_bonus))</f>
        <v>2</v>
      </c>
      <c r="CB54" s="251">
        <f ca="1">MIN(dryad_cap,TblMili[[#This Row],[Homeland%]]/dryad_bonus)</f>
        <v>4</v>
      </c>
      <c r="CC54" s="251">
        <f ca="1">MIN(rocka_cap,TblMili[[#This Row],[Homeland%]]/rocka_bonus)</f>
        <v>2</v>
      </c>
      <c r="CD54" s="251">
        <f ca="1">MIN(adept_op_cap,TblMili[[#This Row],[WG]]/adept_op_bonus)</f>
        <v>0</v>
      </c>
      <c r="CE54" s="251">
        <f ca="1">MIN(adept_dp_cap,TblMili[[#This Row],[WG]]/adept_dp_bonus)</f>
        <v>0</v>
      </c>
      <c r="CF54" s="94">
        <f ca="1">MIN(TblMili[[#This Row],[Unit 3]],TblMili[[#This Row],[Unit 2]])*2</f>
        <v>0</v>
      </c>
      <c r="CG54" s="94">
        <f ca="1">MIN(TblMili[[#This Row],[Unit 1]],TblMili[[#This Row],[Unit 4]])*2</f>
        <v>0</v>
      </c>
      <c r="CH54" s="251">
        <f ca="1">MIN(frost_mage_cap,TblMili[[#This Row],[Homeland%]]/frost_mage_bonus)</f>
        <v>3</v>
      </c>
      <c r="CI54" s="45">
        <f ca="1">MIN(ice_elem_cap,TblMili[[#This Row],[Raw (2)]]*ice_elem_bonus)</f>
        <v>0</v>
      </c>
      <c r="CJ54" s="251">
        <f t="shared" si="2"/>
        <v>0.83333333333333337</v>
      </c>
      <c r="CK54" s="251">
        <f ca="1">MIN(nox_nightshade_cap,TblConstr[[#This Row],[Homeland]]/TblConstr[[#This Row],[Land]]/nox_nightshade_swamp_bonus)</f>
        <v>4</v>
      </c>
      <c r="CL54" s="251">
        <f ca="1">MIN(TblConstr[[#This Row],[Total Swamp]]/TblConstr[[#This Row],[Land]]/abyss_enforce_bonus,abyss_enforcer_cap)</f>
        <v>0</v>
      </c>
      <c r="CM54" s="251">
        <f ca="1">IF(TblMagic[[#This Row],[Active Infernal Command]]&gt;0,TblMili[[#This Row],[Unit 1]]*infernal_cmd_op,0)</f>
        <v>0</v>
      </c>
      <c r="CN54" s="252"/>
      <c r="CO54" s="252"/>
      <c r="CP54" s="252"/>
      <c r="CQ54" s="251">
        <f ca="1">MIN(6,TblMili[[#This Row],[Mystic]]+Races!$F$19)*1.8 +  IF(TblMili[[#This Row],[Mystic]]+Races!$F$19&gt;6,(TblMili[[#This Row],[Mystic]]+Races!$F$19-6)*0.2,0) - Races!$I$19</f>
        <v>1</v>
      </c>
      <c r="CR5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4" s="94">
        <f ca="1">TblMili[[#This Row],[Mystic bonus]]*TblMili[[#This Row],[Unit 3]]+TblMili[[#This Row],[Druid bonus]]*TblMili[[#This Row],[Unit 4]]</f>
        <v>0</v>
      </c>
      <c r="CT54" s="155">
        <f ca="1">MIN(6,TblMili[[#This Row],[Dryad]]+Races!$F$35)*1.8 +  IF(TblMili[[#This Row],[Dryad]]+Races!$F$35&gt;6,(TblMili[[#This Row],[Dryad]]+Races!$F$35-6)*0.2,0) - Races!$I$19</f>
        <v>1</v>
      </c>
      <c r="CU54" s="94">
        <f ca="1">sylvan*(TblMili[[#This Row],[Mystic bonus]]*TblMili[[#This Row],[Unit 3]])</f>
        <v>0</v>
      </c>
      <c r="CV54" s="155">
        <f ca="1">1.8 * MIN(MAX(Races!$E$27,TblMili[[#This Row],[Rockapult]]+Races!$F$27),6)  +  0.45 * MIN(MIN(Races!$E$27,TblMili[[#This Row],[Rockapult]]+Races!$F$27),6)  +  0.2 * ( MAX(Races!$E$27-6,0) + MAX(TblMili[[#This Row],[Rockapult]]+Races!$F$27-6,0) )  -  Races!$I$20</f>
        <v>3.7000000000000011</v>
      </c>
      <c r="CW54" s="94">
        <f ca="1">gnome*(TblMili[[#This Row],[Rockapult bonus]]*TblMili[[#This Row],[Unit 3]])</f>
        <v>0</v>
      </c>
      <c r="CX5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4" s="94">
        <f ca="1">dark_elf*(TblMili[[#This Row],[Adept bonus]]*TblMili[[#This Row],[Unit 3]])</f>
        <v>0</v>
      </c>
      <c r="CZ54" s="155">
        <f ca="1">1.8 * MIN(MAX(TblMili[[#This Row],[Frost Mage]]+Races!$F$71,Races!$E$71),6)  +  0.45 * MIN(MIN(TblMili[[#This Row],[Frost Mage]]+Races!$F$71,Races!$E$71),6)  +  0.2 * ( MAX(TblMili[[#This Row],[Frost Mage]]+Races!$F$71-6,0) + MAX(Races!$E$71-6,0) )  -  Races!$I$71</f>
        <v>6.15</v>
      </c>
      <c r="DA54" s="155">
        <f ca="1">1.8 * MIN(MAX(TblMili[[#This Row],[Ice Elemental]]+Races!$E$71,Races!$F$71),6)  +  0.45 * MIN(MIN(TblMili[[#This Row],[Ice Elemental]]+Races!$E$71,Races!$F$71),6)  +  0.2 * ( MAX(TblMili[[#This Row],[Ice Elemental]]+Races!$E$71-6,0) + MAX(Races!$F$71-6,0) )  -  Races!$I$71</f>
        <v>0.75</v>
      </c>
      <c r="DB54" s="94">
        <f ca="1">TblMili[[#This Row],[Frost Mage bonus]]*TblMili[[#This Row],[Unit 3]]+TblMili[[#This Row],[Ice Elemental bonus]]*TblMili[[#This Row],[Unit 4]]</f>
        <v>0</v>
      </c>
      <c r="DC54" s="253"/>
      <c r="DD54" s="143">
        <f ca="1">MIN(SUM(TblConstr[[#This Row],[Plain]:[Water]])/TblMili[[#This Row],[Land]]/favorable_terrain_bonus/100,favorable_terrain_max)</f>
        <v>0.1</v>
      </c>
      <c r="DE54" s="253"/>
      <c r="DF5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4" s="142"/>
      <c r="DH54" s="254">
        <f ca="1">(TblMili[[#This Row],[Wizards]]+2*TblMili[[#This Row],[Archmages]])/TblConstr[[#This Row],[Land]]</f>
        <v>0</v>
      </c>
      <c r="DI54" s="254">
        <f ca="1">TblMili[[#This Row],[Raw (2)]]*(1+race_wizard_strength+IF(TblMili[[#This Row],[Hour]]&gt;72,tech_magical_weaponry_wiz*TblTech[[#This Row],[3-5]],0))</f>
        <v>0</v>
      </c>
    </row>
    <row r="55" spans="1:113" x14ac:dyDescent="0.2">
      <c r="A55" s="137">
        <f>TblRezone[[#This Row],[Hour]]</f>
        <v>52</v>
      </c>
      <c r="B55" s="246">
        <f ca="1">SUM(TblMili[[#This Row],[Unit 1]:[Archmages]])+SUM(OFFSET(TblMili[[#This Row],[Train Unit 1]],-8,0):TblMili[[#This Row],[Train Unit 2]]) + SUM(OFFSET(TblMili[[#This Row],[Train Unit 3]],-11,0):TblMili[[#This Row],[Train AM]]) + TblMili[[#This Row],[Draftees]]</f>
        <v>475</v>
      </c>
      <c r="C55" s="157">
        <f ca="1">TblPop[[#This Row],[Military%]]</f>
        <v>0.44144981412639406</v>
      </c>
      <c r="D55" s="142"/>
      <c r="E55" s="45">
        <f ca="1">OFFSET(TblMili[[#This Row],[Unit 1]],-1,0) + OFFSET(TblMili[[#This Row],[Train Unit 1]],-9,0) - TblMili[[#This Row],[Release Unit 1]] + OFFSET(TblMili[[#This Row],[DnD_Zombies]],-12,0)</f>
        <v>0</v>
      </c>
      <c r="F55" s="45">
        <f ca="1">OFFSET(TblMili[[#This Row],[Unit 2]],-1,0) + OFFSET(TblMili[[#This Row],[Train Unit 2]],-9,0)-TblMili[[#This Row],[Release Unit 2]]</f>
        <v>0</v>
      </c>
      <c r="G55" s="45">
        <f ca="1">OFFSET(TblMili[[#This Row],[Unit 3]],-1,0) + OFFSET(TblMili[[#This Row],[Train Unit 3]],-12,0)-TblMili[[#This Row],[Release Unit 3]]</f>
        <v>0</v>
      </c>
      <c r="H55" s="45">
        <f ca="1">OFFSET(TblMili[[#This Row],[Unit 4]],-1,0) + OFFSET(TblMili[[#This Row],[Train Unit 4]],-12,0)-TblMili[[#This Row],[Release Unit 4]]</f>
        <v>0</v>
      </c>
      <c r="I55" s="45">
        <f ca="1">OFFSET(TblMili[[#This Row],[Spies]],-1,0) + OFFSET(TblMili[[#This Row],[Train Spies]],-12,0) - TblMili[[#This Row],[Release Spies]]-TblMili[[#This Row],[Train AS]]</f>
        <v>0</v>
      </c>
      <c r="J55" s="45">
        <f ca="1">OFFSET(TblMili[[#This Row],[Archspies]],-1,0) + OFFSET(TblMili[[#This Row],[Train AS]],-12,0) - TblMili[[#This Row],[Release AS]]</f>
        <v>0</v>
      </c>
      <c r="K55" s="45">
        <f ca="1">OFFSET(TblMili[[#This Row],[Wizards]],-1,0) + OFFSET(TblMili[[#This Row],[Train Wiz]],-12,0) - TblMili[[#This Row],[Release Wizards]]-TblMili[[#This Row],[Train AM]]</f>
        <v>0</v>
      </c>
      <c r="L55" s="45">
        <f ca="1">OFFSET(TblMili[[#This Row],[Archmages]],-1,0) + OFFSET(TblMili[[#This Row],[Train AM]],-12,0) - TblMili[[#This Row],[Release AM]]</f>
        <v>0</v>
      </c>
      <c r="M55" s="142"/>
      <c r="N55" s="94">
        <f ca="1">TblProd[[#This Row],[Networth]]</f>
        <v>2450</v>
      </c>
      <c r="O55" s="142"/>
      <c r="P5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5" s="247">
        <f ca="1">TblMili[[#This Row],[Raw]]*(1+TblMili[[#This Row],[Mods_Off]])</f>
        <v>0</v>
      </c>
      <c r="S5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5" s="247">
        <f ca="1">TblMili[[#This Row],[Non Draft]]+TblMili[[#This Row],[Draftees]]</f>
        <v>475</v>
      </c>
      <c r="U55" s="248">
        <f ca="1">race_defense + TblImps[[#This Row],[Walls]] + ROUND( MIN(gt_bonus*TblConstr[[#This Row],[Tot GT]]/TblConstr[[#This Row],[Land]],gt_bonus_cap), 4) + IF(TblMagic[[#This Row],[Active Howling]]&gt;0,howling_dp_bonus,IF(TblMagic[[#This Row],[Active Ares Call]]&gt;0,ares_call_bonus))</f>
        <v>0</v>
      </c>
      <c r="V55" s="249">
        <f ca="1">TblMili[[#This Row],[Non Draft]] * (1 + TblMili[[#This Row],[Mods_Def]])</f>
        <v>0</v>
      </c>
      <c r="W55" s="247">
        <f ca="1">TblMili[[#This Row],[Draft]] * (1 + TblMili[[#This Row],[Mods_Def]])</f>
        <v>475</v>
      </c>
      <c r="X55" s="247">
        <f ca="1">TblConstr[[#This Row],[Land]]</f>
        <v>110</v>
      </c>
      <c r="Y55" s="250"/>
      <c r="Z55" s="255">
        <f ca="1">IF(TblMili[[#This Row],[Set]]&lt;&gt;"",TblMili[[#This Row],[Set]],OFFSET(TblMili[[#This Row],[Draftrate]],-1,0))</f>
        <v>0.9</v>
      </c>
      <c r="AA55" s="94">
        <f ca="1">OFFSET(TblMili[[#This Row],[Draftees]],-1,0)+OFFSET(TblPop[[#This Row],[Draft Growth]],-1,0) - SUM(TblMili[[#This Row],[Train Unit 1]:[Train Spies]],TblMili[[#This Row],[Train Wiz]],TblMili[[#This Row],[DnD_Zombies]]) - TblMili[[#This Row],[Release Draft]] + SUM(TblMili[[#This Row],[Release Unit 1]:[Release AM]]) - TblExplore[[#This Row],[Draftees (2)]]</f>
        <v>475</v>
      </c>
      <c r="AB55" s="154"/>
      <c r="AC55" s="180">
        <f ca="1">(TblConstr[[#This Row],[Tot Smi]]+TblConstr[[#This Row],[Dest Smi]])/(TblConstr[[#This Row],[Land]]-TblExplore[[#This Row],[Land Bonus]]*20)</f>
        <v>0</v>
      </c>
      <c r="AD55" s="137"/>
      <c r="AE55" s="246">
        <f>TblMili[[#This Row],[Hour]]</f>
        <v>52</v>
      </c>
      <c r="AF55" s="138">
        <f ca="1">TblExplore[[#This Row],[Time]]</f>
        <v>46049.124999999876</v>
      </c>
      <c r="AG55" s="179"/>
      <c r="AH55" s="179"/>
      <c r="AI55" s="179"/>
      <c r="AJ55" s="179"/>
      <c r="AK55" s="179"/>
      <c r="AL55" s="179"/>
      <c r="AM55" s="179"/>
      <c r="AN55" s="179"/>
      <c r="AO55" s="420">
        <f ca="1">ROUND(IF(AND(TblMagic[[#This Row],[Active DnD]]&lt;12,TblMagic[[#This Row],[Active DnD]]&gt;5),OFFSET(TblPop[[#This Row],[Draft Growth]],-1,0)*0.375,0),0)</f>
        <v>0</v>
      </c>
      <c r="AP55" s="142"/>
      <c r="AQ55" s="94">
        <f ca="1">TblProd[[#This Row],[Platinum]]</f>
        <v>137774</v>
      </c>
      <c r="AR55" s="94">
        <f ca="1">INDEX(TblProd[[#Headers],[Lumber]]:TblProd[[#This Row],[Ore]],COUNTA(TblProd[[#Headers],[Lumber]]:TblProd[[#This Row],[Lumber]]),MATCH(Military!$AR$2,TblProd[[#Headers],[Lumber]:[Ore]],0))</f>
        <v>0</v>
      </c>
      <c r="AS5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5" s="94">
        <f ca="1">TblMili[[#This Row],[Train Unit 1]]*TblMili[[#This Row],[OP Ore]]+TblMili[[#This Row],[Train Unit 2]]*TblMili[[#This Row],[DP Ore]]+TblMili[[#This Row],[Train Unit 3]]*TblMili[[#This Row],[E1 Ore]]+TblMili[[#This Row],[Train Unit 4]]*TblMili[[#This Row],[E2 Ore]]</f>
        <v>0</v>
      </c>
      <c r="AU55" s="142">
        <f>TblMili[[#This Row],[Hour]]</f>
        <v>52</v>
      </c>
      <c r="AV55" s="152">
        <f ca="1">TblMili[[#This Row],[Time]]</f>
        <v>46049.124999999876</v>
      </c>
      <c r="AW55" s="94">
        <f ca="1">TblMili[[#This Row],[Draftees]]</f>
        <v>475</v>
      </c>
      <c r="AX55" s="179"/>
      <c r="AY55" s="179"/>
      <c r="AZ55" s="179"/>
      <c r="BA55" s="179"/>
      <c r="BB55" s="179"/>
      <c r="BC55" s="179"/>
      <c r="BD55" s="179"/>
      <c r="BE55" s="179"/>
      <c r="BF55" s="179"/>
      <c r="BG55" s="142"/>
      <c r="BH55" s="157">
        <f ca="1">TblConstr[[#This Row],[Tot WG]]/TblConstr[[#This Row],[Land]]</f>
        <v>0</v>
      </c>
      <c r="BI55" s="157">
        <f ca="1">TblConstr[[#This Row],[Tot Hav]]/TblConstr[[#This Row],[Land]]</f>
        <v>0</v>
      </c>
      <c r="BJ55" s="94">
        <f ca="1">ROUNDUP((1-MIN(TblMili[[#This Row],[Smithies]]*smithy_bonus,smithy_bonus_cap) + tech_3_5*TblTech[[#This Row],[3-5]] + tech_5_3*TblTech[[#This Row],[5-3]] + tech_5_5*TblTech[[#This Row],[5-5]])*spec_op_plat,0)</f>
        <v>275</v>
      </c>
      <c r="BK55" s="94">
        <f ca="1">ROUNDUP(IF(race="Gnome",1,(1-MIN(TblMili[[#This Row],[Smithies]]*smithy_bonus,smithy_bonus_cap) + tech_3_5*TblTech[[#This Row],[3-5]] + tech_5_3*TblTech[[#This Row],[5-3]] + tech_5_5*TblTech[[#This Row],[5-5]]))*spec_op_ore,0)</f>
        <v>25</v>
      </c>
      <c r="BL55" s="94">
        <f ca="1">ROUNDUP((1-MIN(TblMili[[#This Row],[Smithies]]*smithy_bonus,smithy_bonus_cap) + tech_3_5*TblTech[[#This Row],[3-5]] + tech_5_3*TblTech[[#This Row],[5-3]] + tech_5_5*TblTech[[#This Row],[5-5]])*spec_dp_plat,0)</f>
        <v>275</v>
      </c>
      <c r="BM55" s="94">
        <f ca="1">ROUNDUP(IF(race="Gnome",1,(1-MIN(TblMili[[#This Row],[Smithies]]*smithy_bonus,smithy_bonus_cap) + tech_3_5*TblTech[[#This Row],[3-5]] + tech_5_3*TblTech[[#This Row],[5-3]] + tech_5_5*TblTech[[#This Row],[5-5]]))*spec_dp_ore,0)</f>
        <v>15</v>
      </c>
      <c r="BN55" s="94">
        <f ca="1">ROUNDUP((1-MIN(TblMili[[#This Row],[Smithies]]*smithy_bonus,smithy_bonus_cap) + tech_3_5*TblTech[[#This Row],[3-5]] + tech_5_3*TblTech[[#This Row],[5-3]] + tech_5_5*TblTech[[#This Row],[5-5]])*elite1_plat,0)</f>
        <v>1040</v>
      </c>
      <c r="BO55" s="94">
        <f ca="1">ROUNDUP(IF(race="Gnome",1,(1-MIN(TblMili[[#This Row],[Smithies]]*smithy_bonus,smithy_bonus_cap) + tech_3_5*TblTech[[#This Row],[3-5]] + tech_5_3*TblTech[[#This Row],[5-3]] + tech_5_5*TblTech[[#This Row],[5-5]]))*elite1_ore,0)</f>
        <v>75</v>
      </c>
      <c r="BP55" s="94">
        <f ca="1">ROUNDUP((1-MIN(TblMili[[#This Row],[Smithies]]*smithy_bonus,smithy_bonus_cap) + tech_3_5*TblTech[[#This Row],[3-5]] + tech_5_3*TblTech[[#This Row],[5-3]] + tech_5_5*TblTech[[#This Row],[5-5]])*elite2_plat,0)</f>
        <v>1280</v>
      </c>
      <c r="BQ55" s="94">
        <f ca="1">ROUNDUP(IF(race="Gnome",1,(1-MIN(TblMili[[#This Row],[Smithies]]*smithy_bonus,smithy_bonus_cap) + tech_3_5*TblTech[[#This Row],[3-5]] + tech_5_3*TblTech[[#This Row],[5-3]] + tech_5_5*TblTech[[#This Row],[5-5]]))*elite2_ore,0)</f>
        <v>100</v>
      </c>
      <c r="BR55" s="94">
        <f ca="1">ROUNDUP((1-MIN(ROUND(fh_spy_cost_red*TblMili[[#This Row],[FH''s]],4),fh_spy_cost_cap)+ tech_1_9*TblTech[[#This Row],[1-9]] + tech_9_1*TblTech[[#This Row],[9-1]])*spy_plat,0)</f>
        <v>500</v>
      </c>
      <c r="BS55" s="94">
        <f ca="1">ROUNDUP((1-MIN(ROUND(fh_spy_cost_red*TblMili[[#This Row],[FH''s]],4),fh_spy_cost_cap)+ tech_1_9*TblTech[[#This Row],[1-9]] + tech_9_1*TblTech[[#This Row],[9-1]])*archspy_plat,0)</f>
        <v>1000</v>
      </c>
      <c r="BT55" s="94">
        <f ca="1">ROUNDUP((1-MIN(ROUND(wg_wiz_cost_bonus*TblMili[[#This Row],[WG''s]],4),wg_wiz_cost_cap) + tech_1_9_2*TblTech[[#This Row],[1-9]] + tech_9_1_2*TblTech[[#This Row],[9-1]])*wizard_plat,0)</f>
        <v>500</v>
      </c>
      <c r="BU55" s="94">
        <f ca="1">ROUNDUP((1-MIN(ROUND(wg_wiz_cost_bonus*TblMili[[#This Row],[WG''s]],4),wg_wiz_cost_cap) + tech_1_9_2*TblTech[[#This Row],[1-9]] + tech_9_1_2*TblTech[[#This Row],[9-1]])*archmage_plat,0)</f>
        <v>1000</v>
      </c>
      <c r="BV55" s="142"/>
      <c r="BW55" s="157">
        <f ca="1">TblConstr[[#This Row],[Homeland]]/TblConstr[[#This Row],[Land]]</f>
        <v>0.81818181818181823</v>
      </c>
      <c r="BX55" s="157">
        <f ca="1">TblMili[[#This Row],[WG''s]]</f>
        <v>0</v>
      </c>
      <c r="BY55" s="251">
        <f ca="1">IF(mystic_cap="none",TblMili[[#This Row],[Homeland%]]/mystic_bonus,MIN(mystic_cap,TblMili[[#This Row],[Homeland%]]/mystic_bonus))</f>
        <v>2</v>
      </c>
      <c r="BZ55" s="251">
        <f ca="1">IF(druid_op_cap="none",TblMili[[#This Row],[Homeland%]]/druid_op_bonus,MIN(druid_op_cap,TblMili[[#This Row],[Homeland%]]/druid_op_bonus))</f>
        <v>2</v>
      </c>
      <c r="CA55" s="251">
        <f ca="1">IF(druid_dp_cap="none",TblMili[[#This Row],[Homeland%]]/druid_dp_bonus,MIN(druid_dp_cap,TblMili[[#This Row],[Homeland%]]/druid_dp_bonus))</f>
        <v>2</v>
      </c>
      <c r="CB55" s="251">
        <f ca="1">MIN(dryad_cap,TblMili[[#This Row],[Homeland%]]/dryad_bonus)</f>
        <v>4</v>
      </c>
      <c r="CC55" s="251">
        <f ca="1">MIN(rocka_cap,TblMili[[#This Row],[Homeland%]]/rocka_bonus)</f>
        <v>2</v>
      </c>
      <c r="CD55" s="251">
        <f ca="1">MIN(adept_op_cap,TblMili[[#This Row],[WG]]/adept_op_bonus)</f>
        <v>0</v>
      </c>
      <c r="CE55" s="251">
        <f ca="1">MIN(adept_dp_cap,TblMili[[#This Row],[WG]]/adept_dp_bonus)</f>
        <v>0</v>
      </c>
      <c r="CF55" s="94">
        <f ca="1">MIN(TblMili[[#This Row],[Unit 3]],TblMili[[#This Row],[Unit 2]])*2</f>
        <v>0</v>
      </c>
      <c r="CG55" s="94">
        <f ca="1">MIN(TblMili[[#This Row],[Unit 1]],TblMili[[#This Row],[Unit 4]])*2</f>
        <v>0</v>
      </c>
      <c r="CH55" s="251">
        <f ca="1">MIN(frost_mage_cap,TblMili[[#This Row],[Homeland%]]/frost_mage_bonus)</f>
        <v>3</v>
      </c>
      <c r="CI55" s="45">
        <f ca="1">MIN(ice_elem_cap,TblMili[[#This Row],[Raw (2)]]*ice_elem_bonus)</f>
        <v>0</v>
      </c>
      <c r="CJ55" s="251">
        <f t="shared" si="2"/>
        <v>0.83333333333333337</v>
      </c>
      <c r="CK55" s="251">
        <f ca="1">MIN(nox_nightshade_cap,TblConstr[[#This Row],[Homeland]]/TblConstr[[#This Row],[Land]]/nox_nightshade_swamp_bonus)</f>
        <v>4</v>
      </c>
      <c r="CL55" s="251">
        <f ca="1">MIN(TblConstr[[#This Row],[Total Swamp]]/TblConstr[[#This Row],[Land]]/abyss_enforce_bonus,abyss_enforcer_cap)</f>
        <v>0</v>
      </c>
      <c r="CM55" s="251">
        <f ca="1">IF(TblMagic[[#This Row],[Active Infernal Command]]&gt;0,TblMili[[#This Row],[Unit 1]]*infernal_cmd_op,0)</f>
        <v>0</v>
      </c>
      <c r="CN55" s="252"/>
      <c r="CO55" s="252"/>
      <c r="CP55" s="252"/>
      <c r="CQ55" s="251">
        <f ca="1">MIN(6,TblMili[[#This Row],[Mystic]]+Races!$F$19)*1.8 +  IF(TblMili[[#This Row],[Mystic]]+Races!$F$19&gt;6,(TblMili[[#This Row],[Mystic]]+Races!$F$19-6)*0.2,0) - Races!$I$19</f>
        <v>1</v>
      </c>
      <c r="CR5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5" s="94">
        <f ca="1">TblMili[[#This Row],[Mystic bonus]]*TblMili[[#This Row],[Unit 3]]+TblMili[[#This Row],[Druid bonus]]*TblMili[[#This Row],[Unit 4]]</f>
        <v>0</v>
      </c>
      <c r="CT55" s="155">
        <f ca="1">MIN(6,TblMili[[#This Row],[Dryad]]+Races!$F$35)*1.8 +  IF(TblMili[[#This Row],[Dryad]]+Races!$F$35&gt;6,(TblMili[[#This Row],[Dryad]]+Races!$F$35-6)*0.2,0) - Races!$I$19</f>
        <v>1</v>
      </c>
      <c r="CU55" s="94">
        <f ca="1">sylvan*(TblMili[[#This Row],[Mystic bonus]]*TblMili[[#This Row],[Unit 3]])</f>
        <v>0</v>
      </c>
      <c r="CV55" s="155">
        <f ca="1">1.8 * MIN(MAX(Races!$E$27,TblMili[[#This Row],[Rockapult]]+Races!$F$27),6)  +  0.45 * MIN(MIN(Races!$E$27,TblMili[[#This Row],[Rockapult]]+Races!$F$27),6)  +  0.2 * ( MAX(Races!$E$27-6,0) + MAX(TblMili[[#This Row],[Rockapult]]+Races!$F$27-6,0) )  -  Races!$I$20</f>
        <v>3.7000000000000011</v>
      </c>
      <c r="CW55" s="94">
        <f ca="1">gnome*(TblMili[[#This Row],[Rockapult bonus]]*TblMili[[#This Row],[Unit 3]])</f>
        <v>0</v>
      </c>
      <c r="CX5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5" s="94">
        <f ca="1">dark_elf*(TblMili[[#This Row],[Adept bonus]]*TblMili[[#This Row],[Unit 3]])</f>
        <v>0</v>
      </c>
      <c r="CZ55" s="155">
        <f ca="1">1.8 * MIN(MAX(TblMili[[#This Row],[Frost Mage]]+Races!$F$71,Races!$E$71),6)  +  0.45 * MIN(MIN(TblMili[[#This Row],[Frost Mage]]+Races!$F$71,Races!$E$71),6)  +  0.2 * ( MAX(TblMili[[#This Row],[Frost Mage]]+Races!$F$71-6,0) + MAX(Races!$E$71-6,0) )  -  Races!$I$71</f>
        <v>6.15</v>
      </c>
      <c r="DA55" s="155">
        <f ca="1">1.8 * MIN(MAX(TblMili[[#This Row],[Ice Elemental]]+Races!$E$71,Races!$F$71),6)  +  0.45 * MIN(MIN(TblMili[[#This Row],[Ice Elemental]]+Races!$E$71,Races!$F$71),6)  +  0.2 * ( MAX(TblMili[[#This Row],[Ice Elemental]]+Races!$E$71-6,0) + MAX(Races!$F$71-6,0) )  -  Races!$I$71</f>
        <v>0.75</v>
      </c>
      <c r="DB55" s="94">
        <f ca="1">TblMili[[#This Row],[Frost Mage bonus]]*TblMili[[#This Row],[Unit 3]]+TblMili[[#This Row],[Ice Elemental bonus]]*TblMili[[#This Row],[Unit 4]]</f>
        <v>0</v>
      </c>
      <c r="DC55" s="253"/>
      <c r="DD55" s="143">
        <f ca="1">MIN(SUM(TblConstr[[#This Row],[Plain]:[Water]])/TblMili[[#This Row],[Land]]/favorable_terrain_bonus/100,favorable_terrain_max)</f>
        <v>0.1</v>
      </c>
      <c r="DE55" s="253"/>
      <c r="DF5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5" s="142"/>
      <c r="DH55" s="254">
        <f ca="1">(TblMili[[#This Row],[Wizards]]+2*TblMili[[#This Row],[Archmages]])/TblConstr[[#This Row],[Land]]</f>
        <v>0</v>
      </c>
      <c r="DI55" s="254">
        <f ca="1">TblMili[[#This Row],[Raw (2)]]*(1+race_wizard_strength+IF(TblMili[[#This Row],[Hour]]&gt;72,tech_magical_weaponry_wiz*TblTech[[#This Row],[3-5]],0))</f>
        <v>0</v>
      </c>
    </row>
    <row r="56" spans="1:113" x14ac:dyDescent="0.2">
      <c r="A56" s="137">
        <f>TblRezone[[#This Row],[Hour]]</f>
        <v>53</v>
      </c>
      <c r="B56" s="246">
        <f ca="1">SUM(TblMili[[#This Row],[Unit 1]:[Archmages]])+SUM(OFFSET(TblMili[[#This Row],[Train Unit 1]],-8,0):TblMili[[#This Row],[Train Unit 2]]) + SUM(OFFSET(TblMili[[#This Row],[Train Unit 3]],-11,0):TblMili[[#This Row],[Train AM]]) + TblMili[[#This Row],[Draftees]]</f>
        <v>481</v>
      </c>
      <c r="C56" s="157">
        <f ca="1">TblPop[[#This Row],[Military%]]</f>
        <v>0.44702602230483274</v>
      </c>
      <c r="D56" s="142"/>
      <c r="E56" s="45">
        <f ca="1">OFFSET(TblMili[[#This Row],[Unit 1]],-1,0) + OFFSET(TblMili[[#This Row],[Train Unit 1]],-9,0) - TblMili[[#This Row],[Release Unit 1]] + OFFSET(TblMili[[#This Row],[DnD_Zombies]],-12,0)</f>
        <v>0</v>
      </c>
      <c r="F56" s="45">
        <f ca="1">OFFSET(TblMili[[#This Row],[Unit 2]],-1,0) + OFFSET(TblMili[[#This Row],[Train Unit 2]],-9,0)-TblMili[[#This Row],[Release Unit 2]]</f>
        <v>0</v>
      </c>
      <c r="G56" s="45">
        <f ca="1">OFFSET(TblMili[[#This Row],[Unit 3]],-1,0) + OFFSET(TblMili[[#This Row],[Train Unit 3]],-12,0)-TblMili[[#This Row],[Release Unit 3]]</f>
        <v>0</v>
      </c>
      <c r="H56" s="45">
        <f ca="1">OFFSET(TblMili[[#This Row],[Unit 4]],-1,0) + OFFSET(TblMili[[#This Row],[Train Unit 4]],-12,0)-TblMili[[#This Row],[Release Unit 4]]</f>
        <v>0</v>
      </c>
      <c r="I56" s="45">
        <f ca="1">OFFSET(TblMili[[#This Row],[Spies]],-1,0) + OFFSET(TblMili[[#This Row],[Train Spies]],-12,0) - TblMili[[#This Row],[Release Spies]]-TblMili[[#This Row],[Train AS]]</f>
        <v>0</v>
      </c>
      <c r="J56" s="45">
        <f ca="1">OFFSET(TblMili[[#This Row],[Archspies]],-1,0) + OFFSET(TblMili[[#This Row],[Train AS]],-12,0) - TblMili[[#This Row],[Release AS]]</f>
        <v>0</v>
      </c>
      <c r="K56" s="45">
        <f ca="1">OFFSET(TblMili[[#This Row],[Wizards]],-1,0) + OFFSET(TblMili[[#This Row],[Train Wiz]],-12,0) - TblMili[[#This Row],[Release Wizards]]-TblMili[[#This Row],[Train AM]]</f>
        <v>0</v>
      </c>
      <c r="L56" s="45">
        <f ca="1">OFFSET(TblMili[[#This Row],[Archmages]],-1,0) + OFFSET(TblMili[[#This Row],[Train AM]],-12,0) - TblMili[[#This Row],[Release AM]]</f>
        <v>0</v>
      </c>
      <c r="M56" s="142"/>
      <c r="N56" s="94">
        <f ca="1">TblProd[[#This Row],[Networth]]</f>
        <v>2450</v>
      </c>
      <c r="O56" s="142"/>
      <c r="P5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6" s="247">
        <f ca="1">TblMili[[#This Row],[Raw]]*(1+TblMili[[#This Row],[Mods_Off]])</f>
        <v>0</v>
      </c>
      <c r="S5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6" s="247">
        <f ca="1">TblMili[[#This Row],[Non Draft]]+TblMili[[#This Row],[Draftees]]</f>
        <v>481</v>
      </c>
      <c r="U56" s="248">
        <f ca="1">race_defense + TblImps[[#This Row],[Walls]] + ROUND( MIN(gt_bonus*TblConstr[[#This Row],[Tot GT]]/TblConstr[[#This Row],[Land]],gt_bonus_cap), 4) + IF(TblMagic[[#This Row],[Active Howling]]&gt;0,howling_dp_bonus,IF(TblMagic[[#This Row],[Active Ares Call]]&gt;0,ares_call_bonus))</f>
        <v>0</v>
      </c>
      <c r="V56" s="249">
        <f ca="1">TblMili[[#This Row],[Non Draft]] * (1 + TblMili[[#This Row],[Mods_Def]])</f>
        <v>0</v>
      </c>
      <c r="W56" s="247">
        <f ca="1">TblMili[[#This Row],[Draft]] * (1 + TblMili[[#This Row],[Mods_Def]])</f>
        <v>481</v>
      </c>
      <c r="X56" s="247">
        <f ca="1">TblConstr[[#This Row],[Land]]</f>
        <v>110</v>
      </c>
      <c r="Y56" s="250"/>
      <c r="Z56" s="255">
        <f ca="1">IF(TblMili[[#This Row],[Set]]&lt;&gt;"",TblMili[[#This Row],[Set]],OFFSET(TblMili[[#This Row],[Draftrate]],-1,0))</f>
        <v>0.9</v>
      </c>
      <c r="AA56" s="94">
        <f ca="1">OFFSET(TblMili[[#This Row],[Draftees]],-1,0)+OFFSET(TblPop[[#This Row],[Draft Growth]],-1,0) - SUM(TblMili[[#This Row],[Train Unit 1]:[Train Spies]],TblMili[[#This Row],[Train Wiz]],TblMili[[#This Row],[DnD_Zombies]]) - TblMili[[#This Row],[Release Draft]] + SUM(TblMili[[#This Row],[Release Unit 1]:[Release AM]]) - TblExplore[[#This Row],[Draftees (2)]]</f>
        <v>481</v>
      </c>
      <c r="AB56" s="154"/>
      <c r="AC56" s="180">
        <f ca="1">(TblConstr[[#This Row],[Tot Smi]]+TblConstr[[#This Row],[Dest Smi]])/(TblConstr[[#This Row],[Land]]-TblExplore[[#This Row],[Land Bonus]]*20)</f>
        <v>0</v>
      </c>
      <c r="AD56" s="137"/>
      <c r="AE56" s="246">
        <f>TblMili[[#This Row],[Hour]]</f>
        <v>53</v>
      </c>
      <c r="AF56" s="138">
        <f ca="1">TblExplore[[#This Row],[Time]]</f>
        <v>46049.166666666541</v>
      </c>
      <c r="AG56" s="179"/>
      <c r="AH56" s="179"/>
      <c r="AI56" s="179"/>
      <c r="AJ56" s="179"/>
      <c r="AK56" s="179"/>
      <c r="AL56" s="179"/>
      <c r="AM56" s="179"/>
      <c r="AN56" s="179"/>
      <c r="AO56" s="420">
        <f ca="1">ROUND(IF(AND(TblMagic[[#This Row],[Active DnD]]&lt;12,TblMagic[[#This Row],[Active DnD]]&gt;5),OFFSET(TblPop[[#This Row],[Draft Growth]],-1,0)*0.375,0),0)</f>
        <v>0</v>
      </c>
      <c r="AP56" s="142"/>
      <c r="AQ56" s="94">
        <f ca="1">TblProd[[#This Row],[Platinum]]</f>
        <v>139396</v>
      </c>
      <c r="AR56" s="94">
        <f ca="1">INDEX(TblProd[[#Headers],[Lumber]]:TblProd[[#This Row],[Ore]],COUNTA(TblProd[[#Headers],[Lumber]]:TblProd[[#This Row],[Lumber]]),MATCH(Military!$AR$2,TblProd[[#Headers],[Lumber]:[Ore]],0))</f>
        <v>0</v>
      </c>
      <c r="AS5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6" s="94">
        <f ca="1">TblMili[[#This Row],[Train Unit 1]]*TblMili[[#This Row],[OP Ore]]+TblMili[[#This Row],[Train Unit 2]]*TblMili[[#This Row],[DP Ore]]+TblMili[[#This Row],[Train Unit 3]]*TblMili[[#This Row],[E1 Ore]]+TblMili[[#This Row],[Train Unit 4]]*TblMili[[#This Row],[E2 Ore]]</f>
        <v>0</v>
      </c>
      <c r="AU56" s="142">
        <f>TblMili[[#This Row],[Hour]]</f>
        <v>53</v>
      </c>
      <c r="AV56" s="152">
        <f ca="1">TblMili[[#This Row],[Time]]</f>
        <v>46049.166666666541</v>
      </c>
      <c r="AW56" s="94">
        <f ca="1">TblMili[[#This Row],[Draftees]]</f>
        <v>481</v>
      </c>
      <c r="AX56" s="179"/>
      <c r="AY56" s="179"/>
      <c r="AZ56" s="179"/>
      <c r="BA56" s="179"/>
      <c r="BB56" s="179"/>
      <c r="BC56" s="179"/>
      <c r="BD56" s="179"/>
      <c r="BE56" s="179"/>
      <c r="BF56" s="179"/>
      <c r="BG56" s="142"/>
      <c r="BH56" s="157">
        <f ca="1">TblConstr[[#This Row],[Tot WG]]/TblConstr[[#This Row],[Land]]</f>
        <v>0</v>
      </c>
      <c r="BI56" s="157">
        <f ca="1">TblConstr[[#This Row],[Tot Hav]]/TblConstr[[#This Row],[Land]]</f>
        <v>0</v>
      </c>
      <c r="BJ56" s="94">
        <f ca="1">ROUNDUP((1-MIN(TblMili[[#This Row],[Smithies]]*smithy_bonus,smithy_bonus_cap) + tech_3_5*TblTech[[#This Row],[3-5]] + tech_5_3*TblTech[[#This Row],[5-3]] + tech_5_5*TblTech[[#This Row],[5-5]])*spec_op_plat,0)</f>
        <v>275</v>
      </c>
      <c r="BK56" s="94">
        <f ca="1">ROUNDUP(IF(race="Gnome",1,(1-MIN(TblMili[[#This Row],[Smithies]]*smithy_bonus,smithy_bonus_cap) + tech_3_5*TblTech[[#This Row],[3-5]] + tech_5_3*TblTech[[#This Row],[5-3]] + tech_5_5*TblTech[[#This Row],[5-5]]))*spec_op_ore,0)</f>
        <v>25</v>
      </c>
      <c r="BL56" s="94">
        <f ca="1">ROUNDUP((1-MIN(TblMili[[#This Row],[Smithies]]*smithy_bonus,smithy_bonus_cap) + tech_3_5*TblTech[[#This Row],[3-5]] + tech_5_3*TblTech[[#This Row],[5-3]] + tech_5_5*TblTech[[#This Row],[5-5]])*spec_dp_plat,0)</f>
        <v>275</v>
      </c>
      <c r="BM56" s="94">
        <f ca="1">ROUNDUP(IF(race="Gnome",1,(1-MIN(TblMili[[#This Row],[Smithies]]*smithy_bonus,smithy_bonus_cap) + tech_3_5*TblTech[[#This Row],[3-5]] + tech_5_3*TblTech[[#This Row],[5-3]] + tech_5_5*TblTech[[#This Row],[5-5]]))*spec_dp_ore,0)</f>
        <v>15</v>
      </c>
      <c r="BN56" s="94">
        <f ca="1">ROUNDUP((1-MIN(TblMili[[#This Row],[Smithies]]*smithy_bonus,smithy_bonus_cap) + tech_3_5*TblTech[[#This Row],[3-5]] + tech_5_3*TblTech[[#This Row],[5-3]] + tech_5_5*TblTech[[#This Row],[5-5]])*elite1_plat,0)</f>
        <v>1040</v>
      </c>
      <c r="BO56" s="94">
        <f ca="1">ROUNDUP(IF(race="Gnome",1,(1-MIN(TblMili[[#This Row],[Smithies]]*smithy_bonus,smithy_bonus_cap) + tech_3_5*TblTech[[#This Row],[3-5]] + tech_5_3*TblTech[[#This Row],[5-3]] + tech_5_5*TblTech[[#This Row],[5-5]]))*elite1_ore,0)</f>
        <v>75</v>
      </c>
      <c r="BP56" s="94">
        <f ca="1">ROUNDUP((1-MIN(TblMili[[#This Row],[Smithies]]*smithy_bonus,smithy_bonus_cap) + tech_3_5*TblTech[[#This Row],[3-5]] + tech_5_3*TblTech[[#This Row],[5-3]] + tech_5_5*TblTech[[#This Row],[5-5]])*elite2_plat,0)</f>
        <v>1280</v>
      </c>
      <c r="BQ56" s="94">
        <f ca="1">ROUNDUP(IF(race="Gnome",1,(1-MIN(TblMili[[#This Row],[Smithies]]*smithy_bonus,smithy_bonus_cap) + tech_3_5*TblTech[[#This Row],[3-5]] + tech_5_3*TblTech[[#This Row],[5-3]] + tech_5_5*TblTech[[#This Row],[5-5]]))*elite2_ore,0)</f>
        <v>100</v>
      </c>
      <c r="BR56" s="94">
        <f ca="1">ROUNDUP((1-MIN(ROUND(fh_spy_cost_red*TblMili[[#This Row],[FH''s]],4),fh_spy_cost_cap)+ tech_1_9*TblTech[[#This Row],[1-9]] + tech_9_1*TblTech[[#This Row],[9-1]])*spy_plat,0)</f>
        <v>500</v>
      </c>
      <c r="BS56" s="94">
        <f ca="1">ROUNDUP((1-MIN(ROUND(fh_spy_cost_red*TblMili[[#This Row],[FH''s]],4),fh_spy_cost_cap)+ tech_1_9*TblTech[[#This Row],[1-9]] + tech_9_1*TblTech[[#This Row],[9-1]])*archspy_plat,0)</f>
        <v>1000</v>
      </c>
      <c r="BT56" s="94">
        <f ca="1">ROUNDUP((1-MIN(ROUND(wg_wiz_cost_bonus*TblMili[[#This Row],[WG''s]],4),wg_wiz_cost_cap) + tech_1_9_2*TblTech[[#This Row],[1-9]] + tech_9_1_2*TblTech[[#This Row],[9-1]])*wizard_plat,0)</f>
        <v>500</v>
      </c>
      <c r="BU56" s="94">
        <f ca="1">ROUNDUP((1-MIN(ROUND(wg_wiz_cost_bonus*TblMili[[#This Row],[WG''s]],4),wg_wiz_cost_cap) + tech_1_9_2*TblTech[[#This Row],[1-9]] + tech_9_1_2*TblTech[[#This Row],[9-1]])*archmage_plat,0)</f>
        <v>1000</v>
      </c>
      <c r="BV56" s="142"/>
      <c r="BW56" s="157">
        <f ca="1">TblConstr[[#This Row],[Homeland]]/TblConstr[[#This Row],[Land]]</f>
        <v>0.81818181818181823</v>
      </c>
      <c r="BX56" s="157">
        <f ca="1">TblMili[[#This Row],[WG''s]]</f>
        <v>0</v>
      </c>
      <c r="BY56" s="251">
        <f ca="1">IF(mystic_cap="none",TblMili[[#This Row],[Homeland%]]/mystic_bonus,MIN(mystic_cap,TblMili[[#This Row],[Homeland%]]/mystic_bonus))</f>
        <v>2</v>
      </c>
      <c r="BZ56" s="251">
        <f ca="1">IF(druid_op_cap="none",TblMili[[#This Row],[Homeland%]]/druid_op_bonus,MIN(druid_op_cap,TblMili[[#This Row],[Homeland%]]/druid_op_bonus))</f>
        <v>2</v>
      </c>
      <c r="CA56" s="251">
        <f ca="1">IF(druid_dp_cap="none",TblMili[[#This Row],[Homeland%]]/druid_dp_bonus,MIN(druid_dp_cap,TblMili[[#This Row],[Homeland%]]/druid_dp_bonus))</f>
        <v>2</v>
      </c>
      <c r="CB56" s="251">
        <f ca="1">MIN(dryad_cap,TblMili[[#This Row],[Homeland%]]/dryad_bonus)</f>
        <v>4</v>
      </c>
      <c r="CC56" s="251">
        <f ca="1">MIN(rocka_cap,TblMili[[#This Row],[Homeland%]]/rocka_bonus)</f>
        <v>2</v>
      </c>
      <c r="CD56" s="251">
        <f ca="1">MIN(adept_op_cap,TblMili[[#This Row],[WG]]/adept_op_bonus)</f>
        <v>0</v>
      </c>
      <c r="CE56" s="251">
        <f ca="1">MIN(adept_dp_cap,TblMili[[#This Row],[WG]]/adept_dp_bonus)</f>
        <v>0</v>
      </c>
      <c r="CF56" s="94">
        <f ca="1">MIN(TblMili[[#This Row],[Unit 3]],TblMili[[#This Row],[Unit 2]])*2</f>
        <v>0</v>
      </c>
      <c r="CG56" s="94">
        <f ca="1">MIN(TblMili[[#This Row],[Unit 1]],TblMili[[#This Row],[Unit 4]])*2</f>
        <v>0</v>
      </c>
      <c r="CH56" s="251">
        <f ca="1">MIN(frost_mage_cap,TblMili[[#This Row],[Homeland%]]/frost_mage_bonus)</f>
        <v>3</v>
      </c>
      <c r="CI56" s="45">
        <f ca="1">MIN(ice_elem_cap,TblMili[[#This Row],[Raw (2)]]*ice_elem_bonus)</f>
        <v>0</v>
      </c>
      <c r="CJ56" s="251">
        <f t="shared" si="2"/>
        <v>0.83333333333333337</v>
      </c>
      <c r="CK56" s="251">
        <f ca="1">MIN(nox_nightshade_cap,TblConstr[[#This Row],[Homeland]]/TblConstr[[#This Row],[Land]]/nox_nightshade_swamp_bonus)</f>
        <v>4</v>
      </c>
      <c r="CL56" s="251">
        <f ca="1">MIN(TblConstr[[#This Row],[Total Swamp]]/TblConstr[[#This Row],[Land]]/abyss_enforce_bonus,abyss_enforcer_cap)</f>
        <v>0</v>
      </c>
      <c r="CM56" s="251">
        <f ca="1">IF(TblMagic[[#This Row],[Active Infernal Command]]&gt;0,TblMili[[#This Row],[Unit 1]]*infernal_cmd_op,0)</f>
        <v>0</v>
      </c>
      <c r="CN56" s="252"/>
      <c r="CO56" s="252"/>
      <c r="CP56" s="252"/>
      <c r="CQ56" s="251">
        <f ca="1">MIN(6,TblMili[[#This Row],[Mystic]]+Races!$F$19)*1.8 +  IF(TblMili[[#This Row],[Mystic]]+Races!$F$19&gt;6,(TblMili[[#This Row],[Mystic]]+Races!$F$19-6)*0.2,0) - Races!$I$19</f>
        <v>1</v>
      </c>
      <c r="CR5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6" s="94">
        <f ca="1">TblMili[[#This Row],[Mystic bonus]]*TblMili[[#This Row],[Unit 3]]+TblMili[[#This Row],[Druid bonus]]*TblMili[[#This Row],[Unit 4]]</f>
        <v>0</v>
      </c>
      <c r="CT56" s="155">
        <f ca="1">MIN(6,TblMili[[#This Row],[Dryad]]+Races!$F$35)*1.8 +  IF(TblMili[[#This Row],[Dryad]]+Races!$F$35&gt;6,(TblMili[[#This Row],[Dryad]]+Races!$F$35-6)*0.2,0) - Races!$I$19</f>
        <v>1</v>
      </c>
      <c r="CU56" s="94">
        <f ca="1">sylvan*(TblMili[[#This Row],[Mystic bonus]]*TblMili[[#This Row],[Unit 3]])</f>
        <v>0</v>
      </c>
      <c r="CV56" s="155">
        <f ca="1">1.8 * MIN(MAX(Races!$E$27,TblMili[[#This Row],[Rockapult]]+Races!$F$27),6)  +  0.45 * MIN(MIN(Races!$E$27,TblMili[[#This Row],[Rockapult]]+Races!$F$27),6)  +  0.2 * ( MAX(Races!$E$27-6,0) + MAX(TblMili[[#This Row],[Rockapult]]+Races!$F$27-6,0) )  -  Races!$I$20</f>
        <v>3.7000000000000011</v>
      </c>
      <c r="CW56" s="94">
        <f ca="1">gnome*(TblMili[[#This Row],[Rockapult bonus]]*TblMili[[#This Row],[Unit 3]])</f>
        <v>0</v>
      </c>
      <c r="CX5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6" s="94">
        <f ca="1">dark_elf*(TblMili[[#This Row],[Adept bonus]]*TblMili[[#This Row],[Unit 3]])</f>
        <v>0</v>
      </c>
      <c r="CZ56" s="155">
        <f ca="1">1.8 * MIN(MAX(TblMili[[#This Row],[Frost Mage]]+Races!$F$71,Races!$E$71),6)  +  0.45 * MIN(MIN(TblMili[[#This Row],[Frost Mage]]+Races!$F$71,Races!$E$71),6)  +  0.2 * ( MAX(TblMili[[#This Row],[Frost Mage]]+Races!$F$71-6,0) + MAX(Races!$E$71-6,0) )  -  Races!$I$71</f>
        <v>6.15</v>
      </c>
      <c r="DA56" s="155">
        <f ca="1">1.8 * MIN(MAX(TblMili[[#This Row],[Ice Elemental]]+Races!$E$71,Races!$F$71),6)  +  0.45 * MIN(MIN(TblMili[[#This Row],[Ice Elemental]]+Races!$E$71,Races!$F$71),6)  +  0.2 * ( MAX(TblMili[[#This Row],[Ice Elemental]]+Races!$E$71-6,0) + MAX(Races!$F$71-6,0) )  -  Races!$I$71</f>
        <v>0.75</v>
      </c>
      <c r="DB56" s="94">
        <f ca="1">TblMili[[#This Row],[Frost Mage bonus]]*TblMili[[#This Row],[Unit 3]]+TblMili[[#This Row],[Ice Elemental bonus]]*TblMili[[#This Row],[Unit 4]]</f>
        <v>0</v>
      </c>
      <c r="DC56" s="253"/>
      <c r="DD56" s="143">
        <f ca="1">MIN(SUM(TblConstr[[#This Row],[Plain]:[Water]])/TblMili[[#This Row],[Land]]/favorable_terrain_bonus/100,favorable_terrain_max)</f>
        <v>0.1</v>
      </c>
      <c r="DE56" s="253"/>
      <c r="DF5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6" s="142"/>
      <c r="DH56" s="254">
        <f ca="1">(TblMili[[#This Row],[Wizards]]+2*TblMili[[#This Row],[Archmages]])/TblConstr[[#This Row],[Land]]</f>
        <v>0</v>
      </c>
      <c r="DI56" s="254">
        <f ca="1">TblMili[[#This Row],[Raw (2)]]*(1+race_wizard_strength+IF(TblMili[[#This Row],[Hour]]&gt;72,tech_magical_weaponry_wiz*TblTech[[#This Row],[3-5]],0))</f>
        <v>0</v>
      </c>
    </row>
    <row r="57" spans="1:113" x14ac:dyDescent="0.2">
      <c r="A57" s="137">
        <f>TblRezone[[#This Row],[Hour]]</f>
        <v>54</v>
      </c>
      <c r="B57" s="246">
        <f ca="1">SUM(TblMili[[#This Row],[Unit 1]:[Archmages]])+SUM(OFFSET(TblMili[[#This Row],[Train Unit 1]],-8,0):TblMili[[#This Row],[Train Unit 2]]) + SUM(OFFSET(TblMili[[#This Row],[Train Unit 3]],-11,0):TblMili[[#This Row],[Train AM]]) + TblMili[[#This Row],[Draftees]]</f>
        <v>487</v>
      </c>
      <c r="C57" s="157">
        <f ca="1">TblPop[[#This Row],[Military%]]</f>
        <v>0.45260223048327136</v>
      </c>
      <c r="D57" s="142"/>
      <c r="E57" s="45">
        <f ca="1">OFFSET(TblMili[[#This Row],[Unit 1]],-1,0) + OFFSET(TblMili[[#This Row],[Train Unit 1]],-9,0) - TblMili[[#This Row],[Release Unit 1]] + OFFSET(TblMili[[#This Row],[DnD_Zombies]],-12,0)</f>
        <v>0</v>
      </c>
      <c r="F57" s="45">
        <f ca="1">OFFSET(TblMili[[#This Row],[Unit 2]],-1,0) + OFFSET(TblMili[[#This Row],[Train Unit 2]],-9,0)-TblMili[[#This Row],[Release Unit 2]]</f>
        <v>0</v>
      </c>
      <c r="G57" s="45">
        <f ca="1">OFFSET(TblMili[[#This Row],[Unit 3]],-1,0) + OFFSET(TblMili[[#This Row],[Train Unit 3]],-12,0)-TblMili[[#This Row],[Release Unit 3]]</f>
        <v>0</v>
      </c>
      <c r="H57" s="45">
        <f ca="1">OFFSET(TblMili[[#This Row],[Unit 4]],-1,0) + OFFSET(TblMili[[#This Row],[Train Unit 4]],-12,0)-TblMili[[#This Row],[Release Unit 4]]</f>
        <v>0</v>
      </c>
      <c r="I57" s="45">
        <f ca="1">OFFSET(TblMili[[#This Row],[Spies]],-1,0) + OFFSET(TblMili[[#This Row],[Train Spies]],-12,0) - TblMili[[#This Row],[Release Spies]]-TblMili[[#This Row],[Train AS]]</f>
        <v>0</v>
      </c>
      <c r="J57" s="45">
        <f ca="1">OFFSET(TblMili[[#This Row],[Archspies]],-1,0) + OFFSET(TblMili[[#This Row],[Train AS]],-12,0) - TblMili[[#This Row],[Release AS]]</f>
        <v>0</v>
      </c>
      <c r="K57" s="45">
        <f ca="1">OFFSET(TblMili[[#This Row],[Wizards]],-1,0) + OFFSET(TblMili[[#This Row],[Train Wiz]],-12,0) - TblMili[[#This Row],[Release Wizards]]-TblMili[[#This Row],[Train AM]]</f>
        <v>0</v>
      </c>
      <c r="L57" s="45">
        <f ca="1">OFFSET(TblMili[[#This Row],[Archmages]],-1,0) + OFFSET(TblMili[[#This Row],[Train AM]],-12,0) - TblMili[[#This Row],[Release AM]]</f>
        <v>0</v>
      </c>
      <c r="M57" s="142"/>
      <c r="N57" s="94">
        <f ca="1">TblProd[[#This Row],[Networth]]</f>
        <v>2450</v>
      </c>
      <c r="O57" s="142"/>
      <c r="P5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7" s="247">
        <f ca="1">TblMili[[#This Row],[Raw]]*(1+TblMili[[#This Row],[Mods_Off]])</f>
        <v>0</v>
      </c>
      <c r="S5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7" s="247">
        <f ca="1">TblMili[[#This Row],[Non Draft]]+TblMili[[#This Row],[Draftees]]</f>
        <v>487</v>
      </c>
      <c r="U57" s="248">
        <f ca="1">race_defense + TblImps[[#This Row],[Walls]] + ROUND( MIN(gt_bonus*TblConstr[[#This Row],[Tot GT]]/TblConstr[[#This Row],[Land]],gt_bonus_cap), 4) + IF(TblMagic[[#This Row],[Active Howling]]&gt;0,howling_dp_bonus,IF(TblMagic[[#This Row],[Active Ares Call]]&gt;0,ares_call_bonus))</f>
        <v>0</v>
      </c>
      <c r="V57" s="249">
        <f ca="1">TblMili[[#This Row],[Non Draft]] * (1 + TblMili[[#This Row],[Mods_Def]])</f>
        <v>0</v>
      </c>
      <c r="W57" s="247">
        <f ca="1">TblMili[[#This Row],[Draft]] * (1 + TblMili[[#This Row],[Mods_Def]])</f>
        <v>487</v>
      </c>
      <c r="X57" s="247">
        <f ca="1">TblConstr[[#This Row],[Land]]</f>
        <v>110</v>
      </c>
      <c r="Y57" s="250"/>
      <c r="Z57" s="255">
        <f ca="1">IF(TblMili[[#This Row],[Set]]&lt;&gt;"",TblMili[[#This Row],[Set]],OFFSET(TblMili[[#This Row],[Draftrate]],-1,0))</f>
        <v>0.9</v>
      </c>
      <c r="AA57" s="94">
        <f ca="1">OFFSET(TblMili[[#This Row],[Draftees]],-1,0)+OFFSET(TblPop[[#This Row],[Draft Growth]],-1,0) - SUM(TblMili[[#This Row],[Train Unit 1]:[Train Spies]],TblMili[[#This Row],[Train Wiz]],TblMili[[#This Row],[DnD_Zombies]]) - TblMili[[#This Row],[Release Draft]] + SUM(TblMili[[#This Row],[Release Unit 1]:[Release AM]]) - TblExplore[[#This Row],[Draftees (2)]]</f>
        <v>487</v>
      </c>
      <c r="AB57" s="154"/>
      <c r="AC57" s="180">
        <f ca="1">(TblConstr[[#This Row],[Tot Smi]]+TblConstr[[#This Row],[Dest Smi]])/(TblConstr[[#This Row],[Land]]-TblExplore[[#This Row],[Land Bonus]]*20)</f>
        <v>0</v>
      </c>
      <c r="AD57" s="137"/>
      <c r="AE57" s="246">
        <f>TblMili[[#This Row],[Hour]]</f>
        <v>54</v>
      </c>
      <c r="AF57" s="138">
        <f ca="1">TblExplore[[#This Row],[Time]]</f>
        <v>46049.208333333205</v>
      </c>
      <c r="AG57" s="179"/>
      <c r="AH57" s="179"/>
      <c r="AI57" s="179"/>
      <c r="AJ57" s="179"/>
      <c r="AK57" s="179"/>
      <c r="AL57" s="179"/>
      <c r="AM57" s="179"/>
      <c r="AN57" s="179"/>
      <c r="AO57" s="420">
        <f ca="1">ROUND(IF(AND(TblMagic[[#This Row],[Active DnD]]&lt;12,TblMagic[[#This Row],[Active DnD]]&gt;5),OFFSET(TblPop[[#This Row],[Draft Growth]],-1,0)*0.375,0),0)</f>
        <v>0</v>
      </c>
      <c r="AP57" s="142"/>
      <c r="AQ57" s="94">
        <f ca="1">TblProd[[#This Row],[Platinum]]</f>
        <v>141002</v>
      </c>
      <c r="AR57" s="94">
        <f ca="1">INDEX(TblProd[[#Headers],[Lumber]]:TblProd[[#This Row],[Ore]],COUNTA(TblProd[[#Headers],[Lumber]]:TblProd[[#This Row],[Lumber]]),MATCH(Military!$AR$2,TblProd[[#Headers],[Lumber]:[Ore]],0))</f>
        <v>0</v>
      </c>
      <c r="AS5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7" s="94">
        <f ca="1">TblMili[[#This Row],[Train Unit 1]]*TblMili[[#This Row],[OP Ore]]+TblMili[[#This Row],[Train Unit 2]]*TblMili[[#This Row],[DP Ore]]+TblMili[[#This Row],[Train Unit 3]]*TblMili[[#This Row],[E1 Ore]]+TblMili[[#This Row],[Train Unit 4]]*TblMili[[#This Row],[E2 Ore]]</f>
        <v>0</v>
      </c>
      <c r="AU57" s="142">
        <f>TblMili[[#This Row],[Hour]]</f>
        <v>54</v>
      </c>
      <c r="AV57" s="152">
        <f ca="1">TblMili[[#This Row],[Time]]</f>
        <v>46049.208333333205</v>
      </c>
      <c r="AW57" s="94">
        <f ca="1">TblMili[[#This Row],[Draftees]]</f>
        <v>487</v>
      </c>
      <c r="AX57" s="179"/>
      <c r="AY57" s="179"/>
      <c r="AZ57" s="179"/>
      <c r="BA57" s="179"/>
      <c r="BB57" s="179"/>
      <c r="BC57" s="179"/>
      <c r="BD57" s="179"/>
      <c r="BE57" s="179"/>
      <c r="BF57" s="179"/>
      <c r="BG57" s="142"/>
      <c r="BH57" s="157">
        <f ca="1">TblConstr[[#This Row],[Tot WG]]/TblConstr[[#This Row],[Land]]</f>
        <v>0</v>
      </c>
      <c r="BI57" s="157">
        <f ca="1">TblConstr[[#This Row],[Tot Hav]]/TblConstr[[#This Row],[Land]]</f>
        <v>0</v>
      </c>
      <c r="BJ57" s="94">
        <f ca="1">ROUNDUP((1-MIN(TblMili[[#This Row],[Smithies]]*smithy_bonus,smithy_bonus_cap) + tech_3_5*TblTech[[#This Row],[3-5]] + tech_5_3*TblTech[[#This Row],[5-3]] + tech_5_5*TblTech[[#This Row],[5-5]])*spec_op_plat,0)</f>
        <v>275</v>
      </c>
      <c r="BK57" s="94">
        <f ca="1">ROUNDUP(IF(race="Gnome",1,(1-MIN(TblMili[[#This Row],[Smithies]]*smithy_bonus,smithy_bonus_cap) + tech_3_5*TblTech[[#This Row],[3-5]] + tech_5_3*TblTech[[#This Row],[5-3]] + tech_5_5*TblTech[[#This Row],[5-5]]))*spec_op_ore,0)</f>
        <v>25</v>
      </c>
      <c r="BL57" s="94">
        <f ca="1">ROUNDUP((1-MIN(TblMili[[#This Row],[Smithies]]*smithy_bonus,smithy_bonus_cap) + tech_3_5*TblTech[[#This Row],[3-5]] + tech_5_3*TblTech[[#This Row],[5-3]] + tech_5_5*TblTech[[#This Row],[5-5]])*spec_dp_plat,0)</f>
        <v>275</v>
      </c>
      <c r="BM57" s="94">
        <f ca="1">ROUNDUP(IF(race="Gnome",1,(1-MIN(TblMili[[#This Row],[Smithies]]*smithy_bonus,smithy_bonus_cap) + tech_3_5*TblTech[[#This Row],[3-5]] + tech_5_3*TblTech[[#This Row],[5-3]] + tech_5_5*TblTech[[#This Row],[5-5]]))*spec_dp_ore,0)</f>
        <v>15</v>
      </c>
      <c r="BN57" s="94">
        <f ca="1">ROUNDUP((1-MIN(TblMili[[#This Row],[Smithies]]*smithy_bonus,smithy_bonus_cap) + tech_3_5*TblTech[[#This Row],[3-5]] + tech_5_3*TblTech[[#This Row],[5-3]] + tech_5_5*TblTech[[#This Row],[5-5]])*elite1_plat,0)</f>
        <v>1040</v>
      </c>
      <c r="BO57" s="94">
        <f ca="1">ROUNDUP(IF(race="Gnome",1,(1-MIN(TblMili[[#This Row],[Smithies]]*smithy_bonus,smithy_bonus_cap) + tech_3_5*TblTech[[#This Row],[3-5]] + tech_5_3*TblTech[[#This Row],[5-3]] + tech_5_5*TblTech[[#This Row],[5-5]]))*elite1_ore,0)</f>
        <v>75</v>
      </c>
      <c r="BP57" s="94">
        <f ca="1">ROUNDUP((1-MIN(TblMili[[#This Row],[Smithies]]*smithy_bonus,smithy_bonus_cap) + tech_3_5*TblTech[[#This Row],[3-5]] + tech_5_3*TblTech[[#This Row],[5-3]] + tech_5_5*TblTech[[#This Row],[5-5]])*elite2_plat,0)</f>
        <v>1280</v>
      </c>
      <c r="BQ57" s="94">
        <f ca="1">ROUNDUP(IF(race="Gnome",1,(1-MIN(TblMili[[#This Row],[Smithies]]*smithy_bonus,smithy_bonus_cap) + tech_3_5*TblTech[[#This Row],[3-5]] + tech_5_3*TblTech[[#This Row],[5-3]] + tech_5_5*TblTech[[#This Row],[5-5]]))*elite2_ore,0)</f>
        <v>100</v>
      </c>
      <c r="BR57" s="94">
        <f ca="1">ROUNDUP((1-MIN(ROUND(fh_spy_cost_red*TblMili[[#This Row],[FH''s]],4),fh_spy_cost_cap)+ tech_1_9*TblTech[[#This Row],[1-9]] + tech_9_1*TblTech[[#This Row],[9-1]])*spy_plat,0)</f>
        <v>500</v>
      </c>
      <c r="BS57" s="94">
        <f ca="1">ROUNDUP((1-MIN(ROUND(fh_spy_cost_red*TblMili[[#This Row],[FH''s]],4),fh_spy_cost_cap)+ tech_1_9*TblTech[[#This Row],[1-9]] + tech_9_1*TblTech[[#This Row],[9-1]])*archspy_plat,0)</f>
        <v>1000</v>
      </c>
      <c r="BT57" s="94">
        <f ca="1">ROUNDUP((1-MIN(ROUND(wg_wiz_cost_bonus*TblMili[[#This Row],[WG''s]],4),wg_wiz_cost_cap) + tech_1_9_2*TblTech[[#This Row],[1-9]] + tech_9_1_2*TblTech[[#This Row],[9-1]])*wizard_plat,0)</f>
        <v>500</v>
      </c>
      <c r="BU57" s="94">
        <f ca="1">ROUNDUP((1-MIN(ROUND(wg_wiz_cost_bonus*TblMili[[#This Row],[WG''s]],4),wg_wiz_cost_cap) + tech_1_9_2*TblTech[[#This Row],[1-9]] + tech_9_1_2*TblTech[[#This Row],[9-1]])*archmage_plat,0)</f>
        <v>1000</v>
      </c>
      <c r="BV57" s="142"/>
      <c r="BW57" s="157">
        <f ca="1">TblConstr[[#This Row],[Homeland]]/TblConstr[[#This Row],[Land]]</f>
        <v>0.81818181818181823</v>
      </c>
      <c r="BX57" s="157">
        <f ca="1">TblMili[[#This Row],[WG''s]]</f>
        <v>0</v>
      </c>
      <c r="BY57" s="251">
        <f ca="1">IF(mystic_cap="none",TblMili[[#This Row],[Homeland%]]/mystic_bonus,MIN(mystic_cap,TblMili[[#This Row],[Homeland%]]/mystic_bonus))</f>
        <v>2</v>
      </c>
      <c r="BZ57" s="251">
        <f ca="1">IF(druid_op_cap="none",TblMili[[#This Row],[Homeland%]]/druid_op_bonus,MIN(druid_op_cap,TblMili[[#This Row],[Homeland%]]/druid_op_bonus))</f>
        <v>2</v>
      </c>
      <c r="CA57" s="251">
        <f ca="1">IF(druid_dp_cap="none",TblMili[[#This Row],[Homeland%]]/druid_dp_bonus,MIN(druid_dp_cap,TblMili[[#This Row],[Homeland%]]/druid_dp_bonus))</f>
        <v>2</v>
      </c>
      <c r="CB57" s="251">
        <f ca="1">MIN(dryad_cap,TblMili[[#This Row],[Homeland%]]/dryad_bonus)</f>
        <v>4</v>
      </c>
      <c r="CC57" s="251">
        <f ca="1">MIN(rocka_cap,TblMili[[#This Row],[Homeland%]]/rocka_bonus)</f>
        <v>2</v>
      </c>
      <c r="CD57" s="251">
        <f ca="1">MIN(adept_op_cap,TblMili[[#This Row],[WG]]/adept_op_bonus)</f>
        <v>0</v>
      </c>
      <c r="CE57" s="251">
        <f ca="1">MIN(adept_dp_cap,TblMili[[#This Row],[WG]]/adept_dp_bonus)</f>
        <v>0</v>
      </c>
      <c r="CF57" s="94">
        <f ca="1">MIN(TblMili[[#This Row],[Unit 3]],TblMili[[#This Row],[Unit 2]])*2</f>
        <v>0</v>
      </c>
      <c r="CG57" s="94">
        <f ca="1">MIN(TblMili[[#This Row],[Unit 1]],TblMili[[#This Row],[Unit 4]])*2</f>
        <v>0</v>
      </c>
      <c r="CH57" s="251">
        <f ca="1">MIN(frost_mage_cap,TblMili[[#This Row],[Homeland%]]/frost_mage_bonus)</f>
        <v>3</v>
      </c>
      <c r="CI57" s="45">
        <f ca="1">MIN(ice_elem_cap,TblMili[[#This Row],[Raw (2)]]*ice_elem_bonus)</f>
        <v>0</v>
      </c>
      <c r="CJ57" s="251">
        <f t="shared" si="2"/>
        <v>0.83333333333333337</v>
      </c>
      <c r="CK57" s="251">
        <f ca="1">MIN(nox_nightshade_cap,TblConstr[[#This Row],[Homeland]]/TblConstr[[#This Row],[Land]]/nox_nightshade_swamp_bonus)</f>
        <v>4</v>
      </c>
      <c r="CL57" s="251">
        <f ca="1">MIN(TblConstr[[#This Row],[Total Swamp]]/TblConstr[[#This Row],[Land]]/abyss_enforce_bonus,abyss_enforcer_cap)</f>
        <v>0</v>
      </c>
      <c r="CM57" s="251">
        <f ca="1">IF(TblMagic[[#This Row],[Active Infernal Command]]&gt;0,TblMili[[#This Row],[Unit 1]]*infernal_cmd_op,0)</f>
        <v>0</v>
      </c>
      <c r="CN57" s="252"/>
      <c r="CO57" s="252"/>
      <c r="CP57" s="252"/>
      <c r="CQ57" s="251">
        <f ca="1">MIN(6,TblMili[[#This Row],[Mystic]]+Races!$F$19)*1.8 +  IF(TblMili[[#This Row],[Mystic]]+Races!$F$19&gt;6,(TblMili[[#This Row],[Mystic]]+Races!$F$19-6)*0.2,0) - Races!$I$19</f>
        <v>1</v>
      </c>
      <c r="CR5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7" s="94">
        <f ca="1">TblMili[[#This Row],[Mystic bonus]]*TblMili[[#This Row],[Unit 3]]+TblMili[[#This Row],[Druid bonus]]*TblMili[[#This Row],[Unit 4]]</f>
        <v>0</v>
      </c>
      <c r="CT57" s="155">
        <f ca="1">MIN(6,TblMili[[#This Row],[Dryad]]+Races!$F$35)*1.8 +  IF(TblMili[[#This Row],[Dryad]]+Races!$F$35&gt;6,(TblMili[[#This Row],[Dryad]]+Races!$F$35-6)*0.2,0) - Races!$I$19</f>
        <v>1</v>
      </c>
      <c r="CU57" s="94">
        <f ca="1">sylvan*(TblMili[[#This Row],[Mystic bonus]]*TblMili[[#This Row],[Unit 3]])</f>
        <v>0</v>
      </c>
      <c r="CV57" s="155">
        <f ca="1">1.8 * MIN(MAX(Races!$E$27,TblMili[[#This Row],[Rockapult]]+Races!$F$27),6)  +  0.45 * MIN(MIN(Races!$E$27,TblMili[[#This Row],[Rockapult]]+Races!$F$27),6)  +  0.2 * ( MAX(Races!$E$27-6,0) + MAX(TblMili[[#This Row],[Rockapult]]+Races!$F$27-6,0) )  -  Races!$I$20</f>
        <v>3.7000000000000011</v>
      </c>
      <c r="CW57" s="94">
        <f ca="1">gnome*(TblMili[[#This Row],[Rockapult bonus]]*TblMili[[#This Row],[Unit 3]])</f>
        <v>0</v>
      </c>
      <c r="CX5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7" s="94">
        <f ca="1">dark_elf*(TblMili[[#This Row],[Adept bonus]]*TblMili[[#This Row],[Unit 3]])</f>
        <v>0</v>
      </c>
      <c r="CZ57" s="155">
        <f ca="1">1.8 * MIN(MAX(TblMili[[#This Row],[Frost Mage]]+Races!$F$71,Races!$E$71),6)  +  0.45 * MIN(MIN(TblMili[[#This Row],[Frost Mage]]+Races!$F$71,Races!$E$71),6)  +  0.2 * ( MAX(TblMili[[#This Row],[Frost Mage]]+Races!$F$71-6,0) + MAX(Races!$E$71-6,0) )  -  Races!$I$71</f>
        <v>6.15</v>
      </c>
      <c r="DA57" s="155">
        <f ca="1">1.8 * MIN(MAX(TblMili[[#This Row],[Ice Elemental]]+Races!$E$71,Races!$F$71),6)  +  0.45 * MIN(MIN(TblMili[[#This Row],[Ice Elemental]]+Races!$E$71,Races!$F$71),6)  +  0.2 * ( MAX(TblMili[[#This Row],[Ice Elemental]]+Races!$E$71-6,0) + MAX(Races!$F$71-6,0) )  -  Races!$I$71</f>
        <v>0.75</v>
      </c>
      <c r="DB57" s="94">
        <f ca="1">TblMili[[#This Row],[Frost Mage bonus]]*TblMili[[#This Row],[Unit 3]]+TblMili[[#This Row],[Ice Elemental bonus]]*TblMili[[#This Row],[Unit 4]]</f>
        <v>0</v>
      </c>
      <c r="DC57" s="253"/>
      <c r="DD57" s="143">
        <f ca="1">MIN(SUM(TblConstr[[#This Row],[Plain]:[Water]])/TblMili[[#This Row],[Land]]/favorable_terrain_bonus/100,favorable_terrain_max)</f>
        <v>0.1</v>
      </c>
      <c r="DE57" s="253"/>
      <c r="DF5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7" s="142"/>
      <c r="DH57" s="254">
        <f ca="1">(TblMili[[#This Row],[Wizards]]+2*TblMili[[#This Row],[Archmages]])/TblConstr[[#This Row],[Land]]</f>
        <v>0</v>
      </c>
      <c r="DI57" s="254">
        <f ca="1">TblMili[[#This Row],[Raw (2)]]*(1+race_wizard_strength+IF(TblMili[[#This Row],[Hour]]&gt;72,tech_magical_weaponry_wiz*TblTech[[#This Row],[3-5]],0))</f>
        <v>0</v>
      </c>
    </row>
    <row r="58" spans="1:113" x14ac:dyDescent="0.2">
      <c r="A58" s="137">
        <f>TblRezone[[#This Row],[Hour]]</f>
        <v>55</v>
      </c>
      <c r="B58" s="246">
        <f ca="1">SUM(TblMili[[#This Row],[Unit 1]:[Archmages]])+SUM(OFFSET(TblMili[[#This Row],[Train Unit 1]],-8,0):TblMili[[#This Row],[Train Unit 2]]) + SUM(OFFSET(TblMili[[#This Row],[Train Unit 3]],-11,0):TblMili[[#This Row],[Train AM]]) + TblMili[[#This Row],[Draftees]]</f>
        <v>493</v>
      </c>
      <c r="C58" s="157">
        <f ca="1">TblPop[[#This Row],[Military%]]</f>
        <v>0.45817843866171004</v>
      </c>
      <c r="D58" s="142"/>
      <c r="E58" s="45">
        <f ca="1">OFFSET(TblMili[[#This Row],[Unit 1]],-1,0) + OFFSET(TblMili[[#This Row],[Train Unit 1]],-9,0) - TblMili[[#This Row],[Release Unit 1]] + OFFSET(TblMili[[#This Row],[DnD_Zombies]],-12,0)</f>
        <v>0</v>
      </c>
      <c r="F58" s="45">
        <f ca="1">OFFSET(TblMili[[#This Row],[Unit 2]],-1,0) + OFFSET(TblMili[[#This Row],[Train Unit 2]],-9,0)-TblMili[[#This Row],[Release Unit 2]]</f>
        <v>0</v>
      </c>
      <c r="G58" s="45">
        <f ca="1">OFFSET(TblMili[[#This Row],[Unit 3]],-1,0) + OFFSET(TblMili[[#This Row],[Train Unit 3]],-12,0)-TblMili[[#This Row],[Release Unit 3]]</f>
        <v>0</v>
      </c>
      <c r="H58" s="45">
        <f ca="1">OFFSET(TblMili[[#This Row],[Unit 4]],-1,0) + OFFSET(TblMili[[#This Row],[Train Unit 4]],-12,0)-TblMili[[#This Row],[Release Unit 4]]</f>
        <v>0</v>
      </c>
      <c r="I58" s="45">
        <f ca="1">OFFSET(TblMili[[#This Row],[Spies]],-1,0) + OFFSET(TblMili[[#This Row],[Train Spies]],-12,0) - TblMili[[#This Row],[Release Spies]]-TblMili[[#This Row],[Train AS]]</f>
        <v>0</v>
      </c>
      <c r="J58" s="45">
        <f ca="1">OFFSET(TblMili[[#This Row],[Archspies]],-1,0) + OFFSET(TblMili[[#This Row],[Train AS]],-12,0) - TblMili[[#This Row],[Release AS]]</f>
        <v>0</v>
      </c>
      <c r="K58" s="45">
        <f ca="1">OFFSET(TblMili[[#This Row],[Wizards]],-1,0) + OFFSET(TblMili[[#This Row],[Train Wiz]],-12,0) - TblMili[[#This Row],[Release Wizards]]-TblMili[[#This Row],[Train AM]]</f>
        <v>0</v>
      </c>
      <c r="L58" s="45">
        <f ca="1">OFFSET(TblMili[[#This Row],[Archmages]],-1,0) + OFFSET(TblMili[[#This Row],[Train AM]],-12,0) - TblMili[[#This Row],[Release AM]]</f>
        <v>0</v>
      </c>
      <c r="M58" s="142"/>
      <c r="N58" s="94">
        <f ca="1">TblProd[[#This Row],[Networth]]</f>
        <v>2450</v>
      </c>
      <c r="O58" s="142"/>
      <c r="P5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8" s="247">
        <f ca="1">TblMili[[#This Row],[Raw]]*(1+TblMili[[#This Row],[Mods_Off]])</f>
        <v>0</v>
      </c>
      <c r="S5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8" s="247">
        <f ca="1">TblMili[[#This Row],[Non Draft]]+TblMili[[#This Row],[Draftees]]</f>
        <v>493</v>
      </c>
      <c r="U58" s="248">
        <f ca="1">race_defense + TblImps[[#This Row],[Walls]] + ROUND( MIN(gt_bonus*TblConstr[[#This Row],[Tot GT]]/TblConstr[[#This Row],[Land]],gt_bonus_cap), 4) + IF(TblMagic[[#This Row],[Active Howling]]&gt;0,howling_dp_bonus,IF(TblMagic[[#This Row],[Active Ares Call]]&gt;0,ares_call_bonus))</f>
        <v>0</v>
      </c>
      <c r="V58" s="249">
        <f ca="1">TblMili[[#This Row],[Non Draft]] * (1 + TblMili[[#This Row],[Mods_Def]])</f>
        <v>0</v>
      </c>
      <c r="W58" s="247">
        <f ca="1">TblMili[[#This Row],[Draft]] * (1 + TblMili[[#This Row],[Mods_Def]])</f>
        <v>493</v>
      </c>
      <c r="X58" s="247">
        <f ca="1">TblConstr[[#This Row],[Land]]</f>
        <v>110</v>
      </c>
      <c r="Y58" s="250"/>
      <c r="Z58" s="255">
        <f ca="1">IF(TblMili[[#This Row],[Set]]&lt;&gt;"",TblMili[[#This Row],[Set]],OFFSET(TblMili[[#This Row],[Draftrate]],-1,0))</f>
        <v>0.9</v>
      </c>
      <c r="AA58" s="94">
        <f ca="1">OFFSET(TblMili[[#This Row],[Draftees]],-1,0)+OFFSET(TblPop[[#This Row],[Draft Growth]],-1,0) - SUM(TblMili[[#This Row],[Train Unit 1]:[Train Spies]],TblMili[[#This Row],[Train Wiz]],TblMili[[#This Row],[DnD_Zombies]]) - TblMili[[#This Row],[Release Draft]] + SUM(TblMili[[#This Row],[Release Unit 1]:[Release AM]]) - TblExplore[[#This Row],[Draftees (2)]]</f>
        <v>493</v>
      </c>
      <c r="AB58" s="154"/>
      <c r="AC58" s="180">
        <f ca="1">(TblConstr[[#This Row],[Tot Smi]]+TblConstr[[#This Row],[Dest Smi]])/(TblConstr[[#This Row],[Land]]-TblExplore[[#This Row],[Land Bonus]]*20)</f>
        <v>0</v>
      </c>
      <c r="AD58" s="137"/>
      <c r="AE58" s="246">
        <f>TblMili[[#This Row],[Hour]]</f>
        <v>55</v>
      </c>
      <c r="AF58" s="138">
        <f ca="1">TblExplore[[#This Row],[Time]]</f>
        <v>46049.249999999869</v>
      </c>
      <c r="AG58" s="179"/>
      <c r="AH58" s="179"/>
      <c r="AI58" s="179"/>
      <c r="AJ58" s="179"/>
      <c r="AK58" s="179"/>
      <c r="AL58" s="179"/>
      <c r="AM58" s="179"/>
      <c r="AN58" s="179"/>
      <c r="AO58" s="420">
        <f ca="1">ROUND(IF(AND(TblMagic[[#This Row],[Active DnD]]&lt;12,TblMagic[[#This Row],[Active DnD]]&gt;5),OFFSET(TblPop[[#This Row],[Draft Growth]],-1,0)*0.375,0),0)</f>
        <v>0</v>
      </c>
      <c r="AP58" s="142"/>
      <c r="AQ58" s="94">
        <f ca="1">TblProd[[#This Row],[Platinum]]</f>
        <v>142592</v>
      </c>
      <c r="AR58" s="94">
        <f ca="1">INDEX(TblProd[[#Headers],[Lumber]]:TblProd[[#This Row],[Ore]],COUNTA(TblProd[[#Headers],[Lumber]]:TblProd[[#This Row],[Lumber]]),MATCH(Military!$AR$2,TblProd[[#Headers],[Lumber]:[Ore]],0))</f>
        <v>0</v>
      </c>
      <c r="AS5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8" s="94">
        <f ca="1">TblMili[[#This Row],[Train Unit 1]]*TblMili[[#This Row],[OP Ore]]+TblMili[[#This Row],[Train Unit 2]]*TblMili[[#This Row],[DP Ore]]+TblMili[[#This Row],[Train Unit 3]]*TblMili[[#This Row],[E1 Ore]]+TblMili[[#This Row],[Train Unit 4]]*TblMili[[#This Row],[E2 Ore]]</f>
        <v>0</v>
      </c>
      <c r="AU58" s="142">
        <f>TblMili[[#This Row],[Hour]]</f>
        <v>55</v>
      </c>
      <c r="AV58" s="152">
        <f ca="1">TblMili[[#This Row],[Time]]</f>
        <v>46049.249999999869</v>
      </c>
      <c r="AW58" s="94">
        <f ca="1">TblMili[[#This Row],[Draftees]]</f>
        <v>493</v>
      </c>
      <c r="AX58" s="179"/>
      <c r="AY58" s="179"/>
      <c r="AZ58" s="179"/>
      <c r="BA58" s="179"/>
      <c r="BB58" s="179"/>
      <c r="BC58" s="179"/>
      <c r="BD58" s="179"/>
      <c r="BE58" s="179"/>
      <c r="BF58" s="179"/>
      <c r="BG58" s="142"/>
      <c r="BH58" s="157">
        <f ca="1">TblConstr[[#This Row],[Tot WG]]/TblConstr[[#This Row],[Land]]</f>
        <v>0</v>
      </c>
      <c r="BI58" s="157">
        <f ca="1">TblConstr[[#This Row],[Tot Hav]]/TblConstr[[#This Row],[Land]]</f>
        <v>0</v>
      </c>
      <c r="BJ58" s="94">
        <f ca="1">ROUNDUP((1-MIN(TblMili[[#This Row],[Smithies]]*smithy_bonus,smithy_bonus_cap) + tech_3_5*TblTech[[#This Row],[3-5]] + tech_5_3*TblTech[[#This Row],[5-3]] + tech_5_5*TblTech[[#This Row],[5-5]])*spec_op_plat,0)</f>
        <v>275</v>
      </c>
      <c r="BK58" s="94">
        <f ca="1">ROUNDUP(IF(race="Gnome",1,(1-MIN(TblMili[[#This Row],[Smithies]]*smithy_bonus,smithy_bonus_cap) + tech_3_5*TblTech[[#This Row],[3-5]] + tech_5_3*TblTech[[#This Row],[5-3]] + tech_5_5*TblTech[[#This Row],[5-5]]))*spec_op_ore,0)</f>
        <v>25</v>
      </c>
      <c r="BL58" s="94">
        <f ca="1">ROUNDUP((1-MIN(TblMili[[#This Row],[Smithies]]*smithy_bonus,smithy_bonus_cap) + tech_3_5*TblTech[[#This Row],[3-5]] + tech_5_3*TblTech[[#This Row],[5-3]] + tech_5_5*TblTech[[#This Row],[5-5]])*spec_dp_plat,0)</f>
        <v>275</v>
      </c>
      <c r="BM58" s="94">
        <f ca="1">ROUNDUP(IF(race="Gnome",1,(1-MIN(TblMili[[#This Row],[Smithies]]*smithy_bonus,smithy_bonus_cap) + tech_3_5*TblTech[[#This Row],[3-5]] + tech_5_3*TblTech[[#This Row],[5-3]] + tech_5_5*TblTech[[#This Row],[5-5]]))*spec_dp_ore,0)</f>
        <v>15</v>
      </c>
      <c r="BN58" s="94">
        <f ca="1">ROUNDUP((1-MIN(TblMili[[#This Row],[Smithies]]*smithy_bonus,smithy_bonus_cap) + tech_3_5*TblTech[[#This Row],[3-5]] + tech_5_3*TblTech[[#This Row],[5-3]] + tech_5_5*TblTech[[#This Row],[5-5]])*elite1_plat,0)</f>
        <v>1040</v>
      </c>
      <c r="BO58" s="94">
        <f ca="1">ROUNDUP(IF(race="Gnome",1,(1-MIN(TblMili[[#This Row],[Smithies]]*smithy_bonus,smithy_bonus_cap) + tech_3_5*TblTech[[#This Row],[3-5]] + tech_5_3*TblTech[[#This Row],[5-3]] + tech_5_5*TblTech[[#This Row],[5-5]]))*elite1_ore,0)</f>
        <v>75</v>
      </c>
      <c r="BP58" s="94">
        <f ca="1">ROUNDUP((1-MIN(TblMili[[#This Row],[Smithies]]*smithy_bonus,smithy_bonus_cap) + tech_3_5*TblTech[[#This Row],[3-5]] + tech_5_3*TblTech[[#This Row],[5-3]] + tech_5_5*TblTech[[#This Row],[5-5]])*elite2_plat,0)</f>
        <v>1280</v>
      </c>
      <c r="BQ58" s="94">
        <f ca="1">ROUNDUP(IF(race="Gnome",1,(1-MIN(TblMili[[#This Row],[Smithies]]*smithy_bonus,smithy_bonus_cap) + tech_3_5*TblTech[[#This Row],[3-5]] + tech_5_3*TblTech[[#This Row],[5-3]] + tech_5_5*TblTech[[#This Row],[5-5]]))*elite2_ore,0)</f>
        <v>100</v>
      </c>
      <c r="BR58" s="94">
        <f ca="1">ROUNDUP((1-MIN(ROUND(fh_spy_cost_red*TblMili[[#This Row],[FH''s]],4),fh_spy_cost_cap)+ tech_1_9*TblTech[[#This Row],[1-9]] + tech_9_1*TblTech[[#This Row],[9-1]])*spy_plat,0)</f>
        <v>500</v>
      </c>
      <c r="BS58" s="94">
        <f ca="1">ROUNDUP((1-MIN(ROUND(fh_spy_cost_red*TblMili[[#This Row],[FH''s]],4),fh_spy_cost_cap)+ tech_1_9*TblTech[[#This Row],[1-9]] + tech_9_1*TblTech[[#This Row],[9-1]])*archspy_plat,0)</f>
        <v>1000</v>
      </c>
      <c r="BT58" s="94">
        <f ca="1">ROUNDUP((1-MIN(ROUND(wg_wiz_cost_bonus*TblMili[[#This Row],[WG''s]],4),wg_wiz_cost_cap) + tech_1_9_2*TblTech[[#This Row],[1-9]] + tech_9_1_2*TblTech[[#This Row],[9-1]])*wizard_plat,0)</f>
        <v>500</v>
      </c>
      <c r="BU58" s="94">
        <f ca="1">ROUNDUP((1-MIN(ROUND(wg_wiz_cost_bonus*TblMili[[#This Row],[WG''s]],4),wg_wiz_cost_cap) + tech_1_9_2*TblTech[[#This Row],[1-9]] + tech_9_1_2*TblTech[[#This Row],[9-1]])*archmage_plat,0)</f>
        <v>1000</v>
      </c>
      <c r="BV58" s="142"/>
      <c r="BW58" s="157">
        <f ca="1">TblConstr[[#This Row],[Homeland]]/TblConstr[[#This Row],[Land]]</f>
        <v>0.81818181818181823</v>
      </c>
      <c r="BX58" s="157">
        <f ca="1">TblMili[[#This Row],[WG''s]]</f>
        <v>0</v>
      </c>
      <c r="BY58" s="251">
        <f ca="1">IF(mystic_cap="none",TblMili[[#This Row],[Homeland%]]/mystic_bonus,MIN(mystic_cap,TblMili[[#This Row],[Homeland%]]/mystic_bonus))</f>
        <v>2</v>
      </c>
      <c r="BZ58" s="251">
        <f ca="1">IF(druid_op_cap="none",TblMili[[#This Row],[Homeland%]]/druid_op_bonus,MIN(druid_op_cap,TblMili[[#This Row],[Homeland%]]/druid_op_bonus))</f>
        <v>2</v>
      </c>
      <c r="CA58" s="251">
        <f ca="1">IF(druid_dp_cap="none",TblMili[[#This Row],[Homeland%]]/druid_dp_bonus,MIN(druid_dp_cap,TblMili[[#This Row],[Homeland%]]/druid_dp_bonus))</f>
        <v>2</v>
      </c>
      <c r="CB58" s="251">
        <f ca="1">MIN(dryad_cap,TblMili[[#This Row],[Homeland%]]/dryad_bonus)</f>
        <v>4</v>
      </c>
      <c r="CC58" s="251">
        <f ca="1">MIN(rocka_cap,TblMili[[#This Row],[Homeland%]]/rocka_bonus)</f>
        <v>2</v>
      </c>
      <c r="CD58" s="251">
        <f ca="1">MIN(adept_op_cap,TblMili[[#This Row],[WG]]/adept_op_bonus)</f>
        <v>0</v>
      </c>
      <c r="CE58" s="251">
        <f ca="1">MIN(adept_dp_cap,TblMili[[#This Row],[WG]]/adept_dp_bonus)</f>
        <v>0</v>
      </c>
      <c r="CF58" s="94">
        <f ca="1">MIN(TblMili[[#This Row],[Unit 3]],TblMili[[#This Row],[Unit 2]])*2</f>
        <v>0</v>
      </c>
      <c r="CG58" s="94">
        <f ca="1">MIN(TblMili[[#This Row],[Unit 1]],TblMili[[#This Row],[Unit 4]])*2</f>
        <v>0</v>
      </c>
      <c r="CH58" s="251">
        <f ca="1">MIN(frost_mage_cap,TblMili[[#This Row],[Homeland%]]/frost_mage_bonus)</f>
        <v>3</v>
      </c>
      <c r="CI58" s="45">
        <f ca="1">MIN(ice_elem_cap,TblMili[[#This Row],[Raw (2)]]*ice_elem_bonus)</f>
        <v>0</v>
      </c>
      <c r="CJ58" s="251">
        <f t="shared" si="2"/>
        <v>0.83333333333333337</v>
      </c>
      <c r="CK58" s="251">
        <f ca="1">MIN(nox_nightshade_cap,TblConstr[[#This Row],[Homeland]]/TblConstr[[#This Row],[Land]]/nox_nightshade_swamp_bonus)</f>
        <v>4</v>
      </c>
      <c r="CL58" s="251">
        <f ca="1">MIN(TblConstr[[#This Row],[Total Swamp]]/TblConstr[[#This Row],[Land]]/abyss_enforce_bonus,abyss_enforcer_cap)</f>
        <v>0</v>
      </c>
      <c r="CM58" s="251">
        <f ca="1">IF(TblMagic[[#This Row],[Active Infernal Command]]&gt;0,TblMili[[#This Row],[Unit 1]]*infernal_cmd_op,0)</f>
        <v>0</v>
      </c>
      <c r="CN58" s="252"/>
      <c r="CO58" s="252"/>
      <c r="CP58" s="252"/>
      <c r="CQ58" s="251">
        <f ca="1">MIN(6,TblMili[[#This Row],[Mystic]]+Races!$F$19)*1.8 +  IF(TblMili[[#This Row],[Mystic]]+Races!$F$19&gt;6,(TblMili[[#This Row],[Mystic]]+Races!$F$19-6)*0.2,0) - Races!$I$19</f>
        <v>1</v>
      </c>
      <c r="CR5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8" s="94">
        <f ca="1">TblMili[[#This Row],[Mystic bonus]]*TblMili[[#This Row],[Unit 3]]+TblMili[[#This Row],[Druid bonus]]*TblMili[[#This Row],[Unit 4]]</f>
        <v>0</v>
      </c>
      <c r="CT58" s="155">
        <f ca="1">MIN(6,TblMili[[#This Row],[Dryad]]+Races!$F$35)*1.8 +  IF(TblMili[[#This Row],[Dryad]]+Races!$F$35&gt;6,(TblMili[[#This Row],[Dryad]]+Races!$F$35-6)*0.2,0) - Races!$I$19</f>
        <v>1</v>
      </c>
      <c r="CU58" s="94">
        <f ca="1">sylvan*(TblMili[[#This Row],[Mystic bonus]]*TblMili[[#This Row],[Unit 3]])</f>
        <v>0</v>
      </c>
      <c r="CV58" s="155">
        <f ca="1">1.8 * MIN(MAX(Races!$E$27,TblMili[[#This Row],[Rockapult]]+Races!$F$27),6)  +  0.45 * MIN(MIN(Races!$E$27,TblMili[[#This Row],[Rockapult]]+Races!$F$27),6)  +  0.2 * ( MAX(Races!$E$27-6,0) + MAX(TblMili[[#This Row],[Rockapult]]+Races!$F$27-6,0) )  -  Races!$I$20</f>
        <v>3.7000000000000011</v>
      </c>
      <c r="CW58" s="94">
        <f ca="1">gnome*(TblMili[[#This Row],[Rockapult bonus]]*TblMili[[#This Row],[Unit 3]])</f>
        <v>0</v>
      </c>
      <c r="CX5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8" s="94">
        <f ca="1">dark_elf*(TblMili[[#This Row],[Adept bonus]]*TblMili[[#This Row],[Unit 3]])</f>
        <v>0</v>
      </c>
      <c r="CZ58" s="155">
        <f ca="1">1.8 * MIN(MAX(TblMili[[#This Row],[Frost Mage]]+Races!$F$71,Races!$E$71),6)  +  0.45 * MIN(MIN(TblMili[[#This Row],[Frost Mage]]+Races!$F$71,Races!$E$71),6)  +  0.2 * ( MAX(TblMili[[#This Row],[Frost Mage]]+Races!$F$71-6,0) + MAX(Races!$E$71-6,0) )  -  Races!$I$71</f>
        <v>6.15</v>
      </c>
      <c r="DA58" s="155">
        <f ca="1">1.8 * MIN(MAX(TblMili[[#This Row],[Ice Elemental]]+Races!$E$71,Races!$F$71),6)  +  0.45 * MIN(MIN(TblMili[[#This Row],[Ice Elemental]]+Races!$E$71,Races!$F$71),6)  +  0.2 * ( MAX(TblMili[[#This Row],[Ice Elemental]]+Races!$E$71-6,0) + MAX(Races!$F$71-6,0) )  -  Races!$I$71</f>
        <v>0.75</v>
      </c>
      <c r="DB58" s="94">
        <f ca="1">TblMili[[#This Row],[Frost Mage bonus]]*TblMili[[#This Row],[Unit 3]]+TblMili[[#This Row],[Ice Elemental bonus]]*TblMili[[#This Row],[Unit 4]]</f>
        <v>0</v>
      </c>
      <c r="DC58" s="253"/>
      <c r="DD58" s="143">
        <f ca="1">MIN(SUM(TblConstr[[#This Row],[Plain]:[Water]])/TblMili[[#This Row],[Land]]/favorable_terrain_bonus/100,favorable_terrain_max)</f>
        <v>0.1</v>
      </c>
      <c r="DE58" s="253"/>
      <c r="DF5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8" s="142"/>
      <c r="DH58" s="254">
        <f ca="1">(TblMili[[#This Row],[Wizards]]+2*TblMili[[#This Row],[Archmages]])/TblConstr[[#This Row],[Land]]</f>
        <v>0</v>
      </c>
      <c r="DI58" s="254">
        <f ca="1">TblMili[[#This Row],[Raw (2)]]*(1+race_wizard_strength+IF(TblMili[[#This Row],[Hour]]&gt;72,tech_magical_weaponry_wiz*TblTech[[#This Row],[3-5]],0))</f>
        <v>0</v>
      </c>
    </row>
    <row r="59" spans="1:113" x14ac:dyDescent="0.2">
      <c r="A59" s="137">
        <f>TblRezone[[#This Row],[Hour]]</f>
        <v>56</v>
      </c>
      <c r="B59" s="246">
        <f ca="1">SUM(TblMili[[#This Row],[Unit 1]:[Archmages]])+SUM(OFFSET(TblMili[[#This Row],[Train Unit 1]],-8,0):TblMili[[#This Row],[Train Unit 2]]) + SUM(OFFSET(TblMili[[#This Row],[Train Unit 3]],-11,0):TblMili[[#This Row],[Train AM]]) + TblMili[[#This Row],[Draftees]]</f>
        <v>499</v>
      </c>
      <c r="C59" s="157">
        <f ca="1">TblPop[[#This Row],[Military%]]</f>
        <v>0.46375464684014872</v>
      </c>
      <c r="D59" s="142"/>
      <c r="E59" s="45">
        <f ca="1">OFFSET(TblMili[[#This Row],[Unit 1]],-1,0) + OFFSET(TblMili[[#This Row],[Train Unit 1]],-9,0) - TblMili[[#This Row],[Release Unit 1]] + OFFSET(TblMili[[#This Row],[DnD_Zombies]],-12,0)</f>
        <v>0</v>
      </c>
      <c r="F59" s="45">
        <f ca="1">OFFSET(TblMili[[#This Row],[Unit 2]],-1,0) + OFFSET(TblMili[[#This Row],[Train Unit 2]],-9,0)-TblMili[[#This Row],[Release Unit 2]]</f>
        <v>0</v>
      </c>
      <c r="G59" s="45">
        <f ca="1">OFFSET(TblMili[[#This Row],[Unit 3]],-1,0) + OFFSET(TblMili[[#This Row],[Train Unit 3]],-12,0)-TblMili[[#This Row],[Release Unit 3]]</f>
        <v>0</v>
      </c>
      <c r="H59" s="45">
        <f ca="1">OFFSET(TblMili[[#This Row],[Unit 4]],-1,0) + OFFSET(TblMili[[#This Row],[Train Unit 4]],-12,0)-TblMili[[#This Row],[Release Unit 4]]</f>
        <v>0</v>
      </c>
      <c r="I59" s="45">
        <f ca="1">OFFSET(TblMili[[#This Row],[Spies]],-1,0) + OFFSET(TblMili[[#This Row],[Train Spies]],-12,0) - TblMili[[#This Row],[Release Spies]]-TblMili[[#This Row],[Train AS]]</f>
        <v>0</v>
      </c>
      <c r="J59" s="45">
        <f ca="1">OFFSET(TblMili[[#This Row],[Archspies]],-1,0) + OFFSET(TblMili[[#This Row],[Train AS]],-12,0) - TblMili[[#This Row],[Release AS]]</f>
        <v>0</v>
      </c>
      <c r="K59" s="45">
        <f ca="1">OFFSET(TblMili[[#This Row],[Wizards]],-1,0) + OFFSET(TblMili[[#This Row],[Train Wiz]],-12,0) - TblMili[[#This Row],[Release Wizards]]-TblMili[[#This Row],[Train AM]]</f>
        <v>0</v>
      </c>
      <c r="L59" s="45">
        <f ca="1">OFFSET(TblMili[[#This Row],[Archmages]],-1,0) + OFFSET(TblMili[[#This Row],[Train AM]],-12,0) - TblMili[[#This Row],[Release AM]]</f>
        <v>0</v>
      </c>
      <c r="M59" s="142"/>
      <c r="N59" s="94">
        <f ca="1">TblProd[[#This Row],[Networth]]</f>
        <v>2450</v>
      </c>
      <c r="O59" s="142"/>
      <c r="P5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5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59" s="247">
        <f ca="1">TblMili[[#This Row],[Raw]]*(1+TblMili[[#This Row],[Mods_Off]])</f>
        <v>0</v>
      </c>
      <c r="S5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59" s="247">
        <f ca="1">TblMili[[#This Row],[Non Draft]]+TblMili[[#This Row],[Draftees]]</f>
        <v>499</v>
      </c>
      <c r="U59" s="248">
        <f ca="1">race_defense + TblImps[[#This Row],[Walls]] + ROUND( MIN(gt_bonus*TblConstr[[#This Row],[Tot GT]]/TblConstr[[#This Row],[Land]],gt_bonus_cap), 4) + IF(TblMagic[[#This Row],[Active Howling]]&gt;0,howling_dp_bonus,IF(TblMagic[[#This Row],[Active Ares Call]]&gt;0,ares_call_bonus))</f>
        <v>0</v>
      </c>
      <c r="V59" s="249">
        <f ca="1">TblMili[[#This Row],[Non Draft]] * (1 + TblMili[[#This Row],[Mods_Def]])</f>
        <v>0</v>
      </c>
      <c r="W59" s="247">
        <f ca="1">TblMili[[#This Row],[Draft]] * (1 + TblMili[[#This Row],[Mods_Def]])</f>
        <v>499</v>
      </c>
      <c r="X59" s="247">
        <f ca="1">TblConstr[[#This Row],[Land]]</f>
        <v>110</v>
      </c>
      <c r="Y59" s="250"/>
      <c r="Z59" s="255">
        <f ca="1">IF(TblMili[[#This Row],[Set]]&lt;&gt;"",TblMili[[#This Row],[Set]],OFFSET(TblMili[[#This Row],[Draftrate]],-1,0))</f>
        <v>0.9</v>
      </c>
      <c r="AA59" s="94">
        <f ca="1">OFFSET(TblMili[[#This Row],[Draftees]],-1,0)+OFFSET(TblPop[[#This Row],[Draft Growth]],-1,0) - SUM(TblMili[[#This Row],[Train Unit 1]:[Train Spies]],TblMili[[#This Row],[Train Wiz]],TblMili[[#This Row],[DnD_Zombies]]) - TblMili[[#This Row],[Release Draft]] + SUM(TblMili[[#This Row],[Release Unit 1]:[Release AM]]) - TblExplore[[#This Row],[Draftees (2)]]</f>
        <v>499</v>
      </c>
      <c r="AB59" s="154"/>
      <c r="AC59" s="180">
        <f ca="1">(TblConstr[[#This Row],[Tot Smi]]+TblConstr[[#This Row],[Dest Smi]])/(TblConstr[[#This Row],[Land]]-TblExplore[[#This Row],[Land Bonus]]*20)</f>
        <v>0</v>
      </c>
      <c r="AD59" s="137"/>
      <c r="AE59" s="246">
        <f>TblMili[[#This Row],[Hour]]</f>
        <v>56</v>
      </c>
      <c r="AF59" s="138">
        <f ca="1">TblExplore[[#This Row],[Time]]</f>
        <v>46049.291666666533</v>
      </c>
      <c r="AG59" s="179"/>
      <c r="AH59" s="179"/>
      <c r="AI59" s="179"/>
      <c r="AJ59" s="179"/>
      <c r="AK59" s="179"/>
      <c r="AL59" s="179"/>
      <c r="AM59" s="179"/>
      <c r="AN59" s="179"/>
      <c r="AO59" s="420">
        <f ca="1">ROUND(IF(AND(TblMagic[[#This Row],[Active DnD]]&lt;12,TblMagic[[#This Row],[Active DnD]]&gt;5),OFFSET(TblPop[[#This Row],[Draft Growth]],-1,0)*0.375,0),0)</f>
        <v>0</v>
      </c>
      <c r="AP59" s="142"/>
      <c r="AQ59" s="94">
        <f ca="1">TblProd[[#This Row],[Platinum]]</f>
        <v>144166</v>
      </c>
      <c r="AR59" s="94">
        <f ca="1">INDEX(TblProd[[#Headers],[Lumber]]:TblProd[[#This Row],[Ore]],COUNTA(TblProd[[#Headers],[Lumber]]:TblProd[[#This Row],[Lumber]]),MATCH(Military!$AR$2,TblProd[[#Headers],[Lumber]:[Ore]],0))</f>
        <v>0</v>
      </c>
      <c r="AS5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59" s="94">
        <f ca="1">TblMili[[#This Row],[Train Unit 1]]*TblMili[[#This Row],[OP Ore]]+TblMili[[#This Row],[Train Unit 2]]*TblMili[[#This Row],[DP Ore]]+TblMili[[#This Row],[Train Unit 3]]*TblMili[[#This Row],[E1 Ore]]+TblMili[[#This Row],[Train Unit 4]]*TblMili[[#This Row],[E2 Ore]]</f>
        <v>0</v>
      </c>
      <c r="AU59" s="142">
        <f>TblMili[[#This Row],[Hour]]</f>
        <v>56</v>
      </c>
      <c r="AV59" s="152">
        <f ca="1">TblMili[[#This Row],[Time]]</f>
        <v>46049.291666666533</v>
      </c>
      <c r="AW59" s="94">
        <f ca="1">TblMili[[#This Row],[Draftees]]</f>
        <v>499</v>
      </c>
      <c r="AX59" s="179"/>
      <c r="AY59" s="179"/>
      <c r="AZ59" s="179"/>
      <c r="BA59" s="179"/>
      <c r="BB59" s="179"/>
      <c r="BC59" s="179"/>
      <c r="BD59" s="179"/>
      <c r="BE59" s="179"/>
      <c r="BF59" s="179"/>
      <c r="BG59" s="142"/>
      <c r="BH59" s="157">
        <f ca="1">TblConstr[[#This Row],[Tot WG]]/TblConstr[[#This Row],[Land]]</f>
        <v>0</v>
      </c>
      <c r="BI59" s="157">
        <f ca="1">TblConstr[[#This Row],[Tot Hav]]/TblConstr[[#This Row],[Land]]</f>
        <v>0</v>
      </c>
      <c r="BJ59" s="94">
        <f ca="1">ROUNDUP((1-MIN(TblMili[[#This Row],[Smithies]]*smithy_bonus,smithy_bonus_cap) + tech_3_5*TblTech[[#This Row],[3-5]] + tech_5_3*TblTech[[#This Row],[5-3]] + tech_5_5*TblTech[[#This Row],[5-5]])*spec_op_plat,0)</f>
        <v>275</v>
      </c>
      <c r="BK59" s="94">
        <f ca="1">ROUNDUP(IF(race="Gnome",1,(1-MIN(TblMili[[#This Row],[Smithies]]*smithy_bonus,smithy_bonus_cap) + tech_3_5*TblTech[[#This Row],[3-5]] + tech_5_3*TblTech[[#This Row],[5-3]] + tech_5_5*TblTech[[#This Row],[5-5]]))*spec_op_ore,0)</f>
        <v>25</v>
      </c>
      <c r="BL59" s="94">
        <f ca="1">ROUNDUP((1-MIN(TblMili[[#This Row],[Smithies]]*smithy_bonus,smithy_bonus_cap) + tech_3_5*TblTech[[#This Row],[3-5]] + tech_5_3*TblTech[[#This Row],[5-3]] + tech_5_5*TblTech[[#This Row],[5-5]])*spec_dp_plat,0)</f>
        <v>275</v>
      </c>
      <c r="BM59" s="94">
        <f ca="1">ROUNDUP(IF(race="Gnome",1,(1-MIN(TblMili[[#This Row],[Smithies]]*smithy_bonus,smithy_bonus_cap) + tech_3_5*TblTech[[#This Row],[3-5]] + tech_5_3*TblTech[[#This Row],[5-3]] + tech_5_5*TblTech[[#This Row],[5-5]]))*spec_dp_ore,0)</f>
        <v>15</v>
      </c>
      <c r="BN59" s="94">
        <f ca="1">ROUNDUP((1-MIN(TblMili[[#This Row],[Smithies]]*smithy_bonus,smithy_bonus_cap) + tech_3_5*TblTech[[#This Row],[3-5]] + tech_5_3*TblTech[[#This Row],[5-3]] + tech_5_5*TblTech[[#This Row],[5-5]])*elite1_plat,0)</f>
        <v>1040</v>
      </c>
      <c r="BO59" s="94">
        <f ca="1">ROUNDUP(IF(race="Gnome",1,(1-MIN(TblMili[[#This Row],[Smithies]]*smithy_bonus,smithy_bonus_cap) + tech_3_5*TblTech[[#This Row],[3-5]] + tech_5_3*TblTech[[#This Row],[5-3]] + tech_5_5*TblTech[[#This Row],[5-5]]))*elite1_ore,0)</f>
        <v>75</v>
      </c>
      <c r="BP59" s="94">
        <f ca="1">ROUNDUP((1-MIN(TblMili[[#This Row],[Smithies]]*smithy_bonus,smithy_bonus_cap) + tech_3_5*TblTech[[#This Row],[3-5]] + tech_5_3*TblTech[[#This Row],[5-3]] + tech_5_5*TblTech[[#This Row],[5-5]])*elite2_plat,0)</f>
        <v>1280</v>
      </c>
      <c r="BQ59" s="94">
        <f ca="1">ROUNDUP(IF(race="Gnome",1,(1-MIN(TblMili[[#This Row],[Smithies]]*smithy_bonus,smithy_bonus_cap) + tech_3_5*TblTech[[#This Row],[3-5]] + tech_5_3*TblTech[[#This Row],[5-3]] + tech_5_5*TblTech[[#This Row],[5-5]]))*elite2_ore,0)</f>
        <v>100</v>
      </c>
      <c r="BR59" s="94">
        <f ca="1">ROUNDUP((1-MIN(ROUND(fh_spy_cost_red*TblMili[[#This Row],[FH''s]],4),fh_spy_cost_cap)+ tech_1_9*TblTech[[#This Row],[1-9]] + tech_9_1*TblTech[[#This Row],[9-1]])*spy_plat,0)</f>
        <v>500</v>
      </c>
      <c r="BS59" s="94">
        <f ca="1">ROUNDUP((1-MIN(ROUND(fh_spy_cost_red*TblMili[[#This Row],[FH''s]],4),fh_spy_cost_cap)+ tech_1_9*TblTech[[#This Row],[1-9]] + tech_9_1*TblTech[[#This Row],[9-1]])*archspy_plat,0)</f>
        <v>1000</v>
      </c>
      <c r="BT59" s="94">
        <f ca="1">ROUNDUP((1-MIN(ROUND(wg_wiz_cost_bonus*TblMili[[#This Row],[WG''s]],4),wg_wiz_cost_cap) + tech_1_9_2*TblTech[[#This Row],[1-9]] + tech_9_1_2*TblTech[[#This Row],[9-1]])*wizard_plat,0)</f>
        <v>500</v>
      </c>
      <c r="BU59" s="94">
        <f ca="1">ROUNDUP((1-MIN(ROUND(wg_wiz_cost_bonus*TblMili[[#This Row],[WG''s]],4),wg_wiz_cost_cap) + tech_1_9_2*TblTech[[#This Row],[1-9]] + tech_9_1_2*TblTech[[#This Row],[9-1]])*archmage_plat,0)</f>
        <v>1000</v>
      </c>
      <c r="BV59" s="142"/>
      <c r="BW59" s="157">
        <f ca="1">TblConstr[[#This Row],[Homeland]]/TblConstr[[#This Row],[Land]]</f>
        <v>0.81818181818181823</v>
      </c>
      <c r="BX59" s="157">
        <f ca="1">TblMili[[#This Row],[WG''s]]</f>
        <v>0</v>
      </c>
      <c r="BY59" s="251">
        <f ca="1">IF(mystic_cap="none",TblMili[[#This Row],[Homeland%]]/mystic_bonus,MIN(mystic_cap,TblMili[[#This Row],[Homeland%]]/mystic_bonus))</f>
        <v>2</v>
      </c>
      <c r="BZ59" s="251">
        <f ca="1">IF(druid_op_cap="none",TblMili[[#This Row],[Homeland%]]/druid_op_bonus,MIN(druid_op_cap,TblMili[[#This Row],[Homeland%]]/druid_op_bonus))</f>
        <v>2</v>
      </c>
      <c r="CA59" s="251">
        <f ca="1">IF(druid_dp_cap="none",TblMili[[#This Row],[Homeland%]]/druid_dp_bonus,MIN(druid_dp_cap,TblMili[[#This Row],[Homeland%]]/druid_dp_bonus))</f>
        <v>2</v>
      </c>
      <c r="CB59" s="251">
        <f ca="1">MIN(dryad_cap,TblMili[[#This Row],[Homeland%]]/dryad_bonus)</f>
        <v>4</v>
      </c>
      <c r="CC59" s="251">
        <f ca="1">MIN(rocka_cap,TblMili[[#This Row],[Homeland%]]/rocka_bonus)</f>
        <v>2</v>
      </c>
      <c r="CD59" s="251">
        <f ca="1">MIN(adept_op_cap,TblMili[[#This Row],[WG]]/adept_op_bonus)</f>
        <v>0</v>
      </c>
      <c r="CE59" s="251">
        <f ca="1">MIN(adept_dp_cap,TblMili[[#This Row],[WG]]/adept_dp_bonus)</f>
        <v>0</v>
      </c>
      <c r="CF59" s="94">
        <f ca="1">MIN(TblMili[[#This Row],[Unit 3]],TblMili[[#This Row],[Unit 2]])*2</f>
        <v>0</v>
      </c>
      <c r="CG59" s="94">
        <f ca="1">MIN(TblMili[[#This Row],[Unit 1]],TblMili[[#This Row],[Unit 4]])*2</f>
        <v>0</v>
      </c>
      <c r="CH59" s="251">
        <f ca="1">MIN(frost_mage_cap,TblMili[[#This Row],[Homeland%]]/frost_mage_bonus)</f>
        <v>3</v>
      </c>
      <c r="CI59" s="45">
        <f ca="1">MIN(ice_elem_cap,TblMili[[#This Row],[Raw (2)]]*ice_elem_bonus)</f>
        <v>0</v>
      </c>
      <c r="CJ59" s="251">
        <f t="shared" si="2"/>
        <v>0.83333333333333337</v>
      </c>
      <c r="CK59" s="251">
        <f ca="1">MIN(nox_nightshade_cap,TblConstr[[#This Row],[Homeland]]/TblConstr[[#This Row],[Land]]/nox_nightshade_swamp_bonus)</f>
        <v>4</v>
      </c>
      <c r="CL59" s="251">
        <f ca="1">MIN(TblConstr[[#This Row],[Total Swamp]]/TblConstr[[#This Row],[Land]]/abyss_enforce_bonus,abyss_enforcer_cap)</f>
        <v>0</v>
      </c>
      <c r="CM59" s="251">
        <f ca="1">IF(TblMagic[[#This Row],[Active Infernal Command]]&gt;0,TblMili[[#This Row],[Unit 1]]*infernal_cmd_op,0)</f>
        <v>0</v>
      </c>
      <c r="CN59" s="252"/>
      <c r="CO59" s="252"/>
      <c r="CP59" s="252"/>
      <c r="CQ59" s="251">
        <f ca="1">MIN(6,TblMili[[#This Row],[Mystic]]+Races!$F$19)*1.8 +  IF(TblMili[[#This Row],[Mystic]]+Races!$F$19&gt;6,(TblMili[[#This Row],[Mystic]]+Races!$F$19-6)*0.2,0) - Races!$I$19</f>
        <v>1</v>
      </c>
      <c r="CR5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59" s="94">
        <f ca="1">TblMili[[#This Row],[Mystic bonus]]*TblMili[[#This Row],[Unit 3]]+TblMili[[#This Row],[Druid bonus]]*TblMili[[#This Row],[Unit 4]]</f>
        <v>0</v>
      </c>
      <c r="CT59" s="155">
        <f ca="1">MIN(6,TblMili[[#This Row],[Dryad]]+Races!$F$35)*1.8 +  IF(TblMili[[#This Row],[Dryad]]+Races!$F$35&gt;6,(TblMili[[#This Row],[Dryad]]+Races!$F$35-6)*0.2,0) - Races!$I$19</f>
        <v>1</v>
      </c>
      <c r="CU59" s="94">
        <f ca="1">sylvan*(TblMili[[#This Row],[Mystic bonus]]*TblMili[[#This Row],[Unit 3]])</f>
        <v>0</v>
      </c>
      <c r="CV59" s="155">
        <f ca="1">1.8 * MIN(MAX(Races!$E$27,TblMili[[#This Row],[Rockapult]]+Races!$F$27),6)  +  0.45 * MIN(MIN(Races!$E$27,TblMili[[#This Row],[Rockapult]]+Races!$F$27),6)  +  0.2 * ( MAX(Races!$E$27-6,0) + MAX(TblMili[[#This Row],[Rockapult]]+Races!$F$27-6,0) )  -  Races!$I$20</f>
        <v>3.7000000000000011</v>
      </c>
      <c r="CW59" s="94">
        <f ca="1">gnome*(TblMili[[#This Row],[Rockapult bonus]]*TblMili[[#This Row],[Unit 3]])</f>
        <v>0</v>
      </c>
      <c r="CX5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59" s="94">
        <f ca="1">dark_elf*(TblMili[[#This Row],[Adept bonus]]*TblMili[[#This Row],[Unit 3]])</f>
        <v>0</v>
      </c>
      <c r="CZ59" s="155">
        <f ca="1">1.8 * MIN(MAX(TblMili[[#This Row],[Frost Mage]]+Races!$F$71,Races!$E$71),6)  +  0.45 * MIN(MIN(TblMili[[#This Row],[Frost Mage]]+Races!$F$71,Races!$E$71),6)  +  0.2 * ( MAX(TblMili[[#This Row],[Frost Mage]]+Races!$F$71-6,0) + MAX(Races!$E$71-6,0) )  -  Races!$I$71</f>
        <v>6.15</v>
      </c>
      <c r="DA59" s="155">
        <f ca="1">1.8 * MIN(MAX(TblMili[[#This Row],[Ice Elemental]]+Races!$E$71,Races!$F$71),6)  +  0.45 * MIN(MIN(TblMili[[#This Row],[Ice Elemental]]+Races!$E$71,Races!$F$71),6)  +  0.2 * ( MAX(TblMili[[#This Row],[Ice Elemental]]+Races!$E$71-6,0) + MAX(Races!$F$71-6,0) )  -  Races!$I$71</f>
        <v>0.75</v>
      </c>
      <c r="DB59" s="94">
        <f ca="1">TblMili[[#This Row],[Frost Mage bonus]]*TblMili[[#This Row],[Unit 3]]+TblMili[[#This Row],[Ice Elemental bonus]]*TblMili[[#This Row],[Unit 4]]</f>
        <v>0</v>
      </c>
      <c r="DC59" s="253"/>
      <c r="DD59" s="143">
        <f ca="1">MIN(SUM(TblConstr[[#This Row],[Plain]:[Water]])/TblMili[[#This Row],[Land]]/favorable_terrain_bonus/100,favorable_terrain_max)</f>
        <v>0.1</v>
      </c>
      <c r="DE59" s="253"/>
      <c r="DF5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59" s="142"/>
      <c r="DH59" s="254">
        <f ca="1">(TblMili[[#This Row],[Wizards]]+2*TblMili[[#This Row],[Archmages]])/TblConstr[[#This Row],[Land]]</f>
        <v>0</v>
      </c>
      <c r="DI59" s="254">
        <f ca="1">TblMili[[#This Row],[Raw (2)]]*(1+race_wizard_strength+IF(TblMili[[#This Row],[Hour]]&gt;72,tech_magical_weaponry_wiz*TblTech[[#This Row],[3-5]],0))</f>
        <v>0</v>
      </c>
    </row>
    <row r="60" spans="1:113" x14ac:dyDescent="0.2">
      <c r="A60" s="137">
        <f>TblRezone[[#This Row],[Hour]]</f>
        <v>57</v>
      </c>
      <c r="B60" s="246">
        <f ca="1">SUM(TblMili[[#This Row],[Unit 1]:[Archmages]])+SUM(OFFSET(TblMili[[#This Row],[Train Unit 1]],-8,0):TblMili[[#This Row],[Train Unit 2]]) + SUM(OFFSET(TblMili[[#This Row],[Train Unit 3]],-11,0):TblMili[[#This Row],[Train AM]]) + TblMili[[#This Row],[Draftees]]</f>
        <v>505</v>
      </c>
      <c r="C60" s="157">
        <f ca="1">TblPop[[#This Row],[Military%]]</f>
        <v>0.46933085501858735</v>
      </c>
      <c r="D60" s="142"/>
      <c r="E60" s="45">
        <f ca="1">OFFSET(TblMili[[#This Row],[Unit 1]],-1,0) + OFFSET(TblMili[[#This Row],[Train Unit 1]],-9,0) - TblMili[[#This Row],[Release Unit 1]] + OFFSET(TblMili[[#This Row],[DnD_Zombies]],-12,0)</f>
        <v>0</v>
      </c>
      <c r="F60" s="45">
        <f ca="1">OFFSET(TblMili[[#This Row],[Unit 2]],-1,0) + OFFSET(TblMili[[#This Row],[Train Unit 2]],-9,0)-TblMili[[#This Row],[Release Unit 2]]</f>
        <v>0</v>
      </c>
      <c r="G60" s="45">
        <f ca="1">OFFSET(TblMili[[#This Row],[Unit 3]],-1,0) + OFFSET(TblMili[[#This Row],[Train Unit 3]],-12,0)-TblMili[[#This Row],[Release Unit 3]]</f>
        <v>0</v>
      </c>
      <c r="H60" s="45">
        <f ca="1">OFFSET(TblMili[[#This Row],[Unit 4]],-1,0) + OFFSET(TblMili[[#This Row],[Train Unit 4]],-12,0)-TblMili[[#This Row],[Release Unit 4]]</f>
        <v>0</v>
      </c>
      <c r="I60" s="45">
        <f ca="1">OFFSET(TblMili[[#This Row],[Spies]],-1,0) + OFFSET(TblMili[[#This Row],[Train Spies]],-12,0) - TblMili[[#This Row],[Release Spies]]-TblMili[[#This Row],[Train AS]]</f>
        <v>0</v>
      </c>
      <c r="J60" s="45">
        <f ca="1">OFFSET(TblMili[[#This Row],[Archspies]],-1,0) + OFFSET(TblMili[[#This Row],[Train AS]],-12,0) - TblMili[[#This Row],[Release AS]]</f>
        <v>0</v>
      </c>
      <c r="K60" s="45">
        <f ca="1">OFFSET(TblMili[[#This Row],[Wizards]],-1,0) + OFFSET(TblMili[[#This Row],[Train Wiz]],-12,0) - TblMili[[#This Row],[Release Wizards]]-TblMili[[#This Row],[Train AM]]</f>
        <v>0</v>
      </c>
      <c r="L60" s="45">
        <f ca="1">OFFSET(TblMili[[#This Row],[Archmages]],-1,0) + OFFSET(TblMili[[#This Row],[Train AM]],-12,0) - TblMili[[#This Row],[Release AM]]</f>
        <v>0</v>
      </c>
      <c r="M60" s="142"/>
      <c r="N60" s="94">
        <f ca="1">TblProd[[#This Row],[Networth]]</f>
        <v>2450</v>
      </c>
      <c r="O60" s="142"/>
      <c r="P6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0" s="247">
        <f ca="1">TblMili[[#This Row],[Raw]]*(1+TblMili[[#This Row],[Mods_Off]])</f>
        <v>0</v>
      </c>
      <c r="S6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0" s="247">
        <f ca="1">TblMili[[#This Row],[Non Draft]]+TblMili[[#This Row],[Draftees]]</f>
        <v>505</v>
      </c>
      <c r="U60" s="248">
        <f ca="1">race_defense + TblImps[[#This Row],[Walls]] + ROUND( MIN(gt_bonus*TblConstr[[#This Row],[Tot GT]]/TblConstr[[#This Row],[Land]],gt_bonus_cap), 4) + IF(TblMagic[[#This Row],[Active Howling]]&gt;0,howling_dp_bonus,IF(TblMagic[[#This Row],[Active Ares Call]]&gt;0,ares_call_bonus))</f>
        <v>0</v>
      </c>
      <c r="V60" s="249">
        <f ca="1">TblMili[[#This Row],[Non Draft]] * (1 + TblMili[[#This Row],[Mods_Def]])</f>
        <v>0</v>
      </c>
      <c r="W60" s="247">
        <f ca="1">TblMili[[#This Row],[Draft]] * (1 + TblMili[[#This Row],[Mods_Def]])</f>
        <v>505</v>
      </c>
      <c r="X60" s="247">
        <f ca="1">TblConstr[[#This Row],[Land]]</f>
        <v>110</v>
      </c>
      <c r="Y60" s="250"/>
      <c r="Z60" s="255">
        <f ca="1">IF(TblMili[[#This Row],[Set]]&lt;&gt;"",TblMili[[#This Row],[Set]],OFFSET(TblMili[[#This Row],[Draftrate]],-1,0))</f>
        <v>0.9</v>
      </c>
      <c r="AA60" s="94">
        <f ca="1">OFFSET(TblMili[[#This Row],[Draftees]],-1,0)+OFFSET(TblPop[[#This Row],[Draft Growth]],-1,0) - SUM(TblMili[[#This Row],[Train Unit 1]:[Train Spies]],TblMili[[#This Row],[Train Wiz]],TblMili[[#This Row],[DnD_Zombies]]) - TblMili[[#This Row],[Release Draft]] + SUM(TblMili[[#This Row],[Release Unit 1]:[Release AM]]) - TblExplore[[#This Row],[Draftees (2)]]</f>
        <v>505</v>
      </c>
      <c r="AB60" s="154"/>
      <c r="AC60" s="180">
        <f ca="1">(TblConstr[[#This Row],[Tot Smi]]+TblConstr[[#This Row],[Dest Smi]])/(TblConstr[[#This Row],[Land]]-TblExplore[[#This Row],[Land Bonus]]*20)</f>
        <v>0</v>
      </c>
      <c r="AD60" s="137"/>
      <c r="AE60" s="246">
        <f>TblMili[[#This Row],[Hour]]</f>
        <v>57</v>
      </c>
      <c r="AF60" s="138">
        <f ca="1">TblExplore[[#This Row],[Time]]</f>
        <v>46049.333333333198</v>
      </c>
      <c r="AG60" s="179"/>
      <c r="AH60" s="179"/>
      <c r="AI60" s="179"/>
      <c r="AJ60" s="179"/>
      <c r="AK60" s="179"/>
      <c r="AL60" s="179"/>
      <c r="AM60" s="179"/>
      <c r="AN60" s="179"/>
      <c r="AO60" s="420">
        <f ca="1">ROUND(IF(AND(TblMagic[[#This Row],[Active DnD]]&lt;12,TblMagic[[#This Row],[Active DnD]]&gt;5),OFFSET(TblPop[[#This Row],[Draft Growth]],-1,0)*0.375,0),0)</f>
        <v>0</v>
      </c>
      <c r="AP60" s="142"/>
      <c r="AQ60" s="94">
        <f ca="1">TblProd[[#This Row],[Platinum]]</f>
        <v>145723</v>
      </c>
      <c r="AR60" s="94">
        <f ca="1">INDEX(TblProd[[#Headers],[Lumber]]:TblProd[[#This Row],[Ore]],COUNTA(TblProd[[#Headers],[Lumber]]:TblProd[[#This Row],[Lumber]]),MATCH(Military!$AR$2,TblProd[[#Headers],[Lumber]:[Ore]],0))</f>
        <v>0</v>
      </c>
      <c r="AS6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0" s="94">
        <f ca="1">TblMili[[#This Row],[Train Unit 1]]*TblMili[[#This Row],[OP Ore]]+TblMili[[#This Row],[Train Unit 2]]*TblMili[[#This Row],[DP Ore]]+TblMili[[#This Row],[Train Unit 3]]*TblMili[[#This Row],[E1 Ore]]+TblMili[[#This Row],[Train Unit 4]]*TblMili[[#This Row],[E2 Ore]]</f>
        <v>0</v>
      </c>
      <c r="AU60" s="142">
        <f>TblMili[[#This Row],[Hour]]</f>
        <v>57</v>
      </c>
      <c r="AV60" s="152">
        <f ca="1">TblMili[[#This Row],[Time]]</f>
        <v>46049.333333333198</v>
      </c>
      <c r="AW60" s="94">
        <f ca="1">TblMili[[#This Row],[Draftees]]</f>
        <v>505</v>
      </c>
      <c r="AX60" s="179"/>
      <c r="AY60" s="179"/>
      <c r="AZ60" s="179"/>
      <c r="BA60" s="179"/>
      <c r="BB60" s="179"/>
      <c r="BC60" s="179"/>
      <c r="BD60" s="179"/>
      <c r="BE60" s="179"/>
      <c r="BF60" s="179"/>
      <c r="BG60" s="142"/>
      <c r="BH60" s="157">
        <f ca="1">TblConstr[[#This Row],[Tot WG]]/TblConstr[[#This Row],[Land]]</f>
        <v>0</v>
      </c>
      <c r="BI60" s="157">
        <f ca="1">TblConstr[[#This Row],[Tot Hav]]/TblConstr[[#This Row],[Land]]</f>
        <v>0</v>
      </c>
      <c r="BJ60" s="94">
        <f ca="1">ROUNDUP((1-MIN(TblMili[[#This Row],[Smithies]]*smithy_bonus,smithy_bonus_cap) + tech_3_5*TblTech[[#This Row],[3-5]] + tech_5_3*TblTech[[#This Row],[5-3]] + tech_5_5*TblTech[[#This Row],[5-5]])*spec_op_plat,0)</f>
        <v>275</v>
      </c>
      <c r="BK60" s="94">
        <f ca="1">ROUNDUP(IF(race="Gnome",1,(1-MIN(TblMili[[#This Row],[Smithies]]*smithy_bonus,smithy_bonus_cap) + tech_3_5*TblTech[[#This Row],[3-5]] + tech_5_3*TblTech[[#This Row],[5-3]] + tech_5_5*TblTech[[#This Row],[5-5]]))*spec_op_ore,0)</f>
        <v>25</v>
      </c>
      <c r="BL60" s="94">
        <f ca="1">ROUNDUP((1-MIN(TblMili[[#This Row],[Smithies]]*smithy_bonus,smithy_bonus_cap) + tech_3_5*TblTech[[#This Row],[3-5]] + tech_5_3*TblTech[[#This Row],[5-3]] + tech_5_5*TblTech[[#This Row],[5-5]])*spec_dp_plat,0)</f>
        <v>275</v>
      </c>
      <c r="BM60" s="94">
        <f ca="1">ROUNDUP(IF(race="Gnome",1,(1-MIN(TblMili[[#This Row],[Smithies]]*smithy_bonus,smithy_bonus_cap) + tech_3_5*TblTech[[#This Row],[3-5]] + tech_5_3*TblTech[[#This Row],[5-3]] + tech_5_5*TblTech[[#This Row],[5-5]]))*spec_dp_ore,0)</f>
        <v>15</v>
      </c>
      <c r="BN60" s="94">
        <f ca="1">ROUNDUP((1-MIN(TblMili[[#This Row],[Smithies]]*smithy_bonus,smithy_bonus_cap) + tech_3_5*TblTech[[#This Row],[3-5]] + tech_5_3*TblTech[[#This Row],[5-3]] + tech_5_5*TblTech[[#This Row],[5-5]])*elite1_plat,0)</f>
        <v>1040</v>
      </c>
      <c r="BO60" s="94">
        <f ca="1">ROUNDUP(IF(race="Gnome",1,(1-MIN(TblMili[[#This Row],[Smithies]]*smithy_bonus,smithy_bonus_cap) + tech_3_5*TblTech[[#This Row],[3-5]] + tech_5_3*TblTech[[#This Row],[5-3]] + tech_5_5*TblTech[[#This Row],[5-5]]))*elite1_ore,0)</f>
        <v>75</v>
      </c>
      <c r="BP60" s="94">
        <f ca="1">ROUNDUP((1-MIN(TblMili[[#This Row],[Smithies]]*smithy_bonus,smithy_bonus_cap) + tech_3_5*TblTech[[#This Row],[3-5]] + tech_5_3*TblTech[[#This Row],[5-3]] + tech_5_5*TblTech[[#This Row],[5-5]])*elite2_plat,0)</f>
        <v>1280</v>
      </c>
      <c r="BQ60" s="94">
        <f ca="1">ROUNDUP(IF(race="Gnome",1,(1-MIN(TblMili[[#This Row],[Smithies]]*smithy_bonus,smithy_bonus_cap) + tech_3_5*TblTech[[#This Row],[3-5]] + tech_5_3*TblTech[[#This Row],[5-3]] + tech_5_5*TblTech[[#This Row],[5-5]]))*elite2_ore,0)</f>
        <v>100</v>
      </c>
      <c r="BR60" s="94">
        <f ca="1">ROUNDUP((1-MIN(ROUND(fh_spy_cost_red*TblMili[[#This Row],[FH''s]],4),fh_spy_cost_cap)+ tech_1_9*TblTech[[#This Row],[1-9]] + tech_9_1*TblTech[[#This Row],[9-1]])*spy_plat,0)</f>
        <v>500</v>
      </c>
      <c r="BS60" s="94">
        <f ca="1">ROUNDUP((1-MIN(ROUND(fh_spy_cost_red*TblMili[[#This Row],[FH''s]],4),fh_spy_cost_cap)+ tech_1_9*TblTech[[#This Row],[1-9]] + tech_9_1*TblTech[[#This Row],[9-1]])*archspy_plat,0)</f>
        <v>1000</v>
      </c>
      <c r="BT60" s="94">
        <f ca="1">ROUNDUP((1-MIN(ROUND(wg_wiz_cost_bonus*TblMili[[#This Row],[WG''s]],4),wg_wiz_cost_cap) + tech_1_9_2*TblTech[[#This Row],[1-9]] + tech_9_1_2*TblTech[[#This Row],[9-1]])*wizard_plat,0)</f>
        <v>500</v>
      </c>
      <c r="BU60" s="94">
        <f ca="1">ROUNDUP((1-MIN(ROUND(wg_wiz_cost_bonus*TblMili[[#This Row],[WG''s]],4),wg_wiz_cost_cap) + tech_1_9_2*TblTech[[#This Row],[1-9]] + tech_9_1_2*TblTech[[#This Row],[9-1]])*archmage_plat,0)</f>
        <v>1000</v>
      </c>
      <c r="BV60" s="142"/>
      <c r="BW60" s="157">
        <f ca="1">TblConstr[[#This Row],[Homeland]]/TblConstr[[#This Row],[Land]]</f>
        <v>0.81818181818181823</v>
      </c>
      <c r="BX60" s="157">
        <f ca="1">TblMili[[#This Row],[WG''s]]</f>
        <v>0</v>
      </c>
      <c r="BY60" s="251">
        <f ca="1">IF(mystic_cap="none",TblMili[[#This Row],[Homeland%]]/mystic_bonus,MIN(mystic_cap,TblMili[[#This Row],[Homeland%]]/mystic_bonus))</f>
        <v>2</v>
      </c>
      <c r="BZ60" s="251">
        <f ca="1">IF(druid_op_cap="none",TblMili[[#This Row],[Homeland%]]/druid_op_bonus,MIN(druid_op_cap,TblMili[[#This Row],[Homeland%]]/druid_op_bonus))</f>
        <v>2</v>
      </c>
      <c r="CA60" s="251">
        <f ca="1">IF(druid_dp_cap="none",TblMili[[#This Row],[Homeland%]]/druid_dp_bonus,MIN(druid_dp_cap,TblMili[[#This Row],[Homeland%]]/druid_dp_bonus))</f>
        <v>2</v>
      </c>
      <c r="CB60" s="251">
        <f ca="1">MIN(dryad_cap,TblMili[[#This Row],[Homeland%]]/dryad_bonus)</f>
        <v>4</v>
      </c>
      <c r="CC60" s="251">
        <f ca="1">MIN(rocka_cap,TblMili[[#This Row],[Homeland%]]/rocka_bonus)</f>
        <v>2</v>
      </c>
      <c r="CD60" s="251">
        <f ca="1">MIN(adept_op_cap,TblMili[[#This Row],[WG]]/adept_op_bonus)</f>
        <v>0</v>
      </c>
      <c r="CE60" s="251">
        <f ca="1">MIN(adept_dp_cap,TblMili[[#This Row],[WG]]/adept_dp_bonus)</f>
        <v>0</v>
      </c>
      <c r="CF60" s="94">
        <f ca="1">MIN(TblMili[[#This Row],[Unit 3]],TblMili[[#This Row],[Unit 2]])*2</f>
        <v>0</v>
      </c>
      <c r="CG60" s="94">
        <f ca="1">MIN(TblMili[[#This Row],[Unit 1]],TblMili[[#This Row],[Unit 4]])*2</f>
        <v>0</v>
      </c>
      <c r="CH60" s="251">
        <f ca="1">MIN(frost_mage_cap,TblMili[[#This Row],[Homeland%]]/frost_mage_bonus)</f>
        <v>3</v>
      </c>
      <c r="CI60" s="45">
        <f ca="1">MIN(ice_elem_cap,TblMili[[#This Row],[Raw (2)]]*ice_elem_bonus)</f>
        <v>0</v>
      </c>
      <c r="CJ60" s="251">
        <f t="shared" si="2"/>
        <v>0.83333333333333337</v>
      </c>
      <c r="CK60" s="251">
        <f ca="1">MIN(nox_nightshade_cap,TblConstr[[#This Row],[Homeland]]/TblConstr[[#This Row],[Land]]/nox_nightshade_swamp_bonus)</f>
        <v>4</v>
      </c>
      <c r="CL60" s="251">
        <f ca="1">MIN(TblConstr[[#This Row],[Total Swamp]]/TblConstr[[#This Row],[Land]]/abyss_enforce_bonus,abyss_enforcer_cap)</f>
        <v>0</v>
      </c>
      <c r="CM60" s="251">
        <f ca="1">IF(TblMagic[[#This Row],[Active Infernal Command]]&gt;0,TblMili[[#This Row],[Unit 1]]*infernal_cmd_op,0)</f>
        <v>0</v>
      </c>
      <c r="CN60" s="252"/>
      <c r="CO60" s="252"/>
      <c r="CP60" s="252"/>
      <c r="CQ60" s="251">
        <f ca="1">MIN(6,TblMili[[#This Row],[Mystic]]+Races!$F$19)*1.8 +  IF(TblMili[[#This Row],[Mystic]]+Races!$F$19&gt;6,(TblMili[[#This Row],[Mystic]]+Races!$F$19-6)*0.2,0) - Races!$I$19</f>
        <v>1</v>
      </c>
      <c r="CR6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0" s="94">
        <f ca="1">TblMili[[#This Row],[Mystic bonus]]*TblMili[[#This Row],[Unit 3]]+TblMili[[#This Row],[Druid bonus]]*TblMili[[#This Row],[Unit 4]]</f>
        <v>0</v>
      </c>
      <c r="CT60" s="155">
        <f ca="1">MIN(6,TblMili[[#This Row],[Dryad]]+Races!$F$35)*1.8 +  IF(TblMili[[#This Row],[Dryad]]+Races!$F$35&gt;6,(TblMili[[#This Row],[Dryad]]+Races!$F$35-6)*0.2,0) - Races!$I$19</f>
        <v>1</v>
      </c>
      <c r="CU60" s="94">
        <f ca="1">sylvan*(TblMili[[#This Row],[Mystic bonus]]*TblMili[[#This Row],[Unit 3]])</f>
        <v>0</v>
      </c>
      <c r="CV60" s="155">
        <f ca="1">1.8 * MIN(MAX(Races!$E$27,TblMili[[#This Row],[Rockapult]]+Races!$F$27),6)  +  0.45 * MIN(MIN(Races!$E$27,TblMili[[#This Row],[Rockapult]]+Races!$F$27),6)  +  0.2 * ( MAX(Races!$E$27-6,0) + MAX(TblMili[[#This Row],[Rockapult]]+Races!$F$27-6,0) )  -  Races!$I$20</f>
        <v>3.7000000000000011</v>
      </c>
      <c r="CW60" s="94">
        <f ca="1">gnome*(TblMili[[#This Row],[Rockapult bonus]]*TblMili[[#This Row],[Unit 3]])</f>
        <v>0</v>
      </c>
      <c r="CX6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0" s="94">
        <f ca="1">dark_elf*(TblMili[[#This Row],[Adept bonus]]*TblMili[[#This Row],[Unit 3]])</f>
        <v>0</v>
      </c>
      <c r="CZ60" s="155">
        <f ca="1">1.8 * MIN(MAX(TblMili[[#This Row],[Frost Mage]]+Races!$F$71,Races!$E$71),6)  +  0.45 * MIN(MIN(TblMili[[#This Row],[Frost Mage]]+Races!$F$71,Races!$E$71),6)  +  0.2 * ( MAX(TblMili[[#This Row],[Frost Mage]]+Races!$F$71-6,0) + MAX(Races!$E$71-6,0) )  -  Races!$I$71</f>
        <v>6.15</v>
      </c>
      <c r="DA60" s="155">
        <f ca="1">1.8 * MIN(MAX(TblMili[[#This Row],[Ice Elemental]]+Races!$E$71,Races!$F$71),6)  +  0.45 * MIN(MIN(TblMili[[#This Row],[Ice Elemental]]+Races!$E$71,Races!$F$71),6)  +  0.2 * ( MAX(TblMili[[#This Row],[Ice Elemental]]+Races!$E$71-6,0) + MAX(Races!$F$71-6,0) )  -  Races!$I$71</f>
        <v>0.75</v>
      </c>
      <c r="DB60" s="94">
        <f ca="1">TblMili[[#This Row],[Frost Mage bonus]]*TblMili[[#This Row],[Unit 3]]+TblMili[[#This Row],[Ice Elemental bonus]]*TblMili[[#This Row],[Unit 4]]</f>
        <v>0</v>
      </c>
      <c r="DC60" s="253"/>
      <c r="DD60" s="143">
        <f ca="1">MIN(SUM(TblConstr[[#This Row],[Plain]:[Water]])/TblMili[[#This Row],[Land]]/favorable_terrain_bonus/100,favorable_terrain_max)</f>
        <v>0.1</v>
      </c>
      <c r="DE60" s="253"/>
      <c r="DF6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0" s="142"/>
      <c r="DH60" s="254">
        <f ca="1">(TblMili[[#This Row],[Wizards]]+2*TblMili[[#This Row],[Archmages]])/TblConstr[[#This Row],[Land]]</f>
        <v>0</v>
      </c>
      <c r="DI60" s="254">
        <f ca="1">TblMili[[#This Row],[Raw (2)]]*(1+race_wizard_strength+IF(TblMili[[#This Row],[Hour]]&gt;72,tech_magical_weaponry_wiz*TblTech[[#This Row],[3-5]],0))</f>
        <v>0</v>
      </c>
    </row>
    <row r="61" spans="1:113" x14ac:dyDescent="0.2">
      <c r="A61" s="137">
        <f>TblRezone[[#This Row],[Hour]]</f>
        <v>58</v>
      </c>
      <c r="B61" s="246">
        <f ca="1">SUM(TblMili[[#This Row],[Unit 1]:[Archmages]])+SUM(OFFSET(TblMili[[#This Row],[Train Unit 1]],-8,0):TblMili[[#This Row],[Train Unit 2]]) + SUM(OFFSET(TblMili[[#This Row],[Train Unit 3]],-11,0):TblMili[[#This Row],[Train AM]]) + TblMili[[#This Row],[Draftees]]</f>
        <v>511</v>
      </c>
      <c r="C61" s="157">
        <f ca="1">TblPop[[#This Row],[Military%]]</f>
        <v>0.47490706319702602</v>
      </c>
      <c r="D61" s="142"/>
      <c r="E61" s="45">
        <f ca="1">OFFSET(TblMili[[#This Row],[Unit 1]],-1,0) + OFFSET(TblMili[[#This Row],[Train Unit 1]],-9,0) - TblMili[[#This Row],[Release Unit 1]] + OFFSET(TblMili[[#This Row],[DnD_Zombies]],-12,0)</f>
        <v>0</v>
      </c>
      <c r="F61" s="45">
        <f ca="1">OFFSET(TblMili[[#This Row],[Unit 2]],-1,0) + OFFSET(TblMili[[#This Row],[Train Unit 2]],-9,0)-TblMili[[#This Row],[Release Unit 2]]</f>
        <v>0</v>
      </c>
      <c r="G61" s="45">
        <f ca="1">OFFSET(TblMili[[#This Row],[Unit 3]],-1,0) + OFFSET(TblMili[[#This Row],[Train Unit 3]],-12,0)-TblMili[[#This Row],[Release Unit 3]]</f>
        <v>0</v>
      </c>
      <c r="H61" s="45">
        <f ca="1">OFFSET(TblMili[[#This Row],[Unit 4]],-1,0) + OFFSET(TblMili[[#This Row],[Train Unit 4]],-12,0)-TblMili[[#This Row],[Release Unit 4]]</f>
        <v>0</v>
      </c>
      <c r="I61" s="45">
        <f ca="1">OFFSET(TblMili[[#This Row],[Spies]],-1,0) + OFFSET(TblMili[[#This Row],[Train Spies]],-12,0) - TblMili[[#This Row],[Release Spies]]-TblMili[[#This Row],[Train AS]]</f>
        <v>0</v>
      </c>
      <c r="J61" s="45">
        <f ca="1">OFFSET(TblMili[[#This Row],[Archspies]],-1,0) + OFFSET(TblMili[[#This Row],[Train AS]],-12,0) - TblMili[[#This Row],[Release AS]]</f>
        <v>0</v>
      </c>
      <c r="K61" s="45">
        <f ca="1">OFFSET(TblMili[[#This Row],[Wizards]],-1,0) + OFFSET(TblMili[[#This Row],[Train Wiz]],-12,0) - TblMili[[#This Row],[Release Wizards]]-TblMili[[#This Row],[Train AM]]</f>
        <v>0</v>
      </c>
      <c r="L61" s="45">
        <f ca="1">OFFSET(TblMili[[#This Row],[Archmages]],-1,0) + OFFSET(TblMili[[#This Row],[Train AM]],-12,0) - TblMili[[#This Row],[Release AM]]</f>
        <v>0</v>
      </c>
      <c r="M61" s="142"/>
      <c r="N61" s="94">
        <f ca="1">TblProd[[#This Row],[Networth]]</f>
        <v>2450</v>
      </c>
      <c r="O61" s="142"/>
      <c r="P6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1" s="247">
        <f ca="1">TblMili[[#This Row],[Raw]]*(1+TblMili[[#This Row],[Mods_Off]])</f>
        <v>0</v>
      </c>
      <c r="S6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1" s="247">
        <f ca="1">TblMili[[#This Row],[Non Draft]]+TblMili[[#This Row],[Draftees]]</f>
        <v>511</v>
      </c>
      <c r="U61" s="248">
        <f ca="1">race_defense + TblImps[[#This Row],[Walls]] + ROUND( MIN(gt_bonus*TblConstr[[#This Row],[Tot GT]]/TblConstr[[#This Row],[Land]],gt_bonus_cap), 4) + IF(TblMagic[[#This Row],[Active Howling]]&gt;0,howling_dp_bonus,IF(TblMagic[[#This Row],[Active Ares Call]]&gt;0,ares_call_bonus))</f>
        <v>0</v>
      </c>
      <c r="V61" s="249">
        <f ca="1">TblMili[[#This Row],[Non Draft]] * (1 + TblMili[[#This Row],[Mods_Def]])</f>
        <v>0</v>
      </c>
      <c r="W61" s="247">
        <f ca="1">TblMili[[#This Row],[Draft]] * (1 + TblMili[[#This Row],[Mods_Def]])</f>
        <v>511</v>
      </c>
      <c r="X61" s="247">
        <f ca="1">TblConstr[[#This Row],[Land]]</f>
        <v>110</v>
      </c>
      <c r="Y61" s="250"/>
      <c r="Z61" s="255">
        <f ca="1">IF(TblMili[[#This Row],[Set]]&lt;&gt;"",TblMili[[#This Row],[Set]],OFFSET(TblMili[[#This Row],[Draftrate]],-1,0))</f>
        <v>0.9</v>
      </c>
      <c r="AA61" s="94">
        <f ca="1">OFFSET(TblMili[[#This Row],[Draftees]],-1,0)+OFFSET(TblPop[[#This Row],[Draft Growth]],-1,0) - SUM(TblMili[[#This Row],[Train Unit 1]:[Train Spies]],TblMili[[#This Row],[Train Wiz]],TblMili[[#This Row],[DnD_Zombies]]) - TblMili[[#This Row],[Release Draft]] + SUM(TblMili[[#This Row],[Release Unit 1]:[Release AM]]) - TblExplore[[#This Row],[Draftees (2)]]</f>
        <v>511</v>
      </c>
      <c r="AB61" s="154"/>
      <c r="AC61" s="180">
        <f ca="1">(TblConstr[[#This Row],[Tot Smi]]+TblConstr[[#This Row],[Dest Smi]])/(TblConstr[[#This Row],[Land]]-TblExplore[[#This Row],[Land Bonus]]*20)</f>
        <v>0</v>
      </c>
      <c r="AD61" s="137"/>
      <c r="AE61" s="246">
        <f>TblMili[[#This Row],[Hour]]</f>
        <v>58</v>
      </c>
      <c r="AF61" s="138">
        <f ca="1">TblExplore[[#This Row],[Time]]</f>
        <v>46049.374999999862</v>
      </c>
      <c r="AG61" s="179"/>
      <c r="AH61" s="179"/>
      <c r="AI61" s="179"/>
      <c r="AJ61" s="179"/>
      <c r="AK61" s="179"/>
      <c r="AL61" s="179"/>
      <c r="AM61" s="179"/>
      <c r="AN61" s="179"/>
      <c r="AO61" s="420">
        <f ca="1">ROUND(IF(AND(TblMagic[[#This Row],[Active DnD]]&lt;12,TblMagic[[#This Row],[Active DnD]]&gt;5),OFFSET(TblPop[[#This Row],[Draft Growth]],-1,0)*0.375,0),0)</f>
        <v>0</v>
      </c>
      <c r="AP61" s="142"/>
      <c r="AQ61" s="94">
        <f ca="1">TblProd[[#This Row],[Platinum]]</f>
        <v>147264</v>
      </c>
      <c r="AR61" s="94">
        <f ca="1">INDEX(TblProd[[#Headers],[Lumber]]:TblProd[[#This Row],[Ore]],COUNTA(TblProd[[#Headers],[Lumber]]:TblProd[[#This Row],[Lumber]]),MATCH(Military!$AR$2,TblProd[[#Headers],[Lumber]:[Ore]],0))</f>
        <v>0</v>
      </c>
      <c r="AS6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1" s="94">
        <f ca="1">TblMili[[#This Row],[Train Unit 1]]*TblMili[[#This Row],[OP Ore]]+TblMili[[#This Row],[Train Unit 2]]*TblMili[[#This Row],[DP Ore]]+TblMili[[#This Row],[Train Unit 3]]*TblMili[[#This Row],[E1 Ore]]+TblMili[[#This Row],[Train Unit 4]]*TblMili[[#This Row],[E2 Ore]]</f>
        <v>0</v>
      </c>
      <c r="AU61" s="142">
        <f>TblMili[[#This Row],[Hour]]</f>
        <v>58</v>
      </c>
      <c r="AV61" s="152">
        <f ca="1">TblMili[[#This Row],[Time]]</f>
        <v>46049.374999999862</v>
      </c>
      <c r="AW61" s="94">
        <f ca="1">TblMili[[#This Row],[Draftees]]</f>
        <v>511</v>
      </c>
      <c r="AX61" s="179"/>
      <c r="AY61" s="179"/>
      <c r="AZ61" s="179"/>
      <c r="BA61" s="179"/>
      <c r="BB61" s="179"/>
      <c r="BC61" s="179"/>
      <c r="BD61" s="179"/>
      <c r="BE61" s="179"/>
      <c r="BF61" s="179"/>
      <c r="BG61" s="142"/>
      <c r="BH61" s="157">
        <f ca="1">TblConstr[[#This Row],[Tot WG]]/TblConstr[[#This Row],[Land]]</f>
        <v>0</v>
      </c>
      <c r="BI61" s="157">
        <f ca="1">TblConstr[[#This Row],[Tot Hav]]/TblConstr[[#This Row],[Land]]</f>
        <v>0</v>
      </c>
      <c r="BJ61" s="94">
        <f ca="1">ROUNDUP((1-MIN(TblMili[[#This Row],[Smithies]]*smithy_bonus,smithy_bonus_cap) + tech_3_5*TblTech[[#This Row],[3-5]] + tech_5_3*TblTech[[#This Row],[5-3]] + tech_5_5*TblTech[[#This Row],[5-5]])*spec_op_plat,0)</f>
        <v>275</v>
      </c>
      <c r="BK61" s="94">
        <f ca="1">ROUNDUP(IF(race="Gnome",1,(1-MIN(TblMili[[#This Row],[Smithies]]*smithy_bonus,smithy_bonus_cap) + tech_3_5*TblTech[[#This Row],[3-5]] + tech_5_3*TblTech[[#This Row],[5-3]] + tech_5_5*TblTech[[#This Row],[5-5]]))*spec_op_ore,0)</f>
        <v>25</v>
      </c>
      <c r="BL61" s="94">
        <f ca="1">ROUNDUP((1-MIN(TblMili[[#This Row],[Smithies]]*smithy_bonus,smithy_bonus_cap) + tech_3_5*TblTech[[#This Row],[3-5]] + tech_5_3*TblTech[[#This Row],[5-3]] + tech_5_5*TblTech[[#This Row],[5-5]])*spec_dp_plat,0)</f>
        <v>275</v>
      </c>
      <c r="BM61" s="94">
        <f ca="1">ROUNDUP(IF(race="Gnome",1,(1-MIN(TblMili[[#This Row],[Smithies]]*smithy_bonus,smithy_bonus_cap) + tech_3_5*TblTech[[#This Row],[3-5]] + tech_5_3*TblTech[[#This Row],[5-3]] + tech_5_5*TblTech[[#This Row],[5-5]]))*spec_dp_ore,0)</f>
        <v>15</v>
      </c>
      <c r="BN61" s="94">
        <f ca="1">ROUNDUP((1-MIN(TblMili[[#This Row],[Smithies]]*smithy_bonus,smithy_bonus_cap) + tech_3_5*TblTech[[#This Row],[3-5]] + tech_5_3*TblTech[[#This Row],[5-3]] + tech_5_5*TblTech[[#This Row],[5-5]])*elite1_plat,0)</f>
        <v>1040</v>
      </c>
      <c r="BO61" s="94">
        <f ca="1">ROUNDUP(IF(race="Gnome",1,(1-MIN(TblMili[[#This Row],[Smithies]]*smithy_bonus,smithy_bonus_cap) + tech_3_5*TblTech[[#This Row],[3-5]] + tech_5_3*TblTech[[#This Row],[5-3]] + tech_5_5*TblTech[[#This Row],[5-5]]))*elite1_ore,0)</f>
        <v>75</v>
      </c>
      <c r="BP61" s="94">
        <f ca="1">ROUNDUP((1-MIN(TblMili[[#This Row],[Smithies]]*smithy_bonus,smithy_bonus_cap) + tech_3_5*TblTech[[#This Row],[3-5]] + tech_5_3*TblTech[[#This Row],[5-3]] + tech_5_5*TblTech[[#This Row],[5-5]])*elite2_plat,0)</f>
        <v>1280</v>
      </c>
      <c r="BQ61" s="94">
        <f ca="1">ROUNDUP(IF(race="Gnome",1,(1-MIN(TblMili[[#This Row],[Smithies]]*smithy_bonus,smithy_bonus_cap) + tech_3_5*TblTech[[#This Row],[3-5]] + tech_5_3*TblTech[[#This Row],[5-3]] + tech_5_5*TblTech[[#This Row],[5-5]]))*elite2_ore,0)</f>
        <v>100</v>
      </c>
      <c r="BR61" s="94">
        <f ca="1">ROUNDUP((1-MIN(ROUND(fh_spy_cost_red*TblMili[[#This Row],[FH''s]],4),fh_spy_cost_cap)+ tech_1_9*TblTech[[#This Row],[1-9]] + tech_9_1*TblTech[[#This Row],[9-1]])*spy_plat,0)</f>
        <v>500</v>
      </c>
      <c r="BS61" s="94">
        <f ca="1">ROUNDUP((1-MIN(ROUND(fh_spy_cost_red*TblMili[[#This Row],[FH''s]],4),fh_spy_cost_cap)+ tech_1_9*TblTech[[#This Row],[1-9]] + tech_9_1*TblTech[[#This Row],[9-1]])*archspy_plat,0)</f>
        <v>1000</v>
      </c>
      <c r="BT61" s="94">
        <f ca="1">ROUNDUP((1-MIN(ROUND(wg_wiz_cost_bonus*TblMili[[#This Row],[WG''s]],4),wg_wiz_cost_cap) + tech_1_9_2*TblTech[[#This Row],[1-9]] + tech_9_1_2*TblTech[[#This Row],[9-1]])*wizard_plat,0)</f>
        <v>500</v>
      </c>
      <c r="BU61" s="94">
        <f ca="1">ROUNDUP((1-MIN(ROUND(wg_wiz_cost_bonus*TblMili[[#This Row],[WG''s]],4),wg_wiz_cost_cap) + tech_1_9_2*TblTech[[#This Row],[1-9]] + tech_9_1_2*TblTech[[#This Row],[9-1]])*archmage_plat,0)</f>
        <v>1000</v>
      </c>
      <c r="BV61" s="142"/>
      <c r="BW61" s="157">
        <f ca="1">TblConstr[[#This Row],[Homeland]]/TblConstr[[#This Row],[Land]]</f>
        <v>0.81818181818181823</v>
      </c>
      <c r="BX61" s="157">
        <f ca="1">TblMili[[#This Row],[WG''s]]</f>
        <v>0</v>
      </c>
      <c r="BY61" s="251">
        <f ca="1">IF(mystic_cap="none",TblMili[[#This Row],[Homeland%]]/mystic_bonus,MIN(mystic_cap,TblMili[[#This Row],[Homeland%]]/mystic_bonus))</f>
        <v>2</v>
      </c>
      <c r="BZ61" s="251">
        <f ca="1">IF(druid_op_cap="none",TblMili[[#This Row],[Homeland%]]/druid_op_bonus,MIN(druid_op_cap,TblMili[[#This Row],[Homeland%]]/druid_op_bonus))</f>
        <v>2</v>
      </c>
      <c r="CA61" s="251">
        <f ca="1">IF(druid_dp_cap="none",TblMili[[#This Row],[Homeland%]]/druid_dp_bonus,MIN(druid_dp_cap,TblMili[[#This Row],[Homeland%]]/druid_dp_bonus))</f>
        <v>2</v>
      </c>
      <c r="CB61" s="251">
        <f ca="1">MIN(dryad_cap,TblMili[[#This Row],[Homeland%]]/dryad_bonus)</f>
        <v>4</v>
      </c>
      <c r="CC61" s="251">
        <f ca="1">MIN(rocka_cap,TblMili[[#This Row],[Homeland%]]/rocka_bonus)</f>
        <v>2</v>
      </c>
      <c r="CD61" s="251">
        <f ca="1">MIN(adept_op_cap,TblMili[[#This Row],[WG]]/adept_op_bonus)</f>
        <v>0</v>
      </c>
      <c r="CE61" s="251">
        <f ca="1">MIN(adept_dp_cap,TblMili[[#This Row],[WG]]/adept_dp_bonus)</f>
        <v>0</v>
      </c>
      <c r="CF61" s="94">
        <f ca="1">MIN(TblMili[[#This Row],[Unit 3]],TblMili[[#This Row],[Unit 2]])*2</f>
        <v>0</v>
      </c>
      <c r="CG61" s="94">
        <f ca="1">MIN(TblMili[[#This Row],[Unit 1]],TblMili[[#This Row],[Unit 4]])*2</f>
        <v>0</v>
      </c>
      <c r="CH61" s="251">
        <f ca="1">MIN(frost_mage_cap,TblMili[[#This Row],[Homeland%]]/frost_mage_bonus)</f>
        <v>3</v>
      </c>
      <c r="CI61" s="45">
        <f ca="1">MIN(ice_elem_cap,TblMili[[#This Row],[Raw (2)]]*ice_elem_bonus)</f>
        <v>0</v>
      </c>
      <c r="CJ61" s="251">
        <f t="shared" si="2"/>
        <v>0.83333333333333337</v>
      </c>
      <c r="CK61" s="251">
        <f ca="1">MIN(nox_nightshade_cap,TblConstr[[#This Row],[Homeland]]/TblConstr[[#This Row],[Land]]/nox_nightshade_swamp_bonus)</f>
        <v>4</v>
      </c>
      <c r="CL61" s="251">
        <f ca="1">MIN(TblConstr[[#This Row],[Total Swamp]]/TblConstr[[#This Row],[Land]]/abyss_enforce_bonus,abyss_enforcer_cap)</f>
        <v>0</v>
      </c>
      <c r="CM61" s="251">
        <f ca="1">IF(TblMagic[[#This Row],[Active Infernal Command]]&gt;0,TblMili[[#This Row],[Unit 1]]*infernal_cmd_op,0)</f>
        <v>0</v>
      </c>
      <c r="CN61" s="252"/>
      <c r="CO61" s="252"/>
      <c r="CP61" s="252"/>
      <c r="CQ61" s="251">
        <f ca="1">MIN(6,TblMili[[#This Row],[Mystic]]+Races!$F$19)*1.8 +  IF(TblMili[[#This Row],[Mystic]]+Races!$F$19&gt;6,(TblMili[[#This Row],[Mystic]]+Races!$F$19-6)*0.2,0) - Races!$I$19</f>
        <v>1</v>
      </c>
      <c r="CR6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1" s="94">
        <f ca="1">TblMili[[#This Row],[Mystic bonus]]*TblMili[[#This Row],[Unit 3]]+TblMili[[#This Row],[Druid bonus]]*TblMili[[#This Row],[Unit 4]]</f>
        <v>0</v>
      </c>
      <c r="CT61" s="155">
        <f ca="1">MIN(6,TblMili[[#This Row],[Dryad]]+Races!$F$35)*1.8 +  IF(TblMili[[#This Row],[Dryad]]+Races!$F$35&gt;6,(TblMili[[#This Row],[Dryad]]+Races!$F$35-6)*0.2,0) - Races!$I$19</f>
        <v>1</v>
      </c>
      <c r="CU61" s="94">
        <f ca="1">sylvan*(TblMili[[#This Row],[Mystic bonus]]*TblMili[[#This Row],[Unit 3]])</f>
        <v>0</v>
      </c>
      <c r="CV61" s="155">
        <f ca="1">1.8 * MIN(MAX(Races!$E$27,TblMili[[#This Row],[Rockapult]]+Races!$F$27),6)  +  0.45 * MIN(MIN(Races!$E$27,TblMili[[#This Row],[Rockapult]]+Races!$F$27),6)  +  0.2 * ( MAX(Races!$E$27-6,0) + MAX(TblMili[[#This Row],[Rockapult]]+Races!$F$27-6,0) )  -  Races!$I$20</f>
        <v>3.7000000000000011</v>
      </c>
      <c r="CW61" s="94">
        <f ca="1">gnome*(TblMili[[#This Row],[Rockapult bonus]]*TblMili[[#This Row],[Unit 3]])</f>
        <v>0</v>
      </c>
      <c r="CX6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1" s="94">
        <f ca="1">dark_elf*(TblMili[[#This Row],[Adept bonus]]*TblMili[[#This Row],[Unit 3]])</f>
        <v>0</v>
      </c>
      <c r="CZ61" s="155">
        <f ca="1">1.8 * MIN(MAX(TblMili[[#This Row],[Frost Mage]]+Races!$F$71,Races!$E$71),6)  +  0.45 * MIN(MIN(TblMili[[#This Row],[Frost Mage]]+Races!$F$71,Races!$E$71),6)  +  0.2 * ( MAX(TblMili[[#This Row],[Frost Mage]]+Races!$F$71-6,0) + MAX(Races!$E$71-6,0) )  -  Races!$I$71</f>
        <v>6.15</v>
      </c>
      <c r="DA61" s="155">
        <f ca="1">1.8 * MIN(MAX(TblMili[[#This Row],[Ice Elemental]]+Races!$E$71,Races!$F$71),6)  +  0.45 * MIN(MIN(TblMili[[#This Row],[Ice Elemental]]+Races!$E$71,Races!$F$71),6)  +  0.2 * ( MAX(TblMili[[#This Row],[Ice Elemental]]+Races!$E$71-6,0) + MAX(Races!$F$71-6,0) )  -  Races!$I$71</f>
        <v>0.75</v>
      </c>
      <c r="DB61" s="94">
        <f ca="1">TblMili[[#This Row],[Frost Mage bonus]]*TblMili[[#This Row],[Unit 3]]+TblMili[[#This Row],[Ice Elemental bonus]]*TblMili[[#This Row],[Unit 4]]</f>
        <v>0</v>
      </c>
      <c r="DC61" s="253"/>
      <c r="DD61" s="143">
        <f ca="1">MIN(SUM(TblConstr[[#This Row],[Plain]:[Water]])/TblMili[[#This Row],[Land]]/favorable_terrain_bonus/100,favorable_terrain_max)</f>
        <v>0.1</v>
      </c>
      <c r="DE61" s="253"/>
      <c r="DF6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1" s="142"/>
      <c r="DH61" s="254">
        <f ca="1">(TblMili[[#This Row],[Wizards]]+2*TblMili[[#This Row],[Archmages]])/TblConstr[[#This Row],[Land]]</f>
        <v>0</v>
      </c>
      <c r="DI61" s="254">
        <f ca="1">TblMili[[#This Row],[Raw (2)]]*(1+race_wizard_strength+IF(TblMili[[#This Row],[Hour]]&gt;72,tech_magical_weaponry_wiz*TblTech[[#This Row],[3-5]],0))</f>
        <v>0</v>
      </c>
    </row>
    <row r="62" spans="1:113" x14ac:dyDescent="0.2">
      <c r="A62" s="137">
        <f>TblRezone[[#This Row],[Hour]]</f>
        <v>59</v>
      </c>
      <c r="B62" s="246">
        <f ca="1">SUM(TblMili[[#This Row],[Unit 1]:[Archmages]])+SUM(OFFSET(TblMili[[#This Row],[Train Unit 1]],-8,0):TblMili[[#This Row],[Train Unit 2]]) + SUM(OFFSET(TblMili[[#This Row],[Train Unit 3]],-11,0):TblMili[[#This Row],[Train AM]]) + TblMili[[#This Row],[Draftees]]</f>
        <v>517</v>
      </c>
      <c r="C62" s="157">
        <f ca="1">TblPop[[#This Row],[Military%]]</f>
        <v>0.4804832713754647</v>
      </c>
      <c r="D62" s="142"/>
      <c r="E62" s="45">
        <f ca="1">OFFSET(TblMili[[#This Row],[Unit 1]],-1,0) + OFFSET(TblMili[[#This Row],[Train Unit 1]],-9,0) - TblMili[[#This Row],[Release Unit 1]] + OFFSET(TblMili[[#This Row],[DnD_Zombies]],-12,0)</f>
        <v>0</v>
      </c>
      <c r="F62" s="45">
        <f ca="1">OFFSET(TblMili[[#This Row],[Unit 2]],-1,0) + OFFSET(TblMili[[#This Row],[Train Unit 2]],-9,0)-TblMili[[#This Row],[Release Unit 2]]</f>
        <v>0</v>
      </c>
      <c r="G62" s="45">
        <f ca="1">OFFSET(TblMili[[#This Row],[Unit 3]],-1,0) + OFFSET(TblMili[[#This Row],[Train Unit 3]],-12,0)-TblMili[[#This Row],[Release Unit 3]]</f>
        <v>0</v>
      </c>
      <c r="H62" s="45">
        <f ca="1">OFFSET(TblMili[[#This Row],[Unit 4]],-1,0) + OFFSET(TblMili[[#This Row],[Train Unit 4]],-12,0)-TblMili[[#This Row],[Release Unit 4]]</f>
        <v>0</v>
      </c>
      <c r="I62" s="45">
        <f ca="1">OFFSET(TblMili[[#This Row],[Spies]],-1,0) + OFFSET(TblMili[[#This Row],[Train Spies]],-12,0) - TblMili[[#This Row],[Release Spies]]-TblMili[[#This Row],[Train AS]]</f>
        <v>0</v>
      </c>
      <c r="J62" s="45">
        <f ca="1">OFFSET(TblMili[[#This Row],[Archspies]],-1,0) + OFFSET(TblMili[[#This Row],[Train AS]],-12,0) - TblMili[[#This Row],[Release AS]]</f>
        <v>0</v>
      </c>
      <c r="K62" s="45">
        <f ca="1">OFFSET(TblMili[[#This Row],[Wizards]],-1,0) + OFFSET(TblMili[[#This Row],[Train Wiz]],-12,0) - TblMili[[#This Row],[Release Wizards]]-TblMili[[#This Row],[Train AM]]</f>
        <v>0</v>
      </c>
      <c r="L62" s="45">
        <f ca="1">OFFSET(TblMili[[#This Row],[Archmages]],-1,0) + OFFSET(TblMili[[#This Row],[Train AM]],-12,0) - TblMili[[#This Row],[Release AM]]</f>
        <v>0</v>
      </c>
      <c r="M62" s="142"/>
      <c r="N62" s="94">
        <f ca="1">TblProd[[#This Row],[Networth]]</f>
        <v>2450</v>
      </c>
      <c r="O62" s="142"/>
      <c r="P6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2" s="247">
        <f ca="1">TblMili[[#This Row],[Raw]]*(1+TblMili[[#This Row],[Mods_Off]])</f>
        <v>0</v>
      </c>
      <c r="S6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2" s="247">
        <f ca="1">TblMili[[#This Row],[Non Draft]]+TblMili[[#This Row],[Draftees]]</f>
        <v>517</v>
      </c>
      <c r="U62" s="248">
        <f ca="1">race_defense + TblImps[[#This Row],[Walls]] + ROUND( MIN(gt_bonus*TblConstr[[#This Row],[Tot GT]]/TblConstr[[#This Row],[Land]],gt_bonus_cap), 4) + IF(TblMagic[[#This Row],[Active Howling]]&gt;0,howling_dp_bonus,IF(TblMagic[[#This Row],[Active Ares Call]]&gt;0,ares_call_bonus))</f>
        <v>0</v>
      </c>
      <c r="V62" s="249">
        <f ca="1">TblMili[[#This Row],[Non Draft]] * (1 + TblMili[[#This Row],[Mods_Def]])</f>
        <v>0</v>
      </c>
      <c r="W62" s="247">
        <f ca="1">TblMili[[#This Row],[Draft]] * (1 + TblMili[[#This Row],[Mods_Def]])</f>
        <v>517</v>
      </c>
      <c r="X62" s="247">
        <f ca="1">TblConstr[[#This Row],[Land]]</f>
        <v>110</v>
      </c>
      <c r="Y62" s="250"/>
      <c r="Z62" s="255">
        <f ca="1">IF(TblMili[[#This Row],[Set]]&lt;&gt;"",TblMili[[#This Row],[Set]],OFFSET(TblMili[[#This Row],[Draftrate]],-1,0))</f>
        <v>0.9</v>
      </c>
      <c r="AA62" s="94">
        <f ca="1">OFFSET(TblMili[[#This Row],[Draftees]],-1,0)+OFFSET(TblPop[[#This Row],[Draft Growth]],-1,0) - SUM(TblMili[[#This Row],[Train Unit 1]:[Train Spies]],TblMili[[#This Row],[Train Wiz]],TblMili[[#This Row],[DnD_Zombies]]) - TblMili[[#This Row],[Release Draft]] + SUM(TblMili[[#This Row],[Release Unit 1]:[Release AM]]) - TblExplore[[#This Row],[Draftees (2)]]</f>
        <v>517</v>
      </c>
      <c r="AB62" s="154"/>
      <c r="AC62" s="180">
        <f ca="1">(TblConstr[[#This Row],[Tot Smi]]+TblConstr[[#This Row],[Dest Smi]])/(TblConstr[[#This Row],[Land]]-TblExplore[[#This Row],[Land Bonus]]*20)</f>
        <v>0</v>
      </c>
      <c r="AD62" s="137"/>
      <c r="AE62" s="246">
        <f>TblMili[[#This Row],[Hour]]</f>
        <v>59</v>
      </c>
      <c r="AF62" s="138">
        <f ca="1">TblExplore[[#This Row],[Time]]</f>
        <v>46049.416666666526</v>
      </c>
      <c r="AG62" s="179"/>
      <c r="AH62" s="179"/>
      <c r="AI62" s="179"/>
      <c r="AJ62" s="179"/>
      <c r="AK62" s="179"/>
      <c r="AL62" s="179"/>
      <c r="AM62" s="179"/>
      <c r="AN62" s="179"/>
      <c r="AO62" s="420">
        <f ca="1">ROUND(IF(AND(TblMagic[[#This Row],[Active DnD]]&lt;12,TblMagic[[#This Row],[Active DnD]]&gt;5),OFFSET(TblPop[[#This Row],[Draft Growth]],-1,0)*0.375,0),0)</f>
        <v>0</v>
      </c>
      <c r="AP62" s="142"/>
      <c r="AQ62" s="94">
        <f ca="1">TblProd[[#This Row],[Platinum]]</f>
        <v>148789</v>
      </c>
      <c r="AR62" s="94">
        <f ca="1">INDEX(TblProd[[#Headers],[Lumber]]:TblProd[[#This Row],[Ore]],COUNTA(TblProd[[#Headers],[Lumber]]:TblProd[[#This Row],[Lumber]]),MATCH(Military!$AR$2,TblProd[[#Headers],[Lumber]:[Ore]],0))</f>
        <v>0</v>
      </c>
      <c r="AS6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2" s="94">
        <f ca="1">TblMili[[#This Row],[Train Unit 1]]*TblMili[[#This Row],[OP Ore]]+TblMili[[#This Row],[Train Unit 2]]*TblMili[[#This Row],[DP Ore]]+TblMili[[#This Row],[Train Unit 3]]*TblMili[[#This Row],[E1 Ore]]+TblMili[[#This Row],[Train Unit 4]]*TblMili[[#This Row],[E2 Ore]]</f>
        <v>0</v>
      </c>
      <c r="AU62" s="142">
        <f>TblMili[[#This Row],[Hour]]</f>
        <v>59</v>
      </c>
      <c r="AV62" s="152">
        <f ca="1">TblMili[[#This Row],[Time]]</f>
        <v>46049.416666666526</v>
      </c>
      <c r="AW62" s="94">
        <f ca="1">TblMili[[#This Row],[Draftees]]</f>
        <v>517</v>
      </c>
      <c r="AX62" s="179"/>
      <c r="AY62" s="179"/>
      <c r="AZ62" s="179"/>
      <c r="BA62" s="179"/>
      <c r="BB62" s="179"/>
      <c r="BC62" s="179"/>
      <c r="BD62" s="179"/>
      <c r="BE62" s="179"/>
      <c r="BF62" s="179"/>
      <c r="BG62" s="142"/>
      <c r="BH62" s="157">
        <f ca="1">TblConstr[[#This Row],[Tot WG]]/TblConstr[[#This Row],[Land]]</f>
        <v>0</v>
      </c>
      <c r="BI62" s="157">
        <f ca="1">TblConstr[[#This Row],[Tot Hav]]/TblConstr[[#This Row],[Land]]</f>
        <v>0</v>
      </c>
      <c r="BJ62" s="94">
        <f ca="1">ROUNDUP((1-MIN(TblMili[[#This Row],[Smithies]]*smithy_bonus,smithy_bonus_cap) + tech_3_5*TblTech[[#This Row],[3-5]] + tech_5_3*TblTech[[#This Row],[5-3]] + tech_5_5*TblTech[[#This Row],[5-5]])*spec_op_plat,0)</f>
        <v>275</v>
      </c>
      <c r="BK62" s="94">
        <f ca="1">ROUNDUP(IF(race="Gnome",1,(1-MIN(TblMili[[#This Row],[Smithies]]*smithy_bonus,smithy_bonus_cap) + tech_3_5*TblTech[[#This Row],[3-5]] + tech_5_3*TblTech[[#This Row],[5-3]] + tech_5_5*TblTech[[#This Row],[5-5]]))*spec_op_ore,0)</f>
        <v>25</v>
      </c>
      <c r="BL62" s="94">
        <f ca="1">ROUNDUP((1-MIN(TblMili[[#This Row],[Smithies]]*smithy_bonus,smithy_bonus_cap) + tech_3_5*TblTech[[#This Row],[3-5]] + tech_5_3*TblTech[[#This Row],[5-3]] + tech_5_5*TblTech[[#This Row],[5-5]])*spec_dp_plat,0)</f>
        <v>275</v>
      </c>
      <c r="BM62" s="94">
        <f ca="1">ROUNDUP(IF(race="Gnome",1,(1-MIN(TblMili[[#This Row],[Smithies]]*smithy_bonus,smithy_bonus_cap) + tech_3_5*TblTech[[#This Row],[3-5]] + tech_5_3*TblTech[[#This Row],[5-3]] + tech_5_5*TblTech[[#This Row],[5-5]]))*spec_dp_ore,0)</f>
        <v>15</v>
      </c>
      <c r="BN62" s="94">
        <f ca="1">ROUNDUP((1-MIN(TblMili[[#This Row],[Smithies]]*smithy_bonus,smithy_bonus_cap) + tech_3_5*TblTech[[#This Row],[3-5]] + tech_5_3*TblTech[[#This Row],[5-3]] + tech_5_5*TblTech[[#This Row],[5-5]])*elite1_plat,0)</f>
        <v>1040</v>
      </c>
      <c r="BO62" s="94">
        <f ca="1">ROUNDUP(IF(race="Gnome",1,(1-MIN(TblMili[[#This Row],[Smithies]]*smithy_bonus,smithy_bonus_cap) + tech_3_5*TblTech[[#This Row],[3-5]] + tech_5_3*TblTech[[#This Row],[5-3]] + tech_5_5*TblTech[[#This Row],[5-5]]))*elite1_ore,0)</f>
        <v>75</v>
      </c>
      <c r="BP62" s="94">
        <f ca="1">ROUNDUP((1-MIN(TblMili[[#This Row],[Smithies]]*smithy_bonus,smithy_bonus_cap) + tech_3_5*TblTech[[#This Row],[3-5]] + tech_5_3*TblTech[[#This Row],[5-3]] + tech_5_5*TblTech[[#This Row],[5-5]])*elite2_plat,0)</f>
        <v>1280</v>
      </c>
      <c r="BQ62" s="94">
        <f ca="1">ROUNDUP(IF(race="Gnome",1,(1-MIN(TblMili[[#This Row],[Smithies]]*smithy_bonus,smithy_bonus_cap) + tech_3_5*TblTech[[#This Row],[3-5]] + tech_5_3*TblTech[[#This Row],[5-3]] + tech_5_5*TblTech[[#This Row],[5-5]]))*elite2_ore,0)</f>
        <v>100</v>
      </c>
      <c r="BR62" s="94">
        <f ca="1">ROUNDUP((1-MIN(ROUND(fh_spy_cost_red*TblMili[[#This Row],[FH''s]],4),fh_spy_cost_cap)+ tech_1_9*TblTech[[#This Row],[1-9]] + tech_9_1*TblTech[[#This Row],[9-1]])*spy_plat,0)</f>
        <v>500</v>
      </c>
      <c r="BS62" s="94">
        <f ca="1">ROUNDUP((1-MIN(ROUND(fh_spy_cost_red*TblMili[[#This Row],[FH''s]],4),fh_spy_cost_cap)+ tech_1_9*TblTech[[#This Row],[1-9]] + tech_9_1*TblTech[[#This Row],[9-1]])*archspy_plat,0)</f>
        <v>1000</v>
      </c>
      <c r="BT62" s="94">
        <f ca="1">ROUNDUP((1-MIN(ROUND(wg_wiz_cost_bonus*TblMili[[#This Row],[WG''s]],4),wg_wiz_cost_cap) + tech_1_9_2*TblTech[[#This Row],[1-9]] + tech_9_1_2*TblTech[[#This Row],[9-1]])*wizard_plat,0)</f>
        <v>500</v>
      </c>
      <c r="BU62" s="94">
        <f ca="1">ROUNDUP((1-MIN(ROUND(wg_wiz_cost_bonus*TblMili[[#This Row],[WG''s]],4),wg_wiz_cost_cap) + tech_1_9_2*TblTech[[#This Row],[1-9]] + tech_9_1_2*TblTech[[#This Row],[9-1]])*archmage_plat,0)</f>
        <v>1000</v>
      </c>
      <c r="BV62" s="142"/>
      <c r="BW62" s="157">
        <f ca="1">TblConstr[[#This Row],[Homeland]]/TblConstr[[#This Row],[Land]]</f>
        <v>0.81818181818181823</v>
      </c>
      <c r="BX62" s="157">
        <f ca="1">TblMili[[#This Row],[WG''s]]</f>
        <v>0</v>
      </c>
      <c r="BY62" s="251">
        <f ca="1">IF(mystic_cap="none",TblMili[[#This Row],[Homeland%]]/mystic_bonus,MIN(mystic_cap,TblMili[[#This Row],[Homeland%]]/mystic_bonus))</f>
        <v>2</v>
      </c>
      <c r="BZ62" s="251">
        <f ca="1">IF(druid_op_cap="none",TblMili[[#This Row],[Homeland%]]/druid_op_bonus,MIN(druid_op_cap,TblMili[[#This Row],[Homeland%]]/druid_op_bonus))</f>
        <v>2</v>
      </c>
      <c r="CA62" s="251">
        <f ca="1">IF(druid_dp_cap="none",TblMili[[#This Row],[Homeland%]]/druid_dp_bonus,MIN(druid_dp_cap,TblMili[[#This Row],[Homeland%]]/druid_dp_bonus))</f>
        <v>2</v>
      </c>
      <c r="CB62" s="251">
        <f ca="1">MIN(dryad_cap,TblMili[[#This Row],[Homeland%]]/dryad_bonus)</f>
        <v>4</v>
      </c>
      <c r="CC62" s="251">
        <f ca="1">MIN(rocka_cap,TblMili[[#This Row],[Homeland%]]/rocka_bonus)</f>
        <v>2</v>
      </c>
      <c r="CD62" s="251">
        <f ca="1">MIN(adept_op_cap,TblMili[[#This Row],[WG]]/adept_op_bonus)</f>
        <v>0</v>
      </c>
      <c r="CE62" s="251">
        <f ca="1">MIN(adept_dp_cap,TblMili[[#This Row],[WG]]/adept_dp_bonus)</f>
        <v>0</v>
      </c>
      <c r="CF62" s="94">
        <f ca="1">MIN(TblMili[[#This Row],[Unit 3]],TblMili[[#This Row],[Unit 2]])*2</f>
        <v>0</v>
      </c>
      <c r="CG62" s="94">
        <f ca="1">MIN(TblMili[[#This Row],[Unit 1]],TblMili[[#This Row],[Unit 4]])*2</f>
        <v>0</v>
      </c>
      <c r="CH62" s="251">
        <f ca="1">MIN(frost_mage_cap,TblMili[[#This Row],[Homeland%]]/frost_mage_bonus)</f>
        <v>3</v>
      </c>
      <c r="CI62" s="45">
        <f ca="1">MIN(ice_elem_cap,TblMili[[#This Row],[Raw (2)]]*ice_elem_bonus)</f>
        <v>0</v>
      </c>
      <c r="CJ62" s="251">
        <f t="shared" si="2"/>
        <v>0.83333333333333337</v>
      </c>
      <c r="CK62" s="251">
        <f ca="1">MIN(nox_nightshade_cap,TblConstr[[#This Row],[Homeland]]/TblConstr[[#This Row],[Land]]/nox_nightshade_swamp_bonus)</f>
        <v>4</v>
      </c>
      <c r="CL62" s="251">
        <f ca="1">MIN(TblConstr[[#This Row],[Total Swamp]]/TblConstr[[#This Row],[Land]]/abyss_enforce_bonus,abyss_enforcer_cap)</f>
        <v>0</v>
      </c>
      <c r="CM62" s="251">
        <f ca="1">IF(TblMagic[[#This Row],[Active Infernal Command]]&gt;0,TblMili[[#This Row],[Unit 1]]*infernal_cmd_op,0)</f>
        <v>0</v>
      </c>
      <c r="CN62" s="252"/>
      <c r="CO62" s="252"/>
      <c r="CP62" s="252"/>
      <c r="CQ62" s="251">
        <f ca="1">MIN(6,TblMili[[#This Row],[Mystic]]+Races!$F$19)*1.8 +  IF(TblMili[[#This Row],[Mystic]]+Races!$F$19&gt;6,(TblMili[[#This Row],[Mystic]]+Races!$F$19-6)*0.2,0) - Races!$I$19</f>
        <v>1</v>
      </c>
      <c r="CR6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2" s="94">
        <f ca="1">TblMili[[#This Row],[Mystic bonus]]*TblMili[[#This Row],[Unit 3]]+TblMili[[#This Row],[Druid bonus]]*TblMili[[#This Row],[Unit 4]]</f>
        <v>0</v>
      </c>
      <c r="CT62" s="155">
        <f ca="1">MIN(6,TblMili[[#This Row],[Dryad]]+Races!$F$35)*1.8 +  IF(TblMili[[#This Row],[Dryad]]+Races!$F$35&gt;6,(TblMili[[#This Row],[Dryad]]+Races!$F$35-6)*0.2,0) - Races!$I$19</f>
        <v>1</v>
      </c>
      <c r="CU62" s="94">
        <f ca="1">sylvan*(TblMili[[#This Row],[Mystic bonus]]*TblMili[[#This Row],[Unit 3]])</f>
        <v>0</v>
      </c>
      <c r="CV62" s="155">
        <f ca="1">1.8 * MIN(MAX(Races!$E$27,TblMili[[#This Row],[Rockapult]]+Races!$F$27),6)  +  0.45 * MIN(MIN(Races!$E$27,TblMili[[#This Row],[Rockapult]]+Races!$F$27),6)  +  0.2 * ( MAX(Races!$E$27-6,0) + MAX(TblMili[[#This Row],[Rockapult]]+Races!$F$27-6,0) )  -  Races!$I$20</f>
        <v>3.7000000000000011</v>
      </c>
      <c r="CW62" s="94">
        <f ca="1">gnome*(TblMili[[#This Row],[Rockapult bonus]]*TblMili[[#This Row],[Unit 3]])</f>
        <v>0</v>
      </c>
      <c r="CX6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2" s="94">
        <f ca="1">dark_elf*(TblMili[[#This Row],[Adept bonus]]*TblMili[[#This Row],[Unit 3]])</f>
        <v>0</v>
      </c>
      <c r="CZ62" s="155">
        <f ca="1">1.8 * MIN(MAX(TblMili[[#This Row],[Frost Mage]]+Races!$F$71,Races!$E$71),6)  +  0.45 * MIN(MIN(TblMili[[#This Row],[Frost Mage]]+Races!$F$71,Races!$E$71),6)  +  0.2 * ( MAX(TblMili[[#This Row],[Frost Mage]]+Races!$F$71-6,0) + MAX(Races!$E$71-6,0) )  -  Races!$I$71</f>
        <v>6.15</v>
      </c>
      <c r="DA62" s="155">
        <f ca="1">1.8 * MIN(MAX(TblMili[[#This Row],[Ice Elemental]]+Races!$E$71,Races!$F$71),6)  +  0.45 * MIN(MIN(TblMili[[#This Row],[Ice Elemental]]+Races!$E$71,Races!$F$71),6)  +  0.2 * ( MAX(TblMili[[#This Row],[Ice Elemental]]+Races!$E$71-6,0) + MAX(Races!$F$71-6,0) )  -  Races!$I$71</f>
        <v>0.75</v>
      </c>
      <c r="DB62" s="94">
        <f ca="1">TblMili[[#This Row],[Frost Mage bonus]]*TblMili[[#This Row],[Unit 3]]+TblMili[[#This Row],[Ice Elemental bonus]]*TblMili[[#This Row],[Unit 4]]</f>
        <v>0</v>
      </c>
      <c r="DC62" s="253"/>
      <c r="DD62" s="143">
        <f ca="1">MIN(SUM(TblConstr[[#This Row],[Plain]:[Water]])/TblMili[[#This Row],[Land]]/favorable_terrain_bonus/100,favorable_terrain_max)</f>
        <v>0.1</v>
      </c>
      <c r="DE62" s="253"/>
      <c r="DF6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2" s="142"/>
      <c r="DH62" s="254">
        <f ca="1">(TblMili[[#This Row],[Wizards]]+2*TblMili[[#This Row],[Archmages]])/TblConstr[[#This Row],[Land]]</f>
        <v>0</v>
      </c>
      <c r="DI62" s="254">
        <f ca="1">TblMili[[#This Row],[Raw (2)]]*(1+race_wizard_strength+IF(TblMili[[#This Row],[Hour]]&gt;72,tech_magical_weaponry_wiz*TblTech[[#This Row],[3-5]],0))</f>
        <v>0</v>
      </c>
    </row>
    <row r="63" spans="1:113" x14ac:dyDescent="0.2">
      <c r="A63" s="137">
        <f>TblRezone[[#This Row],[Hour]]</f>
        <v>60</v>
      </c>
      <c r="B63" s="246">
        <f ca="1">SUM(TblMili[[#This Row],[Unit 1]:[Archmages]])+SUM(OFFSET(TblMili[[#This Row],[Train Unit 1]],-8,0):TblMili[[#This Row],[Train Unit 2]]) + SUM(OFFSET(TblMili[[#This Row],[Train Unit 3]],-11,0):TblMili[[#This Row],[Train AM]]) + TblMili[[#This Row],[Draftees]]</f>
        <v>523</v>
      </c>
      <c r="C63" s="157">
        <f ca="1">TblPop[[#This Row],[Military%]]</f>
        <v>0.48605947955390333</v>
      </c>
      <c r="D63" s="142"/>
      <c r="E63" s="45">
        <f ca="1">OFFSET(TblMili[[#This Row],[Unit 1]],-1,0) + OFFSET(TblMili[[#This Row],[Train Unit 1]],-9,0) - TblMili[[#This Row],[Release Unit 1]] + OFFSET(TblMili[[#This Row],[DnD_Zombies]],-12,0)</f>
        <v>0</v>
      </c>
      <c r="F63" s="45">
        <f ca="1">OFFSET(TblMili[[#This Row],[Unit 2]],-1,0) + OFFSET(TblMili[[#This Row],[Train Unit 2]],-9,0)-TblMili[[#This Row],[Release Unit 2]]</f>
        <v>0</v>
      </c>
      <c r="G63" s="45">
        <f ca="1">OFFSET(TblMili[[#This Row],[Unit 3]],-1,0) + OFFSET(TblMili[[#This Row],[Train Unit 3]],-12,0)-TblMili[[#This Row],[Release Unit 3]]</f>
        <v>0</v>
      </c>
      <c r="H63" s="45">
        <f ca="1">OFFSET(TblMili[[#This Row],[Unit 4]],-1,0) + OFFSET(TblMili[[#This Row],[Train Unit 4]],-12,0)-TblMili[[#This Row],[Release Unit 4]]</f>
        <v>0</v>
      </c>
      <c r="I63" s="45">
        <f ca="1">OFFSET(TblMili[[#This Row],[Spies]],-1,0) + OFFSET(TblMili[[#This Row],[Train Spies]],-12,0) - TblMili[[#This Row],[Release Spies]]-TblMili[[#This Row],[Train AS]]</f>
        <v>0</v>
      </c>
      <c r="J63" s="45">
        <f ca="1">OFFSET(TblMili[[#This Row],[Archspies]],-1,0) + OFFSET(TblMili[[#This Row],[Train AS]],-12,0) - TblMili[[#This Row],[Release AS]]</f>
        <v>0</v>
      </c>
      <c r="K63" s="45">
        <f ca="1">OFFSET(TblMili[[#This Row],[Wizards]],-1,0) + OFFSET(TblMili[[#This Row],[Train Wiz]],-12,0) - TblMili[[#This Row],[Release Wizards]]-TblMili[[#This Row],[Train AM]]</f>
        <v>0</v>
      </c>
      <c r="L63" s="45">
        <f ca="1">OFFSET(TblMili[[#This Row],[Archmages]],-1,0) + OFFSET(TblMili[[#This Row],[Train AM]],-12,0) - TblMili[[#This Row],[Release AM]]</f>
        <v>0</v>
      </c>
      <c r="M63" s="142"/>
      <c r="N63" s="94">
        <f ca="1">TblProd[[#This Row],[Networth]]</f>
        <v>2450</v>
      </c>
      <c r="O63" s="142"/>
      <c r="P6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3" s="247">
        <f ca="1">TblMili[[#This Row],[Raw]]*(1+TblMili[[#This Row],[Mods_Off]])</f>
        <v>0</v>
      </c>
      <c r="S6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3" s="247">
        <f ca="1">TblMili[[#This Row],[Non Draft]]+TblMili[[#This Row],[Draftees]]</f>
        <v>523</v>
      </c>
      <c r="U63" s="248">
        <f ca="1">race_defense + TblImps[[#This Row],[Walls]] + ROUND( MIN(gt_bonus*TblConstr[[#This Row],[Tot GT]]/TblConstr[[#This Row],[Land]],gt_bonus_cap), 4) + IF(TblMagic[[#This Row],[Active Howling]]&gt;0,howling_dp_bonus,IF(TblMagic[[#This Row],[Active Ares Call]]&gt;0,ares_call_bonus))</f>
        <v>0</v>
      </c>
      <c r="V63" s="249">
        <f ca="1">TblMili[[#This Row],[Non Draft]] * (1 + TblMili[[#This Row],[Mods_Def]])</f>
        <v>0</v>
      </c>
      <c r="W63" s="247">
        <f ca="1">TblMili[[#This Row],[Draft]] * (1 + TblMili[[#This Row],[Mods_Def]])</f>
        <v>523</v>
      </c>
      <c r="X63" s="247">
        <f ca="1">TblConstr[[#This Row],[Land]]</f>
        <v>110</v>
      </c>
      <c r="Y63" s="250"/>
      <c r="Z63" s="255">
        <f ca="1">IF(TblMili[[#This Row],[Set]]&lt;&gt;"",TblMili[[#This Row],[Set]],OFFSET(TblMili[[#This Row],[Draftrate]],-1,0))</f>
        <v>0.9</v>
      </c>
      <c r="AA63" s="94">
        <f ca="1">OFFSET(TblMili[[#This Row],[Draftees]],-1,0)+OFFSET(TblPop[[#This Row],[Draft Growth]],-1,0) - SUM(TblMili[[#This Row],[Train Unit 1]:[Train Spies]],TblMili[[#This Row],[Train Wiz]],TblMili[[#This Row],[DnD_Zombies]]) - TblMili[[#This Row],[Release Draft]] + SUM(TblMili[[#This Row],[Release Unit 1]:[Release AM]]) - TblExplore[[#This Row],[Draftees (2)]]</f>
        <v>523</v>
      </c>
      <c r="AB63" s="154"/>
      <c r="AC63" s="180">
        <f ca="1">(TblConstr[[#This Row],[Tot Smi]]+TblConstr[[#This Row],[Dest Smi]])/(TblConstr[[#This Row],[Land]]-TblExplore[[#This Row],[Land Bonus]]*20)</f>
        <v>0</v>
      </c>
      <c r="AD63" s="137"/>
      <c r="AE63" s="246">
        <f>TblMili[[#This Row],[Hour]]</f>
        <v>60</v>
      </c>
      <c r="AF63" s="138">
        <f ca="1">TblExplore[[#This Row],[Time]]</f>
        <v>46049.45833333319</v>
      </c>
      <c r="AG63" s="179"/>
      <c r="AH63" s="179"/>
      <c r="AI63" s="179"/>
      <c r="AJ63" s="179"/>
      <c r="AK63" s="179"/>
      <c r="AL63" s="179"/>
      <c r="AM63" s="179"/>
      <c r="AN63" s="179"/>
      <c r="AO63" s="420">
        <f ca="1">ROUND(IF(AND(TblMagic[[#This Row],[Active DnD]]&lt;12,TblMagic[[#This Row],[Active DnD]]&gt;5),OFFSET(TblPop[[#This Row],[Draft Growth]],-1,0)*0.375,0),0)</f>
        <v>0</v>
      </c>
      <c r="AP63" s="142"/>
      <c r="AQ63" s="94">
        <f ca="1">TblProd[[#This Row],[Platinum]]</f>
        <v>150298</v>
      </c>
      <c r="AR63" s="94">
        <f ca="1">INDEX(TblProd[[#Headers],[Lumber]]:TblProd[[#This Row],[Ore]],COUNTA(TblProd[[#Headers],[Lumber]]:TblProd[[#This Row],[Lumber]]),MATCH(Military!$AR$2,TblProd[[#Headers],[Lumber]:[Ore]],0))</f>
        <v>0</v>
      </c>
      <c r="AS6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3" s="94">
        <f ca="1">TblMili[[#This Row],[Train Unit 1]]*TblMili[[#This Row],[OP Ore]]+TblMili[[#This Row],[Train Unit 2]]*TblMili[[#This Row],[DP Ore]]+TblMili[[#This Row],[Train Unit 3]]*TblMili[[#This Row],[E1 Ore]]+TblMili[[#This Row],[Train Unit 4]]*TblMili[[#This Row],[E2 Ore]]</f>
        <v>0</v>
      </c>
      <c r="AU63" s="142">
        <f>TblMili[[#This Row],[Hour]]</f>
        <v>60</v>
      </c>
      <c r="AV63" s="152">
        <f ca="1">TblMili[[#This Row],[Time]]</f>
        <v>46049.45833333319</v>
      </c>
      <c r="AW63" s="94">
        <f ca="1">TblMili[[#This Row],[Draftees]]</f>
        <v>523</v>
      </c>
      <c r="AX63" s="179"/>
      <c r="AY63" s="179"/>
      <c r="AZ63" s="179"/>
      <c r="BA63" s="179"/>
      <c r="BB63" s="179"/>
      <c r="BC63" s="179"/>
      <c r="BD63" s="179"/>
      <c r="BE63" s="179"/>
      <c r="BF63" s="179"/>
      <c r="BG63" s="142"/>
      <c r="BH63" s="157">
        <f ca="1">TblConstr[[#This Row],[Tot WG]]/TblConstr[[#This Row],[Land]]</f>
        <v>0</v>
      </c>
      <c r="BI63" s="157">
        <f ca="1">TblConstr[[#This Row],[Tot Hav]]/TblConstr[[#This Row],[Land]]</f>
        <v>0</v>
      </c>
      <c r="BJ63" s="94">
        <f ca="1">ROUNDUP((1-MIN(TblMili[[#This Row],[Smithies]]*smithy_bonus,smithy_bonus_cap) + tech_3_5*TblTech[[#This Row],[3-5]] + tech_5_3*TblTech[[#This Row],[5-3]] + tech_5_5*TblTech[[#This Row],[5-5]])*spec_op_plat,0)</f>
        <v>275</v>
      </c>
      <c r="BK63" s="94">
        <f ca="1">ROUNDUP(IF(race="Gnome",1,(1-MIN(TblMili[[#This Row],[Smithies]]*smithy_bonus,smithy_bonus_cap) + tech_3_5*TblTech[[#This Row],[3-5]] + tech_5_3*TblTech[[#This Row],[5-3]] + tech_5_5*TblTech[[#This Row],[5-5]]))*spec_op_ore,0)</f>
        <v>25</v>
      </c>
      <c r="BL63" s="94">
        <f ca="1">ROUNDUP((1-MIN(TblMili[[#This Row],[Smithies]]*smithy_bonus,smithy_bonus_cap) + tech_3_5*TblTech[[#This Row],[3-5]] + tech_5_3*TblTech[[#This Row],[5-3]] + tech_5_5*TblTech[[#This Row],[5-5]])*spec_dp_plat,0)</f>
        <v>275</v>
      </c>
      <c r="BM63" s="94">
        <f ca="1">ROUNDUP(IF(race="Gnome",1,(1-MIN(TblMili[[#This Row],[Smithies]]*smithy_bonus,smithy_bonus_cap) + tech_3_5*TblTech[[#This Row],[3-5]] + tech_5_3*TblTech[[#This Row],[5-3]] + tech_5_5*TblTech[[#This Row],[5-5]]))*spec_dp_ore,0)</f>
        <v>15</v>
      </c>
      <c r="BN63" s="94">
        <f ca="1">ROUNDUP((1-MIN(TblMili[[#This Row],[Smithies]]*smithy_bonus,smithy_bonus_cap) + tech_3_5*TblTech[[#This Row],[3-5]] + tech_5_3*TblTech[[#This Row],[5-3]] + tech_5_5*TblTech[[#This Row],[5-5]])*elite1_plat,0)</f>
        <v>1040</v>
      </c>
      <c r="BO63" s="94">
        <f ca="1">ROUNDUP(IF(race="Gnome",1,(1-MIN(TblMili[[#This Row],[Smithies]]*smithy_bonus,smithy_bonus_cap) + tech_3_5*TblTech[[#This Row],[3-5]] + tech_5_3*TblTech[[#This Row],[5-3]] + tech_5_5*TblTech[[#This Row],[5-5]]))*elite1_ore,0)</f>
        <v>75</v>
      </c>
      <c r="BP63" s="94">
        <f ca="1">ROUNDUP((1-MIN(TblMili[[#This Row],[Smithies]]*smithy_bonus,smithy_bonus_cap) + tech_3_5*TblTech[[#This Row],[3-5]] + tech_5_3*TblTech[[#This Row],[5-3]] + tech_5_5*TblTech[[#This Row],[5-5]])*elite2_plat,0)</f>
        <v>1280</v>
      </c>
      <c r="BQ63" s="94">
        <f ca="1">ROUNDUP(IF(race="Gnome",1,(1-MIN(TblMili[[#This Row],[Smithies]]*smithy_bonus,smithy_bonus_cap) + tech_3_5*TblTech[[#This Row],[3-5]] + tech_5_3*TblTech[[#This Row],[5-3]] + tech_5_5*TblTech[[#This Row],[5-5]]))*elite2_ore,0)</f>
        <v>100</v>
      </c>
      <c r="BR63" s="94">
        <f ca="1">ROUNDUP((1-MIN(ROUND(fh_spy_cost_red*TblMili[[#This Row],[FH''s]],4),fh_spy_cost_cap)+ tech_1_9*TblTech[[#This Row],[1-9]] + tech_9_1*TblTech[[#This Row],[9-1]])*spy_plat,0)</f>
        <v>500</v>
      </c>
      <c r="BS63" s="94">
        <f ca="1">ROUNDUP((1-MIN(ROUND(fh_spy_cost_red*TblMili[[#This Row],[FH''s]],4),fh_spy_cost_cap)+ tech_1_9*TblTech[[#This Row],[1-9]] + tech_9_1*TblTech[[#This Row],[9-1]])*archspy_plat,0)</f>
        <v>1000</v>
      </c>
      <c r="BT63" s="94">
        <f ca="1">ROUNDUP((1-MIN(ROUND(wg_wiz_cost_bonus*TblMili[[#This Row],[WG''s]],4),wg_wiz_cost_cap) + tech_1_9_2*TblTech[[#This Row],[1-9]] + tech_9_1_2*TblTech[[#This Row],[9-1]])*wizard_plat,0)</f>
        <v>500</v>
      </c>
      <c r="BU63" s="94">
        <f ca="1">ROUNDUP((1-MIN(ROUND(wg_wiz_cost_bonus*TblMili[[#This Row],[WG''s]],4),wg_wiz_cost_cap) + tech_1_9_2*TblTech[[#This Row],[1-9]] + tech_9_1_2*TblTech[[#This Row],[9-1]])*archmage_plat,0)</f>
        <v>1000</v>
      </c>
      <c r="BV63" s="142"/>
      <c r="BW63" s="157">
        <f ca="1">TblConstr[[#This Row],[Homeland]]/TblConstr[[#This Row],[Land]]</f>
        <v>0.81818181818181823</v>
      </c>
      <c r="BX63" s="157">
        <f ca="1">TblMili[[#This Row],[WG''s]]</f>
        <v>0</v>
      </c>
      <c r="BY63" s="251">
        <f ca="1">IF(mystic_cap="none",TblMili[[#This Row],[Homeland%]]/mystic_bonus,MIN(mystic_cap,TblMili[[#This Row],[Homeland%]]/mystic_bonus))</f>
        <v>2</v>
      </c>
      <c r="BZ63" s="251">
        <f ca="1">IF(druid_op_cap="none",TblMili[[#This Row],[Homeland%]]/druid_op_bonus,MIN(druid_op_cap,TblMili[[#This Row],[Homeland%]]/druid_op_bonus))</f>
        <v>2</v>
      </c>
      <c r="CA63" s="251">
        <f ca="1">IF(druid_dp_cap="none",TblMili[[#This Row],[Homeland%]]/druid_dp_bonus,MIN(druid_dp_cap,TblMili[[#This Row],[Homeland%]]/druid_dp_bonus))</f>
        <v>2</v>
      </c>
      <c r="CB63" s="251">
        <f ca="1">MIN(dryad_cap,TblMili[[#This Row],[Homeland%]]/dryad_bonus)</f>
        <v>4</v>
      </c>
      <c r="CC63" s="251">
        <f ca="1">MIN(rocka_cap,TblMili[[#This Row],[Homeland%]]/rocka_bonus)</f>
        <v>2</v>
      </c>
      <c r="CD63" s="251">
        <f ca="1">MIN(adept_op_cap,TblMili[[#This Row],[WG]]/adept_op_bonus)</f>
        <v>0</v>
      </c>
      <c r="CE63" s="251">
        <f ca="1">MIN(adept_dp_cap,TblMili[[#This Row],[WG]]/adept_dp_bonus)</f>
        <v>0</v>
      </c>
      <c r="CF63" s="94">
        <f ca="1">MIN(TblMili[[#This Row],[Unit 3]],TblMili[[#This Row],[Unit 2]])*2</f>
        <v>0</v>
      </c>
      <c r="CG63" s="94">
        <f ca="1">MIN(TblMili[[#This Row],[Unit 1]],TblMili[[#This Row],[Unit 4]])*2</f>
        <v>0</v>
      </c>
      <c r="CH63" s="251">
        <f ca="1">MIN(frost_mage_cap,TblMili[[#This Row],[Homeland%]]/frost_mage_bonus)</f>
        <v>3</v>
      </c>
      <c r="CI63" s="45">
        <f ca="1">MIN(ice_elem_cap,TblMili[[#This Row],[Raw (2)]]*ice_elem_bonus)</f>
        <v>0</v>
      </c>
      <c r="CJ63" s="251">
        <f t="shared" si="2"/>
        <v>0.83333333333333337</v>
      </c>
      <c r="CK63" s="251">
        <f ca="1">MIN(nox_nightshade_cap,TblConstr[[#This Row],[Homeland]]/TblConstr[[#This Row],[Land]]/nox_nightshade_swamp_bonus)</f>
        <v>4</v>
      </c>
      <c r="CL63" s="251">
        <f ca="1">MIN(TblConstr[[#This Row],[Total Swamp]]/TblConstr[[#This Row],[Land]]/abyss_enforce_bonus,abyss_enforcer_cap)</f>
        <v>0</v>
      </c>
      <c r="CM63" s="251">
        <f ca="1">IF(TblMagic[[#This Row],[Active Infernal Command]]&gt;0,TblMili[[#This Row],[Unit 1]]*infernal_cmd_op,0)</f>
        <v>0</v>
      </c>
      <c r="CN63" s="252"/>
      <c r="CO63" s="252"/>
      <c r="CP63" s="252"/>
      <c r="CQ63" s="251">
        <f ca="1">MIN(6,TblMili[[#This Row],[Mystic]]+Races!$F$19)*1.8 +  IF(TblMili[[#This Row],[Mystic]]+Races!$F$19&gt;6,(TblMili[[#This Row],[Mystic]]+Races!$F$19-6)*0.2,0) - Races!$I$19</f>
        <v>1</v>
      </c>
      <c r="CR6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3" s="94">
        <f ca="1">TblMili[[#This Row],[Mystic bonus]]*TblMili[[#This Row],[Unit 3]]+TblMili[[#This Row],[Druid bonus]]*TblMili[[#This Row],[Unit 4]]</f>
        <v>0</v>
      </c>
      <c r="CT63" s="155">
        <f ca="1">MIN(6,TblMili[[#This Row],[Dryad]]+Races!$F$35)*1.8 +  IF(TblMili[[#This Row],[Dryad]]+Races!$F$35&gt;6,(TblMili[[#This Row],[Dryad]]+Races!$F$35-6)*0.2,0) - Races!$I$19</f>
        <v>1</v>
      </c>
      <c r="CU63" s="94">
        <f ca="1">sylvan*(TblMili[[#This Row],[Mystic bonus]]*TblMili[[#This Row],[Unit 3]])</f>
        <v>0</v>
      </c>
      <c r="CV63" s="155">
        <f ca="1">1.8 * MIN(MAX(Races!$E$27,TblMili[[#This Row],[Rockapult]]+Races!$F$27),6)  +  0.45 * MIN(MIN(Races!$E$27,TblMili[[#This Row],[Rockapult]]+Races!$F$27),6)  +  0.2 * ( MAX(Races!$E$27-6,0) + MAX(TblMili[[#This Row],[Rockapult]]+Races!$F$27-6,0) )  -  Races!$I$20</f>
        <v>3.7000000000000011</v>
      </c>
      <c r="CW63" s="94">
        <f ca="1">gnome*(TblMili[[#This Row],[Rockapult bonus]]*TblMili[[#This Row],[Unit 3]])</f>
        <v>0</v>
      </c>
      <c r="CX6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3" s="94">
        <f ca="1">dark_elf*(TblMili[[#This Row],[Adept bonus]]*TblMili[[#This Row],[Unit 3]])</f>
        <v>0</v>
      </c>
      <c r="CZ63" s="155">
        <f ca="1">1.8 * MIN(MAX(TblMili[[#This Row],[Frost Mage]]+Races!$F$71,Races!$E$71),6)  +  0.45 * MIN(MIN(TblMili[[#This Row],[Frost Mage]]+Races!$F$71,Races!$E$71),6)  +  0.2 * ( MAX(TblMili[[#This Row],[Frost Mage]]+Races!$F$71-6,0) + MAX(Races!$E$71-6,0) )  -  Races!$I$71</f>
        <v>6.15</v>
      </c>
      <c r="DA63" s="155">
        <f ca="1">1.8 * MIN(MAX(TblMili[[#This Row],[Ice Elemental]]+Races!$E$71,Races!$F$71),6)  +  0.45 * MIN(MIN(TblMili[[#This Row],[Ice Elemental]]+Races!$E$71,Races!$F$71),6)  +  0.2 * ( MAX(TblMili[[#This Row],[Ice Elemental]]+Races!$E$71-6,0) + MAX(Races!$F$71-6,0) )  -  Races!$I$71</f>
        <v>0.75</v>
      </c>
      <c r="DB63" s="94">
        <f ca="1">TblMili[[#This Row],[Frost Mage bonus]]*TblMili[[#This Row],[Unit 3]]+TblMili[[#This Row],[Ice Elemental bonus]]*TblMili[[#This Row],[Unit 4]]</f>
        <v>0</v>
      </c>
      <c r="DC63" s="253"/>
      <c r="DD63" s="143">
        <f ca="1">MIN(SUM(TblConstr[[#This Row],[Plain]:[Water]])/TblMili[[#This Row],[Land]]/favorable_terrain_bonus/100,favorable_terrain_max)</f>
        <v>0.1</v>
      </c>
      <c r="DE63" s="253"/>
      <c r="DF6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3" s="142"/>
      <c r="DH63" s="254">
        <f ca="1">(TblMili[[#This Row],[Wizards]]+2*TblMili[[#This Row],[Archmages]])/TblConstr[[#This Row],[Land]]</f>
        <v>0</v>
      </c>
      <c r="DI63" s="254">
        <f ca="1">TblMili[[#This Row],[Raw (2)]]*(1+race_wizard_strength+IF(TblMili[[#This Row],[Hour]]&gt;72,tech_magical_weaponry_wiz*TblTech[[#This Row],[3-5]],0))</f>
        <v>0</v>
      </c>
    </row>
    <row r="64" spans="1:113" x14ac:dyDescent="0.2">
      <c r="A64" s="137">
        <f>TblRezone[[#This Row],[Hour]]</f>
        <v>61</v>
      </c>
      <c r="B64" s="246">
        <f ca="1">SUM(TblMili[[#This Row],[Unit 1]:[Archmages]])+SUM(OFFSET(TblMili[[#This Row],[Train Unit 1]],-8,0):TblMili[[#This Row],[Train Unit 2]]) + SUM(OFFSET(TblMili[[#This Row],[Train Unit 3]],-11,0):TblMili[[#This Row],[Train AM]]) + TblMili[[#This Row],[Draftees]]</f>
        <v>529</v>
      </c>
      <c r="C64" s="157">
        <f ca="1">TblPop[[#This Row],[Military%]]</f>
        <v>0.49163568773234201</v>
      </c>
      <c r="D64" s="142"/>
      <c r="E64" s="45">
        <f ca="1">OFFSET(TblMili[[#This Row],[Unit 1]],-1,0) + OFFSET(TblMili[[#This Row],[Train Unit 1]],-9,0) - TblMili[[#This Row],[Release Unit 1]] + OFFSET(TblMili[[#This Row],[DnD_Zombies]],-12,0)</f>
        <v>0</v>
      </c>
      <c r="F64" s="45">
        <f ca="1">OFFSET(TblMili[[#This Row],[Unit 2]],-1,0) + OFFSET(TblMili[[#This Row],[Train Unit 2]],-9,0)-TblMili[[#This Row],[Release Unit 2]]</f>
        <v>0</v>
      </c>
      <c r="G64" s="45">
        <f ca="1">OFFSET(TblMili[[#This Row],[Unit 3]],-1,0) + OFFSET(TblMili[[#This Row],[Train Unit 3]],-12,0)-TblMili[[#This Row],[Release Unit 3]]</f>
        <v>0</v>
      </c>
      <c r="H64" s="45">
        <f ca="1">OFFSET(TblMili[[#This Row],[Unit 4]],-1,0) + OFFSET(TblMili[[#This Row],[Train Unit 4]],-12,0)-TblMili[[#This Row],[Release Unit 4]]</f>
        <v>0</v>
      </c>
      <c r="I64" s="45">
        <f ca="1">OFFSET(TblMili[[#This Row],[Spies]],-1,0) + OFFSET(TblMili[[#This Row],[Train Spies]],-12,0) - TblMili[[#This Row],[Release Spies]]-TblMili[[#This Row],[Train AS]]</f>
        <v>0</v>
      </c>
      <c r="J64" s="45">
        <f ca="1">OFFSET(TblMili[[#This Row],[Archspies]],-1,0) + OFFSET(TblMili[[#This Row],[Train AS]],-12,0) - TblMili[[#This Row],[Release AS]]</f>
        <v>0</v>
      </c>
      <c r="K64" s="45">
        <f ca="1">OFFSET(TblMili[[#This Row],[Wizards]],-1,0) + OFFSET(TblMili[[#This Row],[Train Wiz]],-12,0) - TblMili[[#This Row],[Release Wizards]]-TblMili[[#This Row],[Train AM]]</f>
        <v>0</v>
      </c>
      <c r="L64" s="45">
        <f ca="1">OFFSET(TblMili[[#This Row],[Archmages]],-1,0) + OFFSET(TblMili[[#This Row],[Train AM]],-12,0) - TblMili[[#This Row],[Release AM]]</f>
        <v>0</v>
      </c>
      <c r="M64" s="142"/>
      <c r="N64" s="94">
        <f ca="1">TblProd[[#This Row],[Networth]]</f>
        <v>2450</v>
      </c>
      <c r="O64" s="142"/>
      <c r="P6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4" s="247">
        <f ca="1">TblMili[[#This Row],[Raw]]*(1+TblMili[[#This Row],[Mods_Off]])</f>
        <v>0</v>
      </c>
      <c r="S6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4" s="247">
        <f ca="1">TblMili[[#This Row],[Non Draft]]+TblMili[[#This Row],[Draftees]]</f>
        <v>529</v>
      </c>
      <c r="U64" s="248">
        <f ca="1">race_defense + TblImps[[#This Row],[Walls]] + ROUND( MIN(gt_bonus*TblConstr[[#This Row],[Tot GT]]/TblConstr[[#This Row],[Land]],gt_bonus_cap), 4) + IF(TblMagic[[#This Row],[Active Howling]]&gt;0,howling_dp_bonus,IF(TblMagic[[#This Row],[Active Ares Call]]&gt;0,ares_call_bonus))</f>
        <v>0</v>
      </c>
      <c r="V64" s="249">
        <f ca="1">TblMili[[#This Row],[Non Draft]] * (1 + TblMili[[#This Row],[Mods_Def]])</f>
        <v>0</v>
      </c>
      <c r="W64" s="247">
        <f ca="1">TblMili[[#This Row],[Draft]] * (1 + TblMili[[#This Row],[Mods_Def]])</f>
        <v>529</v>
      </c>
      <c r="X64" s="247">
        <f ca="1">TblConstr[[#This Row],[Land]]</f>
        <v>110</v>
      </c>
      <c r="Y64" s="250"/>
      <c r="Z64" s="255">
        <f ca="1">IF(TblMili[[#This Row],[Set]]&lt;&gt;"",TblMili[[#This Row],[Set]],OFFSET(TblMili[[#This Row],[Draftrate]],-1,0))</f>
        <v>0.9</v>
      </c>
      <c r="AA64" s="94">
        <f ca="1">OFFSET(TblMili[[#This Row],[Draftees]],-1,0)+OFFSET(TblPop[[#This Row],[Draft Growth]],-1,0) - SUM(TblMili[[#This Row],[Train Unit 1]:[Train Spies]],TblMili[[#This Row],[Train Wiz]],TblMili[[#This Row],[DnD_Zombies]]) - TblMili[[#This Row],[Release Draft]] + SUM(TblMili[[#This Row],[Release Unit 1]:[Release AM]]) - TblExplore[[#This Row],[Draftees (2)]]</f>
        <v>529</v>
      </c>
      <c r="AB64" s="154"/>
      <c r="AC64" s="180">
        <f ca="1">(TblConstr[[#This Row],[Tot Smi]]+TblConstr[[#This Row],[Dest Smi]])/(TblConstr[[#This Row],[Land]]-TblExplore[[#This Row],[Land Bonus]]*20)</f>
        <v>0</v>
      </c>
      <c r="AD64" s="246"/>
      <c r="AE64" s="246">
        <f>TblMili[[#This Row],[Hour]]</f>
        <v>61</v>
      </c>
      <c r="AF64" s="138">
        <f ca="1">TblExplore[[#This Row],[Time]]</f>
        <v>46049.499999999854</v>
      </c>
      <c r="AG64" s="179"/>
      <c r="AH64" s="158"/>
      <c r="AI64" s="179"/>
      <c r="AJ64" s="158"/>
      <c r="AK64" s="158"/>
      <c r="AL64" s="158"/>
      <c r="AM64" s="158"/>
      <c r="AN64" s="179"/>
      <c r="AO64" s="420">
        <f ca="1">ROUND(IF(AND(TblMagic[[#This Row],[Active DnD]]&lt;12,TblMagic[[#This Row],[Active DnD]]&gt;5),OFFSET(TblPop[[#This Row],[Draft Growth]],-1,0)*0.375,0),0)</f>
        <v>0</v>
      </c>
      <c r="AP64" s="142"/>
      <c r="AQ64" s="94">
        <f ca="1">TblProd[[#This Row],[Platinum]]</f>
        <v>151791</v>
      </c>
      <c r="AR64" s="94">
        <f ca="1">INDEX(TblProd[[#Headers],[Lumber]]:TblProd[[#This Row],[Ore]],COUNTA(TblProd[[#Headers],[Lumber]]:TblProd[[#This Row],[Lumber]]),MATCH(Military!$AR$2,TblProd[[#Headers],[Lumber]:[Ore]],0))</f>
        <v>0</v>
      </c>
      <c r="AS6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4" s="94">
        <f ca="1">TblMili[[#This Row],[Train Unit 1]]*TblMili[[#This Row],[OP Ore]]+TblMili[[#This Row],[Train Unit 2]]*TblMili[[#This Row],[DP Ore]]+TblMili[[#This Row],[Train Unit 3]]*TblMili[[#This Row],[E1 Ore]]+TblMili[[#This Row],[Train Unit 4]]*TblMili[[#This Row],[E2 Ore]]</f>
        <v>0</v>
      </c>
      <c r="AU64" s="142">
        <f>TblMili[[#This Row],[Hour]]</f>
        <v>61</v>
      </c>
      <c r="AV64" s="152">
        <f ca="1">TblMili[[#This Row],[Time]]</f>
        <v>46049.499999999854</v>
      </c>
      <c r="AW64" s="94">
        <f ca="1">TblMili[[#This Row],[Draftees]]</f>
        <v>529</v>
      </c>
      <c r="AX64" s="179"/>
      <c r="AY64" s="179"/>
      <c r="AZ64" s="179"/>
      <c r="BA64" s="179"/>
      <c r="BB64" s="179"/>
      <c r="BC64" s="179"/>
      <c r="BD64" s="179"/>
      <c r="BE64" s="179"/>
      <c r="BF64" s="179"/>
      <c r="BG64" s="142"/>
      <c r="BH64" s="157">
        <f ca="1">TblConstr[[#This Row],[Tot WG]]/TblConstr[[#This Row],[Land]]</f>
        <v>0</v>
      </c>
      <c r="BI64" s="157">
        <f ca="1">TblConstr[[#This Row],[Tot Hav]]/TblConstr[[#This Row],[Land]]</f>
        <v>0</v>
      </c>
      <c r="BJ64" s="94">
        <f ca="1">ROUNDUP((1-MIN(TblMili[[#This Row],[Smithies]]*smithy_bonus,smithy_bonus_cap) + tech_3_5*TblTech[[#This Row],[3-5]] + tech_5_3*TblTech[[#This Row],[5-3]] + tech_5_5*TblTech[[#This Row],[5-5]])*spec_op_plat,0)</f>
        <v>275</v>
      </c>
      <c r="BK64" s="94">
        <f ca="1">ROUNDUP(IF(race="Gnome",1,(1-MIN(TblMili[[#This Row],[Smithies]]*smithy_bonus,smithy_bonus_cap) + tech_3_5*TblTech[[#This Row],[3-5]] + tech_5_3*TblTech[[#This Row],[5-3]] + tech_5_5*TblTech[[#This Row],[5-5]]))*spec_op_ore,0)</f>
        <v>25</v>
      </c>
      <c r="BL64" s="94">
        <f ca="1">ROUNDUP((1-MIN(TblMili[[#This Row],[Smithies]]*smithy_bonus,smithy_bonus_cap) + tech_3_5*TblTech[[#This Row],[3-5]] + tech_5_3*TblTech[[#This Row],[5-3]] + tech_5_5*TblTech[[#This Row],[5-5]])*spec_dp_plat,0)</f>
        <v>275</v>
      </c>
      <c r="BM64" s="94">
        <f ca="1">ROUNDUP(IF(race="Gnome",1,(1-MIN(TblMili[[#This Row],[Smithies]]*smithy_bonus,smithy_bonus_cap) + tech_3_5*TblTech[[#This Row],[3-5]] + tech_5_3*TblTech[[#This Row],[5-3]] + tech_5_5*TblTech[[#This Row],[5-5]]))*spec_dp_ore,0)</f>
        <v>15</v>
      </c>
      <c r="BN64" s="94">
        <f ca="1">ROUNDUP((1-MIN(TblMili[[#This Row],[Smithies]]*smithy_bonus,smithy_bonus_cap) + tech_3_5*TblTech[[#This Row],[3-5]] + tech_5_3*TblTech[[#This Row],[5-3]] + tech_5_5*TblTech[[#This Row],[5-5]])*elite1_plat,0)</f>
        <v>1040</v>
      </c>
      <c r="BO64" s="94">
        <f ca="1">ROUNDUP(IF(race="Gnome",1,(1-MIN(TblMili[[#This Row],[Smithies]]*smithy_bonus,smithy_bonus_cap) + tech_3_5*TblTech[[#This Row],[3-5]] + tech_5_3*TblTech[[#This Row],[5-3]] + tech_5_5*TblTech[[#This Row],[5-5]]))*elite1_ore,0)</f>
        <v>75</v>
      </c>
      <c r="BP64" s="94">
        <f ca="1">ROUNDUP((1-MIN(TblMili[[#This Row],[Smithies]]*smithy_bonus,smithy_bonus_cap) + tech_3_5*TblTech[[#This Row],[3-5]] + tech_5_3*TblTech[[#This Row],[5-3]] + tech_5_5*TblTech[[#This Row],[5-5]])*elite2_plat,0)</f>
        <v>1280</v>
      </c>
      <c r="BQ64" s="94">
        <f ca="1">ROUNDUP(IF(race="Gnome",1,(1-MIN(TblMili[[#This Row],[Smithies]]*smithy_bonus,smithy_bonus_cap) + tech_3_5*TblTech[[#This Row],[3-5]] + tech_5_3*TblTech[[#This Row],[5-3]] + tech_5_5*TblTech[[#This Row],[5-5]]))*elite2_ore,0)</f>
        <v>100</v>
      </c>
      <c r="BR64" s="94">
        <f ca="1">ROUNDUP((1-MIN(ROUND(fh_spy_cost_red*TblMili[[#This Row],[FH''s]],4),fh_spy_cost_cap)+ tech_1_9*TblTech[[#This Row],[1-9]] + tech_9_1*TblTech[[#This Row],[9-1]])*spy_plat,0)</f>
        <v>500</v>
      </c>
      <c r="BS64" s="94">
        <f ca="1">ROUNDUP((1-MIN(ROUND(fh_spy_cost_red*TblMili[[#This Row],[FH''s]],4),fh_spy_cost_cap)+ tech_1_9*TblTech[[#This Row],[1-9]] + tech_9_1*TblTech[[#This Row],[9-1]])*archspy_plat,0)</f>
        <v>1000</v>
      </c>
      <c r="BT64" s="94">
        <f ca="1">ROUNDUP((1-MIN(ROUND(wg_wiz_cost_bonus*TblMili[[#This Row],[WG''s]],4),wg_wiz_cost_cap) + tech_1_9_2*TblTech[[#This Row],[1-9]] + tech_9_1_2*TblTech[[#This Row],[9-1]])*wizard_plat,0)</f>
        <v>500</v>
      </c>
      <c r="BU64" s="94">
        <f ca="1">ROUNDUP((1-MIN(ROUND(wg_wiz_cost_bonus*TblMili[[#This Row],[WG''s]],4),wg_wiz_cost_cap) + tech_1_9_2*TblTech[[#This Row],[1-9]] + tech_9_1_2*TblTech[[#This Row],[9-1]])*archmage_plat,0)</f>
        <v>1000</v>
      </c>
      <c r="BV64" s="142"/>
      <c r="BW64" s="157">
        <f ca="1">TblConstr[[#This Row],[Homeland]]/TblConstr[[#This Row],[Land]]</f>
        <v>0.81818181818181823</v>
      </c>
      <c r="BX64" s="157">
        <f ca="1">TblMili[[#This Row],[WG''s]]</f>
        <v>0</v>
      </c>
      <c r="BY64" s="251">
        <f ca="1">IF(mystic_cap="none",TblMili[[#This Row],[Homeland%]]/mystic_bonus,MIN(mystic_cap,TblMili[[#This Row],[Homeland%]]/mystic_bonus))</f>
        <v>2</v>
      </c>
      <c r="BZ64" s="251">
        <f ca="1">IF(druid_op_cap="none",TblMili[[#This Row],[Homeland%]]/druid_op_bonus,MIN(druid_op_cap,TblMili[[#This Row],[Homeland%]]/druid_op_bonus))</f>
        <v>2</v>
      </c>
      <c r="CA64" s="251">
        <f ca="1">IF(druid_dp_cap="none",TblMili[[#This Row],[Homeland%]]/druid_dp_bonus,MIN(druid_dp_cap,TblMili[[#This Row],[Homeland%]]/druid_dp_bonus))</f>
        <v>2</v>
      </c>
      <c r="CB64" s="251">
        <f ca="1">MIN(dryad_cap,TblMili[[#This Row],[Homeland%]]/dryad_bonus)</f>
        <v>4</v>
      </c>
      <c r="CC64" s="251">
        <f ca="1">MIN(rocka_cap,TblMili[[#This Row],[Homeland%]]/rocka_bonus)</f>
        <v>2</v>
      </c>
      <c r="CD64" s="251">
        <f ca="1">MIN(adept_op_cap,TblMili[[#This Row],[WG]]/adept_op_bonus)</f>
        <v>0</v>
      </c>
      <c r="CE64" s="251">
        <f ca="1">MIN(adept_dp_cap,TblMili[[#This Row],[WG]]/adept_dp_bonus)</f>
        <v>0</v>
      </c>
      <c r="CF64" s="94">
        <f ca="1">MIN(TblMili[[#This Row],[Unit 3]],TblMili[[#This Row],[Unit 2]])*2</f>
        <v>0</v>
      </c>
      <c r="CG64" s="94">
        <f ca="1">MIN(TblMili[[#This Row],[Unit 1]],TblMili[[#This Row],[Unit 4]])*2</f>
        <v>0</v>
      </c>
      <c r="CH64" s="251">
        <f ca="1">MIN(frost_mage_cap,TblMili[[#This Row],[Homeland%]]/frost_mage_bonus)</f>
        <v>3</v>
      </c>
      <c r="CI64" s="45">
        <f ca="1">MIN(ice_elem_cap,TblMili[[#This Row],[Raw (2)]]*ice_elem_bonus)</f>
        <v>0</v>
      </c>
      <c r="CJ64" s="251">
        <f t="shared" si="2"/>
        <v>0.83333333333333337</v>
      </c>
      <c r="CK64" s="251">
        <f ca="1">MIN(nox_nightshade_cap,TblConstr[[#This Row],[Homeland]]/TblConstr[[#This Row],[Land]]/nox_nightshade_swamp_bonus)</f>
        <v>4</v>
      </c>
      <c r="CL64" s="251">
        <f ca="1">MIN(TblConstr[[#This Row],[Total Swamp]]/TblConstr[[#This Row],[Land]]/abyss_enforce_bonus,abyss_enforcer_cap)</f>
        <v>0</v>
      </c>
      <c r="CM64" s="251">
        <f ca="1">IF(TblMagic[[#This Row],[Active Infernal Command]]&gt;0,TblMili[[#This Row],[Unit 1]]*infernal_cmd_op,0)</f>
        <v>0</v>
      </c>
      <c r="CN64" s="252"/>
      <c r="CO64" s="252"/>
      <c r="CP64" s="252"/>
      <c r="CQ64" s="251">
        <f ca="1">MIN(6,TblMili[[#This Row],[Mystic]]+Races!$F$19)*1.8 +  IF(TblMili[[#This Row],[Mystic]]+Races!$F$19&gt;6,(TblMili[[#This Row],[Mystic]]+Races!$F$19-6)*0.2,0) - Races!$I$19</f>
        <v>1</v>
      </c>
      <c r="CR6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4" s="94">
        <f ca="1">TblMili[[#This Row],[Mystic bonus]]*TblMili[[#This Row],[Unit 3]]+TblMili[[#This Row],[Druid bonus]]*TblMili[[#This Row],[Unit 4]]</f>
        <v>0</v>
      </c>
      <c r="CT64" s="155">
        <f ca="1">MIN(6,TblMili[[#This Row],[Dryad]]+Races!$F$35)*1.8 +  IF(TblMili[[#This Row],[Dryad]]+Races!$F$35&gt;6,(TblMili[[#This Row],[Dryad]]+Races!$F$35-6)*0.2,0) - Races!$I$19</f>
        <v>1</v>
      </c>
      <c r="CU64" s="94">
        <f ca="1">sylvan*(TblMili[[#This Row],[Mystic bonus]]*TblMili[[#This Row],[Unit 3]])</f>
        <v>0</v>
      </c>
      <c r="CV64" s="155">
        <f ca="1">1.8 * MIN(MAX(Races!$E$27,TblMili[[#This Row],[Rockapult]]+Races!$F$27),6)  +  0.45 * MIN(MIN(Races!$E$27,TblMili[[#This Row],[Rockapult]]+Races!$F$27),6)  +  0.2 * ( MAX(Races!$E$27-6,0) + MAX(TblMili[[#This Row],[Rockapult]]+Races!$F$27-6,0) )  -  Races!$I$20</f>
        <v>3.7000000000000011</v>
      </c>
      <c r="CW64" s="94">
        <f ca="1">gnome*(TblMili[[#This Row],[Rockapult bonus]]*TblMili[[#This Row],[Unit 3]])</f>
        <v>0</v>
      </c>
      <c r="CX6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4" s="94">
        <f ca="1">dark_elf*(TblMili[[#This Row],[Adept bonus]]*TblMili[[#This Row],[Unit 3]])</f>
        <v>0</v>
      </c>
      <c r="CZ64" s="155">
        <f ca="1">1.8 * MIN(MAX(TblMili[[#This Row],[Frost Mage]]+Races!$F$71,Races!$E$71),6)  +  0.45 * MIN(MIN(TblMili[[#This Row],[Frost Mage]]+Races!$F$71,Races!$E$71),6)  +  0.2 * ( MAX(TblMili[[#This Row],[Frost Mage]]+Races!$F$71-6,0) + MAX(Races!$E$71-6,0) )  -  Races!$I$71</f>
        <v>6.15</v>
      </c>
      <c r="DA64" s="155">
        <f ca="1">1.8 * MIN(MAX(TblMili[[#This Row],[Ice Elemental]]+Races!$E$71,Races!$F$71),6)  +  0.45 * MIN(MIN(TblMili[[#This Row],[Ice Elemental]]+Races!$E$71,Races!$F$71),6)  +  0.2 * ( MAX(TblMili[[#This Row],[Ice Elemental]]+Races!$E$71-6,0) + MAX(Races!$F$71-6,0) )  -  Races!$I$71</f>
        <v>0.75</v>
      </c>
      <c r="DB64" s="94">
        <f ca="1">TblMili[[#This Row],[Frost Mage bonus]]*TblMili[[#This Row],[Unit 3]]+TblMili[[#This Row],[Ice Elemental bonus]]*TblMili[[#This Row],[Unit 4]]</f>
        <v>0</v>
      </c>
      <c r="DC64" s="253"/>
      <c r="DD64" s="143">
        <f ca="1">MIN(SUM(TblConstr[[#This Row],[Plain]:[Water]])/TblMili[[#This Row],[Land]]/favorable_terrain_bonus/100,favorable_terrain_max)</f>
        <v>0.1</v>
      </c>
      <c r="DE64" s="253"/>
      <c r="DF6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4" s="142"/>
      <c r="DH64" s="254">
        <f ca="1">(TblMili[[#This Row],[Wizards]]+2*TblMili[[#This Row],[Archmages]])/TblConstr[[#This Row],[Land]]</f>
        <v>0</v>
      </c>
      <c r="DI64" s="254">
        <f ca="1">TblMili[[#This Row],[Raw (2)]]*(1+race_wizard_strength+IF(TblMili[[#This Row],[Hour]]&gt;72,tech_magical_weaponry_wiz*TblTech[[#This Row],[3-5]],0))</f>
        <v>0</v>
      </c>
    </row>
    <row r="65" spans="1:113" x14ac:dyDescent="0.2">
      <c r="A65" s="137">
        <f>TblRezone[[#This Row],[Hour]]</f>
        <v>62</v>
      </c>
      <c r="B65" s="246">
        <f ca="1">SUM(TblMili[[#This Row],[Unit 1]:[Archmages]])+SUM(OFFSET(TblMili[[#This Row],[Train Unit 1]],-8,0):TblMili[[#This Row],[Train Unit 2]]) + SUM(OFFSET(TblMili[[#This Row],[Train Unit 3]],-11,0):TblMili[[#This Row],[Train AM]]) + TblMili[[#This Row],[Draftees]]</f>
        <v>534</v>
      </c>
      <c r="C65" s="157">
        <f ca="1">TblPop[[#This Row],[Military%]]</f>
        <v>0.49628252788104088</v>
      </c>
      <c r="D65" s="142"/>
      <c r="E65" s="45">
        <f ca="1">OFFSET(TblMili[[#This Row],[Unit 1]],-1,0) + OFFSET(TblMili[[#This Row],[Train Unit 1]],-9,0) - TblMili[[#This Row],[Release Unit 1]] + OFFSET(TblMili[[#This Row],[DnD_Zombies]],-12,0)</f>
        <v>0</v>
      </c>
      <c r="F65" s="45">
        <f ca="1">OFFSET(TblMili[[#This Row],[Unit 2]],-1,0) + OFFSET(TblMili[[#This Row],[Train Unit 2]],-9,0)-TblMili[[#This Row],[Release Unit 2]]</f>
        <v>0</v>
      </c>
      <c r="G65" s="45">
        <f ca="1">OFFSET(TblMili[[#This Row],[Unit 3]],-1,0) + OFFSET(TblMili[[#This Row],[Train Unit 3]],-12,0)-TblMili[[#This Row],[Release Unit 3]]</f>
        <v>0</v>
      </c>
      <c r="H65" s="45">
        <f ca="1">OFFSET(TblMili[[#This Row],[Unit 4]],-1,0) + OFFSET(TblMili[[#This Row],[Train Unit 4]],-12,0)-TblMili[[#This Row],[Release Unit 4]]</f>
        <v>0</v>
      </c>
      <c r="I65" s="45">
        <f ca="1">OFFSET(TblMili[[#This Row],[Spies]],-1,0) + OFFSET(TblMili[[#This Row],[Train Spies]],-12,0) - TblMili[[#This Row],[Release Spies]]-TblMili[[#This Row],[Train AS]]</f>
        <v>0</v>
      </c>
      <c r="J65" s="45">
        <f ca="1">OFFSET(TblMili[[#This Row],[Archspies]],-1,0) + OFFSET(TblMili[[#This Row],[Train AS]],-12,0) - TblMili[[#This Row],[Release AS]]</f>
        <v>0</v>
      </c>
      <c r="K65" s="45">
        <f ca="1">OFFSET(TblMili[[#This Row],[Wizards]],-1,0) + OFFSET(TblMili[[#This Row],[Train Wiz]],-12,0) - TblMili[[#This Row],[Release Wizards]]-TblMili[[#This Row],[Train AM]]</f>
        <v>0</v>
      </c>
      <c r="L65" s="45">
        <f ca="1">OFFSET(TblMili[[#This Row],[Archmages]],-1,0) + OFFSET(TblMili[[#This Row],[Train AM]],-12,0) - TblMili[[#This Row],[Release AM]]</f>
        <v>0</v>
      </c>
      <c r="M65" s="142"/>
      <c r="N65" s="94">
        <f ca="1">TblProd[[#This Row],[Networth]]</f>
        <v>2450</v>
      </c>
      <c r="O65" s="142"/>
      <c r="P6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5" s="247">
        <f ca="1">TblMili[[#This Row],[Raw]]*(1+TblMili[[#This Row],[Mods_Off]])</f>
        <v>0</v>
      </c>
      <c r="S6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5" s="247">
        <f ca="1">TblMili[[#This Row],[Non Draft]]+TblMili[[#This Row],[Draftees]]</f>
        <v>534</v>
      </c>
      <c r="U65" s="248">
        <f ca="1">race_defense + TblImps[[#This Row],[Walls]] + ROUND( MIN(gt_bonus*TblConstr[[#This Row],[Tot GT]]/TblConstr[[#This Row],[Land]],gt_bonus_cap), 4) + IF(TblMagic[[#This Row],[Active Howling]]&gt;0,howling_dp_bonus,IF(TblMagic[[#This Row],[Active Ares Call]]&gt;0,ares_call_bonus))</f>
        <v>0</v>
      </c>
      <c r="V65" s="249">
        <f ca="1">TblMili[[#This Row],[Non Draft]] * (1 + TblMili[[#This Row],[Mods_Def]])</f>
        <v>0</v>
      </c>
      <c r="W65" s="247">
        <f ca="1">TblMili[[#This Row],[Draft]] * (1 + TblMili[[#This Row],[Mods_Def]])</f>
        <v>534</v>
      </c>
      <c r="X65" s="247">
        <f ca="1">TblConstr[[#This Row],[Land]]</f>
        <v>110</v>
      </c>
      <c r="Y65" s="250"/>
      <c r="Z65" s="255">
        <f ca="1">IF(TblMili[[#This Row],[Set]]&lt;&gt;"",TblMili[[#This Row],[Set]],OFFSET(TblMili[[#This Row],[Draftrate]],-1,0))</f>
        <v>0.9</v>
      </c>
      <c r="AA65" s="94">
        <f ca="1">OFFSET(TblMili[[#This Row],[Draftees]],-1,0)+OFFSET(TblPop[[#This Row],[Draft Growth]],-1,0) - SUM(TblMili[[#This Row],[Train Unit 1]:[Train Spies]],TblMili[[#This Row],[Train Wiz]],TblMili[[#This Row],[DnD_Zombies]]) - TblMili[[#This Row],[Release Draft]] + SUM(TblMili[[#This Row],[Release Unit 1]:[Release AM]]) - TblExplore[[#This Row],[Draftees (2)]]</f>
        <v>534</v>
      </c>
      <c r="AB65" s="154"/>
      <c r="AC65" s="180">
        <f ca="1">(TblConstr[[#This Row],[Tot Smi]]+TblConstr[[#This Row],[Dest Smi]])/(TblConstr[[#This Row],[Land]]-TblExplore[[#This Row],[Land Bonus]]*20)</f>
        <v>0</v>
      </c>
      <c r="AD65" s="137"/>
      <c r="AE65" s="246">
        <f>TblMili[[#This Row],[Hour]]</f>
        <v>62</v>
      </c>
      <c r="AF65" s="138">
        <f ca="1">TblExplore[[#This Row],[Time]]</f>
        <v>46049.541666666519</v>
      </c>
      <c r="AG65" s="158"/>
      <c r="AH65" s="179"/>
      <c r="AI65" s="179"/>
      <c r="AJ65" s="179"/>
      <c r="AK65" s="179"/>
      <c r="AL65" s="179"/>
      <c r="AM65" s="179"/>
      <c r="AN65" s="179"/>
      <c r="AO65" s="420">
        <f ca="1">ROUND(IF(AND(TblMagic[[#This Row],[Active DnD]]&lt;12,TblMagic[[#This Row],[Active DnD]]&gt;5),OFFSET(TblPop[[#This Row],[Draft Growth]],-1,0)*0.375,0),0)</f>
        <v>0</v>
      </c>
      <c r="AP65" s="142"/>
      <c r="AQ65" s="94">
        <f ca="1">TblProd[[#This Row],[Platinum]]</f>
        <v>153267</v>
      </c>
      <c r="AR65" s="94">
        <f ca="1">INDEX(TblProd[[#Headers],[Lumber]]:TblProd[[#This Row],[Ore]],COUNTA(TblProd[[#Headers],[Lumber]]:TblProd[[#This Row],[Lumber]]),MATCH(Military!$AR$2,TblProd[[#Headers],[Lumber]:[Ore]],0))</f>
        <v>0</v>
      </c>
      <c r="AS6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5" s="94">
        <f ca="1">TblMili[[#This Row],[Train Unit 1]]*TblMili[[#This Row],[OP Ore]]+TblMili[[#This Row],[Train Unit 2]]*TblMili[[#This Row],[DP Ore]]+TblMili[[#This Row],[Train Unit 3]]*TblMili[[#This Row],[E1 Ore]]+TblMili[[#This Row],[Train Unit 4]]*TblMili[[#This Row],[E2 Ore]]</f>
        <v>0</v>
      </c>
      <c r="AU65" s="142">
        <f>TblMili[[#This Row],[Hour]]</f>
        <v>62</v>
      </c>
      <c r="AV65" s="152">
        <f ca="1">TblMili[[#This Row],[Time]]</f>
        <v>46049.541666666519</v>
      </c>
      <c r="AW65" s="94">
        <f ca="1">TblMili[[#This Row],[Draftees]]</f>
        <v>534</v>
      </c>
      <c r="AX65" s="158"/>
      <c r="AY65" s="179"/>
      <c r="AZ65" s="179"/>
      <c r="BA65" s="179"/>
      <c r="BB65" s="179"/>
      <c r="BC65" s="179"/>
      <c r="BD65" s="179"/>
      <c r="BE65" s="179"/>
      <c r="BF65" s="179"/>
      <c r="BG65" s="142"/>
      <c r="BH65" s="157">
        <f ca="1">TblConstr[[#This Row],[Tot WG]]/TblConstr[[#This Row],[Land]]</f>
        <v>0</v>
      </c>
      <c r="BI65" s="157">
        <f ca="1">TblConstr[[#This Row],[Tot Hav]]/TblConstr[[#This Row],[Land]]</f>
        <v>0</v>
      </c>
      <c r="BJ65" s="94">
        <f ca="1">ROUNDUP((1-MIN(TblMili[[#This Row],[Smithies]]*smithy_bonus,smithy_bonus_cap) + tech_3_5*TblTech[[#This Row],[3-5]] + tech_5_3*TblTech[[#This Row],[5-3]] + tech_5_5*TblTech[[#This Row],[5-5]])*spec_op_plat,0)</f>
        <v>275</v>
      </c>
      <c r="BK65" s="94">
        <f ca="1">ROUNDUP(IF(race="Gnome",1,(1-MIN(TblMili[[#This Row],[Smithies]]*smithy_bonus,smithy_bonus_cap) + tech_3_5*TblTech[[#This Row],[3-5]] + tech_5_3*TblTech[[#This Row],[5-3]] + tech_5_5*TblTech[[#This Row],[5-5]]))*spec_op_ore,0)</f>
        <v>25</v>
      </c>
      <c r="BL65" s="94">
        <f ca="1">ROUNDUP((1-MIN(TblMili[[#This Row],[Smithies]]*smithy_bonus,smithy_bonus_cap) + tech_3_5*TblTech[[#This Row],[3-5]] + tech_5_3*TblTech[[#This Row],[5-3]] + tech_5_5*TblTech[[#This Row],[5-5]])*spec_dp_plat,0)</f>
        <v>275</v>
      </c>
      <c r="BM65" s="94">
        <f ca="1">ROUNDUP(IF(race="Gnome",1,(1-MIN(TblMili[[#This Row],[Smithies]]*smithy_bonus,smithy_bonus_cap) + tech_3_5*TblTech[[#This Row],[3-5]] + tech_5_3*TblTech[[#This Row],[5-3]] + tech_5_5*TblTech[[#This Row],[5-5]]))*spec_dp_ore,0)</f>
        <v>15</v>
      </c>
      <c r="BN65" s="94">
        <f ca="1">ROUNDUP((1-MIN(TblMili[[#This Row],[Smithies]]*smithy_bonus,smithy_bonus_cap) + tech_3_5*TblTech[[#This Row],[3-5]] + tech_5_3*TblTech[[#This Row],[5-3]] + tech_5_5*TblTech[[#This Row],[5-5]])*elite1_plat,0)</f>
        <v>1040</v>
      </c>
      <c r="BO65" s="94">
        <f ca="1">ROUNDUP(IF(race="Gnome",1,(1-MIN(TblMili[[#This Row],[Smithies]]*smithy_bonus,smithy_bonus_cap) + tech_3_5*TblTech[[#This Row],[3-5]] + tech_5_3*TblTech[[#This Row],[5-3]] + tech_5_5*TblTech[[#This Row],[5-5]]))*elite1_ore,0)</f>
        <v>75</v>
      </c>
      <c r="BP65" s="94">
        <f ca="1">ROUNDUP((1-MIN(TblMili[[#This Row],[Smithies]]*smithy_bonus,smithy_bonus_cap) + tech_3_5*TblTech[[#This Row],[3-5]] + tech_5_3*TblTech[[#This Row],[5-3]] + tech_5_5*TblTech[[#This Row],[5-5]])*elite2_plat,0)</f>
        <v>1280</v>
      </c>
      <c r="BQ65" s="94">
        <f ca="1">ROUNDUP(IF(race="Gnome",1,(1-MIN(TblMili[[#This Row],[Smithies]]*smithy_bonus,smithy_bonus_cap) + tech_3_5*TblTech[[#This Row],[3-5]] + tech_5_3*TblTech[[#This Row],[5-3]] + tech_5_5*TblTech[[#This Row],[5-5]]))*elite2_ore,0)</f>
        <v>100</v>
      </c>
      <c r="BR65" s="94">
        <f ca="1">ROUNDUP((1-MIN(ROUND(fh_spy_cost_red*TblMili[[#This Row],[FH''s]],4),fh_spy_cost_cap)+ tech_1_9*TblTech[[#This Row],[1-9]] + tech_9_1*TblTech[[#This Row],[9-1]])*spy_plat,0)</f>
        <v>500</v>
      </c>
      <c r="BS65" s="94">
        <f ca="1">ROUNDUP((1-MIN(ROUND(fh_spy_cost_red*TblMili[[#This Row],[FH''s]],4),fh_spy_cost_cap)+ tech_1_9*TblTech[[#This Row],[1-9]] + tech_9_1*TblTech[[#This Row],[9-1]])*archspy_plat,0)</f>
        <v>1000</v>
      </c>
      <c r="BT65" s="94">
        <f ca="1">ROUNDUP((1-MIN(ROUND(wg_wiz_cost_bonus*TblMili[[#This Row],[WG''s]],4),wg_wiz_cost_cap) + tech_1_9_2*TblTech[[#This Row],[1-9]] + tech_9_1_2*TblTech[[#This Row],[9-1]])*wizard_plat,0)</f>
        <v>500</v>
      </c>
      <c r="BU65" s="94">
        <f ca="1">ROUNDUP((1-MIN(ROUND(wg_wiz_cost_bonus*TblMili[[#This Row],[WG''s]],4),wg_wiz_cost_cap) + tech_1_9_2*TblTech[[#This Row],[1-9]] + tech_9_1_2*TblTech[[#This Row],[9-1]])*archmage_plat,0)</f>
        <v>1000</v>
      </c>
      <c r="BV65" s="142"/>
      <c r="BW65" s="157">
        <f ca="1">TblConstr[[#This Row],[Homeland]]/TblConstr[[#This Row],[Land]]</f>
        <v>0.81818181818181823</v>
      </c>
      <c r="BX65" s="157">
        <f ca="1">TblMili[[#This Row],[WG''s]]</f>
        <v>0</v>
      </c>
      <c r="BY65" s="251">
        <f ca="1">IF(mystic_cap="none",TblMili[[#This Row],[Homeland%]]/mystic_bonus,MIN(mystic_cap,TblMili[[#This Row],[Homeland%]]/mystic_bonus))</f>
        <v>2</v>
      </c>
      <c r="BZ65" s="251">
        <f ca="1">IF(druid_op_cap="none",TblMili[[#This Row],[Homeland%]]/druid_op_bonus,MIN(druid_op_cap,TblMili[[#This Row],[Homeland%]]/druid_op_bonus))</f>
        <v>2</v>
      </c>
      <c r="CA65" s="251">
        <f ca="1">IF(druid_dp_cap="none",TblMili[[#This Row],[Homeland%]]/druid_dp_bonus,MIN(druid_dp_cap,TblMili[[#This Row],[Homeland%]]/druid_dp_bonus))</f>
        <v>2</v>
      </c>
      <c r="CB65" s="251">
        <f ca="1">MIN(dryad_cap,TblMili[[#This Row],[Homeland%]]/dryad_bonus)</f>
        <v>4</v>
      </c>
      <c r="CC65" s="251">
        <f ca="1">MIN(rocka_cap,TblMili[[#This Row],[Homeland%]]/rocka_bonus)</f>
        <v>2</v>
      </c>
      <c r="CD65" s="251">
        <f ca="1">MIN(adept_op_cap,TblMili[[#This Row],[WG]]/adept_op_bonus)</f>
        <v>0</v>
      </c>
      <c r="CE65" s="251">
        <f ca="1">MIN(adept_dp_cap,TblMili[[#This Row],[WG]]/adept_dp_bonus)</f>
        <v>0</v>
      </c>
      <c r="CF65" s="94">
        <f ca="1">MIN(TblMili[[#This Row],[Unit 3]],TblMili[[#This Row],[Unit 2]])*2</f>
        <v>0</v>
      </c>
      <c r="CG65" s="94">
        <f ca="1">MIN(TblMili[[#This Row],[Unit 1]],TblMili[[#This Row],[Unit 4]])*2</f>
        <v>0</v>
      </c>
      <c r="CH65" s="251">
        <f ca="1">MIN(frost_mage_cap,TblMili[[#This Row],[Homeland%]]/frost_mage_bonus)</f>
        <v>3</v>
      </c>
      <c r="CI65" s="45">
        <f ca="1">MIN(ice_elem_cap,TblMili[[#This Row],[Raw (2)]]*ice_elem_bonus)</f>
        <v>0</v>
      </c>
      <c r="CJ65" s="251">
        <f t="shared" si="2"/>
        <v>0.83333333333333337</v>
      </c>
      <c r="CK65" s="251">
        <f ca="1">MIN(nox_nightshade_cap,TblConstr[[#This Row],[Homeland]]/TblConstr[[#This Row],[Land]]/nox_nightshade_swamp_bonus)</f>
        <v>4</v>
      </c>
      <c r="CL65" s="251">
        <f ca="1">MIN(TblConstr[[#This Row],[Total Swamp]]/TblConstr[[#This Row],[Land]]/abyss_enforce_bonus,abyss_enforcer_cap)</f>
        <v>0</v>
      </c>
      <c r="CM65" s="251">
        <f ca="1">IF(TblMagic[[#This Row],[Active Infernal Command]]&gt;0,TblMili[[#This Row],[Unit 1]]*infernal_cmd_op,0)</f>
        <v>0</v>
      </c>
      <c r="CN65" s="252"/>
      <c r="CO65" s="252"/>
      <c r="CP65" s="252"/>
      <c r="CQ65" s="251">
        <f ca="1">MIN(6,TblMili[[#This Row],[Mystic]]+Races!$F$19)*1.8 +  IF(TblMili[[#This Row],[Mystic]]+Races!$F$19&gt;6,(TblMili[[#This Row],[Mystic]]+Races!$F$19-6)*0.2,0) - Races!$I$19</f>
        <v>1</v>
      </c>
      <c r="CR6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5" s="94">
        <f ca="1">TblMili[[#This Row],[Mystic bonus]]*TblMili[[#This Row],[Unit 3]]+TblMili[[#This Row],[Druid bonus]]*TblMili[[#This Row],[Unit 4]]</f>
        <v>0</v>
      </c>
      <c r="CT65" s="155">
        <f ca="1">MIN(6,TblMili[[#This Row],[Dryad]]+Races!$F$35)*1.8 +  IF(TblMili[[#This Row],[Dryad]]+Races!$F$35&gt;6,(TblMili[[#This Row],[Dryad]]+Races!$F$35-6)*0.2,0) - Races!$I$19</f>
        <v>1</v>
      </c>
      <c r="CU65" s="94">
        <f ca="1">sylvan*(TblMili[[#This Row],[Mystic bonus]]*TblMili[[#This Row],[Unit 3]])</f>
        <v>0</v>
      </c>
      <c r="CV65" s="155">
        <f ca="1">1.8 * MIN(MAX(Races!$E$27,TblMili[[#This Row],[Rockapult]]+Races!$F$27),6)  +  0.45 * MIN(MIN(Races!$E$27,TblMili[[#This Row],[Rockapult]]+Races!$F$27),6)  +  0.2 * ( MAX(Races!$E$27-6,0) + MAX(TblMili[[#This Row],[Rockapult]]+Races!$F$27-6,0) )  -  Races!$I$20</f>
        <v>3.7000000000000011</v>
      </c>
      <c r="CW65" s="94">
        <f ca="1">gnome*(TblMili[[#This Row],[Rockapult bonus]]*TblMili[[#This Row],[Unit 3]])</f>
        <v>0</v>
      </c>
      <c r="CX6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5" s="94">
        <f ca="1">dark_elf*(TblMili[[#This Row],[Adept bonus]]*TblMili[[#This Row],[Unit 3]])</f>
        <v>0</v>
      </c>
      <c r="CZ65" s="155">
        <f ca="1">1.8 * MIN(MAX(TblMili[[#This Row],[Frost Mage]]+Races!$F$71,Races!$E$71),6)  +  0.45 * MIN(MIN(TblMili[[#This Row],[Frost Mage]]+Races!$F$71,Races!$E$71),6)  +  0.2 * ( MAX(TblMili[[#This Row],[Frost Mage]]+Races!$F$71-6,0) + MAX(Races!$E$71-6,0) )  -  Races!$I$71</f>
        <v>6.15</v>
      </c>
      <c r="DA65" s="155">
        <f ca="1">1.8 * MIN(MAX(TblMili[[#This Row],[Ice Elemental]]+Races!$E$71,Races!$F$71),6)  +  0.45 * MIN(MIN(TblMili[[#This Row],[Ice Elemental]]+Races!$E$71,Races!$F$71),6)  +  0.2 * ( MAX(TblMili[[#This Row],[Ice Elemental]]+Races!$E$71-6,0) + MAX(Races!$F$71-6,0) )  -  Races!$I$71</f>
        <v>0.75</v>
      </c>
      <c r="DB65" s="94">
        <f ca="1">TblMili[[#This Row],[Frost Mage bonus]]*TblMili[[#This Row],[Unit 3]]+TblMili[[#This Row],[Ice Elemental bonus]]*TblMili[[#This Row],[Unit 4]]</f>
        <v>0</v>
      </c>
      <c r="DC65" s="253"/>
      <c r="DD65" s="143">
        <f ca="1">MIN(SUM(TblConstr[[#This Row],[Plain]:[Water]])/TblMili[[#This Row],[Land]]/favorable_terrain_bonus/100,favorable_terrain_max)</f>
        <v>0.1</v>
      </c>
      <c r="DE65" s="253"/>
      <c r="DF6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5" s="142"/>
      <c r="DH65" s="254">
        <f ca="1">(TblMili[[#This Row],[Wizards]]+2*TblMili[[#This Row],[Archmages]])/TblConstr[[#This Row],[Land]]</f>
        <v>0</v>
      </c>
      <c r="DI65" s="254">
        <f ca="1">TblMili[[#This Row],[Raw (2)]]*(1+race_wizard_strength+IF(TblMili[[#This Row],[Hour]]&gt;72,tech_magical_weaponry_wiz*TblTech[[#This Row],[3-5]],0))</f>
        <v>0</v>
      </c>
    </row>
    <row r="66" spans="1:113" x14ac:dyDescent="0.2">
      <c r="A66" s="137">
        <f>TblRezone[[#This Row],[Hour]]</f>
        <v>63</v>
      </c>
      <c r="B66" s="246">
        <f ca="1">SUM(TblMili[[#This Row],[Unit 1]:[Archmages]])+SUM(OFFSET(TblMili[[#This Row],[Train Unit 1]],-8,0):TblMili[[#This Row],[Train Unit 2]]) + SUM(OFFSET(TblMili[[#This Row],[Train Unit 3]],-11,0):TblMili[[#This Row],[Train AM]]) + TblMili[[#This Row],[Draftees]]</f>
        <v>539</v>
      </c>
      <c r="C66" s="157">
        <f ca="1">TblPop[[#This Row],[Military%]]</f>
        <v>0.50092936802973975</v>
      </c>
      <c r="D66" s="142"/>
      <c r="E66" s="45">
        <f ca="1">OFFSET(TblMili[[#This Row],[Unit 1]],-1,0) + OFFSET(TblMili[[#This Row],[Train Unit 1]],-9,0) - TblMili[[#This Row],[Release Unit 1]] + OFFSET(TblMili[[#This Row],[DnD_Zombies]],-12,0)</f>
        <v>0</v>
      </c>
      <c r="F66" s="45">
        <f ca="1">OFFSET(TblMili[[#This Row],[Unit 2]],-1,0) + OFFSET(TblMili[[#This Row],[Train Unit 2]],-9,0)-TblMili[[#This Row],[Release Unit 2]]</f>
        <v>0</v>
      </c>
      <c r="G66" s="45">
        <f ca="1">OFFSET(TblMili[[#This Row],[Unit 3]],-1,0) + OFFSET(TblMili[[#This Row],[Train Unit 3]],-12,0)-TblMili[[#This Row],[Release Unit 3]]</f>
        <v>0</v>
      </c>
      <c r="H66" s="45">
        <f ca="1">OFFSET(TblMili[[#This Row],[Unit 4]],-1,0) + OFFSET(TblMili[[#This Row],[Train Unit 4]],-12,0)-TblMili[[#This Row],[Release Unit 4]]</f>
        <v>0</v>
      </c>
      <c r="I66" s="45">
        <f ca="1">OFFSET(TblMili[[#This Row],[Spies]],-1,0) + OFFSET(TblMili[[#This Row],[Train Spies]],-12,0) - TblMili[[#This Row],[Release Spies]]-TblMili[[#This Row],[Train AS]]</f>
        <v>0</v>
      </c>
      <c r="J66" s="45">
        <f ca="1">OFFSET(TblMili[[#This Row],[Archspies]],-1,0) + OFFSET(TblMili[[#This Row],[Train AS]],-12,0) - TblMili[[#This Row],[Release AS]]</f>
        <v>0</v>
      </c>
      <c r="K66" s="45">
        <f ca="1">OFFSET(TblMili[[#This Row],[Wizards]],-1,0) + OFFSET(TblMili[[#This Row],[Train Wiz]],-12,0) - TblMili[[#This Row],[Release Wizards]]-TblMili[[#This Row],[Train AM]]</f>
        <v>0</v>
      </c>
      <c r="L66" s="45">
        <f ca="1">OFFSET(TblMili[[#This Row],[Archmages]],-1,0) + OFFSET(TblMili[[#This Row],[Train AM]],-12,0) - TblMili[[#This Row],[Release AM]]</f>
        <v>0</v>
      </c>
      <c r="M66" s="142"/>
      <c r="N66" s="94">
        <f ca="1">TblProd[[#This Row],[Networth]]</f>
        <v>2450</v>
      </c>
      <c r="O66" s="142"/>
      <c r="P6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6" s="247">
        <f ca="1">TblMili[[#This Row],[Raw]]*(1+TblMili[[#This Row],[Mods_Off]])</f>
        <v>0</v>
      </c>
      <c r="S6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6" s="247">
        <f ca="1">TblMili[[#This Row],[Non Draft]]+TblMili[[#This Row],[Draftees]]</f>
        <v>539</v>
      </c>
      <c r="U66" s="248">
        <f ca="1">race_defense + TblImps[[#This Row],[Walls]] + ROUND( MIN(gt_bonus*TblConstr[[#This Row],[Tot GT]]/TblConstr[[#This Row],[Land]],gt_bonus_cap), 4) + IF(TblMagic[[#This Row],[Active Howling]]&gt;0,howling_dp_bonus,IF(TblMagic[[#This Row],[Active Ares Call]]&gt;0,ares_call_bonus))</f>
        <v>0</v>
      </c>
      <c r="V66" s="249">
        <f ca="1">TblMili[[#This Row],[Non Draft]] * (1 + TblMili[[#This Row],[Mods_Def]])</f>
        <v>0</v>
      </c>
      <c r="W66" s="247">
        <f ca="1">TblMili[[#This Row],[Draft]] * (1 + TblMili[[#This Row],[Mods_Def]])</f>
        <v>539</v>
      </c>
      <c r="X66" s="247">
        <f ca="1">TblConstr[[#This Row],[Land]]</f>
        <v>110</v>
      </c>
      <c r="Y66" s="250"/>
      <c r="Z66" s="255">
        <f ca="1">IF(TblMili[[#This Row],[Set]]&lt;&gt;"",TblMili[[#This Row],[Set]],OFFSET(TblMili[[#This Row],[Draftrate]],-1,0))</f>
        <v>0.9</v>
      </c>
      <c r="AA66" s="94">
        <f ca="1">OFFSET(TblMili[[#This Row],[Draftees]],-1,0)+OFFSET(TblPop[[#This Row],[Draft Growth]],-1,0) - SUM(TblMili[[#This Row],[Train Unit 1]:[Train Spies]],TblMili[[#This Row],[Train Wiz]],TblMili[[#This Row],[DnD_Zombies]]) - TblMili[[#This Row],[Release Draft]] + SUM(TblMili[[#This Row],[Release Unit 1]:[Release AM]]) - TblExplore[[#This Row],[Draftees (2)]]</f>
        <v>539</v>
      </c>
      <c r="AB66" s="154"/>
      <c r="AC66" s="180">
        <f ca="1">(TblConstr[[#This Row],[Tot Smi]]+TblConstr[[#This Row],[Dest Smi]])/(TblConstr[[#This Row],[Land]]-TblExplore[[#This Row],[Land Bonus]]*20)</f>
        <v>0</v>
      </c>
      <c r="AD66" s="137"/>
      <c r="AE66" s="246">
        <f>TblMili[[#This Row],[Hour]]</f>
        <v>63</v>
      </c>
      <c r="AF66" s="138">
        <f ca="1">TblExplore[[#This Row],[Time]]</f>
        <v>46049.583333333183</v>
      </c>
      <c r="AG66" s="179"/>
      <c r="AH66" s="179"/>
      <c r="AI66" s="179"/>
      <c r="AJ66" s="179"/>
      <c r="AK66" s="179"/>
      <c r="AL66" s="179"/>
      <c r="AM66" s="179"/>
      <c r="AN66" s="179"/>
      <c r="AO66" s="420">
        <f ca="1">ROUND(IF(AND(TblMagic[[#This Row],[Active DnD]]&lt;12,TblMagic[[#This Row],[Active DnD]]&gt;5),OFFSET(TblPop[[#This Row],[Draft Growth]],-1,0)*0.375,0),0)</f>
        <v>0</v>
      </c>
      <c r="AP66" s="142"/>
      <c r="AQ66" s="94">
        <f ca="1">TblProd[[#This Row],[Platinum]]</f>
        <v>154730</v>
      </c>
      <c r="AR66" s="94">
        <f ca="1">INDEX(TblProd[[#Headers],[Lumber]]:TblProd[[#This Row],[Ore]],COUNTA(TblProd[[#Headers],[Lumber]]:TblProd[[#This Row],[Lumber]]),MATCH(Military!$AR$2,TblProd[[#Headers],[Lumber]:[Ore]],0))</f>
        <v>0</v>
      </c>
      <c r="AS6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6" s="94">
        <f ca="1">TblMili[[#This Row],[Train Unit 1]]*TblMili[[#This Row],[OP Ore]]+TblMili[[#This Row],[Train Unit 2]]*TblMili[[#This Row],[DP Ore]]+TblMili[[#This Row],[Train Unit 3]]*TblMili[[#This Row],[E1 Ore]]+TblMili[[#This Row],[Train Unit 4]]*TblMili[[#This Row],[E2 Ore]]</f>
        <v>0</v>
      </c>
      <c r="AU66" s="142">
        <f>TblMili[[#This Row],[Hour]]</f>
        <v>63</v>
      </c>
      <c r="AV66" s="152">
        <f ca="1">TblMili[[#This Row],[Time]]</f>
        <v>46049.583333333183</v>
      </c>
      <c r="AW66" s="94">
        <f ca="1">TblMili[[#This Row],[Draftees]]</f>
        <v>539</v>
      </c>
      <c r="AX66" s="179"/>
      <c r="AY66" s="179"/>
      <c r="AZ66" s="179"/>
      <c r="BA66" s="179"/>
      <c r="BB66" s="179"/>
      <c r="BC66" s="179"/>
      <c r="BD66" s="179"/>
      <c r="BE66" s="179"/>
      <c r="BF66" s="179"/>
      <c r="BG66" s="142"/>
      <c r="BH66" s="157">
        <f ca="1">TblConstr[[#This Row],[Tot WG]]/TblConstr[[#This Row],[Land]]</f>
        <v>0</v>
      </c>
      <c r="BI66" s="157">
        <f ca="1">TblConstr[[#This Row],[Tot Hav]]/TblConstr[[#This Row],[Land]]</f>
        <v>0</v>
      </c>
      <c r="BJ66" s="94">
        <f ca="1">ROUNDUP((1-MIN(TblMili[[#This Row],[Smithies]]*smithy_bonus,smithy_bonus_cap) + tech_3_5*TblTech[[#This Row],[3-5]] + tech_5_3*TblTech[[#This Row],[5-3]] + tech_5_5*TblTech[[#This Row],[5-5]])*spec_op_plat,0)</f>
        <v>275</v>
      </c>
      <c r="BK66" s="94">
        <f ca="1">ROUNDUP(IF(race="Gnome",1,(1-MIN(TblMili[[#This Row],[Smithies]]*smithy_bonus,smithy_bonus_cap) + tech_3_5*TblTech[[#This Row],[3-5]] + tech_5_3*TblTech[[#This Row],[5-3]] + tech_5_5*TblTech[[#This Row],[5-5]]))*spec_op_ore,0)</f>
        <v>25</v>
      </c>
      <c r="BL66" s="94">
        <f ca="1">ROUNDUP((1-MIN(TblMili[[#This Row],[Smithies]]*smithy_bonus,smithy_bonus_cap) + tech_3_5*TblTech[[#This Row],[3-5]] + tech_5_3*TblTech[[#This Row],[5-3]] + tech_5_5*TblTech[[#This Row],[5-5]])*spec_dp_plat,0)</f>
        <v>275</v>
      </c>
      <c r="BM66" s="94">
        <f ca="1">ROUNDUP(IF(race="Gnome",1,(1-MIN(TblMili[[#This Row],[Smithies]]*smithy_bonus,smithy_bonus_cap) + tech_3_5*TblTech[[#This Row],[3-5]] + tech_5_3*TblTech[[#This Row],[5-3]] + tech_5_5*TblTech[[#This Row],[5-5]]))*spec_dp_ore,0)</f>
        <v>15</v>
      </c>
      <c r="BN66" s="94">
        <f ca="1">ROUNDUP((1-MIN(TblMili[[#This Row],[Smithies]]*smithy_bonus,smithy_bonus_cap) + tech_3_5*TblTech[[#This Row],[3-5]] + tech_5_3*TblTech[[#This Row],[5-3]] + tech_5_5*TblTech[[#This Row],[5-5]])*elite1_plat,0)</f>
        <v>1040</v>
      </c>
      <c r="BO66" s="94">
        <f ca="1">ROUNDUP(IF(race="Gnome",1,(1-MIN(TblMili[[#This Row],[Smithies]]*smithy_bonus,smithy_bonus_cap) + tech_3_5*TblTech[[#This Row],[3-5]] + tech_5_3*TblTech[[#This Row],[5-3]] + tech_5_5*TblTech[[#This Row],[5-5]]))*elite1_ore,0)</f>
        <v>75</v>
      </c>
      <c r="BP66" s="94">
        <f ca="1">ROUNDUP((1-MIN(TblMili[[#This Row],[Smithies]]*smithy_bonus,smithy_bonus_cap) + tech_3_5*TblTech[[#This Row],[3-5]] + tech_5_3*TblTech[[#This Row],[5-3]] + tech_5_5*TblTech[[#This Row],[5-5]])*elite2_plat,0)</f>
        <v>1280</v>
      </c>
      <c r="BQ66" s="94">
        <f ca="1">ROUNDUP(IF(race="Gnome",1,(1-MIN(TblMili[[#This Row],[Smithies]]*smithy_bonus,smithy_bonus_cap) + tech_3_5*TblTech[[#This Row],[3-5]] + tech_5_3*TblTech[[#This Row],[5-3]] + tech_5_5*TblTech[[#This Row],[5-5]]))*elite2_ore,0)</f>
        <v>100</v>
      </c>
      <c r="BR66" s="94">
        <f ca="1">ROUNDUP((1-MIN(ROUND(fh_spy_cost_red*TblMili[[#This Row],[FH''s]],4),fh_spy_cost_cap)+ tech_1_9*TblTech[[#This Row],[1-9]] + tech_9_1*TblTech[[#This Row],[9-1]])*spy_plat,0)</f>
        <v>500</v>
      </c>
      <c r="BS66" s="94">
        <f ca="1">ROUNDUP((1-MIN(ROUND(fh_spy_cost_red*TblMili[[#This Row],[FH''s]],4),fh_spy_cost_cap)+ tech_1_9*TblTech[[#This Row],[1-9]] + tech_9_1*TblTech[[#This Row],[9-1]])*archspy_plat,0)</f>
        <v>1000</v>
      </c>
      <c r="BT66" s="94">
        <f ca="1">ROUNDUP((1-MIN(ROUND(wg_wiz_cost_bonus*TblMili[[#This Row],[WG''s]],4),wg_wiz_cost_cap) + tech_1_9_2*TblTech[[#This Row],[1-9]] + tech_9_1_2*TblTech[[#This Row],[9-1]])*wizard_plat,0)</f>
        <v>500</v>
      </c>
      <c r="BU66" s="94">
        <f ca="1">ROUNDUP((1-MIN(ROUND(wg_wiz_cost_bonus*TblMili[[#This Row],[WG''s]],4),wg_wiz_cost_cap) + tech_1_9_2*TblTech[[#This Row],[1-9]] + tech_9_1_2*TblTech[[#This Row],[9-1]])*archmage_plat,0)</f>
        <v>1000</v>
      </c>
      <c r="BV66" s="142"/>
      <c r="BW66" s="157">
        <f ca="1">TblConstr[[#This Row],[Homeland]]/TblConstr[[#This Row],[Land]]</f>
        <v>0.81818181818181823</v>
      </c>
      <c r="BX66" s="157">
        <f ca="1">TblMili[[#This Row],[WG''s]]</f>
        <v>0</v>
      </c>
      <c r="BY66" s="251">
        <f ca="1">IF(mystic_cap="none",TblMili[[#This Row],[Homeland%]]/mystic_bonus,MIN(mystic_cap,TblMili[[#This Row],[Homeland%]]/mystic_bonus))</f>
        <v>2</v>
      </c>
      <c r="BZ66" s="251">
        <f ca="1">IF(druid_op_cap="none",TblMili[[#This Row],[Homeland%]]/druid_op_bonus,MIN(druid_op_cap,TblMili[[#This Row],[Homeland%]]/druid_op_bonus))</f>
        <v>2</v>
      </c>
      <c r="CA66" s="251">
        <f ca="1">IF(druid_dp_cap="none",TblMili[[#This Row],[Homeland%]]/druid_dp_bonus,MIN(druid_dp_cap,TblMili[[#This Row],[Homeland%]]/druid_dp_bonus))</f>
        <v>2</v>
      </c>
      <c r="CB66" s="251">
        <f ca="1">MIN(dryad_cap,TblMili[[#This Row],[Homeland%]]/dryad_bonus)</f>
        <v>4</v>
      </c>
      <c r="CC66" s="251">
        <f ca="1">MIN(rocka_cap,TblMili[[#This Row],[Homeland%]]/rocka_bonus)</f>
        <v>2</v>
      </c>
      <c r="CD66" s="251">
        <f ca="1">MIN(adept_op_cap,TblMili[[#This Row],[WG]]/adept_op_bonus)</f>
        <v>0</v>
      </c>
      <c r="CE66" s="251">
        <f ca="1">MIN(adept_dp_cap,TblMili[[#This Row],[WG]]/adept_dp_bonus)</f>
        <v>0</v>
      </c>
      <c r="CF66" s="94">
        <f ca="1">MIN(TblMili[[#This Row],[Unit 3]],TblMili[[#This Row],[Unit 2]])*2</f>
        <v>0</v>
      </c>
      <c r="CG66" s="94">
        <f ca="1">MIN(TblMili[[#This Row],[Unit 1]],TblMili[[#This Row],[Unit 4]])*2</f>
        <v>0</v>
      </c>
      <c r="CH66" s="251">
        <f ca="1">MIN(frost_mage_cap,TblMili[[#This Row],[Homeland%]]/frost_mage_bonus)</f>
        <v>3</v>
      </c>
      <c r="CI66" s="45">
        <f ca="1">MIN(ice_elem_cap,TblMili[[#This Row],[Raw (2)]]*ice_elem_bonus)</f>
        <v>0</v>
      </c>
      <c r="CJ66" s="251">
        <f t="shared" si="2"/>
        <v>0.83333333333333337</v>
      </c>
      <c r="CK66" s="251">
        <f ca="1">MIN(nox_nightshade_cap,TblConstr[[#This Row],[Homeland]]/TblConstr[[#This Row],[Land]]/nox_nightshade_swamp_bonus)</f>
        <v>4</v>
      </c>
      <c r="CL66" s="251">
        <f ca="1">MIN(TblConstr[[#This Row],[Total Swamp]]/TblConstr[[#This Row],[Land]]/abyss_enforce_bonus,abyss_enforcer_cap)</f>
        <v>0</v>
      </c>
      <c r="CM66" s="251">
        <f ca="1">IF(TblMagic[[#This Row],[Active Infernal Command]]&gt;0,TblMili[[#This Row],[Unit 1]]*infernal_cmd_op,0)</f>
        <v>0</v>
      </c>
      <c r="CN66" s="252"/>
      <c r="CO66" s="252"/>
      <c r="CP66" s="252"/>
      <c r="CQ66" s="251">
        <f ca="1">MIN(6,TblMili[[#This Row],[Mystic]]+Races!$F$19)*1.8 +  IF(TblMili[[#This Row],[Mystic]]+Races!$F$19&gt;6,(TblMili[[#This Row],[Mystic]]+Races!$F$19-6)*0.2,0) - Races!$I$19</f>
        <v>1</v>
      </c>
      <c r="CR6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6" s="94">
        <f ca="1">TblMili[[#This Row],[Mystic bonus]]*TblMili[[#This Row],[Unit 3]]+TblMili[[#This Row],[Druid bonus]]*TblMili[[#This Row],[Unit 4]]</f>
        <v>0</v>
      </c>
      <c r="CT66" s="155">
        <f ca="1">MIN(6,TblMili[[#This Row],[Dryad]]+Races!$F$35)*1.8 +  IF(TblMili[[#This Row],[Dryad]]+Races!$F$35&gt;6,(TblMili[[#This Row],[Dryad]]+Races!$F$35-6)*0.2,0) - Races!$I$19</f>
        <v>1</v>
      </c>
      <c r="CU66" s="94">
        <f ca="1">sylvan*(TblMili[[#This Row],[Mystic bonus]]*TblMili[[#This Row],[Unit 3]])</f>
        <v>0</v>
      </c>
      <c r="CV66" s="155">
        <f ca="1">1.8 * MIN(MAX(Races!$E$27,TblMili[[#This Row],[Rockapult]]+Races!$F$27),6)  +  0.45 * MIN(MIN(Races!$E$27,TblMili[[#This Row],[Rockapult]]+Races!$F$27),6)  +  0.2 * ( MAX(Races!$E$27-6,0) + MAX(TblMili[[#This Row],[Rockapult]]+Races!$F$27-6,0) )  -  Races!$I$20</f>
        <v>3.7000000000000011</v>
      </c>
      <c r="CW66" s="94">
        <f ca="1">gnome*(TblMili[[#This Row],[Rockapult bonus]]*TblMili[[#This Row],[Unit 3]])</f>
        <v>0</v>
      </c>
      <c r="CX6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6" s="94">
        <f ca="1">dark_elf*(TblMili[[#This Row],[Adept bonus]]*TblMili[[#This Row],[Unit 3]])</f>
        <v>0</v>
      </c>
      <c r="CZ66" s="155">
        <f ca="1">1.8 * MIN(MAX(TblMili[[#This Row],[Frost Mage]]+Races!$F$71,Races!$E$71),6)  +  0.45 * MIN(MIN(TblMili[[#This Row],[Frost Mage]]+Races!$F$71,Races!$E$71),6)  +  0.2 * ( MAX(TblMili[[#This Row],[Frost Mage]]+Races!$F$71-6,0) + MAX(Races!$E$71-6,0) )  -  Races!$I$71</f>
        <v>6.15</v>
      </c>
      <c r="DA66" s="155">
        <f ca="1">1.8 * MIN(MAX(TblMili[[#This Row],[Ice Elemental]]+Races!$E$71,Races!$F$71),6)  +  0.45 * MIN(MIN(TblMili[[#This Row],[Ice Elemental]]+Races!$E$71,Races!$F$71),6)  +  0.2 * ( MAX(TblMili[[#This Row],[Ice Elemental]]+Races!$E$71-6,0) + MAX(Races!$F$71-6,0) )  -  Races!$I$71</f>
        <v>0.75</v>
      </c>
      <c r="DB66" s="94">
        <f ca="1">TblMili[[#This Row],[Frost Mage bonus]]*TblMili[[#This Row],[Unit 3]]+TblMili[[#This Row],[Ice Elemental bonus]]*TblMili[[#This Row],[Unit 4]]</f>
        <v>0</v>
      </c>
      <c r="DC66" s="253"/>
      <c r="DD66" s="143">
        <f ca="1">MIN(SUM(TblConstr[[#This Row],[Plain]:[Water]])/TblMili[[#This Row],[Land]]/favorable_terrain_bonus/100,favorable_terrain_max)</f>
        <v>0.1</v>
      </c>
      <c r="DE66" s="253"/>
      <c r="DF6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6" s="142"/>
      <c r="DH66" s="254">
        <f ca="1">(TblMili[[#This Row],[Wizards]]+2*TblMili[[#This Row],[Archmages]])/TblConstr[[#This Row],[Land]]</f>
        <v>0</v>
      </c>
      <c r="DI66" s="254">
        <f ca="1">TblMili[[#This Row],[Raw (2)]]*(1+race_wizard_strength+IF(TblMili[[#This Row],[Hour]]&gt;72,tech_magical_weaponry_wiz*TblTech[[#This Row],[3-5]],0))</f>
        <v>0</v>
      </c>
    </row>
    <row r="67" spans="1:113" x14ac:dyDescent="0.2">
      <c r="A67" s="137">
        <f>TblRezone[[#This Row],[Hour]]</f>
        <v>64</v>
      </c>
      <c r="B67" s="246">
        <f ca="1">SUM(TblMili[[#This Row],[Unit 1]:[Archmages]])+SUM(OFFSET(TblMili[[#This Row],[Train Unit 1]],-8,0):TblMili[[#This Row],[Train Unit 2]]) + SUM(OFFSET(TblMili[[#This Row],[Train Unit 3]],-11,0):TblMili[[#This Row],[Train AM]]) + TblMili[[#This Row],[Draftees]]</f>
        <v>544</v>
      </c>
      <c r="C67" s="157">
        <f ca="1">TblPop[[#This Row],[Military%]]</f>
        <v>0.50557620817843862</v>
      </c>
      <c r="D67" s="142"/>
      <c r="E67" s="45">
        <f ca="1">OFFSET(TblMili[[#This Row],[Unit 1]],-1,0) + OFFSET(TblMili[[#This Row],[Train Unit 1]],-9,0) - TblMili[[#This Row],[Release Unit 1]] + OFFSET(TblMili[[#This Row],[DnD_Zombies]],-12,0)</f>
        <v>0</v>
      </c>
      <c r="F67" s="45">
        <f ca="1">OFFSET(TblMili[[#This Row],[Unit 2]],-1,0) + OFFSET(TblMili[[#This Row],[Train Unit 2]],-9,0)-TblMili[[#This Row],[Release Unit 2]]</f>
        <v>0</v>
      </c>
      <c r="G67" s="45">
        <f ca="1">OFFSET(TblMili[[#This Row],[Unit 3]],-1,0) + OFFSET(TblMili[[#This Row],[Train Unit 3]],-12,0)-TblMili[[#This Row],[Release Unit 3]]</f>
        <v>0</v>
      </c>
      <c r="H67" s="45">
        <f ca="1">OFFSET(TblMili[[#This Row],[Unit 4]],-1,0) + OFFSET(TblMili[[#This Row],[Train Unit 4]],-12,0)-TblMili[[#This Row],[Release Unit 4]]</f>
        <v>0</v>
      </c>
      <c r="I67" s="45">
        <f ca="1">OFFSET(TblMili[[#This Row],[Spies]],-1,0) + OFFSET(TblMili[[#This Row],[Train Spies]],-12,0) - TblMili[[#This Row],[Release Spies]]-TblMili[[#This Row],[Train AS]]</f>
        <v>0</v>
      </c>
      <c r="J67" s="45">
        <f ca="1">OFFSET(TblMili[[#This Row],[Archspies]],-1,0) + OFFSET(TblMili[[#This Row],[Train AS]],-12,0) - TblMili[[#This Row],[Release AS]]</f>
        <v>0</v>
      </c>
      <c r="K67" s="45">
        <f ca="1">OFFSET(TblMili[[#This Row],[Wizards]],-1,0) + OFFSET(TblMili[[#This Row],[Train Wiz]],-12,0) - TblMili[[#This Row],[Release Wizards]]-TblMili[[#This Row],[Train AM]]</f>
        <v>0</v>
      </c>
      <c r="L67" s="45">
        <f ca="1">OFFSET(TblMili[[#This Row],[Archmages]],-1,0) + OFFSET(TblMili[[#This Row],[Train AM]],-12,0) - TblMili[[#This Row],[Release AM]]</f>
        <v>0</v>
      </c>
      <c r="M67" s="142"/>
      <c r="N67" s="94">
        <f ca="1">TblProd[[#This Row],[Networth]]</f>
        <v>2450</v>
      </c>
      <c r="O67" s="142"/>
      <c r="P6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7" s="247">
        <f ca="1">TblMili[[#This Row],[Raw]]*(1+TblMili[[#This Row],[Mods_Off]])</f>
        <v>0</v>
      </c>
      <c r="S6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7" s="247">
        <f ca="1">TblMili[[#This Row],[Non Draft]]+TblMili[[#This Row],[Draftees]]</f>
        <v>544</v>
      </c>
      <c r="U67" s="248">
        <f ca="1">race_defense + TblImps[[#This Row],[Walls]] + ROUND( MIN(gt_bonus*TblConstr[[#This Row],[Tot GT]]/TblConstr[[#This Row],[Land]],gt_bonus_cap), 4) + IF(TblMagic[[#This Row],[Active Howling]]&gt;0,howling_dp_bonus,IF(TblMagic[[#This Row],[Active Ares Call]]&gt;0,ares_call_bonus))</f>
        <v>0</v>
      </c>
      <c r="V67" s="249">
        <f ca="1">TblMili[[#This Row],[Non Draft]] * (1 + TblMili[[#This Row],[Mods_Def]])</f>
        <v>0</v>
      </c>
      <c r="W67" s="247">
        <f ca="1">TblMili[[#This Row],[Draft]] * (1 + TblMili[[#This Row],[Mods_Def]])</f>
        <v>544</v>
      </c>
      <c r="X67" s="247">
        <f ca="1">TblConstr[[#This Row],[Land]]</f>
        <v>110</v>
      </c>
      <c r="Y67" s="250"/>
      <c r="Z67" s="255">
        <f ca="1">IF(TblMili[[#This Row],[Set]]&lt;&gt;"",TblMili[[#This Row],[Set]],OFFSET(TblMili[[#This Row],[Draftrate]],-1,0))</f>
        <v>0.9</v>
      </c>
      <c r="AA67" s="94">
        <f ca="1">OFFSET(TblMili[[#This Row],[Draftees]],-1,0)+OFFSET(TblPop[[#This Row],[Draft Growth]],-1,0) - SUM(TblMili[[#This Row],[Train Unit 1]:[Train Spies]],TblMili[[#This Row],[Train Wiz]],TblMili[[#This Row],[DnD_Zombies]]) - TblMili[[#This Row],[Release Draft]] + SUM(TblMili[[#This Row],[Release Unit 1]:[Release AM]]) - TblExplore[[#This Row],[Draftees (2)]]</f>
        <v>544</v>
      </c>
      <c r="AB67" s="154"/>
      <c r="AC67" s="180">
        <f ca="1">(TblConstr[[#This Row],[Tot Smi]]+TblConstr[[#This Row],[Dest Smi]])/(TblConstr[[#This Row],[Land]]-TblExplore[[#This Row],[Land Bonus]]*20)</f>
        <v>0</v>
      </c>
      <c r="AD67" s="137"/>
      <c r="AE67" s="246">
        <f>TblMili[[#This Row],[Hour]]</f>
        <v>64</v>
      </c>
      <c r="AF67" s="138">
        <f ca="1">TblExplore[[#This Row],[Time]]</f>
        <v>46049.624999999847</v>
      </c>
      <c r="AG67" s="158"/>
      <c r="AH67" s="158"/>
      <c r="AI67" s="179"/>
      <c r="AJ67" s="179"/>
      <c r="AK67" s="179"/>
      <c r="AL67" s="179"/>
      <c r="AM67" s="179"/>
      <c r="AN67" s="179"/>
      <c r="AO67" s="420">
        <f ca="1">ROUND(IF(AND(TblMagic[[#This Row],[Active DnD]]&lt;12,TblMagic[[#This Row],[Active DnD]]&gt;5),OFFSET(TblPop[[#This Row],[Draft Growth]],-1,0)*0.375,0),0)</f>
        <v>0</v>
      </c>
      <c r="AP67" s="142"/>
      <c r="AQ67" s="94">
        <f ca="1">TblProd[[#This Row],[Platinum]]</f>
        <v>156179</v>
      </c>
      <c r="AR67" s="94">
        <f ca="1">INDEX(TblProd[[#Headers],[Lumber]]:TblProd[[#This Row],[Ore]],COUNTA(TblProd[[#Headers],[Lumber]]:TblProd[[#This Row],[Lumber]]),MATCH(Military!$AR$2,TblProd[[#Headers],[Lumber]:[Ore]],0))</f>
        <v>0</v>
      </c>
      <c r="AS6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7" s="94">
        <f ca="1">TblMili[[#This Row],[Train Unit 1]]*TblMili[[#This Row],[OP Ore]]+TblMili[[#This Row],[Train Unit 2]]*TblMili[[#This Row],[DP Ore]]+TblMili[[#This Row],[Train Unit 3]]*TblMili[[#This Row],[E1 Ore]]+TblMili[[#This Row],[Train Unit 4]]*TblMili[[#This Row],[E2 Ore]]</f>
        <v>0</v>
      </c>
      <c r="AU67" s="142">
        <f>TblMili[[#This Row],[Hour]]</f>
        <v>64</v>
      </c>
      <c r="AV67" s="152">
        <f ca="1">TblMili[[#This Row],[Time]]</f>
        <v>46049.624999999847</v>
      </c>
      <c r="AW67" s="94">
        <f ca="1">TblMili[[#This Row],[Draftees]]</f>
        <v>544</v>
      </c>
      <c r="AX67" s="179"/>
      <c r="AY67" s="179"/>
      <c r="AZ67" s="179"/>
      <c r="BA67" s="179"/>
      <c r="BB67" s="179"/>
      <c r="BC67" s="179"/>
      <c r="BD67" s="179"/>
      <c r="BE67" s="179"/>
      <c r="BF67" s="179"/>
      <c r="BG67" s="142"/>
      <c r="BH67" s="157">
        <f ca="1">TblConstr[[#This Row],[Tot WG]]/TblConstr[[#This Row],[Land]]</f>
        <v>0</v>
      </c>
      <c r="BI67" s="157">
        <f ca="1">TblConstr[[#This Row],[Tot Hav]]/TblConstr[[#This Row],[Land]]</f>
        <v>0</v>
      </c>
      <c r="BJ67" s="94">
        <f ca="1">ROUNDUP((1-MIN(TblMili[[#This Row],[Smithies]]*smithy_bonus,smithy_bonus_cap) + tech_3_5*TblTech[[#This Row],[3-5]] + tech_5_3*TblTech[[#This Row],[5-3]] + tech_5_5*TblTech[[#This Row],[5-5]])*spec_op_plat,0)</f>
        <v>275</v>
      </c>
      <c r="BK67" s="94">
        <f ca="1">ROUNDUP(IF(race="Gnome",1,(1-MIN(TblMili[[#This Row],[Smithies]]*smithy_bonus,smithy_bonus_cap) + tech_3_5*TblTech[[#This Row],[3-5]] + tech_5_3*TblTech[[#This Row],[5-3]] + tech_5_5*TblTech[[#This Row],[5-5]]))*spec_op_ore,0)</f>
        <v>25</v>
      </c>
      <c r="BL67" s="94">
        <f ca="1">ROUNDUP((1-MIN(TblMili[[#This Row],[Smithies]]*smithy_bonus,smithy_bonus_cap) + tech_3_5*TblTech[[#This Row],[3-5]] + tech_5_3*TblTech[[#This Row],[5-3]] + tech_5_5*TblTech[[#This Row],[5-5]])*spec_dp_plat,0)</f>
        <v>275</v>
      </c>
      <c r="BM67" s="94">
        <f ca="1">ROUNDUP(IF(race="Gnome",1,(1-MIN(TblMili[[#This Row],[Smithies]]*smithy_bonus,smithy_bonus_cap) + tech_3_5*TblTech[[#This Row],[3-5]] + tech_5_3*TblTech[[#This Row],[5-3]] + tech_5_5*TblTech[[#This Row],[5-5]]))*spec_dp_ore,0)</f>
        <v>15</v>
      </c>
      <c r="BN67" s="94">
        <f ca="1">ROUNDUP((1-MIN(TblMili[[#This Row],[Smithies]]*smithy_bonus,smithy_bonus_cap) + tech_3_5*TblTech[[#This Row],[3-5]] + tech_5_3*TblTech[[#This Row],[5-3]] + tech_5_5*TblTech[[#This Row],[5-5]])*elite1_plat,0)</f>
        <v>1040</v>
      </c>
      <c r="BO67" s="94">
        <f ca="1">ROUNDUP(IF(race="Gnome",1,(1-MIN(TblMili[[#This Row],[Smithies]]*smithy_bonus,smithy_bonus_cap) + tech_3_5*TblTech[[#This Row],[3-5]] + tech_5_3*TblTech[[#This Row],[5-3]] + tech_5_5*TblTech[[#This Row],[5-5]]))*elite1_ore,0)</f>
        <v>75</v>
      </c>
      <c r="BP67" s="94">
        <f ca="1">ROUNDUP((1-MIN(TblMili[[#This Row],[Smithies]]*smithy_bonus,smithy_bonus_cap) + tech_3_5*TblTech[[#This Row],[3-5]] + tech_5_3*TblTech[[#This Row],[5-3]] + tech_5_5*TblTech[[#This Row],[5-5]])*elite2_plat,0)</f>
        <v>1280</v>
      </c>
      <c r="BQ67" s="94">
        <f ca="1">ROUNDUP(IF(race="Gnome",1,(1-MIN(TblMili[[#This Row],[Smithies]]*smithy_bonus,smithy_bonus_cap) + tech_3_5*TblTech[[#This Row],[3-5]] + tech_5_3*TblTech[[#This Row],[5-3]] + tech_5_5*TblTech[[#This Row],[5-5]]))*elite2_ore,0)</f>
        <v>100</v>
      </c>
      <c r="BR67" s="94">
        <f ca="1">ROUNDUP((1-MIN(ROUND(fh_spy_cost_red*TblMili[[#This Row],[FH''s]],4),fh_spy_cost_cap)+ tech_1_9*TblTech[[#This Row],[1-9]] + tech_9_1*TblTech[[#This Row],[9-1]])*spy_plat,0)</f>
        <v>500</v>
      </c>
      <c r="BS67" s="94">
        <f ca="1">ROUNDUP((1-MIN(ROUND(fh_spy_cost_red*TblMili[[#This Row],[FH''s]],4),fh_spy_cost_cap)+ tech_1_9*TblTech[[#This Row],[1-9]] + tech_9_1*TblTech[[#This Row],[9-1]])*archspy_plat,0)</f>
        <v>1000</v>
      </c>
      <c r="BT67" s="94">
        <f ca="1">ROUNDUP((1-MIN(ROUND(wg_wiz_cost_bonus*TblMili[[#This Row],[WG''s]],4),wg_wiz_cost_cap) + tech_1_9_2*TblTech[[#This Row],[1-9]] + tech_9_1_2*TblTech[[#This Row],[9-1]])*wizard_plat,0)</f>
        <v>500</v>
      </c>
      <c r="BU67" s="94">
        <f ca="1">ROUNDUP((1-MIN(ROUND(wg_wiz_cost_bonus*TblMili[[#This Row],[WG''s]],4),wg_wiz_cost_cap) + tech_1_9_2*TblTech[[#This Row],[1-9]] + tech_9_1_2*TblTech[[#This Row],[9-1]])*archmage_plat,0)</f>
        <v>1000</v>
      </c>
      <c r="BV67" s="142"/>
      <c r="BW67" s="157">
        <f ca="1">TblConstr[[#This Row],[Homeland]]/TblConstr[[#This Row],[Land]]</f>
        <v>0.81818181818181823</v>
      </c>
      <c r="BX67" s="157">
        <f ca="1">TblMili[[#This Row],[WG''s]]</f>
        <v>0</v>
      </c>
      <c r="BY67" s="251">
        <f ca="1">IF(mystic_cap="none",TblMili[[#This Row],[Homeland%]]/mystic_bonus,MIN(mystic_cap,TblMili[[#This Row],[Homeland%]]/mystic_bonus))</f>
        <v>2</v>
      </c>
      <c r="BZ67" s="251">
        <f ca="1">IF(druid_op_cap="none",TblMili[[#This Row],[Homeland%]]/druid_op_bonus,MIN(druid_op_cap,TblMili[[#This Row],[Homeland%]]/druid_op_bonus))</f>
        <v>2</v>
      </c>
      <c r="CA67" s="251">
        <f ca="1">IF(druid_dp_cap="none",TblMili[[#This Row],[Homeland%]]/druid_dp_bonus,MIN(druid_dp_cap,TblMili[[#This Row],[Homeland%]]/druid_dp_bonus))</f>
        <v>2</v>
      </c>
      <c r="CB67" s="251">
        <f ca="1">MIN(dryad_cap,TblMili[[#This Row],[Homeland%]]/dryad_bonus)</f>
        <v>4</v>
      </c>
      <c r="CC67" s="251">
        <f ca="1">MIN(rocka_cap,TblMili[[#This Row],[Homeland%]]/rocka_bonus)</f>
        <v>2</v>
      </c>
      <c r="CD67" s="251">
        <f ca="1">MIN(adept_op_cap,TblMili[[#This Row],[WG]]/adept_op_bonus)</f>
        <v>0</v>
      </c>
      <c r="CE67" s="251">
        <f ca="1">MIN(adept_dp_cap,TblMili[[#This Row],[WG]]/adept_dp_bonus)</f>
        <v>0</v>
      </c>
      <c r="CF67" s="94">
        <f ca="1">MIN(TblMili[[#This Row],[Unit 3]],TblMili[[#This Row],[Unit 2]])*2</f>
        <v>0</v>
      </c>
      <c r="CG67" s="94">
        <f ca="1">MIN(TblMili[[#This Row],[Unit 1]],TblMili[[#This Row],[Unit 4]])*2</f>
        <v>0</v>
      </c>
      <c r="CH67" s="251">
        <f ca="1">MIN(frost_mage_cap,TblMili[[#This Row],[Homeland%]]/frost_mage_bonus)</f>
        <v>3</v>
      </c>
      <c r="CI67" s="45">
        <f ca="1">MIN(ice_elem_cap,TblMili[[#This Row],[Raw (2)]]*ice_elem_bonus)</f>
        <v>0</v>
      </c>
      <c r="CJ67" s="251">
        <f t="shared" si="2"/>
        <v>0.83333333333333337</v>
      </c>
      <c r="CK67" s="251">
        <f ca="1">MIN(nox_nightshade_cap,TblConstr[[#This Row],[Homeland]]/TblConstr[[#This Row],[Land]]/nox_nightshade_swamp_bonus)</f>
        <v>4</v>
      </c>
      <c r="CL67" s="251">
        <f ca="1">MIN(TblConstr[[#This Row],[Total Swamp]]/TblConstr[[#This Row],[Land]]/abyss_enforce_bonus,abyss_enforcer_cap)</f>
        <v>0</v>
      </c>
      <c r="CM67" s="251">
        <f ca="1">IF(TblMagic[[#This Row],[Active Infernal Command]]&gt;0,TblMili[[#This Row],[Unit 1]]*infernal_cmd_op,0)</f>
        <v>0</v>
      </c>
      <c r="CN67" s="252"/>
      <c r="CO67" s="252"/>
      <c r="CP67" s="252"/>
      <c r="CQ67" s="251">
        <f ca="1">MIN(6,TblMili[[#This Row],[Mystic]]+Races!$F$19)*1.8 +  IF(TblMili[[#This Row],[Mystic]]+Races!$F$19&gt;6,(TblMili[[#This Row],[Mystic]]+Races!$F$19-6)*0.2,0) - Races!$I$19</f>
        <v>1</v>
      </c>
      <c r="CR6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7" s="94">
        <f ca="1">TblMili[[#This Row],[Mystic bonus]]*TblMili[[#This Row],[Unit 3]]+TblMili[[#This Row],[Druid bonus]]*TblMili[[#This Row],[Unit 4]]</f>
        <v>0</v>
      </c>
      <c r="CT67" s="155">
        <f ca="1">MIN(6,TblMili[[#This Row],[Dryad]]+Races!$F$35)*1.8 +  IF(TblMili[[#This Row],[Dryad]]+Races!$F$35&gt;6,(TblMili[[#This Row],[Dryad]]+Races!$F$35-6)*0.2,0) - Races!$I$19</f>
        <v>1</v>
      </c>
      <c r="CU67" s="94">
        <f ca="1">sylvan*(TblMili[[#This Row],[Mystic bonus]]*TblMili[[#This Row],[Unit 3]])</f>
        <v>0</v>
      </c>
      <c r="CV67" s="155">
        <f ca="1">1.8 * MIN(MAX(Races!$E$27,TblMili[[#This Row],[Rockapult]]+Races!$F$27),6)  +  0.45 * MIN(MIN(Races!$E$27,TblMili[[#This Row],[Rockapult]]+Races!$F$27),6)  +  0.2 * ( MAX(Races!$E$27-6,0) + MAX(TblMili[[#This Row],[Rockapult]]+Races!$F$27-6,0) )  -  Races!$I$20</f>
        <v>3.7000000000000011</v>
      </c>
      <c r="CW67" s="94">
        <f ca="1">gnome*(TblMili[[#This Row],[Rockapult bonus]]*TblMili[[#This Row],[Unit 3]])</f>
        <v>0</v>
      </c>
      <c r="CX6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7" s="94">
        <f ca="1">dark_elf*(TblMili[[#This Row],[Adept bonus]]*TblMili[[#This Row],[Unit 3]])</f>
        <v>0</v>
      </c>
      <c r="CZ67" s="155">
        <f ca="1">1.8 * MIN(MAX(TblMili[[#This Row],[Frost Mage]]+Races!$F$71,Races!$E$71),6)  +  0.45 * MIN(MIN(TblMili[[#This Row],[Frost Mage]]+Races!$F$71,Races!$E$71),6)  +  0.2 * ( MAX(TblMili[[#This Row],[Frost Mage]]+Races!$F$71-6,0) + MAX(Races!$E$71-6,0) )  -  Races!$I$71</f>
        <v>6.15</v>
      </c>
      <c r="DA67" s="155">
        <f ca="1">1.8 * MIN(MAX(TblMili[[#This Row],[Ice Elemental]]+Races!$E$71,Races!$F$71),6)  +  0.45 * MIN(MIN(TblMili[[#This Row],[Ice Elemental]]+Races!$E$71,Races!$F$71),6)  +  0.2 * ( MAX(TblMili[[#This Row],[Ice Elemental]]+Races!$E$71-6,0) + MAX(Races!$F$71-6,0) )  -  Races!$I$71</f>
        <v>0.75</v>
      </c>
      <c r="DB67" s="94">
        <f ca="1">TblMili[[#This Row],[Frost Mage bonus]]*TblMili[[#This Row],[Unit 3]]+TblMili[[#This Row],[Ice Elemental bonus]]*TblMili[[#This Row],[Unit 4]]</f>
        <v>0</v>
      </c>
      <c r="DC67" s="253"/>
      <c r="DD67" s="143">
        <f ca="1">MIN(SUM(TblConstr[[#This Row],[Plain]:[Water]])/TblMili[[#This Row],[Land]]/favorable_terrain_bonus/100,favorable_terrain_max)</f>
        <v>0.1</v>
      </c>
      <c r="DE67" s="253"/>
      <c r="DF6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7" s="142"/>
      <c r="DH67" s="254">
        <f ca="1">(TblMili[[#This Row],[Wizards]]+2*TblMili[[#This Row],[Archmages]])/TblConstr[[#This Row],[Land]]</f>
        <v>0</v>
      </c>
      <c r="DI67" s="254">
        <f ca="1">TblMili[[#This Row],[Raw (2)]]*(1+race_wizard_strength+IF(TblMili[[#This Row],[Hour]]&gt;72,tech_magical_weaponry_wiz*TblTech[[#This Row],[3-5]],0))</f>
        <v>0</v>
      </c>
    </row>
    <row r="68" spans="1:113" x14ac:dyDescent="0.2">
      <c r="A68" s="137">
        <f>TblRezone[[#This Row],[Hour]]</f>
        <v>65</v>
      </c>
      <c r="B68" s="246">
        <f ca="1">SUM(TblMili[[#This Row],[Unit 1]:[Archmages]])+SUM(OFFSET(TblMili[[#This Row],[Train Unit 1]],-8,0):TblMili[[#This Row],[Train Unit 2]]) + SUM(OFFSET(TblMili[[#This Row],[Train Unit 3]],-11,0):TblMili[[#This Row],[Train AM]]) + TblMili[[#This Row],[Draftees]]</f>
        <v>549</v>
      </c>
      <c r="C68" s="157">
        <f ca="1">TblPop[[#This Row],[Military%]]</f>
        <v>0.5102230483271375</v>
      </c>
      <c r="D68" s="142"/>
      <c r="E68" s="45">
        <f ca="1">OFFSET(TblMili[[#This Row],[Unit 1]],-1,0) + OFFSET(TblMili[[#This Row],[Train Unit 1]],-9,0) - TblMili[[#This Row],[Release Unit 1]] + OFFSET(TblMili[[#This Row],[DnD_Zombies]],-12,0)</f>
        <v>0</v>
      </c>
      <c r="F68" s="45">
        <f ca="1">OFFSET(TblMili[[#This Row],[Unit 2]],-1,0) + OFFSET(TblMili[[#This Row],[Train Unit 2]],-9,0)-TblMili[[#This Row],[Release Unit 2]]</f>
        <v>0</v>
      </c>
      <c r="G68" s="45">
        <f ca="1">OFFSET(TblMili[[#This Row],[Unit 3]],-1,0) + OFFSET(TblMili[[#This Row],[Train Unit 3]],-12,0)-TblMili[[#This Row],[Release Unit 3]]</f>
        <v>0</v>
      </c>
      <c r="H68" s="45">
        <f ca="1">OFFSET(TblMili[[#This Row],[Unit 4]],-1,0) + OFFSET(TblMili[[#This Row],[Train Unit 4]],-12,0)-TblMili[[#This Row],[Release Unit 4]]</f>
        <v>0</v>
      </c>
      <c r="I68" s="45">
        <f ca="1">OFFSET(TblMili[[#This Row],[Spies]],-1,0) + OFFSET(TblMili[[#This Row],[Train Spies]],-12,0) - TblMili[[#This Row],[Release Spies]]-TblMili[[#This Row],[Train AS]]</f>
        <v>0</v>
      </c>
      <c r="J68" s="45">
        <f ca="1">OFFSET(TblMili[[#This Row],[Archspies]],-1,0) + OFFSET(TblMili[[#This Row],[Train AS]],-12,0) - TblMili[[#This Row],[Release AS]]</f>
        <v>0</v>
      </c>
      <c r="K68" s="45">
        <f ca="1">OFFSET(TblMili[[#This Row],[Wizards]],-1,0) + OFFSET(TblMili[[#This Row],[Train Wiz]],-12,0) - TblMili[[#This Row],[Release Wizards]]-TblMili[[#This Row],[Train AM]]</f>
        <v>0</v>
      </c>
      <c r="L68" s="45">
        <f ca="1">OFFSET(TblMili[[#This Row],[Archmages]],-1,0) + OFFSET(TblMili[[#This Row],[Train AM]],-12,0) - TblMili[[#This Row],[Release AM]]</f>
        <v>0</v>
      </c>
      <c r="M68" s="142"/>
      <c r="N68" s="94">
        <f ca="1">TblProd[[#This Row],[Networth]]</f>
        <v>2450</v>
      </c>
      <c r="O68" s="142"/>
      <c r="P6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8" s="247">
        <f ca="1">TblMili[[#This Row],[Raw]]*(1+TblMili[[#This Row],[Mods_Off]])</f>
        <v>0</v>
      </c>
      <c r="S6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8" s="247">
        <f ca="1">TblMili[[#This Row],[Non Draft]]+TblMili[[#This Row],[Draftees]]</f>
        <v>549</v>
      </c>
      <c r="U68" s="248">
        <f ca="1">race_defense + TblImps[[#This Row],[Walls]] + ROUND( MIN(gt_bonus*TblConstr[[#This Row],[Tot GT]]/TblConstr[[#This Row],[Land]],gt_bonus_cap), 4) + IF(TblMagic[[#This Row],[Active Howling]]&gt;0,howling_dp_bonus,IF(TblMagic[[#This Row],[Active Ares Call]]&gt;0,ares_call_bonus))</f>
        <v>0</v>
      </c>
      <c r="V68" s="249">
        <f ca="1">TblMili[[#This Row],[Non Draft]] * (1 + TblMili[[#This Row],[Mods_Def]])</f>
        <v>0</v>
      </c>
      <c r="W68" s="247">
        <f ca="1">TblMili[[#This Row],[Draft]] * (1 + TblMili[[#This Row],[Mods_Def]])</f>
        <v>549</v>
      </c>
      <c r="X68" s="247">
        <f ca="1">TblConstr[[#This Row],[Land]]</f>
        <v>110</v>
      </c>
      <c r="Y68" s="250"/>
      <c r="Z68" s="255">
        <f ca="1">IF(TblMili[[#This Row],[Set]]&lt;&gt;"",TblMili[[#This Row],[Set]],OFFSET(TblMili[[#This Row],[Draftrate]],-1,0))</f>
        <v>0.9</v>
      </c>
      <c r="AA68" s="94">
        <f ca="1">OFFSET(TblMili[[#This Row],[Draftees]],-1,0)+OFFSET(TblPop[[#This Row],[Draft Growth]],-1,0) - SUM(TblMili[[#This Row],[Train Unit 1]:[Train Spies]],TblMili[[#This Row],[Train Wiz]],TblMili[[#This Row],[DnD_Zombies]]) - TblMili[[#This Row],[Release Draft]] + SUM(TblMili[[#This Row],[Release Unit 1]:[Release AM]]) - TblExplore[[#This Row],[Draftees (2)]]</f>
        <v>549</v>
      </c>
      <c r="AB68" s="154"/>
      <c r="AC68" s="180">
        <f ca="1">(TblConstr[[#This Row],[Tot Smi]]+TblConstr[[#This Row],[Dest Smi]])/(TblConstr[[#This Row],[Land]]-TblExplore[[#This Row],[Land Bonus]]*20)</f>
        <v>0</v>
      </c>
      <c r="AD68" s="137"/>
      <c r="AE68" s="246">
        <f>TblMili[[#This Row],[Hour]]</f>
        <v>65</v>
      </c>
      <c r="AF68" s="138">
        <f ca="1">TblExplore[[#This Row],[Time]]</f>
        <v>46049.666666666511</v>
      </c>
      <c r="AG68" s="158"/>
      <c r="AH68" s="158"/>
      <c r="AI68" s="179"/>
      <c r="AJ68" s="179"/>
      <c r="AK68" s="179"/>
      <c r="AL68" s="179"/>
      <c r="AM68" s="179"/>
      <c r="AN68" s="179"/>
      <c r="AO68" s="420">
        <f ca="1">ROUND(IF(AND(TblMagic[[#This Row],[Active DnD]]&lt;12,TblMagic[[#This Row],[Active DnD]]&gt;5),OFFSET(TblPop[[#This Row],[Draft Growth]],-1,0)*0.375,0),0)</f>
        <v>0</v>
      </c>
      <c r="AP68" s="142"/>
      <c r="AQ68" s="94">
        <f ca="1">TblProd[[#This Row],[Platinum]]</f>
        <v>157615</v>
      </c>
      <c r="AR68" s="94">
        <f ca="1">INDEX(TblProd[[#Headers],[Lumber]]:TblProd[[#This Row],[Ore]],COUNTA(TblProd[[#Headers],[Lumber]]:TblProd[[#This Row],[Lumber]]),MATCH(Military!$AR$2,TblProd[[#Headers],[Lumber]:[Ore]],0))</f>
        <v>0</v>
      </c>
      <c r="AS6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8" s="94">
        <f ca="1">TblMili[[#This Row],[Train Unit 1]]*TblMili[[#This Row],[OP Ore]]+TblMili[[#This Row],[Train Unit 2]]*TblMili[[#This Row],[DP Ore]]+TblMili[[#This Row],[Train Unit 3]]*TblMili[[#This Row],[E1 Ore]]+TblMili[[#This Row],[Train Unit 4]]*TblMili[[#This Row],[E2 Ore]]</f>
        <v>0</v>
      </c>
      <c r="AU68" s="142">
        <f>TblMili[[#This Row],[Hour]]</f>
        <v>65</v>
      </c>
      <c r="AV68" s="152">
        <f ca="1">TblMili[[#This Row],[Time]]</f>
        <v>46049.666666666511</v>
      </c>
      <c r="AW68" s="94">
        <f ca="1">TblMili[[#This Row],[Draftees]]</f>
        <v>549</v>
      </c>
      <c r="AX68" s="179"/>
      <c r="AY68" s="179"/>
      <c r="AZ68" s="179"/>
      <c r="BA68" s="179"/>
      <c r="BB68" s="179"/>
      <c r="BC68" s="179"/>
      <c r="BD68" s="179"/>
      <c r="BE68" s="179"/>
      <c r="BF68" s="179"/>
      <c r="BG68" s="142"/>
      <c r="BH68" s="157">
        <f ca="1">TblConstr[[#This Row],[Tot WG]]/TblConstr[[#This Row],[Land]]</f>
        <v>0</v>
      </c>
      <c r="BI68" s="157">
        <f ca="1">TblConstr[[#This Row],[Tot Hav]]/TblConstr[[#This Row],[Land]]</f>
        <v>0</v>
      </c>
      <c r="BJ68" s="94">
        <f ca="1">ROUNDUP((1-MIN(TblMili[[#This Row],[Smithies]]*smithy_bonus,smithy_bonus_cap) + tech_3_5*TblTech[[#This Row],[3-5]] + tech_5_3*TblTech[[#This Row],[5-3]] + tech_5_5*TblTech[[#This Row],[5-5]])*spec_op_plat,0)</f>
        <v>275</v>
      </c>
      <c r="BK68" s="94">
        <f ca="1">ROUNDUP(IF(race="Gnome",1,(1-MIN(TblMili[[#This Row],[Smithies]]*smithy_bonus,smithy_bonus_cap) + tech_3_5*TblTech[[#This Row],[3-5]] + tech_5_3*TblTech[[#This Row],[5-3]] + tech_5_5*TblTech[[#This Row],[5-5]]))*spec_op_ore,0)</f>
        <v>25</v>
      </c>
      <c r="BL68" s="94">
        <f ca="1">ROUNDUP((1-MIN(TblMili[[#This Row],[Smithies]]*smithy_bonus,smithy_bonus_cap) + tech_3_5*TblTech[[#This Row],[3-5]] + tech_5_3*TblTech[[#This Row],[5-3]] + tech_5_5*TblTech[[#This Row],[5-5]])*spec_dp_plat,0)</f>
        <v>275</v>
      </c>
      <c r="BM68" s="94">
        <f ca="1">ROUNDUP(IF(race="Gnome",1,(1-MIN(TblMili[[#This Row],[Smithies]]*smithy_bonus,smithy_bonus_cap) + tech_3_5*TblTech[[#This Row],[3-5]] + tech_5_3*TblTech[[#This Row],[5-3]] + tech_5_5*TblTech[[#This Row],[5-5]]))*spec_dp_ore,0)</f>
        <v>15</v>
      </c>
      <c r="BN68" s="94">
        <f ca="1">ROUNDUP((1-MIN(TblMili[[#This Row],[Smithies]]*smithy_bonus,smithy_bonus_cap) + tech_3_5*TblTech[[#This Row],[3-5]] + tech_5_3*TblTech[[#This Row],[5-3]] + tech_5_5*TblTech[[#This Row],[5-5]])*elite1_plat,0)</f>
        <v>1040</v>
      </c>
      <c r="BO68" s="94">
        <f ca="1">ROUNDUP(IF(race="Gnome",1,(1-MIN(TblMili[[#This Row],[Smithies]]*smithy_bonus,smithy_bonus_cap) + tech_3_5*TblTech[[#This Row],[3-5]] + tech_5_3*TblTech[[#This Row],[5-3]] + tech_5_5*TblTech[[#This Row],[5-5]]))*elite1_ore,0)</f>
        <v>75</v>
      </c>
      <c r="BP68" s="94">
        <f ca="1">ROUNDUP((1-MIN(TblMili[[#This Row],[Smithies]]*smithy_bonus,smithy_bonus_cap) + tech_3_5*TblTech[[#This Row],[3-5]] + tech_5_3*TblTech[[#This Row],[5-3]] + tech_5_5*TblTech[[#This Row],[5-5]])*elite2_plat,0)</f>
        <v>1280</v>
      </c>
      <c r="BQ68" s="94">
        <f ca="1">ROUNDUP(IF(race="Gnome",1,(1-MIN(TblMili[[#This Row],[Smithies]]*smithy_bonus,smithy_bonus_cap) + tech_3_5*TblTech[[#This Row],[3-5]] + tech_5_3*TblTech[[#This Row],[5-3]] + tech_5_5*TblTech[[#This Row],[5-5]]))*elite2_ore,0)</f>
        <v>100</v>
      </c>
      <c r="BR68" s="94">
        <f ca="1">ROUNDUP((1-MIN(ROUND(fh_spy_cost_red*TblMili[[#This Row],[FH''s]],4),fh_spy_cost_cap)+ tech_1_9*TblTech[[#This Row],[1-9]] + tech_9_1*TblTech[[#This Row],[9-1]])*spy_plat,0)</f>
        <v>500</v>
      </c>
      <c r="BS68" s="94">
        <f ca="1">ROUNDUP((1-MIN(ROUND(fh_spy_cost_red*TblMili[[#This Row],[FH''s]],4),fh_spy_cost_cap)+ tech_1_9*TblTech[[#This Row],[1-9]] + tech_9_1*TblTech[[#This Row],[9-1]])*archspy_plat,0)</f>
        <v>1000</v>
      </c>
      <c r="BT68" s="94">
        <f ca="1">ROUNDUP((1-MIN(ROUND(wg_wiz_cost_bonus*TblMili[[#This Row],[WG''s]],4),wg_wiz_cost_cap) + tech_1_9_2*TblTech[[#This Row],[1-9]] + tech_9_1_2*TblTech[[#This Row],[9-1]])*wizard_plat,0)</f>
        <v>500</v>
      </c>
      <c r="BU68" s="94">
        <f ca="1">ROUNDUP((1-MIN(ROUND(wg_wiz_cost_bonus*TblMili[[#This Row],[WG''s]],4),wg_wiz_cost_cap) + tech_1_9_2*TblTech[[#This Row],[1-9]] + tech_9_1_2*TblTech[[#This Row],[9-1]])*archmage_plat,0)</f>
        <v>1000</v>
      </c>
      <c r="BV68" s="142"/>
      <c r="BW68" s="157">
        <f ca="1">TblConstr[[#This Row],[Homeland]]/TblConstr[[#This Row],[Land]]</f>
        <v>0.81818181818181823</v>
      </c>
      <c r="BX68" s="157">
        <f ca="1">TblMili[[#This Row],[WG''s]]</f>
        <v>0</v>
      </c>
      <c r="BY68" s="251">
        <f ca="1">IF(mystic_cap="none",TblMili[[#This Row],[Homeland%]]/mystic_bonus,MIN(mystic_cap,TblMili[[#This Row],[Homeland%]]/mystic_bonus))</f>
        <v>2</v>
      </c>
      <c r="BZ68" s="251">
        <f ca="1">IF(druid_op_cap="none",TblMili[[#This Row],[Homeland%]]/druid_op_bonus,MIN(druid_op_cap,TblMili[[#This Row],[Homeland%]]/druid_op_bonus))</f>
        <v>2</v>
      </c>
      <c r="CA68" s="251">
        <f ca="1">IF(druid_dp_cap="none",TblMili[[#This Row],[Homeland%]]/druid_dp_bonus,MIN(druid_dp_cap,TblMili[[#This Row],[Homeland%]]/druid_dp_bonus))</f>
        <v>2</v>
      </c>
      <c r="CB68" s="251">
        <f ca="1">MIN(dryad_cap,TblMili[[#This Row],[Homeland%]]/dryad_bonus)</f>
        <v>4</v>
      </c>
      <c r="CC68" s="251">
        <f ca="1">MIN(rocka_cap,TblMili[[#This Row],[Homeland%]]/rocka_bonus)</f>
        <v>2</v>
      </c>
      <c r="CD68" s="251">
        <f ca="1">MIN(adept_op_cap,TblMili[[#This Row],[WG]]/adept_op_bonus)</f>
        <v>0</v>
      </c>
      <c r="CE68" s="251">
        <f ca="1">MIN(adept_dp_cap,TblMili[[#This Row],[WG]]/adept_dp_bonus)</f>
        <v>0</v>
      </c>
      <c r="CF68" s="94">
        <f ca="1">MIN(TblMili[[#This Row],[Unit 3]],TblMili[[#This Row],[Unit 2]])*2</f>
        <v>0</v>
      </c>
      <c r="CG68" s="94">
        <f ca="1">MIN(TblMili[[#This Row],[Unit 1]],TblMili[[#This Row],[Unit 4]])*2</f>
        <v>0</v>
      </c>
      <c r="CH68" s="251">
        <f ca="1">MIN(frost_mage_cap,TblMili[[#This Row],[Homeland%]]/frost_mage_bonus)</f>
        <v>3</v>
      </c>
      <c r="CI68" s="45">
        <f ca="1">MIN(ice_elem_cap,TblMili[[#This Row],[Raw (2)]]*ice_elem_bonus)</f>
        <v>0</v>
      </c>
      <c r="CJ68" s="251">
        <f t="shared" ref="CJ68:CJ99" si="3">MIN(bone_breaker_cap,250/bone_breaker_bonus)</f>
        <v>0.83333333333333337</v>
      </c>
      <c r="CK68" s="251">
        <f ca="1">MIN(nox_nightshade_cap,TblConstr[[#This Row],[Homeland]]/TblConstr[[#This Row],[Land]]/nox_nightshade_swamp_bonus)</f>
        <v>4</v>
      </c>
      <c r="CL68" s="251">
        <f ca="1">MIN(TblConstr[[#This Row],[Total Swamp]]/TblConstr[[#This Row],[Land]]/abyss_enforce_bonus,abyss_enforcer_cap)</f>
        <v>0</v>
      </c>
      <c r="CM68" s="251">
        <f ca="1">IF(TblMagic[[#This Row],[Active Infernal Command]]&gt;0,TblMili[[#This Row],[Unit 1]]*infernal_cmd_op,0)</f>
        <v>0</v>
      </c>
      <c r="CN68" s="252"/>
      <c r="CO68" s="252"/>
      <c r="CP68" s="252"/>
      <c r="CQ68" s="251">
        <f ca="1">MIN(6,TblMili[[#This Row],[Mystic]]+Races!$F$19)*1.8 +  IF(TblMili[[#This Row],[Mystic]]+Races!$F$19&gt;6,(TblMili[[#This Row],[Mystic]]+Races!$F$19-6)*0.2,0) - Races!$I$19</f>
        <v>1</v>
      </c>
      <c r="CR6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8" s="94">
        <f ca="1">TblMili[[#This Row],[Mystic bonus]]*TblMili[[#This Row],[Unit 3]]+TblMili[[#This Row],[Druid bonus]]*TblMili[[#This Row],[Unit 4]]</f>
        <v>0</v>
      </c>
      <c r="CT68" s="155">
        <f ca="1">MIN(6,TblMili[[#This Row],[Dryad]]+Races!$F$35)*1.8 +  IF(TblMili[[#This Row],[Dryad]]+Races!$F$35&gt;6,(TblMili[[#This Row],[Dryad]]+Races!$F$35-6)*0.2,0) - Races!$I$19</f>
        <v>1</v>
      </c>
      <c r="CU68" s="94">
        <f ca="1">sylvan*(TblMili[[#This Row],[Mystic bonus]]*TblMili[[#This Row],[Unit 3]])</f>
        <v>0</v>
      </c>
      <c r="CV68" s="155">
        <f ca="1">1.8 * MIN(MAX(Races!$E$27,TblMili[[#This Row],[Rockapult]]+Races!$F$27),6)  +  0.45 * MIN(MIN(Races!$E$27,TblMili[[#This Row],[Rockapult]]+Races!$F$27),6)  +  0.2 * ( MAX(Races!$E$27-6,0) + MAX(TblMili[[#This Row],[Rockapult]]+Races!$F$27-6,0) )  -  Races!$I$20</f>
        <v>3.7000000000000011</v>
      </c>
      <c r="CW68" s="94">
        <f ca="1">gnome*(TblMili[[#This Row],[Rockapult bonus]]*TblMili[[#This Row],[Unit 3]])</f>
        <v>0</v>
      </c>
      <c r="CX6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8" s="94">
        <f ca="1">dark_elf*(TblMili[[#This Row],[Adept bonus]]*TblMili[[#This Row],[Unit 3]])</f>
        <v>0</v>
      </c>
      <c r="CZ68" s="155">
        <f ca="1">1.8 * MIN(MAX(TblMili[[#This Row],[Frost Mage]]+Races!$F$71,Races!$E$71),6)  +  0.45 * MIN(MIN(TblMili[[#This Row],[Frost Mage]]+Races!$F$71,Races!$E$71),6)  +  0.2 * ( MAX(TblMili[[#This Row],[Frost Mage]]+Races!$F$71-6,0) + MAX(Races!$E$71-6,0) )  -  Races!$I$71</f>
        <v>6.15</v>
      </c>
      <c r="DA68" s="155">
        <f ca="1">1.8 * MIN(MAX(TblMili[[#This Row],[Ice Elemental]]+Races!$E$71,Races!$F$71),6)  +  0.45 * MIN(MIN(TblMili[[#This Row],[Ice Elemental]]+Races!$E$71,Races!$F$71),6)  +  0.2 * ( MAX(TblMili[[#This Row],[Ice Elemental]]+Races!$E$71-6,0) + MAX(Races!$F$71-6,0) )  -  Races!$I$71</f>
        <v>0.75</v>
      </c>
      <c r="DB68" s="94">
        <f ca="1">TblMili[[#This Row],[Frost Mage bonus]]*TblMili[[#This Row],[Unit 3]]+TblMili[[#This Row],[Ice Elemental bonus]]*TblMili[[#This Row],[Unit 4]]</f>
        <v>0</v>
      </c>
      <c r="DC68" s="253"/>
      <c r="DD68" s="143">
        <f ca="1">MIN(SUM(TblConstr[[#This Row],[Plain]:[Water]])/TblMili[[#This Row],[Land]]/favorable_terrain_bonus/100,favorable_terrain_max)</f>
        <v>0.1</v>
      </c>
      <c r="DE68" s="253"/>
      <c r="DF6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8" s="142"/>
      <c r="DH68" s="254">
        <f ca="1">(TblMili[[#This Row],[Wizards]]+2*TblMili[[#This Row],[Archmages]])/TblConstr[[#This Row],[Land]]</f>
        <v>0</v>
      </c>
      <c r="DI68" s="254">
        <f ca="1">TblMili[[#This Row],[Raw (2)]]*(1+race_wizard_strength+IF(TblMili[[#This Row],[Hour]]&gt;72,tech_magical_weaponry_wiz*TblTech[[#This Row],[3-5]],0))</f>
        <v>0</v>
      </c>
    </row>
    <row r="69" spans="1:113" x14ac:dyDescent="0.2">
      <c r="A69" s="137">
        <f>TblRezone[[#This Row],[Hour]]</f>
        <v>66</v>
      </c>
      <c r="B69" s="246">
        <f ca="1">SUM(TblMili[[#This Row],[Unit 1]:[Archmages]])+SUM(OFFSET(TblMili[[#This Row],[Train Unit 1]],-8,0):TblMili[[#This Row],[Train Unit 2]]) + SUM(OFFSET(TblMili[[#This Row],[Train Unit 3]],-11,0):TblMili[[#This Row],[Train AM]]) + TblMili[[#This Row],[Draftees]]</f>
        <v>554</v>
      </c>
      <c r="C69" s="157">
        <f ca="1">TblPop[[#This Row],[Military%]]</f>
        <v>0.51486988847583648</v>
      </c>
      <c r="D69" s="142"/>
      <c r="E69" s="45">
        <f ca="1">OFFSET(TblMili[[#This Row],[Unit 1]],-1,0) + OFFSET(TblMili[[#This Row],[Train Unit 1]],-9,0) - TblMili[[#This Row],[Release Unit 1]] + OFFSET(TblMili[[#This Row],[DnD_Zombies]],-12,0)</f>
        <v>0</v>
      </c>
      <c r="F69" s="45">
        <f ca="1">OFFSET(TblMili[[#This Row],[Unit 2]],-1,0) + OFFSET(TblMili[[#This Row],[Train Unit 2]],-9,0)-TblMili[[#This Row],[Release Unit 2]]</f>
        <v>0</v>
      </c>
      <c r="G69" s="45">
        <f ca="1">OFFSET(TblMili[[#This Row],[Unit 3]],-1,0) + OFFSET(TblMili[[#This Row],[Train Unit 3]],-12,0)-TblMili[[#This Row],[Release Unit 3]]</f>
        <v>0</v>
      </c>
      <c r="H69" s="45">
        <f ca="1">OFFSET(TblMili[[#This Row],[Unit 4]],-1,0) + OFFSET(TblMili[[#This Row],[Train Unit 4]],-12,0)-TblMili[[#This Row],[Release Unit 4]]</f>
        <v>0</v>
      </c>
      <c r="I69" s="45">
        <f ca="1">OFFSET(TblMili[[#This Row],[Spies]],-1,0) + OFFSET(TblMili[[#This Row],[Train Spies]],-12,0) - TblMili[[#This Row],[Release Spies]]-TblMili[[#This Row],[Train AS]]</f>
        <v>0</v>
      </c>
      <c r="J69" s="45">
        <f ca="1">OFFSET(TblMili[[#This Row],[Archspies]],-1,0) + OFFSET(TblMili[[#This Row],[Train AS]],-12,0) - TblMili[[#This Row],[Release AS]]</f>
        <v>0</v>
      </c>
      <c r="K69" s="45">
        <f ca="1">OFFSET(TblMili[[#This Row],[Wizards]],-1,0) + OFFSET(TblMili[[#This Row],[Train Wiz]],-12,0) - TblMili[[#This Row],[Release Wizards]]-TblMili[[#This Row],[Train AM]]</f>
        <v>0</v>
      </c>
      <c r="L69" s="45">
        <f ca="1">OFFSET(TblMili[[#This Row],[Archmages]],-1,0) + OFFSET(TblMili[[#This Row],[Train AM]],-12,0) - TblMili[[#This Row],[Release AM]]</f>
        <v>0</v>
      </c>
      <c r="M69" s="142"/>
      <c r="N69" s="94">
        <f ca="1">TblProd[[#This Row],[Networth]]</f>
        <v>2450</v>
      </c>
      <c r="O69" s="142"/>
      <c r="P6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6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69" s="247">
        <f ca="1">TblMili[[#This Row],[Raw]]*(1+TblMili[[#This Row],[Mods_Off]])</f>
        <v>0</v>
      </c>
      <c r="S6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69" s="247">
        <f ca="1">TblMili[[#This Row],[Non Draft]]+TblMili[[#This Row],[Draftees]]</f>
        <v>554</v>
      </c>
      <c r="U69" s="248">
        <f ca="1">race_defense + TblImps[[#This Row],[Walls]] + ROUND( MIN(gt_bonus*TblConstr[[#This Row],[Tot GT]]/TblConstr[[#This Row],[Land]],gt_bonus_cap), 4) + IF(TblMagic[[#This Row],[Active Howling]]&gt;0,howling_dp_bonus,IF(TblMagic[[#This Row],[Active Ares Call]]&gt;0,ares_call_bonus))</f>
        <v>0</v>
      </c>
      <c r="V69" s="249">
        <f ca="1">TblMili[[#This Row],[Non Draft]] * (1 + TblMili[[#This Row],[Mods_Def]])</f>
        <v>0</v>
      </c>
      <c r="W69" s="247">
        <f ca="1">TblMili[[#This Row],[Draft]] * (1 + TblMili[[#This Row],[Mods_Def]])</f>
        <v>554</v>
      </c>
      <c r="X69" s="247">
        <f ca="1">TblConstr[[#This Row],[Land]]</f>
        <v>110</v>
      </c>
      <c r="Y69" s="250"/>
      <c r="Z69" s="255">
        <f ca="1">IF(TblMili[[#This Row],[Set]]&lt;&gt;"",TblMili[[#This Row],[Set]],OFFSET(TblMili[[#This Row],[Draftrate]],-1,0))</f>
        <v>0.9</v>
      </c>
      <c r="AA69" s="94">
        <f ca="1">OFFSET(TblMili[[#This Row],[Draftees]],-1,0)+OFFSET(TblPop[[#This Row],[Draft Growth]],-1,0) - SUM(TblMili[[#This Row],[Train Unit 1]:[Train Spies]],TblMili[[#This Row],[Train Wiz]],TblMili[[#This Row],[DnD_Zombies]]) - TblMili[[#This Row],[Release Draft]] + SUM(TblMili[[#This Row],[Release Unit 1]:[Release AM]]) - TblExplore[[#This Row],[Draftees (2)]]</f>
        <v>554</v>
      </c>
      <c r="AB69" s="154"/>
      <c r="AC69" s="180">
        <f ca="1">(TblConstr[[#This Row],[Tot Smi]]+TblConstr[[#This Row],[Dest Smi]])/(TblConstr[[#This Row],[Land]]-TblExplore[[#This Row],[Land Bonus]]*20)</f>
        <v>0</v>
      </c>
      <c r="AD69" s="137"/>
      <c r="AE69" s="246">
        <f>TblMili[[#This Row],[Hour]]</f>
        <v>66</v>
      </c>
      <c r="AF69" s="138">
        <f ca="1">TblExplore[[#This Row],[Time]]</f>
        <v>46049.708333333176</v>
      </c>
      <c r="AG69" s="179"/>
      <c r="AH69" s="158"/>
      <c r="AI69" s="179"/>
      <c r="AJ69" s="179"/>
      <c r="AK69" s="179"/>
      <c r="AL69" s="179"/>
      <c r="AM69" s="179"/>
      <c r="AN69" s="179"/>
      <c r="AO69" s="420">
        <f ca="1">ROUND(IF(AND(TblMagic[[#This Row],[Active DnD]]&lt;12,TblMagic[[#This Row],[Active DnD]]&gt;5),OFFSET(TblPop[[#This Row],[Draft Growth]],-1,0)*0.375,0),0)</f>
        <v>0</v>
      </c>
      <c r="AP69" s="142"/>
      <c r="AQ69" s="94">
        <f ca="1">TblProd[[#This Row],[Platinum]]</f>
        <v>159037</v>
      </c>
      <c r="AR69" s="94">
        <f ca="1">INDEX(TblProd[[#Headers],[Lumber]]:TblProd[[#This Row],[Ore]],COUNTA(TblProd[[#Headers],[Lumber]]:TblProd[[#This Row],[Lumber]]),MATCH(Military!$AR$2,TblProd[[#Headers],[Lumber]:[Ore]],0))</f>
        <v>0</v>
      </c>
      <c r="AS6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69" s="94">
        <f ca="1">TblMili[[#This Row],[Train Unit 1]]*TblMili[[#This Row],[OP Ore]]+TblMili[[#This Row],[Train Unit 2]]*TblMili[[#This Row],[DP Ore]]+TblMili[[#This Row],[Train Unit 3]]*TblMili[[#This Row],[E1 Ore]]+TblMili[[#This Row],[Train Unit 4]]*TblMili[[#This Row],[E2 Ore]]</f>
        <v>0</v>
      </c>
      <c r="AU69" s="142">
        <f>TblMili[[#This Row],[Hour]]</f>
        <v>66</v>
      </c>
      <c r="AV69" s="152">
        <f ca="1">TblMili[[#This Row],[Time]]</f>
        <v>46049.708333333176</v>
      </c>
      <c r="AW69" s="94">
        <f ca="1">TblMili[[#This Row],[Draftees]]</f>
        <v>554</v>
      </c>
      <c r="AX69" s="179"/>
      <c r="AY69" s="179"/>
      <c r="AZ69" s="179"/>
      <c r="BA69" s="179"/>
      <c r="BB69" s="179"/>
      <c r="BC69" s="179"/>
      <c r="BD69" s="179"/>
      <c r="BE69" s="179"/>
      <c r="BF69" s="179"/>
      <c r="BG69" s="142"/>
      <c r="BH69" s="157">
        <f ca="1">TblConstr[[#This Row],[Tot WG]]/TblConstr[[#This Row],[Land]]</f>
        <v>0</v>
      </c>
      <c r="BI69" s="157">
        <f ca="1">TblConstr[[#This Row],[Tot Hav]]/TblConstr[[#This Row],[Land]]</f>
        <v>0</v>
      </c>
      <c r="BJ69" s="94">
        <f ca="1">ROUNDUP((1-MIN(TblMili[[#This Row],[Smithies]]*smithy_bonus,smithy_bonus_cap) + tech_3_5*TblTech[[#This Row],[3-5]] + tech_5_3*TblTech[[#This Row],[5-3]] + tech_5_5*TblTech[[#This Row],[5-5]])*spec_op_plat,0)</f>
        <v>275</v>
      </c>
      <c r="BK69" s="94">
        <f ca="1">ROUNDUP(IF(race="Gnome",1,(1-MIN(TblMili[[#This Row],[Smithies]]*smithy_bonus,smithy_bonus_cap) + tech_3_5*TblTech[[#This Row],[3-5]] + tech_5_3*TblTech[[#This Row],[5-3]] + tech_5_5*TblTech[[#This Row],[5-5]]))*spec_op_ore,0)</f>
        <v>25</v>
      </c>
      <c r="BL69" s="94">
        <f ca="1">ROUNDUP((1-MIN(TblMili[[#This Row],[Smithies]]*smithy_bonus,smithy_bonus_cap) + tech_3_5*TblTech[[#This Row],[3-5]] + tech_5_3*TblTech[[#This Row],[5-3]] + tech_5_5*TblTech[[#This Row],[5-5]])*spec_dp_plat,0)</f>
        <v>275</v>
      </c>
      <c r="BM69" s="94">
        <f ca="1">ROUNDUP(IF(race="Gnome",1,(1-MIN(TblMili[[#This Row],[Smithies]]*smithy_bonus,smithy_bonus_cap) + tech_3_5*TblTech[[#This Row],[3-5]] + tech_5_3*TblTech[[#This Row],[5-3]] + tech_5_5*TblTech[[#This Row],[5-5]]))*spec_dp_ore,0)</f>
        <v>15</v>
      </c>
      <c r="BN69" s="94">
        <f ca="1">ROUNDUP((1-MIN(TblMili[[#This Row],[Smithies]]*smithy_bonus,smithy_bonus_cap) + tech_3_5*TblTech[[#This Row],[3-5]] + tech_5_3*TblTech[[#This Row],[5-3]] + tech_5_5*TblTech[[#This Row],[5-5]])*elite1_plat,0)</f>
        <v>1040</v>
      </c>
      <c r="BO69" s="94">
        <f ca="1">ROUNDUP(IF(race="Gnome",1,(1-MIN(TblMili[[#This Row],[Smithies]]*smithy_bonus,smithy_bonus_cap) + tech_3_5*TblTech[[#This Row],[3-5]] + tech_5_3*TblTech[[#This Row],[5-3]] + tech_5_5*TblTech[[#This Row],[5-5]]))*elite1_ore,0)</f>
        <v>75</v>
      </c>
      <c r="BP69" s="94">
        <f ca="1">ROUNDUP((1-MIN(TblMili[[#This Row],[Smithies]]*smithy_bonus,smithy_bonus_cap) + tech_3_5*TblTech[[#This Row],[3-5]] + tech_5_3*TblTech[[#This Row],[5-3]] + tech_5_5*TblTech[[#This Row],[5-5]])*elite2_plat,0)</f>
        <v>1280</v>
      </c>
      <c r="BQ69" s="94">
        <f ca="1">ROUNDUP(IF(race="Gnome",1,(1-MIN(TblMili[[#This Row],[Smithies]]*smithy_bonus,smithy_bonus_cap) + tech_3_5*TblTech[[#This Row],[3-5]] + tech_5_3*TblTech[[#This Row],[5-3]] + tech_5_5*TblTech[[#This Row],[5-5]]))*elite2_ore,0)</f>
        <v>100</v>
      </c>
      <c r="BR69" s="94">
        <f ca="1">ROUNDUP((1-MIN(ROUND(fh_spy_cost_red*TblMili[[#This Row],[FH''s]],4),fh_spy_cost_cap)+ tech_1_9*TblTech[[#This Row],[1-9]] + tech_9_1*TblTech[[#This Row],[9-1]])*spy_plat,0)</f>
        <v>500</v>
      </c>
      <c r="BS69" s="94">
        <f ca="1">ROUNDUP((1-MIN(ROUND(fh_spy_cost_red*TblMili[[#This Row],[FH''s]],4),fh_spy_cost_cap)+ tech_1_9*TblTech[[#This Row],[1-9]] + tech_9_1*TblTech[[#This Row],[9-1]])*archspy_plat,0)</f>
        <v>1000</v>
      </c>
      <c r="BT69" s="94">
        <f ca="1">ROUNDUP((1-MIN(ROUND(wg_wiz_cost_bonus*TblMili[[#This Row],[WG''s]],4),wg_wiz_cost_cap) + tech_1_9_2*TblTech[[#This Row],[1-9]] + tech_9_1_2*TblTech[[#This Row],[9-1]])*wizard_plat,0)</f>
        <v>500</v>
      </c>
      <c r="BU69" s="94">
        <f ca="1">ROUNDUP((1-MIN(ROUND(wg_wiz_cost_bonus*TblMili[[#This Row],[WG''s]],4),wg_wiz_cost_cap) + tech_1_9_2*TblTech[[#This Row],[1-9]] + tech_9_1_2*TblTech[[#This Row],[9-1]])*archmage_plat,0)</f>
        <v>1000</v>
      </c>
      <c r="BV69" s="142"/>
      <c r="BW69" s="157">
        <f ca="1">TblConstr[[#This Row],[Homeland]]/TblConstr[[#This Row],[Land]]</f>
        <v>0.81818181818181823</v>
      </c>
      <c r="BX69" s="157">
        <f ca="1">TblMili[[#This Row],[WG''s]]</f>
        <v>0</v>
      </c>
      <c r="BY69" s="251">
        <f ca="1">IF(mystic_cap="none",TblMili[[#This Row],[Homeland%]]/mystic_bonus,MIN(mystic_cap,TblMili[[#This Row],[Homeland%]]/mystic_bonus))</f>
        <v>2</v>
      </c>
      <c r="BZ69" s="251">
        <f ca="1">IF(druid_op_cap="none",TblMili[[#This Row],[Homeland%]]/druid_op_bonus,MIN(druid_op_cap,TblMili[[#This Row],[Homeland%]]/druid_op_bonus))</f>
        <v>2</v>
      </c>
      <c r="CA69" s="251">
        <f ca="1">IF(druid_dp_cap="none",TblMili[[#This Row],[Homeland%]]/druid_dp_bonus,MIN(druid_dp_cap,TblMili[[#This Row],[Homeland%]]/druid_dp_bonus))</f>
        <v>2</v>
      </c>
      <c r="CB69" s="251">
        <f ca="1">MIN(dryad_cap,TblMili[[#This Row],[Homeland%]]/dryad_bonus)</f>
        <v>4</v>
      </c>
      <c r="CC69" s="251">
        <f ca="1">MIN(rocka_cap,TblMili[[#This Row],[Homeland%]]/rocka_bonus)</f>
        <v>2</v>
      </c>
      <c r="CD69" s="251">
        <f ca="1">MIN(adept_op_cap,TblMili[[#This Row],[WG]]/adept_op_bonus)</f>
        <v>0</v>
      </c>
      <c r="CE69" s="251">
        <f ca="1">MIN(adept_dp_cap,TblMili[[#This Row],[WG]]/adept_dp_bonus)</f>
        <v>0</v>
      </c>
      <c r="CF69" s="94">
        <f ca="1">MIN(TblMili[[#This Row],[Unit 3]],TblMili[[#This Row],[Unit 2]])*2</f>
        <v>0</v>
      </c>
      <c r="CG69" s="94">
        <f ca="1">MIN(TblMili[[#This Row],[Unit 1]],TblMili[[#This Row],[Unit 4]])*2</f>
        <v>0</v>
      </c>
      <c r="CH69" s="251">
        <f ca="1">MIN(frost_mage_cap,TblMili[[#This Row],[Homeland%]]/frost_mage_bonus)</f>
        <v>3</v>
      </c>
      <c r="CI69" s="45">
        <f ca="1">MIN(ice_elem_cap,TblMili[[#This Row],[Raw (2)]]*ice_elem_bonus)</f>
        <v>0</v>
      </c>
      <c r="CJ69" s="251">
        <f t="shared" si="3"/>
        <v>0.83333333333333337</v>
      </c>
      <c r="CK69" s="251">
        <f ca="1">MIN(nox_nightshade_cap,TblConstr[[#This Row],[Homeland]]/TblConstr[[#This Row],[Land]]/nox_nightshade_swamp_bonus)</f>
        <v>4</v>
      </c>
      <c r="CL69" s="251">
        <f ca="1">MIN(TblConstr[[#This Row],[Total Swamp]]/TblConstr[[#This Row],[Land]]/abyss_enforce_bonus,abyss_enforcer_cap)</f>
        <v>0</v>
      </c>
      <c r="CM69" s="251">
        <f ca="1">IF(TblMagic[[#This Row],[Active Infernal Command]]&gt;0,TblMili[[#This Row],[Unit 1]]*infernal_cmd_op,0)</f>
        <v>0</v>
      </c>
      <c r="CN69" s="252"/>
      <c r="CO69" s="252"/>
      <c r="CP69" s="252"/>
      <c r="CQ69" s="251">
        <f ca="1">MIN(6,TblMili[[#This Row],[Mystic]]+Races!$F$19)*1.8 +  IF(TblMili[[#This Row],[Mystic]]+Races!$F$19&gt;6,(TblMili[[#This Row],[Mystic]]+Races!$F$19-6)*0.2,0) - Races!$I$19</f>
        <v>1</v>
      </c>
      <c r="CR6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69" s="94">
        <f ca="1">TblMili[[#This Row],[Mystic bonus]]*TblMili[[#This Row],[Unit 3]]+TblMili[[#This Row],[Druid bonus]]*TblMili[[#This Row],[Unit 4]]</f>
        <v>0</v>
      </c>
      <c r="CT69" s="155">
        <f ca="1">MIN(6,TblMili[[#This Row],[Dryad]]+Races!$F$35)*1.8 +  IF(TblMili[[#This Row],[Dryad]]+Races!$F$35&gt;6,(TblMili[[#This Row],[Dryad]]+Races!$F$35-6)*0.2,0) - Races!$I$19</f>
        <v>1</v>
      </c>
      <c r="CU69" s="94">
        <f ca="1">sylvan*(TblMili[[#This Row],[Mystic bonus]]*TblMili[[#This Row],[Unit 3]])</f>
        <v>0</v>
      </c>
      <c r="CV69" s="155">
        <f ca="1">1.8 * MIN(MAX(Races!$E$27,TblMili[[#This Row],[Rockapult]]+Races!$F$27),6)  +  0.45 * MIN(MIN(Races!$E$27,TblMili[[#This Row],[Rockapult]]+Races!$F$27),6)  +  0.2 * ( MAX(Races!$E$27-6,0) + MAX(TblMili[[#This Row],[Rockapult]]+Races!$F$27-6,0) )  -  Races!$I$20</f>
        <v>3.7000000000000011</v>
      </c>
      <c r="CW69" s="94">
        <f ca="1">gnome*(TblMili[[#This Row],[Rockapult bonus]]*TblMili[[#This Row],[Unit 3]])</f>
        <v>0</v>
      </c>
      <c r="CX6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69" s="94">
        <f ca="1">dark_elf*(TblMili[[#This Row],[Adept bonus]]*TblMili[[#This Row],[Unit 3]])</f>
        <v>0</v>
      </c>
      <c r="CZ69" s="155">
        <f ca="1">1.8 * MIN(MAX(TblMili[[#This Row],[Frost Mage]]+Races!$F$71,Races!$E$71),6)  +  0.45 * MIN(MIN(TblMili[[#This Row],[Frost Mage]]+Races!$F$71,Races!$E$71),6)  +  0.2 * ( MAX(TblMili[[#This Row],[Frost Mage]]+Races!$F$71-6,0) + MAX(Races!$E$71-6,0) )  -  Races!$I$71</f>
        <v>6.15</v>
      </c>
      <c r="DA69" s="155">
        <f ca="1">1.8 * MIN(MAX(TblMili[[#This Row],[Ice Elemental]]+Races!$E$71,Races!$F$71),6)  +  0.45 * MIN(MIN(TblMili[[#This Row],[Ice Elemental]]+Races!$E$71,Races!$F$71),6)  +  0.2 * ( MAX(TblMili[[#This Row],[Ice Elemental]]+Races!$E$71-6,0) + MAX(Races!$F$71-6,0) )  -  Races!$I$71</f>
        <v>0.75</v>
      </c>
      <c r="DB69" s="94">
        <f ca="1">TblMili[[#This Row],[Frost Mage bonus]]*TblMili[[#This Row],[Unit 3]]+TblMili[[#This Row],[Ice Elemental bonus]]*TblMili[[#This Row],[Unit 4]]</f>
        <v>0</v>
      </c>
      <c r="DC69" s="253"/>
      <c r="DD69" s="143">
        <f ca="1">MIN(SUM(TblConstr[[#This Row],[Plain]:[Water]])/TblMili[[#This Row],[Land]]/favorable_terrain_bonus/100,favorable_terrain_max)</f>
        <v>0.1</v>
      </c>
      <c r="DE69" s="253"/>
      <c r="DF6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69" s="142"/>
      <c r="DH69" s="254">
        <f ca="1">(TblMili[[#This Row],[Wizards]]+2*TblMili[[#This Row],[Archmages]])/TblConstr[[#This Row],[Land]]</f>
        <v>0</v>
      </c>
      <c r="DI69" s="254">
        <f ca="1">TblMili[[#This Row],[Raw (2)]]*(1+race_wizard_strength+IF(TblMili[[#This Row],[Hour]]&gt;72,tech_magical_weaponry_wiz*TblTech[[#This Row],[3-5]],0))</f>
        <v>0</v>
      </c>
    </row>
    <row r="70" spans="1:113" x14ac:dyDescent="0.2">
      <c r="A70" s="137">
        <f>TblRezone[[#This Row],[Hour]]</f>
        <v>67</v>
      </c>
      <c r="B70" s="246">
        <f ca="1">SUM(TblMili[[#This Row],[Unit 1]:[Archmages]])+SUM(OFFSET(TblMili[[#This Row],[Train Unit 1]],-8,0):TblMili[[#This Row],[Train Unit 2]]) + SUM(OFFSET(TblMili[[#This Row],[Train Unit 3]],-11,0):TblMili[[#This Row],[Train AM]]) + TblMili[[#This Row],[Draftees]]</f>
        <v>559</v>
      </c>
      <c r="C70" s="157">
        <f ca="1">TblPop[[#This Row],[Military%]]</f>
        <v>0.51951672862453535</v>
      </c>
      <c r="D70" s="142"/>
      <c r="E70" s="45">
        <f ca="1">OFFSET(TblMili[[#This Row],[Unit 1]],-1,0) + OFFSET(TblMili[[#This Row],[Train Unit 1]],-9,0) - TblMili[[#This Row],[Release Unit 1]] + OFFSET(TblMili[[#This Row],[DnD_Zombies]],-12,0)</f>
        <v>0</v>
      </c>
      <c r="F70" s="45">
        <f ca="1">OFFSET(TblMili[[#This Row],[Unit 2]],-1,0) + OFFSET(TblMili[[#This Row],[Train Unit 2]],-9,0)-TblMili[[#This Row],[Release Unit 2]]</f>
        <v>0</v>
      </c>
      <c r="G70" s="45">
        <f ca="1">OFFSET(TblMili[[#This Row],[Unit 3]],-1,0) + OFFSET(TblMili[[#This Row],[Train Unit 3]],-12,0)-TblMili[[#This Row],[Release Unit 3]]</f>
        <v>0</v>
      </c>
      <c r="H70" s="45">
        <f ca="1">OFFSET(TblMili[[#This Row],[Unit 4]],-1,0) + OFFSET(TblMili[[#This Row],[Train Unit 4]],-12,0)-TblMili[[#This Row],[Release Unit 4]]</f>
        <v>0</v>
      </c>
      <c r="I70" s="45">
        <f ca="1">OFFSET(TblMili[[#This Row],[Spies]],-1,0) + OFFSET(TblMili[[#This Row],[Train Spies]],-12,0) - TblMili[[#This Row],[Release Spies]]-TblMili[[#This Row],[Train AS]]</f>
        <v>0</v>
      </c>
      <c r="J70" s="45">
        <f ca="1">OFFSET(TblMili[[#This Row],[Archspies]],-1,0) + OFFSET(TblMili[[#This Row],[Train AS]],-12,0) - TblMili[[#This Row],[Release AS]]</f>
        <v>0</v>
      </c>
      <c r="K70" s="45">
        <f ca="1">OFFSET(TblMili[[#This Row],[Wizards]],-1,0) + OFFSET(TblMili[[#This Row],[Train Wiz]],-12,0) - TblMili[[#This Row],[Release Wizards]]-TblMili[[#This Row],[Train AM]]</f>
        <v>0</v>
      </c>
      <c r="L70" s="45">
        <f ca="1">OFFSET(TblMili[[#This Row],[Archmages]],-1,0) + OFFSET(TblMili[[#This Row],[Train AM]],-12,0) - TblMili[[#This Row],[Release AM]]</f>
        <v>0</v>
      </c>
      <c r="M70" s="142"/>
      <c r="N70" s="94">
        <f ca="1">TblProd[[#This Row],[Networth]]</f>
        <v>2450</v>
      </c>
      <c r="O70" s="142"/>
      <c r="P7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0" s="247">
        <f ca="1">TblMili[[#This Row],[Raw]]*(1+TblMili[[#This Row],[Mods_Off]])</f>
        <v>0</v>
      </c>
      <c r="S7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0" s="247">
        <f ca="1">TblMili[[#This Row],[Non Draft]]+TblMili[[#This Row],[Draftees]]</f>
        <v>559</v>
      </c>
      <c r="U70" s="248">
        <f ca="1">race_defense + TblImps[[#This Row],[Walls]] + ROUND( MIN(gt_bonus*TblConstr[[#This Row],[Tot GT]]/TblConstr[[#This Row],[Land]],gt_bonus_cap), 4) + IF(TblMagic[[#This Row],[Active Howling]]&gt;0,howling_dp_bonus,IF(TblMagic[[#This Row],[Active Ares Call]]&gt;0,ares_call_bonus))</f>
        <v>0</v>
      </c>
      <c r="V70" s="249">
        <f ca="1">TblMili[[#This Row],[Non Draft]] * (1 + TblMili[[#This Row],[Mods_Def]])</f>
        <v>0</v>
      </c>
      <c r="W70" s="247">
        <f ca="1">TblMili[[#This Row],[Draft]] * (1 + TblMili[[#This Row],[Mods_Def]])</f>
        <v>559</v>
      </c>
      <c r="X70" s="247">
        <f ca="1">TblConstr[[#This Row],[Land]]</f>
        <v>110</v>
      </c>
      <c r="Y70" s="250"/>
      <c r="Z70" s="255">
        <f ca="1">IF(TblMili[[#This Row],[Set]]&lt;&gt;"",TblMili[[#This Row],[Set]],OFFSET(TblMili[[#This Row],[Draftrate]],-1,0))</f>
        <v>0.9</v>
      </c>
      <c r="AA70" s="94">
        <f ca="1">OFFSET(TblMili[[#This Row],[Draftees]],-1,0)+OFFSET(TblPop[[#This Row],[Draft Growth]],-1,0) - SUM(TblMili[[#This Row],[Train Unit 1]:[Train Spies]],TblMili[[#This Row],[Train Wiz]],TblMili[[#This Row],[DnD_Zombies]]) - TblMili[[#This Row],[Release Draft]] + SUM(TblMili[[#This Row],[Release Unit 1]:[Release AM]]) - TblExplore[[#This Row],[Draftees (2)]]</f>
        <v>559</v>
      </c>
      <c r="AB70" s="154"/>
      <c r="AC70" s="180">
        <f ca="1">(TblConstr[[#This Row],[Tot Smi]]+TblConstr[[#This Row],[Dest Smi]])/(TblConstr[[#This Row],[Land]]-TblExplore[[#This Row],[Land Bonus]]*20)</f>
        <v>0</v>
      </c>
      <c r="AD70" s="137"/>
      <c r="AE70" s="246">
        <f>TblMili[[#This Row],[Hour]]</f>
        <v>67</v>
      </c>
      <c r="AF70" s="138">
        <f ca="1">TblExplore[[#This Row],[Time]]</f>
        <v>46049.74999999984</v>
      </c>
      <c r="AG70" s="179"/>
      <c r="AH70" s="158"/>
      <c r="AI70" s="179"/>
      <c r="AJ70" s="179"/>
      <c r="AK70" s="179"/>
      <c r="AL70" s="179"/>
      <c r="AM70" s="179"/>
      <c r="AN70" s="179"/>
      <c r="AO70" s="420">
        <f ca="1">ROUND(IF(AND(TblMagic[[#This Row],[Active DnD]]&lt;12,TblMagic[[#This Row],[Active DnD]]&gt;5),OFFSET(TblPop[[#This Row],[Draft Growth]],-1,0)*0.375,0),0)</f>
        <v>0</v>
      </c>
      <c r="AP70" s="142"/>
      <c r="AQ70" s="94">
        <f ca="1">TblProd[[#This Row],[Platinum]]</f>
        <v>160446</v>
      </c>
      <c r="AR70" s="94">
        <f ca="1">INDEX(TblProd[[#Headers],[Lumber]]:TblProd[[#This Row],[Ore]],COUNTA(TblProd[[#Headers],[Lumber]]:TblProd[[#This Row],[Lumber]]),MATCH(Military!$AR$2,TblProd[[#Headers],[Lumber]:[Ore]],0))</f>
        <v>0</v>
      </c>
      <c r="AS7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0" s="94">
        <f ca="1">TblMili[[#This Row],[Train Unit 1]]*TblMili[[#This Row],[OP Ore]]+TblMili[[#This Row],[Train Unit 2]]*TblMili[[#This Row],[DP Ore]]+TblMili[[#This Row],[Train Unit 3]]*TblMili[[#This Row],[E1 Ore]]+TblMili[[#This Row],[Train Unit 4]]*TblMili[[#This Row],[E2 Ore]]</f>
        <v>0</v>
      </c>
      <c r="AU70" s="142">
        <f>TblMili[[#This Row],[Hour]]</f>
        <v>67</v>
      </c>
      <c r="AV70" s="152">
        <f ca="1">TblMili[[#This Row],[Time]]</f>
        <v>46049.74999999984</v>
      </c>
      <c r="AW70" s="94">
        <f ca="1">TblMili[[#This Row],[Draftees]]</f>
        <v>559</v>
      </c>
      <c r="AX70" s="179"/>
      <c r="AY70" s="179"/>
      <c r="AZ70" s="179"/>
      <c r="BA70" s="179"/>
      <c r="BB70" s="179"/>
      <c r="BC70" s="179"/>
      <c r="BD70" s="179"/>
      <c r="BE70" s="179"/>
      <c r="BF70" s="179"/>
      <c r="BG70" s="142"/>
      <c r="BH70" s="157">
        <f ca="1">TblConstr[[#This Row],[Tot WG]]/TblConstr[[#This Row],[Land]]</f>
        <v>0</v>
      </c>
      <c r="BI70" s="157">
        <f ca="1">TblConstr[[#This Row],[Tot Hav]]/TblConstr[[#This Row],[Land]]</f>
        <v>0</v>
      </c>
      <c r="BJ70" s="94">
        <f ca="1">ROUNDUP((1-MIN(TblMili[[#This Row],[Smithies]]*smithy_bonus,smithy_bonus_cap) + tech_3_5*TblTech[[#This Row],[3-5]] + tech_5_3*TblTech[[#This Row],[5-3]] + tech_5_5*TblTech[[#This Row],[5-5]])*spec_op_plat,0)</f>
        <v>275</v>
      </c>
      <c r="BK70" s="94">
        <f ca="1">ROUNDUP(IF(race="Gnome",1,(1-MIN(TblMili[[#This Row],[Smithies]]*smithy_bonus,smithy_bonus_cap) + tech_3_5*TblTech[[#This Row],[3-5]] + tech_5_3*TblTech[[#This Row],[5-3]] + tech_5_5*TblTech[[#This Row],[5-5]]))*spec_op_ore,0)</f>
        <v>25</v>
      </c>
      <c r="BL70" s="94">
        <f ca="1">ROUNDUP((1-MIN(TblMili[[#This Row],[Smithies]]*smithy_bonus,smithy_bonus_cap) + tech_3_5*TblTech[[#This Row],[3-5]] + tech_5_3*TblTech[[#This Row],[5-3]] + tech_5_5*TblTech[[#This Row],[5-5]])*spec_dp_plat,0)</f>
        <v>275</v>
      </c>
      <c r="BM70" s="94">
        <f ca="1">ROUNDUP(IF(race="Gnome",1,(1-MIN(TblMili[[#This Row],[Smithies]]*smithy_bonus,smithy_bonus_cap) + tech_3_5*TblTech[[#This Row],[3-5]] + tech_5_3*TblTech[[#This Row],[5-3]] + tech_5_5*TblTech[[#This Row],[5-5]]))*spec_dp_ore,0)</f>
        <v>15</v>
      </c>
      <c r="BN70" s="94">
        <f ca="1">ROUNDUP((1-MIN(TblMili[[#This Row],[Smithies]]*smithy_bonus,smithy_bonus_cap) + tech_3_5*TblTech[[#This Row],[3-5]] + tech_5_3*TblTech[[#This Row],[5-3]] + tech_5_5*TblTech[[#This Row],[5-5]])*elite1_plat,0)</f>
        <v>1040</v>
      </c>
      <c r="BO70" s="94">
        <f ca="1">ROUNDUP(IF(race="Gnome",1,(1-MIN(TblMili[[#This Row],[Smithies]]*smithy_bonus,smithy_bonus_cap) + tech_3_5*TblTech[[#This Row],[3-5]] + tech_5_3*TblTech[[#This Row],[5-3]] + tech_5_5*TblTech[[#This Row],[5-5]]))*elite1_ore,0)</f>
        <v>75</v>
      </c>
      <c r="BP70" s="94">
        <f ca="1">ROUNDUP((1-MIN(TblMili[[#This Row],[Smithies]]*smithy_bonus,smithy_bonus_cap) + tech_3_5*TblTech[[#This Row],[3-5]] + tech_5_3*TblTech[[#This Row],[5-3]] + tech_5_5*TblTech[[#This Row],[5-5]])*elite2_plat,0)</f>
        <v>1280</v>
      </c>
      <c r="BQ70" s="94">
        <f ca="1">ROUNDUP(IF(race="Gnome",1,(1-MIN(TblMili[[#This Row],[Smithies]]*smithy_bonus,smithy_bonus_cap) + tech_3_5*TblTech[[#This Row],[3-5]] + tech_5_3*TblTech[[#This Row],[5-3]] + tech_5_5*TblTech[[#This Row],[5-5]]))*elite2_ore,0)</f>
        <v>100</v>
      </c>
      <c r="BR70" s="94">
        <f ca="1">ROUNDUP((1-MIN(ROUND(fh_spy_cost_red*TblMili[[#This Row],[FH''s]],4),fh_spy_cost_cap)+ tech_1_9*TblTech[[#This Row],[1-9]] + tech_9_1*TblTech[[#This Row],[9-1]])*spy_plat,0)</f>
        <v>500</v>
      </c>
      <c r="BS70" s="94">
        <f ca="1">ROUNDUP((1-MIN(ROUND(fh_spy_cost_red*TblMili[[#This Row],[FH''s]],4),fh_spy_cost_cap)+ tech_1_9*TblTech[[#This Row],[1-9]] + tech_9_1*TblTech[[#This Row],[9-1]])*archspy_plat,0)</f>
        <v>1000</v>
      </c>
      <c r="BT70" s="94">
        <f ca="1">ROUNDUP((1-MIN(ROUND(wg_wiz_cost_bonus*TblMili[[#This Row],[WG''s]],4),wg_wiz_cost_cap) + tech_1_9_2*TblTech[[#This Row],[1-9]] + tech_9_1_2*TblTech[[#This Row],[9-1]])*wizard_plat,0)</f>
        <v>500</v>
      </c>
      <c r="BU70" s="94">
        <f ca="1">ROUNDUP((1-MIN(ROUND(wg_wiz_cost_bonus*TblMili[[#This Row],[WG''s]],4),wg_wiz_cost_cap) + tech_1_9_2*TblTech[[#This Row],[1-9]] + tech_9_1_2*TblTech[[#This Row],[9-1]])*archmage_plat,0)</f>
        <v>1000</v>
      </c>
      <c r="BV70" s="142"/>
      <c r="BW70" s="157">
        <f ca="1">TblConstr[[#This Row],[Homeland]]/TblConstr[[#This Row],[Land]]</f>
        <v>0.81818181818181823</v>
      </c>
      <c r="BX70" s="157">
        <f ca="1">TblMili[[#This Row],[WG''s]]</f>
        <v>0</v>
      </c>
      <c r="BY70" s="251">
        <f ca="1">IF(mystic_cap="none",TblMili[[#This Row],[Homeland%]]/mystic_bonus,MIN(mystic_cap,TblMili[[#This Row],[Homeland%]]/mystic_bonus))</f>
        <v>2</v>
      </c>
      <c r="BZ70" s="251">
        <f ca="1">IF(druid_op_cap="none",TblMili[[#This Row],[Homeland%]]/druid_op_bonus,MIN(druid_op_cap,TblMili[[#This Row],[Homeland%]]/druid_op_bonus))</f>
        <v>2</v>
      </c>
      <c r="CA70" s="251">
        <f ca="1">IF(druid_dp_cap="none",TblMili[[#This Row],[Homeland%]]/druid_dp_bonus,MIN(druid_dp_cap,TblMili[[#This Row],[Homeland%]]/druid_dp_bonus))</f>
        <v>2</v>
      </c>
      <c r="CB70" s="251">
        <f ca="1">MIN(dryad_cap,TblMili[[#This Row],[Homeland%]]/dryad_bonus)</f>
        <v>4</v>
      </c>
      <c r="CC70" s="251">
        <f ca="1">MIN(rocka_cap,TblMili[[#This Row],[Homeland%]]/rocka_bonus)</f>
        <v>2</v>
      </c>
      <c r="CD70" s="251">
        <f ca="1">MIN(adept_op_cap,TblMili[[#This Row],[WG]]/adept_op_bonus)</f>
        <v>0</v>
      </c>
      <c r="CE70" s="251">
        <f ca="1">MIN(adept_dp_cap,TblMili[[#This Row],[WG]]/adept_dp_bonus)</f>
        <v>0</v>
      </c>
      <c r="CF70" s="94">
        <f ca="1">MIN(TblMili[[#This Row],[Unit 3]],TblMili[[#This Row],[Unit 2]])*2</f>
        <v>0</v>
      </c>
      <c r="CG70" s="94">
        <f ca="1">MIN(TblMili[[#This Row],[Unit 1]],TblMili[[#This Row],[Unit 4]])*2</f>
        <v>0</v>
      </c>
      <c r="CH70" s="251">
        <f ca="1">MIN(frost_mage_cap,TblMili[[#This Row],[Homeland%]]/frost_mage_bonus)</f>
        <v>3</v>
      </c>
      <c r="CI70" s="45">
        <f ca="1">MIN(ice_elem_cap,TblMili[[#This Row],[Raw (2)]]*ice_elem_bonus)</f>
        <v>0</v>
      </c>
      <c r="CJ70" s="251">
        <f t="shared" si="3"/>
        <v>0.83333333333333337</v>
      </c>
      <c r="CK70" s="251">
        <f ca="1">MIN(nox_nightshade_cap,TblConstr[[#This Row],[Homeland]]/TblConstr[[#This Row],[Land]]/nox_nightshade_swamp_bonus)</f>
        <v>4</v>
      </c>
      <c r="CL70" s="251">
        <f ca="1">MIN(TblConstr[[#This Row],[Total Swamp]]/TblConstr[[#This Row],[Land]]/abyss_enforce_bonus,abyss_enforcer_cap)</f>
        <v>0</v>
      </c>
      <c r="CM70" s="251">
        <f ca="1">IF(TblMagic[[#This Row],[Active Infernal Command]]&gt;0,TblMili[[#This Row],[Unit 1]]*infernal_cmd_op,0)</f>
        <v>0</v>
      </c>
      <c r="CN70" s="252"/>
      <c r="CO70" s="252"/>
      <c r="CP70" s="252"/>
      <c r="CQ70" s="251">
        <f ca="1">MIN(6,TblMili[[#This Row],[Mystic]]+Races!$F$19)*1.8 +  IF(TblMili[[#This Row],[Mystic]]+Races!$F$19&gt;6,(TblMili[[#This Row],[Mystic]]+Races!$F$19-6)*0.2,0) - Races!$I$19</f>
        <v>1</v>
      </c>
      <c r="CR7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0" s="94">
        <f ca="1">TblMili[[#This Row],[Mystic bonus]]*TblMili[[#This Row],[Unit 3]]+TblMili[[#This Row],[Druid bonus]]*TblMili[[#This Row],[Unit 4]]</f>
        <v>0</v>
      </c>
      <c r="CT70" s="155">
        <f ca="1">MIN(6,TblMili[[#This Row],[Dryad]]+Races!$F$35)*1.8 +  IF(TblMili[[#This Row],[Dryad]]+Races!$F$35&gt;6,(TblMili[[#This Row],[Dryad]]+Races!$F$35-6)*0.2,0) - Races!$I$19</f>
        <v>1</v>
      </c>
      <c r="CU70" s="94">
        <f ca="1">sylvan*(TblMili[[#This Row],[Mystic bonus]]*TblMili[[#This Row],[Unit 3]])</f>
        <v>0</v>
      </c>
      <c r="CV70" s="155">
        <f ca="1">1.8 * MIN(MAX(Races!$E$27,TblMili[[#This Row],[Rockapult]]+Races!$F$27),6)  +  0.45 * MIN(MIN(Races!$E$27,TblMili[[#This Row],[Rockapult]]+Races!$F$27),6)  +  0.2 * ( MAX(Races!$E$27-6,0) + MAX(TblMili[[#This Row],[Rockapult]]+Races!$F$27-6,0) )  -  Races!$I$20</f>
        <v>3.7000000000000011</v>
      </c>
      <c r="CW70" s="94">
        <f ca="1">gnome*(TblMili[[#This Row],[Rockapult bonus]]*TblMili[[#This Row],[Unit 3]])</f>
        <v>0</v>
      </c>
      <c r="CX7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0" s="94">
        <f ca="1">dark_elf*(TblMili[[#This Row],[Adept bonus]]*TblMili[[#This Row],[Unit 3]])</f>
        <v>0</v>
      </c>
      <c r="CZ70" s="155">
        <f ca="1">1.8 * MIN(MAX(TblMili[[#This Row],[Frost Mage]]+Races!$F$71,Races!$E$71),6)  +  0.45 * MIN(MIN(TblMili[[#This Row],[Frost Mage]]+Races!$F$71,Races!$E$71),6)  +  0.2 * ( MAX(TblMili[[#This Row],[Frost Mage]]+Races!$F$71-6,0) + MAX(Races!$E$71-6,0) )  -  Races!$I$71</f>
        <v>6.15</v>
      </c>
      <c r="DA70" s="155">
        <f ca="1">1.8 * MIN(MAX(TblMili[[#This Row],[Ice Elemental]]+Races!$E$71,Races!$F$71),6)  +  0.45 * MIN(MIN(TblMili[[#This Row],[Ice Elemental]]+Races!$E$71,Races!$F$71),6)  +  0.2 * ( MAX(TblMili[[#This Row],[Ice Elemental]]+Races!$E$71-6,0) + MAX(Races!$F$71-6,0) )  -  Races!$I$71</f>
        <v>0.75</v>
      </c>
      <c r="DB70" s="94">
        <f ca="1">TblMili[[#This Row],[Frost Mage bonus]]*TblMili[[#This Row],[Unit 3]]+TblMili[[#This Row],[Ice Elemental bonus]]*TblMili[[#This Row],[Unit 4]]</f>
        <v>0</v>
      </c>
      <c r="DC70" s="253"/>
      <c r="DD70" s="143">
        <f ca="1">MIN(SUM(TblConstr[[#This Row],[Plain]:[Water]])/TblMili[[#This Row],[Land]]/favorable_terrain_bonus/100,favorable_terrain_max)</f>
        <v>0.1</v>
      </c>
      <c r="DE70" s="253"/>
      <c r="DF7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0" s="142"/>
      <c r="DH70" s="254">
        <f ca="1">(TblMili[[#This Row],[Wizards]]+2*TblMili[[#This Row],[Archmages]])/TblConstr[[#This Row],[Land]]</f>
        <v>0</v>
      </c>
      <c r="DI70" s="254">
        <f ca="1">TblMili[[#This Row],[Raw (2)]]*(1+race_wizard_strength+IF(TblMili[[#This Row],[Hour]]&gt;72,tech_magical_weaponry_wiz*TblTech[[#This Row],[3-5]],0))</f>
        <v>0</v>
      </c>
    </row>
    <row r="71" spans="1:113" x14ac:dyDescent="0.2">
      <c r="A71" s="137">
        <f>TblRezone[[#This Row],[Hour]]</f>
        <v>68</v>
      </c>
      <c r="B71" s="246">
        <f ca="1">SUM(TblMili[[#This Row],[Unit 1]:[Archmages]])+SUM(OFFSET(TblMili[[#This Row],[Train Unit 1]],-8,0):TblMili[[#This Row],[Train Unit 2]]) + SUM(OFFSET(TblMili[[#This Row],[Train Unit 3]],-11,0):TblMili[[#This Row],[Train AM]]) + TblMili[[#This Row],[Draftees]]</f>
        <v>564</v>
      </c>
      <c r="C71" s="157">
        <f ca="1">TblPop[[#This Row],[Military%]]</f>
        <v>0.52416356877323422</v>
      </c>
      <c r="D71" s="142"/>
      <c r="E71" s="45">
        <f ca="1">OFFSET(TblMili[[#This Row],[Unit 1]],-1,0) + OFFSET(TblMili[[#This Row],[Train Unit 1]],-9,0) - TblMili[[#This Row],[Release Unit 1]] + OFFSET(TblMili[[#This Row],[DnD_Zombies]],-12,0)</f>
        <v>0</v>
      </c>
      <c r="F71" s="45">
        <f ca="1">OFFSET(TblMili[[#This Row],[Unit 2]],-1,0) + OFFSET(TblMili[[#This Row],[Train Unit 2]],-9,0)-TblMili[[#This Row],[Release Unit 2]]</f>
        <v>0</v>
      </c>
      <c r="G71" s="45">
        <f ca="1">OFFSET(TblMili[[#This Row],[Unit 3]],-1,0) + OFFSET(TblMili[[#This Row],[Train Unit 3]],-12,0)-TblMili[[#This Row],[Release Unit 3]]</f>
        <v>0</v>
      </c>
      <c r="H71" s="45">
        <f ca="1">OFFSET(TblMili[[#This Row],[Unit 4]],-1,0) + OFFSET(TblMili[[#This Row],[Train Unit 4]],-12,0)-TblMili[[#This Row],[Release Unit 4]]</f>
        <v>0</v>
      </c>
      <c r="I71" s="45">
        <f ca="1">OFFSET(TblMili[[#This Row],[Spies]],-1,0) + OFFSET(TblMili[[#This Row],[Train Spies]],-12,0) - TblMili[[#This Row],[Release Spies]]-TblMili[[#This Row],[Train AS]]</f>
        <v>0</v>
      </c>
      <c r="J71" s="45">
        <f ca="1">OFFSET(TblMili[[#This Row],[Archspies]],-1,0) + OFFSET(TblMili[[#This Row],[Train AS]],-12,0) - TblMili[[#This Row],[Release AS]]</f>
        <v>0</v>
      </c>
      <c r="K71" s="45">
        <f ca="1">OFFSET(TblMili[[#This Row],[Wizards]],-1,0) + OFFSET(TblMili[[#This Row],[Train Wiz]],-12,0) - TblMili[[#This Row],[Release Wizards]]-TblMili[[#This Row],[Train AM]]</f>
        <v>0</v>
      </c>
      <c r="L71" s="45">
        <f ca="1">OFFSET(TblMili[[#This Row],[Archmages]],-1,0) + OFFSET(TblMili[[#This Row],[Train AM]],-12,0) - TblMili[[#This Row],[Release AM]]</f>
        <v>0</v>
      </c>
      <c r="M71" s="142"/>
      <c r="N71" s="94">
        <f ca="1">TblProd[[#This Row],[Networth]]</f>
        <v>2450</v>
      </c>
      <c r="O71" s="142"/>
      <c r="P7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1" s="247">
        <f ca="1">TblMili[[#This Row],[Raw]]*(1+TblMili[[#This Row],[Mods_Off]])</f>
        <v>0</v>
      </c>
      <c r="S7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1" s="247">
        <f ca="1">TblMili[[#This Row],[Non Draft]]+TblMili[[#This Row],[Draftees]]</f>
        <v>564</v>
      </c>
      <c r="U71" s="248">
        <f ca="1">race_defense + TblImps[[#This Row],[Walls]] + ROUND( MIN(gt_bonus*TblConstr[[#This Row],[Tot GT]]/TblConstr[[#This Row],[Land]],gt_bonus_cap), 4) + IF(TblMagic[[#This Row],[Active Howling]]&gt;0,howling_dp_bonus,IF(TblMagic[[#This Row],[Active Ares Call]]&gt;0,ares_call_bonus))</f>
        <v>0</v>
      </c>
      <c r="V71" s="249">
        <f ca="1">TblMili[[#This Row],[Non Draft]] * (1 + TblMili[[#This Row],[Mods_Def]])</f>
        <v>0</v>
      </c>
      <c r="W71" s="247">
        <f ca="1">TblMili[[#This Row],[Draft]] * (1 + TblMili[[#This Row],[Mods_Def]])</f>
        <v>564</v>
      </c>
      <c r="X71" s="247">
        <f ca="1">TblConstr[[#This Row],[Land]]</f>
        <v>110</v>
      </c>
      <c r="Y71" s="250"/>
      <c r="Z71" s="255">
        <f ca="1">IF(TblMili[[#This Row],[Set]]&lt;&gt;"",TblMili[[#This Row],[Set]],OFFSET(TblMili[[#This Row],[Draftrate]],-1,0))</f>
        <v>0.9</v>
      </c>
      <c r="AA71" s="94">
        <f ca="1">OFFSET(TblMili[[#This Row],[Draftees]],-1,0)+OFFSET(TblPop[[#This Row],[Draft Growth]],-1,0) - SUM(TblMili[[#This Row],[Train Unit 1]:[Train Spies]],TblMili[[#This Row],[Train Wiz]],TblMili[[#This Row],[DnD_Zombies]]) - TblMili[[#This Row],[Release Draft]] + SUM(TblMili[[#This Row],[Release Unit 1]:[Release AM]]) - TblExplore[[#This Row],[Draftees (2)]]</f>
        <v>564</v>
      </c>
      <c r="AB71" s="154"/>
      <c r="AC71" s="180">
        <f ca="1">(TblConstr[[#This Row],[Tot Smi]]+TblConstr[[#This Row],[Dest Smi]])/(TblConstr[[#This Row],[Land]]-TblExplore[[#This Row],[Land Bonus]]*20)</f>
        <v>0</v>
      </c>
      <c r="AD71" s="137"/>
      <c r="AE71" s="246">
        <f>TblMili[[#This Row],[Hour]]</f>
        <v>68</v>
      </c>
      <c r="AF71" s="138">
        <f ca="1">TblExplore[[#This Row],[Time]]</f>
        <v>46049.791666666504</v>
      </c>
      <c r="AG71" s="179"/>
      <c r="AH71" s="158"/>
      <c r="AI71" s="179"/>
      <c r="AJ71" s="179"/>
      <c r="AK71" s="179"/>
      <c r="AL71" s="179"/>
      <c r="AM71" s="179"/>
      <c r="AN71" s="179"/>
      <c r="AO71" s="420">
        <f ca="1">ROUND(IF(AND(TblMagic[[#This Row],[Active DnD]]&lt;12,TblMagic[[#This Row],[Active DnD]]&gt;5),OFFSET(TblPop[[#This Row],[Draft Growth]],-1,0)*0.375,0),0)</f>
        <v>0</v>
      </c>
      <c r="AP71" s="142"/>
      <c r="AQ71" s="94">
        <f ca="1">TblProd[[#This Row],[Platinum]]</f>
        <v>161841</v>
      </c>
      <c r="AR71" s="94">
        <f ca="1">INDEX(TblProd[[#Headers],[Lumber]]:TblProd[[#This Row],[Ore]],COUNTA(TblProd[[#Headers],[Lumber]]:TblProd[[#This Row],[Lumber]]),MATCH(Military!$AR$2,TblProd[[#Headers],[Lumber]:[Ore]],0))</f>
        <v>0</v>
      </c>
      <c r="AS7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1" s="94">
        <f ca="1">TblMili[[#This Row],[Train Unit 1]]*TblMili[[#This Row],[OP Ore]]+TblMili[[#This Row],[Train Unit 2]]*TblMili[[#This Row],[DP Ore]]+TblMili[[#This Row],[Train Unit 3]]*TblMili[[#This Row],[E1 Ore]]+TblMili[[#This Row],[Train Unit 4]]*TblMili[[#This Row],[E2 Ore]]</f>
        <v>0</v>
      </c>
      <c r="AU71" s="142">
        <f>TblMili[[#This Row],[Hour]]</f>
        <v>68</v>
      </c>
      <c r="AV71" s="152">
        <f ca="1">TblMili[[#This Row],[Time]]</f>
        <v>46049.791666666504</v>
      </c>
      <c r="AW71" s="94">
        <f ca="1">TblMili[[#This Row],[Draftees]]</f>
        <v>564</v>
      </c>
      <c r="AX71" s="179"/>
      <c r="AY71" s="179"/>
      <c r="AZ71" s="179"/>
      <c r="BA71" s="179"/>
      <c r="BB71" s="179"/>
      <c r="BC71" s="179"/>
      <c r="BD71" s="179"/>
      <c r="BE71" s="179"/>
      <c r="BF71" s="179"/>
      <c r="BG71" s="142"/>
      <c r="BH71" s="157">
        <f ca="1">TblConstr[[#This Row],[Tot WG]]/TblConstr[[#This Row],[Land]]</f>
        <v>0</v>
      </c>
      <c r="BI71" s="157">
        <f ca="1">TblConstr[[#This Row],[Tot Hav]]/TblConstr[[#This Row],[Land]]</f>
        <v>0</v>
      </c>
      <c r="BJ71" s="94">
        <f ca="1">ROUNDUP((1-MIN(TblMili[[#This Row],[Smithies]]*smithy_bonus,smithy_bonus_cap) + tech_3_5*TblTech[[#This Row],[3-5]] + tech_5_3*TblTech[[#This Row],[5-3]] + tech_5_5*TblTech[[#This Row],[5-5]])*spec_op_plat,0)</f>
        <v>275</v>
      </c>
      <c r="BK71" s="94">
        <f ca="1">ROUNDUP(IF(race="Gnome",1,(1-MIN(TblMili[[#This Row],[Smithies]]*smithy_bonus,smithy_bonus_cap) + tech_3_5*TblTech[[#This Row],[3-5]] + tech_5_3*TblTech[[#This Row],[5-3]] + tech_5_5*TblTech[[#This Row],[5-5]]))*spec_op_ore,0)</f>
        <v>25</v>
      </c>
      <c r="BL71" s="94">
        <f ca="1">ROUNDUP((1-MIN(TblMili[[#This Row],[Smithies]]*smithy_bonus,smithy_bonus_cap) + tech_3_5*TblTech[[#This Row],[3-5]] + tech_5_3*TblTech[[#This Row],[5-3]] + tech_5_5*TblTech[[#This Row],[5-5]])*spec_dp_plat,0)</f>
        <v>275</v>
      </c>
      <c r="BM71" s="94">
        <f ca="1">ROUNDUP(IF(race="Gnome",1,(1-MIN(TblMili[[#This Row],[Smithies]]*smithy_bonus,smithy_bonus_cap) + tech_3_5*TblTech[[#This Row],[3-5]] + tech_5_3*TblTech[[#This Row],[5-3]] + tech_5_5*TblTech[[#This Row],[5-5]]))*spec_dp_ore,0)</f>
        <v>15</v>
      </c>
      <c r="BN71" s="94">
        <f ca="1">ROUNDUP((1-MIN(TblMili[[#This Row],[Smithies]]*smithy_bonus,smithy_bonus_cap) + tech_3_5*TblTech[[#This Row],[3-5]] + tech_5_3*TblTech[[#This Row],[5-3]] + tech_5_5*TblTech[[#This Row],[5-5]])*elite1_plat,0)</f>
        <v>1040</v>
      </c>
      <c r="BO71" s="94">
        <f ca="1">ROUNDUP(IF(race="Gnome",1,(1-MIN(TblMili[[#This Row],[Smithies]]*smithy_bonus,smithy_bonus_cap) + tech_3_5*TblTech[[#This Row],[3-5]] + tech_5_3*TblTech[[#This Row],[5-3]] + tech_5_5*TblTech[[#This Row],[5-5]]))*elite1_ore,0)</f>
        <v>75</v>
      </c>
      <c r="BP71" s="94">
        <f ca="1">ROUNDUP((1-MIN(TblMili[[#This Row],[Smithies]]*smithy_bonus,smithy_bonus_cap) + tech_3_5*TblTech[[#This Row],[3-5]] + tech_5_3*TblTech[[#This Row],[5-3]] + tech_5_5*TblTech[[#This Row],[5-5]])*elite2_plat,0)</f>
        <v>1280</v>
      </c>
      <c r="BQ71" s="94">
        <f ca="1">ROUNDUP(IF(race="Gnome",1,(1-MIN(TblMili[[#This Row],[Smithies]]*smithy_bonus,smithy_bonus_cap) + tech_3_5*TblTech[[#This Row],[3-5]] + tech_5_3*TblTech[[#This Row],[5-3]] + tech_5_5*TblTech[[#This Row],[5-5]]))*elite2_ore,0)</f>
        <v>100</v>
      </c>
      <c r="BR71" s="94">
        <f ca="1">ROUNDUP((1-MIN(ROUND(fh_spy_cost_red*TblMili[[#This Row],[FH''s]],4),fh_spy_cost_cap)+ tech_1_9*TblTech[[#This Row],[1-9]] + tech_9_1*TblTech[[#This Row],[9-1]])*spy_plat,0)</f>
        <v>500</v>
      </c>
      <c r="BS71" s="94">
        <f ca="1">ROUNDUP((1-MIN(ROUND(fh_spy_cost_red*TblMili[[#This Row],[FH''s]],4),fh_spy_cost_cap)+ tech_1_9*TblTech[[#This Row],[1-9]] + tech_9_1*TblTech[[#This Row],[9-1]])*archspy_plat,0)</f>
        <v>1000</v>
      </c>
      <c r="BT71" s="94">
        <f ca="1">ROUNDUP((1-MIN(ROUND(wg_wiz_cost_bonus*TblMili[[#This Row],[WG''s]],4),wg_wiz_cost_cap) + tech_1_9_2*TblTech[[#This Row],[1-9]] + tech_9_1_2*TblTech[[#This Row],[9-1]])*wizard_plat,0)</f>
        <v>500</v>
      </c>
      <c r="BU71" s="94">
        <f ca="1">ROUNDUP((1-MIN(ROUND(wg_wiz_cost_bonus*TblMili[[#This Row],[WG''s]],4),wg_wiz_cost_cap) + tech_1_9_2*TblTech[[#This Row],[1-9]] + tech_9_1_2*TblTech[[#This Row],[9-1]])*archmage_plat,0)</f>
        <v>1000</v>
      </c>
      <c r="BV71" s="142"/>
      <c r="BW71" s="157">
        <f ca="1">TblConstr[[#This Row],[Homeland]]/TblConstr[[#This Row],[Land]]</f>
        <v>0.81818181818181823</v>
      </c>
      <c r="BX71" s="157">
        <f ca="1">TblMili[[#This Row],[WG''s]]</f>
        <v>0</v>
      </c>
      <c r="BY71" s="251">
        <f ca="1">IF(mystic_cap="none",TblMili[[#This Row],[Homeland%]]/mystic_bonus,MIN(mystic_cap,TblMili[[#This Row],[Homeland%]]/mystic_bonus))</f>
        <v>2</v>
      </c>
      <c r="BZ71" s="251">
        <f ca="1">IF(druid_op_cap="none",TblMili[[#This Row],[Homeland%]]/druid_op_bonus,MIN(druid_op_cap,TblMili[[#This Row],[Homeland%]]/druid_op_bonus))</f>
        <v>2</v>
      </c>
      <c r="CA71" s="251">
        <f ca="1">IF(druid_dp_cap="none",TblMili[[#This Row],[Homeland%]]/druid_dp_bonus,MIN(druid_dp_cap,TblMili[[#This Row],[Homeland%]]/druid_dp_bonus))</f>
        <v>2</v>
      </c>
      <c r="CB71" s="251">
        <f ca="1">MIN(dryad_cap,TblMili[[#This Row],[Homeland%]]/dryad_bonus)</f>
        <v>4</v>
      </c>
      <c r="CC71" s="251">
        <f ca="1">MIN(rocka_cap,TblMili[[#This Row],[Homeland%]]/rocka_bonus)</f>
        <v>2</v>
      </c>
      <c r="CD71" s="251">
        <f ca="1">MIN(adept_op_cap,TblMili[[#This Row],[WG]]/adept_op_bonus)</f>
        <v>0</v>
      </c>
      <c r="CE71" s="251">
        <f ca="1">MIN(adept_dp_cap,TblMili[[#This Row],[WG]]/adept_dp_bonus)</f>
        <v>0</v>
      </c>
      <c r="CF71" s="94">
        <f ca="1">MIN(TblMili[[#This Row],[Unit 3]],TblMili[[#This Row],[Unit 2]])*2</f>
        <v>0</v>
      </c>
      <c r="CG71" s="94">
        <f ca="1">MIN(TblMili[[#This Row],[Unit 1]],TblMili[[#This Row],[Unit 4]])*2</f>
        <v>0</v>
      </c>
      <c r="CH71" s="251">
        <f ca="1">MIN(frost_mage_cap,TblMili[[#This Row],[Homeland%]]/frost_mage_bonus)</f>
        <v>3</v>
      </c>
      <c r="CI71" s="45">
        <f ca="1">MIN(ice_elem_cap,TblMili[[#This Row],[Raw (2)]]*ice_elem_bonus)</f>
        <v>0</v>
      </c>
      <c r="CJ71" s="251">
        <f t="shared" si="3"/>
        <v>0.83333333333333337</v>
      </c>
      <c r="CK71" s="251">
        <f ca="1">MIN(nox_nightshade_cap,TblConstr[[#This Row],[Homeland]]/TblConstr[[#This Row],[Land]]/nox_nightshade_swamp_bonus)</f>
        <v>4</v>
      </c>
      <c r="CL71" s="251">
        <f ca="1">MIN(TblConstr[[#This Row],[Total Swamp]]/TblConstr[[#This Row],[Land]]/abyss_enforce_bonus,abyss_enforcer_cap)</f>
        <v>0</v>
      </c>
      <c r="CM71" s="251">
        <f ca="1">IF(TblMagic[[#This Row],[Active Infernal Command]]&gt;0,TblMili[[#This Row],[Unit 1]]*infernal_cmd_op,0)</f>
        <v>0</v>
      </c>
      <c r="CN71" s="252"/>
      <c r="CO71" s="252"/>
      <c r="CP71" s="252"/>
      <c r="CQ71" s="251">
        <f ca="1">MIN(6,TblMili[[#This Row],[Mystic]]+Races!$F$19)*1.8 +  IF(TblMili[[#This Row],[Mystic]]+Races!$F$19&gt;6,(TblMili[[#This Row],[Mystic]]+Races!$F$19-6)*0.2,0) - Races!$I$19</f>
        <v>1</v>
      </c>
      <c r="CR7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1" s="94">
        <f ca="1">TblMili[[#This Row],[Mystic bonus]]*TblMili[[#This Row],[Unit 3]]+TblMili[[#This Row],[Druid bonus]]*TblMili[[#This Row],[Unit 4]]</f>
        <v>0</v>
      </c>
      <c r="CT71" s="155">
        <f ca="1">MIN(6,TblMili[[#This Row],[Dryad]]+Races!$F$35)*1.8 +  IF(TblMili[[#This Row],[Dryad]]+Races!$F$35&gt;6,(TblMili[[#This Row],[Dryad]]+Races!$F$35-6)*0.2,0) - Races!$I$19</f>
        <v>1</v>
      </c>
      <c r="CU71" s="94">
        <f ca="1">sylvan*(TblMili[[#This Row],[Mystic bonus]]*TblMili[[#This Row],[Unit 3]])</f>
        <v>0</v>
      </c>
      <c r="CV71" s="155">
        <f ca="1">1.8 * MIN(MAX(Races!$E$27,TblMili[[#This Row],[Rockapult]]+Races!$F$27),6)  +  0.45 * MIN(MIN(Races!$E$27,TblMili[[#This Row],[Rockapult]]+Races!$F$27),6)  +  0.2 * ( MAX(Races!$E$27-6,0) + MAX(TblMili[[#This Row],[Rockapult]]+Races!$F$27-6,0) )  -  Races!$I$20</f>
        <v>3.7000000000000011</v>
      </c>
      <c r="CW71" s="94">
        <f ca="1">gnome*(TblMili[[#This Row],[Rockapult bonus]]*TblMili[[#This Row],[Unit 3]])</f>
        <v>0</v>
      </c>
      <c r="CX7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1" s="94">
        <f ca="1">dark_elf*(TblMili[[#This Row],[Adept bonus]]*TblMili[[#This Row],[Unit 3]])</f>
        <v>0</v>
      </c>
      <c r="CZ71" s="155">
        <f ca="1">1.8 * MIN(MAX(TblMili[[#This Row],[Frost Mage]]+Races!$F$71,Races!$E$71),6)  +  0.45 * MIN(MIN(TblMili[[#This Row],[Frost Mage]]+Races!$F$71,Races!$E$71),6)  +  0.2 * ( MAX(TblMili[[#This Row],[Frost Mage]]+Races!$F$71-6,0) + MAX(Races!$E$71-6,0) )  -  Races!$I$71</f>
        <v>6.15</v>
      </c>
      <c r="DA71" s="155">
        <f ca="1">1.8 * MIN(MAX(TblMili[[#This Row],[Ice Elemental]]+Races!$E$71,Races!$F$71),6)  +  0.45 * MIN(MIN(TblMili[[#This Row],[Ice Elemental]]+Races!$E$71,Races!$F$71),6)  +  0.2 * ( MAX(TblMili[[#This Row],[Ice Elemental]]+Races!$E$71-6,0) + MAX(Races!$F$71-6,0) )  -  Races!$I$71</f>
        <v>0.75</v>
      </c>
      <c r="DB71" s="94">
        <f ca="1">TblMili[[#This Row],[Frost Mage bonus]]*TblMili[[#This Row],[Unit 3]]+TblMili[[#This Row],[Ice Elemental bonus]]*TblMili[[#This Row],[Unit 4]]</f>
        <v>0</v>
      </c>
      <c r="DC71" s="253"/>
      <c r="DD71" s="143">
        <f ca="1">MIN(SUM(TblConstr[[#This Row],[Plain]:[Water]])/TblMili[[#This Row],[Land]]/favorable_terrain_bonus/100,favorable_terrain_max)</f>
        <v>0.1</v>
      </c>
      <c r="DE71" s="253"/>
      <c r="DF7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1" s="142"/>
      <c r="DH71" s="254">
        <f ca="1">(TblMili[[#This Row],[Wizards]]+2*TblMili[[#This Row],[Archmages]])/TblConstr[[#This Row],[Land]]</f>
        <v>0</v>
      </c>
      <c r="DI71" s="254">
        <f ca="1">TblMili[[#This Row],[Raw (2)]]*(1+race_wizard_strength+IF(TblMili[[#This Row],[Hour]]&gt;72,tech_magical_weaponry_wiz*TblTech[[#This Row],[3-5]],0))</f>
        <v>0</v>
      </c>
    </row>
    <row r="72" spans="1:113" x14ac:dyDescent="0.2">
      <c r="A72" s="137">
        <f>TblRezone[[#This Row],[Hour]]</f>
        <v>69</v>
      </c>
      <c r="B72" s="246">
        <f ca="1">SUM(TblMili[[#This Row],[Unit 1]:[Archmages]])+SUM(OFFSET(TblMili[[#This Row],[Train Unit 1]],-8,0):TblMili[[#This Row],[Train Unit 2]]) + SUM(OFFSET(TblMili[[#This Row],[Train Unit 3]],-11,0):TblMili[[#This Row],[Train AM]]) + TblMili[[#This Row],[Draftees]]</f>
        <v>569</v>
      </c>
      <c r="C72" s="157">
        <f ca="1">TblPop[[#This Row],[Military%]]</f>
        <v>0.52881040892193309</v>
      </c>
      <c r="D72" s="142"/>
      <c r="E72" s="45">
        <f ca="1">OFFSET(TblMili[[#This Row],[Unit 1]],-1,0) + OFFSET(TblMili[[#This Row],[Train Unit 1]],-9,0) - TblMili[[#This Row],[Release Unit 1]] + OFFSET(TblMili[[#This Row],[DnD_Zombies]],-12,0)</f>
        <v>0</v>
      </c>
      <c r="F72" s="45">
        <f ca="1">OFFSET(TblMili[[#This Row],[Unit 2]],-1,0) + OFFSET(TblMili[[#This Row],[Train Unit 2]],-9,0)-TblMili[[#This Row],[Release Unit 2]]</f>
        <v>0</v>
      </c>
      <c r="G72" s="45">
        <f ca="1">OFFSET(TblMili[[#This Row],[Unit 3]],-1,0) + OFFSET(TblMili[[#This Row],[Train Unit 3]],-12,0)-TblMili[[#This Row],[Release Unit 3]]</f>
        <v>0</v>
      </c>
      <c r="H72" s="45">
        <f ca="1">OFFSET(TblMili[[#This Row],[Unit 4]],-1,0) + OFFSET(TblMili[[#This Row],[Train Unit 4]],-12,0)-TblMili[[#This Row],[Release Unit 4]]</f>
        <v>0</v>
      </c>
      <c r="I72" s="45">
        <f ca="1">OFFSET(TblMili[[#This Row],[Spies]],-1,0) + OFFSET(TblMili[[#This Row],[Train Spies]],-12,0) - TblMili[[#This Row],[Release Spies]]-TblMili[[#This Row],[Train AS]]</f>
        <v>0</v>
      </c>
      <c r="J72" s="45">
        <f ca="1">OFFSET(TblMili[[#This Row],[Archspies]],-1,0) + OFFSET(TblMili[[#This Row],[Train AS]],-12,0) - TblMili[[#This Row],[Release AS]]</f>
        <v>0</v>
      </c>
      <c r="K72" s="45">
        <f ca="1">OFFSET(TblMili[[#This Row],[Wizards]],-1,0) + OFFSET(TblMili[[#This Row],[Train Wiz]],-12,0) - TblMili[[#This Row],[Release Wizards]]-TblMili[[#This Row],[Train AM]]</f>
        <v>0</v>
      </c>
      <c r="L72" s="45">
        <f ca="1">OFFSET(TblMili[[#This Row],[Archmages]],-1,0) + OFFSET(TblMili[[#This Row],[Train AM]],-12,0) - TblMili[[#This Row],[Release AM]]</f>
        <v>0</v>
      </c>
      <c r="M72" s="142"/>
      <c r="N72" s="94">
        <f ca="1">TblProd[[#This Row],[Networth]]</f>
        <v>2450</v>
      </c>
      <c r="O72" s="142"/>
      <c r="P7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2" s="247">
        <f ca="1">TblMili[[#This Row],[Raw]]*(1+TblMili[[#This Row],[Mods_Off]])</f>
        <v>0</v>
      </c>
      <c r="S7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2" s="247">
        <f ca="1">TblMili[[#This Row],[Non Draft]]+TblMili[[#This Row],[Draftees]]</f>
        <v>569</v>
      </c>
      <c r="U72" s="248">
        <f ca="1">race_defense + TblImps[[#This Row],[Walls]] + ROUND( MIN(gt_bonus*TblConstr[[#This Row],[Tot GT]]/TblConstr[[#This Row],[Land]],gt_bonus_cap), 4) + IF(TblMagic[[#This Row],[Active Howling]]&gt;0,howling_dp_bonus,IF(TblMagic[[#This Row],[Active Ares Call]]&gt;0,ares_call_bonus))</f>
        <v>0</v>
      </c>
      <c r="V72" s="249">
        <f ca="1">TblMili[[#This Row],[Non Draft]] * (1 + TblMili[[#This Row],[Mods_Def]])</f>
        <v>0</v>
      </c>
      <c r="W72" s="247">
        <f ca="1">TblMili[[#This Row],[Draft]] * (1 + TblMili[[#This Row],[Mods_Def]])</f>
        <v>569</v>
      </c>
      <c r="X72" s="247">
        <f ca="1">TblConstr[[#This Row],[Land]]</f>
        <v>110</v>
      </c>
      <c r="Y72" s="250"/>
      <c r="Z72" s="255">
        <f ca="1">IF(TblMili[[#This Row],[Set]]&lt;&gt;"",TblMili[[#This Row],[Set]],OFFSET(TblMili[[#This Row],[Draftrate]],-1,0))</f>
        <v>0.9</v>
      </c>
      <c r="AA72" s="94">
        <f ca="1">OFFSET(TblMili[[#This Row],[Draftees]],-1,0)+OFFSET(TblPop[[#This Row],[Draft Growth]],-1,0) - SUM(TblMili[[#This Row],[Train Unit 1]:[Train Spies]],TblMili[[#This Row],[Train Wiz]],TblMili[[#This Row],[DnD_Zombies]]) - TblMili[[#This Row],[Release Draft]] + SUM(TblMili[[#This Row],[Release Unit 1]:[Release AM]]) - TblExplore[[#This Row],[Draftees (2)]]</f>
        <v>569</v>
      </c>
      <c r="AB72" s="154"/>
      <c r="AC72" s="180">
        <f ca="1">(TblConstr[[#This Row],[Tot Smi]]+TblConstr[[#This Row],[Dest Smi]])/(TblConstr[[#This Row],[Land]]-TblExplore[[#This Row],[Land Bonus]]*20)</f>
        <v>0</v>
      </c>
      <c r="AD72" s="137"/>
      <c r="AE72" s="246">
        <f>TblMili[[#This Row],[Hour]]</f>
        <v>69</v>
      </c>
      <c r="AF72" s="138">
        <f ca="1">TblExplore[[#This Row],[Time]]</f>
        <v>46049.833333333168</v>
      </c>
      <c r="AG72" s="179"/>
      <c r="AH72" s="158"/>
      <c r="AI72" s="179"/>
      <c r="AJ72" s="179"/>
      <c r="AK72" s="179"/>
      <c r="AL72" s="179"/>
      <c r="AM72" s="179"/>
      <c r="AN72" s="179"/>
      <c r="AO72" s="420">
        <f ca="1">ROUND(IF(AND(TblMagic[[#This Row],[Active DnD]]&lt;12,TblMagic[[#This Row],[Active DnD]]&gt;5),OFFSET(TblPop[[#This Row],[Draft Growth]],-1,0)*0.375,0),0)</f>
        <v>0</v>
      </c>
      <c r="AP72" s="142"/>
      <c r="AQ72" s="94">
        <f ca="1">TblProd[[#This Row],[Platinum]]</f>
        <v>163223</v>
      </c>
      <c r="AR72" s="94">
        <f ca="1">INDEX(TblProd[[#Headers],[Lumber]]:TblProd[[#This Row],[Ore]],COUNTA(TblProd[[#Headers],[Lumber]]:TblProd[[#This Row],[Lumber]]),MATCH(Military!$AR$2,TblProd[[#Headers],[Lumber]:[Ore]],0))</f>
        <v>0</v>
      </c>
      <c r="AS7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2" s="94">
        <f ca="1">TblMili[[#This Row],[Train Unit 1]]*TblMili[[#This Row],[OP Ore]]+TblMili[[#This Row],[Train Unit 2]]*TblMili[[#This Row],[DP Ore]]+TblMili[[#This Row],[Train Unit 3]]*TblMili[[#This Row],[E1 Ore]]+TblMili[[#This Row],[Train Unit 4]]*TblMili[[#This Row],[E2 Ore]]</f>
        <v>0</v>
      </c>
      <c r="AU72" s="142">
        <f>TblMili[[#This Row],[Hour]]</f>
        <v>69</v>
      </c>
      <c r="AV72" s="152">
        <f ca="1">TblMili[[#This Row],[Time]]</f>
        <v>46049.833333333168</v>
      </c>
      <c r="AW72" s="94">
        <f ca="1">TblMili[[#This Row],[Draftees]]</f>
        <v>569</v>
      </c>
      <c r="AX72" s="179"/>
      <c r="AY72" s="179"/>
      <c r="AZ72" s="179"/>
      <c r="BA72" s="179"/>
      <c r="BB72" s="179"/>
      <c r="BC72" s="179"/>
      <c r="BD72" s="179"/>
      <c r="BE72" s="179"/>
      <c r="BF72" s="179"/>
      <c r="BG72" s="142"/>
      <c r="BH72" s="157">
        <f ca="1">TblConstr[[#This Row],[Tot WG]]/TblConstr[[#This Row],[Land]]</f>
        <v>0</v>
      </c>
      <c r="BI72" s="157">
        <f ca="1">TblConstr[[#This Row],[Tot Hav]]/TblConstr[[#This Row],[Land]]</f>
        <v>0</v>
      </c>
      <c r="BJ72" s="94">
        <f ca="1">ROUNDUP((1-MIN(TblMili[[#This Row],[Smithies]]*smithy_bonus,smithy_bonus_cap) + tech_3_5*TblTech[[#This Row],[3-5]] + tech_5_3*TblTech[[#This Row],[5-3]] + tech_5_5*TblTech[[#This Row],[5-5]])*spec_op_plat,0)</f>
        <v>275</v>
      </c>
      <c r="BK72" s="94">
        <f ca="1">ROUNDUP(IF(race="Gnome",1,(1-MIN(TblMili[[#This Row],[Smithies]]*smithy_bonus,smithy_bonus_cap) + tech_3_5*TblTech[[#This Row],[3-5]] + tech_5_3*TblTech[[#This Row],[5-3]] + tech_5_5*TblTech[[#This Row],[5-5]]))*spec_op_ore,0)</f>
        <v>25</v>
      </c>
      <c r="BL72" s="94">
        <f ca="1">ROUNDUP((1-MIN(TblMili[[#This Row],[Smithies]]*smithy_bonus,smithy_bonus_cap) + tech_3_5*TblTech[[#This Row],[3-5]] + tech_5_3*TblTech[[#This Row],[5-3]] + tech_5_5*TblTech[[#This Row],[5-5]])*spec_dp_plat,0)</f>
        <v>275</v>
      </c>
      <c r="BM72" s="94">
        <f ca="1">ROUNDUP(IF(race="Gnome",1,(1-MIN(TblMili[[#This Row],[Smithies]]*smithy_bonus,smithy_bonus_cap) + tech_3_5*TblTech[[#This Row],[3-5]] + tech_5_3*TblTech[[#This Row],[5-3]] + tech_5_5*TblTech[[#This Row],[5-5]]))*spec_dp_ore,0)</f>
        <v>15</v>
      </c>
      <c r="BN72" s="94">
        <f ca="1">ROUNDUP((1-MIN(TblMili[[#This Row],[Smithies]]*smithy_bonus,smithy_bonus_cap) + tech_3_5*TblTech[[#This Row],[3-5]] + tech_5_3*TblTech[[#This Row],[5-3]] + tech_5_5*TblTech[[#This Row],[5-5]])*elite1_plat,0)</f>
        <v>1040</v>
      </c>
      <c r="BO72" s="94">
        <f ca="1">ROUNDUP(IF(race="Gnome",1,(1-MIN(TblMili[[#This Row],[Smithies]]*smithy_bonus,smithy_bonus_cap) + tech_3_5*TblTech[[#This Row],[3-5]] + tech_5_3*TblTech[[#This Row],[5-3]] + tech_5_5*TblTech[[#This Row],[5-5]]))*elite1_ore,0)</f>
        <v>75</v>
      </c>
      <c r="BP72" s="94">
        <f ca="1">ROUNDUP((1-MIN(TblMili[[#This Row],[Smithies]]*smithy_bonus,smithy_bonus_cap) + tech_3_5*TblTech[[#This Row],[3-5]] + tech_5_3*TblTech[[#This Row],[5-3]] + tech_5_5*TblTech[[#This Row],[5-5]])*elite2_plat,0)</f>
        <v>1280</v>
      </c>
      <c r="BQ72" s="94">
        <f ca="1">ROUNDUP(IF(race="Gnome",1,(1-MIN(TblMili[[#This Row],[Smithies]]*smithy_bonus,smithy_bonus_cap) + tech_3_5*TblTech[[#This Row],[3-5]] + tech_5_3*TblTech[[#This Row],[5-3]] + tech_5_5*TblTech[[#This Row],[5-5]]))*elite2_ore,0)</f>
        <v>100</v>
      </c>
      <c r="BR72" s="94">
        <f ca="1">ROUNDUP((1-MIN(ROUND(fh_spy_cost_red*TblMili[[#This Row],[FH''s]],4),fh_spy_cost_cap)+ tech_1_9*TblTech[[#This Row],[1-9]] + tech_9_1*TblTech[[#This Row],[9-1]])*spy_plat,0)</f>
        <v>500</v>
      </c>
      <c r="BS72" s="94">
        <f ca="1">ROUNDUP((1-MIN(ROUND(fh_spy_cost_red*TblMili[[#This Row],[FH''s]],4),fh_spy_cost_cap)+ tech_1_9*TblTech[[#This Row],[1-9]] + tech_9_1*TblTech[[#This Row],[9-1]])*archspy_plat,0)</f>
        <v>1000</v>
      </c>
      <c r="BT72" s="94">
        <f ca="1">ROUNDUP((1-MIN(ROUND(wg_wiz_cost_bonus*TblMili[[#This Row],[WG''s]],4),wg_wiz_cost_cap) + tech_1_9_2*TblTech[[#This Row],[1-9]] + tech_9_1_2*TblTech[[#This Row],[9-1]])*wizard_plat,0)</f>
        <v>500</v>
      </c>
      <c r="BU72" s="94">
        <f ca="1">ROUNDUP((1-MIN(ROUND(wg_wiz_cost_bonus*TblMili[[#This Row],[WG''s]],4),wg_wiz_cost_cap) + tech_1_9_2*TblTech[[#This Row],[1-9]] + tech_9_1_2*TblTech[[#This Row],[9-1]])*archmage_plat,0)</f>
        <v>1000</v>
      </c>
      <c r="BV72" s="142"/>
      <c r="BW72" s="157">
        <f ca="1">TblConstr[[#This Row],[Homeland]]/TblConstr[[#This Row],[Land]]</f>
        <v>0.81818181818181823</v>
      </c>
      <c r="BX72" s="157">
        <f ca="1">TblMili[[#This Row],[WG''s]]</f>
        <v>0</v>
      </c>
      <c r="BY72" s="251">
        <f ca="1">IF(mystic_cap="none",TblMili[[#This Row],[Homeland%]]/mystic_bonus,MIN(mystic_cap,TblMili[[#This Row],[Homeland%]]/mystic_bonus))</f>
        <v>2</v>
      </c>
      <c r="BZ72" s="251">
        <f ca="1">IF(druid_op_cap="none",TblMili[[#This Row],[Homeland%]]/druid_op_bonus,MIN(druid_op_cap,TblMili[[#This Row],[Homeland%]]/druid_op_bonus))</f>
        <v>2</v>
      </c>
      <c r="CA72" s="251">
        <f ca="1">IF(druid_dp_cap="none",TblMili[[#This Row],[Homeland%]]/druid_dp_bonus,MIN(druid_dp_cap,TblMili[[#This Row],[Homeland%]]/druid_dp_bonus))</f>
        <v>2</v>
      </c>
      <c r="CB72" s="251">
        <f ca="1">MIN(dryad_cap,TblMili[[#This Row],[Homeland%]]/dryad_bonus)</f>
        <v>4</v>
      </c>
      <c r="CC72" s="251">
        <f ca="1">MIN(rocka_cap,TblMili[[#This Row],[Homeland%]]/rocka_bonus)</f>
        <v>2</v>
      </c>
      <c r="CD72" s="251">
        <f ca="1">MIN(adept_op_cap,TblMili[[#This Row],[WG]]/adept_op_bonus)</f>
        <v>0</v>
      </c>
      <c r="CE72" s="251">
        <f ca="1">MIN(adept_dp_cap,TblMili[[#This Row],[WG]]/adept_dp_bonus)</f>
        <v>0</v>
      </c>
      <c r="CF72" s="94">
        <f ca="1">MIN(TblMili[[#This Row],[Unit 3]],TblMili[[#This Row],[Unit 2]])*2</f>
        <v>0</v>
      </c>
      <c r="CG72" s="94">
        <f ca="1">MIN(TblMili[[#This Row],[Unit 1]],TblMili[[#This Row],[Unit 4]])*2</f>
        <v>0</v>
      </c>
      <c r="CH72" s="251">
        <f ca="1">MIN(frost_mage_cap,TblMili[[#This Row],[Homeland%]]/frost_mage_bonus)</f>
        <v>3</v>
      </c>
      <c r="CI72" s="45">
        <f ca="1">MIN(ice_elem_cap,TblMili[[#This Row],[Raw (2)]]*ice_elem_bonus)</f>
        <v>0</v>
      </c>
      <c r="CJ72" s="251">
        <f t="shared" si="3"/>
        <v>0.83333333333333337</v>
      </c>
      <c r="CK72" s="251">
        <f ca="1">MIN(nox_nightshade_cap,TblConstr[[#This Row],[Homeland]]/TblConstr[[#This Row],[Land]]/nox_nightshade_swamp_bonus)</f>
        <v>4</v>
      </c>
      <c r="CL72" s="251">
        <f ca="1">MIN(TblConstr[[#This Row],[Total Swamp]]/TblConstr[[#This Row],[Land]]/abyss_enforce_bonus,abyss_enforcer_cap)</f>
        <v>0</v>
      </c>
      <c r="CM72" s="251">
        <f ca="1">IF(TblMagic[[#This Row],[Active Infernal Command]]&gt;0,TblMili[[#This Row],[Unit 1]]*infernal_cmd_op,0)</f>
        <v>0</v>
      </c>
      <c r="CN72" s="252"/>
      <c r="CO72" s="252"/>
      <c r="CP72" s="252"/>
      <c r="CQ72" s="251">
        <f ca="1">MIN(6,TblMili[[#This Row],[Mystic]]+Races!$F$19)*1.8 +  IF(TblMili[[#This Row],[Mystic]]+Races!$F$19&gt;6,(TblMili[[#This Row],[Mystic]]+Races!$F$19-6)*0.2,0) - Races!$I$19</f>
        <v>1</v>
      </c>
      <c r="CR7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2" s="94">
        <f ca="1">TblMili[[#This Row],[Mystic bonus]]*TblMili[[#This Row],[Unit 3]]+TblMili[[#This Row],[Druid bonus]]*TblMili[[#This Row],[Unit 4]]</f>
        <v>0</v>
      </c>
      <c r="CT72" s="155">
        <f ca="1">MIN(6,TblMili[[#This Row],[Dryad]]+Races!$F$35)*1.8 +  IF(TblMili[[#This Row],[Dryad]]+Races!$F$35&gt;6,(TblMili[[#This Row],[Dryad]]+Races!$F$35-6)*0.2,0) - Races!$I$19</f>
        <v>1</v>
      </c>
      <c r="CU72" s="94">
        <f ca="1">sylvan*(TblMili[[#This Row],[Mystic bonus]]*TblMili[[#This Row],[Unit 3]])</f>
        <v>0</v>
      </c>
      <c r="CV72" s="155">
        <f ca="1">1.8 * MIN(MAX(Races!$E$27,TblMili[[#This Row],[Rockapult]]+Races!$F$27),6)  +  0.45 * MIN(MIN(Races!$E$27,TblMili[[#This Row],[Rockapult]]+Races!$F$27),6)  +  0.2 * ( MAX(Races!$E$27-6,0) + MAX(TblMili[[#This Row],[Rockapult]]+Races!$F$27-6,0) )  -  Races!$I$20</f>
        <v>3.7000000000000011</v>
      </c>
      <c r="CW72" s="94">
        <f ca="1">gnome*(TblMili[[#This Row],[Rockapult bonus]]*TblMili[[#This Row],[Unit 3]])</f>
        <v>0</v>
      </c>
      <c r="CX7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2" s="94">
        <f ca="1">dark_elf*(TblMili[[#This Row],[Adept bonus]]*TblMili[[#This Row],[Unit 3]])</f>
        <v>0</v>
      </c>
      <c r="CZ72" s="155">
        <f ca="1">1.8 * MIN(MAX(TblMili[[#This Row],[Frost Mage]]+Races!$F$71,Races!$E$71),6)  +  0.45 * MIN(MIN(TblMili[[#This Row],[Frost Mage]]+Races!$F$71,Races!$E$71),6)  +  0.2 * ( MAX(TblMili[[#This Row],[Frost Mage]]+Races!$F$71-6,0) + MAX(Races!$E$71-6,0) )  -  Races!$I$71</f>
        <v>6.15</v>
      </c>
      <c r="DA72" s="155">
        <f ca="1">1.8 * MIN(MAX(TblMili[[#This Row],[Ice Elemental]]+Races!$E$71,Races!$F$71),6)  +  0.45 * MIN(MIN(TblMili[[#This Row],[Ice Elemental]]+Races!$E$71,Races!$F$71),6)  +  0.2 * ( MAX(TblMili[[#This Row],[Ice Elemental]]+Races!$E$71-6,0) + MAX(Races!$F$71-6,0) )  -  Races!$I$71</f>
        <v>0.75</v>
      </c>
      <c r="DB72" s="94">
        <f ca="1">TblMili[[#This Row],[Frost Mage bonus]]*TblMili[[#This Row],[Unit 3]]+TblMili[[#This Row],[Ice Elemental bonus]]*TblMili[[#This Row],[Unit 4]]</f>
        <v>0</v>
      </c>
      <c r="DC72" s="253"/>
      <c r="DD72" s="143">
        <f ca="1">MIN(SUM(TblConstr[[#This Row],[Plain]:[Water]])/TblMili[[#This Row],[Land]]/favorable_terrain_bonus/100,favorable_terrain_max)</f>
        <v>0.1</v>
      </c>
      <c r="DE72" s="253"/>
      <c r="DF7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2" s="142"/>
      <c r="DH72" s="254">
        <f ca="1">(TblMili[[#This Row],[Wizards]]+2*TblMili[[#This Row],[Archmages]])/TblConstr[[#This Row],[Land]]</f>
        <v>0</v>
      </c>
      <c r="DI72" s="254">
        <f ca="1">TblMili[[#This Row],[Raw (2)]]*(1+race_wizard_strength+IF(TblMili[[#This Row],[Hour]]&gt;72,tech_magical_weaponry_wiz*TblTech[[#This Row],[3-5]],0))</f>
        <v>0</v>
      </c>
    </row>
    <row r="73" spans="1:113" x14ac:dyDescent="0.2">
      <c r="A73" s="137">
        <f>TblRezone[[#This Row],[Hour]]</f>
        <v>70</v>
      </c>
      <c r="B73" s="246">
        <f ca="1">SUM(TblMili[[#This Row],[Unit 1]:[Archmages]])+SUM(OFFSET(TblMili[[#This Row],[Train Unit 1]],-8,0):TblMili[[#This Row],[Train Unit 2]]) + SUM(OFFSET(TblMili[[#This Row],[Train Unit 3]],-11,0):TblMili[[#This Row],[Train AM]]) + TblMili[[#This Row],[Draftees]]</f>
        <v>574</v>
      </c>
      <c r="C73" s="157">
        <f ca="1">TblPop[[#This Row],[Military%]]</f>
        <v>0.53345724907063197</v>
      </c>
      <c r="D73" s="142"/>
      <c r="E73" s="45">
        <f ca="1">OFFSET(TblMili[[#This Row],[Unit 1]],-1,0) + OFFSET(TblMili[[#This Row],[Train Unit 1]],-9,0) - TblMili[[#This Row],[Release Unit 1]] + OFFSET(TblMili[[#This Row],[DnD_Zombies]],-12,0)</f>
        <v>0</v>
      </c>
      <c r="F73" s="45">
        <f ca="1">OFFSET(TblMili[[#This Row],[Unit 2]],-1,0) + OFFSET(TblMili[[#This Row],[Train Unit 2]],-9,0)-TblMili[[#This Row],[Release Unit 2]]</f>
        <v>0</v>
      </c>
      <c r="G73" s="45">
        <f ca="1">OFFSET(TblMili[[#This Row],[Unit 3]],-1,0) + OFFSET(TblMili[[#This Row],[Train Unit 3]],-12,0)-TblMili[[#This Row],[Release Unit 3]]</f>
        <v>0</v>
      </c>
      <c r="H73" s="45">
        <f ca="1">OFFSET(TblMili[[#This Row],[Unit 4]],-1,0) + OFFSET(TblMili[[#This Row],[Train Unit 4]],-12,0)-TblMili[[#This Row],[Release Unit 4]]</f>
        <v>0</v>
      </c>
      <c r="I73" s="45">
        <f ca="1">OFFSET(TblMili[[#This Row],[Spies]],-1,0) + OFFSET(TblMili[[#This Row],[Train Spies]],-12,0) - TblMili[[#This Row],[Release Spies]]-TblMili[[#This Row],[Train AS]]</f>
        <v>0</v>
      </c>
      <c r="J73" s="45">
        <f ca="1">OFFSET(TblMili[[#This Row],[Archspies]],-1,0) + OFFSET(TblMili[[#This Row],[Train AS]],-12,0) - TblMili[[#This Row],[Release AS]]</f>
        <v>0</v>
      </c>
      <c r="K73" s="45">
        <f ca="1">OFFSET(TblMili[[#This Row],[Wizards]],-1,0) + OFFSET(TblMili[[#This Row],[Train Wiz]],-12,0) - TblMili[[#This Row],[Release Wizards]]-TblMili[[#This Row],[Train AM]]</f>
        <v>0</v>
      </c>
      <c r="L73" s="45">
        <f ca="1">OFFSET(TblMili[[#This Row],[Archmages]],-1,0) + OFFSET(TblMili[[#This Row],[Train AM]],-12,0) - TblMili[[#This Row],[Release AM]]</f>
        <v>0</v>
      </c>
      <c r="M73" s="142"/>
      <c r="N73" s="94">
        <f ca="1">TblProd[[#This Row],[Networth]]</f>
        <v>2450</v>
      </c>
      <c r="O73" s="142"/>
      <c r="P7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3" s="247">
        <f ca="1">TblMili[[#This Row],[Raw]]*(1+TblMili[[#This Row],[Mods_Off]])</f>
        <v>0</v>
      </c>
      <c r="S7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3" s="247">
        <f ca="1">TblMili[[#This Row],[Non Draft]]+TblMili[[#This Row],[Draftees]]</f>
        <v>574</v>
      </c>
      <c r="U73" s="248">
        <f ca="1">race_defense + TblImps[[#This Row],[Walls]] + ROUND( MIN(gt_bonus*TblConstr[[#This Row],[Tot GT]]/TblConstr[[#This Row],[Land]],gt_bonus_cap), 4) + IF(TblMagic[[#This Row],[Active Howling]]&gt;0,howling_dp_bonus,IF(TblMagic[[#This Row],[Active Ares Call]]&gt;0,ares_call_bonus))</f>
        <v>0</v>
      </c>
      <c r="V73" s="249">
        <f ca="1">TblMili[[#This Row],[Non Draft]] * (1 + TblMili[[#This Row],[Mods_Def]])</f>
        <v>0</v>
      </c>
      <c r="W73" s="247">
        <f ca="1">TblMili[[#This Row],[Draft]] * (1 + TblMili[[#This Row],[Mods_Def]])</f>
        <v>574</v>
      </c>
      <c r="X73" s="247">
        <f ca="1">TblConstr[[#This Row],[Land]]</f>
        <v>110</v>
      </c>
      <c r="Y73" s="250"/>
      <c r="Z73" s="255">
        <f ca="1">IF(TblMili[[#This Row],[Set]]&lt;&gt;"",TblMili[[#This Row],[Set]],OFFSET(TblMili[[#This Row],[Draftrate]],-1,0))</f>
        <v>0.9</v>
      </c>
      <c r="AA73" s="94">
        <f ca="1">OFFSET(TblMili[[#This Row],[Draftees]],-1,0)+OFFSET(TblPop[[#This Row],[Draft Growth]],-1,0) - SUM(TblMili[[#This Row],[Train Unit 1]:[Train Spies]],TblMili[[#This Row],[Train Wiz]],TblMili[[#This Row],[DnD_Zombies]]) - TblMili[[#This Row],[Release Draft]] + SUM(TblMili[[#This Row],[Release Unit 1]:[Release AM]]) - TblExplore[[#This Row],[Draftees (2)]]</f>
        <v>574</v>
      </c>
      <c r="AB73" s="154"/>
      <c r="AC73" s="180">
        <f ca="1">(TblConstr[[#This Row],[Tot Smi]]+TblConstr[[#This Row],[Dest Smi]])/(TblConstr[[#This Row],[Land]]-TblExplore[[#This Row],[Land Bonus]]*20)</f>
        <v>0</v>
      </c>
      <c r="AD73" s="137"/>
      <c r="AE73" s="246">
        <f>TblMili[[#This Row],[Hour]]</f>
        <v>70</v>
      </c>
      <c r="AF73" s="138">
        <f ca="1">TblExplore[[#This Row],[Time]]</f>
        <v>46049.874999999833</v>
      </c>
      <c r="AG73" s="179"/>
      <c r="AH73" s="158"/>
      <c r="AI73" s="179"/>
      <c r="AJ73" s="179"/>
      <c r="AK73" s="179"/>
      <c r="AL73" s="179"/>
      <c r="AM73" s="179"/>
      <c r="AN73" s="179"/>
      <c r="AO73" s="420">
        <f ca="1">ROUND(IF(AND(TblMagic[[#This Row],[Active DnD]]&lt;12,TblMagic[[#This Row],[Active DnD]]&gt;5),OFFSET(TblPop[[#This Row],[Draft Growth]],-1,0)*0.375,0),0)</f>
        <v>0</v>
      </c>
      <c r="AP73" s="142"/>
      <c r="AQ73" s="94">
        <f ca="1">TblProd[[#This Row],[Platinum]]</f>
        <v>164591</v>
      </c>
      <c r="AR73" s="94">
        <f ca="1">INDEX(TblProd[[#Headers],[Lumber]]:TblProd[[#This Row],[Ore]],COUNTA(TblProd[[#Headers],[Lumber]]:TblProd[[#This Row],[Lumber]]),MATCH(Military!$AR$2,TblProd[[#Headers],[Lumber]:[Ore]],0))</f>
        <v>0</v>
      </c>
      <c r="AS7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3" s="94">
        <f ca="1">TblMili[[#This Row],[Train Unit 1]]*TblMili[[#This Row],[OP Ore]]+TblMili[[#This Row],[Train Unit 2]]*TblMili[[#This Row],[DP Ore]]+TblMili[[#This Row],[Train Unit 3]]*TblMili[[#This Row],[E1 Ore]]+TblMili[[#This Row],[Train Unit 4]]*TblMili[[#This Row],[E2 Ore]]</f>
        <v>0</v>
      </c>
      <c r="AU73" s="142">
        <f>TblMili[[#This Row],[Hour]]</f>
        <v>70</v>
      </c>
      <c r="AV73" s="152">
        <f ca="1">TblMili[[#This Row],[Time]]</f>
        <v>46049.874999999833</v>
      </c>
      <c r="AW73" s="94">
        <f ca="1">TblMili[[#This Row],[Draftees]]</f>
        <v>574</v>
      </c>
      <c r="AX73" s="179"/>
      <c r="AY73" s="179"/>
      <c r="AZ73" s="179"/>
      <c r="BA73" s="179"/>
      <c r="BB73" s="179"/>
      <c r="BC73" s="179"/>
      <c r="BD73" s="179"/>
      <c r="BE73" s="179"/>
      <c r="BF73" s="179"/>
      <c r="BG73" s="142"/>
      <c r="BH73" s="157">
        <f ca="1">TblConstr[[#This Row],[Tot WG]]/TblConstr[[#This Row],[Land]]</f>
        <v>0</v>
      </c>
      <c r="BI73" s="157">
        <f ca="1">TblConstr[[#This Row],[Tot Hav]]/TblConstr[[#This Row],[Land]]</f>
        <v>0</v>
      </c>
      <c r="BJ73" s="94">
        <f ca="1">ROUNDUP((1-MIN(TblMili[[#This Row],[Smithies]]*smithy_bonus,smithy_bonus_cap) + tech_3_5*TblTech[[#This Row],[3-5]] + tech_5_3*TblTech[[#This Row],[5-3]] + tech_5_5*TblTech[[#This Row],[5-5]])*spec_op_plat,0)</f>
        <v>275</v>
      </c>
      <c r="BK73" s="94">
        <f ca="1">ROUNDUP(IF(race="Gnome",1,(1-MIN(TblMili[[#This Row],[Smithies]]*smithy_bonus,smithy_bonus_cap) + tech_3_5*TblTech[[#This Row],[3-5]] + tech_5_3*TblTech[[#This Row],[5-3]] + tech_5_5*TblTech[[#This Row],[5-5]]))*spec_op_ore,0)</f>
        <v>25</v>
      </c>
      <c r="BL73" s="94">
        <f ca="1">ROUNDUP((1-MIN(TblMili[[#This Row],[Smithies]]*smithy_bonus,smithy_bonus_cap) + tech_3_5*TblTech[[#This Row],[3-5]] + tech_5_3*TblTech[[#This Row],[5-3]] + tech_5_5*TblTech[[#This Row],[5-5]])*spec_dp_plat,0)</f>
        <v>275</v>
      </c>
      <c r="BM73" s="94">
        <f ca="1">ROUNDUP(IF(race="Gnome",1,(1-MIN(TblMili[[#This Row],[Smithies]]*smithy_bonus,smithy_bonus_cap) + tech_3_5*TblTech[[#This Row],[3-5]] + tech_5_3*TblTech[[#This Row],[5-3]] + tech_5_5*TblTech[[#This Row],[5-5]]))*spec_dp_ore,0)</f>
        <v>15</v>
      </c>
      <c r="BN73" s="94">
        <f ca="1">ROUNDUP((1-MIN(TblMili[[#This Row],[Smithies]]*smithy_bonus,smithy_bonus_cap) + tech_3_5*TblTech[[#This Row],[3-5]] + tech_5_3*TblTech[[#This Row],[5-3]] + tech_5_5*TblTech[[#This Row],[5-5]])*elite1_plat,0)</f>
        <v>1040</v>
      </c>
      <c r="BO73" s="94">
        <f ca="1">ROUNDUP(IF(race="Gnome",1,(1-MIN(TblMili[[#This Row],[Smithies]]*smithy_bonus,smithy_bonus_cap) + tech_3_5*TblTech[[#This Row],[3-5]] + tech_5_3*TblTech[[#This Row],[5-3]] + tech_5_5*TblTech[[#This Row],[5-5]]))*elite1_ore,0)</f>
        <v>75</v>
      </c>
      <c r="BP73" s="94">
        <f ca="1">ROUNDUP((1-MIN(TblMili[[#This Row],[Smithies]]*smithy_bonus,smithy_bonus_cap) + tech_3_5*TblTech[[#This Row],[3-5]] + tech_5_3*TblTech[[#This Row],[5-3]] + tech_5_5*TblTech[[#This Row],[5-5]])*elite2_plat,0)</f>
        <v>1280</v>
      </c>
      <c r="BQ73" s="94">
        <f ca="1">ROUNDUP(IF(race="Gnome",1,(1-MIN(TblMili[[#This Row],[Smithies]]*smithy_bonus,smithy_bonus_cap) + tech_3_5*TblTech[[#This Row],[3-5]] + tech_5_3*TblTech[[#This Row],[5-3]] + tech_5_5*TblTech[[#This Row],[5-5]]))*elite2_ore,0)</f>
        <v>100</v>
      </c>
      <c r="BR73" s="94">
        <f ca="1">ROUNDUP((1-MIN(ROUND(fh_spy_cost_red*TblMili[[#This Row],[FH''s]],4),fh_spy_cost_cap)+ tech_1_9*TblTech[[#This Row],[1-9]] + tech_9_1*TblTech[[#This Row],[9-1]])*spy_plat,0)</f>
        <v>500</v>
      </c>
      <c r="BS73" s="94">
        <f ca="1">ROUNDUP((1-MIN(ROUND(fh_spy_cost_red*TblMili[[#This Row],[FH''s]],4),fh_spy_cost_cap)+ tech_1_9*TblTech[[#This Row],[1-9]] + tech_9_1*TblTech[[#This Row],[9-1]])*archspy_plat,0)</f>
        <v>1000</v>
      </c>
      <c r="BT73" s="94">
        <f ca="1">ROUNDUP((1-MIN(ROUND(wg_wiz_cost_bonus*TblMili[[#This Row],[WG''s]],4),wg_wiz_cost_cap) + tech_1_9_2*TblTech[[#This Row],[1-9]] + tech_9_1_2*TblTech[[#This Row],[9-1]])*wizard_plat,0)</f>
        <v>500</v>
      </c>
      <c r="BU73" s="94">
        <f ca="1">ROUNDUP((1-MIN(ROUND(wg_wiz_cost_bonus*TblMili[[#This Row],[WG''s]],4),wg_wiz_cost_cap) + tech_1_9_2*TblTech[[#This Row],[1-9]] + tech_9_1_2*TblTech[[#This Row],[9-1]])*archmage_plat,0)</f>
        <v>1000</v>
      </c>
      <c r="BV73" s="142"/>
      <c r="BW73" s="157">
        <f ca="1">TblConstr[[#This Row],[Homeland]]/TblConstr[[#This Row],[Land]]</f>
        <v>0.81818181818181823</v>
      </c>
      <c r="BX73" s="157">
        <f ca="1">TblMili[[#This Row],[WG''s]]</f>
        <v>0</v>
      </c>
      <c r="BY73" s="251">
        <f ca="1">IF(mystic_cap="none",TblMili[[#This Row],[Homeland%]]/mystic_bonus,MIN(mystic_cap,TblMili[[#This Row],[Homeland%]]/mystic_bonus))</f>
        <v>2</v>
      </c>
      <c r="BZ73" s="251">
        <f ca="1">IF(druid_op_cap="none",TblMili[[#This Row],[Homeland%]]/druid_op_bonus,MIN(druid_op_cap,TblMili[[#This Row],[Homeland%]]/druid_op_bonus))</f>
        <v>2</v>
      </c>
      <c r="CA73" s="251">
        <f ca="1">IF(druid_dp_cap="none",TblMili[[#This Row],[Homeland%]]/druid_dp_bonus,MIN(druid_dp_cap,TblMili[[#This Row],[Homeland%]]/druid_dp_bonus))</f>
        <v>2</v>
      </c>
      <c r="CB73" s="251">
        <f ca="1">MIN(dryad_cap,TblMili[[#This Row],[Homeland%]]/dryad_bonus)</f>
        <v>4</v>
      </c>
      <c r="CC73" s="251">
        <f ca="1">MIN(rocka_cap,TblMili[[#This Row],[Homeland%]]/rocka_bonus)</f>
        <v>2</v>
      </c>
      <c r="CD73" s="251">
        <f ca="1">MIN(adept_op_cap,TblMili[[#This Row],[WG]]/adept_op_bonus)</f>
        <v>0</v>
      </c>
      <c r="CE73" s="251">
        <f ca="1">MIN(adept_dp_cap,TblMili[[#This Row],[WG]]/adept_dp_bonus)</f>
        <v>0</v>
      </c>
      <c r="CF73" s="94">
        <f ca="1">MIN(TblMili[[#This Row],[Unit 3]],TblMili[[#This Row],[Unit 2]])*2</f>
        <v>0</v>
      </c>
      <c r="CG73" s="94">
        <f ca="1">MIN(TblMili[[#This Row],[Unit 1]],TblMili[[#This Row],[Unit 4]])*2</f>
        <v>0</v>
      </c>
      <c r="CH73" s="251">
        <f ca="1">MIN(frost_mage_cap,TblMili[[#This Row],[Homeland%]]/frost_mage_bonus)</f>
        <v>3</v>
      </c>
      <c r="CI73" s="45">
        <f ca="1">MIN(ice_elem_cap,TblMili[[#This Row],[Raw (2)]]*ice_elem_bonus)</f>
        <v>0</v>
      </c>
      <c r="CJ73" s="251">
        <f t="shared" si="3"/>
        <v>0.83333333333333337</v>
      </c>
      <c r="CK73" s="251">
        <f ca="1">MIN(nox_nightshade_cap,TblConstr[[#This Row],[Homeland]]/TblConstr[[#This Row],[Land]]/nox_nightshade_swamp_bonus)</f>
        <v>4</v>
      </c>
      <c r="CL73" s="251">
        <f ca="1">MIN(TblConstr[[#This Row],[Total Swamp]]/TblConstr[[#This Row],[Land]]/abyss_enforce_bonus,abyss_enforcer_cap)</f>
        <v>0</v>
      </c>
      <c r="CM73" s="251">
        <f ca="1">IF(TblMagic[[#This Row],[Active Infernal Command]]&gt;0,TblMili[[#This Row],[Unit 1]]*infernal_cmd_op,0)</f>
        <v>0</v>
      </c>
      <c r="CN73" s="252"/>
      <c r="CO73" s="252"/>
      <c r="CP73" s="252"/>
      <c r="CQ73" s="251">
        <f ca="1">MIN(6,TblMili[[#This Row],[Mystic]]+Races!$F$19)*1.8 +  IF(TblMili[[#This Row],[Mystic]]+Races!$F$19&gt;6,(TblMili[[#This Row],[Mystic]]+Races!$F$19-6)*0.2,0) - Races!$I$19</f>
        <v>1</v>
      </c>
      <c r="CR7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3" s="94">
        <f ca="1">TblMili[[#This Row],[Mystic bonus]]*TblMili[[#This Row],[Unit 3]]+TblMili[[#This Row],[Druid bonus]]*TblMili[[#This Row],[Unit 4]]</f>
        <v>0</v>
      </c>
      <c r="CT73" s="155">
        <f ca="1">MIN(6,TblMili[[#This Row],[Dryad]]+Races!$F$35)*1.8 +  IF(TblMili[[#This Row],[Dryad]]+Races!$F$35&gt;6,(TblMili[[#This Row],[Dryad]]+Races!$F$35-6)*0.2,0) - Races!$I$19</f>
        <v>1</v>
      </c>
      <c r="CU73" s="94">
        <f ca="1">sylvan*(TblMili[[#This Row],[Mystic bonus]]*TblMili[[#This Row],[Unit 3]])</f>
        <v>0</v>
      </c>
      <c r="CV73" s="155">
        <f ca="1">1.8 * MIN(MAX(Races!$E$27,TblMili[[#This Row],[Rockapult]]+Races!$F$27),6)  +  0.45 * MIN(MIN(Races!$E$27,TblMili[[#This Row],[Rockapult]]+Races!$F$27),6)  +  0.2 * ( MAX(Races!$E$27-6,0) + MAX(TblMili[[#This Row],[Rockapult]]+Races!$F$27-6,0) )  -  Races!$I$20</f>
        <v>3.7000000000000011</v>
      </c>
      <c r="CW73" s="94">
        <f ca="1">gnome*(TblMili[[#This Row],[Rockapult bonus]]*TblMili[[#This Row],[Unit 3]])</f>
        <v>0</v>
      </c>
      <c r="CX7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3" s="94">
        <f ca="1">dark_elf*(TblMili[[#This Row],[Adept bonus]]*TblMili[[#This Row],[Unit 3]])</f>
        <v>0</v>
      </c>
      <c r="CZ73" s="155">
        <f ca="1">1.8 * MIN(MAX(TblMili[[#This Row],[Frost Mage]]+Races!$F$71,Races!$E$71),6)  +  0.45 * MIN(MIN(TblMili[[#This Row],[Frost Mage]]+Races!$F$71,Races!$E$71),6)  +  0.2 * ( MAX(TblMili[[#This Row],[Frost Mage]]+Races!$F$71-6,0) + MAX(Races!$E$71-6,0) )  -  Races!$I$71</f>
        <v>6.15</v>
      </c>
      <c r="DA73" s="155">
        <f ca="1">1.8 * MIN(MAX(TblMili[[#This Row],[Ice Elemental]]+Races!$E$71,Races!$F$71),6)  +  0.45 * MIN(MIN(TblMili[[#This Row],[Ice Elemental]]+Races!$E$71,Races!$F$71),6)  +  0.2 * ( MAX(TblMili[[#This Row],[Ice Elemental]]+Races!$E$71-6,0) + MAX(Races!$F$71-6,0) )  -  Races!$I$71</f>
        <v>0.75</v>
      </c>
      <c r="DB73" s="94">
        <f ca="1">TblMili[[#This Row],[Frost Mage bonus]]*TblMili[[#This Row],[Unit 3]]+TblMili[[#This Row],[Ice Elemental bonus]]*TblMili[[#This Row],[Unit 4]]</f>
        <v>0</v>
      </c>
      <c r="DC73" s="253"/>
      <c r="DD73" s="143">
        <f ca="1">MIN(SUM(TblConstr[[#This Row],[Plain]:[Water]])/TblMili[[#This Row],[Land]]/favorable_terrain_bonus/100,favorable_terrain_max)</f>
        <v>0.1</v>
      </c>
      <c r="DE73" s="253"/>
      <c r="DF7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3" s="142"/>
      <c r="DH73" s="254">
        <f ca="1">(TblMili[[#This Row],[Wizards]]+2*TblMili[[#This Row],[Archmages]])/TblConstr[[#This Row],[Land]]</f>
        <v>0</v>
      </c>
      <c r="DI73" s="254">
        <f ca="1">TblMili[[#This Row],[Raw (2)]]*(1+race_wizard_strength+IF(TblMili[[#This Row],[Hour]]&gt;72,tech_magical_weaponry_wiz*TblTech[[#This Row],[3-5]],0))</f>
        <v>0</v>
      </c>
    </row>
    <row r="74" spans="1:113" x14ac:dyDescent="0.2">
      <c r="A74" s="137">
        <f>TblRezone[[#This Row],[Hour]]</f>
        <v>71</v>
      </c>
      <c r="B74" s="246">
        <f ca="1">SUM(TblMili[[#This Row],[Unit 1]:[Archmages]])+SUM(OFFSET(TblMili[[#This Row],[Train Unit 1]],-8,0):TblMili[[#This Row],[Train Unit 2]]) + SUM(OFFSET(TblMili[[#This Row],[Train Unit 3]],-11,0):TblMili[[#This Row],[Train AM]]) + TblMili[[#This Row],[Draftees]]</f>
        <v>579</v>
      </c>
      <c r="C74" s="157">
        <f ca="1">TblPop[[#This Row],[Military%]]</f>
        <v>0.53810408921933084</v>
      </c>
      <c r="D74" s="142"/>
      <c r="E74" s="45">
        <f ca="1">OFFSET(TblMili[[#This Row],[Unit 1]],-1,0) + OFFSET(TblMili[[#This Row],[Train Unit 1]],-9,0) - TblMili[[#This Row],[Release Unit 1]] + OFFSET(TblMili[[#This Row],[DnD_Zombies]],-12,0)</f>
        <v>0</v>
      </c>
      <c r="F74" s="45">
        <f ca="1">OFFSET(TblMili[[#This Row],[Unit 2]],-1,0) + OFFSET(TblMili[[#This Row],[Train Unit 2]],-9,0)-TblMili[[#This Row],[Release Unit 2]]</f>
        <v>0</v>
      </c>
      <c r="G74" s="45">
        <f ca="1">OFFSET(TblMili[[#This Row],[Unit 3]],-1,0) + OFFSET(TblMili[[#This Row],[Train Unit 3]],-12,0)-TblMili[[#This Row],[Release Unit 3]]</f>
        <v>0</v>
      </c>
      <c r="H74" s="45">
        <f ca="1">OFFSET(TblMili[[#This Row],[Unit 4]],-1,0) + OFFSET(TblMili[[#This Row],[Train Unit 4]],-12,0)-TblMili[[#This Row],[Release Unit 4]]</f>
        <v>0</v>
      </c>
      <c r="I74" s="45">
        <f ca="1">OFFSET(TblMili[[#This Row],[Spies]],-1,0) + OFFSET(TblMili[[#This Row],[Train Spies]],-12,0) - TblMili[[#This Row],[Release Spies]]-TblMili[[#This Row],[Train AS]]</f>
        <v>0</v>
      </c>
      <c r="J74" s="45">
        <f ca="1">OFFSET(TblMili[[#This Row],[Archspies]],-1,0) + OFFSET(TblMili[[#This Row],[Train AS]],-12,0) - TblMili[[#This Row],[Release AS]]</f>
        <v>0</v>
      </c>
      <c r="K74" s="45">
        <f ca="1">OFFSET(TblMili[[#This Row],[Wizards]],-1,0) + OFFSET(TblMili[[#This Row],[Train Wiz]],-12,0) - TblMili[[#This Row],[Release Wizards]]-TblMili[[#This Row],[Train AM]]</f>
        <v>0</v>
      </c>
      <c r="L74" s="45">
        <f ca="1">OFFSET(TblMili[[#This Row],[Archmages]],-1,0) + OFFSET(TblMili[[#This Row],[Train AM]],-12,0) - TblMili[[#This Row],[Release AM]]</f>
        <v>0</v>
      </c>
      <c r="M74" s="142"/>
      <c r="N74" s="94">
        <f ca="1">TblProd[[#This Row],[Networth]]</f>
        <v>2450</v>
      </c>
      <c r="O74" s="142"/>
      <c r="P7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4" s="247">
        <f ca="1">TblMili[[#This Row],[Raw]]*(1+TblMili[[#This Row],[Mods_Off]])</f>
        <v>0</v>
      </c>
      <c r="S7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4" s="247">
        <f ca="1">TblMili[[#This Row],[Non Draft]]+TblMili[[#This Row],[Draftees]]</f>
        <v>579</v>
      </c>
      <c r="U74" s="248">
        <f ca="1">race_defense + TblImps[[#This Row],[Walls]] + ROUND( MIN(gt_bonus*TblConstr[[#This Row],[Tot GT]]/TblConstr[[#This Row],[Land]],gt_bonus_cap), 4) + IF(TblMagic[[#This Row],[Active Howling]]&gt;0,howling_dp_bonus,IF(TblMagic[[#This Row],[Active Ares Call]]&gt;0,ares_call_bonus))</f>
        <v>0</v>
      </c>
      <c r="V74" s="249">
        <f ca="1">TblMili[[#This Row],[Non Draft]] * (1 + TblMili[[#This Row],[Mods_Def]])</f>
        <v>0</v>
      </c>
      <c r="W74" s="247">
        <f ca="1">TblMili[[#This Row],[Draft]] * (1 + TblMili[[#This Row],[Mods_Def]])</f>
        <v>579</v>
      </c>
      <c r="X74" s="247">
        <f ca="1">TblConstr[[#This Row],[Land]]</f>
        <v>110</v>
      </c>
      <c r="Y74" s="250"/>
      <c r="Z74" s="255">
        <f ca="1">IF(TblMili[[#This Row],[Set]]&lt;&gt;"",TblMili[[#This Row],[Set]],OFFSET(TblMili[[#This Row],[Draftrate]],-1,0))</f>
        <v>0.9</v>
      </c>
      <c r="AA74" s="94">
        <f ca="1">OFFSET(TblMili[[#This Row],[Draftees]],-1,0)+OFFSET(TblPop[[#This Row],[Draft Growth]],-1,0) - SUM(TblMili[[#This Row],[Train Unit 1]:[Train Spies]],TblMili[[#This Row],[Train Wiz]],TblMili[[#This Row],[DnD_Zombies]]) - TblMili[[#This Row],[Release Draft]] + SUM(TblMili[[#This Row],[Release Unit 1]:[Release AM]]) - TblExplore[[#This Row],[Draftees (2)]]</f>
        <v>579</v>
      </c>
      <c r="AB74" s="154"/>
      <c r="AC74" s="180">
        <f ca="1">(TblConstr[[#This Row],[Tot Smi]]+TblConstr[[#This Row],[Dest Smi]])/(TblConstr[[#This Row],[Land]]-TblExplore[[#This Row],[Land Bonus]]*20)</f>
        <v>0</v>
      </c>
      <c r="AD74" s="137"/>
      <c r="AE74" s="246">
        <f>TblMili[[#This Row],[Hour]]</f>
        <v>71</v>
      </c>
      <c r="AF74" s="138">
        <f ca="1">TblExplore[[#This Row],[Time]]</f>
        <v>46049.916666666497</v>
      </c>
      <c r="AG74" s="179"/>
      <c r="AH74" s="158"/>
      <c r="AI74" s="179"/>
      <c r="AJ74" s="179"/>
      <c r="AK74" s="179"/>
      <c r="AL74" s="179"/>
      <c r="AM74" s="179"/>
      <c r="AN74" s="179"/>
      <c r="AO74" s="420">
        <f ca="1">ROUND(IF(AND(TblMagic[[#This Row],[Active DnD]]&lt;12,TblMagic[[#This Row],[Active DnD]]&gt;5),OFFSET(TblPop[[#This Row],[Draft Growth]],-1,0)*0.375,0),0)</f>
        <v>0</v>
      </c>
      <c r="AP74" s="142"/>
      <c r="AQ74" s="94">
        <f ca="1">TblProd[[#This Row],[Platinum]]</f>
        <v>165946</v>
      </c>
      <c r="AR74" s="94">
        <f ca="1">INDEX(TblProd[[#Headers],[Lumber]]:TblProd[[#This Row],[Ore]],COUNTA(TblProd[[#Headers],[Lumber]]:TblProd[[#This Row],[Lumber]]),MATCH(Military!$AR$2,TblProd[[#Headers],[Lumber]:[Ore]],0))</f>
        <v>0</v>
      </c>
      <c r="AS7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4" s="94">
        <f ca="1">TblMili[[#This Row],[Train Unit 1]]*TblMili[[#This Row],[OP Ore]]+TblMili[[#This Row],[Train Unit 2]]*TblMili[[#This Row],[DP Ore]]+TblMili[[#This Row],[Train Unit 3]]*TblMili[[#This Row],[E1 Ore]]+TblMili[[#This Row],[Train Unit 4]]*TblMili[[#This Row],[E2 Ore]]</f>
        <v>0</v>
      </c>
      <c r="AU74" s="142">
        <f>TblMili[[#This Row],[Hour]]</f>
        <v>71</v>
      </c>
      <c r="AV74" s="152">
        <f ca="1">TblMili[[#This Row],[Time]]</f>
        <v>46049.916666666497</v>
      </c>
      <c r="AW74" s="94">
        <f ca="1">TblMili[[#This Row],[Draftees]]</f>
        <v>579</v>
      </c>
      <c r="AX74" s="179"/>
      <c r="AY74" s="179"/>
      <c r="AZ74" s="179"/>
      <c r="BA74" s="179"/>
      <c r="BB74" s="179"/>
      <c r="BC74" s="179"/>
      <c r="BD74" s="179"/>
      <c r="BE74" s="179"/>
      <c r="BF74" s="179"/>
      <c r="BG74" s="142"/>
      <c r="BH74" s="157">
        <f ca="1">TblConstr[[#This Row],[Tot WG]]/TblConstr[[#This Row],[Land]]</f>
        <v>0</v>
      </c>
      <c r="BI74" s="157">
        <f ca="1">TblConstr[[#This Row],[Tot Hav]]/TblConstr[[#This Row],[Land]]</f>
        <v>0</v>
      </c>
      <c r="BJ74" s="94">
        <f ca="1">ROUNDUP((1-MIN(TblMili[[#This Row],[Smithies]]*smithy_bonus,smithy_bonus_cap) + tech_3_5*TblTech[[#This Row],[3-5]] + tech_5_3*TblTech[[#This Row],[5-3]] + tech_5_5*TblTech[[#This Row],[5-5]])*spec_op_plat,0)</f>
        <v>275</v>
      </c>
      <c r="BK74" s="94">
        <f ca="1">ROUNDUP(IF(race="Gnome",1,(1-MIN(TblMili[[#This Row],[Smithies]]*smithy_bonus,smithy_bonus_cap) + tech_3_5*TblTech[[#This Row],[3-5]] + tech_5_3*TblTech[[#This Row],[5-3]] + tech_5_5*TblTech[[#This Row],[5-5]]))*spec_op_ore,0)</f>
        <v>25</v>
      </c>
      <c r="BL74" s="94">
        <f ca="1">ROUNDUP((1-MIN(TblMili[[#This Row],[Smithies]]*smithy_bonus,smithy_bonus_cap) + tech_3_5*TblTech[[#This Row],[3-5]] + tech_5_3*TblTech[[#This Row],[5-3]] + tech_5_5*TblTech[[#This Row],[5-5]])*spec_dp_plat,0)</f>
        <v>275</v>
      </c>
      <c r="BM74" s="94">
        <f ca="1">ROUNDUP(IF(race="Gnome",1,(1-MIN(TblMili[[#This Row],[Smithies]]*smithy_bonus,smithy_bonus_cap) + tech_3_5*TblTech[[#This Row],[3-5]] + tech_5_3*TblTech[[#This Row],[5-3]] + tech_5_5*TblTech[[#This Row],[5-5]]))*spec_dp_ore,0)</f>
        <v>15</v>
      </c>
      <c r="BN74" s="94">
        <f ca="1">ROUNDUP((1-MIN(TblMili[[#This Row],[Smithies]]*smithy_bonus,smithy_bonus_cap) + tech_3_5*TblTech[[#This Row],[3-5]] + tech_5_3*TblTech[[#This Row],[5-3]] + tech_5_5*TblTech[[#This Row],[5-5]])*elite1_plat,0)</f>
        <v>1040</v>
      </c>
      <c r="BO74" s="94">
        <f ca="1">ROUNDUP(IF(race="Gnome",1,(1-MIN(TblMili[[#This Row],[Smithies]]*smithy_bonus,smithy_bonus_cap) + tech_3_5*TblTech[[#This Row],[3-5]] + tech_5_3*TblTech[[#This Row],[5-3]] + tech_5_5*TblTech[[#This Row],[5-5]]))*elite1_ore,0)</f>
        <v>75</v>
      </c>
      <c r="BP74" s="94">
        <f ca="1">ROUNDUP((1-MIN(TblMili[[#This Row],[Smithies]]*smithy_bonus,smithy_bonus_cap) + tech_3_5*TblTech[[#This Row],[3-5]] + tech_5_3*TblTech[[#This Row],[5-3]] + tech_5_5*TblTech[[#This Row],[5-5]])*elite2_plat,0)</f>
        <v>1280</v>
      </c>
      <c r="BQ74" s="94">
        <f ca="1">ROUNDUP(IF(race="Gnome",1,(1-MIN(TblMili[[#This Row],[Smithies]]*smithy_bonus,smithy_bonus_cap) + tech_3_5*TblTech[[#This Row],[3-5]] + tech_5_3*TblTech[[#This Row],[5-3]] + tech_5_5*TblTech[[#This Row],[5-5]]))*elite2_ore,0)</f>
        <v>100</v>
      </c>
      <c r="BR74" s="94">
        <f ca="1">ROUNDUP((1-MIN(ROUND(fh_spy_cost_red*TblMili[[#This Row],[FH''s]],4),fh_spy_cost_cap)+ tech_1_9*TblTech[[#This Row],[1-9]] + tech_9_1*TblTech[[#This Row],[9-1]])*spy_plat,0)</f>
        <v>500</v>
      </c>
      <c r="BS74" s="94">
        <f ca="1">ROUNDUP((1-MIN(ROUND(fh_spy_cost_red*TblMili[[#This Row],[FH''s]],4),fh_spy_cost_cap)+ tech_1_9*TblTech[[#This Row],[1-9]] + tech_9_1*TblTech[[#This Row],[9-1]])*archspy_plat,0)</f>
        <v>1000</v>
      </c>
      <c r="BT74" s="94">
        <f ca="1">ROUNDUP((1-MIN(ROUND(wg_wiz_cost_bonus*TblMili[[#This Row],[WG''s]],4),wg_wiz_cost_cap) + tech_1_9_2*TblTech[[#This Row],[1-9]] + tech_9_1_2*TblTech[[#This Row],[9-1]])*wizard_plat,0)</f>
        <v>500</v>
      </c>
      <c r="BU74" s="94">
        <f ca="1">ROUNDUP((1-MIN(ROUND(wg_wiz_cost_bonus*TblMili[[#This Row],[WG''s]],4),wg_wiz_cost_cap) + tech_1_9_2*TblTech[[#This Row],[1-9]] + tech_9_1_2*TblTech[[#This Row],[9-1]])*archmage_plat,0)</f>
        <v>1000</v>
      </c>
      <c r="BV74" s="142"/>
      <c r="BW74" s="157">
        <f ca="1">TblConstr[[#This Row],[Homeland]]/TblConstr[[#This Row],[Land]]</f>
        <v>0.81818181818181823</v>
      </c>
      <c r="BX74" s="157">
        <f ca="1">TblMili[[#This Row],[WG''s]]</f>
        <v>0</v>
      </c>
      <c r="BY74" s="251">
        <f ca="1">IF(mystic_cap="none",TblMili[[#This Row],[Homeland%]]/mystic_bonus,MIN(mystic_cap,TblMili[[#This Row],[Homeland%]]/mystic_bonus))</f>
        <v>2</v>
      </c>
      <c r="BZ74" s="251">
        <f ca="1">IF(druid_op_cap="none",TblMili[[#This Row],[Homeland%]]/druid_op_bonus,MIN(druid_op_cap,TblMili[[#This Row],[Homeland%]]/druid_op_bonus))</f>
        <v>2</v>
      </c>
      <c r="CA74" s="251">
        <f ca="1">IF(druid_dp_cap="none",TblMili[[#This Row],[Homeland%]]/druid_dp_bonus,MIN(druid_dp_cap,TblMili[[#This Row],[Homeland%]]/druid_dp_bonus))</f>
        <v>2</v>
      </c>
      <c r="CB74" s="251">
        <f ca="1">MIN(dryad_cap,TblMili[[#This Row],[Homeland%]]/dryad_bonus)</f>
        <v>4</v>
      </c>
      <c r="CC74" s="251">
        <f ca="1">MIN(rocka_cap,TblMili[[#This Row],[Homeland%]]/rocka_bonus)</f>
        <v>2</v>
      </c>
      <c r="CD74" s="251">
        <f ca="1">MIN(adept_op_cap,TblMili[[#This Row],[WG]]/adept_op_bonus)</f>
        <v>0</v>
      </c>
      <c r="CE74" s="251">
        <f ca="1">MIN(adept_dp_cap,TblMili[[#This Row],[WG]]/adept_dp_bonus)</f>
        <v>0</v>
      </c>
      <c r="CF74" s="94">
        <f ca="1">MIN(TblMili[[#This Row],[Unit 3]],TblMili[[#This Row],[Unit 2]])*2</f>
        <v>0</v>
      </c>
      <c r="CG74" s="94">
        <f ca="1">MIN(TblMili[[#This Row],[Unit 1]],TblMili[[#This Row],[Unit 4]])*2</f>
        <v>0</v>
      </c>
      <c r="CH74" s="251">
        <f ca="1">MIN(frost_mage_cap,TblMili[[#This Row],[Homeland%]]/frost_mage_bonus)</f>
        <v>3</v>
      </c>
      <c r="CI74" s="45">
        <f ca="1">MIN(ice_elem_cap,TblMili[[#This Row],[Raw (2)]]*ice_elem_bonus)</f>
        <v>0</v>
      </c>
      <c r="CJ74" s="251">
        <f t="shared" si="3"/>
        <v>0.83333333333333337</v>
      </c>
      <c r="CK74" s="251">
        <f ca="1">MIN(nox_nightshade_cap,TblConstr[[#This Row],[Homeland]]/TblConstr[[#This Row],[Land]]/nox_nightshade_swamp_bonus)</f>
        <v>4</v>
      </c>
      <c r="CL74" s="251">
        <f ca="1">MIN(TblConstr[[#This Row],[Total Swamp]]/TblConstr[[#This Row],[Land]]/abyss_enforce_bonus,abyss_enforcer_cap)</f>
        <v>0</v>
      </c>
      <c r="CM74" s="251">
        <f ca="1">IF(TblMagic[[#This Row],[Active Infernal Command]]&gt;0,TblMili[[#This Row],[Unit 1]]*infernal_cmd_op,0)</f>
        <v>0</v>
      </c>
      <c r="CN74" s="252"/>
      <c r="CO74" s="252"/>
      <c r="CP74" s="252"/>
      <c r="CQ74" s="251">
        <f ca="1">MIN(6,TblMili[[#This Row],[Mystic]]+Races!$F$19)*1.8 +  IF(TblMili[[#This Row],[Mystic]]+Races!$F$19&gt;6,(TblMili[[#This Row],[Mystic]]+Races!$F$19-6)*0.2,0) - Races!$I$19</f>
        <v>1</v>
      </c>
      <c r="CR7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4" s="94">
        <f ca="1">TblMili[[#This Row],[Mystic bonus]]*TblMili[[#This Row],[Unit 3]]+TblMili[[#This Row],[Druid bonus]]*TblMili[[#This Row],[Unit 4]]</f>
        <v>0</v>
      </c>
      <c r="CT74" s="155">
        <f ca="1">MIN(6,TblMili[[#This Row],[Dryad]]+Races!$F$35)*1.8 +  IF(TblMili[[#This Row],[Dryad]]+Races!$F$35&gt;6,(TblMili[[#This Row],[Dryad]]+Races!$F$35-6)*0.2,0) - Races!$I$19</f>
        <v>1</v>
      </c>
      <c r="CU74" s="94">
        <f ca="1">sylvan*(TblMili[[#This Row],[Mystic bonus]]*TblMili[[#This Row],[Unit 3]])</f>
        <v>0</v>
      </c>
      <c r="CV74" s="155">
        <f ca="1">1.8 * MIN(MAX(Races!$E$27,TblMili[[#This Row],[Rockapult]]+Races!$F$27),6)  +  0.45 * MIN(MIN(Races!$E$27,TblMili[[#This Row],[Rockapult]]+Races!$F$27),6)  +  0.2 * ( MAX(Races!$E$27-6,0) + MAX(TblMili[[#This Row],[Rockapult]]+Races!$F$27-6,0) )  -  Races!$I$20</f>
        <v>3.7000000000000011</v>
      </c>
      <c r="CW74" s="94">
        <f ca="1">gnome*(TblMili[[#This Row],[Rockapult bonus]]*TblMili[[#This Row],[Unit 3]])</f>
        <v>0</v>
      </c>
      <c r="CX7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4" s="94">
        <f ca="1">dark_elf*(TblMili[[#This Row],[Adept bonus]]*TblMili[[#This Row],[Unit 3]])</f>
        <v>0</v>
      </c>
      <c r="CZ74" s="155">
        <f ca="1">1.8 * MIN(MAX(TblMili[[#This Row],[Frost Mage]]+Races!$F$71,Races!$E$71),6)  +  0.45 * MIN(MIN(TblMili[[#This Row],[Frost Mage]]+Races!$F$71,Races!$E$71),6)  +  0.2 * ( MAX(TblMili[[#This Row],[Frost Mage]]+Races!$F$71-6,0) + MAX(Races!$E$71-6,0) )  -  Races!$I$71</f>
        <v>6.15</v>
      </c>
      <c r="DA74" s="155">
        <f ca="1">1.8 * MIN(MAX(TblMili[[#This Row],[Ice Elemental]]+Races!$E$71,Races!$F$71),6)  +  0.45 * MIN(MIN(TblMili[[#This Row],[Ice Elemental]]+Races!$E$71,Races!$F$71),6)  +  0.2 * ( MAX(TblMili[[#This Row],[Ice Elemental]]+Races!$E$71-6,0) + MAX(Races!$F$71-6,0) )  -  Races!$I$71</f>
        <v>0.75</v>
      </c>
      <c r="DB74" s="94">
        <f ca="1">TblMili[[#This Row],[Frost Mage bonus]]*TblMili[[#This Row],[Unit 3]]+TblMili[[#This Row],[Ice Elemental bonus]]*TblMili[[#This Row],[Unit 4]]</f>
        <v>0</v>
      </c>
      <c r="DC74" s="253"/>
      <c r="DD74" s="143">
        <f ca="1">MIN(SUM(TblConstr[[#This Row],[Plain]:[Water]])/TblMili[[#This Row],[Land]]/favorable_terrain_bonus/100,favorable_terrain_max)</f>
        <v>0.1</v>
      </c>
      <c r="DE74" s="253"/>
      <c r="DF7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4" s="142"/>
      <c r="DH74" s="254">
        <f ca="1">(TblMili[[#This Row],[Wizards]]+2*TblMili[[#This Row],[Archmages]])/TblConstr[[#This Row],[Land]]</f>
        <v>0</v>
      </c>
      <c r="DI74" s="254">
        <f ca="1">TblMili[[#This Row],[Raw (2)]]*(1+race_wizard_strength+IF(TblMili[[#This Row],[Hour]]&gt;72,tech_magical_weaponry_wiz*TblTech[[#This Row],[3-5]],0))</f>
        <v>0</v>
      </c>
    </row>
    <row r="75" spans="1:113" x14ac:dyDescent="0.2">
      <c r="A75" s="137">
        <f>TblRezone[[#This Row],[Hour]]</f>
        <v>72</v>
      </c>
      <c r="B75" s="246">
        <f ca="1">SUM(TblMili[[#This Row],[Unit 1]:[Archmages]])+SUM(OFFSET(TblMili[[#This Row],[Train Unit 1]],-8,0):TblMili[[#This Row],[Train Unit 2]]) + SUM(OFFSET(TblMili[[#This Row],[Train Unit 3]],-11,0):TblMili[[#This Row],[Train AM]]) + TblMili[[#This Row],[Draftees]]</f>
        <v>584</v>
      </c>
      <c r="C75" s="157">
        <f ca="1">TblPop[[#This Row],[Military%]]</f>
        <v>0.54275092936802971</v>
      </c>
      <c r="D75" s="142"/>
      <c r="E75" s="45">
        <f ca="1">OFFSET(TblMili[[#This Row],[Unit 1]],-1,0) + OFFSET(TblMili[[#This Row],[Train Unit 1]],-9,0) - TblMili[[#This Row],[Release Unit 1]] + OFFSET(TblMili[[#This Row],[DnD_Zombies]],-12,0)</f>
        <v>0</v>
      </c>
      <c r="F75" s="45">
        <f ca="1">OFFSET(TblMili[[#This Row],[Unit 2]],-1,0) + OFFSET(TblMili[[#This Row],[Train Unit 2]],-9,0)-TblMili[[#This Row],[Release Unit 2]]</f>
        <v>0</v>
      </c>
      <c r="G75" s="45">
        <f ca="1">OFFSET(TblMili[[#This Row],[Unit 3]],-1,0) + OFFSET(TblMili[[#This Row],[Train Unit 3]],-12,0)-TblMili[[#This Row],[Release Unit 3]]</f>
        <v>0</v>
      </c>
      <c r="H75" s="45">
        <f ca="1">OFFSET(TblMili[[#This Row],[Unit 4]],-1,0) + OFFSET(TblMili[[#This Row],[Train Unit 4]],-12,0)-TblMili[[#This Row],[Release Unit 4]]</f>
        <v>0</v>
      </c>
      <c r="I75" s="45">
        <f ca="1">OFFSET(TblMili[[#This Row],[Spies]],-1,0) + OFFSET(TblMili[[#This Row],[Train Spies]],-12,0) - TblMili[[#This Row],[Release Spies]]-TblMili[[#This Row],[Train AS]]</f>
        <v>0</v>
      </c>
      <c r="J75" s="45">
        <f ca="1">OFFSET(TblMili[[#This Row],[Archspies]],-1,0) + OFFSET(TblMili[[#This Row],[Train AS]],-12,0) - TblMili[[#This Row],[Release AS]]</f>
        <v>0</v>
      </c>
      <c r="K75" s="45">
        <f ca="1">OFFSET(TblMili[[#This Row],[Wizards]],-1,0) + OFFSET(TblMili[[#This Row],[Train Wiz]],-12,0) - TblMili[[#This Row],[Release Wizards]]-TblMili[[#This Row],[Train AM]]</f>
        <v>0</v>
      </c>
      <c r="L75" s="45">
        <f ca="1">OFFSET(TblMili[[#This Row],[Archmages]],-1,0) + OFFSET(TblMili[[#This Row],[Train AM]],-12,0) - TblMili[[#This Row],[Release AM]]</f>
        <v>0</v>
      </c>
      <c r="M75" s="142"/>
      <c r="N75" s="94">
        <f ca="1">TblProd[[#This Row],[Networth]]</f>
        <v>2450</v>
      </c>
      <c r="O75" s="142"/>
      <c r="P7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5" s="247">
        <f ca="1">TblMili[[#This Row],[Raw]]*(1+TblMili[[#This Row],[Mods_Off]])</f>
        <v>0</v>
      </c>
      <c r="S7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5" s="247">
        <f ca="1">TblMili[[#This Row],[Non Draft]]+TblMili[[#This Row],[Draftees]]</f>
        <v>584</v>
      </c>
      <c r="U75" s="248">
        <f ca="1">race_defense + TblImps[[#This Row],[Walls]] + ROUND( MIN(gt_bonus*TblConstr[[#This Row],[Tot GT]]/TblConstr[[#This Row],[Land]],gt_bonus_cap), 4) + IF(TblMagic[[#This Row],[Active Howling]]&gt;0,howling_dp_bonus,IF(TblMagic[[#This Row],[Active Ares Call]]&gt;0,ares_call_bonus))</f>
        <v>0</v>
      </c>
      <c r="V75" s="249">
        <f ca="1">TblMili[[#This Row],[Non Draft]] * (1 + TblMili[[#This Row],[Mods_Def]])</f>
        <v>0</v>
      </c>
      <c r="W75" s="247">
        <f ca="1">TblMili[[#This Row],[Draft]] * (1 + TblMili[[#This Row],[Mods_Def]])</f>
        <v>584</v>
      </c>
      <c r="X75" s="247">
        <f ca="1">TblConstr[[#This Row],[Land]]</f>
        <v>110</v>
      </c>
      <c r="Y75" s="250"/>
      <c r="Z75" s="255">
        <f ca="1">IF(TblMili[[#This Row],[Set]]&lt;&gt;"",TblMili[[#This Row],[Set]],OFFSET(TblMili[[#This Row],[Draftrate]],-1,0))</f>
        <v>0.9</v>
      </c>
      <c r="AA75" s="94">
        <f ca="1">OFFSET(TblMili[[#This Row],[Draftees]],-1,0)+OFFSET(TblPop[[#This Row],[Draft Growth]],-1,0) - SUM(TblMili[[#This Row],[Train Unit 1]:[Train Spies]],TblMili[[#This Row],[Train Wiz]],TblMili[[#This Row],[DnD_Zombies]]) - TblMili[[#This Row],[Release Draft]] + SUM(TblMili[[#This Row],[Release Unit 1]:[Release AM]]) - TblExplore[[#This Row],[Draftees (2)]]</f>
        <v>584</v>
      </c>
      <c r="AB75" s="154"/>
      <c r="AC75" s="180">
        <f ca="1">(TblConstr[[#This Row],[Tot Smi]]+TblConstr[[#This Row],[Dest Smi]])/(TblConstr[[#This Row],[Land]]-TblExplore[[#This Row],[Land Bonus]]*20)</f>
        <v>0</v>
      </c>
      <c r="AD75" s="137"/>
      <c r="AE75" s="246">
        <f>TblMili[[#This Row],[Hour]]</f>
        <v>72</v>
      </c>
      <c r="AF75" s="138">
        <f ca="1">TblExplore[[#This Row],[Time]]</f>
        <v>46049.958333333161</v>
      </c>
      <c r="AG75" s="179"/>
      <c r="AH75" s="158"/>
      <c r="AI75" s="179"/>
      <c r="AJ75" s="179"/>
      <c r="AK75" s="179"/>
      <c r="AL75" s="179"/>
      <c r="AM75" s="179"/>
      <c r="AN75" s="179"/>
      <c r="AO75" s="420">
        <f ca="1">ROUND(IF(AND(TblMagic[[#This Row],[Active DnD]]&lt;12,TblMagic[[#This Row],[Active DnD]]&gt;5),OFFSET(TblPop[[#This Row],[Draft Growth]],-1,0)*0.375,0),0)</f>
        <v>0</v>
      </c>
      <c r="AP75" s="142"/>
      <c r="AQ75" s="94">
        <f ca="1">TblProd[[#This Row],[Platinum]]</f>
        <v>167287</v>
      </c>
      <c r="AR75" s="94">
        <f ca="1">INDEX(TblProd[[#Headers],[Lumber]]:TblProd[[#This Row],[Ore]],COUNTA(TblProd[[#Headers],[Lumber]]:TblProd[[#This Row],[Lumber]]),MATCH(Military!$AR$2,TblProd[[#Headers],[Lumber]:[Ore]],0))</f>
        <v>0</v>
      </c>
      <c r="AS7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5" s="94">
        <f ca="1">TblMili[[#This Row],[Train Unit 1]]*TblMili[[#This Row],[OP Ore]]+TblMili[[#This Row],[Train Unit 2]]*TblMili[[#This Row],[DP Ore]]+TblMili[[#This Row],[Train Unit 3]]*TblMili[[#This Row],[E1 Ore]]+TblMili[[#This Row],[Train Unit 4]]*TblMili[[#This Row],[E2 Ore]]</f>
        <v>0</v>
      </c>
      <c r="AU75" s="142">
        <f>TblMili[[#This Row],[Hour]]</f>
        <v>72</v>
      </c>
      <c r="AV75" s="152">
        <f ca="1">TblMili[[#This Row],[Time]]</f>
        <v>46049.958333333161</v>
      </c>
      <c r="AW75" s="94">
        <f ca="1">TblMili[[#This Row],[Draftees]]</f>
        <v>584</v>
      </c>
      <c r="AX75" s="179"/>
      <c r="AY75" s="179"/>
      <c r="AZ75" s="179"/>
      <c r="BA75" s="179"/>
      <c r="BB75" s="179"/>
      <c r="BC75" s="179"/>
      <c r="BD75" s="179"/>
      <c r="BE75" s="179"/>
      <c r="BF75" s="179"/>
      <c r="BG75" s="142"/>
      <c r="BH75" s="157">
        <f ca="1">TblConstr[[#This Row],[Tot WG]]/TblConstr[[#This Row],[Land]]</f>
        <v>0</v>
      </c>
      <c r="BI75" s="157">
        <f ca="1">TblConstr[[#This Row],[Tot Hav]]/TblConstr[[#This Row],[Land]]</f>
        <v>0</v>
      </c>
      <c r="BJ75" s="94">
        <f ca="1">ROUNDUP((1-MIN(TblMili[[#This Row],[Smithies]]*smithy_bonus,smithy_bonus_cap) + tech_3_5*TblTech[[#This Row],[3-5]] + tech_5_3*TblTech[[#This Row],[5-3]] + tech_5_5*TblTech[[#This Row],[5-5]])*spec_op_plat,0)</f>
        <v>275</v>
      </c>
      <c r="BK75" s="94">
        <f ca="1">ROUNDUP(IF(race="Gnome",1,(1-MIN(TblMili[[#This Row],[Smithies]]*smithy_bonus,smithy_bonus_cap) + tech_3_5*TblTech[[#This Row],[3-5]] + tech_5_3*TblTech[[#This Row],[5-3]] + tech_5_5*TblTech[[#This Row],[5-5]]))*spec_op_ore,0)</f>
        <v>25</v>
      </c>
      <c r="BL75" s="94">
        <f ca="1">ROUNDUP((1-MIN(TblMili[[#This Row],[Smithies]]*smithy_bonus,smithy_bonus_cap) + tech_3_5*TblTech[[#This Row],[3-5]] + tech_5_3*TblTech[[#This Row],[5-3]] + tech_5_5*TblTech[[#This Row],[5-5]])*spec_dp_plat,0)</f>
        <v>275</v>
      </c>
      <c r="BM75" s="94">
        <f ca="1">ROUNDUP(IF(race="Gnome",1,(1-MIN(TblMili[[#This Row],[Smithies]]*smithy_bonus,smithy_bonus_cap) + tech_3_5*TblTech[[#This Row],[3-5]] + tech_5_3*TblTech[[#This Row],[5-3]] + tech_5_5*TblTech[[#This Row],[5-5]]))*spec_dp_ore,0)</f>
        <v>15</v>
      </c>
      <c r="BN75" s="94">
        <f ca="1">ROUNDUP((1-MIN(TblMili[[#This Row],[Smithies]]*smithy_bonus,smithy_bonus_cap) + tech_3_5*TblTech[[#This Row],[3-5]] + tech_5_3*TblTech[[#This Row],[5-3]] + tech_5_5*TblTech[[#This Row],[5-5]])*elite1_plat,0)</f>
        <v>1040</v>
      </c>
      <c r="BO75" s="94">
        <f ca="1">ROUNDUP(IF(race="Gnome",1,(1-MIN(TblMili[[#This Row],[Smithies]]*smithy_bonus,smithy_bonus_cap) + tech_3_5*TblTech[[#This Row],[3-5]] + tech_5_3*TblTech[[#This Row],[5-3]] + tech_5_5*TblTech[[#This Row],[5-5]]))*elite1_ore,0)</f>
        <v>75</v>
      </c>
      <c r="BP75" s="94">
        <f ca="1">ROUNDUP((1-MIN(TblMili[[#This Row],[Smithies]]*smithy_bonus,smithy_bonus_cap) + tech_3_5*TblTech[[#This Row],[3-5]] + tech_5_3*TblTech[[#This Row],[5-3]] + tech_5_5*TblTech[[#This Row],[5-5]])*elite2_plat,0)</f>
        <v>1280</v>
      </c>
      <c r="BQ75" s="94">
        <f ca="1">ROUNDUP(IF(race="Gnome",1,(1-MIN(TblMili[[#This Row],[Smithies]]*smithy_bonus,smithy_bonus_cap) + tech_3_5*TblTech[[#This Row],[3-5]] + tech_5_3*TblTech[[#This Row],[5-3]] + tech_5_5*TblTech[[#This Row],[5-5]]))*elite2_ore,0)</f>
        <v>100</v>
      </c>
      <c r="BR75" s="94">
        <f ca="1">ROUNDUP((1-MIN(ROUND(fh_spy_cost_red*TblMili[[#This Row],[FH''s]],4),fh_spy_cost_cap)+ tech_1_9*TblTech[[#This Row],[1-9]] + tech_9_1*TblTech[[#This Row],[9-1]])*spy_plat,0)</f>
        <v>500</v>
      </c>
      <c r="BS75" s="94">
        <f ca="1">ROUNDUP((1-MIN(ROUND(fh_spy_cost_red*TblMili[[#This Row],[FH''s]],4),fh_spy_cost_cap)+ tech_1_9*TblTech[[#This Row],[1-9]] + tech_9_1*TblTech[[#This Row],[9-1]])*archspy_plat,0)</f>
        <v>1000</v>
      </c>
      <c r="BT75" s="94">
        <f ca="1">ROUNDUP((1-MIN(ROUND(wg_wiz_cost_bonus*TblMili[[#This Row],[WG''s]],4),wg_wiz_cost_cap) + tech_1_9_2*TblTech[[#This Row],[1-9]] + tech_9_1_2*TblTech[[#This Row],[9-1]])*wizard_plat,0)</f>
        <v>500</v>
      </c>
      <c r="BU75" s="94">
        <f ca="1">ROUNDUP((1-MIN(ROUND(wg_wiz_cost_bonus*TblMili[[#This Row],[WG''s]],4),wg_wiz_cost_cap) + tech_1_9_2*TblTech[[#This Row],[1-9]] + tech_9_1_2*TblTech[[#This Row],[9-1]])*archmage_plat,0)</f>
        <v>1000</v>
      </c>
      <c r="BV75" s="142"/>
      <c r="BW75" s="157">
        <f ca="1">TblConstr[[#This Row],[Homeland]]/TblConstr[[#This Row],[Land]]</f>
        <v>0.81818181818181823</v>
      </c>
      <c r="BX75" s="157">
        <f ca="1">TblMili[[#This Row],[WG''s]]</f>
        <v>0</v>
      </c>
      <c r="BY75" s="251">
        <f ca="1">IF(mystic_cap="none",TblMili[[#This Row],[Homeland%]]/mystic_bonus,MIN(mystic_cap,TblMili[[#This Row],[Homeland%]]/mystic_bonus))</f>
        <v>2</v>
      </c>
      <c r="BZ75" s="251">
        <f ca="1">IF(druid_op_cap="none",TblMili[[#This Row],[Homeland%]]/druid_op_bonus,MIN(druid_op_cap,TblMili[[#This Row],[Homeland%]]/druid_op_bonus))</f>
        <v>2</v>
      </c>
      <c r="CA75" s="251">
        <f ca="1">IF(druid_dp_cap="none",TblMili[[#This Row],[Homeland%]]/druid_dp_bonus,MIN(druid_dp_cap,TblMili[[#This Row],[Homeland%]]/druid_dp_bonus))</f>
        <v>2</v>
      </c>
      <c r="CB75" s="251">
        <f ca="1">MIN(dryad_cap,TblMili[[#This Row],[Homeland%]]/dryad_bonus)</f>
        <v>4</v>
      </c>
      <c r="CC75" s="251">
        <f ca="1">MIN(rocka_cap,TblMili[[#This Row],[Homeland%]]/rocka_bonus)</f>
        <v>2</v>
      </c>
      <c r="CD75" s="251">
        <f ca="1">MIN(adept_op_cap,TblMili[[#This Row],[WG]]/adept_op_bonus)</f>
        <v>0</v>
      </c>
      <c r="CE75" s="251">
        <f ca="1">MIN(adept_dp_cap,TblMili[[#This Row],[WG]]/adept_dp_bonus)</f>
        <v>0</v>
      </c>
      <c r="CF75" s="94">
        <f ca="1">MIN(TblMili[[#This Row],[Unit 3]],TblMili[[#This Row],[Unit 2]])*2</f>
        <v>0</v>
      </c>
      <c r="CG75" s="94">
        <f ca="1">MIN(TblMili[[#This Row],[Unit 1]],TblMili[[#This Row],[Unit 4]])*2</f>
        <v>0</v>
      </c>
      <c r="CH75" s="251">
        <f ca="1">MIN(frost_mage_cap,TblMili[[#This Row],[Homeland%]]/frost_mage_bonus)</f>
        <v>3</v>
      </c>
      <c r="CI75" s="45">
        <f ca="1">MIN(ice_elem_cap,TblMili[[#This Row],[Raw (2)]]*ice_elem_bonus)</f>
        <v>0</v>
      </c>
      <c r="CJ75" s="251">
        <f t="shared" si="3"/>
        <v>0.83333333333333337</v>
      </c>
      <c r="CK75" s="251">
        <f ca="1">MIN(nox_nightshade_cap,TblConstr[[#This Row],[Homeland]]/TblConstr[[#This Row],[Land]]/nox_nightshade_swamp_bonus)</f>
        <v>4</v>
      </c>
      <c r="CL75" s="251">
        <f ca="1">MIN(TblConstr[[#This Row],[Total Swamp]]/TblConstr[[#This Row],[Land]]/abyss_enforce_bonus,abyss_enforcer_cap)</f>
        <v>0</v>
      </c>
      <c r="CM75" s="251">
        <f ca="1">IF(TblMagic[[#This Row],[Active Infernal Command]]&gt;0,TblMili[[#This Row],[Unit 1]]*infernal_cmd_op,0)</f>
        <v>0</v>
      </c>
      <c r="CN75" s="252"/>
      <c r="CO75" s="252"/>
      <c r="CP75" s="252"/>
      <c r="CQ75" s="251">
        <f ca="1">MIN(6,TblMili[[#This Row],[Mystic]]+Races!$F$19)*1.8 +  IF(TblMili[[#This Row],[Mystic]]+Races!$F$19&gt;6,(TblMili[[#This Row],[Mystic]]+Races!$F$19-6)*0.2,0) - Races!$I$19</f>
        <v>1</v>
      </c>
      <c r="CR7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5" s="94">
        <f ca="1">TblMili[[#This Row],[Mystic bonus]]*TblMili[[#This Row],[Unit 3]]+TblMili[[#This Row],[Druid bonus]]*TblMili[[#This Row],[Unit 4]]</f>
        <v>0</v>
      </c>
      <c r="CT75" s="155">
        <f ca="1">MIN(6,TblMili[[#This Row],[Dryad]]+Races!$F$35)*1.8 +  IF(TblMili[[#This Row],[Dryad]]+Races!$F$35&gt;6,(TblMili[[#This Row],[Dryad]]+Races!$F$35-6)*0.2,0) - Races!$I$19</f>
        <v>1</v>
      </c>
      <c r="CU75" s="94">
        <f ca="1">sylvan*(TblMili[[#This Row],[Mystic bonus]]*TblMili[[#This Row],[Unit 3]])</f>
        <v>0</v>
      </c>
      <c r="CV75" s="155">
        <f ca="1">1.8 * MIN(MAX(Races!$E$27,TblMili[[#This Row],[Rockapult]]+Races!$F$27),6)  +  0.45 * MIN(MIN(Races!$E$27,TblMili[[#This Row],[Rockapult]]+Races!$F$27),6)  +  0.2 * ( MAX(Races!$E$27-6,0) + MAX(TblMili[[#This Row],[Rockapult]]+Races!$F$27-6,0) )  -  Races!$I$20</f>
        <v>3.7000000000000011</v>
      </c>
      <c r="CW75" s="94">
        <f ca="1">gnome*(TblMili[[#This Row],[Rockapult bonus]]*TblMili[[#This Row],[Unit 3]])</f>
        <v>0</v>
      </c>
      <c r="CX7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5" s="94">
        <f ca="1">dark_elf*(TblMili[[#This Row],[Adept bonus]]*TblMili[[#This Row],[Unit 3]])</f>
        <v>0</v>
      </c>
      <c r="CZ75" s="155">
        <f ca="1">1.8 * MIN(MAX(TblMili[[#This Row],[Frost Mage]]+Races!$F$71,Races!$E$71),6)  +  0.45 * MIN(MIN(TblMili[[#This Row],[Frost Mage]]+Races!$F$71,Races!$E$71),6)  +  0.2 * ( MAX(TblMili[[#This Row],[Frost Mage]]+Races!$F$71-6,0) + MAX(Races!$E$71-6,0) )  -  Races!$I$71</f>
        <v>6.15</v>
      </c>
      <c r="DA75" s="155">
        <f ca="1">1.8 * MIN(MAX(TblMili[[#This Row],[Ice Elemental]]+Races!$E$71,Races!$F$71),6)  +  0.45 * MIN(MIN(TblMili[[#This Row],[Ice Elemental]]+Races!$E$71,Races!$F$71),6)  +  0.2 * ( MAX(TblMili[[#This Row],[Ice Elemental]]+Races!$E$71-6,0) + MAX(Races!$F$71-6,0) )  -  Races!$I$71</f>
        <v>0.75</v>
      </c>
      <c r="DB75" s="94">
        <f ca="1">TblMili[[#This Row],[Frost Mage bonus]]*TblMili[[#This Row],[Unit 3]]+TblMili[[#This Row],[Ice Elemental bonus]]*TblMili[[#This Row],[Unit 4]]</f>
        <v>0</v>
      </c>
      <c r="DC75" s="253"/>
      <c r="DD75" s="143">
        <f ca="1">MIN(SUM(TblConstr[[#This Row],[Plain]:[Water]])/TblMili[[#This Row],[Land]]/favorable_terrain_bonus/100,favorable_terrain_max)</f>
        <v>0.1</v>
      </c>
      <c r="DE75" s="253"/>
      <c r="DF7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5" s="142"/>
      <c r="DH75" s="254">
        <f ca="1">(TblMili[[#This Row],[Wizards]]+2*TblMili[[#This Row],[Archmages]])/TblConstr[[#This Row],[Land]]</f>
        <v>0</v>
      </c>
      <c r="DI75" s="254">
        <f ca="1">TblMili[[#This Row],[Raw (2)]]*(1+race_wizard_strength+IF(TblMili[[#This Row],[Hour]]&gt;72,tech_magical_weaponry_wiz*TblTech[[#This Row],[3-5]],0))</f>
        <v>0</v>
      </c>
    </row>
    <row r="76" spans="1:113" x14ac:dyDescent="0.2">
      <c r="A76" s="137">
        <f>TblRezone[[#This Row],[Hour]]</f>
        <v>73</v>
      </c>
      <c r="B76" s="246">
        <f ca="1">SUM(TblMili[[#This Row],[Unit 1]:[Archmages]])+SUM(OFFSET(TblMili[[#This Row],[Train Unit 1]],-8,0):TblMili[[#This Row],[Train Unit 2]]) + SUM(OFFSET(TblMili[[#This Row],[Train Unit 3]],-11,0):TblMili[[#This Row],[Train AM]]) + TblMili[[#This Row],[Draftees]]</f>
        <v>589</v>
      </c>
      <c r="C76" s="440">
        <f ca="1">TblPop[[#This Row],[Military%]]</f>
        <v>0.54739776951672858</v>
      </c>
      <c r="D76" s="142"/>
      <c r="E76" s="433">
        <f ca="1">OFFSET(TblMili[[#This Row],[Unit 1]],-1,0) + OFFSET(TblMili[[#This Row],[Train Unit 1]],-9,0) - TblMili[[#This Row],[Release Unit 1]] + OFFSET(TblMili[[#This Row],[DnD_Zombies]],-12,0)</f>
        <v>0</v>
      </c>
      <c r="F76" s="433">
        <f ca="1">OFFSET(TblMili[[#This Row],[Unit 2]],-1,0) + OFFSET(TblMili[[#This Row],[Train Unit 2]],-9,0)-TblMili[[#This Row],[Release Unit 2]]</f>
        <v>0</v>
      </c>
      <c r="G76" s="430">
        <f ca="1">OFFSET(TblMili[[#This Row],[Unit 3]],-1,0) + OFFSET(TblMili[[#This Row],[Train Unit 3]],-12,0)-TblMili[[#This Row],[Release Unit 3]]</f>
        <v>0</v>
      </c>
      <c r="H76" s="433">
        <f ca="1">OFFSET(TblMili[[#This Row],[Unit 4]],-1,0) + OFFSET(TblMili[[#This Row],[Train Unit 4]],-12,0)-TblMili[[#This Row],[Release Unit 4]]</f>
        <v>0</v>
      </c>
      <c r="I76" s="433">
        <f ca="1">OFFSET(TblMili[[#This Row],[Spies]],-1,0) + OFFSET(TblMili[[#This Row],[Train Spies]],-12,0) - TblMili[[#This Row],[Release Spies]]-TblMili[[#This Row],[Train AS]]</f>
        <v>0</v>
      </c>
      <c r="J76" s="433">
        <f ca="1">OFFSET(TblMili[[#This Row],[Archspies]],-1,0) + OFFSET(TblMili[[#This Row],[Train AS]],-12,0) - TblMili[[#This Row],[Release AS]]</f>
        <v>0</v>
      </c>
      <c r="K76" s="433">
        <f ca="1">OFFSET(TblMili[[#This Row],[Wizards]],-1,0) + OFFSET(TblMili[[#This Row],[Train Wiz]],-12,0) - TblMili[[#This Row],[Release Wizards]]-TblMili[[#This Row],[Train AM]]</f>
        <v>0</v>
      </c>
      <c r="L76" s="433">
        <f ca="1">OFFSET(TblMili[[#This Row],[Archmages]],-1,0) + OFFSET(TblMili[[#This Row],[Train AM]],-12,0) - TblMili[[#This Row],[Release AM]]</f>
        <v>0</v>
      </c>
      <c r="M76" s="142"/>
      <c r="N76" s="430">
        <f ca="1">TblProd[[#This Row],[Networth]]</f>
        <v>2450</v>
      </c>
      <c r="O76" s="142"/>
      <c r="P76" s="441">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6" s="440">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6" s="441">
        <f ca="1">TblMili[[#This Row],[Raw]]*(1+TblMili[[#This Row],[Mods_Off]])</f>
        <v>0</v>
      </c>
      <c r="S76" s="441">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6" s="441">
        <f ca="1">TblMili[[#This Row],[Non Draft]]+TblMili[[#This Row],[Draftees]]</f>
        <v>589</v>
      </c>
      <c r="U76" s="442">
        <f ca="1">race_defense + TblImps[[#This Row],[Walls]] + ROUND( MIN(gt_bonus*TblConstr[[#This Row],[Tot GT]]/TblConstr[[#This Row],[Land]],gt_bonus_cap), 4) + IF(TblMagic[[#This Row],[Active Howling]]&gt;0,howling_dp_bonus,IF(TblMagic[[#This Row],[Active Ares Call]]&gt;0,ares_call_bonus))</f>
        <v>0</v>
      </c>
      <c r="V76" s="443">
        <f ca="1">TblMili[[#This Row],[Non Draft]] * (1 + TblMili[[#This Row],[Mods_Def]])</f>
        <v>0</v>
      </c>
      <c r="W76" s="441">
        <f ca="1">TblMili[[#This Row],[Draft]] * (1 + TblMili[[#This Row],[Mods_Def]])</f>
        <v>589</v>
      </c>
      <c r="X76" s="441">
        <f ca="1">TblConstr[[#This Row],[Land]]</f>
        <v>110</v>
      </c>
      <c r="Y76" s="250"/>
      <c r="Z76" s="444">
        <f ca="1">IF(TblMili[[#This Row],[Set]]&lt;&gt;"",TblMili[[#This Row],[Set]],OFFSET(TblMili[[#This Row],[Draftrate]],-1,0))</f>
        <v>0.9</v>
      </c>
      <c r="AA76" s="94">
        <f ca="1">OFFSET(TblMili[[#This Row],[Draftees]],-1,0)+OFFSET(TblPop[[#This Row],[Draft Growth]],-1,0) - SUM(TblMili[[#This Row],[Train Unit 1]:[Train Spies]],TblMili[[#This Row],[Train Wiz]],TblMili[[#This Row],[DnD_Zombies]]) - TblMili[[#This Row],[Release Draft]] + SUM(TblMili[[#This Row],[Release Unit 1]:[Release AM]]) - TblExplore[[#This Row],[Draftees (2)]]</f>
        <v>589</v>
      </c>
      <c r="AB76" s="154"/>
      <c r="AC76" s="429">
        <f ca="1">(TblConstr[[#This Row],[Tot Smi]]+TblConstr[[#This Row],[Dest Smi]])/(TblConstr[[#This Row],[Land]]-TblExplore[[#This Row],[Land Bonus]]*20)</f>
        <v>0</v>
      </c>
      <c r="AD76" s="137"/>
      <c r="AE76" s="246">
        <f>TblMili[[#This Row],[Hour]]</f>
        <v>73</v>
      </c>
      <c r="AF76" s="138">
        <f ca="1">TblExplore[[#This Row],[Time]]</f>
        <v>46049.999999999825</v>
      </c>
      <c r="AG76" s="179"/>
      <c r="AH76" s="158"/>
      <c r="AI76" s="179"/>
      <c r="AJ76" s="179"/>
      <c r="AK76" s="179"/>
      <c r="AL76" s="179"/>
      <c r="AM76" s="179"/>
      <c r="AN76" s="179"/>
      <c r="AO76" s="420">
        <f ca="1">ROUND(IF(AND(TblMagic[[#This Row],[Active DnD]]&lt;12,TblMagic[[#This Row],[Active DnD]]&gt;5),OFFSET(TblPop[[#This Row],[Draft Growth]],-1,0)*0.375,0),0)</f>
        <v>0</v>
      </c>
      <c r="AP76" s="142"/>
      <c r="AQ76" s="430">
        <f ca="1">TblProd[[#This Row],[Platinum]]</f>
        <v>168615</v>
      </c>
      <c r="AR76" s="430">
        <f ca="1">INDEX(TblProd[[#Headers],[Lumber]]:TblProd[[#This Row],[Ore]],COUNTA(TblProd[[#Headers],[Lumber]]:TblProd[[#This Row],[Lumber]]),MATCH(Military!$AR$2,TblProd[[#Headers],[Lumber]:[Ore]],0))</f>
        <v>0</v>
      </c>
      <c r="AS76" s="430">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6" s="430">
        <f ca="1">TblMili[[#This Row],[Train Unit 1]]*TblMili[[#This Row],[OP Ore]]+TblMili[[#This Row],[Train Unit 2]]*TblMili[[#This Row],[DP Ore]]+TblMili[[#This Row],[Train Unit 3]]*TblMili[[#This Row],[E1 Ore]]+TblMili[[#This Row],[Train Unit 4]]*TblMili[[#This Row],[E2 Ore]]</f>
        <v>0</v>
      </c>
      <c r="AU76" s="142">
        <f>TblMili[[#This Row],[Hour]]</f>
        <v>73</v>
      </c>
      <c r="AV76" s="152">
        <f ca="1">TblMili[[#This Row],[Time]]</f>
        <v>46049.999999999825</v>
      </c>
      <c r="AW76" s="430">
        <f ca="1">TblMili[[#This Row],[Draftees]]</f>
        <v>589</v>
      </c>
      <c r="AX76" s="158"/>
      <c r="AY76" s="179"/>
      <c r="AZ76" s="179"/>
      <c r="BA76" s="179"/>
      <c r="BB76" s="179"/>
      <c r="BC76" s="179"/>
      <c r="BD76" s="179"/>
      <c r="BE76" s="179"/>
      <c r="BF76" s="179"/>
      <c r="BG76" s="142"/>
      <c r="BH76" s="440">
        <f ca="1">TblConstr[[#This Row],[Tot WG]]/TblConstr[[#This Row],[Land]]</f>
        <v>0</v>
      </c>
      <c r="BI76" s="440">
        <f ca="1">TblConstr[[#This Row],[Tot Hav]]/TblConstr[[#This Row],[Land]]</f>
        <v>0</v>
      </c>
      <c r="BJ76" s="430">
        <f ca="1">ROUNDUP((1-MIN(TblMili[[#This Row],[Smithies]]*smithy_bonus,smithy_bonus_cap) + tech_3_5*TblTech[[#This Row],[3-5]] + tech_5_3*TblTech[[#This Row],[5-3]] + tech_5_5*TblTech[[#This Row],[5-5]])*spec_op_plat,0)</f>
        <v>275</v>
      </c>
      <c r="BK76" s="430">
        <f ca="1">ROUNDUP(IF(race="Gnome",1,(1-MIN(TblMili[[#This Row],[Smithies]]*smithy_bonus,smithy_bonus_cap) + tech_3_5*TblTech[[#This Row],[3-5]] + tech_5_3*TblTech[[#This Row],[5-3]] + tech_5_5*TblTech[[#This Row],[5-5]]))*spec_op_ore,0)</f>
        <v>25</v>
      </c>
      <c r="BL76" s="430">
        <f ca="1">ROUNDUP((1-MIN(TblMili[[#This Row],[Smithies]]*smithy_bonus,smithy_bonus_cap) + tech_3_5*TblTech[[#This Row],[3-5]] + tech_5_3*TblTech[[#This Row],[5-3]] + tech_5_5*TblTech[[#This Row],[5-5]])*spec_dp_plat,0)</f>
        <v>275</v>
      </c>
      <c r="BM76" s="430">
        <f ca="1">ROUNDUP(IF(race="Gnome",1,(1-MIN(TblMili[[#This Row],[Smithies]]*smithy_bonus,smithy_bonus_cap) + tech_3_5*TblTech[[#This Row],[3-5]] + tech_5_3*TblTech[[#This Row],[5-3]] + tech_5_5*TblTech[[#This Row],[5-5]]))*spec_dp_ore,0)</f>
        <v>15</v>
      </c>
      <c r="BN76" s="430">
        <f ca="1">ROUNDUP((1-MIN(TblMili[[#This Row],[Smithies]]*smithy_bonus,smithy_bonus_cap) + tech_3_5*TblTech[[#This Row],[3-5]] + tech_5_3*TblTech[[#This Row],[5-3]] + tech_5_5*TblTech[[#This Row],[5-5]])*elite1_plat,0)</f>
        <v>1040</v>
      </c>
      <c r="BO76" s="430">
        <f ca="1">ROUNDUP(IF(race="Gnome",1,(1-MIN(TblMili[[#This Row],[Smithies]]*smithy_bonus,smithy_bonus_cap) + tech_3_5*TblTech[[#This Row],[3-5]] + tech_5_3*TblTech[[#This Row],[5-3]] + tech_5_5*TblTech[[#This Row],[5-5]]))*elite1_ore,0)</f>
        <v>75</v>
      </c>
      <c r="BP76" s="430">
        <f ca="1">ROUNDUP((1-MIN(TblMili[[#This Row],[Smithies]]*smithy_bonus,smithy_bonus_cap) + tech_3_5*TblTech[[#This Row],[3-5]] + tech_5_3*TblTech[[#This Row],[5-3]] + tech_5_5*TblTech[[#This Row],[5-5]])*elite2_plat,0)</f>
        <v>1280</v>
      </c>
      <c r="BQ76" s="430">
        <f ca="1">ROUNDUP(IF(race="Gnome",1,(1-MIN(TblMili[[#This Row],[Smithies]]*smithy_bonus,smithy_bonus_cap) + tech_3_5*TblTech[[#This Row],[3-5]] + tech_5_3*TblTech[[#This Row],[5-3]] + tech_5_5*TblTech[[#This Row],[5-5]]))*elite2_ore,0)</f>
        <v>100</v>
      </c>
      <c r="BR76" s="430">
        <f ca="1">ROUNDUP((1-MIN(ROUND(fh_spy_cost_red*TblMili[[#This Row],[FH''s]],4),fh_spy_cost_cap)+ tech_1_9*TblTech[[#This Row],[1-9]] + tech_9_1*TblTech[[#This Row],[9-1]])*spy_plat,0)</f>
        <v>500</v>
      </c>
      <c r="BS76" s="430">
        <f ca="1">ROUNDUP((1-MIN(ROUND(fh_spy_cost_red*TblMili[[#This Row],[FH''s]],4),fh_spy_cost_cap)+ tech_1_9*TblTech[[#This Row],[1-9]] + tech_9_1*TblTech[[#This Row],[9-1]])*archspy_plat,0)</f>
        <v>1000</v>
      </c>
      <c r="BT76" s="430">
        <f ca="1">ROUNDUP((1-MIN(ROUND(wg_wiz_cost_bonus*TblMili[[#This Row],[WG''s]],4),wg_wiz_cost_cap) + tech_1_9_2*TblTech[[#This Row],[1-9]] + tech_9_1_2*TblTech[[#This Row],[9-1]])*wizard_plat,0)</f>
        <v>500</v>
      </c>
      <c r="BU76" s="430">
        <f ca="1">ROUNDUP((1-MIN(ROUND(wg_wiz_cost_bonus*TblMili[[#This Row],[WG''s]],4),wg_wiz_cost_cap) + tech_1_9_2*TblTech[[#This Row],[1-9]] + tech_9_1_2*TblTech[[#This Row],[9-1]])*archmage_plat,0)</f>
        <v>1000</v>
      </c>
      <c r="BV76" s="142"/>
      <c r="BW76" s="440">
        <f ca="1">TblConstr[[#This Row],[Homeland]]/TblConstr[[#This Row],[Land]]</f>
        <v>0.81818181818181823</v>
      </c>
      <c r="BX76" s="440">
        <f ca="1">TblMili[[#This Row],[WG''s]]</f>
        <v>0</v>
      </c>
      <c r="BY76" s="445">
        <f ca="1">IF(mystic_cap="none",TblMili[[#This Row],[Homeland%]]/mystic_bonus,MIN(mystic_cap,TblMili[[#This Row],[Homeland%]]/mystic_bonus))</f>
        <v>2</v>
      </c>
      <c r="BZ76" s="445">
        <f ca="1">IF(druid_op_cap="none",TblMili[[#This Row],[Homeland%]]/druid_op_bonus,MIN(druid_op_cap,TblMili[[#This Row],[Homeland%]]/druid_op_bonus))</f>
        <v>2</v>
      </c>
      <c r="CA76" s="445">
        <f ca="1">IF(druid_dp_cap="none",TblMili[[#This Row],[Homeland%]]/druid_dp_bonus,MIN(druid_dp_cap,TblMili[[#This Row],[Homeland%]]/druid_dp_bonus))</f>
        <v>2</v>
      </c>
      <c r="CB76" s="445">
        <f ca="1">MIN(dryad_cap,TblMili[[#This Row],[Homeland%]]/dryad_bonus)</f>
        <v>4</v>
      </c>
      <c r="CC76" s="445">
        <f ca="1">MIN(rocka_cap,TblMili[[#This Row],[Homeland%]]/rocka_bonus)</f>
        <v>2</v>
      </c>
      <c r="CD76" s="445">
        <f ca="1">MIN(adept_op_cap,TblMili[[#This Row],[WG]]/adept_op_bonus)</f>
        <v>0</v>
      </c>
      <c r="CE76" s="445">
        <f ca="1">MIN(adept_dp_cap,TblMili[[#This Row],[WG]]/adept_dp_bonus)</f>
        <v>0</v>
      </c>
      <c r="CF76" s="430">
        <f ca="1">MIN(TblMili[[#This Row],[Unit 3]],TblMili[[#This Row],[Unit 2]])*2</f>
        <v>0</v>
      </c>
      <c r="CG76" s="430">
        <f ca="1">MIN(TblMili[[#This Row],[Unit 1]],TblMili[[#This Row],[Unit 4]])*2</f>
        <v>0</v>
      </c>
      <c r="CH76" s="445">
        <f ca="1">MIN(frost_mage_cap,TblMili[[#This Row],[Homeland%]]/frost_mage_bonus)</f>
        <v>3</v>
      </c>
      <c r="CI76" s="433">
        <f ca="1">MIN(ice_elem_cap,TblMili[[#This Row],[Raw (2)]]*ice_elem_bonus)</f>
        <v>0</v>
      </c>
      <c r="CJ76" s="445">
        <f t="shared" si="3"/>
        <v>0.83333333333333337</v>
      </c>
      <c r="CK76" s="445">
        <f ca="1">MIN(nox_nightshade_cap,TblConstr[[#This Row],[Homeland]]/TblConstr[[#This Row],[Land]]/nox_nightshade_swamp_bonus)</f>
        <v>4</v>
      </c>
      <c r="CL76" s="445">
        <f ca="1">MIN(TblConstr[[#This Row],[Total Swamp]]/TblConstr[[#This Row],[Land]]/abyss_enforce_bonus,abyss_enforcer_cap)</f>
        <v>0</v>
      </c>
      <c r="CM76" s="445">
        <f ca="1">IF(TblMagic[[#This Row],[Active Infernal Command]]&gt;0,TblMili[[#This Row],[Unit 1]]*infernal_cmd_op,0)</f>
        <v>0</v>
      </c>
      <c r="CN76" s="252"/>
      <c r="CO76" s="252"/>
      <c r="CP76" s="252"/>
      <c r="CQ76" s="445">
        <f ca="1">MIN(6,TblMili[[#This Row],[Mystic]]+Races!$F$19)*1.8 +  IF(TblMili[[#This Row],[Mystic]]+Races!$F$19&gt;6,(TblMili[[#This Row],[Mystic]]+Races!$F$19-6)*0.2,0) - Races!$I$19</f>
        <v>1</v>
      </c>
      <c r="CR76" s="445">
        <f ca="1">1.8 * MIN(MAX(TblMili[[#This Row],[Druid (op)]]+Races!$E$20,TblMili[[#This Row],[Druid (dp)]]+Races!$F$20),6)  +  0.45 * MIN(MIN(TblMili[[#This Row],[Druid (op)]]+Races!$E$20,TblMili[[#This Row],[Druid (dp)]]+Races!$F$20),6)  +  0.2 * ( MAX(TblMili[[#This Row],[Druid (op)]]+Races!$E$20-6,0) + MAX(TblMili[[#This Row],[Druid (dp)]]+Races!$F$20-6,0) )  -  Races!$I$20</f>
        <v>4.6000000000000014</v>
      </c>
      <c r="CS76" s="430">
        <f ca="1">TblMili[[#This Row],[Mystic bonus]]*TblMili[[#This Row],[Unit 3]]+TblMili[[#This Row],[Druid bonus]]*TblMili[[#This Row],[Unit 4]]</f>
        <v>0</v>
      </c>
      <c r="CT76" s="446">
        <f ca="1">MIN(6,TblMili[[#This Row],[Dryad]]+Races!$F$35)*1.8 +  IF(TblMili[[#This Row],[Dryad]]+Races!$F$35&gt;6,(TblMili[[#This Row],[Dryad]]+Races!$F$35-6)*0.2,0) - Races!$I$19</f>
        <v>1</v>
      </c>
      <c r="CU76" s="430">
        <f ca="1">sylvan*(TblMili[[#This Row],[Mystic bonus]]*TblMili[[#This Row],[Unit 3]])</f>
        <v>0</v>
      </c>
      <c r="CV76" s="446">
        <f ca="1">1.8 * MIN(MAX(Races!$E$27,TblMili[[#This Row],[Rockapult]]+Races!$F$27),6)  +  0.45 * MIN(MIN(Races!$E$27,TblMili[[#This Row],[Rockapult]]+Races!$F$27),6)  +  0.2 * ( MAX(Races!$E$27-6,0) + MAX(TblMili[[#This Row],[Rockapult]]+Races!$F$27-6,0) )  -  Races!$I$20</f>
        <v>3.7000000000000011</v>
      </c>
      <c r="CW76" s="430">
        <f ca="1">gnome*(TblMili[[#This Row],[Rockapult bonus]]*TblMili[[#This Row],[Unit 3]])</f>
        <v>0</v>
      </c>
      <c r="CX76" s="446">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6" s="430">
        <f ca="1">dark_elf*(TblMili[[#This Row],[Adept bonus]]*TblMili[[#This Row],[Unit 3]])</f>
        <v>0</v>
      </c>
      <c r="CZ76" s="446">
        <f ca="1">1.8 * MIN(MAX(TblMili[[#This Row],[Frost Mage]]+Races!$F$71,Races!$E$71),6)  +  0.45 * MIN(MIN(TblMili[[#This Row],[Frost Mage]]+Races!$F$71,Races!$E$71),6)  +  0.2 * ( MAX(TblMili[[#This Row],[Frost Mage]]+Races!$F$71-6,0) + MAX(Races!$E$71-6,0) )  -  Races!$I$71</f>
        <v>6.15</v>
      </c>
      <c r="DA76" s="446">
        <f ca="1">1.8 * MIN(MAX(TblMili[[#This Row],[Ice Elemental]]+Races!$E$71,Races!$F$71),6)  +  0.45 * MIN(MIN(TblMili[[#This Row],[Ice Elemental]]+Races!$E$71,Races!$F$71),6)  +  0.2 * ( MAX(TblMili[[#This Row],[Ice Elemental]]+Races!$E$71-6,0) + MAX(Races!$F$71-6,0) )  -  Races!$I$71</f>
        <v>0.75</v>
      </c>
      <c r="DB76" s="430">
        <f ca="1">TblMili[[#This Row],[Frost Mage bonus]]*TblMili[[#This Row],[Unit 3]]+TblMili[[#This Row],[Ice Elemental bonus]]*TblMili[[#This Row],[Unit 4]]</f>
        <v>0</v>
      </c>
      <c r="DC76" s="253"/>
      <c r="DD76" s="143">
        <f ca="1">MIN(SUM(TblConstr[[#This Row],[Plain]:[Water]])/TblMili[[#This Row],[Land]]/favorable_terrain_bonus/100,favorable_terrain_max)</f>
        <v>0.1</v>
      </c>
      <c r="DE76" s="253"/>
      <c r="DF76" s="430">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6" s="142"/>
      <c r="DH76" s="447">
        <f ca="1">(TblMili[[#This Row],[Wizards]]+2*TblMili[[#This Row],[Archmages]])/TblConstr[[#This Row],[Land]]</f>
        <v>0</v>
      </c>
      <c r="DI76" s="447">
        <f ca="1">TblMili[[#This Row],[Raw (2)]]*(1+race_wizard_strength+IF(TblMili[[#This Row],[Hour]]&gt;72,tech_magical_weaponry_wiz*TblTech[[#This Row],[3-5]],0))</f>
        <v>0</v>
      </c>
    </row>
    <row r="77" spans="1:113" x14ac:dyDescent="0.2">
      <c r="A77" s="137">
        <f>TblRezone[[#This Row],[Hour]]</f>
        <v>74</v>
      </c>
      <c r="B77" s="246">
        <f ca="1">SUM(TblMili[[#This Row],[Unit 1]:[Archmages]])+SUM(OFFSET(TblMili[[#This Row],[Train Unit 1]],-8,0):TblMili[[#This Row],[Train Unit 2]]) + SUM(OFFSET(TblMili[[#This Row],[Train Unit 3]],-11,0):TblMili[[#This Row],[Train AM]]) + TblMili[[#This Row],[Draftees]]</f>
        <v>594</v>
      </c>
      <c r="C77" s="157">
        <f ca="1">TblPop[[#This Row],[Military%]]</f>
        <v>0.55204460966542745</v>
      </c>
      <c r="D77" s="142"/>
      <c r="E77" s="45">
        <f ca="1">OFFSET(TblMili[[#This Row],[Unit 1]],-1,0) + OFFSET(TblMili[[#This Row],[Train Unit 1]],-9,0) - TblMili[[#This Row],[Release Unit 1]] + OFFSET(TblMili[[#This Row],[DnD_Zombies]],-12,0)</f>
        <v>0</v>
      </c>
      <c r="F77" s="45">
        <f ca="1">OFFSET(TblMili[[#This Row],[Unit 2]],-1,0) + OFFSET(TblMili[[#This Row],[Train Unit 2]],-9,0)-TblMili[[#This Row],[Release Unit 2]]</f>
        <v>0</v>
      </c>
      <c r="G77" s="45">
        <f ca="1">OFFSET(TblMili[[#This Row],[Unit 3]],-1,0) + OFFSET(TblMili[[#This Row],[Train Unit 3]],-12,0)-TblMili[[#This Row],[Release Unit 3]]</f>
        <v>0</v>
      </c>
      <c r="H77" s="45">
        <f ca="1">OFFSET(TblMili[[#This Row],[Unit 4]],-1,0) + OFFSET(TblMili[[#This Row],[Train Unit 4]],-12,0)-TblMili[[#This Row],[Release Unit 4]]</f>
        <v>0</v>
      </c>
      <c r="I77" s="45">
        <f ca="1">OFFSET(TblMili[[#This Row],[Spies]],-1,0) + OFFSET(TblMili[[#This Row],[Train Spies]],-12,0) - TblMili[[#This Row],[Release Spies]]-TblMili[[#This Row],[Train AS]]</f>
        <v>0</v>
      </c>
      <c r="J77" s="45">
        <f ca="1">OFFSET(TblMili[[#This Row],[Archspies]],-1,0) + OFFSET(TblMili[[#This Row],[Train AS]],-12,0) - TblMili[[#This Row],[Release AS]]</f>
        <v>0</v>
      </c>
      <c r="K77" s="45">
        <f ca="1">OFFSET(TblMili[[#This Row],[Wizards]],-1,0) + OFFSET(TblMili[[#This Row],[Train Wiz]],-12,0) - TblMili[[#This Row],[Release Wizards]]-TblMili[[#This Row],[Train AM]]</f>
        <v>0</v>
      </c>
      <c r="L77" s="45">
        <f ca="1">OFFSET(TblMili[[#This Row],[Archmages]],-1,0) + OFFSET(TblMili[[#This Row],[Train AM]],-12,0) - TblMili[[#This Row],[Release AM]]</f>
        <v>0</v>
      </c>
      <c r="M77" s="142"/>
      <c r="N77" s="94">
        <f ca="1">TblProd[[#This Row],[Networth]]</f>
        <v>2450</v>
      </c>
      <c r="O77" s="142"/>
      <c r="P7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7" s="247">
        <f ca="1">TblMili[[#This Row],[Raw]]*(1+TblMili[[#This Row],[Mods_Off]])</f>
        <v>0</v>
      </c>
      <c r="S7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7" s="247">
        <f ca="1">TblMili[[#This Row],[Non Draft]]+TblMili[[#This Row],[Draftees]]</f>
        <v>594</v>
      </c>
      <c r="U77" s="248">
        <f ca="1">race_defense + TblImps[[#This Row],[Walls]] + ROUND( MIN(gt_bonus*TblConstr[[#This Row],[Tot GT]]/TblConstr[[#This Row],[Land]],gt_bonus_cap), 4) + IF(TblMagic[[#This Row],[Active Howling]]&gt;0,howling_dp_bonus,IF(TblMagic[[#This Row],[Active Ares Call]]&gt;0,ares_call_bonus))</f>
        <v>0</v>
      </c>
      <c r="V77" s="249">
        <f ca="1">TblMili[[#This Row],[Non Draft]] * (1 + TblMili[[#This Row],[Mods_Def]])</f>
        <v>0</v>
      </c>
      <c r="W77" s="247">
        <f ca="1">TblMili[[#This Row],[Draft]] * (1 + TblMili[[#This Row],[Mods_Def]])</f>
        <v>594</v>
      </c>
      <c r="X77" s="247">
        <f ca="1">TblConstr[[#This Row],[Land]]</f>
        <v>110</v>
      </c>
      <c r="Y77" s="250"/>
      <c r="Z77" s="255">
        <f ca="1">IF(TblMili[[#This Row],[Set]]&lt;&gt;"",TblMili[[#This Row],[Set]],OFFSET(TblMili[[#This Row],[Draftrate]],-1,0))</f>
        <v>0.9</v>
      </c>
      <c r="AA77" s="94">
        <f ca="1">OFFSET(TblMili[[#This Row],[Draftees]],-1,0)+OFFSET(TblPop[[#This Row],[Draft Growth]],-1,0) - SUM(TblMili[[#This Row],[Train Unit 1]:[Train Spies]],TblMili[[#This Row],[Train Wiz]],TblMili[[#This Row],[DnD_Zombies]]) - TblMili[[#This Row],[Release Draft]] + SUM(TblMili[[#This Row],[Release Unit 1]:[Release AM]]) - TblExplore[[#This Row],[Draftees (2)]]</f>
        <v>594</v>
      </c>
      <c r="AB77" s="154"/>
      <c r="AC77" s="180">
        <f ca="1">(TblConstr[[#This Row],[Tot Smi]]+TblConstr[[#This Row],[Dest Smi]])/(TblConstr[[#This Row],[Land]]-TblExplore[[#This Row],[Land Bonus]]*20)</f>
        <v>0</v>
      </c>
      <c r="AD77" s="137"/>
      <c r="AE77" s="246">
        <f>TblMili[[#This Row],[Hour]]</f>
        <v>74</v>
      </c>
      <c r="AF77" s="138">
        <f ca="1">TblExplore[[#This Row],[Time]]</f>
        <v>46050.04166666649</v>
      </c>
      <c r="AG77" s="179"/>
      <c r="AH77" s="158"/>
      <c r="AI77" s="179"/>
      <c r="AJ77" s="179"/>
      <c r="AK77" s="179"/>
      <c r="AL77" s="179"/>
      <c r="AM77" s="179"/>
      <c r="AN77" s="179"/>
      <c r="AO77" s="420">
        <f ca="1">ROUND(IF(AND(TblMagic[[#This Row],[Active DnD]]&lt;12,TblMagic[[#This Row],[Active DnD]]&gt;5),OFFSET(TblPop[[#This Row],[Draft Growth]],-1,0)*0.375,0),0)</f>
        <v>0</v>
      </c>
      <c r="AP77" s="142"/>
      <c r="AQ77" s="94">
        <f ca="1">TblProd[[#This Row],[Platinum]]</f>
        <v>169929</v>
      </c>
      <c r="AR77" s="94">
        <f ca="1">INDEX(TblProd[[#Headers],[Lumber]]:TblProd[[#This Row],[Ore]],COUNTA(TblProd[[#Headers],[Lumber]]:TblProd[[#This Row],[Lumber]]),MATCH(Military!$AR$2,TblProd[[#Headers],[Lumber]:[Ore]],0))</f>
        <v>0</v>
      </c>
      <c r="AS7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7" s="94">
        <f ca="1">TblMili[[#This Row],[Train Unit 1]]*TblMili[[#This Row],[OP Ore]]+TblMili[[#This Row],[Train Unit 2]]*TblMili[[#This Row],[DP Ore]]+TblMili[[#This Row],[Train Unit 3]]*TblMili[[#This Row],[E1 Ore]]+TblMili[[#This Row],[Train Unit 4]]*TblMili[[#This Row],[E2 Ore]]</f>
        <v>0</v>
      </c>
      <c r="AU77" s="142">
        <f>TblMili[[#This Row],[Hour]]</f>
        <v>74</v>
      </c>
      <c r="AV77" s="152">
        <f ca="1">TblMili[[#This Row],[Time]]</f>
        <v>46050.04166666649</v>
      </c>
      <c r="AW77" s="94">
        <f ca="1">TblMili[[#This Row],[Draftees]]</f>
        <v>594</v>
      </c>
      <c r="AX77" s="158"/>
      <c r="AY77" s="179"/>
      <c r="AZ77" s="179"/>
      <c r="BA77" s="179"/>
      <c r="BB77" s="179"/>
      <c r="BC77" s="179"/>
      <c r="BD77" s="179"/>
      <c r="BE77" s="179"/>
      <c r="BF77" s="179"/>
      <c r="BG77" s="142"/>
      <c r="BH77" s="157">
        <f ca="1">TblConstr[[#This Row],[Tot WG]]/TblConstr[[#This Row],[Land]]</f>
        <v>0</v>
      </c>
      <c r="BI77" s="157">
        <f ca="1">TblConstr[[#This Row],[Tot Hav]]/TblConstr[[#This Row],[Land]]</f>
        <v>0</v>
      </c>
      <c r="BJ77" s="94">
        <f ca="1">ROUNDUP((1-MIN(TblMili[[#This Row],[Smithies]]*smithy_bonus,smithy_bonus_cap) + tech_3_5*TblTech[[#This Row],[3-5]] + tech_5_3*TblTech[[#This Row],[5-3]] + tech_5_5*TblTech[[#This Row],[5-5]])*spec_op_plat,0)</f>
        <v>275</v>
      </c>
      <c r="BK77" s="94">
        <f ca="1">ROUNDUP(IF(race="Gnome",1,(1-MIN(TblMili[[#This Row],[Smithies]]*smithy_bonus,smithy_bonus_cap) + tech_3_5*TblTech[[#This Row],[3-5]] + tech_5_3*TblTech[[#This Row],[5-3]] + tech_5_5*TblTech[[#This Row],[5-5]]))*spec_op_ore,0)</f>
        <v>25</v>
      </c>
      <c r="BL77" s="94">
        <f ca="1">ROUNDUP((1-MIN(TblMili[[#This Row],[Smithies]]*smithy_bonus,smithy_bonus_cap) + tech_3_5*TblTech[[#This Row],[3-5]] + tech_5_3*TblTech[[#This Row],[5-3]] + tech_5_5*TblTech[[#This Row],[5-5]])*spec_dp_plat,0)</f>
        <v>275</v>
      </c>
      <c r="BM77" s="94">
        <f ca="1">ROUNDUP(IF(race="Gnome",1,(1-MIN(TblMili[[#This Row],[Smithies]]*smithy_bonus,smithy_bonus_cap) + tech_3_5*TblTech[[#This Row],[3-5]] + tech_5_3*TblTech[[#This Row],[5-3]] + tech_5_5*TblTech[[#This Row],[5-5]]))*spec_dp_ore,0)</f>
        <v>15</v>
      </c>
      <c r="BN77" s="94">
        <f ca="1">ROUNDUP((1-MIN(TblMili[[#This Row],[Smithies]]*smithy_bonus,smithy_bonus_cap) + tech_3_5*TblTech[[#This Row],[3-5]] + tech_5_3*TblTech[[#This Row],[5-3]] + tech_5_5*TblTech[[#This Row],[5-5]])*elite1_plat,0)</f>
        <v>1040</v>
      </c>
      <c r="BO77" s="94">
        <f ca="1">ROUNDUP(IF(race="Gnome",1,(1-MIN(TblMili[[#This Row],[Smithies]]*smithy_bonus,smithy_bonus_cap) + tech_3_5*TblTech[[#This Row],[3-5]] + tech_5_3*TblTech[[#This Row],[5-3]] + tech_5_5*TblTech[[#This Row],[5-5]]))*elite1_ore,0)</f>
        <v>75</v>
      </c>
      <c r="BP77" s="94">
        <f ca="1">ROUNDUP((1-MIN(TblMili[[#This Row],[Smithies]]*smithy_bonus,smithy_bonus_cap) + tech_3_5*TblTech[[#This Row],[3-5]] + tech_5_3*TblTech[[#This Row],[5-3]] + tech_5_5*TblTech[[#This Row],[5-5]])*elite2_plat,0)</f>
        <v>1280</v>
      </c>
      <c r="BQ77" s="94">
        <f ca="1">ROUNDUP(IF(race="Gnome",1,(1-MIN(TblMili[[#This Row],[Smithies]]*smithy_bonus,smithy_bonus_cap) + tech_3_5*TblTech[[#This Row],[3-5]] + tech_5_3*TblTech[[#This Row],[5-3]] + tech_5_5*TblTech[[#This Row],[5-5]]))*elite2_ore,0)</f>
        <v>100</v>
      </c>
      <c r="BR77" s="94">
        <f ca="1">ROUNDUP((1-MIN(ROUND(fh_spy_cost_red*TblMili[[#This Row],[FH''s]],4),fh_spy_cost_cap)+ tech_1_9*TblTech[[#This Row],[1-9]] + tech_9_1*TblTech[[#This Row],[9-1]])*spy_plat,0)</f>
        <v>500</v>
      </c>
      <c r="BS77" s="94">
        <f ca="1">ROUNDUP((1-MIN(ROUND(fh_spy_cost_red*TblMili[[#This Row],[FH''s]],4),fh_spy_cost_cap)+ tech_1_9*TblTech[[#This Row],[1-9]] + tech_9_1*TblTech[[#This Row],[9-1]])*archspy_plat,0)</f>
        <v>1000</v>
      </c>
      <c r="BT77" s="94">
        <f ca="1">ROUNDUP((1-MIN(ROUND(wg_wiz_cost_bonus*TblMili[[#This Row],[WG''s]],4),wg_wiz_cost_cap) + tech_1_9_2*TblTech[[#This Row],[1-9]] + tech_9_1_2*TblTech[[#This Row],[9-1]])*wizard_plat,0)</f>
        <v>500</v>
      </c>
      <c r="BU77" s="94">
        <f ca="1">ROUNDUP((1-MIN(ROUND(wg_wiz_cost_bonus*TblMili[[#This Row],[WG''s]],4),wg_wiz_cost_cap) + tech_1_9_2*TblTech[[#This Row],[1-9]] + tech_9_1_2*TblTech[[#This Row],[9-1]])*archmage_plat,0)</f>
        <v>1000</v>
      </c>
      <c r="BV77" s="142"/>
      <c r="BW77" s="157">
        <f ca="1">TblConstr[[#This Row],[Homeland]]/TblConstr[[#This Row],[Land]]</f>
        <v>0.81818181818181823</v>
      </c>
      <c r="BX77" s="157">
        <f ca="1">TblMili[[#This Row],[WG''s]]</f>
        <v>0</v>
      </c>
      <c r="BY77" s="251">
        <f ca="1">IF(mystic_cap="none",TblMili[[#This Row],[Homeland%]]/mystic_bonus,MIN(mystic_cap,TblMili[[#This Row],[Homeland%]]/mystic_bonus))</f>
        <v>2</v>
      </c>
      <c r="BZ77" s="251">
        <f ca="1">IF(druid_op_cap="none",TblMili[[#This Row],[Homeland%]]/druid_op_bonus,MIN(druid_op_cap,TblMili[[#This Row],[Homeland%]]/druid_op_bonus))</f>
        <v>2</v>
      </c>
      <c r="CA77" s="251">
        <f ca="1">IF(druid_dp_cap="none",TblMili[[#This Row],[Homeland%]]/druid_dp_bonus,MIN(druid_dp_cap,TblMili[[#This Row],[Homeland%]]/druid_dp_bonus))</f>
        <v>2</v>
      </c>
      <c r="CB77" s="251">
        <f ca="1">MIN(dryad_cap,TblMili[[#This Row],[Homeland%]]/dryad_bonus)</f>
        <v>4</v>
      </c>
      <c r="CC77" s="251">
        <f ca="1">MIN(rocka_cap,TblMili[[#This Row],[Homeland%]]/rocka_bonus)</f>
        <v>2</v>
      </c>
      <c r="CD77" s="251">
        <f ca="1">MIN(adept_op_cap,TblMili[[#This Row],[WG]]/adept_op_bonus)</f>
        <v>0</v>
      </c>
      <c r="CE77" s="251">
        <f ca="1">MIN(adept_dp_cap,TblMili[[#This Row],[WG]]/adept_dp_bonus)</f>
        <v>0</v>
      </c>
      <c r="CF77" s="94">
        <f ca="1">MIN(TblMili[[#This Row],[Unit 3]],TblMili[[#This Row],[Unit 2]])*2</f>
        <v>0</v>
      </c>
      <c r="CG77" s="94">
        <f ca="1">MIN(TblMili[[#This Row],[Unit 1]],TblMili[[#This Row],[Unit 4]])*2</f>
        <v>0</v>
      </c>
      <c r="CH77" s="251">
        <f ca="1">MIN(frost_mage_cap,TblMili[[#This Row],[Homeland%]]/frost_mage_bonus)</f>
        <v>3</v>
      </c>
      <c r="CI77" s="45">
        <f ca="1">MIN(ice_elem_cap,TblMili[[#This Row],[Raw (2)]]*ice_elem_bonus)</f>
        <v>0</v>
      </c>
      <c r="CJ77" s="251">
        <f t="shared" si="3"/>
        <v>0.83333333333333337</v>
      </c>
      <c r="CK77" s="251">
        <f ca="1">MIN(nox_nightshade_cap,TblConstr[[#This Row],[Homeland]]/TblConstr[[#This Row],[Land]]/nox_nightshade_swamp_bonus)</f>
        <v>4</v>
      </c>
      <c r="CL77" s="251">
        <f ca="1">MIN(TblConstr[[#This Row],[Total Swamp]]/TblConstr[[#This Row],[Land]]/abyss_enforce_bonus,abyss_enforcer_cap)</f>
        <v>0</v>
      </c>
      <c r="CM77" s="251">
        <f ca="1">IF(TblMagic[[#This Row],[Active Infernal Command]]&gt;0,TblMili[[#This Row],[Unit 1]]*infernal_cmd_op,0)</f>
        <v>0</v>
      </c>
      <c r="CN77" s="252"/>
      <c r="CO77" s="252"/>
      <c r="CP77" s="252"/>
      <c r="CQ77" s="251">
        <f ca="1">MIN(6,TblMili[[#This Row],[Mystic]]+Races!$F$19)*1.8 +  IF(TblMili[[#This Row],[Mystic]]+Races!$F$19&gt;6,(TblMili[[#This Row],[Mystic]]+Races!$F$19-6)*0.2,0) - Races!$I$19</f>
        <v>1</v>
      </c>
      <c r="CR7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7" s="94">
        <f ca="1">TblMili[[#This Row],[Mystic bonus]]*TblMili[[#This Row],[Unit 3]]+TblMili[[#This Row],[Druid bonus]]*TblMili[[#This Row],[Unit 4]]</f>
        <v>0</v>
      </c>
      <c r="CT77" s="155">
        <f ca="1">MIN(6,TblMili[[#This Row],[Dryad]]+Races!$F$35)*1.8 +  IF(TblMili[[#This Row],[Dryad]]+Races!$F$35&gt;6,(TblMili[[#This Row],[Dryad]]+Races!$F$35-6)*0.2,0) - Races!$I$19</f>
        <v>1</v>
      </c>
      <c r="CU77" s="94">
        <f ca="1">sylvan*(TblMili[[#This Row],[Mystic bonus]]*TblMili[[#This Row],[Unit 3]])</f>
        <v>0</v>
      </c>
      <c r="CV77" s="155">
        <f ca="1">1.8 * MIN(MAX(Races!$E$27,TblMili[[#This Row],[Rockapult]]+Races!$F$27),6)  +  0.45 * MIN(MIN(Races!$E$27,TblMili[[#This Row],[Rockapult]]+Races!$F$27),6)  +  0.2 * ( MAX(Races!$E$27-6,0) + MAX(TblMili[[#This Row],[Rockapult]]+Races!$F$27-6,0) )  -  Races!$I$20</f>
        <v>3.7000000000000011</v>
      </c>
      <c r="CW77" s="94">
        <f ca="1">gnome*(TblMili[[#This Row],[Rockapult bonus]]*TblMili[[#This Row],[Unit 3]])</f>
        <v>0</v>
      </c>
      <c r="CX7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7" s="94">
        <f ca="1">dark_elf*(TblMili[[#This Row],[Adept bonus]]*TblMili[[#This Row],[Unit 3]])</f>
        <v>0</v>
      </c>
      <c r="CZ77" s="155">
        <f ca="1">1.8 * MIN(MAX(TblMili[[#This Row],[Frost Mage]]+Races!$F$71,Races!$E$71),6)  +  0.45 * MIN(MIN(TblMili[[#This Row],[Frost Mage]]+Races!$F$71,Races!$E$71),6)  +  0.2 * ( MAX(TblMili[[#This Row],[Frost Mage]]+Races!$F$71-6,0) + MAX(Races!$E$71-6,0) )  -  Races!$I$71</f>
        <v>6.15</v>
      </c>
      <c r="DA77" s="155">
        <f ca="1">1.8 * MIN(MAX(TblMili[[#This Row],[Ice Elemental]]+Races!$E$71,Races!$F$71),6)  +  0.45 * MIN(MIN(TblMili[[#This Row],[Ice Elemental]]+Races!$E$71,Races!$F$71),6)  +  0.2 * ( MAX(TblMili[[#This Row],[Ice Elemental]]+Races!$E$71-6,0) + MAX(Races!$F$71-6,0) )  -  Races!$I$71</f>
        <v>0.75</v>
      </c>
      <c r="DB77" s="94">
        <f ca="1">TblMili[[#This Row],[Frost Mage bonus]]*TblMili[[#This Row],[Unit 3]]+TblMili[[#This Row],[Ice Elemental bonus]]*TblMili[[#This Row],[Unit 4]]</f>
        <v>0</v>
      </c>
      <c r="DC77" s="253"/>
      <c r="DD77" s="143">
        <f ca="1">MIN(SUM(TblConstr[[#This Row],[Plain]:[Water]])/TblMili[[#This Row],[Land]]/favorable_terrain_bonus/100,favorable_terrain_max)</f>
        <v>0.1</v>
      </c>
      <c r="DE77" s="253"/>
      <c r="DF7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7" s="142"/>
      <c r="DH77" s="254">
        <f ca="1">(TblMili[[#This Row],[Wizards]]+2*TblMili[[#This Row],[Archmages]])/TblConstr[[#This Row],[Land]]</f>
        <v>0</v>
      </c>
      <c r="DI77" s="254">
        <f ca="1">TblMili[[#This Row],[Raw (2)]]*(1+race_wizard_strength+IF(TblMili[[#This Row],[Hour]]&gt;72,tech_magical_weaponry_wiz*TblTech[[#This Row],[3-5]],0))</f>
        <v>0</v>
      </c>
    </row>
    <row r="78" spans="1:113" x14ac:dyDescent="0.2">
      <c r="A78" s="137">
        <f>TblRezone[[#This Row],[Hour]]</f>
        <v>75</v>
      </c>
      <c r="B78" s="246">
        <f ca="1">SUM(TblMili[[#This Row],[Unit 1]:[Archmages]])+SUM(OFFSET(TblMili[[#This Row],[Train Unit 1]],-8,0):TblMili[[#This Row],[Train Unit 2]]) + SUM(OFFSET(TblMili[[#This Row],[Train Unit 3]],-11,0):TblMili[[#This Row],[Train AM]]) + TblMili[[#This Row],[Draftees]]</f>
        <v>599</v>
      </c>
      <c r="C78" s="157">
        <f ca="1">TblPop[[#This Row],[Military%]]</f>
        <v>0.55669144981412644</v>
      </c>
      <c r="D78" s="142"/>
      <c r="E78" s="45">
        <f ca="1">OFFSET(TblMili[[#This Row],[Unit 1]],-1,0) + OFFSET(TblMili[[#This Row],[Train Unit 1]],-9,0) - TblMili[[#This Row],[Release Unit 1]] + OFFSET(TblMili[[#This Row],[DnD_Zombies]],-12,0)</f>
        <v>0</v>
      </c>
      <c r="F78" s="45">
        <f ca="1">OFFSET(TblMili[[#This Row],[Unit 2]],-1,0) + OFFSET(TblMili[[#This Row],[Train Unit 2]],-9,0)-TblMili[[#This Row],[Release Unit 2]]</f>
        <v>0</v>
      </c>
      <c r="G78" s="45">
        <f ca="1">OFFSET(TblMili[[#This Row],[Unit 3]],-1,0) + OFFSET(TblMili[[#This Row],[Train Unit 3]],-12,0)-TblMili[[#This Row],[Release Unit 3]]</f>
        <v>0</v>
      </c>
      <c r="H78" s="45">
        <f ca="1">OFFSET(TblMili[[#This Row],[Unit 4]],-1,0) + OFFSET(TblMili[[#This Row],[Train Unit 4]],-12,0)-TblMili[[#This Row],[Release Unit 4]]</f>
        <v>0</v>
      </c>
      <c r="I78" s="45">
        <f ca="1">OFFSET(TblMili[[#This Row],[Spies]],-1,0) + OFFSET(TblMili[[#This Row],[Train Spies]],-12,0) - TblMili[[#This Row],[Release Spies]]-TblMili[[#This Row],[Train AS]]</f>
        <v>0</v>
      </c>
      <c r="J78" s="45">
        <f ca="1">OFFSET(TblMili[[#This Row],[Archspies]],-1,0) + OFFSET(TblMili[[#This Row],[Train AS]],-12,0) - TblMili[[#This Row],[Release AS]]</f>
        <v>0</v>
      </c>
      <c r="K78" s="45">
        <f ca="1">OFFSET(TblMili[[#This Row],[Wizards]],-1,0) + OFFSET(TblMili[[#This Row],[Train Wiz]],-12,0) - TblMili[[#This Row],[Release Wizards]]-TblMili[[#This Row],[Train AM]]</f>
        <v>0</v>
      </c>
      <c r="L78" s="45">
        <f ca="1">OFFSET(TblMili[[#This Row],[Archmages]],-1,0) + OFFSET(TblMili[[#This Row],[Train AM]],-12,0) - TblMili[[#This Row],[Release AM]]</f>
        <v>0</v>
      </c>
      <c r="M78" s="142"/>
      <c r="N78" s="94">
        <f ca="1">TblProd[[#This Row],[Networth]]</f>
        <v>2450</v>
      </c>
      <c r="O78" s="142"/>
      <c r="P7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8" s="247">
        <f ca="1">TblMili[[#This Row],[Raw]]*(1+TblMili[[#This Row],[Mods_Off]])</f>
        <v>0</v>
      </c>
      <c r="S7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8" s="247">
        <f ca="1">TblMili[[#This Row],[Non Draft]]+TblMili[[#This Row],[Draftees]]</f>
        <v>599</v>
      </c>
      <c r="U78" s="248">
        <f ca="1">race_defense + TblImps[[#This Row],[Walls]] + ROUND( MIN(gt_bonus*TblConstr[[#This Row],[Tot GT]]/TblConstr[[#This Row],[Land]],gt_bonus_cap), 4) + IF(TblMagic[[#This Row],[Active Howling]]&gt;0,howling_dp_bonus,IF(TblMagic[[#This Row],[Active Ares Call]]&gt;0,ares_call_bonus))</f>
        <v>0</v>
      </c>
      <c r="V78" s="249">
        <f ca="1">TblMili[[#This Row],[Non Draft]] * (1 + TblMili[[#This Row],[Mods_Def]])</f>
        <v>0</v>
      </c>
      <c r="W78" s="247">
        <f ca="1">TblMili[[#This Row],[Draft]] * (1 + TblMili[[#This Row],[Mods_Def]])</f>
        <v>599</v>
      </c>
      <c r="X78" s="247">
        <f ca="1">TblConstr[[#This Row],[Land]]</f>
        <v>110</v>
      </c>
      <c r="Y78" s="250"/>
      <c r="Z78" s="255">
        <f ca="1">IF(TblMili[[#This Row],[Set]]&lt;&gt;"",TblMili[[#This Row],[Set]],OFFSET(TblMili[[#This Row],[Draftrate]],-1,0))</f>
        <v>0.9</v>
      </c>
      <c r="AA78" s="94">
        <f ca="1">OFFSET(TblMili[[#This Row],[Draftees]],-1,0)+OFFSET(TblPop[[#This Row],[Draft Growth]],-1,0) - SUM(TblMili[[#This Row],[Train Unit 1]:[Train Spies]],TblMili[[#This Row],[Train Wiz]],TblMili[[#This Row],[DnD_Zombies]]) - TblMili[[#This Row],[Release Draft]] + SUM(TblMili[[#This Row],[Release Unit 1]:[Release AM]]) - TblExplore[[#This Row],[Draftees (2)]]</f>
        <v>599</v>
      </c>
      <c r="AB78" s="154"/>
      <c r="AC78" s="180">
        <f ca="1">(TblConstr[[#This Row],[Tot Smi]]+TblConstr[[#This Row],[Dest Smi]])/(TblConstr[[#This Row],[Land]]-TblExplore[[#This Row],[Land Bonus]]*20)</f>
        <v>0</v>
      </c>
      <c r="AD78" s="137"/>
      <c r="AE78" s="246">
        <f>TblMili[[#This Row],[Hour]]</f>
        <v>75</v>
      </c>
      <c r="AF78" s="138">
        <f ca="1">TblExplore[[#This Row],[Time]]</f>
        <v>46050.083333333154</v>
      </c>
      <c r="AG78" s="179"/>
      <c r="AH78" s="158"/>
      <c r="AI78" s="179"/>
      <c r="AJ78" s="179"/>
      <c r="AK78" s="179"/>
      <c r="AL78" s="179"/>
      <c r="AM78" s="179"/>
      <c r="AN78" s="179"/>
      <c r="AO78" s="420">
        <f ca="1">ROUND(IF(AND(TblMagic[[#This Row],[Active DnD]]&lt;12,TblMagic[[#This Row],[Active DnD]]&gt;5),OFFSET(TblPop[[#This Row],[Draft Growth]],-1,0)*0.375,0),0)</f>
        <v>0</v>
      </c>
      <c r="AP78" s="142"/>
      <c r="AQ78" s="94">
        <f ca="1">TblProd[[#This Row],[Platinum]]</f>
        <v>171230</v>
      </c>
      <c r="AR78" s="94">
        <f ca="1">INDEX(TblProd[[#Headers],[Lumber]]:TblProd[[#This Row],[Ore]],COUNTA(TblProd[[#Headers],[Lumber]]:TblProd[[#This Row],[Lumber]]),MATCH(Military!$AR$2,TblProd[[#Headers],[Lumber]:[Ore]],0))</f>
        <v>0</v>
      </c>
      <c r="AS7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8" s="94">
        <f ca="1">TblMili[[#This Row],[Train Unit 1]]*TblMili[[#This Row],[OP Ore]]+TblMili[[#This Row],[Train Unit 2]]*TblMili[[#This Row],[DP Ore]]+TblMili[[#This Row],[Train Unit 3]]*TblMili[[#This Row],[E1 Ore]]+TblMili[[#This Row],[Train Unit 4]]*TblMili[[#This Row],[E2 Ore]]</f>
        <v>0</v>
      </c>
      <c r="AU78" s="142">
        <f>TblMili[[#This Row],[Hour]]</f>
        <v>75</v>
      </c>
      <c r="AV78" s="152">
        <f ca="1">TblMili[[#This Row],[Time]]</f>
        <v>46050.083333333154</v>
      </c>
      <c r="AW78" s="94">
        <f ca="1">TblMili[[#This Row],[Draftees]]</f>
        <v>599</v>
      </c>
      <c r="AX78" s="179"/>
      <c r="AY78" s="179"/>
      <c r="AZ78" s="179"/>
      <c r="BA78" s="179"/>
      <c r="BB78" s="179"/>
      <c r="BC78" s="179"/>
      <c r="BD78" s="179"/>
      <c r="BE78" s="179"/>
      <c r="BF78" s="179"/>
      <c r="BG78" s="142"/>
      <c r="BH78" s="157">
        <f ca="1">TblConstr[[#This Row],[Tot WG]]/TblConstr[[#This Row],[Land]]</f>
        <v>0</v>
      </c>
      <c r="BI78" s="157">
        <f ca="1">TblConstr[[#This Row],[Tot Hav]]/TblConstr[[#This Row],[Land]]</f>
        <v>0</v>
      </c>
      <c r="BJ78" s="94">
        <f ca="1">ROUNDUP((1-MIN(TblMili[[#This Row],[Smithies]]*smithy_bonus,smithy_bonus_cap) + tech_3_5*TblTech[[#This Row],[3-5]] + tech_5_3*TblTech[[#This Row],[5-3]] + tech_5_5*TblTech[[#This Row],[5-5]])*spec_op_plat,0)</f>
        <v>275</v>
      </c>
      <c r="BK78" s="94">
        <f ca="1">ROUNDUP(IF(race="Gnome",1,(1-MIN(TblMili[[#This Row],[Smithies]]*smithy_bonus,smithy_bonus_cap) + tech_3_5*TblTech[[#This Row],[3-5]] + tech_5_3*TblTech[[#This Row],[5-3]] + tech_5_5*TblTech[[#This Row],[5-5]]))*spec_op_ore,0)</f>
        <v>25</v>
      </c>
      <c r="BL78" s="94">
        <f ca="1">ROUNDUP((1-MIN(TblMili[[#This Row],[Smithies]]*smithy_bonus,smithy_bonus_cap) + tech_3_5*TblTech[[#This Row],[3-5]] + tech_5_3*TblTech[[#This Row],[5-3]] + tech_5_5*TblTech[[#This Row],[5-5]])*spec_dp_plat,0)</f>
        <v>275</v>
      </c>
      <c r="BM78" s="94">
        <f ca="1">ROUNDUP(IF(race="Gnome",1,(1-MIN(TblMili[[#This Row],[Smithies]]*smithy_bonus,smithy_bonus_cap) + tech_3_5*TblTech[[#This Row],[3-5]] + tech_5_3*TblTech[[#This Row],[5-3]] + tech_5_5*TblTech[[#This Row],[5-5]]))*spec_dp_ore,0)</f>
        <v>15</v>
      </c>
      <c r="BN78" s="94">
        <f ca="1">ROUNDUP((1-MIN(TblMili[[#This Row],[Smithies]]*smithy_bonus,smithy_bonus_cap) + tech_3_5*TblTech[[#This Row],[3-5]] + tech_5_3*TblTech[[#This Row],[5-3]] + tech_5_5*TblTech[[#This Row],[5-5]])*elite1_plat,0)</f>
        <v>1040</v>
      </c>
      <c r="BO78" s="94">
        <f ca="1">ROUNDUP(IF(race="Gnome",1,(1-MIN(TblMili[[#This Row],[Smithies]]*smithy_bonus,smithy_bonus_cap) + tech_3_5*TblTech[[#This Row],[3-5]] + tech_5_3*TblTech[[#This Row],[5-3]] + tech_5_5*TblTech[[#This Row],[5-5]]))*elite1_ore,0)</f>
        <v>75</v>
      </c>
      <c r="BP78" s="94">
        <f ca="1">ROUNDUP((1-MIN(TblMili[[#This Row],[Smithies]]*smithy_bonus,smithy_bonus_cap) + tech_3_5*TblTech[[#This Row],[3-5]] + tech_5_3*TblTech[[#This Row],[5-3]] + tech_5_5*TblTech[[#This Row],[5-5]])*elite2_plat,0)</f>
        <v>1280</v>
      </c>
      <c r="BQ78" s="94">
        <f ca="1">ROUNDUP(IF(race="Gnome",1,(1-MIN(TblMili[[#This Row],[Smithies]]*smithy_bonus,smithy_bonus_cap) + tech_3_5*TblTech[[#This Row],[3-5]] + tech_5_3*TblTech[[#This Row],[5-3]] + tech_5_5*TblTech[[#This Row],[5-5]]))*elite2_ore,0)</f>
        <v>100</v>
      </c>
      <c r="BR78" s="94">
        <f ca="1">ROUNDUP((1-MIN(ROUND(fh_spy_cost_red*TblMili[[#This Row],[FH''s]],4),fh_spy_cost_cap)+ tech_1_9*TblTech[[#This Row],[1-9]] + tech_9_1*TblTech[[#This Row],[9-1]])*spy_plat,0)</f>
        <v>500</v>
      </c>
      <c r="BS78" s="94">
        <f ca="1">ROUNDUP((1-MIN(ROUND(fh_spy_cost_red*TblMili[[#This Row],[FH''s]],4),fh_spy_cost_cap)+ tech_1_9*TblTech[[#This Row],[1-9]] + tech_9_1*TblTech[[#This Row],[9-1]])*archspy_plat,0)</f>
        <v>1000</v>
      </c>
      <c r="BT78" s="94">
        <f ca="1">ROUNDUP((1-MIN(ROUND(wg_wiz_cost_bonus*TblMili[[#This Row],[WG''s]],4),wg_wiz_cost_cap) + tech_1_9_2*TblTech[[#This Row],[1-9]] + tech_9_1_2*TblTech[[#This Row],[9-1]])*wizard_plat,0)</f>
        <v>500</v>
      </c>
      <c r="BU78" s="94">
        <f ca="1">ROUNDUP((1-MIN(ROUND(wg_wiz_cost_bonus*TblMili[[#This Row],[WG''s]],4),wg_wiz_cost_cap) + tech_1_9_2*TblTech[[#This Row],[1-9]] + tech_9_1_2*TblTech[[#This Row],[9-1]])*archmage_plat,0)</f>
        <v>1000</v>
      </c>
      <c r="BV78" s="142"/>
      <c r="BW78" s="157">
        <f ca="1">TblConstr[[#This Row],[Homeland]]/TblConstr[[#This Row],[Land]]</f>
        <v>0.81818181818181823</v>
      </c>
      <c r="BX78" s="157">
        <f ca="1">TblMili[[#This Row],[WG''s]]</f>
        <v>0</v>
      </c>
      <c r="BY78" s="251">
        <f ca="1">IF(mystic_cap="none",TblMili[[#This Row],[Homeland%]]/mystic_bonus,MIN(mystic_cap,TblMili[[#This Row],[Homeland%]]/mystic_bonus))</f>
        <v>2</v>
      </c>
      <c r="BZ78" s="251">
        <f ca="1">IF(druid_op_cap="none",TblMili[[#This Row],[Homeland%]]/druid_op_bonus,MIN(druid_op_cap,TblMili[[#This Row],[Homeland%]]/druid_op_bonus))</f>
        <v>2</v>
      </c>
      <c r="CA78" s="251">
        <f ca="1">IF(druid_dp_cap="none",TblMili[[#This Row],[Homeland%]]/druid_dp_bonus,MIN(druid_dp_cap,TblMili[[#This Row],[Homeland%]]/druid_dp_bonus))</f>
        <v>2</v>
      </c>
      <c r="CB78" s="251">
        <f ca="1">MIN(dryad_cap,TblMili[[#This Row],[Homeland%]]/dryad_bonus)</f>
        <v>4</v>
      </c>
      <c r="CC78" s="251">
        <f ca="1">MIN(rocka_cap,TblMili[[#This Row],[Homeland%]]/rocka_bonus)</f>
        <v>2</v>
      </c>
      <c r="CD78" s="251">
        <f ca="1">MIN(adept_op_cap,TblMili[[#This Row],[WG]]/adept_op_bonus)</f>
        <v>0</v>
      </c>
      <c r="CE78" s="251">
        <f ca="1">MIN(adept_dp_cap,TblMili[[#This Row],[WG]]/adept_dp_bonus)</f>
        <v>0</v>
      </c>
      <c r="CF78" s="94">
        <f ca="1">MIN(TblMili[[#This Row],[Unit 3]],TblMili[[#This Row],[Unit 2]])*2</f>
        <v>0</v>
      </c>
      <c r="CG78" s="94">
        <f ca="1">MIN(TblMili[[#This Row],[Unit 1]],TblMili[[#This Row],[Unit 4]])*2</f>
        <v>0</v>
      </c>
      <c r="CH78" s="251">
        <f ca="1">MIN(frost_mage_cap,TblMili[[#This Row],[Homeland%]]/frost_mage_bonus)</f>
        <v>3</v>
      </c>
      <c r="CI78" s="45">
        <f ca="1">MIN(ice_elem_cap,TblMili[[#This Row],[Raw (2)]]*ice_elem_bonus)</f>
        <v>0</v>
      </c>
      <c r="CJ78" s="251">
        <f t="shared" si="3"/>
        <v>0.83333333333333337</v>
      </c>
      <c r="CK78" s="251">
        <f ca="1">MIN(nox_nightshade_cap,TblConstr[[#This Row],[Homeland]]/TblConstr[[#This Row],[Land]]/nox_nightshade_swamp_bonus)</f>
        <v>4</v>
      </c>
      <c r="CL78" s="251">
        <f ca="1">MIN(TblConstr[[#This Row],[Total Swamp]]/TblConstr[[#This Row],[Land]]/abyss_enforce_bonus,abyss_enforcer_cap)</f>
        <v>0</v>
      </c>
      <c r="CM78" s="251">
        <f ca="1">IF(TblMagic[[#This Row],[Active Infernal Command]]&gt;0,TblMili[[#This Row],[Unit 1]]*infernal_cmd_op,0)</f>
        <v>0</v>
      </c>
      <c r="CN78" s="252"/>
      <c r="CO78" s="252"/>
      <c r="CP78" s="252"/>
      <c r="CQ78" s="251">
        <f ca="1">MIN(6,TblMili[[#This Row],[Mystic]]+Races!$F$19)*1.8 +  IF(TblMili[[#This Row],[Mystic]]+Races!$F$19&gt;6,(TblMili[[#This Row],[Mystic]]+Races!$F$19-6)*0.2,0) - Races!$I$19</f>
        <v>1</v>
      </c>
      <c r="CR7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8" s="94">
        <f ca="1">TblMili[[#This Row],[Mystic bonus]]*TblMili[[#This Row],[Unit 3]]+TblMili[[#This Row],[Druid bonus]]*TblMili[[#This Row],[Unit 4]]</f>
        <v>0</v>
      </c>
      <c r="CT78" s="155">
        <f ca="1">MIN(6,TblMili[[#This Row],[Dryad]]+Races!$F$35)*1.8 +  IF(TblMili[[#This Row],[Dryad]]+Races!$F$35&gt;6,(TblMili[[#This Row],[Dryad]]+Races!$F$35-6)*0.2,0) - Races!$I$19</f>
        <v>1</v>
      </c>
      <c r="CU78" s="94">
        <f ca="1">sylvan*(TblMili[[#This Row],[Mystic bonus]]*TblMili[[#This Row],[Unit 3]])</f>
        <v>0</v>
      </c>
      <c r="CV78" s="155">
        <f ca="1">1.8 * MIN(MAX(Races!$E$27,TblMili[[#This Row],[Rockapult]]+Races!$F$27),6)  +  0.45 * MIN(MIN(Races!$E$27,TblMili[[#This Row],[Rockapult]]+Races!$F$27),6)  +  0.2 * ( MAX(Races!$E$27-6,0) + MAX(TblMili[[#This Row],[Rockapult]]+Races!$F$27-6,0) )  -  Races!$I$20</f>
        <v>3.7000000000000011</v>
      </c>
      <c r="CW78" s="94">
        <f ca="1">gnome*(TblMili[[#This Row],[Rockapult bonus]]*TblMili[[#This Row],[Unit 3]])</f>
        <v>0</v>
      </c>
      <c r="CX7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8" s="94">
        <f ca="1">dark_elf*(TblMili[[#This Row],[Adept bonus]]*TblMili[[#This Row],[Unit 3]])</f>
        <v>0</v>
      </c>
      <c r="CZ78" s="155">
        <f ca="1">1.8 * MIN(MAX(TblMili[[#This Row],[Frost Mage]]+Races!$F$71,Races!$E$71),6)  +  0.45 * MIN(MIN(TblMili[[#This Row],[Frost Mage]]+Races!$F$71,Races!$E$71),6)  +  0.2 * ( MAX(TblMili[[#This Row],[Frost Mage]]+Races!$F$71-6,0) + MAX(Races!$E$71-6,0) )  -  Races!$I$71</f>
        <v>6.15</v>
      </c>
      <c r="DA78" s="155">
        <f ca="1">1.8 * MIN(MAX(TblMili[[#This Row],[Ice Elemental]]+Races!$E$71,Races!$F$71),6)  +  0.45 * MIN(MIN(TblMili[[#This Row],[Ice Elemental]]+Races!$E$71,Races!$F$71),6)  +  0.2 * ( MAX(TblMili[[#This Row],[Ice Elemental]]+Races!$E$71-6,0) + MAX(Races!$F$71-6,0) )  -  Races!$I$71</f>
        <v>0.75</v>
      </c>
      <c r="DB78" s="94">
        <f ca="1">TblMili[[#This Row],[Frost Mage bonus]]*TblMili[[#This Row],[Unit 3]]+TblMili[[#This Row],[Ice Elemental bonus]]*TblMili[[#This Row],[Unit 4]]</f>
        <v>0</v>
      </c>
      <c r="DC78" s="253"/>
      <c r="DD78" s="143">
        <f ca="1">MIN(SUM(TblConstr[[#This Row],[Plain]:[Water]])/TblMili[[#This Row],[Land]]/favorable_terrain_bonus/100,favorable_terrain_max)</f>
        <v>0.1</v>
      </c>
      <c r="DE78" s="253"/>
      <c r="DF7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8" s="142"/>
      <c r="DH78" s="254">
        <f ca="1">(TblMili[[#This Row],[Wizards]]+2*TblMili[[#This Row],[Archmages]])/TblConstr[[#This Row],[Land]]</f>
        <v>0</v>
      </c>
      <c r="DI78" s="254">
        <f ca="1">TblMili[[#This Row],[Raw (2)]]*(1+race_wizard_strength+IF(TblMili[[#This Row],[Hour]]&gt;72,tech_magical_weaponry_wiz*TblTech[[#This Row],[3-5]],0))</f>
        <v>0</v>
      </c>
    </row>
    <row r="79" spans="1:113" x14ac:dyDescent="0.2">
      <c r="A79" s="137">
        <f>TblRezone[[#This Row],[Hour]]</f>
        <v>76</v>
      </c>
      <c r="B79" s="246">
        <f ca="1">SUM(TblMili[[#This Row],[Unit 1]:[Archmages]])+SUM(OFFSET(TblMili[[#This Row],[Train Unit 1]],-8,0):TblMili[[#This Row],[Train Unit 2]]) + SUM(OFFSET(TblMili[[#This Row],[Train Unit 3]],-11,0):TblMili[[#This Row],[Train AM]]) + TblMili[[#This Row],[Draftees]]</f>
        <v>604</v>
      </c>
      <c r="C79" s="157">
        <f ca="1">TblPop[[#This Row],[Military%]]</f>
        <v>0.56133828996282531</v>
      </c>
      <c r="D79" s="142"/>
      <c r="E79" s="45">
        <f ca="1">OFFSET(TblMili[[#This Row],[Unit 1]],-1,0) + OFFSET(TblMili[[#This Row],[Train Unit 1]],-9,0) - TblMili[[#This Row],[Release Unit 1]] + OFFSET(TblMili[[#This Row],[DnD_Zombies]],-12,0)</f>
        <v>0</v>
      </c>
      <c r="F79" s="45">
        <f ca="1">OFFSET(TblMili[[#This Row],[Unit 2]],-1,0) + OFFSET(TblMili[[#This Row],[Train Unit 2]],-9,0)-TblMili[[#This Row],[Release Unit 2]]</f>
        <v>0</v>
      </c>
      <c r="G79" s="45">
        <f ca="1">OFFSET(TblMili[[#This Row],[Unit 3]],-1,0) + OFFSET(TblMili[[#This Row],[Train Unit 3]],-12,0)-TblMili[[#This Row],[Release Unit 3]]</f>
        <v>0</v>
      </c>
      <c r="H79" s="45">
        <f ca="1">OFFSET(TblMili[[#This Row],[Unit 4]],-1,0) + OFFSET(TblMili[[#This Row],[Train Unit 4]],-12,0)-TblMili[[#This Row],[Release Unit 4]]</f>
        <v>0</v>
      </c>
      <c r="I79" s="45">
        <f ca="1">OFFSET(TblMili[[#This Row],[Spies]],-1,0) + OFFSET(TblMili[[#This Row],[Train Spies]],-12,0) - TblMili[[#This Row],[Release Spies]]-TblMili[[#This Row],[Train AS]]</f>
        <v>0</v>
      </c>
      <c r="J79" s="45">
        <f ca="1">OFFSET(TblMili[[#This Row],[Archspies]],-1,0) + OFFSET(TblMili[[#This Row],[Train AS]],-12,0) - TblMili[[#This Row],[Release AS]]</f>
        <v>0</v>
      </c>
      <c r="K79" s="45">
        <f ca="1">OFFSET(TblMili[[#This Row],[Wizards]],-1,0) + OFFSET(TblMili[[#This Row],[Train Wiz]],-12,0) - TblMili[[#This Row],[Release Wizards]]-TblMili[[#This Row],[Train AM]]</f>
        <v>0</v>
      </c>
      <c r="L79" s="45">
        <f ca="1">OFFSET(TblMili[[#This Row],[Archmages]],-1,0) + OFFSET(TblMili[[#This Row],[Train AM]],-12,0) - TblMili[[#This Row],[Release AM]]</f>
        <v>0</v>
      </c>
      <c r="M79" s="142"/>
      <c r="N79" s="94">
        <f ca="1">TblProd[[#This Row],[Networth]]</f>
        <v>2450</v>
      </c>
      <c r="O79" s="142"/>
      <c r="P7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7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79" s="247">
        <f ca="1">TblMili[[#This Row],[Raw]]*(1+TblMili[[#This Row],[Mods_Off]])</f>
        <v>0</v>
      </c>
      <c r="S7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79" s="247">
        <f ca="1">TblMili[[#This Row],[Non Draft]]+TblMili[[#This Row],[Draftees]]</f>
        <v>604</v>
      </c>
      <c r="U79" s="248">
        <f ca="1">race_defense + TblImps[[#This Row],[Walls]] + ROUND( MIN(gt_bonus*TblConstr[[#This Row],[Tot GT]]/TblConstr[[#This Row],[Land]],gt_bonus_cap), 4) + IF(TblMagic[[#This Row],[Active Howling]]&gt;0,howling_dp_bonus,IF(TblMagic[[#This Row],[Active Ares Call]]&gt;0,ares_call_bonus))</f>
        <v>0</v>
      </c>
      <c r="V79" s="249">
        <f ca="1">TblMili[[#This Row],[Non Draft]] * (1 + TblMili[[#This Row],[Mods_Def]])</f>
        <v>0</v>
      </c>
      <c r="W79" s="247">
        <f ca="1">TblMili[[#This Row],[Draft]] * (1 + TblMili[[#This Row],[Mods_Def]])</f>
        <v>604</v>
      </c>
      <c r="X79" s="247">
        <f ca="1">TblConstr[[#This Row],[Land]]</f>
        <v>110</v>
      </c>
      <c r="Y79" s="250"/>
      <c r="Z79" s="255">
        <f ca="1">IF(TblMili[[#This Row],[Set]]&lt;&gt;"",TblMili[[#This Row],[Set]],OFFSET(TblMili[[#This Row],[Draftrate]],-1,0))</f>
        <v>0.9</v>
      </c>
      <c r="AA79" s="94">
        <f ca="1">OFFSET(TblMili[[#This Row],[Draftees]],-1,0)+OFFSET(TblPop[[#This Row],[Draft Growth]],-1,0) - SUM(TblMili[[#This Row],[Train Unit 1]:[Train Spies]],TblMili[[#This Row],[Train Wiz]],TblMili[[#This Row],[DnD_Zombies]]) - TblMili[[#This Row],[Release Draft]] + SUM(TblMili[[#This Row],[Release Unit 1]:[Release AM]]) - TblExplore[[#This Row],[Draftees (2)]]</f>
        <v>604</v>
      </c>
      <c r="AB79" s="154"/>
      <c r="AC79" s="180">
        <f ca="1">(TblConstr[[#This Row],[Tot Smi]]+TblConstr[[#This Row],[Dest Smi]])/(TblConstr[[#This Row],[Land]]-TblExplore[[#This Row],[Land Bonus]]*20)</f>
        <v>0</v>
      </c>
      <c r="AD79" s="137"/>
      <c r="AE79" s="246">
        <f>TblMili[[#This Row],[Hour]]</f>
        <v>76</v>
      </c>
      <c r="AF79" s="138">
        <f ca="1">TblExplore[[#This Row],[Time]]</f>
        <v>46050.124999999818</v>
      </c>
      <c r="AG79" s="179"/>
      <c r="AH79" s="179"/>
      <c r="AI79" s="179"/>
      <c r="AJ79" s="179"/>
      <c r="AK79" s="179"/>
      <c r="AL79" s="179"/>
      <c r="AM79" s="179"/>
      <c r="AN79" s="179"/>
      <c r="AO79" s="420">
        <f ca="1">ROUND(IF(AND(TblMagic[[#This Row],[Active DnD]]&lt;12,TblMagic[[#This Row],[Active DnD]]&gt;5),OFFSET(TblPop[[#This Row],[Draft Growth]],-1,0)*0.375,0),0)</f>
        <v>0</v>
      </c>
      <c r="AP79" s="142"/>
      <c r="AQ79" s="94">
        <f ca="1">TblProd[[#This Row],[Platinum]]</f>
        <v>172517</v>
      </c>
      <c r="AR79" s="94">
        <f ca="1">INDEX(TblProd[[#Headers],[Lumber]]:TblProd[[#This Row],[Ore]],COUNTA(TblProd[[#Headers],[Lumber]]:TblProd[[#This Row],[Lumber]]),MATCH(Military!$AR$2,TblProd[[#Headers],[Lumber]:[Ore]],0))</f>
        <v>0</v>
      </c>
      <c r="AS7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79" s="94">
        <f ca="1">TblMili[[#This Row],[Train Unit 1]]*TblMili[[#This Row],[OP Ore]]+TblMili[[#This Row],[Train Unit 2]]*TblMili[[#This Row],[DP Ore]]+TblMili[[#This Row],[Train Unit 3]]*TblMili[[#This Row],[E1 Ore]]+TblMili[[#This Row],[Train Unit 4]]*TblMili[[#This Row],[E2 Ore]]</f>
        <v>0</v>
      </c>
      <c r="AU79" s="142">
        <f>TblMili[[#This Row],[Hour]]</f>
        <v>76</v>
      </c>
      <c r="AV79" s="152">
        <f ca="1">TblMili[[#This Row],[Time]]</f>
        <v>46050.124999999818</v>
      </c>
      <c r="AW79" s="94">
        <f ca="1">TblMili[[#This Row],[Draftees]]</f>
        <v>604</v>
      </c>
      <c r="AX79" s="158"/>
      <c r="AY79" s="179"/>
      <c r="AZ79" s="179"/>
      <c r="BA79" s="179"/>
      <c r="BB79" s="179"/>
      <c r="BC79" s="179"/>
      <c r="BD79" s="179"/>
      <c r="BE79" s="179"/>
      <c r="BF79" s="179"/>
      <c r="BG79" s="142"/>
      <c r="BH79" s="157">
        <f ca="1">TblConstr[[#This Row],[Tot WG]]/TblConstr[[#This Row],[Land]]</f>
        <v>0</v>
      </c>
      <c r="BI79" s="157">
        <f ca="1">TblConstr[[#This Row],[Tot Hav]]/TblConstr[[#This Row],[Land]]</f>
        <v>0</v>
      </c>
      <c r="BJ79" s="94">
        <f ca="1">ROUNDUP((1-MIN(TblMili[[#This Row],[Smithies]]*smithy_bonus,smithy_bonus_cap) + tech_3_5*TblTech[[#This Row],[3-5]] + tech_5_3*TblTech[[#This Row],[5-3]] + tech_5_5*TblTech[[#This Row],[5-5]])*spec_op_plat,0)</f>
        <v>275</v>
      </c>
      <c r="BK79" s="94">
        <f ca="1">ROUNDUP(IF(race="Gnome",1,(1-MIN(TblMili[[#This Row],[Smithies]]*smithy_bonus,smithy_bonus_cap) + tech_3_5*TblTech[[#This Row],[3-5]] + tech_5_3*TblTech[[#This Row],[5-3]] + tech_5_5*TblTech[[#This Row],[5-5]]))*spec_op_ore,0)</f>
        <v>25</v>
      </c>
      <c r="BL79" s="94">
        <f ca="1">ROUNDUP((1-MIN(TblMili[[#This Row],[Smithies]]*smithy_bonus,smithy_bonus_cap) + tech_3_5*TblTech[[#This Row],[3-5]] + tech_5_3*TblTech[[#This Row],[5-3]] + tech_5_5*TblTech[[#This Row],[5-5]])*spec_dp_plat,0)</f>
        <v>275</v>
      </c>
      <c r="BM79" s="94">
        <f ca="1">ROUNDUP(IF(race="Gnome",1,(1-MIN(TblMili[[#This Row],[Smithies]]*smithy_bonus,smithy_bonus_cap) + tech_3_5*TblTech[[#This Row],[3-5]] + tech_5_3*TblTech[[#This Row],[5-3]] + tech_5_5*TblTech[[#This Row],[5-5]]))*spec_dp_ore,0)</f>
        <v>15</v>
      </c>
      <c r="BN79" s="94">
        <f ca="1">ROUNDUP((1-MIN(TblMili[[#This Row],[Smithies]]*smithy_bonus,smithy_bonus_cap) + tech_3_5*TblTech[[#This Row],[3-5]] + tech_5_3*TblTech[[#This Row],[5-3]] + tech_5_5*TblTech[[#This Row],[5-5]])*elite1_plat,0)</f>
        <v>1040</v>
      </c>
      <c r="BO79" s="94">
        <f ca="1">ROUNDUP(IF(race="Gnome",1,(1-MIN(TblMili[[#This Row],[Smithies]]*smithy_bonus,smithy_bonus_cap) + tech_3_5*TblTech[[#This Row],[3-5]] + tech_5_3*TblTech[[#This Row],[5-3]] + tech_5_5*TblTech[[#This Row],[5-5]]))*elite1_ore,0)</f>
        <v>75</v>
      </c>
      <c r="BP79" s="94">
        <f ca="1">ROUNDUP((1-MIN(TblMili[[#This Row],[Smithies]]*smithy_bonus,smithy_bonus_cap) + tech_3_5*TblTech[[#This Row],[3-5]] + tech_5_3*TblTech[[#This Row],[5-3]] + tech_5_5*TblTech[[#This Row],[5-5]])*elite2_plat,0)</f>
        <v>1280</v>
      </c>
      <c r="BQ79" s="94">
        <f ca="1">ROUNDUP(IF(race="Gnome",1,(1-MIN(TblMili[[#This Row],[Smithies]]*smithy_bonus,smithy_bonus_cap) + tech_3_5*TblTech[[#This Row],[3-5]] + tech_5_3*TblTech[[#This Row],[5-3]] + tech_5_5*TblTech[[#This Row],[5-5]]))*elite2_ore,0)</f>
        <v>100</v>
      </c>
      <c r="BR79" s="94">
        <f ca="1">ROUNDUP((1-MIN(ROUND(fh_spy_cost_red*TblMili[[#This Row],[FH''s]],4),fh_spy_cost_cap)+ tech_1_9*TblTech[[#This Row],[1-9]] + tech_9_1*TblTech[[#This Row],[9-1]])*spy_plat,0)</f>
        <v>500</v>
      </c>
      <c r="BS79" s="94">
        <f ca="1">ROUNDUP((1-MIN(ROUND(fh_spy_cost_red*TblMili[[#This Row],[FH''s]],4),fh_spy_cost_cap)+ tech_1_9*TblTech[[#This Row],[1-9]] + tech_9_1*TblTech[[#This Row],[9-1]])*archspy_plat,0)</f>
        <v>1000</v>
      </c>
      <c r="BT79" s="94">
        <f ca="1">ROUNDUP((1-MIN(ROUND(wg_wiz_cost_bonus*TblMili[[#This Row],[WG''s]],4),wg_wiz_cost_cap) + tech_1_9_2*TblTech[[#This Row],[1-9]] + tech_9_1_2*TblTech[[#This Row],[9-1]])*wizard_plat,0)</f>
        <v>500</v>
      </c>
      <c r="BU79" s="94">
        <f ca="1">ROUNDUP((1-MIN(ROUND(wg_wiz_cost_bonus*TblMili[[#This Row],[WG''s]],4),wg_wiz_cost_cap) + tech_1_9_2*TblTech[[#This Row],[1-9]] + tech_9_1_2*TblTech[[#This Row],[9-1]])*archmage_plat,0)</f>
        <v>1000</v>
      </c>
      <c r="BV79" s="142"/>
      <c r="BW79" s="157">
        <f ca="1">TblConstr[[#This Row],[Homeland]]/TblConstr[[#This Row],[Land]]</f>
        <v>0.81818181818181823</v>
      </c>
      <c r="BX79" s="157">
        <f ca="1">TblMili[[#This Row],[WG''s]]</f>
        <v>0</v>
      </c>
      <c r="BY79" s="251">
        <f ca="1">IF(mystic_cap="none",TblMili[[#This Row],[Homeland%]]/mystic_bonus,MIN(mystic_cap,TblMili[[#This Row],[Homeland%]]/mystic_bonus))</f>
        <v>2</v>
      </c>
      <c r="BZ79" s="251">
        <f ca="1">IF(druid_op_cap="none",TblMili[[#This Row],[Homeland%]]/druid_op_bonus,MIN(druid_op_cap,TblMili[[#This Row],[Homeland%]]/druid_op_bonus))</f>
        <v>2</v>
      </c>
      <c r="CA79" s="251">
        <f ca="1">IF(druid_dp_cap="none",TblMili[[#This Row],[Homeland%]]/druid_dp_bonus,MIN(druid_dp_cap,TblMili[[#This Row],[Homeland%]]/druid_dp_bonus))</f>
        <v>2</v>
      </c>
      <c r="CB79" s="251">
        <f ca="1">MIN(dryad_cap,TblMili[[#This Row],[Homeland%]]/dryad_bonus)</f>
        <v>4</v>
      </c>
      <c r="CC79" s="251">
        <f ca="1">MIN(rocka_cap,TblMili[[#This Row],[Homeland%]]/rocka_bonus)</f>
        <v>2</v>
      </c>
      <c r="CD79" s="251">
        <f ca="1">MIN(adept_op_cap,TblMili[[#This Row],[WG]]/adept_op_bonus)</f>
        <v>0</v>
      </c>
      <c r="CE79" s="251">
        <f ca="1">MIN(adept_dp_cap,TblMili[[#This Row],[WG]]/adept_dp_bonus)</f>
        <v>0</v>
      </c>
      <c r="CF79" s="94">
        <f ca="1">MIN(TblMili[[#This Row],[Unit 3]],TblMili[[#This Row],[Unit 2]])*2</f>
        <v>0</v>
      </c>
      <c r="CG79" s="94">
        <f ca="1">MIN(TblMili[[#This Row],[Unit 1]],TblMili[[#This Row],[Unit 4]])*2</f>
        <v>0</v>
      </c>
      <c r="CH79" s="251">
        <f ca="1">MIN(frost_mage_cap,TblMili[[#This Row],[Homeland%]]/frost_mage_bonus)</f>
        <v>3</v>
      </c>
      <c r="CI79" s="45">
        <f ca="1">MIN(ice_elem_cap,TblMili[[#This Row],[Raw (2)]]*ice_elem_bonus)</f>
        <v>0</v>
      </c>
      <c r="CJ79" s="251">
        <f t="shared" si="3"/>
        <v>0.83333333333333337</v>
      </c>
      <c r="CK79" s="251">
        <f ca="1">MIN(nox_nightshade_cap,TblConstr[[#This Row],[Homeland]]/TblConstr[[#This Row],[Land]]/nox_nightshade_swamp_bonus)</f>
        <v>4</v>
      </c>
      <c r="CL79" s="251">
        <f ca="1">MIN(TblConstr[[#This Row],[Total Swamp]]/TblConstr[[#This Row],[Land]]/abyss_enforce_bonus,abyss_enforcer_cap)</f>
        <v>0</v>
      </c>
      <c r="CM79" s="251">
        <f ca="1">IF(TblMagic[[#This Row],[Active Infernal Command]]&gt;0,TblMili[[#This Row],[Unit 1]]*infernal_cmd_op,0)</f>
        <v>0</v>
      </c>
      <c r="CN79" s="252"/>
      <c r="CO79" s="252"/>
      <c r="CP79" s="252"/>
      <c r="CQ79" s="251">
        <f ca="1">MIN(6,TblMili[[#This Row],[Mystic]]+Races!$F$19)*1.8 +  IF(TblMili[[#This Row],[Mystic]]+Races!$F$19&gt;6,(TblMili[[#This Row],[Mystic]]+Races!$F$19-6)*0.2,0) - Races!$I$19</f>
        <v>1</v>
      </c>
      <c r="CR7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79" s="94">
        <f ca="1">TblMili[[#This Row],[Mystic bonus]]*TblMili[[#This Row],[Unit 3]]+TblMili[[#This Row],[Druid bonus]]*TblMili[[#This Row],[Unit 4]]</f>
        <v>0</v>
      </c>
      <c r="CT79" s="155">
        <f ca="1">MIN(6,TblMili[[#This Row],[Dryad]]+Races!$F$35)*1.8 +  IF(TblMili[[#This Row],[Dryad]]+Races!$F$35&gt;6,(TblMili[[#This Row],[Dryad]]+Races!$F$35-6)*0.2,0) - Races!$I$19</f>
        <v>1</v>
      </c>
      <c r="CU79" s="94">
        <f ca="1">sylvan*(TblMili[[#This Row],[Mystic bonus]]*TblMili[[#This Row],[Unit 3]])</f>
        <v>0</v>
      </c>
      <c r="CV79" s="155">
        <f ca="1">1.8 * MIN(MAX(Races!$E$27,TblMili[[#This Row],[Rockapult]]+Races!$F$27),6)  +  0.45 * MIN(MIN(Races!$E$27,TblMili[[#This Row],[Rockapult]]+Races!$F$27),6)  +  0.2 * ( MAX(Races!$E$27-6,0) + MAX(TblMili[[#This Row],[Rockapult]]+Races!$F$27-6,0) )  -  Races!$I$20</f>
        <v>3.7000000000000011</v>
      </c>
      <c r="CW79" s="94">
        <f ca="1">gnome*(TblMili[[#This Row],[Rockapult bonus]]*TblMili[[#This Row],[Unit 3]])</f>
        <v>0</v>
      </c>
      <c r="CX7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79" s="94">
        <f ca="1">dark_elf*(TblMili[[#This Row],[Adept bonus]]*TblMili[[#This Row],[Unit 3]])</f>
        <v>0</v>
      </c>
      <c r="CZ79" s="155">
        <f ca="1">1.8 * MIN(MAX(TblMili[[#This Row],[Frost Mage]]+Races!$F$71,Races!$E$71),6)  +  0.45 * MIN(MIN(TblMili[[#This Row],[Frost Mage]]+Races!$F$71,Races!$E$71),6)  +  0.2 * ( MAX(TblMili[[#This Row],[Frost Mage]]+Races!$F$71-6,0) + MAX(Races!$E$71-6,0) )  -  Races!$I$71</f>
        <v>6.15</v>
      </c>
      <c r="DA79" s="155">
        <f ca="1">1.8 * MIN(MAX(TblMili[[#This Row],[Ice Elemental]]+Races!$E$71,Races!$F$71),6)  +  0.45 * MIN(MIN(TblMili[[#This Row],[Ice Elemental]]+Races!$E$71,Races!$F$71),6)  +  0.2 * ( MAX(TblMili[[#This Row],[Ice Elemental]]+Races!$E$71-6,0) + MAX(Races!$F$71-6,0) )  -  Races!$I$71</f>
        <v>0.75</v>
      </c>
      <c r="DB79" s="94">
        <f ca="1">TblMili[[#This Row],[Frost Mage bonus]]*TblMili[[#This Row],[Unit 3]]+TblMili[[#This Row],[Ice Elemental bonus]]*TblMili[[#This Row],[Unit 4]]</f>
        <v>0</v>
      </c>
      <c r="DC79" s="253"/>
      <c r="DD79" s="143">
        <f ca="1">MIN(SUM(TblConstr[[#This Row],[Plain]:[Water]])/TblMili[[#This Row],[Land]]/favorable_terrain_bonus/100,favorable_terrain_max)</f>
        <v>0.1</v>
      </c>
      <c r="DE79" s="253"/>
      <c r="DF7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79" s="142"/>
      <c r="DH79" s="254">
        <f ca="1">(TblMili[[#This Row],[Wizards]]+2*TblMili[[#This Row],[Archmages]])/TblConstr[[#This Row],[Land]]</f>
        <v>0</v>
      </c>
      <c r="DI79" s="254">
        <f ca="1">TblMili[[#This Row],[Raw (2)]]*(1+race_wizard_strength+IF(TblMili[[#This Row],[Hour]]&gt;72,tech_magical_weaponry_wiz*TblTech[[#This Row],[3-5]],0))</f>
        <v>0</v>
      </c>
    </row>
    <row r="80" spans="1:113" x14ac:dyDescent="0.2">
      <c r="A80" s="137">
        <f>TblRezone[[#This Row],[Hour]]</f>
        <v>77</v>
      </c>
      <c r="B80" s="246">
        <f ca="1">SUM(TblMili[[#This Row],[Unit 1]:[Archmages]])+SUM(OFFSET(TblMili[[#This Row],[Train Unit 1]],-8,0):TblMili[[#This Row],[Train Unit 2]]) + SUM(OFFSET(TblMili[[#This Row],[Train Unit 3]],-11,0):TblMili[[#This Row],[Train AM]]) + TblMili[[#This Row],[Draftees]]</f>
        <v>609</v>
      </c>
      <c r="C80" s="157">
        <f ca="1">TblPop[[#This Row],[Military%]]</f>
        <v>0.56598513011152418</v>
      </c>
      <c r="D80" s="142"/>
      <c r="E80" s="45">
        <f ca="1">OFFSET(TblMili[[#This Row],[Unit 1]],-1,0) + OFFSET(TblMili[[#This Row],[Train Unit 1]],-9,0) - TblMili[[#This Row],[Release Unit 1]] + OFFSET(TblMili[[#This Row],[DnD_Zombies]],-12,0)</f>
        <v>0</v>
      </c>
      <c r="F80" s="45">
        <f ca="1">OFFSET(TblMili[[#This Row],[Unit 2]],-1,0) + OFFSET(TblMili[[#This Row],[Train Unit 2]],-9,0)-TblMili[[#This Row],[Release Unit 2]]</f>
        <v>0</v>
      </c>
      <c r="G80" s="45">
        <f ca="1">OFFSET(TblMili[[#This Row],[Unit 3]],-1,0) + OFFSET(TblMili[[#This Row],[Train Unit 3]],-12,0)-TblMili[[#This Row],[Release Unit 3]]</f>
        <v>0</v>
      </c>
      <c r="H80" s="45">
        <f ca="1">OFFSET(TblMili[[#This Row],[Unit 4]],-1,0) + OFFSET(TblMili[[#This Row],[Train Unit 4]],-12,0)-TblMili[[#This Row],[Release Unit 4]]</f>
        <v>0</v>
      </c>
      <c r="I80" s="45">
        <f ca="1">OFFSET(TblMili[[#This Row],[Spies]],-1,0) + OFFSET(TblMili[[#This Row],[Train Spies]],-12,0) - TblMili[[#This Row],[Release Spies]]-TblMili[[#This Row],[Train AS]]</f>
        <v>0</v>
      </c>
      <c r="J80" s="45">
        <f ca="1">OFFSET(TblMili[[#This Row],[Archspies]],-1,0) + OFFSET(TblMili[[#This Row],[Train AS]],-12,0) - TblMili[[#This Row],[Release AS]]</f>
        <v>0</v>
      </c>
      <c r="K80" s="45">
        <f ca="1">OFFSET(TblMili[[#This Row],[Wizards]],-1,0) + OFFSET(TblMili[[#This Row],[Train Wiz]],-12,0) - TblMili[[#This Row],[Release Wizards]]-TblMili[[#This Row],[Train AM]]</f>
        <v>0</v>
      </c>
      <c r="L80" s="45">
        <f ca="1">OFFSET(TblMili[[#This Row],[Archmages]],-1,0) + OFFSET(TblMili[[#This Row],[Train AM]],-12,0) - TblMili[[#This Row],[Release AM]]</f>
        <v>0</v>
      </c>
      <c r="M80" s="142"/>
      <c r="N80" s="94">
        <f ca="1">TblProd[[#This Row],[Networth]]</f>
        <v>2450</v>
      </c>
      <c r="O80" s="142"/>
      <c r="P8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0" s="247">
        <f ca="1">TblMili[[#This Row],[Raw]]*(1+TblMili[[#This Row],[Mods_Off]])</f>
        <v>0</v>
      </c>
      <c r="S8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0" s="247">
        <f ca="1">TblMili[[#This Row],[Non Draft]]+TblMili[[#This Row],[Draftees]]</f>
        <v>609</v>
      </c>
      <c r="U80" s="248">
        <f ca="1">race_defense + TblImps[[#This Row],[Walls]] + ROUND( MIN(gt_bonus*TblConstr[[#This Row],[Tot GT]]/TblConstr[[#This Row],[Land]],gt_bonus_cap), 4) + IF(TblMagic[[#This Row],[Active Howling]]&gt;0,howling_dp_bonus,IF(TblMagic[[#This Row],[Active Ares Call]]&gt;0,ares_call_bonus))</f>
        <v>0</v>
      </c>
      <c r="V80" s="249">
        <f ca="1">TblMili[[#This Row],[Non Draft]] * (1 + TblMili[[#This Row],[Mods_Def]])</f>
        <v>0</v>
      </c>
      <c r="W80" s="247">
        <f ca="1">TblMili[[#This Row],[Draft]] * (1 + TblMili[[#This Row],[Mods_Def]])</f>
        <v>609</v>
      </c>
      <c r="X80" s="247">
        <f ca="1">TblConstr[[#This Row],[Land]]</f>
        <v>110</v>
      </c>
      <c r="Y80" s="250"/>
      <c r="Z80" s="255">
        <f ca="1">IF(TblMili[[#This Row],[Set]]&lt;&gt;"",TblMili[[#This Row],[Set]],OFFSET(TblMili[[#This Row],[Draftrate]],-1,0))</f>
        <v>0.9</v>
      </c>
      <c r="AA80" s="94">
        <f ca="1">OFFSET(TblMili[[#This Row],[Draftees]],-1,0)+OFFSET(TblPop[[#This Row],[Draft Growth]],-1,0) - SUM(TblMili[[#This Row],[Train Unit 1]:[Train Spies]],TblMili[[#This Row],[Train Wiz]],TblMili[[#This Row],[DnD_Zombies]]) - TblMili[[#This Row],[Release Draft]] + SUM(TblMili[[#This Row],[Release Unit 1]:[Release AM]]) - TblExplore[[#This Row],[Draftees (2)]]</f>
        <v>609</v>
      </c>
      <c r="AB80" s="154"/>
      <c r="AC80" s="180">
        <f ca="1">(TblConstr[[#This Row],[Tot Smi]]+TblConstr[[#This Row],[Dest Smi]])/(TblConstr[[#This Row],[Land]]-TblExplore[[#This Row],[Land Bonus]]*20)</f>
        <v>0</v>
      </c>
      <c r="AD80" s="137"/>
      <c r="AE80" s="246">
        <f>TblMili[[#This Row],[Hour]]</f>
        <v>77</v>
      </c>
      <c r="AF80" s="138">
        <f ca="1">TblExplore[[#This Row],[Time]]</f>
        <v>46050.166666666482</v>
      </c>
      <c r="AG80" s="179"/>
      <c r="AH80" s="179"/>
      <c r="AI80" s="179"/>
      <c r="AJ80" s="179"/>
      <c r="AK80" s="179"/>
      <c r="AL80" s="179"/>
      <c r="AM80" s="179"/>
      <c r="AN80" s="179"/>
      <c r="AO80" s="420">
        <f ca="1">ROUND(IF(AND(TblMagic[[#This Row],[Active DnD]]&lt;12,TblMagic[[#This Row],[Active DnD]]&gt;5),OFFSET(TblPop[[#This Row],[Draft Growth]],-1,0)*0.375,0),0)</f>
        <v>0</v>
      </c>
      <c r="AP80" s="142"/>
      <c r="AQ80" s="94">
        <f ca="1">TblProd[[#This Row],[Platinum]]</f>
        <v>173791</v>
      </c>
      <c r="AR80" s="94">
        <f ca="1">INDEX(TblProd[[#Headers],[Lumber]]:TblProd[[#This Row],[Ore]],COUNTA(TblProd[[#Headers],[Lumber]]:TblProd[[#This Row],[Lumber]]),MATCH(Military!$AR$2,TblProd[[#Headers],[Lumber]:[Ore]],0))</f>
        <v>0</v>
      </c>
      <c r="AS8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0" s="94">
        <f ca="1">TblMili[[#This Row],[Train Unit 1]]*TblMili[[#This Row],[OP Ore]]+TblMili[[#This Row],[Train Unit 2]]*TblMili[[#This Row],[DP Ore]]+TblMili[[#This Row],[Train Unit 3]]*TblMili[[#This Row],[E1 Ore]]+TblMili[[#This Row],[Train Unit 4]]*TblMili[[#This Row],[E2 Ore]]</f>
        <v>0</v>
      </c>
      <c r="AU80" s="142">
        <f>TblMili[[#This Row],[Hour]]</f>
        <v>77</v>
      </c>
      <c r="AV80" s="152">
        <f ca="1">TblMili[[#This Row],[Time]]</f>
        <v>46050.166666666482</v>
      </c>
      <c r="AW80" s="94">
        <f ca="1">TblMili[[#This Row],[Draftees]]</f>
        <v>609</v>
      </c>
      <c r="AX80" s="158"/>
      <c r="AY80" s="179"/>
      <c r="AZ80" s="179"/>
      <c r="BA80" s="179"/>
      <c r="BB80" s="179"/>
      <c r="BC80" s="179"/>
      <c r="BD80" s="179"/>
      <c r="BE80" s="179"/>
      <c r="BF80" s="179"/>
      <c r="BG80" s="142"/>
      <c r="BH80" s="157">
        <f ca="1">TblConstr[[#This Row],[Tot WG]]/TblConstr[[#This Row],[Land]]</f>
        <v>0</v>
      </c>
      <c r="BI80" s="157">
        <f ca="1">TblConstr[[#This Row],[Tot Hav]]/TblConstr[[#This Row],[Land]]</f>
        <v>0</v>
      </c>
      <c r="BJ80" s="94">
        <f ca="1">ROUNDUP((1-MIN(TblMili[[#This Row],[Smithies]]*smithy_bonus,smithy_bonus_cap) + tech_3_5*TblTech[[#This Row],[3-5]] + tech_5_3*TblTech[[#This Row],[5-3]] + tech_5_5*TblTech[[#This Row],[5-5]])*spec_op_plat,0)</f>
        <v>275</v>
      </c>
      <c r="BK80" s="94">
        <f ca="1">ROUNDUP(IF(race="Gnome",1,(1-MIN(TblMili[[#This Row],[Smithies]]*smithy_bonus,smithy_bonus_cap) + tech_3_5*TblTech[[#This Row],[3-5]] + tech_5_3*TblTech[[#This Row],[5-3]] + tech_5_5*TblTech[[#This Row],[5-5]]))*spec_op_ore,0)</f>
        <v>25</v>
      </c>
      <c r="BL80" s="94">
        <f ca="1">ROUNDUP((1-MIN(TblMili[[#This Row],[Smithies]]*smithy_bonus,smithy_bonus_cap) + tech_3_5*TblTech[[#This Row],[3-5]] + tech_5_3*TblTech[[#This Row],[5-3]] + tech_5_5*TblTech[[#This Row],[5-5]])*spec_dp_plat,0)</f>
        <v>275</v>
      </c>
      <c r="BM80" s="94">
        <f ca="1">ROUNDUP(IF(race="Gnome",1,(1-MIN(TblMili[[#This Row],[Smithies]]*smithy_bonus,smithy_bonus_cap) + tech_3_5*TblTech[[#This Row],[3-5]] + tech_5_3*TblTech[[#This Row],[5-3]] + tech_5_5*TblTech[[#This Row],[5-5]]))*spec_dp_ore,0)</f>
        <v>15</v>
      </c>
      <c r="BN80" s="94">
        <f ca="1">ROUNDUP((1-MIN(TblMili[[#This Row],[Smithies]]*smithy_bonus,smithy_bonus_cap) + tech_3_5*TblTech[[#This Row],[3-5]] + tech_5_3*TblTech[[#This Row],[5-3]] + tech_5_5*TblTech[[#This Row],[5-5]])*elite1_plat,0)</f>
        <v>1040</v>
      </c>
      <c r="BO80" s="94">
        <f ca="1">ROUNDUP(IF(race="Gnome",1,(1-MIN(TblMili[[#This Row],[Smithies]]*smithy_bonus,smithy_bonus_cap) + tech_3_5*TblTech[[#This Row],[3-5]] + tech_5_3*TblTech[[#This Row],[5-3]] + tech_5_5*TblTech[[#This Row],[5-5]]))*elite1_ore,0)</f>
        <v>75</v>
      </c>
      <c r="BP80" s="94">
        <f ca="1">ROUNDUP((1-MIN(TblMili[[#This Row],[Smithies]]*smithy_bonus,smithy_bonus_cap) + tech_3_5*TblTech[[#This Row],[3-5]] + tech_5_3*TblTech[[#This Row],[5-3]] + tech_5_5*TblTech[[#This Row],[5-5]])*elite2_plat,0)</f>
        <v>1280</v>
      </c>
      <c r="BQ80" s="94">
        <f ca="1">ROUNDUP(IF(race="Gnome",1,(1-MIN(TblMili[[#This Row],[Smithies]]*smithy_bonus,smithy_bonus_cap) + tech_3_5*TblTech[[#This Row],[3-5]] + tech_5_3*TblTech[[#This Row],[5-3]] + tech_5_5*TblTech[[#This Row],[5-5]]))*elite2_ore,0)</f>
        <v>100</v>
      </c>
      <c r="BR80" s="94">
        <f ca="1">ROUNDUP((1-MIN(ROUND(fh_spy_cost_red*TblMili[[#This Row],[FH''s]],4),fh_spy_cost_cap)+ tech_1_9*TblTech[[#This Row],[1-9]] + tech_9_1*TblTech[[#This Row],[9-1]])*spy_plat,0)</f>
        <v>500</v>
      </c>
      <c r="BS80" s="94">
        <f ca="1">ROUNDUP((1-MIN(ROUND(fh_spy_cost_red*TblMili[[#This Row],[FH''s]],4),fh_spy_cost_cap)+ tech_1_9*TblTech[[#This Row],[1-9]] + tech_9_1*TblTech[[#This Row],[9-1]])*archspy_plat,0)</f>
        <v>1000</v>
      </c>
      <c r="BT80" s="94">
        <f ca="1">ROUNDUP((1-MIN(ROUND(wg_wiz_cost_bonus*TblMili[[#This Row],[WG''s]],4),wg_wiz_cost_cap) + tech_1_9_2*TblTech[[#This Row],[1-9]] + tech_9_1_2*TblTech[[#This Row],[9-1]])*wizard_plat,0)</f>
        <v>500</v>
      </c>
      <c r="BU80" s="94">
        <f ca="1">ROUNDUP((1-MIN(ROUND(wg_wiz_cost_bonus*TblMili[[#This Row],[WG''s]],4),wg_wiz_cost_cap) + tech_1_9_2*TblTech[[#This Row],[1-9]] + tech_9_1_2*TblTech[[#This Row],[9-1]])*archmage_plat,0)</f>
        <v>1000</v>
      </c>
      <c r="BV80" s="142"/>
      <c r="BW80" s="157">
        <f ca="1">TblConstr[[#This Row],[Homeland]]/TblConstr[[#This Row],[Land]]</f>
        <v>0.81818181818181823</v>
      </c>
      <c r="BX80" s="157">
        <f ca="1">TblMili[[#This Row],[WG''s]]</f>
        <v>0</v>
      </c>
      <c r="BY80" s="251">
        <f ca="1">IF(mystic_cap="none",TblMili[[#This Row],[Homeland%]]/mystic_bonus,MIN(mystic_cap,TblMili[[#This Row],[Homeland%]]/mystic_bonus))</f>
        <v>2</v>
      </c>
      <c r="BZ80" s="251">
        <f ca="1">IF(druid_op_cap="none",TblMili[[#This Row],[Homeland%]]/druid_op_bonus,MIN(druid_op_cap,TblMili[[#This Row],[Homeland%]]/druid_op_bonus))</f>
        <v>2</v>
      </c>
      <c r="CA80" s="251">
        <f ca="1">IF(druid_dp_cap="none",TblMili[[#This Row],[Homeland%]]/druid_dp_bonus,MIN(druid_dp_cap,TblMili[[#This Row],[Homeland%]]/druid_dp_bonus))</f>
        <v>2</v>
      </c>
      <c r="CB80" s="251">
        <f ca="1">MIN(dryad_cap,TblMili[[#This Row],[Homeland%]]/dryad_bonus)</f>
        <v>4</v>
      </c>
      <c r="CC80" s="251">
        <f ca="1">MIN(rocka_cap,TblMili[[#This Row],[Homeland%]]/rocka_bonus)</f>
        <v>2</v>
      </c>
      <c r="CD80" s="251">
        <f ca="1">MIN(adept_op_cap,TblMili[[#This Row],[WG]]/adept_op_bonus)</f>
        <v>0</v>
      </c>
      <c r="CE80" s="251">
        <f ca="1">MIN(adept_dp_cap,TblMili[[#This Row],[WG]]/adept_dp_bonus)</f>
        <v>0</v>
      </c>
      <c r="CF80" s="94">
        <f ca="1">MIN(TblMili[[#This Row],[Unit 3]],TblMili[[#This Row],[Unit 2]])*2</f>
        <v>0</v>
      </c>
      <c r="CG80" s="94">
        <f ca="1">MIN(TblMili[[#This Row],[Unit 1]],TblMili[[#This Row],[Unit 4]])*2</f>
        <v>0</v>
      </c>
      <c r="CH80" s="251">
        <f ca="1">MIN(frost_mage_cap,TblMili[[#This Row],[Homeland%]]/frost_mage_bonus)</f>
        <v>3</v>
      </c>
      <c r="CI80" s="45">
        <f ca="1">MIN(ice_elem_cap,TblMili[[#This Row],[Raw (2)]]*ice_elem_bonus)</f>
        <v>0</v>
      </c>
      <c r="CJ80" s="251">
        <f t="shared" si="3"/>
        <v>0.83333333333333337</v>
      </c>
      <c r="CK80" s="251">
        <f ca="1">MIN(nox_nightshade_cap,TblConstr[[#This Row],[Homeland]]/TblConstr[[#This Row],[Land]]/nox_nightshade_swamp_bonus)</f>
        <v>4</v>
      </c>
      <c r="CL80" s="251">
        <f ca="1">MIN(TblConstr[[#This Row],[Total Swamp]]/TblConstr[[#This Row],[Land]]/abyss_enforce_bonus,abyss_enforcer_cap)</f>
        <v>0</v>
      </c>
      <c r="CM80" s="251">
        <f ca="1">IF(TblMagic[[#This Row],[Active Infernal Command]]&gt;0,TblMili[[#This Row],[Unit 1]]*infernal_cmd_op,0)</f>
        <v>0</v>
      </c>
      <c r="CN80" s="252"/>
      <c r="CO80" s="252"/>
      <c r="CP80" s="252"/>
      <c r="CQ80" s="251">
        <f ca="1">MIN(6,TblMili[[#This Row],[Mystic]]+Races!$F$19)*1.8 +  IF(TblMili[[#This Row],[Mystic]]+Races!$F$19&gt;6,(TblMili[[#This Row],[Mystic]]+Races!$F$19-6)*0.2,0) - Races!$I$19</f>
        <v>1</v>
      </c>
      <c r="CR8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0" s="94">
        <f ca="1">TblMili[[#This Row],[Mystic bonus]]*TblMili[[#This Row],[Unit 3]]+TblMili[[#This Row],[Druid bonus]]*TblMili[[#This Row],[Unit 4]]</f>
        <v>0</v>
      </c>
      <c r="CT80" s="155">
        <f ca="1">MIN(6,TblMili[[#This Row],[Dryad]]+Races!$F$35)*1.8 +  IF(TblMili[[#This Row],[Dryad]]+Races!$F$35&gt;6,(TblMili[[#This Row],[Dryad]]+Races!$F$35-6)*0.2,0) - Races!$I$19</f>
        <v>1</v>
      </c>
      <c r="CU80" s="94">
        <f ca="1">sylvan*(TblMili[[#This Row],[Mystic bonus]]*TblMili[[#This Row],[Unit 3]])</f>
        <v>0</v>
      </c>
      <c r="CV80" s="155">
        <f ca="1">1.8 * MIN(MAX(Races!$E$27,TblMili[[#This Row],[Rockapult]]+Races!$F$27),6)  +  0.45 * MIN(MIN(Races!$E$27,TblMili[[#This Row],[Rockapult]]+Races!$F$27),6)  +  0.2 * ( MAX(Races!$E$27-6,0) + MAX(TblMili[[#This Row],[Rockapult]]+Races!$F$27-6,0) )  -  Races!$I$20</f>
        <v>3.7000000000000011</v>
      </c>
      <c r="CW80" s="94">
        <f ca="1">gnome*(TblMili[[#This Row],[Rockapult bonus]]*TblMili[[#This Row],[Unit 3]])</f>
        <v>0</v>
      </c>
      <c r="CX8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0" s="94">
        <f ca="1">dark_elf*(TblMili[[#This Row],[Adept bonus]]*TblMili[[#This Row],[Unit 3]])</f>
        <v>0</v>
      </c>
      <c r="CZ80" s="155">
        <f ca="1">1.8 * MIN(MAX(TblMili[[#This Row],[Frost Mage]]+Races!$F$71,Races!$E$71),6)  +  0.45 * MIN(MIN(TblMili[[#This Row],[Frost Mage]]+Races!$F$71,Races!$E$71),6)  +  0.2 * ( MAX(TblMili[[#This Row],[Frost Mage]]+Races!$F$71-6,0) + MAX(Races!$E$71-6,0) )  -  Races!$I$71</f>
        <v>6.15</v>
      </c>
      <c r="DA80" s="155">
        <f ca="1">1.8 * MIN(MAX(TblMili[[#This Row],[Ice Elemental]]+Races!$E$71,Races!$F$71),6)  +  0.45 * MIN(MIN(TblMili[[#This Row],[Ice Elemental]]+Races!$E$71,Races!$F$71),6)  +  0.2 * ( MAX(TblMili[[#This Row],[Ice Elemental]]+Races!$E$71-6,0) + MAX(Races!$F$71-6,0) )  -  Races!$I$71</f>
        <v>0.75</v>
      </c>
      <c r="DB80" s="94">
        <f ca="1">TblMili[[#This Row],[Frost Mage bonus]]*TblMili[[#This Row],[Unit 3]]+TblMili[[#This Row],[Ice Elemental bonus]]*TblMili[[#This Row],[Unit 4]]</f>
        <v>0</v>
      </c>
      <c r="DC80" s="253"/>
      <c r="DD80" s="143">
        <f ca="1">MIN(SUM(TblConstr[[#This Row],[Plain]:[Water]])/TblMili[[#This Row],[Land]]/favorable_terrain_bonus/100,favorable_terrain_max)</f>
        <v>0.1</v>
      </c>
      <c r="DE80" s="253"/>
      <c r="DF8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0" s="142"/>
      <c r="DH80" s="254">
        <f ca="1">(TblMili[[#This Row],[Wizards]]+2*TblMili[[#This Row],[Archmages]])/TblConstr[[#This Row],[Land]]</f>
        <v>0</v>
      </c>
      <c r="DI80" s="254">
        <f ca="1">TblMili[[#This Row],[Raw (2)]]*(1+race_wizard_strength+IF(TblMili[[#This Row],[Hour]]&gt;72,tech_magical_weaponry_wiz*TblTech[[#This Row],[3-5]],0))</f>
        <v>0</v>
      </c>
    </row>
    <row r="81" spans="1:113" x14ac:dyDescent="0.2">
      <c r="A81" s="137">
        <f>TblRezone[[#This Row],[Hour]]</f>
        <v>78</v>
      </c>
      <c r="B81" s="246">
        <f ca="1">SUM(TblMili[[#This Row],[Unit 1]:[Archmages]])+SUM(OFFSET(TblMili[[#This Row],[Train Unit 1]],-8,0):TblMili[[#This Row],[Train Unit 2]]) + SUM(OFFSET(TblMili[[#This Row],[Train Unit 3]],-11,0):TblMili[[#This Row],[Train AM]]) + TblMili[[#This Row],[Draftees]]</f>
        <v>614</v>
      </c>
      <c r="C81" s="157">
        <f ca="1">TblPop[[#This Row],[Military%]]</f>
        <v>0.57063197026022305</v>
      </c>
      <c r="D81" s="142"/>
      <c r="E81" s="45">
        <f ca="1">OFFSET(TblMili[[#This Row],[Unit 1]],-1,0) + OFFSET(TblMili[[#This Row],[Train Unit 1]],-9,0) - TblMili[[#This Row],[Release Unit 1]] + OFFSET(TblMili[[#This Row],[DnD_Zombies]],-12,0)</f>
        <v>0</v>
      </c>
      <c r="F81" s="45">
        <f ca="1">OFFSET(TblMili[[#This Row],[Unit 2]],-1,0) + OFFSET(TblMili[[#This Row],[Train Unit 2]],-9,0)-TblMili[[#This Row],[Release Unit 2]]</f>
        <v>0</v>
      </c>
      <c r="G81" s="45">
        <f ca="1">OFFSET(TblMili[[#This Row],[Unit 3]],-1,0) + OFFSET(TblMili[[#This Row],[Train Unit 3]],-12,0)-TblMili[[#This Row],[Release Unit 3]]</f>
        <v>0</v>
      </c>
      <c r="H81" s="45">
        <f ca="1">OFFSET(TblMili[[#This Row],[Unit 4]],-1,0) + OFFSET(TblMili[[#This Row],[Train Unit 4]],-12,0)-TblMili[[#This Row],[Release Unit 4]]</f>
        <v>0</v>
      </c>
      <c r="I81" s="45">
        <f ca="1">OFFSET(TblMili[[#This Row],[Spies]],-1,0) + OFFSET(TblMili[[#This Row],[Train Spies]],-12,0) - TblMili[[#This Row],[Release Spies]]-TblMili[[#This Row],[Train AS]]</f>
        <v>0</v>
      </c>
      <c r="J81" s="45">
        <f ca="1">OFFSET(TblMili[[#This Row],[Archspies]],-1,0) + OFFSET(TblMili[[#This Row],[Train AS]],-12,0) - TblMili[[#This Row],[Release AS]]</f>
        <v>0</v>
      </c>
      <c r="K81" s="45">
        <f ca="1">OFFSET(TblMili[[#This Row],[Wizards]],-1,0) + OFFSET(TblMili[[#This Row],[Train Wiz]],-12,0) - TblMili[[#This Row],[Release Wizards]]-TblMili[[#This Row],[Train AM]]</f>
        <v>0</v>
      </c>
      <c r="L81" s="45">
        <f ca="1">OFFSET(TblMili[[#This Row],[Archmages]],-1,0) + OFFSET(TblMili[[#This Row],[Train AM]],-12,0) - TblMili[[#This Row],[Release AM]]</f>
        <v>0</v>
      </c>
      <c r="M81" s="142"/>
      <c r="N81" s="94">
        <f ca="1">TblProd[[#This Row],[Networth]]</f>
        <v>2450</v>
      </c>
      <c r="O81" s="142"/>
      <c r="P8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1" s="247">
        <f ca="1">TblMili[[#This Row],[Raw]]*(1+TblMili[[#This Row],[Mods_Off]])</f>
        <v>0</v>
      </c>
      <c r="S8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1" s="247">
        <f ca="1">TblMili[[#This Row],[Non Draft]]+TblMili[[#This Row],[Draftees]]</f>
        <v>614</v>
      </c>
      <c r="U81" s="248">
        <f ca="1">race_defense + TblImps[[#This Row],[Walls]] + ROUND( MIN(gt_bonus*TblConstr[[#This Row],[Tot GT]]/TblConstr[[#This Row],[Land]],gt_bonus_cap), 4) + IF(TblMagic[[#This Row],[Active Howling]]&gt;0,howling_dp_bonus,IF(TblMagic[[#This Row],[Active Ares Call]]&gt;0,ares_call_bonus))</f>
        <v>0</v>
      </c>
      <c r="V81" s="249">
        <f ca="1">TblMili[[#This Row],[Non Draft]] * (1 + TblMili[[#This Row],[Mods_Def]])</f>
        <v>0</v>
      </c>
      <c r="W81" s="247">
        <f ca="1">TblMili[[#This Row],[Draft]] * (1 + TblMili[[#This Row],[Mods_Def]])</f>
        <v>614</v>
      </c>
      <c r="X81" s="247">
        <f ca="1">TblConstr[[#This Row],[Land]]</f>
        <v>110</v>
      </c>
      <c r="Y81" s="250"/>
      <c r="Z81" s="255">
        <f ca="1">IF(TblMili[[#This Row],[Set]]&lt;&gt;"",TblMili[[#This Row],[Set]],OFFSET(TblMili[[#This Row],[Draftrate]],-1,0))</f>
        <v>0.9</v>
      </c>
      <c r="AA81" s="94">
        <f ca="1">OFFSET(TblMili[[#This Row],[Draftees]],-1,0)+OFFSET(TblPop[[#This Row],[Draft Growth]],-1,0) - SUM(TblMili[[#This Row],[Train Unit 1]:[Train Spies]],TblMili[[#This Row],[Train Wiz]],TblMili[[#This Row],[DnD_Zombies]]) - TblMili[[#This Row],[Release Draft]] + SUM(TblMili[[#This Row],[Release Unit 1]:[Release AM]]) - TblExplore[[#This Row],[Draftees (2)]]</f>
        <v>614</v>
      </c>
      <c r="AB81" s="154"/>
      <c r="AC81" s="180">
        <f ca="1">(TblConstr[[#This Row],[Tot Smi]]+TblConstr[[#This Row],[Dest Smi]])/(TblConstr[[#This Row],[Land]]-TblExplore[[#This Row],[Land Bonus]]*20)</f>
        <v>0</v>
      </c>
      <c r="AD81" s="137"/>
      <c r="AE81" s="246">
        <f>TblMili[[#This Row],[Hour]]</f>
        <v>78</v>
      </c>
      <c r="AF81" s="138">
        <f ca="1">TblExplore[[#This Row],[Time]]</f>
        <v>46050.208333333147</v>
      </c>
      <c r="AG81" s="179"/>
      <c r="AH81" s="179"/>
      <c r="AI81" s="179"/>
      <c r="AJ81" s="179"/>
      <c r="AK81" s="179"/>
      <c r="AL81" s="179"/>
      <c r="AM81" s="179"/>
      <c r="AN81" s="179"/>
      <c r="AO81" s="420">
        <f ca="1">ROUND(IF(AND(TblMagic[[#This Row],[Active DnD]]&lt;12,TblMagic[[#This Row],[Active DnD]]&gt;5),OFFSET(TblPop[[#This Row],[Draft Growth]],-1,0)*0.375,0),0)</f>
        <v>0</v>
      </c>
      <c r="AP81" s="142"/>
      <c r="AQ81" s="94">
        <f ca="1">TblProd[[#This Row],[Platinum]]</f>
        <v>175051</v>
      </c>
      <c r="AR81" s="94">
        <f ca="1">INDEX(TblProd[[#Headers],[Lumber]]:TblProd[[#This Row],[Ore]],COUNTA(TblProd[[#Headers],[Lumber]]:TblProd[[#This Row],[Lumber]]),MATCH(Military!$AR$2,TblProd[[#Headers],[Lumber]:[Ore]],0))</f>
        <v>0</v>
      </c>
      <c r="AS8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1" s="94">
        <f ca="1">TblMili[[#This Row],[Train Unit 1]]*TblMili[[#This Row],[OP Ore]]+TblMili[[#This Row],[Train Unit 2]]*TblMili[[#This Row],[DP Ore]]+TblMili[[#This Row],[Train Unit 3]]*TblMili[[#This Row],[E1 Ore]]+TblMili[[#This Row],[Train Unit 4]]*TblMili[[#This Row],[E2 Ore]]</f>
        <v>0</v>
      </c>
      <c r="AU81" s="142">
        <f>TblMili[[#This Row],[Hour]]</f>
        <v>78</v>
      </c>
      <c r="AV81" s="152">
        <f ca="1">TblMili[[#This Row],[Time]]</f>
        <v>46050.208333333147</v>
      </c>
      <c r="AW81" s="94">
        <f ca="1">TblMili[[#This Row],[Draftees]]</f>
        <v>614</v>
      </c>
      <c r="AX81" s="158"/>
      <c r="AY81" s="179"/>
      <c r="AZ81" s="179"/>
      <c r="BA81" s="179"/>
      <c r="BB81" s="179"/>
      <c r="BC81" s="179"/>
      <c r="BD81" s="179"/>
      <c r="BE81" s="179"/>
      <c r="BF81" s="179"/>
      <c r="BG81" s="142"/>
      <c r="BH81" s="157">
        <f ca="1">TblConstr[[#This Row],[Tot WG]]/TblConstr[[#This Row],[Land]]</f>
        <v>0</v>
      </c>
      <c r="BI81" s="157">
        <f ca="1">TblConstr[[#This Row],[Tot Hav]]/TblConstr[[#This Row],[Land]]</f>
        <v>0</v>
      </c>
      <c r="BJ81" s="94">
        <f ca="1">ROUNDUP((1-MIN(TblMili[[#This Row],[Smithies]]*smithy_bonus,smithy_bonus_cap) + tech_3_5*TblTech[[#This Row],[3-5]] + tech_5_3*TblTech[[#This Row],[5-3]] + tech_5_5*TblTech[[#This Row],[5-5]])*spec_op_plat,0)</f>
        <v>275</v>
      </c>
      <c r="BK81" s="94">
        <f ca="1">ROUNDUP(IF(race="Gnome",1,(1-MIN(TblMili[[#This Row],[Smithies]]*smithy_bonus,smithy_bonus_cap) + tech_3_5*TblTech[[#This Row],[3-5]] + tech_5_3*TblTech[[#This Row],[5-3]] + tech_5_5*TblTech[[#This Row],[5-5]]))*spec_op_ore,0)</f>
        <v>25</v>
      </c>
      <c r="BL81" s="94">
        <f ca="1">ROUNDUP((1-MIN(TblMili[[#This Row],[Smithies]]*smithy_bonus,smithy_bonus_cap) + tech_3_5*TblTech[[#This Row],[3-5]] + tech_5_3*TblTech[[#This Row],[5-3]] + tech_5_5*TblTech[[#This Row],[5-5]])*spec_dp_plat,0)</f>
        <v>275</v>
      </c>
      <c r="BM81" s="94">
        <f ca="1">ROUNDUP(IF(race="Gnome",1,(1-MIN(TblMili[[#This Row],[Smithies]]*smithy_bonus,smithy_bonus_cap) + tech_3_5*TblTech[[#This Row],[3-5]] + tech_5_3*TblTech[[#This Row],[5-3]] + tech_5_5*TblTech[[#This Row],[5-5]]))*spec_dp_ore,0)</f>
        <v>15</v>
      </c>
      <c r="BN81" s="94">
        <f ca="1">ROUNDUP((1-MIN(TblMili[[#This Row],[Smithies]]*smithy_bonus,smithy_bonus_cap) + tech_3_5*TblTech[[#This Row],[3-5]] + tech_5_3*TblTech[[#This Row],[5-3]] + tech_5_5*TblTech[[#This Row],[5-5]])*elite1_plat,0)</f>
        <v>1040</v>
      </c>
      <c r="BO81" s="94">
        <f ca="1">ROUNDUP(IF(race="Gnome",1,(1-MIN(TblMili[[#This Row],[Smithies]]*smithy_bonus,smithy_bonus_cap) + tech_3_5*TblTech[[#This Row],[3-5]] + tech_5_3*TblTech[[#This Row],[5-3]] + tech_5_5*TblTech[[#This Row],[5-5]]))*elite1_ore,0)</f>
        <v>75</v>
      </c>
      <c r="BP81" s="94">
        <f ca="1">ROUNDUP((1-MIN(TblMili[[#This Row],[Smithies]]*smithy_bonus,smithy_bonus_cap) + tech_3_5*TblTech[[#This Row],[3-5]] + tech_5_3*TblTech[[#This Row],[5-3]] + tech_5_5*TblTech[[#This Row],[5-5]])*elite2_plat,0)</f>
        <v>1280</v>
      </c>
      <c r="BQ81" s="94">
        <f ca="1">ROUNDUP(IF(race="Gnome",1,(1-MIN(TblMili[[#This Row],[Smithies]]*smithy_bonus,smithy_bonus_cap) + tech_3_5*TblTech[[#This Row],[3-5]] + tech_5_3*TblTech[[#This Row],[5-3]] + tech_5_5*TblTech[[#This Row],[5-5]]))*elite2_ore,0)</f>
        <v>100</v>
      </c>
      <c r="BR81" s="94">
        <f ca="1">ROUNDUP((1-MIN(ROUND(fh_spy_cost_red*TblMili[[#This Row],[FH''s]],4),fh_spy_cost_cap)+ tech_1_9*TblTech[[#This Row],[1-9]] + tech_9_1*TblTech[[#This Row],[9-1]])*spy_plat,0)</f>
        <v>500</v>
      </c>
      <c r="BS81" s="94">
        <f ca="1">ROUNDUP((1-MIN(ROUND(fh_spy_cost_red*TblMili[[#This Row],[FH''s]],4),fh_spy_cost_cap)+ tech_1_9*TblTech[[#This Row],[1-9]] + tech_9_1*TblTech[[#This Row],[9-1]])*archspy_plat,0)</f>
        <v>1000</v>
      </c>
      <c r="BT81" s="94">
        <f ca="1">ROUNDUP((1-MIN(ROUND(wg_wiz_cost_bonus*TblMili[[#This Row],[WG''s]],4),wg_wiz_cost_cap) + tech_1_9_2*TblTech[[#This Row],[1-9]] + tech_9_1_2*TblTech[[#This Row],[9-1]])*wizard_plat,0)</f>
        <v>500</v>
      </c>
      <c r="BU81" s="94">
        <f ca="1">ROUNDUP((1-MIN(ROUND(wg_wiz_cost_bonus*TblMili[[#This Row],[WG''s]],4),wg_wiz_cost_cap) + tech_1_9_2*TblTech[[#This Row],[1-9]] + tech_9_1_2*TblTech[[#This Row],[9-1]])*archmage_plat,0)</f>
        <v>1000</v>
      </c>
      <c r="BV81" s="142"/>
      <c r="BW81" s="157">
        <f ca="1">TblConstr[[#This Row],[Homeland]]/TblConstr[[#This Row],[Land]]</f>
        <v>0.81818181818181823</v>
      </c>
      <c r="BX81" s="157">
        <f ca="1">TblMili[[#This Row],[WG''s]]</f>
        <v>0</v>
      </c>
      <c r="BY81" s="251">
        <f ca="1">IF(mystic_cap="none",TblMili[[#This Row],[Homeland%]]/mystic_bonus,MIN(mystic_cap,TblMili[[#This Row],[Homeland%]]/mystic_bonus))</f>
        <v>2</v>
      </c>
      <c r="BZ81" s="251">
        <f ca="1">IF(druid_op_cap="none",TblMili[[#This Row],[Homeland%]]/druid_op_bonus,MIN(druid_op_cap,TblMili[[#This Row],[Homeland%]]/druid_op_bonus))</f>
        <v>2</v>
      </c>
      <c r="CA81" s="251">
        <f ca="1">IF(druid_dp_cap="none",TblMili[[#This Row],[Homeland%]]/druid_dp_bonus,MIN(druid_dp_cap,TblMili[[#This Row],[Homeland%]]/druid_dp_bonus))</f>
        <v>2</v>
      </c>
      <c r="CB81" s="251">
        <f ca="1">MIN(dryad_cap,TblMili[[#This Row],[Homeland%]]/dryad_bonus)</f>
        <v>4</v>
      </c>
      <c r="CC81" s="251">
        <f ca="1">MIN(rocka_cap,TblMili[[#This Row],[Homeland%]]/rocka_bonus)</f>
        <v>2</v>
      </c>
      <c r="CD81" s="251">
        <f ca="1">MIN(adept_op_cap,TblMili[[#This Row],[WG]]/adept_op_bonus)</f>
        <v>0</v>
      </c>
      <c r="CE81" s="251">
        <f ca="1">MIN(adept_dp_cap,TblMili[[#This Row],[WG]]/adept_dp_bonus)</f>
        <v>0</v>
      </c>
      <c r="CF81" s="94">
        <f ca="1">MIN(TblMili[[#This Row],[Unit 3]],TblMili[[#This Row],[Unit 2]])*2</f>
        <v>0</v>
      </c>
      <c r="CG81" s="94">
        <f ca="1">MIN(TblMili[[#This Row],[Unit 1]],TblMili[[#This Row],[Unit 4]])*2</f>
        <v>0</v>
      </c>
      <c r="CH81" s="251">
        <f ca="1">MIN(frost_mage_cap,TblMili[[#This Row],[Homeland%]]/frost_mage_bonus)</f>
        <v>3</v>
      </c>
      <c r="CI81" s="45">
        <f ca="1">MIN(ice_elem_cap,TblMili[[#This Row],[Raw (2)]]*ice_elem_bonus)</f>
        <v>0</v>
      </c>
      <c r="CJ81" s="251">
        <f t="shared" si="3"/>
        <v>0.83333333333333337</v>
      </c>
      <c r="CK81" s="251">
        <f ca="1">MIN(nox_nightshade_cap,TblConstr[[#This Row],[Homeland]]/TblConstr[[#This Row],[Land]]/nox_nightshade_swamp_bonus)</f>
        <v>4</v>
      </c>
      <c r="CL81" s="251">
        <f ca="1">MIN(TblConstr[[#This Row],[Total Swamp]]/TblConstr[[#This Row],[Land]]/abyss_enforce_bonus,abyss_enforcer_cap)</f>
        <v>0</v>
      </c>
      <c r="CM81" s="251">
        <f ca="1">IF(TblMagic[[#This Row],[Active Infernal Command]]&gt;0,TblMili[[#This Row],[Unit 1]]*infernal_cmd_op,0)</f>
        <v>0</v>
      </c>
      <c r="CN81" s="252"/>
      <c r="CO81" s="252"/>
      <c r="CP81" s="252"/>
      <c r="CQ81" s="251">
        <f ca="1">MIN(6,TblMili[[#This Row],[Mystic]]+Races!$F$19)*1.8 +  IF(TblMili[[#This Row],[Mystic]]+Races!$F$19&gt;6,(TblMili[[#This Row],[Mystic]]+Races!$F$19-6)*0.2,0) - Races!$I$19</f>
        <v>1</v>
      </c>
      <c r="CR8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1" s="94">
        <f ca="1">TblMili[[#This Row],[Mystic bonus]]*TblMili[[#This Row],[Unit 3]]+TblMili[[#This Row],[Druid bonus]]*TblMili[[#This Row],[Unit 4]]</f>
        <v>0</v>
      </c>
      <c r="CT81" s="155">
        <f ca="1">MIN(6,TblMili[[#This Row],[Dryad]]+Races!$F$35)*1.8 +  IF(TblMili[[#This Row],[Dryad]]+Races!$F$35&gt;6,(TblMili[[#This Row],[Dryad]]+Races!$F$35-6)*0.2,0) - Races!$I$19</f>
        <v>1</v>
      </c>
      <c r="CU81" s="94">
        <f ca="1">sylvan*(TblMili[[#This Row],[Mystic bonus]]*TblMili[[#This Row],[Unit 3]])</f>
        <v>0</v>
      </c>
      <c r="CV81" s="155">
        <f ca="1">1.8 * MIN(MAX(Races!$E$27,TblMili[[#This Row],[Rockapult]]+Races!$F$27),6)  +  0.45 * MIN(MIN(Races!$E$27,TblMili[[#This Row],[Rockapult]]+Races!$F$27),6)  +  0.2 * ( MAX(Races!$E$27-6,0) + MAX(TblMili[[#This Row],[Rockapult]]+Races!$F$27-6,0) )  -  Races!$I$20</f>
        <v>3.7000000000000011</v>
      </c>
      <c r="CW81" s="94">
        <f ca="1">gnome*(TblMili[[#This Row],[Rockapult bonus]]*TblMili[[#This Row],[Unit 3]])</f>
        <v>0</v>
      </c>
      <c r="CX8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1" s="94">
        <f ca="1">dark_elf*(TblMili[[#This Row],[Adept bonus]]*TblMili[[#This Row],[Unit 3]])</f>
        <v>0</v>
      </c>
      <c r="CZ81" s="155">
        <f ca="1">1.8 * MIN(MAX(TblMili[[#This Row],[Frost Mage]]+Races!$F$71,Races!$E$71),6)  +  0.45 * MIN(MIN(TblMili[[#This Row],[Frost Mage]]+Races!$F$71,Races!$E$71),6)  +  0.2 * ( MAX(TblMili[[#This Row],[Frost Mage]]+Races!$F$71-6,0) + MAX(Races!$E$71-6,0) )  -  Races!$I$71</f>
        <v>6.15</v>
      </c>
      <c r="DA81" s="155">
        <f ca="1">1.8 * MIN(MAX(TblMili[[#This Row],[Ice Elemental]]+Races!$E$71,Races!$F$71),6)  +  0.45 * MIN(MIN(TblMili[[#This Row],[Ice Elemental]]+Races!$E$71,Races!$F$71),6)  +  0.2 * ( MAX(TblMili[[#This Row],[Ice Elemental]]+Races!$E$71-6,0) + MAX(Races!$F$71-6,0) )  -  Races!$I$71</f>
        <v>0.75</v>
      </c>
      <c r="DB81" s="94">
        <f ca="1">TblMili[[#This Row],[Frost Mage bonus]]*TblMili[[#This Row],[Unit 3]]+TblMili[[#This Row],[Ice Elemental bonus]]*TblMili[[#This Row],[Unit 4]]</f>
        <v>0</v>
      </c>
      <c r="DC81" s="253"/>
      <c r="DD81" s="143">
        <f ca="1">MIN(SUM(TblConstr[[#This Row],[Plain]:[Water]])/TblMili[[#This Row],[Land]]/favorable_terrain_bonus/100,favorable_terrain_max)</f>
        <v>0.1</v>
      </c>
      <c r="DE81" s="253"/>
      <c r="DF8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1" s="142"/>
      <c r="DH81" s="254">
        <f ca="1">(TblMili[[#This Row],[Wizards]]+2*TblMili[[#This Row],[Archmages]])/TblConstr[[#This Row],[Land]]</f>
        <v>0</v>
      </c>
      <c r="DI81" s="254">
        <f ca="1">TblMili[[#This Row],[Raw (2)]]*(1+race_wizard_strength+IF(TblMili[[#This Row],[Hour]]&gt;72,tech_magical_weaponry_wiz*TblTech[[#This Row],[3-5]],0))</f>
        <v>0</v>
      </c>
    </row>
    <row r="82" spans="1:113" x14ac:dyDescent="0.2">
      <c r="A82" s="137">
        <f>TblRezone[[#This Row],[Hour]]</f>
        <v>79</v>
      </c>
      <c r="B82" s="246">
        <f ca="1">SUM(TblMili[[#This Row],[Unit 1]:[Archmages]])+SUM(OFFSET(TblMili[[#This Row],[Train Unit 1]],-8,0):TblMili[[#This Row],[Train Unit 2]]) + SUM(OFFSET(TblMili[[#This Row],[Train Unit 3]],-11,0):TblMili[[#This Row],[Train AM]]) + TblMili[[#This Row],[Draftees]]</f>
        <v>619</v>
      </c>
      <c r="C82" s="157">
        <f ca="1">TblPop[[#This Row],[Military%]]</f>
        <v>0.57527881040892193</v>
      </c>
      <c r="D82" s="142"/>
      <c r="E82" s="45">
        <f ca="1">OFFSET(TblMili[[#This Row],[Unit 1]],-1,0) + OFFSET(TblMili[[#This Row],[Train Unit 1]],-9,0) - TblMili[[#This Row],[Release Unit 1]] + OFFSET(TblMili[[#This Row],[DnD_Zombies]],-12,0)</f>
        <v>0</v>
      </c>
      <c r="F82" s="45">
        <f ca="1">OFFSET(TblMili[[#This Row],[Unit 2]],-1,0) + OFFSET(TblMili[[#This Row],[Train Unit 2]],-9,0)-TblMili[[#This Row],[Release Unit 2]]</f>
        <v>0</v>
      </c>
      <c r="G82" s="45">
        <f ca="1">OFFSET(TblMili[[#This Row],[Unit 3]],-1,0) + OFFSET(TblMili[[#This Row],[Train Unit 3]],-12,0)-TblMili[[#This Row],[Release Unit 3]]</f>
        <v>0</v>
      </c>
      <c r="H82" s="45">
        <f ca="1">OFFSET(TblMili[[#This Row],[Unit 4]],-1,0) + OFFSET(TblMili[[#This Row],[Train Unit 4]],-12,0)-TblMili[[#This Row],[Release Unit 4]]</f>
        <v>0</v>
      </c>
      <c r="I82" s="45">
        <f ca="1">OFFSET(TblMili[[#This Row],[Spies]],-1,0) + OFFSET(TblMili[[#This Row],[Train Spies]],-12,0) - TblMili[[#This Row],[Release Spies]]-TblMili[[#This Row],[Train AS]]</f>
        <v>0</v>
      </c>
      <c r="J82" s="45">
        <f ca="1">OFFSET(TblMili[[#This Row],[Archspies]],-1,0) + OFFSET(TblMili[[#This Row],[Train AS]],-12,0) - TblMili[[#This Row],[Release AS]]</f>
        <v>0</v>
      </c>
      <c r="K82" s="45">
        <f ca="1">OFFSET(TblMili[[#This Row],[Wizards]],-1,0) + OFFSET(TblMili[[#This Row],[Train Wiz]],-12,0) - TblMili[[#This Row],[Release Wizards]]-TblMili[[#This Row],[Train AM]]</f>
        <v>0</v>
      </c>
      <c r="L82" s="45">
        <f ca="1">OFFSET(TblMili[[#This Row],[Archmages]],-1,0) + OFFSET(TblMili[[#This Row],[Train AM]],-12,0) - TblMili[[#This Row],[Release AM]]</f>
        <v>0</v>
      </c>
      <c r="M82" s="142"/>
      <c r="N82" s="94">
        <f ca="1">TblProd[[#This Row],[Networth]]</f>
        <v>2450</v>
      </c>
      <c r="O82" s="142"/>
      <c r="P8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2" s="247">
        <f ca="1">TblMili[[#This Row],[Raw]]*(1+TblMili[[#This Row],[Mods_Off]])</f>
        <v>0</v>
      </c>
      <c r="S8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2" s="247">
        <f ca="1">TblMili[[#This Row],[Non Draft]]+TblMili[[#This Row],[Draftees]]</f>
        <v>619</v>
      </c>
      <c r="U82" s="248">
        <f ca="1">race_defense + TblImps[[#This Row],[Walls]] + ROUND( MIN(gt_bonus*TblConstr[[#This Row],[Tot GT]]/TblConstr[[#This Row],[Land]],gt_bonus_cap), 4) + IF(TblMagic[[#This Row],[Active Howling]]&gt;0,howling_dp_bonus,IF(TblMagic[[#This Row],[Active Ares Call]]&gt;0,ares_call_bonus))</f>
        <v>0</v>
      </c>
      <c r="V82" s="249">
        <f ca="1">TblMili[[#This Row],[Non Draft]] * (1 + TblMili[[#This Row],[Mods_Def]])</f>
        <v>0</v>
      </c>
      <c r="W82" s="247">
        <f ca="1">TblMili[[#This Row],[Draft]] * (1 + TblMili[[#This Row],[Mods_Def]])</f>
        <v>619</v>
      </c>
      <c r="X82" s="247">
        <f ca="1">TblConstr[[#This Row],[Land]]</f>
        <v>110</v>
      </c>
      <c r="Y82" s="250"/>
      <c r="Z82" s="255">
        <f ca="1">IF(TblMili[[#This Row],[Set]]&lt;&gt;"",TblMili[[#This Row],[Set]],OFFSET(TblMili[[#This Row],[Draftrate]],-1,0))</f>
        <v>0.9</v>
      </c>
      <c r="AA82" s="94">
        <f ca="1">OFFSET(TblMili[[#This Row],[Draftees]],-1,0)+OFFSET(TblPop[[#This Row],[Draft Growth]],-1,0) - SUM(TblMili[[#This Row],[Train Unit 1]:[Train Spies]],TblMili[[#This Row],[Train Wiz]],TblMili[[#This Row],[DnD_Zombies]]) - TblMili[[#This Row],[Release Draft]] + SUM(TblMili[[#This Row],[Release Unit 1]:[Release AM]]) - TblExplore[[#This Row],[Draftees (2)]]</f>
        <v>619</v>
      </c>
      <c r="AB82" s="154"/>
      <c r="AC82" s="180">
        <f ca="1">(TblConstr[[#This Row],[Tot Smi]]+TblConstr[[#This Row],[Dest Smi]])/(TblConstr[[#This Row],[Land]]-TblExplore[[#This Row],[Land Bonus]]*20)</f>
        <v>0</v>
      </c>
      <c r="AD82" s="137"/>
      <c r="AE82" s="246">
        <f>TblMili[[#This Row],[Hour]]</f>
        <v>79</v>
      </c>
      <c r="AF82" s="138">
        <f ca="1">TblExplore[[#This Row],[Time]]</f>
        <v>46050.249999999811</v>
      </c>
      <c r="AG82" s="179"/>
      <c r="AH82" s="179"/>
      <c r="AI82" s="179"/>
      <c r="AJ82" s="179"/>
      <c r="AK82" s="179"/>
      <c r="AL82" s="179"/>
      <c r="AM82" s="179"/>
      <c r="AN82" s="179"/>
      <c r="AO82" s="420">
        <f ca="1">ROUND(IF(AND(TblMagic[[#This Row],[Active DnD]]&lt;12,TblMagic[[#This Row],[Active DnD]]&gt;5),OFFSET(TblPop[[#This Row],[Draft Growth]],-1,0)*0.375,0),0)</f>
        <v>0</v>
      </c>
      <c r="AP82" s="142"/>
      <c r="AQ82" s="94">
        <f ca="1">TblProd[[#This Row],[Platinum]]</f>
        <v>176298</v>
      </c>
      <c r="AR82" s="94">
        <f ca="1">INDEX(TblProd[[#Headers],[Lumber]]:TblProd[[#This Row],[Ore]],COUNTA(TblProd[[#Headers],[Lumber]]:TblProd[[#This Row],[Lumber]]),MATCH(Military!$AR$2,TblProd[[#Headers],[Lumber]:[Ore]],0))</f>
        <v>0</v>
      </c>
      <c r="AS8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2" s="94">
        <f ca="1">TblMili[[#This Row],[Train Unit 1]]*TblMili[[#This Row],[OP Ore]]+TblMili[[#This Row],[Train Unit 2]]*TblMili[[#This Row],[DP Ore]]+TblMili[[#This Row],[Train Unit 3]]*TblMili[[#This Row],[E1 Ore]]+TblMili[[#This Row],[Train Unit 4]]*TblMili[[#This Row],[E2 Ore]]</f>
        <v>0</v>
      </c>
      <c r="AU82" s="142">
        <f>TblMili[[#This Row],[Hour]]</f>
        <v>79</v>
      </c>
      <c r="AV82" s="152">
        <f ca="1">TblMili[[#This Row],[Time]]</f>
        <v>46050.249999999811</v>
      </c>
      <c r="AW82" s="94">
        <f ca="1">TblMili[[#This Row],[Draftees]]</f>
        <v>619</v>
      </c>
      <c r="AX82" s="158"/>
      <c r="AY82" s="179"/>
      <c r="AZ82" s="179"/>
      <c r="BA82" s="179"/>
      <c r="BB82" s="179"/>
      <c r="BC82" s="179"/>
      <c r="BD82" s="179"/>
      <c r="BE82" s="179"/>
      <c r="BF82" s="179"/>
      <c r="BG82" s="142"/>
      <c r="BH82" s="157">
        <f ca="1">TblConstr[[#This Row],[Tot WG]]/TblConstr[[#This Row],[Land]]</f>
        <v>0</v>
      </c>
      <c r="BI82" s="157">
        <f ca="1">TblConstr[[#This Row],[Tot Hav]]/TblConstr[[#This Row],[Land]]</f>
        <v>0</v>
      </c>
      <c r="BJ82" s="94">
        <f ca="1">ROUNDUP((1-MIN(TblMili[[#This Row],[Smithies]]*smithy_bonus,smithy_bonus_cap) + tech_3_5*TblTech[[#This Row],[3-5]] + tech_5_3*TblTech[[#This Row],[5-3]] + tech_5_5*TblTech[[#This Row],[5-5]])*spec_op_plat,0)</f>
        <v>275</v>
      </c>
      <c r="BK82" s="94">
        <f ca="1">ROUNDUP(IF(race="Gnome",1,(1-MIN(TblMili[[#This Row],[Smithies]]*smithy_bonus,smithy_bonus_cap) + tech_3_5*TblTech[[#This Row],[3-5]] + tech_5_3*TblTech[[#This Row],[5-3]] + tech_5_5*TblTech[[#This Row],[5-5]]))*spec_op_ore,0)</f>
        <v>25</v>
      </c>
      <c r="BL82" s="94">
        <f ca="1">ROUNDUP((1-MIN(TblMili[[#This Row],[Smithies]]*smithy_bonus,smithy_bonus_cap) + tech_3_5*TblTech[[#This Row],[3-5]] + tech_5_3*TblTech[[#This Row],[5-3]] + tech_5_5*TblTech[[#This Row],[5-5]])*spec_dp_plat,0)</f>
        <v>275</v>
      </c>
      <c r="BM82" s="94">
        <f ca="1">ROUNDUP(IF(race="Gnome",1,(1-MIN(TblMili[[#This Row],[Smithies]]*smithy_bonus,smithy_bonus_cap) + tech_3_5*TblTech[[#This Row],[3-5]] + tech_5_3*TblTech[[#This Row],[5-3]] + tech_5_5*TblTech[[#This Row],[5-5]]))*spec_dp_ore,0)</f>
        <v>15</v>
      </c>
      <c r="BN82" s="94">
        <f ca="1">ROUNDUP((1-MIN(TblMili[[#This Row],[Smithies]]*smithy_bonus,smithy_bonus_cap) + tech_3_5*TblTech[[#This Row],[3-5]] + tech_5_3*TblTech[[#This Row],[5-3]] + tech_5_5*TblTech[[#This Row],[5-5]])*elite1_plat,0)</f>
        <v>1040</v>
      </c>
      <c r="BO82" s="94">
        <f ca="1">ROUNDUP(IF(race="Gnome",1,(1-MIN(TblMili[[#This Row],[Smithies]]*smithy_bonus,smithy_bonus_cap) + tech_3_5*TblTech[[#This Row],[3-5]] + tech_5_3*TblTech[[#This Row],[5-3]] + tech_5_5*TblTech[[#This Row],[5-5]]))*elite1_ore,0)</f>
        <v>75</v>
      </c>
      <c r="BP82" s="94">
        <f ca="1">ROUNDUP((1-MIN(TblMili[[#This Row],[Smithies]]*smithy_bonus,smithy_bonus_cap) + tech_3_5*TblTech[[#This Row],[3-5]] + tech_5_3*TblTech[[#This Row],[5-3]] + tech_5_5*TblTech[[#This Row],[5-5]])*elite2_plat,0)</f>
        <v>1280</v>
      </c>
      <c r="BQ82" s="94">
        <f ca="1">ROUNDUP(IF(race="Gnome",1,(1-MIN(TblMili[[#This Row],[Smithies]]*smithy_bonus,smithy_bonus_cap) + tech_3_5*TblTech[[#This Row],[3-5]] + tech_5_3*TblTech[[#This Row],[5-3]] + tech_5_5*TblTech[[#This Row],[5-5]]))*elite2_ore,0)</f>
        <v>100</v>
      </c>
      <c r="BR82" s="94">
        <f ca="1">ROUNDUP((1-MIN(ROUND(fh_spy_cost_red*TblMili[[#This Row],[FH''s]],4),fh_spy_cost_cap)+ tech_1_9*TblTech[[#This Row],[1-9]] + tech_9_1*TblTech[[#This Row],[9-1]])*spy_plat,0)</f>
        <v>500</v>
      </c>
      <c r="BS82" s="94">
        <f ca="1">ROUNDUP((1-MIN(ROUND(fh_spy_cost_red*TblMili[[#This Row],[FH''s]],4),fh_spy_cost_cap)+ tech_1_9*TblTech[[#This Row],[1-9]] + tech_9_1*TblTech[[#This Row],[9-1]])*archspy_plat,0)</f>
        <v>1000</v>
      </c>
      <c r="BT82" s="94">
        <f ca="1">ROUNDUP((1-MIN(ROUND(wg_wiz_cost_bonus*TblMili[[#This Row],[WG''s]],4),wg_wiz_cost_cap) + tech_1_9_2*TblTech[[#This Row],[1-9]] + tech_9_1_2*TblTech[[#This Row],[9-1]])*wizard_plat,0)</f>
        <v>500</v>
      </c>
      <c r="BU82" s="94">
        <f ca="1">ROUNDUP((1-MIN(ROUND(wg_wiz_cost_bonus*TblMili[[#This Row],[WG''s]],4),wg_wiz_cost_cap) + tech_1_9_2*TblTech[[#This Row],[1-9]] + tech_9_1_2*TblTech[[#This Row],[9-1]])*archmage_plat,0)</f>
        <v>1000</v>
      </c>
      <c r="BV82" s="142"/>
      <c r="BW82" s="157">
        <f ca="1">TblConstr[[#This Row],[Homeland]]/TblConstr[[#This Row],[Land]]</f>
        <v>0.81818181818181823</v>
      </c>
      <c r="BX82" s="157">
        <f ca="1">TblMili[[#This Row],[WG''s]]</f>
        <v>0</v>
      </c>
      <c r="BY82" s="251">
        <f ca="1">IF(mystic_cap="none",TblMili[[#This Row],[Homeland%]]/mystic_bonus,MIN(mystic_cap,TblMili[[#This Row],[Homeland%]]/mystic_bonus))</f>
        <v>2</v>
      </c>
      <c r="BZ82" s="251">
        <f ca="1">IF(druid_op_cap="none",TblMili[[#This Row],[Homeland%]]/druid_op_bonus,MIN(druid_op_cap,TblMili[[#This Row],[Homeland%]]/druid_op_bonus))</f>
        <v>2</v>
      </c>
      <c r="CA82" s="251">
        <f ca="1">IF(druid_dp_cap="none",TblMili[[#This Row],[Homeland%]]/druid_dp_bonus,MIN(druid_dp_cap,TblMili[[#This Row],[Homeland%]]/druid_dp_bonus))</f>
        <v>2</v>
      </c>
      <c r="CB82" s="251">
        <f ca="1">MIN(dryad_cap,TblMili[[#This Row],[Homeland%]]/dryad_bonus)</f>
        <v>4</v>
      </c>
      <c r="CC82" s="251">
        <f ca="1">MIN(rocka_cap,TblMili[[#This Row],[Homeland%]]/rocka_bonus)</f>
        <v>2</v>
      </c>
      <c r="CD82" s="251">
        <f ca="1">MIN(adept_op_cap,TblMili[[#This Row],[WG]]/adept_op_bonus)</f>
        <v>0</v>
      </c>
      <c r="CE82" s="251">
        <f ca="1">MIN(adept_dp_cap,TblMili[[#This Row],[WG]]/adept_dp_bonus)</f>
        <v>0</v>
      </c>
      <c r="CF82" s="94">
        <f ca="1">MIN(TblMili[[#This Row],[Unit 3]],TblMili[[#This Row],[Unit 2]])*2</f>
        <v>0</v>
      </c>
      <c r="CG82" s="94">
        <f ca="1">MIN(TblMili[[#This Row],[Unit 1]],TblMili[[#This Row],[Unit 4]])*2</f>
        <v>0</v>
      </c>
      <c r="CH82" s="251">
        <f ca="1">MIN(frost_mage_cap,TblMili[[#This Row],[Homeland%]]/frost_mage_bonus)</f>
        <v>3</v>
      </c>
      <c r="CI82" s="45">
        <f ca="1">MIN(ice_elem_cap,TblMili[[#This Row],[Raw (2)]]*ice_elem_bonus)</f>
        <v>0</v>
      </c>
      <c r="CJ82" s="251">
        <f t="shared" si="3"/>
        <v>0.83333333333333337</v>
      </c>
      <c r="CK82" s="251">
        <f ca="1">MIN(nox_nightshade_cap,TblConstr[[#This Row],[Homeland]]/TblConstr[[#This Row],[Land]]/nox_nightshade_swamp_bonus)</f>
        <v>4</v>
      </c>
      <c r="CL82" s="251">
        <f ca="1">MIN(TblConstr[[#This Row],[Total Swamp]]/TblConstr[[#This Row],[Land]]/abyss_enforce_bonus,abyss_enforcer_cap)</f>
        <v>0</v>
      </c>
      <c r="CM82" s="251">
        <f ca="1">IF(TblMagic[[#This Row],[Active Infernal Command]]&gt;0,TblMili[[#This Row],[Unit 1]]*infernal_cmd_op,0)</f>
        <v>0</v>
      </c>
      <c r="CN82" s="252"/>
      <c r="CO82" s="252"/>
      <c r="CP82" s="252"/>
      <c r="CQ82" s="251">
        <f ca="1">MIN(6,TblMili[[#This Row],[Mystic]]+Races!$F$19)*1.8 +  IF(TblMili[[#This Row],[Mystic]]+Races!$F$19&gt;6,(TblMili[[#This Row],[Mystic]]+Races!$F$19-6)*0.2,0) - Races!$I$19</f>
        <v>1</v>
      </c>
      <c r="CR8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2" s="94">
        <f ca="1">TblMili[[#This Row],[Mystic bonus]]*TblMili[[#This Row],[Unit 3]]+TblMili[[#This Row],[Druid bonus]]*TblMili[[#This Row],[Unit 4]]</f>
        <v>0</v>
      </c>
      <c r="CT82" s="155">
        <f ca="1">MIN(6,TblMili[[#This Row],[Dryad]]+Races!$F$35)*1.8 +  IF(TblMili[[#This Row],[Dryad]]+Races!$F$35&gt;6,(TblMili[[#This Row],[Dryad]]+Races!$F$35-6)*0.2,0) - Races!$I$19</f>
        <v>1</v>
      </c>
      <c r="CU82" s="94">
        <f ca="1">sylvan*(TblMili[[#This Row],[Mystic bonus]]*TblMili[[#This Row],[Unit 3]])</f>
        <v>0</v>
      </c>
      <c r="CV82" s="155">
        <f ca="1">1.8 * MIN(MAX(Races!$E$27,TblMili[[#This Row],[Rockapult]]+Races!$F$27),6)  +  0.45 * MIN(MIN(Races!$E$27,TblMili[[#This Row],[Rockapult]]+Races!$F$27),6)  +  0.2 * ( MAX(Races!$E$27-6,0) + MAX(TblMili[[#This Row],[Rockapult]]+Races!$F$27-6,0) )  -  Races!$I$20</f>
        <v>3.7000000000000011</v>
      </c>
      <c r="CW82" s="94">
        <f ca="1">gnome*(TblMili[[#This Row],[Rockapult bonus]]*TblMili[[#This Row],[Unit 3]])</f>
        <v>0</v>
      </c>
      <c r="CX8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2" s="94">
        <f ca="1">dark_elf*(TblMili[[#This Row],[Adept bonus]]*TblMili[[#This Row],[Unit 3]])</f>
        <v>0</v>
      </c>
      <c r="CZ82" s="155">
        <f ca="1">1.8 * MIN(MAX(TblMili[[#This Row],[Frost Mage]]+Races!$F$71,Races!$E$71),6)  +  0.45 * MIN(MIN(TblMili[[#This Row],[Frost Mage]]+Races!$F$71,Races!$E$71),6)  +  0.2 * ( MAX(TblMili[[#This Row],[Frost Mage]]+Races!$F$71-6,0) + MAX(Races!$E$71-6,0) )  -  Races!$I$71</f>
        <v>6.15</v>
      </c>
      <c r="DA82" s="155">
        <f ca="1">1.8 * MIN(MAX(TblMili[[#This Row],[Ice Elemental]]+Races!$E$71,Races!$F$71),6)  +  0.45 * MIN(MIN(TblMili[[#This Row],[Ice Elemental]]+Races!$E$71,Races!$F$71),6)  +  0.2 * ( MAX(TblMili[[#This Row],[Ice Elemental]]+Races!$E$71-6,0) + MAX(Races!$F$71-6,0) )  -  Races!$I$71</f>
        <v>0.75</v>
      </c>
      <c r="DB82" s="94">
        <f ca="1">TblMili[[#This Row],[Frost Mage bonus]]*TblMili[[#This Row],[Unit 3]]+TblMili[[#This Row],[Ice Elemental bonus]]*TblMili[[#This Row],[Unit 4]]</f>
        <v>0</v>
      </c>
      <c r="DC82" s="253"/>
      <c r="DD82" s="143">
        <f ca="1">MIN(SUM(TblConstr[[#This Row],[Plain]:[Water]])/TblMili[[#This Row],[Land]]/favorable_terrain_bonus/100,favorable_terrain_max)</f>
        <v>0.1</v>
      </c>
      <c r="DE82" s="253"/>
      <c r="DF8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2" s="142"/>
      <c r="DH82" s="254">
        <f ca="1">(TblMili[[#This Row],[Wizards]]+2*TblMili[[#This Row],[Archmages]])/TblConstr[[#This Row],[Land]]</f>
        <v>0</v>
      </c>
      <c r="DI82" s="254">
        <f ca="1">TblMili[[#This Row],[Raw (2)]]*(1+race_wizard_strength+IF(TblMili[[#This Row],[Hour]]&gt;72,tech_magical_weaponry_wiz*TblTech[[#This Row],[3-5]],0))</f>
        <v>0</v>
      </c>
    </row>
    <row r="83" spans="1:113" x14ac:dyDescent="0.2">
      <c r="A83" s="137">
        <f>TblRezone[[#This Row],[Hour]]</f>
        <v>80</v>
      </c>
      <c r="B83" s="246">
        <f ca="1">SUM(TblMili[[#This Row],[Unit 1]:[Archmages]])+SUM(OFFSET(TblMili[[#This Row],[Train Unit 1]],-8,0):TblMili[[#This Row],[Train Unit 2]]) + SUM(OFFSET(TblMili[[#This Row],[Train Unit 3]],-11,0):TblMili[[#This Row],[Train AM]]) + TblMili[[#This Row],[Draftees]]</f>
        <v>624</v>
      </c>
      <c r="C83" s="157">
        <f ca="1">TblPop[[#This Row],[Military%]]</f>
        <v>0.5799256505576208</v>
      </c>
      <c r="D83" s="142"/>
      <c r="E83" s="45">
        <f ca="1">OFFSET(TblMili[[#This Row],[Unit 1]],-1,0) + OFFSET(TblMili[[#This Row],[Train Unit 1]],-9,0) - TblMili[[#This Row],[Release Unit 1]] + OFFSET(TblMili[[#This Row],[DnD_Zombies]],-12,0)</f>
        <v>0</v>
      </c>
      <c r="F83" s="45">
        <f ca="1">OFFSET(TblMili[[#This Row],[Unit 2]],-1,0) + OFFSET(TblMili[[#This Row],[Train Unit 2]],-9,0)-TblMili[[#This Row],[Release Unit 2]]</f>
        <v>0</v>
      </c>
      <c r="G83" s="45">
        <f ca="1">OFFSET(TblMili[[#This Row],[Unit 3]],-1,0) + OFFSET(TblMili[[#This Row],[Train Unit 3]],-12,0)-TblMili[[#This Row],[Release Unit 3]]</f>
        <v>0</v>
      </c>
      <c r="H83" s="45">
        <f ca="1">OFFSET(TblMili[[#This Row],[Unit 4]],-1,0) + OFFSET(TblMili[[#This Row],[Train Unit 4]],-12,0)-TblMili[[#This Row],[Release Unit 4]]</f>
        <v>0</v>
      </c>
      <c r="I83" s="45">
        <f ca="1">OFFSET(TblMili[[#This Row],[Spies]],-1,0) + OFFSET(TblMili[[#This Row],[Train Spies]],-12,0) - TblMili[[#This Row],[Release Spies]]-TblMili[[#This Row],[Train AS]]</f>
        <v>0</v>
      </c>
      <c r="J83" s="45">
        <f ca="1">OFFSET(TblMili[[#This Row],[Archspies]],-1,0) + OFFSET(TblMili[[#This Row],[Train AS]],-12,0) - TblMili[[#This Row],[Release AS]]</f>
        <v>0</v>
      </c>
      <c r="K83" s="45">
        <f ca="1">OFFSET(TblMili[[#This Row],[Wizards]],-1,0) + OFFSET(TblMili[[#This Row],[Train Wiz]],-12,0) - TblMili[[#This Row],[Release Wizards]]-TblMili[[#This Row],[Train AM]]</f>
        <v>0</v>
      </c>
      <c r="L83" s="45">
        <f ca="1">OFFSET(TblMili[[#This Row],[Archmages]],-1,0) + OFFSET(TblMili[[#This Row],[Train AM]],-12,0) - TblMili[[#This Row],[Release AM]]</f>
        <v>0</v>
      </c>
      <c r="M83" s="142"/>
      <c r="N83" s="94">
        <f ca="1">TblProd[[#This Row],[Networth]]</f>
        <v>2450</v>
      </c>
      <c r="O83" s="142"/>
      <c r="P8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3" s="247">
        <f ca="1">TblMili[[#This Row],[Raw]]*(1+TblMili[[#This Row],[Mods_Off]])</f>
        <v>0</v>
      </c>
      <c r="S8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3" s="247">
        <f ca="1">TblMili[[#This Row],[Non Draft]]+TblMili[[#This Row],[Draftees]]</f>
        <v>624</v>
      </c>
      <c r="U83" s="248">
        <f ca="1">race_defense + TblImps[[#This Row],[Walls]] + ROUND( MIN(gt_bonus*TblConstr[[#This Row],[Tot GT]]/TblConstr[[#This Row],[Land]],gt_bonus_cap), 4) + IF(TblMagic[[#This Row],[Active Howling]]&gt;0,howling_dp_bonus,IF(TblMagic[[#This Row],[Active Ares Call]]&gt;0,ares_call_bonus))</f>
        <v>0</v>
      </c>
      <c r="V83" s="249">
        <f ca="1">TblMili[[#This Row],[Non Draft]] * (1 + TblMili[[#This Row],[Mods_Def]])</f>
        <v>0</v>
      </c>
      <c r="W83" s="247">
        <f ca="1">TblMili[[#This Row],[Draft]] * (1 + TblMili[[#This Row],[Mods_Def]])</f>
        <v>624</v>
      </c>
      <c r="X83" s="247">
        <f ca="1">TblConstr[[#This Row],[Land]]</f>
        <v>110</v>
      </c>
      <c r="Y83" s="250"/>
      <c r="Z83" s="255">
        <f ca="1">IF(TblMili[[#This Row],[Set]]&lt;&gt;"",TblMili[[#This Row],[Set]],OFFSET(TblMili[[#This Row],[Draftrate]],-1,0))</f>
        <v>0.9</v>
      </c>
      <c r="AA83" s="94">
        <f ca="1">OFFSET(TblMili[[#This Row],[Draftees]],-1,0)+OFFSET(TblPop[[#This Row],[Draft Growth]],-1,0) - SUM(TblMili[[#This Row],[Train Unit 1]:[Train Spies]],TblMili[[#This Row],[Train Wiz]],TblMili[[#This Row],[DnD_Zombies]]) - TblMili[[#This Row],[Release Draft]] + SUM(TblMili[[#This Row],[Release Unit 1]:[Release AM]]) - TblExplore[[#This Row],[Draftees (2)]]</f>
        <v>624</v>
      </c>
      <c r="AB83" s="154"/>
      <c r="AC83" s="180">
        <f ca="1">(TblConstr[[#This Row],[Tot Smi]]+TblConstr[[#This Row],[Dest Smi]])/(TblConstr[[#This Row],[Land]]-TblExplore[[#This Row],[Land Bonus]]*20)</f>
        <v>0</v>
      </c>
      <c r="AD83" s="137"/>
      <c r="AE83" s="246">
        <f>TblMili[[#This Row],[Hour]]</f>
        <v>80</v>
      </c>
      <c r="AF83" s="138">
        <f ca="1">TblExplore[[#This Row],[Time]]</f>
        <v>46050.291666666475</v>
      </c>
      <c r="AG83" s="179"/>
      <c r="AH83" s="179"/>
      <c r="AI83" s="179"/>
      <c r="AJ83" s="179"/>
      <c r="AK83" s="179"/>
      <c r="AL83" s="179"/>
      <c r="AM83" s="179"/>
      <c r="AN83" s="179"/>
      <c r="AO83" s="420">
        <f ca="1">ROUND(IF(AND(TblMagic[[#This Row],[Active DnD]]&lt;12,TblMagic[[#This Row],[Active DnD]]&gt;5),OFFSET(TblPop[[#This Row],[Draft Growth]],-1,0)*0.375,0),0)</f>
        <v>0</v>
      </c>
      <c r="AP83" s="142"/>
      <c r="AQ83" s="94">
        <f ca="1">TblProd[[#This Row],[Platinum]]</f>
        <v>177531</v>
      </c>
      <c r="AR83" s="94">
        <f ca="1">INDEX(TblProd[[#Headers],[Lumber]]:TblProd[[#This Row],[Ore]],COUNTA(TblProd[[#Headers],[Lumber]]:TblProd[[#This Row],[Lumber]]),MATCH(Military!$AR$2,TblProd[[#Headers],[Lumber]:[Ore]],0))</f>
        <v>0</v>
      </c>
      <c r="AS8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3" s="94">
        <f ca="1">TblMili[[#This Row],[Train Unit 1]]*TblMili[[#This Row],[OP Ore]]+TblMili[[#This Row],[Train Unit 2]]*TblMili[[#This Row],[DP Ore]]+TblMili[[#This Row],[Train Unit 3]]*TblMili[[#This Row],[E1 Ore]]+TblMili[[#This Row],[Train Unit 4]]*TblMili[[#This Row],[E2 Ore]]</f>
        <v>0</v>
      </c>
      <c r="AU83" s="142">
        <f>TblMili[[#This Row],[Hour]]</f>
        <v>80</v>
      </c>
      <c r="AV83" s="152">
        <f ca="1">TblMili[[#This Row],[Time]]</f>
        <v>46050.291666666475</v>
      </c>
      <c r="AW83" s="94">
        <f ca="1">TblMili[[#This Row],[Draftees]]</f>
        <v>624</v>
      </c>
      <c r="AX83" s="158"/>
      <c r="AY83" s="179"/>
      <c r="AZ83" s="179"/>
      <c r="BA83" s="179"/>
      <c r="BB83" s="179"/>
      <c r="BC83" s="179"/>
      <c r="BD83" s="179"/>
      <c r="BE83" s="179"/>
      <c r="BF83" s="179"/>
      <c r="BG83" s="142"/>
      <c r="BH83" s="157">
        <f ca="1">TblConstr[[#This Row],[Tot WG]]/TblConstr[[#This Row],[Land]]</f>
        <v>0</v>
      </c>
      <c r="BI83" s="157">
        <f ca="1">TblConstr[[#This Row],[Tot Hav]]/TblConstr[[#This Row],[Land]]</f>
        <v>0</v>
      </c>
      <c r="BJ83" s="94">
        <f ca="1">ROUNDUP((1-MIN(TblMili[[#This Row],[Smithies]]*smithy_bonus,smithy_bonus_cap) + tech_3_5*TblTech[[#This Row],[3-5]] + tech_5_3*TblTech[[#This Row],[5-3]] + tech_5_5*TblTech[[#This Row],[5-5]])*spec_op_plat,0)</f>
        <v>275</v>
      </c>
      <c r="BK83" s="94">
        <f ca="1">ROUNDUP(IF(race="Gnome",1,(1-MIN(TblMili[[#This Row],[Smithies]]*smithy_bonus,smithy_bonus_cap) + tech_3_5*TblTech[[#This Row],[3-5]] + tech_5_3*TblTech[[#This Row],[5-3]] + tech_5_5*TblTech[[#This Row],[5-5]]))*spec_op_ore,0)</f>
        <v>25</v>
      </c>
      <c r="BL83" s="94">
        <f ca="1">ROUNDUP((1-MIN(TblMili[[#This Row],[Smithies]]*smithy_bonus,smithy_bonus_cap) + tech_3_5*TblTech[[#This Row],[3-5]] + tech_5_3*TblTech[[#This Row],[5-3]] + tech_5_5*TblTech[[#This Row],[5-5]])*spec_dp_plat,0)</f>
        <v>275</v>
      </c>
      <c r="BM83" s="94">
        <f ca="1">ROUNDUP(IF(race="Gnome",1,(1-MIN(TblMili[[#This Row],[Smithies]]*smithy_bonus,smithy_bonus_cap) + tech_3_5*TblTech[[#This Row],[3-5]] + tech_5_3*TblTech[[#This Row],[5-3]] + tech_5_5*TblTech[[#This Row],[5-5]]))*spec_dp_ore,0)</f>
        <v>15</v>
      </c>
      <c r="BN83" s="94">
        <f ca="1">ROUNDUP((1-MIN(TblMili[[#This Row],[Smithies]]*smithy_bonus,smithy_bonus_cap) + tech_3_5*TblTech[[#This Row],[3-5]] + tech_5_3*TblTech[[#This Row],[5-3]] + tech_5_5*TblTech[[#This Row],[5-5]])*elite1_plat,0)</f>
        <v>1040</v>
      </c>
      <c r="BO83" s="94">
        <f ca="1">ROUNDUP(IF(race="Gnome",1,(1-MIN(TblMili[[#This Row],[Smithies]]*smithy_bonus,smithy_bonus_cap) + tech_3_5*TblTech[[#This Row],[3-5]] + tech_5_3*TblTech[[#This Row],[5-3]] + tech_5_5*TblTech[[#This Row],[5-5]]))*elite1_ore,0)</f>
        <v>75</v>
      </c>
      <c r="BP83" s="94">
        <f ca="1">ROUNDUP((1-MIN(TblMili[[#This Row],[Smithies]]*smithy_bonus,smithy_bonus_cap) + tech_3_5*TblTech[[#This Row],[3-5]] + tech_5_3*TblTech[[#This Row],[5-3]] + tech_5_5*TblTech[[#This Row],[5-5]])*elite2_plat,0)</f>
        <v>1280</v>
      </c>
      <c r="BQ83" s="94">
        <f ca="1">ROUNDUP(IF(race="Gnome",1,(1-MIN(TblMili[[#This Row],[Smithies]]*smithy_bonus,smithy_bonus_cap) + tech_3_5*TblTech[[#This Row],[3-5]] + tech_5_3*TblTech[[#This Row],[5-3]] + tech_5_5*TblTech[[#This Row],[5-5]]))*elite2_ore,0)</f>
        <v>100</v>
      </c>
      <c r="BR83" s="94">
        <f ca="1">ROUNDUP((1-MIN(ROUND(fh_spy_cost_red*TblMili[[#This Row],[FH''s]],4),fh_spy_cost_cap)+ tech_1_9*TblTech[[#This Row],[1-9]] + tech_9_1*TblTech[[#This Row],[9-1]])*spy_plat,0)</f>
        <v>500</v>
      </c>
      <c r="BS83" s="94">
        <f ca="1">ROUNDUP((1-MIN(ROUND(fh_spy_cost_red*TblMili[[#This Row],[FH''s]],4),fh_spy_cost_cap)+ tech_1_9*TblTech[[#This Row],[1-9]] + tech_9_1*TblTech[[#This Row],[9-1]])*archspy_plat,0)</f>
        <v>1000</v>
      </c>
      <c r="BT83" s="94">
        <f ca="1">ROUNDUP((1-MIN(ROUND(wg_wiz_cost_bonus*TblMili[[#This Row],[WG''s]],4),wg_wiz_cost_cap) + tech_1_9_2*TblTech[[#This Row],[1-9]] + tech_9_1_2*TblTech[[#This Row],[9-1]])*wizard_plat,0)</f>
        <v>500</v>
      </c>
      <c r="BU83" s="94">
        <f ca="1">ROUNDUP((1-MIN(ROUND(wg_wiz_cost_bonus*TblMili[[#This Row],[WG''s]],4),wg_wiz_cost_cap) + tech_1_9_2*TblTech[[#This Row],[1-9]] + tech_9_1_2*TblTech[[#This Row],[9-1]])*archmage_plat,0)</f>
        <v>1000</v>
      </c>
      <c r="BV83" s="142"/>
      <c r="BW83" s="157">
        <f ca="1">TblConstr[[#This Row],[Homeland]]/TblConstr[[#This Row],[Land]]</f>
        <v>0.81818181818181823</v>
      </c>
      <c r="BX83" s="157">
        <f ca="1">TblMili[[#This Row],[WG''s]]</f>
        <v>0</v>
      </c>
      <c r="BY83" s="251">
        <f ca="1">IF(mystic_cap="none",TblMili[[#This Row],[Homeland%]]/mystic_bonus,MIN(mystic_cap,TblMili[[#This Row],[Homeland%]]/mystic_bonus))</f>
        <v>2</v>
      </c>
      <c r="BZ83" s="251">
        <f ca="1">IF(druid_op_cap="none",TblMili[[#This Row],[Homeland%]]/druid_op_bonus,MIN(druid_op_cap,TblMili[[#This Row],[Homeland%]]/druid_op_bonus))</f>
        <v>2</v>
      </c>
      <c r="CA83" s="251">
        <f ca="1">IF(druid_dp_cap="none",TblMili[[#This Row],[Homeland%]]/druid_dp_bonus,MIN(druid_dp_cap,TblMili[[#This Row],[Homeland%]]/druid_dp_bonus))</f>
        <v>2</v>
      </c>
      <c r="CB83" s="251">
        <f ca="1">MIN(dryad_cap,TblMili[[#This Row],[Homeland%]]/dryad_bonus)</f>
        <v>4</v>
      </c>
      <c r="CC83" s="251">
        <f ca="1">MIN(rocka_cap,TblMili[[#This Row],[Homeland%]]/rocka_bonus)</f>
        <v>2</v>
      </c>
      <c r="CD83" s="251">
        <f ca="1">MIN(adept_op_cap,TblMili[[#This Row],[WG]]/adept_op_bonus)</f>
        <v>0</v>
      </c>
      <c r="CE83" s="251">
        <f ca="1">MIN(adept_dp_cap,TblMili[[#This Row],[WG]]/adept_dp_bonus)</f>
        <v>0</v>
      </c>
      <c r="CF83" s="94">
        <f ca="1">MIN(TblMili[[#This Row],[Unit 3]],TblMili[[#This Row],[Unit 2]])*2</f>
        <v>0</v>
      </c>
      <c r="CG83" s="94">
        <f ca="1">MIN(TblMili[[#This Row],[Unit 1]],TblMili[[#This Row],[Unit 4]])*2</f>
        <v>0</v>
      </c>
      <c r="CH83" s="251">
        <f ca="1">MIN(frost_mage_cap,TblMili[[#This Row],[Homeland%]]/frost_mage_bonus)</f>
        <v>3</v>
      </c>
      <c r="CI83" s="45">
        <f ca="1">MIN(ice_elem_cap,TblMili[[#This Row],[Raw (2)]]*ice_elem_bonus)</f>
        <v>0</v>
      </c>
      <c r="CJ83" s="251">
        <f t="shared" si="3"/>
        <v>0.83333333333333337</v>
      </c>
      <c r="CK83" s="251">
        <f ca="1">MIN(nox_nightshade_cap,TblConstr[[#This Row],[Homeland]]/TblConstr[[#This Row],[Land]]/nox_nightshade_swamp_bonus)</f>
        <v>4</v>
      </c>
      <c r="CL83" s="251">
        <f ca="1">MIN(TblConstr[[#This Row],[Total Swamp]]/TblConstr[[#This Row],[Land]]/abyss_enforce_bonus,abyss_enforcer_cap)</f>
        <v>0</v>
      </c>
      <c r="CM83" s="251">
        <f ca="1">IF(TblMagic[[#This Row],[Active Infernal Command]]&gt;0,TblMili[[#This Row],[Unit 1]]*infernal_cmd_op,0)</f>
        <v>0</v>
      </c>
      <c r="CN83" s="252"/>
      <c r="CO83" s="252"/>
      <c r="CP83" s="252"/>
      <c r="CQ83" s="251">
        <f ca="1">MIN(6,TblMili[[#This Row],[Mystic]]+Races!$F$19)*1.8 +  IF(TblMili[[#This Row],[Mystic]]+Races!$F$19&gt;6,(TblMili[[#This Row],[Mystic]]+Races!$F$19-6)*0.2,0) - Races!$I$19</f>
        <v>1</v>
      </c>
      <c r="CR8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3" s="94">
        <f ca="1">TblMili[[#This Row],[Mystic bonus]]*TblMili[[#This Row],[Unit 3]]+TblMili[[#This Row],[Druid bonus]]*TblMili[[#This Row],[Unit 4]]</f>
        <v>0</v>
      </c>
      <c r="CT83" s="155">
        <f ca="1">MIN(6,TblMili[[#This Row],[Dryad]]+Races!$F$35)*1.8 +  IF(TblMili[[#This Row],[Dryad]]+Races!$F$35&gt;6,(TblMili[[#This Row],[Dryad]]+Races!$F$35-6)*0.2,0) - Races!$I$19</f>
        <v>1</v>
      </c>
      <c r="CU83" s="94">
        <f ca="1">sylvan*(TblMili[[#This Row],[Mystic bonus]]*TblMili[[#This Row],[Unit 3]])</f>
        <v>0</v>
      </c>
      <c r="CV83" s="155">
        <f ca="1">1.8 * MIN(MAX(Races!$E$27,TblMili[[#This Row],[Rockapult]]+Races!$F$27),6)  +  0.45 * MIN(MIN(Races!$E$27,TblMili[[#This Row],[Rockapult]]+Races!$F$27),6)  +  0.2 * ( MAX(Races!$E$27-6,0) + MAX(TblMili[[#This Row],[Rockapult]]+Races!$F$27-6,0) )  -  Races!$I$20</f>
        <v>3.7000000000000011</v>
      </c>
      <c r="CW83" s="94">
        <f ca="1">gnome*(TblMili[[#This Row],[Rockapult bonus]]*TblMili[[#This Row],[Unit 3]])</f>
        <v>0</v>
      </c>
      <c r="CX8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3" s="94">
        <f ca="1">dark_elf*(TblMili[[#This Row],[Adept bonus]]*TblMili[[#This Row],[Unit 3]])</f>
        <v>0</v>
      </c>
      <c r="CZ83" s="155">
        <f ca="1">1.8 * MIN(MAX(TblMili[[#This Row],[Frost Mage]]+Races!$F$71,Races!$E$71),6)  +  0.45 * MIN(MIN(TblMili[[#This Row],[Frost Mage]]+Races!$F$71,Races!$E$71),6)  +  0.2 * ( MAX(TblMili[[#This Row],[Frost Mage]]+Races!$F$71-6,0) + MAX(Races!$E$71-6,0) )  -  Races!$I$71</f>
        <v>6.15</v>
      </c>
      <c r="DA83" s="155">
        <f ca="1">1.8 * MIN(MAX(TblMili[[#This Row],[Ice Elemental]]+Races!$E$71,Races!$F$71),6)  +  0.45 * MIN(MIN(TblMili[[#This Row],[Ice Elemental]]+Races!$E$71,Races!$F$71),6)  +  0.2 * ( MAX(TblMili[[#This Row],[Ice Elemental]]+Races!$E$71-6,0) + MAX(Races!$F$71-6,0) )  -  Races!$I$71</f>
        <v>0.75</v>
      </c>
      <c r="DB83" s="94">
        <f ca="1">TblMili[[#This Row],[Frost Mage bonus]]*TblMili[[#This Row],[Unit 3]]+TblMili[[#This Row],[Ice Elemental bonus]]*TblMili[[#This Row],[Unit 4]]</f>
        <v>0</v>
      </c>
      <c r="DC83" s="253"/>
      <c r="DD83" s="143">
        <f ca="1">MIN(SUM(TblConstr[[#This Row],[Plain]:[Water]])/TblMili[[#This Row],[Land]]/favorable_terrain_bonus/100,favorable_terrain_max)</f>
        <v>0.1</v>
      </c>
      <c r="DE83" s="253"/>
      <c r="DF8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3" s="142"/>
      <c r="DH83" s="254">
        <f ca="1">(TblMili[[#This Row],[Wizards]]+2*TblMili[[#This Row],[Archmages]])/TblConstr[[#This Row],[Land]]</f>
        <v>0</v>
      </c>
      <c r="DI83" s="254">
        <f ca="1">TblMili[[#This Row],[Raw (2)]]*(1+race_wizard_strength+IF(TblMili[[#This Row],[Hour]]&gt;72,tech_magical_weaponry_wiz*TblTech[[#This Row],[3-5]],0))</f>
        <v>0</v>
      </c>
    </row>
    <row r="84" spans="1:113" x14ac:dyDescent="0.2">
      <c r="A84" s="137">
        <f>TblRezone[[#This Row],[Hour]]</f>
        <v>81</v>
      </c>
      <c r="B84" s="246">
        <f ca="1">SUM(TblMili[[#This Row],[Unit 1]:[Archmages]])+SUM(OFFSET(TblMili[[#This Row],[Train Unit 1]],-8,0):TblMili[[#This Row],[Train Unit 2]]) + SUM(OFFSET(TblMili[[#This Row],[Train Unit 3]],-11,0):TblMili[[#This Row],[Train AM]]) + TblMili[[#This Row],[Draftees]]</f>
        <v>629</v>
      </c>
      <c r="C84" s="157">
        <f ca="1">TblPop[[#This Row],[Military%]]</f>
        <v>0.58457249070631967</v>
      </c>
      <c r="D84" s="142"/>
      <c r="E84" s="45">
        <f ca="1">OFFSET(TblMili[[#This Row],[Unit 1]],-1,0) + OFFSET(TblMili[[#This Row],[Train Unit 1]],-9,0) - TblMili[[#This Row],[Release Unit 1]] + OFFSET(TblMili[[#This Row],[DnD_Zombies]],-12,0)</f>
        <v>0</v>
      </c>
      <c r="F84" s="45">
        <f ca="1">OFFSET(TblMili[[#This Row],[Unit 2]],-1,0) + OFFSET(TblMili[[#This Row],[Train Unit 2]],-9,0)-TblMili[[#This Row],[Release Unit 2]]</f>
        <v>0</v>
      </c>
      <c r="G84" s="45">
        <f ca="1">OFFSET(TblMili[[#This Row],[Unit 3]],-1,0) + OFFSET(TblMili[[#This Row],[Train Unit 3]],-12,0)-TblMili[[#This Row],[Release Unit 3]]</f>
        <v>0</v>
      </c>
      <c r="H84" s="45">
        <f ca="1">OFFSET(TblMili[[#This Row],[Unit 4]],-1,0) + OFFSET(TblMili[[#This Row],[Train Unit 4]],-12,0)-TblMili[[#This Row],[Release Unit 4]]</f>
        <v>0</v>
      </c>
      <c r="I84" s="45">
        <f ca="1">OFFSET(TblMili[[#This Row],[Spies]],-1,0) + OFFSET(TblMili[[#This Row],[Train Spies]],-12,0) - TblMili[[#This Row],[Release Spies]]-TblMili[[#This Row],[Train AS]]</f>
        <v>0</v>
      </c>
      <c r="J84" s="45">
        <f ca="1">OFFSET(TblMili[[#This Row],[Archspies]],-1,0) + OFFSET(TblMili[[#This Row],[Train AS]],-12,0) - TblMili[[#This Row],[Release AS]]</f>
        <v>0</v>
      </c>
      <c r="K84" s="45">
        <f ca="1">OFFSET(TblMili[[#This Row],[Wizards]],-1,0) + OFFSET(TblMili[[#This Row],[Train Wiz]],-12,0) - TblMili[[#This Row],[Release Wizards]]-TblMili[[#This Row],[Train AM]]</f>
        <v>0</v>
      </c>
      <c r="L84" s="45">
        <f ca="1">OFFSET(TblMili[[#This Row],[Archmages]],-1,0) + OFFSET(TblMili[[#This Row],[Train AM]],-12,0) - TblMili[[#This Row],[Release AM]]</f>
        <v>0</v>
      </c>
      <c r="M84" s="142"/>
      <c r="N84" s="94">
        <f ca="1">TblProd[[#This Row],[Networth]]</f>
        <v>2450</v>
      </c>
      <c r="O84" s="142"/>
      <c r="P8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4" s="247">
        <f ca="1">TblMili[[#This Row],[Raw]]*(1+TblMili[[#This Row],[Mods_Off]])</f>
        <v>0</v>
      </c>
      <c r="S8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4" s="247">
        <f ca="1">TblMili[[#This Row],[Non Draft]]+TblMili[[#This Row],[Draftees]]</f>
        <v>629</v>
      </c>
      <c r="U84" s="248">
        <f ca="1">race_defense + TblImps[[#This Row],[Walls]] + ROUND( MIN(gt_bonus*TblConstr[[#This Row],[Tot GT]]/TblConstr[[#This Row],[Land]],gt_bonus_cap), 4) + IF(TblMagic[[#This Row],[Active Howling]]&gt;0,howling_dp_bonus,IF(TblMagic[[#This Row],[Active Ares Call]]&gt;0,ares_call_bonus))</f>
        <v>0</v>
      </c>
      <c r="V84" s="249">
        <f ca="1">TblMili[[#This Row],[Non Draft]] * (1 + TblMili[[#This Row],[Mods_Def]])</f>
        <v>0</v>
      </c>
      <c r="W84" s="247">
        <f ca="1">TblMili[[#This Row],[Draft]] * (1 + TblMili[[#This Row],[Mods_Def]])</f>
        <v>629</v>
      </c>
      <c r="X84" s="247">
        <f ca="1">TblConstr[[#This Row],[Land]]</f>
        <v>110</v>
      </c>
      <c r="Y84" s="250"/>
      <c r="Z84" s="255">
        <f ca="1">IF(TblMili[[#This Row],[Set]]&lt;&gt;"",TblMili[[#This Row],[Set]],OFFSET(TblMili[[#This Row],[Draftrate]],-1,0))</f>
        <v>0.9</v>
      </c>
      <c r="AA84" s="94">
        <f ca="1">OFFSET(TblMili[[#This Row],[Draftees]],-1,0)+OFFSET(TblPop[[#This Row],[Draft Growth]],-1,0) - SUM(TblMili[[#This Row],[Train Unit 1]:[Train Spies]],TblMili[[#This Row],[Train Wiz]],TblMili[[#This Row],[DnD_Zombies]]) - TblMili[[#This Row],[Release Draft]] + SUM(TblMili[[#This Row],[Release Unit 1]:[Release AM]]) - TblExplore[[#This Row],[Draftees (2)]]</f>
        <v>629</v>
      </c>
      <c r="AB84" s="154"/>
      <c r="AC84" s="180">
        <f ca="1">(TblConstr[[#This Row],[Tot Smi]]+TblConstr[[#This Row],[Dest Smi]])/(TblConstr[[#This Row],[Land]]-TblExplore[[#This Row],[Land Bonus]]*20)</f>
        <v>0</v>
      </c>
      <c r="AD84" s="137"/>
      <c r="AE84" s="246">
        <f>TblMili[[#This Row],[Hour]]</f>
        <v>81</v>
      </c>
      <c r="AF84" s="138">
        <f ca="1">TblExplore[[#This Row],[Time]]</f>
        <v>46050.333333333139</v>
      </c>
      <c r="AG84" s="179"/>
      <c r="AH84" s="179"/>
      <c r="AI84" s="179"/>
      <c r="AJ84" s="179"/>
      <c r="AK84" s="179"/>
      <c r="AL84" s="179"/>
      <c r="AM84" s="179"/>
      <c r="AN84" s="179"/>
      <c r="AO84" s="420">
        <f ca="1">ROUND(IF(AND(TblMagic[[#This Row],[Active DnD]]&lt;12,TblMagic[[#This Row],[Active DnD]]&gt;5),OFFSET(TblPop[[#This Row],[Draft Growth]],-1,0)*0.375,0),0)</f>
        <v>0</v>
      </c>
      <c r="AP84" s="142"/>
      <c r="AQ84" s="94">
        <f ca="1">TblProd[[#This Row],[Platinum]]</f>
        <v>178751</v>
      </c>
      <c r="AR84" s="94">
        <f ca="1">INDEX(TblProd[[#Headers],[Lumber]]:TblProd[[#This Row],[Ore]],COUNTA(TblProd[[#Headers],[Lumber]]:TblProd[[#This Row],[Lumber]]),MATCH(Military!$AR$2,TblProd[[#Headers],[Lumber]:[Ore]],0))</f>
        <v>0</v>
      </c>
      <c r="AS8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4" s="94">
        <f ca="1">TblMili[[#This Row],[Train Unit 1]]*TblMili[[#This Row],[OP Ore]]+TblMili[[#This Row],[Train Unit 2]]*TblMili[[#This Row],[DP Ore]]+TblMili[[#This Row],[Train Unit 3]]*TblMili[[#This Row],[E1 Ore]]+TblMili[[#This Row],[Train Unit 4]]*TblMili[[#This Row],[E2 Ore]]</f>
        <v>0</v>
      </c>
      <c r="AU84" s="142">
        <f>TblMili[[#This Row],[Hour]]</f>
        <v>81</v>
      </c>
      <c r="AV84" s="152">
        <f ca="1">TblMili[[#This Row],[Time]]</f>
        <v>46050.333333333139</v>
      </c>
      <c r="AW84" s="94">
        <f ca="1">TblMili[[#This Row],[Draftees]]</f>
        <v>629</v>
      </c>
      <c r="AX84" s="158"/>
      <c r="AY84" s="179"/>
      <c r="AZ84" s="179"/>
      <c r="BA84" s="179"/>
      <c r="BB84" s="179"/>
      <c r="BC84" s="179"/>
      <c r="BD84" s="179"/>
      <c r="BE84" s="179"/>
      <c r="BF84" s="179"/>
      <c r="BG84" s="142"/>
      <c r="BH84" s="157">
        <f ca="1">TblConstr[[#This Row],[Tot WG]]/TblConstr[[#This Row],[Land]]</f>
        <v>0</v>
      </c>
      <c r="BI84" s="157">
        <f ca="1">TblConstr[[#This Row],[Tot Hav]]/TblConstr[[#This Row],[Land]]</f>
        <v>0</v>
      </c>
      <c r="BJ84" s="94">
        <f ca="1">ROUNDUP((1-MIN(TblMili[[#This Row],[Smithies]]*smithy_bonus,smithy_bonus_cap) + tech_3_5*TblTech[[#This Row],[3-5]] + tech_5_3*TblTech[[#This Row],[5-3]] + tech_5_5*TblTech[[#This Row],[5-5]])*spec_op_plat,0)</f>
        <v>275</v>
      </c>
      <c r="BK84" s="94">
        <f ca="1">ROUNDUP(IF(race="Gnome",1,(1-MIN(TblMili[[#This Row],[Smithies]]*smithy_bonus,smithy_bonus_cap) + tech_3_5*TblTech[[#This Row],[3-5]] + tech_5_3*TblTech[[#This Row],[5-3]] + tech_5_5*TblTech[[#This Row],[5-5]]))*spec_op_ore,0)</f>
        <v>25</v>
      </c>
      <c r="BL84" s="94">
        <f ca="1">ROUNDUP((1-MIN(TblMili[[#This Row],[Smithies]]*smithy_bonus,smithy_bonus_cap) + tech_3_5*TblTech[[#This Row],[3-5]] + tech_5_3*TblTech[[#This Row],[5-3]] + tech_5_5*TblTech[[#This Row],[5-5]])*spec_dp_plat,0)</f>
        <v>275</v>
      </c>
      <c r="BM84" s="94">
        <f ca="1">ROUNDUP(IF(race="Gnome",1,(1-MIN(TblMili[[#This Row],[Smithies]]*smithy_bonus,smithy_bonus_cap) + tech_3_5*TblTech[[#This Row],[3-5]] + tech_5_3*TblTech[[#This Row],[5-3]] + tech_5_5*TblTech[[#This Row],[5-5]]))*spec_dp_ore,0)</f>
        <v>15</v>
      </c>
      <c r="BN84" s="94">
        <f ca="1">ROUNDUP((1-MIN(TblMili[[#This Row],[Smithies]]*smithy_bonus,smithy_bonus_cap) + tech_3_5*TblTech[[#This Row],[3-5]] + tech_5_3*TblTech[[#This Row],[5-3]] + tech_5_5*TblTech[[#This Row],[5-5]])*elite1_plat,0)</f>
        <v>1040</v>
      </c>
      <c r="BO84" s="94">
        <f ca="1">ROUNDUP(IF(race="Gnome",1,(1-MIN(TblMili[[#This Row],[Smithies]]*smithy_bonus,smithy_bonus_cap) + tech_3_5*TblTech[[#This Row],[3-5]] + tech_5_3*TblTech[[#This Row],[5-3]] + tech_5_5*TblTech[[#This Row],[5-5]]))*elite1_ore,0)</f>
        <v>75</v>
      </c>
      <c r="BP84" s="94">
        <f ca="1">ROUNDUP((1-MIN(TblMili[[#This Row],[Smithies]]*smithy_bonus,smithy_bonus_cap) + tech_3_5*TblTech[[#This Row],[3-5]] + tech_5_3*TblTech[[#This Row],[5-3]] + tech_5_5*TblTech[[#This Row],[5-5]])*elite2_plat,0)</f>
        <v>1280</v>
      </c>
      <c r="BQ84" s="94">
        <f ca="1">ROUNDUP(IF(race="Gnome",1,(1-MIN(TblMili[[#This Row],[Smithies]]*smithy_bonus,smithy_bonus_cap) + tech_3_5*TblTech[[#This Row],[3-5]] + tech_5_3*TblTech[[#This Row],[5-3]] + tech_5_5*TblTech[[#This Row],[5-5]]))*elite2_ore,0)</f>
        <v>100</v>
      </c>
      <c r="BR84" s="94">
        <f ca="1">ROUNDUP((1-MIN(ROUND(fh_spy_cost_red*TblMili[[#This Row],[FH''s]],4),fh_spy_cost_cap)+ tech_1_9*TblTech[[#This Row],[1-9]] + tech_9_1*TblTech[[#This Row],[9-1]])*spy_plat,0)</f>
        <v>500</v>
      </c>
      <c r="BS84" s="94">
        <f ca="1">ROUNDUP((1-MIN(ROUND(fh_spy_cost_red*TblMili[[#This Row],[FH''s]],4),fh_spy_cost_cap)+ tech_1_9*TblTech[[#This Row],[1-9]] + tech_9_1*TblTech[[#This Row],[9-1]])*archspy_plat,0)</f>
        <v>1000</v>
      </c>
      <c r="BT84" s="94">
        <f ca="1">ROUNDUP((1-MIN(ROUND(wg_wiz_cost_bonus*TblMili[[#This Row],[WG''s]],4),wg_wiz_cost_cap) + tech_1_9_2*TblTech[[#This Row],[1-9]] + tech_9_1_2*TblTech[[#This Row],[9-1]])*wizard_plat,0)</f>
        <v>500</v>
      </c>
      <c r="BU84" s="94">
        <f ca="1">ROUNDUP((1-MIN(ROUND(wg_wiz_cost_bonus*TblMili[[#This Row],[WG''s]],4),wg_wiz_cost_cap) + tech_1_9_2*TblTech[[#This Row],[1-9]] + tech_9_1_2*TblTech[[#This Row],[9-1]])*archmage_plat,0)</f>
        <v>1000</v>
      </c>
      <c r="BV84" s="142"/>
      <c r="BW84" s="157">
        <f ca="1">TblConstr[[#This Row],[Homeland]]/TblConstr[[#This Row],[Land]]</f>
        <v>0.81818181818181823</v>
      </c>
      <c r="BX84" s="157">
        <f ca="1">TblMili[[#This Row],[WG''s]]</f>
        <v>0</v>
      </c>
      <c r="BY84" s="251">
        <f ca="1">IF(mystic_cap="none",TblMili[[#This Row],[Homeland%]]/mystic_bonus,MIN(mystic_cap,TblMili[[#This Row],[Homeland%]]/mystic_bonus))</f>
        <v>2</v>
      </c>
      <c r="BZ84" s="251">
        <f ca="1">IF(druid_op_cap="none",TblMili[[#This Row],[Homeland%]]/druid_op_bonus,MIN(druid_op_cap,TblMili[[#This Row],[Homeland%]]/druid_op_bonus))</f>
        <v>2</v>
      </c>
      <c r="CA84" s="251">
        <f ca="1">IF(druid_dp_cap="none",TblMili[[#This Row],[Homeland%]]/druid_dp_bonus,MIN(druid_dp_cap,TblMili[[#This Row],[Homeland%]]/druid_dp_bonus))</f>
        <v>2</v>
      </c>
      <c r="CB84" s="251">
        <f ca="1">MIN(dryad_cap,TblMili[[#This Row],[Homeland%]]/dryad_bonus)</f>
        <v>4</v>
      </c>
      <c r="CC84" s="251">
        <f ca="1">MIN(rocka_cap,TblMili[[#This Row],[Homeland%]]/rocka_bonus)</f>
        <v>2</v>
      </c>
      <c r="CD84" s="251">
        <f ca="1">MIN(adept_op_cap,TblMili[[#This Row],[WG]]/adept_op_bonus)</f>
        <v>0</v>
      </c>
      <c r="CE84" s="251">
        <f ca="1">MIN(adept_dp_cap,TblMili[[#This Row],[WG]]/adept_dp_bonus)</f>
        <v>0</v>
      </c>
      <c r="CF84" s="94">
        <f ca="1">MIN(TblMili[[#This Row],[Unit 3]],TblMili[[#This Row],[Unit 2]])*2</f>
        <v>0</v>
      </c>
      <c r="CG84" s="94">
        <f ca="1">MIN(TblMili[[#This Row],[Unit 1]],TblMili[[#This Row],[Unit 4]])*2</f>
        <v>0</v>
      </c>
      <c r="CH84" s="251">
        <f ca="1">MIN(frost_mage_cap,TblMili[[#This Row],[Homeland%]]/frost_mage_bonus)</f>
        <v>3</v>
      </c>
      <c r="CI84" s="45">
        <f ca="1">MIN(ice_elem_cap,TblMili[[#This Row],[Raw (2)]]*ice_elem_bonus)</f>
        <v>0</v>
      </c>
      <c r="CJ84" s="251">
        <f t="shared" si="3"/>
        <v>0.83333333333333337</v>
      </c>
      <c r="CK84" s="251">
        <f ca="1">MIN(nox_nightshade_cap,TblConstr[[#This Row],[Homeland]]/TblConstr[[#This Row],[Land]]/nox_nightshade_swamp_bonus)</f>
        <v>4</v>
      </c>
      <c r="CL84" s="251">
        <f ca="1">MIN(TblConstr[[#This Row],[Total Swamp]]/TblConstr[[#This Row],[Land]]/abyss_enforce_bonus,abyss_enforcer_cap)</f>
        <v>0</v>
      </c>
      <c r="CM84" s="251">
        <f ca="1">IF(TblMagic[[#This Row],[Active Infernal Command]]&gt;0,TblMili[[#This Row],[Unit 1]]*infernal_cmd_op,0)</f>
        <v>0</v>
      </c>
      <c r="CN84" s="252"/>
      <c r="CO84" s="252"/>
      <c r="CP84" s="252"/>
      <c r="CQ84" s="251">
        <f ca="1">MIN(6,TblMili[[#This Row],[Mystic]]+Races!$F$19)*1.8 +  IF(TblMili[[#This Row],[Mystic]]+Races!$F$19&gt;6,(TblMili[[#This Row],[Mystic]]+Races!$F$19-6)*0.2,0) - Races!$I$19</f>
        <v>1</v>
      </c>
      <c r="CR8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4" s="94">
        <f ca="1">TblMili[[#This Row],[Mystic bonus]]*TblMili[[#This Row],[Unit 3]]+TblMili[[#This Row],[Druid bonus]]*TblMili[[#This Row],[Unit 4]]</f>
        <v>0</v>
      </c>
      <c r="CT84" s="155">
        <f ca="1">MIN(6,TblMili[[#This Row],[Dryad]]+Races!$F$35)*1.8 +  IF(TblMili[[#This Row],[Dryad]]+Races!$F$35&gt;6,(TblMili[[#This Row],[Dryad]]+Races!$F$35-6)*0.2,0) - Races!$I$19</f>
        <v>1</v>
      </c>
      <c r="CU84" s="94">
        <f ca="1">sylvan*(TblMili[[#This Row],[Mystic bonus]]*TblMili[[#This Row],[Unit 3]])</f>
        <v>0</v>
      </c>
      <c r="CV84" s="155">
        <f ca="1">1.8 * MIN(MAX(Races!$E$27,TblMili[[#This Row],[Rockapult]]+Races!$F$27),6)  +  0.45 * MIN(MIN(Races!$E$27,TblMili[[#This Row],[Rockapult]]+Races!$F$27),6)  +  0.2 * ( MAX(Races!$E$27-6,0) + MAX(TblMili[[#This Row],[Rockapult]]+Races!$F$27-6,0) )  -  Races!$I$20</f>
        <v>3.7000000000000011</v>
      </c>
      <c r="CW84" s="94">
        <f ca="1">gnome*(TblMili[[#This Row],[Rockapult bonus]]*TblMili[[#This Row],[Unit 3]])</f>
        <v>0</v>
      </c>
      <c r="CX8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4" s="94">
        <f ca="1">dark_elf*(TblMili[[#This Row],[Adept bonus]]*TblMili[[#This Row],[Unit 3]])</f>
        <v>0</v>
      </c>
      <c r="CZ84" s="155">
        <f ca="1">1.8 * MIN(MAX(TblMili[[#This Row],[Frost Mage]]+Races!$F$71,Races!$E$71),6)  +  0.45 * MIN(MIN(TblMili[[#This Row],[Frost Mage]]+Races!$F$71,Races!$E$71),6)  +  0.2 * ( MAX(TblMili[[#This Row],[Frost Mage]]+Races!$F$71-6,0) + MAX(Races!$E$71-6,0) )  -  Races!$I$71</f>
        <v>6.15</v>
      </c>
      <c r="DA84" s="155">
        <f ca="1">1.8 * MIN(MAX(TblMili[[#This Row],[Ice Elemental]]+Races!$E$71,Races!$F$71),6)  +  0.45 * MIN(MIN(TblMili[[#This Row],[Ice Elemental]]+Races!$E$71,Races!$F$71),6)  +  0.2 * ( MAX(TblMili[[#This Row],[Ice Elemental]]+Races!$E$71-6,0) + MAX(Races!$F$71-6,0) )  -  Races!$I$71</f>
        <v>0.75</v>
      </c>
      <c r="DB84" s="94">
        <f ca="1">TblMili[[#This Row],[Frost Mage bonus]]*TblMili[[#This Row],[Unit 3]]+TblMili[[#This Row],[Ice Elemental bonus]]*TblMili[[#This Row],[Unit 4]]</f>
        <v>0</v>
      </c>
      <c r="DC84" s="253"/>
      <c r="DD84" s="143">
        <f ca="1">MIN(SUM(TblConstr[[#This Row],[Plain]:[Water]])/TblMili[[#This Row],[Land]]/favorable_terrain_bonus/100,favorable_terrain_max)</f>
        <v>0.1</v>
      </c>
      <c r="DE84" s="253"/>
      <c r="DF8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4" s="142"/>
      <c r="DH84" s="254">
        <f ca="1">(TblMili[[#This Row],[Wizards]]+2*TblMili[[#This Row],[Archmages]])/TblConstr[[#This Row],[Land]]</f>
        <v>0</v>
      </c>
      <c r="DI84" s="254">
        <f ca="1">TblMili[[#This Row],[Raw (2)]]*(1+race_wizard_strength+IF(TblMili[[#This Row],[Hour]]&gt;72,tech_magical_weaponry_wiz*TblTech[[#This Row],[3-5]],0))</f>
        <v>0</v>
      </c>
    </row>
    <row r="85" spans="1:113" x14ac:dyDescent="0.2">
      <c r="A85" s="137">
        <f>TblRezone[[#This Row],[Hour]]</f>
        <v>82</v>
      </c>
      <c r="B85" s="246">
        <f ca="1">SUM(TblMili[[#This Row],[Unit 1]:[Archmages]])+SUM(OFFSET(TblMili[[#This Row],[Train Unit 1]],-8,0):TblMili[[#This Row],[Train Unit 2]]) + SUM(OFFSET(TblMili[[#This Row],[Train Unit 3]],-11,0):TblMili[[#This Row],[Train AM]]) + TblMili[[#This Row],[Draftees]]</f>
        <v>633</v>
      </c>
      <c r="C85" s="157">
        <f ca="1">TblPop[[#This Row],[Military%]]</f>
        <v>0.58828996282527879</v>
      </c>
      <c r="D85" s="142"/>
      <c r="E85" s="45">
        <f ca="1">OFFSET(TblMili[[#This Row],[Unit 1]],-1,0) + OFFSET(TblMili[[#This Row],[Train Unit 1]],-9,0) - TblMili[[#This Row],[Release Unit 1]] + OFFSET(TblMili[[#This Row],[DnD_Zombies]],-12,0)</f>
        <v>0</v>
      </c>
      <c r="F85" s="45">
        <f ca="1">OFFSET(TblMili[[#This Row],[Unit 2]],-1,0) + OFFSET(TblMili[[#This Row],[Train Unit 2]],-9,0)-TblMili[[#This Row],[Release Unit 2]]</f>
        <v>0</v>
      </c>
      <c r="G85" s="45">
        <f ca="1">OFFSET(TblMili[[#This Row],[Unit 3]],-1,0) + OFFSET(TblMili[[#This Row],[Train Unit 3]],-12,0)-TblMili[[#This Row],[Release Unit 3]]</f>
        <v>0</v>
      </c>
      <c r="H85" s="45">
        <f ca="1">OFFSET(TblMili[[#This Row],[Unit 4]],-1,0) + OFFSET(TblMili[[#This Row],[Train Unit 4]],-12,0)-TblMili[[#This Row],[Release Unit 4]]</f>
        <v>0</v>
      </c>
      <c r="I85" s="45">
        <f ca="1">OFFSET(TblMili[[#This Row],[Spies]],-1,0) + OFFSET(TblMili[[#This Row],[Train Spies]],-12,0) - TblMili[[#This Row],[Release Spies]]-TblMili[[#This Row],[Train AS]]</f>
        <v>0</v>
      </c>
      <c r="J85" s="45">
        <f ca="1">OFFSET(TblMili[[#This Row],[Archspies]],-1,0) + OFFSET(TblMili[[#This Row],[Train AS]],-12,0) - TblMili[[#This Row],[Release AS]]</f>
        <v>0</v>
      </c>
      <c r="K85" s="45">
        <f ca="1">OFFSET(TblMili[[#This Row],[Wizards]],-1,0) + OFFSET(TblMili[[#This Row],[Train Wiz]],-12,0) - TblMili[[#This Row],[Release Wizards]]-TblMili[[#This Row],[Train AM]]</f>
        <v>0</v>
      </c>
      <c r="L85" s="45">
        <f ca="1">OFFSET(TblMili[[#This Row],[Archmages]],-1,0) + OFFSET(TblMili[[#This Row],[Train AM]],-12,0) - TblMili[[#This Row],[Release AM]]</f>
        <v>0</v>
      </c>
      <c r="M85" s="142"/>
      <c r="N85" s="94">
        <f ca="1">TblProd[[#This Row],[Networth]]</f>
        <v>2450</v>
      </c>
      <c r="O85" s="142"/>
      <c r="P8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5" s="247">
        <f ca="1">TblMili[[#This Row],[Raw]]*(1+TblMili[[#This Row],[Mods_Off]])</f>
        <v>0</v>
      </c>
      <c r="S8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5" s="247">
        <f ca="1">TblMili[[#This Row],[Non Draft]]+TblMili[[#This Row],[Draftees]]</f>
        <v>633</v>
      </c>
      <c r="U85" s="248">
        <f ca="1">race_defense + TblImps[[#This Row],[Walls]] + ROUND( MIN(gt_bonus*TblConstr[[#This Row],[Tot GT]]/TblConstr[[#This Row],[Land]],gt_bonus_cap), 4) + IF(TblMagic[[#This Row],[Active Howling]]&gt;0,howling_dp_bonus,IF(TblMagic[[#This Row],[Active Ares Call]]&gt;0,ares_call_bonus))</f>
        <v>0</v>
      </c>
      <c r="V85" s="249">
        <f ca="1">TblMili[[#This Row],[Non Draft]] * (1 + TblMili[[#This Row],[Mods_Def]])</f>
        <v>0</v>
      </c>
      <c r="W85" s="247">
        <f ca="1">TblMili[[#This Row],[Draft]] * (1 + TblMili[[#This Row],[Mods_Def]])</f>
        <v>633</v>
      </c>
      <c r="X85" s="247">
        <f ca="1">TblConstr[[#This Row],[Land]]</f>
        <v>110</v>
      </c>
      <c r="Y85" s="250"/>
      <c r="Z85" s="255">
        <f ca="1">IF(TblMili[[#This Row],[Set]]&lt;&gt;"",TblMili[[#This Row],[Set]],OFFSET(TblMili[[#This Row],[Draftrate]],-1,0))</f>
        <v>0.9</v>
      </c>
      <c r="AA85" s="94">
        <f ca="1">OFFSET(TblMili[[#This Row],[Draftees]],-1,0)+OFFSET(TblPop[[#This Row],[Draft Growth]],-1,0) - SUM(TblMili[[#This Row],[Train Unit 1]:[Train Spies]],TblMili[[#This Row],[Train Wiz]],TblMili[[#This Row],[DnD_Zombies]]) - TblMili[[#This Row],[Release Draft]] + SUM(TblMili[[#This Row],[Release Unit 1]:[Release AM]]) - TblExplore[[#This Row],[Draftees (2)]]</f>
        <v>633</v>
      </c>
      <c r="AB85" s="154"/>
      <c r="AC85" s="180">
        <f ca="1">(TblConstr[[#This Row],[Tot Smi]]+TblConstr[[#This Row],[Dest Smi]])/(TblConstr[[#This Row],[Land]]-TblExplore[[#This Row],[Land Bonus]]*20)</f>
        <v>0</v>
      </c>
      <c r="AD85" s="137"/>
      <c r="AE85" s="246">
        <f>TblMili[[#This Row],[Hour]]</f>
        <v>82</v>
      </c>
      <c r="AF85" s="138">
        <f ca="1">TblExplore[[#This Row],[Time]]</f>
        <v>46050.374999999804</v>
      </c>
      <c r="AG85" s="179"/>
      <c r="AH85" s="179"/>
      <c r="AI85" s="179"/>
      <c r="AJ85" s="179"/>
      <c r="AK85" s="179"/>
      <c r="AL85" s="179"/>
      <c r="AM85" s="179"/>
      <c r="AN85" s="179"/>
      <c r="AO85" s="420">
        <f ca="1">ROUND(IF(AND(TblMagic[[#This Row],[Active DnD]]&lt;12,TblMagic[[#This Row],[Active DnD]]&gt;5),OFFSET(TblPop[[#This Row],[Draft Growth]],-1,0)*0.375,0),0)</f>
        <v>0</v>
      </c>
      <c r="AP85" s="142"/>
      <c r="AQ85" s="94">
        <f ca="1">TblProd[[#This Row],[Platinum]]</f>
        <v>179957</v>
      </c>
      <c r="AR85" s="94">
        <f ca="1">INDEX(TblProd[[#Headers],[Lumber]]:TblProd[[#This Row],[Ore]],COUNTA(TblProd[[#Headers],[Lumber]]:TblProd[[#This Row],[Lumber]]),MATCH(Military!$AR$2,TblProd[[#Headers],[Lumber]:[Ore]],0))</f>
        <v>0</v>
      </c>
      <c r="AS8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5" s="94">
        <f ca="1">TblMili[[#This Row],[Train Unit 1]]*TblMili[[#This Row],[OP Ore]]+TblMili[[#This Row],[Train Unit 2]]*TblMili[[#This Row],[DP Ore]]+TblMili[[#This Row],[Train Unit 3]]*TblMili[[#This Row],[E1 Ore]]+TblMili[[#This Row],[Train Unit 4]]*TblMili[[#This Row],[E2 Ore]]</f>
        <v>0</v>
      </c>
      <c r="AU85" s="142">
        <f>TblMili[[#This Row],[Hour]]</f>
        <v>82</v>
      </c>
      <c r="AV85" s="152">
        <f ca="1">TblMili[[#This Row],[Time]]</f>
        <v>46050.374999999804</v>
      </c>
      <c r="AW85" s="94">
        <f ca="1">TblMili[[#This Row],[Draftees]]</f>
        <v>633</v>
      </c>
      <c r="AX85" s="158"/>
      <c r="AY85" s="179"/>
      <c r="AZ85" s="179"/>
      <c r="BA85" s="179"/>
      <c r="BB85" s="179"/>
      <c r="BC85" s="179"/>
      <c r="BD85" s="179"/>
      <c r="BE85" s="179"/>
      <c r="BF85" s="179"/>
      <c r="BG85" s="142"/>
      <c r="BH85" s="157">
        <f ca="1">TblConstr[[#This Row],[Tot WG]]/TblConstr[[#This Row],[Land]]</f>
        <v>0</v>
      </c>
      <c r="BI85" s="157">
        <f ca="1">TblConstr[[#This Row],[Tot Hav]]/TblConstr[[#This Row],[Land]]</f>
        <v>0</v>
      </c>
      <c r="BJ85" s="94">
        <f ca="1">ROUNDUP((1-MIN(TblMili[[#This Row],[Smithies]]*smithy_bonus,smithy_bonus_cap) + tech_3_5*TblTech[[#This Row],[3-5]] + tech_5_3*TblTech[[#This Row],[5-3]] + tech_5_5*TblTech[[#This Row],[5-5]])*spec_op_plat,0)</f>
        <v>275</v>
      </c>
      <c r="BK85" s="94">
        <f ca="1">ROUNDUP(IF(race="Gnome",1,(1-MIN(TblMili[[#This Row],[Smithies]]*smithy_bonus,smithy_bonus_cap) + tech_3_5*TblTech[[#This Row],[3-5]] + tech_5_3*TblTech[[#This Row],[5-3]] + tech_5_5*TblTech[[#This Row],[5-5]]))*spec_op_ore,0)</f>
        <v>25</v>
      </c>
      <c r="BL85" s="94">
        <f ca="1">ROUNDUP((1-MIN(TblMili[[#This Row],[Smithies]]*smithy_bonus,smithy_bonus_cap) + tech_3_5*TblTech[[#This Row],[3-5]] + tech_5_3*TblTech[[#This Row],[5-3]] + tech_5_5*TblTech[[#This Row],[5-5]])*spec_dp_plat,0)</f>
        <v>275</v>
      </c>
      <c r="BM85" s="94">
        <f ca="1">ROUNDUP(IF(race="Gnome",1,(1-MIN(TblMili[[#This Row],[Smithies]]*smithy_bonus,smithy_bonus_cap) + tech_3_5*TblTech[[#This Row],[3-5]] + tech_5_3*TblTech[[#This Row],[5-3]] + tech_5_5*TblTech[[#This Row],[5-5]]))*spec_dp_ore,0)</f>
        <v>15</v>
      </c>
      <c r="BN85" s="94">
        <f ca="1">ROUNDUP((1-MIN(TblMili[[#This Row],[Smithies]]*smithy_bonus,smithy_bonus_cap) + tech_3_5*TblTech[[#This Row],[3-5]] + tech_5_3*TblTech[[#This Row],[5-3]] + tech_5_5*TblTech[[#This Row],[5-5]])*elite1_plat,0)</f>
        <v>1040</v>
      </c>
      <c r="BO85" s="94">
        <f ca="1">ROUNDUP(IF(race="Gnome",1,(1-MIN(TblMili[[#This Row],[Smithies]]*smithy_bonus,smithy_bonus_cap) + tech_3_5*TblTech[[#This Row],[3-5]] + tech_5_3*TblTech[[#This Row],[5-3]] + tech_5_5*TblTech[[#This Row],[5-5]]))*elite1_ore,0)</f>
        <v>75</v>
      </c>
      <c r="BP85" s="94">
        <f ca="1">ROUNDUP((1-MIN(TblMili[[#This Row],[Smithies]]*smithy_bonus,smithy_bonus_cap) + tech_3_5*TblTech[[#This Row],[3-5]] + tech_5_3*TblTech[[#This Row],[5-3]] + tech_5_5*TblTech[[#This Row],[5-5]])*elite2_plat,0)</f>
        <v>1280</v>
      </c>
      <c r="BQ85" s="94">
        <f ca="1">ROUNDUP(IF(race="Gnome",1,(1-MIN(TblMili[[#This Row],[Smithies]]*smithy_bonus,smithy_bonus_cap) + tech_3_5*TblTech[[#This Row],[3-5]] + tech_5_3*TblTech[[#This Row],[5-3]] + tech_5_5*TblTech[[#This Row],[5-5]]))*elite2_ore,0)</f>
        <v>100</v>
      </c>
      <c r="BR85" s="94">
        <f ca="1">ROUNDUP((1-MIN(ROUND(fh_spy_cost_red*TblMili[[#This Row],[FH''s]],4),fh_spy_cost_cap)+ tech_1_9*TblTech[[#This Row],[1-9]] + tech_9_1*TblTech[[#This Row],[9-1]])*spy_plat,0)</f>
        <v>500</v>
      </c>
      <c r="BS85" s="94">
        <f ca="1">ROUNDUP((1-MIN(ROUND(fh_spy_cost_red*TblMili[[#This Row],[FH''s]],4),fh_spy_cost_cap)+ tech_1_9*TblTech[[#This Row],[1-9]] + tech_9_1*TblTech[[#This Row],[9-1]])*archspy_plat,0)</f>
        <v>1000</v>
      </c>
      <c r="BT85" s="94">
        <f ca="1">ROUNDUP((1-MIN(ROUND(wg_wiz_cost_bonus*TblMili[[#This Row],[WG''s]],4),wg_wiz_cost_cap) + tech_1_9_2*TblTech[[#This Row],[1-9]] + tech_9_1_2*TblTech[[#This Row],[9-1]])*wizard_plat,0)</f>
        <v>500</v>
      </c>
      <c r="BU85" s="94">
        <f ca="1">ROUNDUP((1-MIN(ROUND(wg_wiz_cost_bonus*TblMili[[#This Row],[WG''s]],4),wg_wiz_cost_cap) + tech_1_9_2*TblTech[[#This Row],[1-9]] + tech_9_1_2*TblTech[[#This Row],[9-1]])*archmage_plat,0)</f>
        <v>1000</v>
      </c>
      <c r="BV85" s="142"/>
      <c r="BW85" s="157">
        <f ca="1">TblConstr[[#This Row],[Homeland]]/TblConstr[[#This Row],[Land]]</f>
        <v>0.81818181818181823</v>
      </c>
      <c r="BX85" s="157">
        <f ca="1">TblMili[[#This Row],[WG''s]]</f>
        <v>0</v>
      </c>
      <c r="BY85" s="251">
        <f ca="1">IF(mystic_cap="none",TblMili[[#This Row],[Homeland%]]/mystic_bonus,MIN(mystic_cap,TblMili[[#This Row],[Homeland%]]/mystic_bonus))</f>
        <v>2</v>
      </c>
      <c r="BZ85" s="251">
        <f ca="1">IF(druid_op_cap="none",TblMili[[#This Row],[Homeland%]]/druid_op_bonus,MIN(druid_op_cap,TblMili[[#This Row],[Homeland%]]/druid_op_bonus))</f>
        <v>2</v>
      </c>
      <c r="CA85" s="251">
        <f ca="1">IF(druid_dp_cap="none",TblMili[[#This Row],[Homeland%]]/druid_dp_bonus,MIN(druid_dp_cap,TblMili[[#This Row],[Homeland%]]/druid_dp_bonus))</f>
        <v>2</v>
      </c>
      <c r="CB85" s="251">
        <f ca="1">MIN(dryad_cap,TblMili[[#This Row],[Homeland%]]/dryad_bonus)</f>
        <v>4</v>
      </c>
      <c r="CC85" s="251">
        <f ca="1">MIN(rocka_cap,TblMili[[#This Row],[Homeland%]]/rocka_bonus)</f>
        <v>2</v>
      </c>
      <c r="CD85" s="251">
        <f ca="1">MIN(adept_op_cap,TblMili[[#This Row],[WG]]/adept_op_bonus)</f>
        <v>0</v>
      </c>
      <c r="CE85" s="251">
        <f ca="1">MIN(adept_dp_cap,TblMili[[#This Row],[WG]]/adept_dp_bonus)</f>
        <v>0</v>
      </c>
      <c r="CF85" s="94">
        <f ca="1">MIN(TblMili[[#This Row],[Unit 3]],TblMili[[#This Row],[Unit 2]])*2</f>
        <v>0</v>
      </c>
      <c r="CG85" s="94">
        <f ca="1">MIN(TblMili[[#This Row],[Unit 1]],TblMili[[#This Row],[Unit 4]])*2</f>
        <v>0</v>
      </c>
      <c r="CH85" s="251">
        <f ca="1">MIN(frost_mage_cap,TblMili[[#This Row],[Homeland%]]/frost_mage_bonus)</f>
        <v>3</v>
      </c>
      <c r="CI85" s="45">
        <f ca="1">MIN(ice_elem_cap,TblMili[[#This Row],[Raw (2)]]*ice_elem_bonus)</f>
        <v>0</v>
      </c>
      <c r="CJ85" s="251">
        <f t="shared" si="3"/>
        <v>0.83333333333333337</v>
      </c>
      <c r="CK85" s="251">
        <f ca="1">MIN(nox_nightshade_cap,TblConstr[[#This Row],[Homeland]]/TblConstr[[#This Row],[Land]]/nox_nightshade_swamp_bonus)</f>
        <v>4</v>
      </c>
      <c r="CL85" s="251">
        <f ca="1">MIN(TblConstr[[#This Row],[Total Swamp]]/TblConstr[[#This Row],[Land]]/abyss_enforce_bonus,abyss_enforcer_cap)</f>
        <v>0</v>
      </c>
      <c r="CM85" s="251">
        <f ca="1">IF(TblMagic[[#This Row],[Active Infernal Command]]&gt;0,TblMili[[#This Row],[Unit 1]]*infernal_cmd_op,0)</f>
        <v>0</v>
      </c>
      <c r="CN85" s="252"/>
      <c r="CO85" s="252"/>
      <c r="CP85" s="252"/>
      <c r="CQ85" s="251">
        <f ca="1">MIN(6,TblMili[[#This Row],[Mystic]]+Races!$F$19)*1.8 +  IF(TblMili[[#This Row],[Mystic]]+Races!$F$19&gt;6,(TblMili[[#This Row],[Mystic]]+Races!$F$19-6)*0.2,0) - Races!$I$19</f>
        <v>1</v>
      </c>
      <c r="CR8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5" s="94">
        <f ca="1">TblMili[[#This Row],[Mystic bonus]]*TblMili[[#This Row],[Unit 3]]+TblMili[[#This Row],[Druid bonus]]*TblMili[[#This Row],[Unit 4]]</f>
        <v>0</v>
      </c>
      <c r="CT85" s="155">
        <f ca="1">MIN(6,TblMili[[#This Row],[Dryad]]+Races!$F$35)*1.8 +  IF(TblMili[[#This Row],[Dryad]]+Races!$F$35&gt;6,(TblMili[[#This Row],[Dryad]]+Races!$F$35-6)*0.2,0) - Races!$I$19</f>
        <v>1</v>
      </c>
      <c r="CU85" s="94">
        <f ca="1">sylvan*(TblMili[[#This Row],[Mystic bonus]]*TblMili[[#This Row],[Unit 3]])</f>
        <v>0</v>
      </c>
      <c r="CV85" s="155">
        <f ca="1">1.8 * MIN(MAX(Races!$E$27,TblMili[[#This Row],[Rockapult]]+Races!$F$27),6)  +  0.45 * MIN(MIN(Races!$E$27,TblMili[[#This Row],[Rockapult]]+Races!$F$27),6)  +  0.2 * ( MAX(Races!$E$27-6,0) + MAX(TblMili[[#This Row],[Rockapult]]+Races!$F$27-6,0) )  -  Races!$I$20</f>
        <v>3.7000000000000011</v>
      </c>
      <c r="CW85" s="94">
        <f ca="1">gnome*(TblMili[[#This Row],[Rockapult bonus]]*TblMili[[#This Row],[Unit 3]])</f>
        <v>0</v>
      </c>
      <c r="CX8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5" s="94">
        <f ca="1">dark_elf*(TblMili[[#This Row],[Adept bonus]]*TblMili[[#This Row],[Unit 3]])</f>
        <v>0</v>
      </c>
      <c r="CZ85" s="155">
        <f ca="1">1.8 * MIN(MAX(TblMili[[#This Row],[Frost Mage]]+Races!$F$71,Races!$E$71),6)  +  0.45 * MIN(MIN(TblMili[[#This Row],[Frost Mage]]+Races!$F$71,Races!$E$71),6)  +  0.2 * ( MAX(TblMili[[#This Row],[Frost Mage]]+Races!$F$71-6,0) + MAX(Races!$E$71-6,0) )  -  Races!$I$71</f>
        <v>6.15</v>
      </c>
      <c r="DA85" s="155">
        <f ca="1">1.8 * MIN(MAX(TblMili[[#This Row],[Ice Elemental]]+Races!$E$71,Races!$F$71),6)  +  0.45 * MIN(MIN(TblMili[[#This Row],[Ice Elemental]]+Races!$E$71,Races!$F$71),6)  +  0.2 * ( MAX(TblMili[[#This Row],[Ice Elemental]]+Races!$E$71-6,0) + MAX(Races!$F$71-6,0) )  -  Races!$I$71</f>
        <v>0.75</v>
      </c>
      <c r="DB85" s="94">
        <f ca="1">TblMili[[#This Row],[Frost Mage bonus]]*TblMili[[#This Row],[Unit 3]]+TblMili[[#This Row],[Ice Elemental bonus]]*TblMili[[#This Row],[Unit 4]]</f>
        <v>0</v>
      </c>
      <c r="DC85" s="253"/>
      <c r="DD85" s="143">
        <f ca="1">MIN(SUM(TblConstr[[#This Row],[Plain]:[Water]])/TblMili[[#This Row],[Land]]/favorable_terrain_bonus/100,favorable_terrain_max)</f>
        <v>0.1</v>
      </c>
      <c r="DE85" s="253"/>
      <c r="DF8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5" s="142"/>
      <c r="DH85" s="254">
        <f ca="1">(TblMili[[#This Row],[Wizards]]+2*TblMili[[#This Row],[Archmages]])/TblConstr[[#This Row],[Land]]</f>
        <v>0</v>
      </c>
      <c r="DI85" s="254">
        <f ca="1">TblMili[[#This Row],[Raw (2)]]*(1+race_wizard_strength+IF(TblMili[[#This Row],[Hour]]&gt;72,tech_magical_weaponry_wiz*TblTech[[#This Row],[3-5]],0))</f>
        <v>0</v>
      </c>
    </row>
    <row r="86" spans="1:113" x14ac:dyDescent="0.2">
      <c r="A86" s="137">
        <f>TblRezone[[#This Row],[Hour]]</f>
        <v>83</v>
      </c>
      <c r="B86" s="246">
        <f ca="1">SUM(TblMili[[#This Row],[Unit 1]:[Archmages]])+SUM(OFFSET(TblMili[[#This Row],[Train Unit 1]],-8,0):TblMili[[#This Row],[Train Unit 2]]) + SUM(OFFSET(TblMili[[#This Row],[Train Unit 3]],-11,0):TblMili[[#This Row],[Train AM]]) + TblMili[[#This Row],[Draftees]]</f>
        <v>637</v>
      </c>
      <c r="C86" s="157">
        <f ca="1">TblPop[[#This Row],[Military%]]</f>
        <v>0.59200743494423791</v>
      </c>
      <c r="D86" s="142"/>
      <c r="E86" s="45">
        <f ca="1">OFFSET(TblMili[[#This Row],[Unit 1]],-1,0) + OFFSET(TblMili[[#This Row],[Train Unit 1]],-9,0) - TblMili[[#This Row],[Release Unit 1]] + OFFSET(TblMili[[#This Row],[DnD_Zombies]],-12,0)</f>
        <v>0</v>
      </c>
      <c r="F86" s="45">
        <f ca="1">OFFSET(TblMili[[#This Row],[Unit 2]],-1,0) + OFFSET(TblMili[[#This Row],[Train Unit 2]],-9,0)-TblMili[[#This Row],[Release Unit 2]]</f>
        <v>0</v>
      </c>
      <c r="G86" s="45">
        <f ca="1">OFFSET(TblMili[[#This Row],[Unit 3]],-1,0) + OFFSET(TblMili[[#This Row],[Train Unit 3]],-12,0)-TblMili[[#This Row],[Release Unit 3]]</f>
        <v>0</v>
      </c>
      <c r="H86" s="45">
        <f ca="1">OFFSET(TblMili[[#This Row],[Unit 4]],-1,0) + OFFSET(TblMili[[#This Row],[Train Unit 4]],-12,0)-TblMili[[#This Row],[Release Unit 4]]</f>
        <v>0</v>
      </c>
      <c r="I86" s="45">
        <f ca="1">OFFSET(TblMili[[#This Row],[Spies]],-1,0) + OFFSET(TblMili[[#This Row],[Train Spies]],-12,0) - TblMili[[#This Row],[Release Spies]]-TblMili[[#This Row],[Train AS]]</f>
        <v>0</v>
      </c>
      <c r="J86" s="45">
        <f ca="1">OFFSET(TblMili[[#This Row],[Archspies]],-1,0) + OFFSET(TblMili[[#This Row],[Train AS]],-12,0) - TblMili[[#This Row],[Release AS]]</f>
        <v>0</v>
      </c>
      <c r="K86" s="45">
        <f ca="1">OFFSET(TblMili[[#This Row],[Wizards]],-1,0) + OFFSET(TblMili[[#This Row],[Train Wiz]],-12,0) - TblMili[[#This Row],[Release Wizards]]-TblMili[[#This Row],[Train AM]]</f>
        <v>0</v>
      </c>
      <c r="L86" s="45">
        <f ca="1">OFFSET(TblMili[[#This Row],[Archmages]],-1,0) + OFFSET(TblMili[[#This Row],[Train AM]],-12,0) - TblMili[[#This Row],[Release AM]]</f>
        <v>0</v>
      </c>
      <c r="M86" s="142"/>
      <c r="N86" s="94">
        <f ca="1">TblProd[[#This Row],[Networth]]</f>
        <v>2450</v>
      </c>
      <c r="O86" s="142"/>
      <c r="P8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6" s="247">
        <f ca="1">TblMili[[#This Row],[Raw]]*(1+TblMili[[#This Row],[Mods_Off]])</f>
        <v>0</v>
      </c>
      <c r="S8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6" s="247">
        <f ca="1">TblMili[[#This Row],[Non Draft]]+TblMili[[#This Row],[Draftees]]</f>
        <v>637</v>
      </c>
      <c r="U86" s="248">
        <f ca="1">race_defense + TblImps[[#This Row],[Walls]] + ROUND( MIN(gt_bonus*TblConstr[[#This Row],[Tot GT]]/TblConstr[[#This Row],[Land]],gt_bonus_cap), 4) + IF(TblMagic[[#This Row],[Active Howling]]&gt;0,howling_dp_bonus,IF(TblMagic[[#This Row],[Active Ares Call]]&gt;0,ares_call_bonus))</f>
        <v>0</v>
      </c>
      <c r="V86" s="249">
        <f ca="1">TblMili[[#This Row],[Non Draft]] * (1 + TblMili[[#This Row],[Mods_Def]])</f>
        <v>0</v>
      </c>
      <c r="W86" s="247">
        <f ca="1">TblMili[[#This Row],[Draft]] * (1 + TblMili[[#This Row],[Mods_Def]])</f>
        <v>637</v>
      </c>
      <c r="X86" s="247">
        <f ca="1">TblConstr[[#This Row],[Land]]</f>
        <v>110</v>
      </c>
      <c r="Y86" s="250"/>
      <c r="Z86" s="255">
        <f ca="1">IF(TblMili[[#This Row],[Set]]&lt;&gt;"",TblMili[[#This Row],[Set]],OFFSET(TblMili[[#This Row],[Draftrate]],-1,0))</f>
        <v>0.9</v>
      </c>
      <c r="AA86" s="94">
        <f ca="1">OFFSET(TblMili[[#This Row],[Draftees]],-1,0)+OFFSET(TblPop[[#This Row],[Draft Growth]],-1,0) - SUM(TblMili[[#This Row],[Train Unit 1]:[Train Spies]],TblMili[[#This Row],[Train Wiz]],TblMili[[#This Row],[DnD_Zombies]]) - TblMili[[#This Row],[Release Draft]] + SUM(TblMili[[#This Row],[Release Unit 1]:[Release AM]]) - TblExplore[[#This Row],[Draftees (2)]]</f>
        <v>637</v>
      </c>
      <c r="AB86" s="154"/>
      <c r="AC86" s="180">
        <f ca="1">(TblConstr[[#This Row],[Tot Smi]]+TblConstr[[#This Row],[Dest Smi]])/(TblConstr[[#This Row],[Land]]-TblExplore[[#This Row],[Land Bonus]]*20)</f>
        <v>0</v>
      </c>
      <c r="AD86" s="137"/>
      <c r="AE86" s="246">
        <f>TblMili[[#This Row],[Hour]]</f>
        <v>83</v>
      </c>
      <c r="AF86" s="138">
        <f ca="1">TblExplore[[#This Row],[Time]]</f>
        <v>46050.416666666468</v>
      </c>
      <c r="AG86" s="179"/>
      <c r="AH86" s="179"/>
      <c r="AI86" s="179"/>
      <c r="AJ86" s="179"/>
      <c r="AK86" s="179"/>
      <c r="AL86" s="179"/>
      <c r="AM86" s="179"/>
      <c r="AN86" s="179"/>
      <c r="AO86" s="420">
        <f ca="1">ROUND(IF(AND(TblMagic[[#This Row],[Active DnD]]&lt;12,TblMagic[[#This Row],[Active DnD]]&gt;5),OFFSET(TblPop[[#This Row],[Draft Growth]],-1,0)*0.375,0),0)</f>
        <v>0</v>
      </c>
      <c r="AP86" s="142"/>
      <c r="AQ86" s="94">
        <f ca="1">TblProd[[#This Row],[Platinum]]</f>
        <v>181153</v>
      </c>
      <c r="AR86" s="94">
        <f ca="1">INDEX(TblProd[[#Headers],[Lumber]]:TblProd[[#This Row],[Ore]],COUNTA(TblProd[[#Headers],[Lumber]]:TblProd[[#This Row],[Lumber]]),MATCH(Military!$AR$2,TblProd[[#Headers],[Lumber]:[Ore]],0))</f>
        <v>0</v>
      </c>
      <c r="AS8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6" s="94">
        <f ca="1">TblMili[[#This Row],[Train Unit 1]]*TblMili[[#This Row],[OP Ore]]+TblMili[[#This Row],[Train Unit 2]]*TblMili[[#This Row],[DP Ore]]+TblMili[[#This Row],[Train Unit 3]]*TblMili[[#This Row],[E1 Ore]]+TblMili[[#This Row],[Train Unit 4]]*TblMili[[#This Row],[E2 Ore]]</f>
        <v>0</v>
      </c>
      <c r="AU86" s="142">
        <f>TblMili[[#This Row],[Hour]]</f>
        <v>83</v>
      </c>
      <c r="AV86" s="152">
        <f ca="1">TblMili[[#This Row],[Time]]</f>
        <v>46050.416666666468</v>
      </c>
      <c r="AW86" s="94">
        <f ca="1">TblMili[[#This Row],[Draftees]]</f>
        <v>637</v>
      </c>
      <c r="AX86" s="158"/>
      <c r="AY86" s="179"/>
      <c r="AZ86" s="179"/>
      <c r="BA86" s="179"/>
      <c r="BB86" s="179"/>
      <c r="BC86" s="179"/>
      <c r="BD86" s="179"/>
      <c r="BE86" s="179"/>
      <c r="BF86" s="179"/>
      <c r="BG86" s="142"/>
      <c r="BH86" s="157">
        <f ca="1">TblConstr[[#This Row],[Tot WG]]/TblConstr[[#This Row],[Land]]</f>
        <v>0</v>
      </c>
      <c r="BI86" s="157">
        <f ca="1">TblConstr[[#This Row],[Tot Hav]]/TblConstr[[#This Row],[Land]]</f>
        <v>0</v>
      </c>
      <c r="BJ86" s="94">
        <f ca="1">ROUNDUP((1-MIN(TblMili[[#This Row],[Smithies]]*smithy_bonus,smithy_bonus_cap) + tech_3_5*TblTech[[#This Row],[3-5]] + tech_5_3*TblTech[[#This Row],[5-3]] + tech_5_5*TblTech[[#This Row],[5-5]])*spec_op_plat,0)</f>
        <v>275</v>
      </c>
      <c r="BK86" s="94">
        <f ca="1">ROUNDUP(IF(race="Gnome",1,(1-MIN(TblMili[[#This Row],[Smithies]]*smithy_bonus,smithy_bonus_cap) + tech_3_5*TblTech[[#This Row],[3-5]] + tech_5_3*TblTech[[#This Row],[5-3]] + tech_5_5*TblTech[[#This Row],[5-5]]))*spec_op_ore,0)</f>
        <v>25</v>
      </c>
      <c r="BL86" s="94">
        <f ca="1">ROUNDUP((1-MIN(TblMili[[#This Row],[Smithies]]*smithy_bonus,smithy_bonus_cap) + tech_3_5*TblTech[[#This Row],[3-5]] + tech_5_3*TblTech[[#This Row],[5-3]] + tech_5_5*TblTech[[#This Row],[5-5]])*spec_dp_plat,0)</f>
        <v>275</v>
      </c>
      <c r="BM86" s="94">
        <f ca="1">ROUNDUP(IF(race="Gnome",1,(1-MIN(TblMili[[#This Row],[Smithies]]*smithy_bonus,smithy_bonus_cap) + tech_3_5*TblTech[[#This Row],[3-5]] + tech_5_3*TblTech[[#This Row],[5-3]] + tech_5_5*TblTech[[#This Row],[5-5]]))*spec_dp_ore,0)</f>
        <v>15</v>
      </c>
      <c r="BN86" s="94">
        <f ca="1">ROUNDUP((1-MIN(TblMili[[#This Row],[Smithies]]*smithy_bonus,smithy_bonus_cap) + tech_3_5*TblTech[[#This Row],[3-5]] + tech_5_3*TblTech[[#This Row],[5-3]] + tech_5_5*TblTech[[#This Row],[5-5]])*elite1_plat,0)</f>
        <v>1040</v>
      </c>
      <c r="BO86" s="94">
        <f ca="1">ROUNDUP(IF(race="Gnome",1,(1-MIN(TblMili[[#This Row],[Smithies]]*smithy_bonus,smithy_bonus_cap) + tech_3_5*TblTech[[#This Row],[3-5]] + tech_5_3*TblTech[[#This Row],[5-3]] + tech_5_5*TblTech[[#This Row],[5-5]]))*elite1_ore,0)</f>
        <v>75</v>
      </c>
      <c r="BP86" s="94">
        <f ca="1">ROUNDUP((1-MIN(TblMili[[#This Row],[Smithies]]*smithy_bonus,smithy_bonus_cap) + tech_3_5*TblTech[[#This Row],[3-5]] + tech_5_3*TblTech[[#This Row],[5-3]] + tech_5_5*TblTech[[#This Row],[5-5]])*elite2_plat,0)</f>
        <v>1280</v>
      </c>
      <c r="BQ86" s="94">
        <f ca="1">ROUNDUP(IF(race="Gnome",1,(1-MIN(TblMili[[#This Row],[Smithies]]*smithy_bonus,smithy_bonus_cap) + tech_3_5*TblTech[[#This Row],[3-5]] + tech_5_3*TblTech[[#This Row],[5-3]] + tech_5_5*TblTech[[#This Row],[5-5]]))*elite2_ore,0)</f>
        <v>100</v>
      </c>
      <c r="BR86" s="94">
        <f ca="1">ROUNDUP((1-MIN(ROUND(fh_spy_cost_red*TblMili[[#This Row],[FH''s]],4),fh_spy_cost_cap)+ tech_1_9*TblTech[[#This Row],[1-9]] + tech_9_1*TblTech[[#This Row],[9-1]])*spy_plat,0)</f>
        <v>500</v>
      </c>
      <c r="BS86" s="94">
        <f ca="1">ROUNDUP((1-MIN(ROUND(fh_spy_cost_red*TblMili[[#This Row],[FH''s]],4),fh_spy_cost_cap)+ tech_1_9*TblTech[[#This Row],[1-9]] + tech_9_1*TblTech[[#This Row],[9-1]])*archspy_plat,0)</f>
        <v>1000</v>
      </c>
      <c r="BT86" s="94">
        <f ca="1">ROUNDUP((1-MIN(ROUND(wg_wiz_cost_bonus*TblMili[[#This Row],[WG''s]],4),wg_wiz_cost_cap) + tech_1_9_2*TblTech[[#This Row],[1-9]] + tech_9_1_2*TblTech[[#This Row],[9-1]])*wizard_plat,0)</f>
        <v>500</v>
      </c>
      <c r="BU86" s="94">
        <f ca="1">ROUNDUP((1-MIN(ROUND(wg_wiz_cost_bonus*TblMili[[#This Row],[WG''s]],4),wg_wiz_cost_cap) + tech_1_9_2*TblTech[[#This Row],[1-9]] + tech_9_1_2*TblTech[[#This Row],[9-1]])*archmage_plat,0)</f>
        <v>1000</v>
      </c>
      <c r="BV86" s="142"/>
      <c r="BW86" s="157">
        <f ca="1">TblConstr[[#This Row],[Homeland]]/TblConstr[[#This Row],[Land]]</f>
        <v>0.81818181818181823</v>
      </c>
      <c r="BX86" s="157">
        <f ca="1">TblMili[[#This Row],[WG''s]]</f>
        <v>0</v>
      </c>
      <c r="BY86" s="251">
        <f ca="1">IF(mystic_cap="none",TblMili[[#This Row],[Homeland%]]/mystic_bonus,MIN(mystic_cap,TblMili[[#This Row],[Homeland%]]/mystic_bonus))</f>
        <v>2</v>
      </c>
      <c r="BZ86" s="251">
        <f ca="1">IF(druid_op_cap="none",TblMili[[#This Row],[Homeland%]]/druid_op_bonus,MIN(druid_op_cap,TblMili[[#This Row],[Homeland%]]/druid_op_bonus))</f>
        <v>2</v>
      </c>
      <c r="CA86" s="251">
        <f ca="1">IF(druid_dp_cap="none",TblMili[[#This Row],[Homeland%]]/druid_dp_bonus,MIN(druid_dp_cap,TblMili[[#This Row],[Homeland%]]/druid_dp_bonus))</f>
        <v>2</v>
      </c>
      <c r="CB86" s="251">
        <f ca="1">MIN(dryad_cap,TblMili[[#This Row],[Homeland%]]/dryad_bonus)</f>
        <v>4</v>
      </c>
      <c r="CC86" s="251">
        <f ca="1">MIN(rocka_cap,TblMili[[#This Row],[Homeland%]]/rocka_bonus)</f>
        <v>2</v>
      </c>
      <c r="CD86" s="251">
        <f ca="1">MIN(adept_op_cap,TblMili[[#This Row],[WG]]/adept_op_bonus)</f>
        <v>0</v>
      </c>
      <c r="CE86" s="251">
        <f ca="1">MIN(adept_dp_cap,TblMili[[#This Row],[WG]]/adept_dp_bonus)</f>
        <v>0</v>
      </c>
      <c r="CF86" s="94">
        <f ca="1">MIN(TblMili[[#This Row],[Unit 3]],TblMili[[#This Row],[Unit 2]])*2</f>
        <v>0</v>
      </c>
      <c r="CG86" s="94">
        <f ca="1">MIN(TblMili[[#This Row],[Unit 1]],TblMili[[#This Row],[Unit 4]])*2</f>
        <v>0</v>
      </c>
      <c r="CH86" s="251">
        <f ca="1">MIN(frost_mage_cap,TblMili[[#This Row],[Homeland%]]/frost_mage_bonus)</f>
        <v>3</v>
      </c>
      <c r="CI86" s="45">
        <f ca="1">MIN(ice_elem_cap,TblMili[[#This Row],[Raw (2)]]*ice_elem_bonus)</f>
        <v>0</v>
      </c>
      <c r="CJ86" s="251">
        <f t="shared" si="3"/>
        <v>0.83333333333333337</v>
      </c>
      <c r="CK86" s="251">
        <f ca="1">MIN(nox_nightshade_cap,TblConstr[[#This Row],[Homeland]]/TblConstr[[#This Row],[Land]]/nox_nightshade_swamp_bonus)</f>
        <v>4</v>
      </c>
      <c r="CL86" s="251">
        <f ca="1">MIN(TblConstr[[#This Row],[Total Swamp]]/TblConstr[[#This Row],[Land]]/abyss_enforce_bonus,abyss_enforcer_cap)</f>
        <v>0</v>
      </c>
      <c r="CM86" s="251">
        <f ca="1">IF(TblMagic[[#This Row],[Active Infernal Command]]&gt;0,TblMili[[#This Row],[Unit 1]]*infernal_cmd_op,0)</f>
        <v>0</v>
      </c>
      <c r="CN86" s="252"/>
      <c r="CO86" s="252"/>
      <c r="CP86" s="252"/>
      <c r="CQ86" s="251">
        <f ca="1">MIN(6,TblMili[[#This Row],[Mystic]]+Races!$F$19)*1.8 +  IF(TblMili[[#This Row],[Mystic]]+Races!$F$19&gt;6,(TblMili[[#This Row],[Mystic]]+Races!$F$19-6)*0.2,0) - Races!$I$19</f>
        <v>1</v>
      </c>
      <c r="CR8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6" s="94">
        <f ca="1">TblMili[[#This Row],[Mystic bonus]]*TblMili[[#This Row],[Unit 3]]+TblMili[[#This Row],[Druid bonus]]*TblMili[[#This Row],[Unit 4]]</f>
        <v>0</v>
      </c>
      <c r="CT86" s="155">
        <f ca="1">MIN(6,TblMili[[#This Row],[Dryad]]+Races!$F$35)*1.8 +  IF(TblMili[[#This Row],[Dryad]]+Races!$F$35&gt;6,(TblMili[[#This Row],[Dryad]]+Races!$F$35-6)*0.2,0) - Races!$I$19</f>
        <v>1</v>
      </c>
      <c r="CU86" s="94">
        <f ca="1">sylvan*(TblMili[[#This Row],[Mystic bonus]]*TblMili[[#This Row],[Unit 3]])</f>
        <v>0</v>
      </c>
      <c r="CV86" s="155">
        <f ca="1">1.8 * MIN(MAX(Races!$E$27,TblMili[[#This Row],[Rockapult]]+Races!$F$27),6)  +  0.45 * MIN(MIN(Races!$E$27,TblMili[[#This Row],[Rockapult]]+Races!$F$27),6)  +  0.2 * ( MAX(Races!$E$27-6,0) + MAX(TblMili[[#This Row],[Rockapult]]+Races!$F$27-6,0) )  -  Races!$I$20</f>
        <v>3.7000000000000011</v>
      </c>
      <c r="CW86" s="94">
        <f ca="1">gnome*(TblMili[[#This Row],[Rockapult bonus]]*TblMili[[#This Row],[Unit 3]])</f>
        <v>0</v>
      </c>
      <c r="CX8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6" s="94">
        <f ca="1">dark_elf*(TblMili[[#This Row],[Adept bonus]]*TblMili[[#This Row],[Unit 3]])</f>
        <v>0</v>
      </c>
      <c r="CZ86" s="155">
        <f ca="1">1.8 * MIN(MAX(TblMili[[#This Row],[Frost Mage]]+Races!$F$71,Races!$E$71),6)  +  0.45 * MIN(MIN(TblMili[[#This Row],[Frost Mage]]+Races!$F$71,Races!$E$71),6)  +  0.2 * ( MAX(TblMili[[#This Row],[Frost Mage]]+Races!$F$71-6,0) + MAX(Races!$E$71-6,0) )  -  Races!$I$71</f>
        <v>6.15</v>
      </c>
      <c r="DA86" s="155">
        <f ca="1">1.8 * MIN(MAX(TblMili[[#This Row],[Ice Elemental]]+Races!$E$71,Races!$F$71),6)  +  0.45 * MIN(MIN(TblMili[[#This Row],[Ice Elemental]]+Races!$E$71,Races!$F$71),6)  +  0.2 * ( MAX(TblMili[[#This Row],[Ice Elemental]]+Races!$E$71-6,0) + MAX(Races!$F$71-6,0) )  -  Races!$I$71</f>
        <v>0.75</v>
      </c>
      <c r="DB86" s="94">
        <f ca="1">TblMili[[#This Row],[Frost Mage bonus]]*TblMili[[#This Row],[Unit 3]]+TblMili[[#This Row],[Ice Elemental bonus]]*TblMili[[#This Row],[Unit 4]]</f>
        <v>0</v>
      </c>
      <c r="DC86" s="253"/>
      <c r="DD86" s="143">
        <f ca="1">MIN(SUM(TblConstr[[#This Row],[Plain]:[Water]])/TblMili[[#This Row],[Land]]/favorable_terrain_bonus/100,favorable_terrain_max)</f>
        <v>0.1</v>
      </c>
      <c r="DE86" s="253"/>
      <c r="DF8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6" s="142"/>
      <c r="DH86" s="254">
        <f ca="1">(TblMili[[#This Row],[Wizards]]+2*TblMili[[#This Row],[Archmages]])/TblConstr[[#This Row],[Land]]</f>
        <v>0</v>
      </c>
      <c r="DI86" s="254">
        <f ca="1">TblMili[[#This Row],[Raw (2)]]*(1+race_wizard_strength+IF(TblMili[[#This Row],[Hour]]&gt;72,tech_magical_weaponry_wiz*TblTech[[#This Row],[3-5]],0))</f>
        <v>0</v>
      </c>
    </row>
    <row r="87" spans="1:113" x14ac:dyDescent="0.2">
      <c r="A87" s="137">
        <f>TblRezone[[#This Row],[Hour]]</f>
        <v>84</v>
      </c>
      <c r="B87" s="246">
        <f ca="1">SUM(TblMili[[#This Row],[Unit 1]:[Archmages]])+SUM(OFFSET(TblMili[[#This Row],[Train Unit 1]],-8,0):TblMili[[#This Row],[Train Unit 2]]) + SUM(OFFSET(TblMili[[#This Row],[Train Unit 3]],-11,0):TblMili[[#This Row],[Train AM]]) + TblMili[[#This Row],[Draftees]]</f>
        <v>641</v>
      </c>
      <c r="C87" s="157">
        <f ca="1">TblPop[[#This Row],[Military%]]</f>
        <v>0.59572490706319703</v>
      </c>
      <c r="D87" s="142"/>
      <c r="E87" s="45">
        <f ca="1">OFFSET(TblMili[[#This Row],[Unit 1]],-1,0) + OFFSET(TblMili[[#This Row],[Train Unit 1]],-9,0) - TblMili[[#This Row],[Release Unit 1]] + OFFSET(TblMili[[#This Row],[DnD_Zombies]],-12,0)</f>
        <v>0</v>
      </c>
      <c r="F87" s="45">
        <f ca="1">OFFSET(TblMili[[#This Row],[Unit 2]],-1,0) + OFFSET(TblMili[[#This Row],[Train Unit 2]],-9,0)-TblMili[[#This Row],[Release Unit 2]]</f>
        <v>0</v>
      </c>
      <c r="G87" s="45">
        <f ca="1">OFFSET(TblMili[[#This Row],[Unit 3]],-1,0) + OFFSET(TblMili[[#This Row],[Train Unit 3]],-12,0)-TblMili[[#This Row],[Release Unit 3]]</f>
        <v>0</v>
      </c>
      <c r="H87" s="45">
        <f ca="1">OFFSET(TblMili[[#This Row],[Unit 4]],-1,0) + OFFSET(TblMili[[#This Row],[Train Unit 4]],-12,0)-TblMili[[#This Row],[Release Unit 4]]</f>
        <v>0</v>
      </c>
      <c r="I87" s="45">
        <f ca="1">OFFSET(TblMili[[#This Row],[Spies]],-1,0) + OFFSET(TblMili[[#This Row],[Train Spies]],-12,0) - TblMili[[#This Row],[Release Spies]]-TblMili[[#This Row],[Train AS]]</f>
        <v>0</v>
      </c>
      <c r="J87" s="45">
        <f ca="1">OFFSET(TblMili[[#This Row],[Archspies]],-1,0) + OFFSET(TblMili[[#This Row],[Train AS]],-12,0) - TblMili[[#This Row],[Release AS]]</f>
        <v>0</v>
      </c>
      <c r="K87" s="45">
        <f ca="1">OFFSET(TblMili[[#This Row],[Wizards]],-1,0) + OFFSET(TblMili[[#This Row],[Train Wiz]],-12,0) - TblMili[[#This Row],[Release Wizards]]-TblMili[[#This Row],[Train AM]]</f>
        <v>0</v>
      </c>
      <c r="L87" s="45">
        <f ca="1">OFFSET(TblMili[[#This Row],[Archmages]],-1,0) + OFFSET(TblMili[[#This Row],[Train AM]],-12,0) - TblMili[[#This Row],[Release AM]]</f>
        <v>0</v>
      </c>
      <c r="M87" s="142"/>
      <c r="N87" s="94">
        <f ca="1">TblProd[[#This Row],[Networth]]</f>
        <v>2450</v>
      </c>
      <c r="O87" s="142"/>
      <c r="P8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7" s="247">
        <f ca="1">TblMili[[#This Row],[Raw]]*(1+TblMili[[#This Row],[Mods_Off]])</f>
        <v>0</v>
      </c>
      <c r="S8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7" s="247">
        <f ca="1">TblMili[[#This Row],[Non Draft]]+TblMili[[#This Row],[Draftees]]</f>
        <v>641</v>
      </c>
      <c r="U87" s="248">
        <f ca="1">race_defense + TblImps[[#This Row],[Walls]] + ROUND( MIN(gt_bonus*TblConstr[[#This Row],[Tot GT]]/TblConstr[[#This Row],[Land]],gt_bonus_cap), 4) + IF(TblMagic[[#This Row],[Active Howling]]&gt;0,howling_dp_bonus,IF(TblMagic[[#This Row],[Active Ares Call]]&gt;0,ares_call_bonus))</f>
        <v>0</v>
      </c>
      <c r="V87" s="249">
        <f ca="1">TblMili[[#This Row],[Non Draft]] * (1 + TblMili[[#This Row],[Mods_Def]])</f>
        <v>0</v>
      </c>
      <c r="W87" s="247">
        <f ca="1">TblMili[[#This Row],[Draft]] * (1 + TblMili[[#This Row],[Mods_Def]])</f>
        <v>641</v>
      </c>
      <c r="X87" s="247">
        <f ca="1">TblConstr[[#This Row],[Land]]</f>
        <v>110</v>
      </c>
      <c r="Y87" s="250"/>
      <c r="Z87" s="255">
        <f ca="1">IF(TblMili[[#This Row],[Set]]&lt;&gt;"",TblMili[[#This Row],[Set]],OFFSET(TblMili[[#This Row],[Draftrate]],-1,0))</f>
        <v>0.9</v>
      </c>
      <c r="AA87" s="94">
        <f ca="1">OFFSET(TblMili[[#This Row],[Draftees]],-1,0)+OFFSET(TblPop[[#This Row],[Draft Growth]],-1,0) - SUM(TblMili[[#This Row],[Train Unit 1]:[Train Spies]],TblMili[[#This Row],[Train Wiz]],TblMili[[#This Row],[DnD_Zombies]]) - TblMili[[#This Row],[Release Draft]] + SUM(TblMili[[#This Row],[Release Unit 1]:[Release AM]]) - TblExplore[[#This Row],[Draftees (2)]]</f>
        <v>641</v>
      </c>
      <c r="AB87" s="154"/>
      <c r="AC87" s="180">
        <f ca="1">(TblConstr[[#This Row],[Tot Smi]]+TblConstr[[#This Row],[Dest Smi]])/(TblConstr[[#This Row],[Land]]-TblExplore[[#This Row],[Land Bonus]]*20)</f>
        <v>0</v>
      </c>
      <c r="AD87" s="137"/>
      <c r="AE87" s="246">
        <f>TblMili[[#This Row],[Hour]]</f>
        <v>84</v>
      </c>
      <c r="AF87" s="138">
        <f ca="1">TblExplore[[#This Row],[Time]]</f>
        <v>46050.458333333132</v>
      </c>
      <c r="AG87" s="179"/>
      <c r="AH87" s="179"/>
      <c r="AI87" s="179"/>
      <c r="AJ87" s="179"/>
      <c r="AK87" s="179"/>
      <c r="AL87" s="179"/>
      <c r="AM87" s="179"/>
      <c r="AN87" s="179"/>
      <c r="AO87" s="420">
        <f ca="1">ROUND(IF(AND(TblMagic[[#This Row],[Active DnD]]&lt;12,TblMagic[[#This Row],[Active DnD]]&gt;5),OFFSET(TblPop[[#This Row],[Draft Growth]],-1,0)*0.375,0),0)</f>
        <v>0</v>
      </c>
      <c r="AP87" s="142"/>
      <c r="AQ87" s="94">
        <f ca="1">TblProd[[#This Row],[Platinum]]</f>
        <v>182338</v>
      </c>
      <c r="AR87" s="94">
        <f ca="1">INDEX(TblProd[[#Headers],[Lumber]]:TblProd[[#This Row],[Ore]],COUNTA(TblProd[[#Headers],[Lumber]]:TblProd[[#This Row],[Lumber]]),MATCH(Military!$AR$2,TblProd[[#Headers],[Lumber]:[Ore]],0))</f>
        <v>0</v>
      </c>
      <c r="AS8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7" s="94">
        <f ca="1">TblMili[[#This Row],[Train Unit 1]]*TblMili[[#This Row],[OP Ore]]+TblMili[[#This Row],[Train Unit 2]]*TblMili[[#This Row],[DP Ore]]+TblMili[[#This Row],[Train Unit 3]]*TblMili[[#This Row],[E1 Ore]]+TblMili[[#This Row],[Train Unit 4]]*TblMili[[#This Row],[E2 Ore]]</f>
        <v>0</v>
      </c>
      <c r="AU87" s="142">
        <f>TblMili[[#This Row],[Hour]]</f>
        <v>84</v>
      </c>
      <c r="AV87" s="152">
        <f ca="1">TblMili[[#This Row],[Time]]</f>
        <v>46050.458333333132</v>
      </c>
      <c r="AW87" s="94">
        <f ca="1">TblMili[[#This Row],[Draftees]]</f>
        <v>641</v>
      </c>
      <c r="AX87" s="158"/>
      <c r="AY87" s="179"/>
      <c r="AZ87" s="179"/>
      <c r="BA87" s="179"/>
      <c r="BB87" s="179"/>
      <c r="BC87" s="179"/>
      <c r="BD87" s="179"/>
      <c r="BE87" s="179"/>
      <c r="BF87" s="179"/>
      <c r="BG87" s="142"/>
      <c r="BH87" s="157">
        <f ca="1">TblConstr[[#This Row],[Tot WG]]/TblConstr[[#This Row],[Land]]</f>
        <v>0</v>
      </c>
      <c r="BI87" s="157">
        <f ca="1">TblConstr[[#This Row],[Tot Hav]]/TblConstr[[#This Row],[Land]]</f>
        <v>0</v>
      </c>
      <c r="BJ87" s="94">
        <f ca="1">ROUNDUP((1-MIN(TblMili[[#This Row],[Smithies]]*smithy_bonus,smithy_bonus_cap) + tech_3_5*TblTech[[#This Row],[3-5]] + tech_5_3*TblTech[[#This Row],[5-3]] + tech_5_5*TblTech[[#This Row],[5-5]])*spec_op_plat,0)</f>
        <v>275</v>
      </c>
      <c r="BK87" s="94">
        <f ca="1">ROUNDUP(IF(race="Gnome",1,(1-MIN(TblMili[[#This Row],[Smithies]]*smithy_bonus,smithy_bonus_cap) + tech_3_5*TblTech[[#This Row],[3-5]] + tech_5_3*TblTech[[#This Row],[5-3]] + tech_5_5*TblTech[[#This Row],[5-5]]))*spec_op_ore,0)</f>
        <v>25</v>
      </c>
      <c r="BL87" s="94">
        <f ca="1">ROUNDUP((1-MIN(TblMili[[#This Row],[Smithies]]*smithy_bonus,smithy_bonus_cap) + tech_3_5*TblTech[[#This Row],[3-5]] + tech_5_3*TblTech[[#This Row],[5-3]] + tech_5_5*TblTech[[#This Row],[5-5]])*spec_dp_plat,0)</f>
        <v>275</v>
      </c>
      <c r="BM87" s="94">
        <f ca="1">ROUNDUP(IF(race="Gnome",1,(1-MIN(TblMili[[#This Row],[Smithies]]*smithy_bonus,smithy_bonus_cap) + tech_3_5*TblTech[[#This Row],[3-5]] + tech_5_3*TblTech[[#This Row],[5-3]] + tech_5_5*TblTech[[#This Row],[5-5]]))*spec_dp_ore,0)</f>
        <v>15</v>
      </c>
      <c r="BN87" s="94">
        <f ca="1">ROUNDUP((1-MIN(TblMili[[#This Row],[Smithies]]*smithy_bonus,smithy_bonus_cap) + tech_3_5*TblTech[[#This Row],[3-5]] + tech_5_3*TblTech[[#This Row],[5-3]] + tech_5_5*TblTech[[#This Row],[5-5]])*elite1_plat,0)</f>
        <v>1040</v>
      </c>
      <c r="BO87" s="94">
        <f ca="1">ROUNDUP(IF(race="Gnome",1,(1-MIN(TblMili[[#This Row],[Smithies]]*smithy_bonus,smithy_bonus_cap) + tech_3_5*TblTech[[#This Row],[3-5]] + tech_5_3*TblTech[[#This Row],[5-3]] + tech_5_5*TblTech[[#This Row],[5-5]]))*elite1_ore,0)</f>
        <v>75</v>
      </c>
      <c r="BP87" s="94">
        <f ca="1">ROUNDUP((1-MIN(TblMili[[#This Row],[Smithies]]*smithy_bonus,smithy_bonus_cap) + tech_3_5*TblTech[[#This Row],[3-5]] + tech_5_3*TblTech[[#This Row],[5-3]] + tech_5_5*TblTech[[#This Row],[5-5]])*elite2_plat,0)</f>
        <v>1280</v>
      </c>
      <c r="BQ87" s="94">
        <f ca="1">ROUNDUP(IF(race="Gnome",1,(1-MIN(TblMili[[#This Row],[Smithies]]*smithy_bonus,smithy_bonus_cap) + tech_3_5*TblTech[[#This Row],[3-5]] + tech_5_3*TblTech[[#This Row],[5-3]] + tech_5_5*TblTech[[#This Row],[5-5]]))*elite2_ore,0)</f>
        <v>100</v>
      </c>
      <c r="BR87" s="94">
        <f ca="1">ROUNDUP((1-MIN(ROUND(fh_spy_cost_red*TblMili[[#This Row],[FH''s]],4),fh_spy_cost_cap)+ tech_1_9*TblTech[[#This Row],[1-9]] + tech_9_1*TblTech[[#This Row],[9-1]])*spy_plat,0)</f>
        <v>500</v>
      </c>
      <c r="BS87" s="94">
        <f ca="1">ROUNDUP((1-MIN(ROUND(fh_spy_cost_red*TblMili[[#This Row],[FH''s]],4),fh_spy_cost_cap)+ tech_1_9*TblTech[[#This Row],[1-9]] + tech_9_1*TblTech[[#This Row],[9-1]])*archspy_plat,0)</f>
        <v>1000</v>
      </c>
      <c r="BT87" s="94">
        <f ca="1">ROUNDUP((1-MIN(ROUND(wg_wiz_cost_bonus*TblMili[[#This Row],[WG''s]],4),wg_wiz_cost_cap) + tech_1_9_2*TblTech[[#This Row],[1-9]] + tech_9_1_2*TblTech[[#This Row],[9-1]])*wizard_plat,0)</f>
        <v>500</v>
      </c>
      <c r="BU87" s="94">
        <f ca="1">ROUNDUP((1-MIN(ROUND(wg_wiz_cost_bonus*TblMili[[#This Row],[WG''s]],4),wg_wiz_cost_cap) + tech_1_9_2*TblTech[[#This Row],[1-9]] + tech_9_1_2*TblTech[[#This Row],[9-1]])*archmage_plat,0)</f>
        <v>1000</v>
      </c>
      <c r="BV87" s="142"/>
      <c r="BW87" s="157">
        <f ca="1">TblConstr[[#This Row],[Homeland]]/TblConstr[[#This Row],[Land]]</f>
        <v>0.81818181818181823</v>
      </c>
      <c r="BX87" s="157">
        <f ca="1">TblMili[[#This Row],[WG''s]]</f>
        <v>0</v>
      </c>
      <c r="BY87" s="251">
        <f ca="1">IF(mystic_cap="none",TblMili[[#This Row],[Homeland%]]/mystic_bonus,MIN(mystic_cap,TblMili[[#This Row],[Homeland%]]/mystic_bonus))</f>
        <v>2</v>
      </c>
      <c r="BZ87" s="251">
        <f ca="1">IF(druid_op_cap="none",TblMili[[#This Row],[Homeland%]]/druid_op_bonus,MIN(druid_op_cap,TblMili[[#This Row],[Homeland%]]/druid_op_bonus))</f>
        <v>2</v>
      </c>
      <c r="CA87" s="251">
        <f ca="1">IF(druid_dp_cap="none",TblMili[[#This Row],[Homeland%]]/druid_dp_bonus,MIN(druid_dp_cap,TblMili[[#This Row],[Homeland%]]/druid_dp_bonus))</f>
        <v>2</v>
      </c>
      <c r="CB87" s="251">
        <f ca="1">MIN(dryad_cap,TblMili[[#This Row],[Homeland%]]/dryad_bonus)</f>
        <v>4</v>
      </c>
      <c r="CC87" s="251">
        <f ca="1">MIN(rocka_cap,TblMili[[#This Row],[Homeland%]]/rocka_bonus)</f>
        <v>2</v>
      </c>
      <c r="CD87" s="251">
        <f ca="1">MIN(adept_op_cap,TblMili[[#This Row],[WG]]/adept_op_bonus)</f>
        <v>0</v>
      </c>
      <c r="CE87" s="251">
        <f ca="1">MIN(adept_dp_cap,TblMili[[#This Row],[WG]]/adept_dp_bonus)</f>
        <v>0</v>
      </c>
      <c r="CF87" s="94">
        <f ca="1">MIN(TblMili[[#This Row],[Unit 3]],TblMili[[#This Row],[Unit 2]])*2</f>
        <v>0</v>
      </c>
      <c r="CG87" s="94">
        <f ca="1">MIN(TblMili[[#This Row],[Unit 1]],TblMili[[#This Row],[Unit 4]])*2</f>
        <v>0</v>
      </c>
      <c r="CH87" s="251">
        <f ca="1">MIN(frost_mage_cap,TblMili[[#This Row],[Homeland%]]/frost_mage_bonus)</f>
        <v>3</v>
      </c>
      <c r="CI87" s="45">
        <f ca="1">MIN(ice_elem_cap,TblMili[[#This Row],[Raw (2)]]*ice_elem_bonus)</f>
        <v>0</v>
      </c>
      <c r="CJ87" s="251">
        <f t="shared" si="3"/>
        <v>0.83333333333333337</v>
      </c>
      <c r="CK87" s="251">
        <f ca="1">MIN(nox_nightshade_cap,TblConstr[[#This Row],[Homeland]]/TblConstr[[#This Row],[Land]]/nox_nightshade_swamp_bonus)</f>
        <v>4</v>
      </c>
      <c r="CL87" s="251">
        <f ca="1">MIN(TblConstr[[#This Row],[Total Swamp]]/TblConstr[[#This Row],[Land]]/abyss_enforce_bonus,abyss_enforcer_cap)</f>
        <v>0</v>
      </c>
      <c r="CM87" s="251">
        <f ca="1">IF(TblMagic[[#This Row],[Active Infernal Command]]&gt;0,TblMili[[#This Row],[Unit 1]]*infernal_cmd_op,0)</f>
        <v>0</v>
      </c>
      <c r="CN87" s="252"/>
      <c r="CO87" s="252"/>
      <c r="CP87" s="252"/>
      <c r="CQ87" s="251">
        <f ca="1">MIN(6,TblMili[[#This Row],[Mystic]]+Races!$F$19)*1.8 +  IF(TblMili[[#This Row],[Mystic]]+Races!$F$19&gt;6,(TblMili[[#This Row],[Mystic]]+Races!$F$19-6)*0.2,0) - Races!$I$19</f>
        <v>1</v>
      </c>
      <c r="CR8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7" s="94">
        <f ca="1">TblMili[[#This Row],[Mystic bonus]]*TblMili[[#This Row],[Unit 3]]+TblMili[[#This Row],[Druid bonus]]*TblMili[[#This Row],[Unit 4]]</f>
        <v>0</v>
      </c>
      <c r="CT87" s="155">
        <f ca="1">MIN(6,TblMili[[#This Row],[Dryad]]+Races!$F$35)*1.8 +  IF(TblMili[[#This Row],[Dryad]]+Races!$F$35&gt;6,(TblMili[[#This Row],[Dryad]]+Races!$F$35-6)*0.2,0) - Races!$I$19</f>
        <v>1</v>
      </c>
      <c r="CU87" s="94">
        <f ca="1">sylvan*(TblMili[[#This Row],[Mystic bonus]]*TblMili[[#This Row],[Unit 3]])</f>
        <v>0</v>
      </c>
      <c r="CV87" s="155">
        <f ca="1">1.8 * MIN(MAX(Races!$E$27,TblMili[[#This Row],[Rockapult]]+Races!$F$27),6)  +  0.45 * MIN(MIN(Races!$E$27,TblMili[[#This Row],[Rockapult]]+Races!$F$27),6)  +  0.2 * ( MAX(Races!$E$27-6,0) + MAX(TblMili[[#This Row],[Rockapult]]+Races!$F$27-6,0) )  -  Races!$I$20</f>
        <v>3.7000000000000011</v>
      </c>
      <c r="CW87" s="94">
        <f ca="1">gnome*(TblMili[[#This Row],[Rockapult bonus]]*TblMili[[#This Row],[Unit 3]])</f>
        <v>0</v>
      </c>
      <c r="CX8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7" s="94">
        <f ca="1">dark_elf*(TblMili[[#This Row],[Adept bonus]]*TblMili[[#This Row],[Unit 3]])</f>
        <v>0</v>
      </c>
      <c r="CZ87" s="155">
        <f ca="1">1.8 * MIN(MAX(TblMili[[#This Row],[Frost Mage]]+Races!$F$71,Races!$E$71),6)  +  0.45 * MIN(MIN(TblMili[[#This Row],[Frost Mage]]+Races!$F$71,Races!$E$71),6)  +  0.2 * ( MAX(TblMili[[#This Row],[Frost Mage]]+Races!$F$71-6,0) + MAX(Races!$E$71-6,0) )  -  Races!$I$71</f>
        <v>6.15</v>
      </c>
      <c r="DA87" s="155">
        <f ca="1">1.8 * MIN(MAX(TblMili[[#This Row],[Ice Elemental]]+Races!$E$71,Races!$F$71),6)  +  0.45 * MIN(MIN(TblMili[[#This Row],[Ice Elemental]]+Races!$E$71,Races!$F$71),6)  +  0.2 * ( MAX(TblMili[[#This Row],[Ice Elemental]]+Races!$E$71-6,0) + MAX(Races!$F$71-6,0) )  -  Races!$I$71</f>
        <v>0.75</v>
      </c>
      <c r="DB87" s="94">
        <f ca="1">TblMili[[#This Row],[Frost Mage bonus]]*TblMili[[#This Row],[Unit 3]]+TblMili[[#This Row],[Ice Elemental bonus]]*TblMili[[#This Row],[Unit 4]]</f>
        <v>0</v>
      </c>
      <c r="DC87" s="253"/>
      <c r="DD87" s="143">
        <f ca="1">MIN(SUM(TblConstr[[#This Row],[Plain]:[Water]])/TblMili[[#This Row],[Land]]/favorable_terrain_bonus/100,favorable_terrain_max)</f>
        <v>0.1</v>
      </c>
      <c r="DE87" s="253"/>
      <c r="DF8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7" s="142"/>
      <c r="DH87" s="254">
        <f ca="1">(TblMili[[#This Row],[Wizards]]+2*TblMili[[#This Row],[Archmages]])/TblConstr[[#This Row],[Land]]</f>
        <v>0</v>
      </c>
      <c r="DI87" s="254">
        <f ca="1">TblMili[[#This Row],[Raw (2)]]*(1+race_wizard_strength+IF(TblMili[[#This Row],[Hour]]&gt;72,tech_magical_weaponry_wiz*TblTech[[#This Row],[3-5]],0))</f>
        <v>0</v>
      </c>
    </row>
    <row r="88" spans="1:113" x14ac:dyDescent="0.2">
      <c r="A88" s="137">
        <f>TblRezone[[#This Row],[Hour]]</f>
        <v>85</v>
      </c>
      <c r="B88" s="246">
        <f ca="1">SUM(TblMili[[#This Row],[Unit 1]:[Archmages]])+SUM(OFFSET(TblMili[[#This Row],[Train Unit 1]],-8,0):TblMili[[#This Row],[Train Unit 2]]) + SUM(OFFSET(TblMili[[#This Row],[Train Unit 3]],-11,0):TblMili[[#This Row],[Train AM]]) + TblMili[[#This Row],[Draftees]]</f>
        <v>645</v>
      </c>
      <c r="C88" s="157">
        <f ca="1">TblPop[[#This Row],[Military%]]</f>
        <v>0.59944237918215615</v>
      </c>
      <c r="D88" s="142"/>
      <c r="E88" s="45">
        <f ca="1">OFFSET(TblMili[[#This Row],[Unit 1]],-1,0) + OFFSET(TblMili[[#This Row],[Train Unit 1]],-9,0) - TblMili[[#This Row],[Release Unit 1]] + OFFSET(TblMili[[#This Row],[DnD_Zombies]],-12,0)</f>
        <v>0</v>
      </c>
      <c r="F88" s="45">
        <f ca="1">OFFSET(TblMili[[#This Row],[Unit 2]],-1,0) + OFFSET(TblMili[[#This Row],[Train Unit 2]],-9,0)-TblMili[[#This Row],[Release Unit 2]]</f>
        <v>0</v>
      </c>
      <c r="G88" s="45">
        <f ca="1">OFFSET(TblMili[[#This Row],[Unit 3]],-1,0) + OFFSET(TblMili[[#This Row],[Train Unit 3]],-12,0)-TblMili[[#This Row],[Release Unit 3]]</f>
        <v>0</v>
      </c>
      <c r="H88" s="45">
        <f ca="1">OFFSET(TblMili[[#This Row],[Unit 4]],-1,0) + OFFSET(TblMili[[#This Row],[Train Unit 4]],-12,0)-TblMili[[#This Row],[Release Unit 4]]</f>
        <v>0</v>
      </c>
      <c r="I88" s="45">
        <f ca="1">OFFSET(TblMili[[#This Row],[Spies]],-1,0) + OFFSET(TblMili[[#This Row],[Train Spies]],-12,0) - TblMili[[#This Row],[Release Spies]]-TblMili[[#This Row],[Train AS]]</f>
        <v>0</v>
      </c>
      <c r="J88" s="45">
        <f ca="1">OFFSET(TblMili[[#This Row],[Archspies]],-1,0) + OFFSET(TblMili[[#This Row],[Train AS]],-12,0) - TblMili[[#This Row],[Release AS]]</f>
        <v>0</v>
      </c>
      <c r="K88" s="45">
        <f ca="1">OFFSET(TblMili[[#This Row],[Wizards]],-1,0) + OFFSET(TblMili[[#This Row],[Train Wiz]],-12,0) - TblMili[[#This Row],[Release Wizards]]-TblMili[[#This Row],[Train AM]]</f>
        <v>0</v>
      </c>
      <c r="L88" s="45">
        <f ca="1">OFFSET(TblMili[[#This Row],[Archmages]],-1,0) + OFFSET(TblMili[[#This Row],[Train AM]],-12,0) - TblMili[[#This Row],[Release AM]]</f>
        <v>0</v>
      </c>
      <c r="M88" s="142"/>
      <c r="N88" s="94">
        <f ca="1">TblProd[[#This Row],[Networth]]</f>
        <v>2450</v>
      </c>
      <c r="O88" s="142"/>
      <c r="P8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8" s="247">
        <f ca="1">TblMili[[#This Row],[Raw]]*(1+TblMili[[#This Row],[Mods_Off]])</f>
        <v>0</v>
      </c>
      <c r="S8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8" s="247">
        <f ca="1">TblMili[[#This Row],[Non Draft]]+TblMili[[#This Row],[Draftees]]</f>
        <v>645</v>
      </c>
      <c r="U88" s="248">
        <f ca="1">race_defense + TblImps[[#This Row],[Walls]] + ROUND( MIN(gt_bonus*TblConstr[[#This Row],[Tot GT]]/TblConstr[[#This Row],[Land]],gt_bonus_cap), 4) + IF(TblMagic[[#This Row],[Active Howling]]&gt;0,howling_dp_bonus,IF(TblMagic[[#This Row],[Active Ares Call]]&gt;0,ares_call_bonus))</f>
        <v>0</v>
      </c>
      <c r="V88" s="249">
        <f ca="1">TblMili[[#This Row],[Non Draft]] * (1 + TblMili[[#This Row],[Mods_Def]])</f>
        <v>0</v>
      </c>
      <c r="W88" s="247">
        <f ca="1">TblMili[[#This Row],[Draft]] * (1 + TblMili[[#This Row],[Mods_Def]])</f>
        <v>645</v>
      </c>
      <c r="X88" s="247">
        <f ca="1">TblConstr[[#This Row],[Land]]</f>
        <v>110</v>
      </c>
      <c r="Y88" s="250"/>
      <c r="Z88" s="255">
        <f ca="1">IF(TblMili[[#This Row],[Set]]&lt;&gt;"",TblMili[[#This Row],[Set]],OFFSET(TblMili[[#This Row],[Draftrate]],-1,0))</f>
        <v>0.9</v>
      </c>
      <c r="AA88" s="94">
        <f ca="1">OFFSET(TblMili[[#This Row],[Draftees]],-1,0)+OFFSET(TblPop[[#This Row],[Draft Growth]],-1,0) - SUM(TblMili[[#This Row],[Train Unit 1]:[Train Spies]],TblMili[[#This Row],[Train Wiz]],TblMili[[#This Row],[DnD_Zombies]]) - TblMili[[#This Row],[Release Draft]] + SUM(TblMili[[#This Row],[Release Unit 1]:[Release AM]]) - TblExplore[[#This Row],[Draftees (2)]]</f>
        <v>645</v>
      </c>
      <c r="AB88" s="154"/>
      <c r="AC88" s="180">
        <f ca="1">(TblConstr[[#This Row],[Tot Smi]]+TblConstr[[#This Row],[Dest Smi]])/(TblConstr[[#This Row],[Land]]-TblExplore[[#This Row],[Land Bonus]]*20)</f>
        <v>0</v>
      </c>
      <c r="AD88" s="246"/>
      <c r="AE88" s="246">
        <f>TblMili[[#This Row],[Hour]]</f>
        <v>85</v>
      </c>
      <c r="AF88" s="138">
        <f ca="1">TblExplore[[#This Row],[Time]]</f>
        <v>46050.499999999796</v>
      </c>
      <c r="AG88" s="179"/>
      <c r="AH88" s="179"/>
      <c r="AI88" s="179"/>
      <c r="AJ88" s="179"/>
      <c r="AK88" s="179"/>
      <c r="AL88" s="179"/>
      <c r="AM88" s="179"/>
      <c r="AN88" s="179"/>
      <c r="AO88" s="420">
        <f ca="1">ROUND(IF(AND(TblMagic[[#This Row],[Active DnD]]&lt;12,TblMagic[[#This Row],[Active DnD]]&gt;5),OFFSET(TblPop[[#This Row],[Draft Growth]],-1,0)*0.375,0),0)</f>
        <v>0</v>
      </c>
      <c r="AP88" s="142"/>
      <c r="AQ88" s="94">
        <f ca="1">TblProd[[#This Row],[Platinum]]</f>
        <v>183512</v>
      </c>
      <c r="AR88" s="94">
        <f ca="1">INDEX(TblProd[[#Headers],[Lumber]]:TblProd[[#This Row],[Ore]],COUNTA(TblProd[[#Headers],[Lumber]]:TblProd[[#This Row],[Lumber]]),MATCH(Military!$AR$2,TblProd[[#Headers],[Lumber]:[Ore]],0))</f>
        <v>0</v>
      </c>
      <c r="AS8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8" s="94">
        <f ca="1">TblMili[[#This Row],[Train Unit 1]]*TblMili[[#This Row],[OP Ore]]+TblMili[[#This Row],[Train Unit 2]]*TblMili[[#This Row],[DP Ore]]+TblMili[[#This Row],[Train Unit 3]]*TblMili[[#This Row],[E1 Ore]]+TblMili[[#This Row],[Train Unit 4]]*TblMili[[#This Row],[E2 Ore]]</f>
        <v>0</v>
      </c>
      <c r="AU88" s="142">
        <f>TblMili[[#This Row],[Hour]]</f>
        <v>85</v>
      </c>
      <c r="AV88" s="152">
        <f ca="1">TblMili[[#This Row],[Time]]</f>
        <v>46050.499999999796</v>
      </c>
      <c r="AW88" s="94">
        <f ca="1">TblMili[[#This Row],[Draftees]]</f>
        <v>645</v>
      </c>
      <c r="AX88" s="179"/>
      <c r="AY88" s="179"/>
      <c r="AZ88" s="179"/>
      <c r="BA88" s="179"/>
      <c r="BB88" s="179"/>
      <c r="BC88" s="179"/>
      <c r="BD88" s="179"/>
      <c r="BE88" s="179"/>
      <c r="BF88" s="179"/>
      <c r="BG88" s="142"/>
      <c r="BH88" s="157">
        <f ca="1">TblConstr[[#This Row],[Tot WG]]/TblConstr[[#This Row],[Land]]</f>
        <v>0</v>
      </c>
      <c r="BI88" s="157">
        <f ca="1">TblConstr[[#This Row],[Tot Hav]]/TblConstr[[#This Row],[Land]]</f>
        <v>0</v>
      </c>
      <c r="BJ88" s="94">
        <f ca="1">ROUNDUP((1-MIN(TblMili[[#This Row],[Smithies]]*smithy_bonus,smithy_bonus_cap) + tech_3_5*TblTech[[#This Row],[3-5]] + tech_5_3*TblTech[[#This Row],[5-3]] + tech_5_5*TblTech[[#This Row],[5-5]])*spec_op_plat,0)</f>
        <v>275</v>
      </c>
      <c r="BK88" s="94">
        <f ca="1">ROUNDUP(IF(race="Gnome",1,(1-MIN(TblMili[[#This Row],[Smithies]]*smithy_bonus,smithy_bonus_cap) + tech_3_5*TblTech[[#This Row],[3-5]] + tech_5_3*TblTech[[#This Row],[5-3]] + tech_5_5*TblTech[[#This Row],[5-5]]))*spec_op_ore,0)</f>
        <v>25</v>
      </c>
      <c r="BL88" s="94">
        <f ca="1">ROUNDUP((1-MIN(TblMili[[#This Row],[Smithies]]*smithy_bonus,smithy_bonus_cap) + tech_3_5*TblTech[[#This Row],[3-5]] + tech_5_3*TblTech[[#This Row],[5-3]] + tech_5_5*TblTech[[#This Row],[5-5]])*spec_dp_plat,0)</f>
        <v>275</v>
      </c>
      <c r="BM88" s="94">
        <f ca="1">ROUNDUP(IF(race="Gnome",1,(1-MIN(TblMili[[#This Row],[Smithies]]*smithy_bonus,smithy_bonus_cap) + tech_3_5*TblTech[[#This Row],[3-5]] + tech_5_3*TblTech[[#This Row],[5-3]] + tech_5_5*TblTech[[#This Row],[5-5]]))*spec_dp_ore,0)</f>
        <v>15</v>
      </c>
      <c r="BN88" s="94">
        <f ca="1">ROUNDUP((1-MIN(TblMili[[#This Row],[Smithies]]*smithy_bonus,smithy_bonus_cap) + tech_3_5*TblTech[[#This Row],[3-5]] + tech_5_3*TblTech[[#This Row],[5-3]] + tech_5_5*TblTech[[#This Row],[5-5]])*elite1_plat,0)</f>
        <v>1040</v>
      </c>
      <c r="BO88" s="94">
        <f ca="1">ROUNDUP(IF(race="Gnome",1,(1-MIN(TblMili[[#This Row],[Smithies]]*smithy_bonus,smithy_bonus_cap) + tech_3_5*TblTech[[#This Row],[3-5]] + tech_5_3*TblTech[[#This Row],[5-3]] + tech_5_5*TblTech[[#This Row],[5-5]]))*elite1_ore,0)</f>
        <v>75</v>
      </c>
      <c r="BP88" s="94">
        <f ca="1">ROUNDUP((1-MIN(TblMili[[#This Row],[Smithies]]*smithy_bonus,smithy_bonus_cap) + tech_3_5*TblTech[[#This Row],[3-5]] + tech_5_3*TblTech[[#This Row],[5-3]] + tech_5_5*TblTech[[#This Row],[5-5]])*elite2_plat,0)</f>
        <v>1280</v>
      </c>
      <c r="BQ88" s="94">
        <f ca="1">ROUNDUP(IF(race="Gnome",1,(1-MIN(TblMili[[#This Row],[Smithies]]*smithy_bonus,smithy_bonus_cap) + tech_3_5*TblTech[[#This Row],[3-5]] + tech_5_3*TblTech[[#This Row],[5-3]] + tech_5_5*TblTech[[#This Row],[5-5]]))*elite2_ore,0)</f>
        <v>100</v>
      </c>
      <c r="BR88" s="94">
        <f ca="1">ROUNDUP((1-MIN(ROUND(fh_spy_cost_red*TblMili[[#This Row],[FH''s]],4),fh_spy_cost_cap)+ tech_1_9*TblTech[[#This Row],[1-9]] + tech_9_1*TblTech[[#This Row],[9-1]])*spy_plat,0)</f>
        <v>500</v>
      </c>
      <c r="BS88" s="94">
        <f ca="1">ROUNDUP((1-MIN(ROUND(fh_spy_cost_red*TblMili[[#This Row],[FH''s]],4),fh_spy_cost_cap)+ tech_1_9*TblTech[[#This Row],[1-9]] + tech_9_1*TblTech[[#This Row],[9-1]])*archspy_plat,0)</f>
        <v>1000</v>
      </c>
      <c r="BT88" s="94">
        <f ca="1">ROUNDUP((1-MIN(ROUND(wg_wiz_cost_bonus*TblMili[[#This Row],[WG''s]],4),wg_wiz_cost_cap) + tech_1_9_2*TblTech[[#This Row],[1-9]] + tech_9_1_2*TblTech[[#This Row],[9-1]])*wizard_plat,0)</f>
        <v>500</v>
      </c>
      <c r="BU88" s="94">
        <f ca="1">ROUNDUP((1-MIN(ROUND(wg_wiz_cost_bonus*TblMili[[#This Row],[WG''s]],4),wg_wiz_cost_cap) + tech_1_9_2*TblTech[[#This Row],[1-9]] + tech_9_1_2*TblTech[[#This Row],[9-1]])*archmage_plat,0)</f>
        <v>1000</v>
      </c>
      <c r="BV88" s="142"/>
      <c r="BW88" s="157">
        <f ca="1">TblConstr[[#This Row],[Homeland]]/TblConstr[[#This Row],[Land]]</f>
        <v>0.81818181818181823</v>
      </c>
      <c r="BX88" s="157">
        <f ca="1">TblMili[[#This Row],[WG''s]]</f>
        <v>0</v>
      </c>
      <c r="BY88" s="251">
        <f ca="1">IF(mystic_cap="none",TblMili[[#This Row],[Homeland%]]/mystic_bonus,MIN(mystic_cap,TblMili[[#This Row],[Homeland%]]/mystic_bonus))</f>
        <v>2</v>
      </c>
      <c r="BZ88" s="251">
        <f ca="1">IF(druid_op_cap="none",TblMili[[#This Row],[Homeland%]]/druid_op_bonus,MIN(druid_op_cap,TblMili[[#This Row],[Homeland%]]/druid_op_bonus))</f>
        <v>2</v>
      </c>
      <c r="CA88" s="251">
        <f ca="1">IF(druid_dp_cap="none",TblMili[[#This Row],[Homeland%]]/druid_dp_bonus,MIN(druid_dp_cap,TblMili[[#This Row],[Homeland%]]/druid_dp_bonus))</f>
        <v>2</v>
      </c>
      <c r="CB88" s="251">
        <f ca="1">MIN(dryad_cap,TblMili[[#This Row],[Homeland%]]/dryad_bonus)</f>
        <v>4</v>
      </c>
      <c r="CC88" s="251">
        <f ca="1">MIN(rocka_cap,TblMili[[#This Row],[Homeland%]]/rocka_bonus)</f>
        <v>2</v>
      </c>
      <c r="CD88" s="251">
        <f ca="1">MIN(adept_op_cap,TblMili[[#This Row],[WG]]/adept_op_bonus)</f>
        <v>0</v>
      </c>
      <c r="CE88" s="251">
        <f ca="1">MIN(adept_dp_cap,TblMili[[#This Row],[WG]]/adept_dp_bonus)</f>
        <v>0</v>
      </c>
      <c r="CF88" s="94">
        <f ca="1">MIN(TblMili[[#This Row],[Unit 3]],TblMili[[#This Row],[Unit 2]])*2</f>
        <v>0</v>
      </c>
      <c r="CG88" s="94">
        <f ca="1">MIN(TblMili[[#This Row],[Unit 1]],TblMili[[#This Row],[Unit 4]])*2</f>
        <v>0</v>
      </c>
      <c r="CH88" s="251">
        <f ca="1">MIN(frost_mage_cap,TblMili[[#This Row],[Homeland%]]/frost_mage_bonus)</f>
        <v>3</v>
      </c>
      <c r="CI88" s="45">
        <f ca="1">MIN(ice_elem_cap,TblMili[[#This Row],[Raw (2)]]*ice_elem_bonus)</f>
        <v>0</v>
      </c>
      <c r="CJ88" s="251">
        <f t="shared" si="3"/>
        <v>0.83333333333333337</v>
      </c>
      <c r="CK88" s="251">
        <f ca="1">MIN(nox_nightshade_cap,TblConstr[[#This Row],[Homeland]]/TblConstr[[#This Row],[Land]]/nox_nightshade_swamp_bonus)</f>
        <v>4</v>
      </c>
      <c r="CL88" s="251">
        <f ca="1">MIN(TblConstr[[#This Row],[Total Swamp]]/TblConstr[[#This Row],[Land]]/abyss_enforce_bonus,abyss_enforcer_cap)</f>
        <v>0</v>
      </c>
      <c r="CM88" s="251">
        <f ca="1">IF(TblMagic[[#This Row],[Active Infernal Command]]&gt;0,TblMili[[#This Row],[Unit 1]]*infernal_cmd_op,0)</f>
        <v>0</v>
      </c>
      <c r="CN88" s="252"/>
      <c r="CO88" s="252"/>
      <c r="CP88" s="252"/>
      <c r="CQ88" s="251">
        <f ca="1">MIN(6,TblMili[[#This Row],[Mystic]]+Races!$F$19)*1.8 +  IF(TblMili[[#This Row],[Mystic]]+Races!$F$19&gt;6,(TblMili[[#This Row],[Mystic]]+Races!$F$19-6)*0.2,0) - Races!$I$19</f>
        <v>1</v>
      </c>
      <c r="CR8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8" s="94">
        <f ca="1">TblMili[[#This Row],[Mystic bonus]]*TblMili[[#This Row],[Unit 3]]+TblMili[[#This Row],[Druid bonus]]*TblMili[[#This Row],[Unit 4]]</f>
        <v>0</v>
      </c>
      <c r="CT88" s="155">
        <f ca="1">MIN(6,TblMili[[#This Row],[Dryad]]+Races!$F$35)*1.8 +  IF(TblMili[[#This Row],[Dryad]]+Races!$F$35&gt;6,(TblMili[[#This Row],[Dryad]]+Races!$F$35-6)*0.2,0) - Races!$I$19</f>
        <v>1</v>
      </c>
      <c r="CU88" s="94">
        <f ca="1">sylvan*(TblMili[[#This Row],[Mystic bonus]]*TblMili[[#This Row],[Unit 3]])</f>
        <v>0</v>
      </c>
      <c r="CV88" s="155">
        <f ca="1">1.8 * MIN(MAX(Races!$E$27,TblMili[[#This Row],[Rockapult]]+Races!$F$27),6)  +  0.45 * MIN(MIN(Races!$E$27,TblMili[[#This Row],[Rockapult]]+Races!$F$27),6)  +  0.2 * ( MAX(Races!$E$27-6,0) + MAX(TblMili[[#This Row],[Rockapult]]+Races!$F$27-6,0) )  -  Races!$I$20</f>
        <v>3.7000000000000011</v>
      </c>
      <c r="CW88" s="94">
        <f ca="1">gnome*(TblMili[[#This Row],[Rockapult bonus]]*TblMili[[#This Row],[Unit 3]])</f>
        <v>0</v>
      </c>
      <c r="CX8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8" s="94">
        <f ca="1">dark_elf*(TblMili[[#This Row],[Adept bonus]]*TblMili[[#This Row],[Unit 3]])</f>
        <v>0</v>
      </c>
      <c r="CZ88" s="155">
        <f ca="1">1.8 * MIN(MAX(TblMili[[#This Row],[Frost Mage]]+Races!$F$71,Races!$E$71),6)  +  0.45 * MIN(MIN(TblMili[[#This Row],[Frost Mage]]+Races!$F$71,Races!$E$71),6)  +  0.2 * ( MAX(TblMili[[#This Row],[Frost Mage]]+Races!$F$71-6,0) + MAX(Races!$E$71-6,0) )  -  Races!$I$71</f>
        <v>6.15</v>
      </c>
      <c r="DA88" s="155">
        <f ca="1">1.8 * MIN(MAX(TblMili[[#This Row],[Ice Elemental]]+Races!$E$71,Races!$F$71),6)  +  0.45 * MIN(MIN(TblMili[[#This Row],[Ice Elemental]]+Races!$E$71,Races!$F$71),6)  +  0.2 * ( MAX(TblMili[[#This Row],[Ice Elemental]]+Races!$E$71-6,0) + MAX(Races!$F$71-6,0) )  -  Races!$I$71</f>
        <v>0.75</v>
      </c>
      <c r="DB88" s="94">
        <f ca="1">TblMili[[#This Row],[Frost Mage bonus]]*TblMili[[#This Row],[Unit 3]]+TblMili[[#This Row],[Ice Elemental bonus]]*TblMili[[#This Row],[Unit 4]]</f>
        <v>0</v>
      </c>
      <c r="DC88" s="253"/>
      <c r="DD88" s="143">
        <f ca="1">MIN(SUM(TblConstr[[#This Row],[Plain]:[Water]])/TblMili[[#This Row],[Land]]/favorable_terrain_bonus/100,favorable_terrain_max)</f>
        <v>0.1</v>
      </c>
      <c r="DE88" s="253"/>
      <c r="DF8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8" s="142"/>
      <c r="DH88" s="254">
        <f ca="1">(TblMili[[#This Row],[Wizards]]+2*TblMili[[#This Row],[Archmages]])/TblConstr[[#This Row],[Land]]</f>
        <v>0</v>
      </c>
      <c r="DI88" s="254">
        <f ca="1">TblMili[[#This Row],[Raw (2)]]*(1+race_wizard_strength+IF(TblMili[[#This Row],[Hour]]&gt;72,tech_magical_weaponry_wiz*TblTech[[#This Row],[3-5]],0))</f>
        <v>0</v>
      </c>
    </row>
    <row r="89" spans="1:113" x14ac:dyDescent="0.2">
      <c r="A89" s="137">
        <f>TblRezone[[#This Row],[Hour]]</f>
        <v>86</v>
      </c>
      <c r="B89" s="246">
        <f ca="1">SUM(TblMili[[#This Row],[Unit 1]:[Archmages]])+SUM(OFFSET(TblMili[[#This Row],[Train Unit 1]],-8,0):TblMili[[#This Row],[Train Unit 2]]) + SUM(OFFSET(TblMili[[#This Row],[Train Unit 3]],-11,0):TblMili[[#This Row],[Train AM]]) + TblMili[[#This Row],[Draftees]]</f>
        <v>649</v>
      </c>
      <c r="C89" s="157">
        <f ca="1">TblPop[[#This Row],[Military%]]</f>
        <v>0.60315985130111527</v>
      </c>
      <c r="D89" s="142"/>
      <c r="E89" s="45">
        <f ca="1">OFFSET(TblMili[[#This Row],[Unit 1]],-1,0) + OFFSET(TblMili[[#This Row],[Train Unit 1]],-9,0) - TblMili[[#This Row],[Release Unit 1]] + OFFSET(TblMili[[#This Row],[DnD_Zombies]],-12,0)</f>
        <v>0</v>
      </c>
      <c r="F89" s="45">
        <f ca="1">OFFSET(TblMili[[#This Row],[Unit 2]],-1,0) + OFFSET(TblMili[[#This Row],[Train Unit 2]],-9,0)-TblMili[[#This Row],[Release Unit 2]]</f>
        <v>0</v>
      </c>
      <c r="G89" s="45">
        <f ca="1">OFFSET(TblMili[[#This Row],[Unit 3]],-1,0) + OFFSET(TblMili[[#This Row],[Train Unit 3]],-12,0)-TblMili[[#This Row],[Release Unit 3]]</f>
        <v>0</v>
      </c>
      <c r="H89" s="45">
        <f ca="1">OFFSET(TblMili[[#This Row],[Unit 4]],-1,0) + OFFSET(TblMili[[#This Row],[Train Unit 4]],-12,0)-TblMili[[#This Row],[Release Unit 4]]</f>
        <v>0</v>
      </c>
      <c r="I89" s="45">
        <f ca="1">OFFSET(TblMili[[#This Row],[Spies]],-1,0) + OFFSET(TblMili[[#This Row],[Train Spies]],-12,0) - TblMili[[#This Row],[Release Spies]]-TblMili[[#This Row],[Train AS]]</f>
        <v>0</v>
      </c>
      <c r="J89" s="45">
        <f ca="1">OFFSET(TblMili[[#This Row],[Archspies]],-1,0) + OFFSET(TblMili[[#This Row],[Train AS]],-12,0) - TblMili[[#This Row],[Release AS]]</f>
        <v>0</v>
      </c>
      <c r="K89" s="45">
        <f ca="1">OFFSET(TblMili[[#This Row],[Wizards]],-1,0) + OFFSET(TblMili[[#This Row],[Train Wiz]],-12,0) - TblMili[[#This Row],[Release Wizards]]-TblMili[[#This Row],[Train AM]]</f>
        <v>0</v>
      </c>
      <c r="L89" s="45">
        <f ca="1">OFFSET(TblMili[[#This Row],[Archmages]],-1,0) + OFFSET(TblMili[[#This Row],[Train AM]],-12,0) - TblMili[[#This Row],[Release AM]]</f>
        <v>0</v>
      </c>
      <c r="M89" s="142"/>
      <c r="N89" s="94">
        <f ca="1">TblProd[[#This Row],[Networth]]</f>
        <v>2450</v>
      </c>
      <c r="O89" s="142"/>
      <c r="P8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8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89" s="247">
        <f ca="1">TblMili[[#This Row],[Raw]]*(1+TblMili[[#This Row],[Mods_Off]])</f>
        <v>0</v>
      </c>
      <c r="S8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89" s="247">
        <f ca="1">TblMili[[#This Row],[Non Draft]]+TblMili[[#This Row],[Draftees]]</f>
        <v>649</v>
      </c>
      <c r="U89" s="248">
        <f ca="1">race_defense + TblImps[[#This Row],[Walls]] + ROUND( MIN(gt_bonus*TblConstr[[#This Row],[Tot GT]]/TblConstr[[#This Row],[Land]],gt_bonus_cap), 4) + IF(TblMagic[[#This Row],[Active Howling]]&gt;0,howling_dp_bonus,IF(TblMagic[[#This Row],[Active Ares Call]]&gt;0,ares_call_bonus))</f>
        <v>0</v>
      </c>
      <c r="V89" s="249">
        <f ca="1">TblMili[[#This Row],[Non Draft]] * (1 + TblMili[[#This Row],[Mods_Def]])</f>
        <v>0</v>
      </c>
      <c r="W89" s="247">
        <f ca="1">TblMili[[#This Row],[Draft]] * (1 + TblMili[[#This Row],[Mods_Def]])</f>
        <v>649</v>
      </c>
      <c r="X89" s="247">
        <f ca="1">TblConstr[[#This Row],[Land]]</f>
        <v>110</v>
      </c>
      <c r="Y89" s="250"/>
      <c r="Z89" s="255">
        <f ca="1">IF(TblMili[[#This Row],[Set]]&lt;&gt;"",TblMili[[#This Row],[Set]],OFFSET(TblMili[[#This Row],[Draftrate]],-1,0))</f>
        <v>0.9</v>
      </c>
      <c r="AA89" s="94">
        <f ca="1">OFFSET(TblMili[[#This Row],[Draftees]],-1,0)+OFFSET(TblPop[[#This Row],[Draft Growth]],-1,0) - SUM(TblMili[[#This Row],[Train Unit 1]:[Train Spies]],TblMili[[#This Row],[Train Wiz]],TblMili[[#This Row],[DnD_Zombies]]) - TblMili[[#This Row],[Release Draft]] + SUM(TblMili[[#This Row],[Release Unit 1]:[Release AM]]) - TblExplore[[#This Row],[Draftees (2)]]</f>
        <v>649</v>
      </c>
      <c r="AB89" s="154"/>
      <c r="AC89" s="180">
        <f ca="1">(TblConstr[[#This Row],[Tot Smi]]+TblConstr[[#This Row],[Dest Smi]])/(TblConstr[[#This Row],[Land]]-TblExplore[[#This Row],[Land Bonus]]*20)</f>
        <v>0</v>
      </c>
      <c r="AD89" s="137"/>
      <c r="AE89" s="246">
        <f>TblMili[[#This Row],[Hour]]</f>
        <v>86</v>
      </c>
      <c r="AF89" s="138">
        <f ca="1">TblExplore[[#This Row],[Time]]</f>
        <v>46050.541666666461</v>
      </c>
      <c r="AG89" s="179"/>
      <c r="AH89" s="179"/>
      <c r="AI89" s="179"/>
      <c r="AJ89" s="179"/>
      <c r="AK89" s="179"/>
      <c r="AL89" s="179"/>
      <c r="AM89" s="179"/>
      <c r="AN89" s="179"/>
      <c r="AO89" s="420">
        <f ca="1">ROUND(IF(AND(TblMagic[[#This Row],[Active DnD]]&lt;12,TblMagic[[#This Row],[Active DnD]]&gt;5),OFFSET(TblPop[[#This Row],[Draft Growth]],-1,0)*0.375,0),0)</f>
        <v>0</v>
      </c>
      <c r="AP89" s="142"/>
      <c r="AQ89" s="94">
        <f ca="1">TblProd[[#This Row],[Platinum]]</f>
        <v>184675</v>
      </c>
      <c r="AR89" s="94">
        <f ca="1">INDEX(TblProd[[#Headers],[Lumber]]:TblProd[[#This Row],[Ore]],COUNTA(TblProd[[#Headers],[Lumber]]:TblProd[[#This Row],[Lumber]]),MATCH(Military!$AR$2,TblProd[[#Headers],[Lumber]:[Ore]],0))</f>
        <v>0</v>
      </c>
      <c r="AS8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89" s="94">
        <f ca="1">TblMili[[#This Row],[Train Unit 1]]*TblMili[[#This Row],[OP Ore]]+TblMili[[#This Row],[Train Unit 2]]*TblMili[[#This Row],[DP Ore]]+TblMili[[#This Row],[Train Unit 3]]*TblMili[[#This Row],[E1 Ore]]+TblMili[[#This Row],[Train Unit 4]]*TblMili[[#This Row],[E2 Ore]]</f>
        <v>0</v>
      </c>
      <c r="AU89" s="142">
        <f>TblMili[[#This Row],[Hour]]</f>
        <v>86</v>
      </c>
      <c r="AV89" s="152">
        <f ca="1">TblMili[[#This Row],[Time]]</f>
        <v>46050.541666666461</v>
      </c>
      <c r="AW89" s="94">
        <f ca="1">TblMili[[#This Row],[Draftees]]</f>
        <v>649</v>
      </c>
      <c r="AX89" s="179"/>
      <c r="AY89" s="179"/>
      <c r="AZ89" s="179"/>
      <c r="BA89" s="179"/>
      <c r="BB89" s="179"/>
      <c r="BC89" s="179"/>
      <c r="BD89" s="179"/>
      <c r="BE89" s="179"/>
      <c r="BF89" s="179"/>
      <c r="BG89" s="142"/>
      <c r="BH89" s="157">
        <f ca="1">TblConstr[[#This Row],[Tot WG]]/TblConstr[[#This Row],[Land]]</f>
        <v>0</v>
      </c>
      <c r="BI89" s="157">
        <f ca="1">TblConstr[[#This Row],[Tot Hav]]/TblConstr[[#This Row],[Land]]</f>
        <v>0</v>
      </c>
      <c r="BJ89" s="94">
        <f ca="1">ROUNDUP((1-MIN(TblMili[[#This Row],[Smithies]]*smithy_bonus,smithy_bonus_cap) + tech_3_5*TblTech[[#This Row],[3-5]] + tech_5_3*TblTech[[#This Row],[5-3]] + tech_5_5*TblTech[[#This Row],[5-5]])*spec_op_plat,0)</f>
        <v>275</v>
      </c>
      <c r="BK89" s="94">
        <f ca="1">ROUNDUP(IF(race="Gnome",1,(1-MIN(TblMili[[#This Row],[Smithies]]*smithy_bonus,smithy_bonus_cap) + tech_3_5*TblTech[[#This Row],[3-5]] + tech_5_3*TblTech[[#This Row],[5-3]] + tech_5_5*TblTech[[#This Row],[5-5]]))*spec_op_ore,0)</f>
        <v>25</v>
      </c>
      <c r="BL89" s="94">
        <f ca="1">ROUNDUP((1-MIN(TblMili[[#This Row],[Smithies]]*smithy_bonus,smithy_bonus_cap) + tech_3_5*TblTech[[#This Row],[3-5]] + tech_5_3*TblTech[[#This Row],[5-3]] + tech_5_5*TblTech[[#This Row],[5-5]])*spec_dp_plat,0)</f>
        <v>275</v>
      </c>
      <c r="BM89" s="94">
        <f ca="1">ROUNDUP(IF(race="Gnome",1,(1-MIN(TblMili[[#This Row],[Smithies]]*smithy_bonus,smithy_bonus_cap) + tech_3_5*TblTech[[#This Row],[3-5]] + tech_5_3*TblTech[[#This Row],[5-3]] + tech_5_5*TblTech[[#This Row],[5-5]]))*spec_dp_ore,0)</f>
        <v>15</v>
      </c>
      <c r="BN89" s="94">
        <f ca="1">ROUNDUP((1-MIN(TblMili[[#This Row],[Smithies]]*smithy_bonus,smithy_bonus_cap) + tech_3_5*TblTech[[#This Row],[3-5]] + tech_5_3*TblTech[[#This Row],[5-3]] + tech_5_5*TblTech[[#This Row],[5-5]])*elite1_plat,0)</f>
        <v>1040</v>
      </c>
      <c r="BO89" s="94">
        <f ca="1">ROUNDUP(IF(race="Gnome",1,(1-MIN(TblMili[[#This Row],[Smithies]]*smithy_bonus,smithy_bonus_cap) + tech_3_5*TblTech[[#This Row],[3-5]] + tech_5_3*TblTech[[#This Row],[5-3]] + tech_5_5*TblTech[[#This Row],[5-5]]))*elite1_ore,0)</f>
        <v>75</v>
      </c>
      <c r="BP89" s="94">
        <f ca="1">ROUNDUP((1-MIN(TblMili[[#This Row],[Smithies]]*smithy_bonus,smithy_bonus_cap) + tech_3_5*TblTech[[#This Row],[3-5]] + tech_5_3*TblTech[[#This Row],[5-3]] + tech_5_5*TblTech[[#This Row],[5-5]])*elite2_plat,0)</f>
        <v>1280</v>
      </c>
      <c r="BQ89" s="94">
        <f ca="1">ROUNDUP(IF(race="Gnome",1,(1-MIN(TblMili[[#This Row],[Smithies]]*smithy_bonus,smithy_bonus_cap) + tech_3_5*TblTech[[#This Row],[3-5]] + tech_5_3*TblTech[[#This Row],[5-3]] + tech_5_5*TblTech[[#This Row],[5-5]]))*elite2_ore,0)</f>
        <v>100</v>
      </c>
      <c r="BR89" s="94">
        <f ca="1">ROUNDUP((1-MIN(ROUND(fh_spy_cost_red*TblMili[[#This Row],[FH''s]],4),fh_spy_cost_cap)+ tech_1_9*TblTech[[#This Row],[1-9]] + tech_9_1*TblTech[[#This Row],[9-1]])*spy_plat,0)</f>
        <v>500</v>
      </c>
      <c r="BS89" s="94">
        <f ca="1">ROUNDUP((1-MIN(ROUND(fh_spy_cost_red*TblMili[[#This Row],[FH''s]],4),fh_spy_cost_cap)+ tech_1_9*TblTech[[#This Row],[1-9]] + tech_9_1*TblTech[[#This Row],[9-1]])*archspy_plat,0)</f>
        <v>1000</v>
      </c>
      <c r="BT89" s="94">
        <f ca="1">ROUNDUP((1-MIN(ROUND(wg_wiz_cost_bonus*TblMili[[#This Row],[WG''s]],4),wg_wiz_cost_cap) + tech_1_9_2*TblTech[[#This Row],[1-9]] + tech_9_1_2*TblTech[[#This Row],[9-1]])*wizard_plat,0)</f>
        <v>500</v>
      </c>
      <c r="BU89" s="94">
        <f ca="1">ROUNDUP((1-MIN(ROUND(wg_wiz_cost_bonus*TblMili[[#This Row],[WG''s]],4),wg_wiz_cost_cap) + tech_1_9_2*TblTech[[#This Row],[1-9]] + tech_9_1_2*TblTech[[#This Row],[9-1]])*archmage_plat,0)</f>
        <v>1000</v>
      </c>
      <c r="BV89" s="142"/>
      <c r="BW89" s="157">
        <f ca="1">TblConstr[[#This Row],[Homeland]]/TblConstr[[#This Row],[Land]]</f>
        <v>0.81818181818181823</v>
      </c>
      <c r="BX89" s="157">
        <f ca="1">TblMili[[#This Row],[WG''s]]</f>
        <v>0</v>
      </c>
      <c r="BY89" s="251">
        <f ca="1">IF(mystic_cap="none",TblMili[[#This Row],[Homeland%]]/mystic_bonus,MIN(mystic_cap,TblMili[[#This Row],[Homeland%]]/mystic_bonus))</f>
        <v>2</v>
      </c>
      <c r="BZ89" s="251">
        <f ca="1">IF(druid_op_cap="none",TblMili[[#This Row],[Homeland%]]/druid_op_bonus,MIN(druid_op_cap,TblMili[[#This Row],[Homeland%]]/druid_op_bonus))</f>
        <v>2</v>
      </c>
      <c r="CA89" s="251">
        <f ca="1">IF(druid_dp_cap="none",TblMili[[#This Row],[Homeland%]]/druid_dp_bonus,MIN(druid_dp_cap,TblMili[[#This Row],[Homeland%]]/druid_dp_bonus))</f>
        <v>2</v>
      </c>
      <c r="CB89" s="251">
        <f ca="1">MIN(dryad_cap,TblMili[[#This Row],[Homeland%]]/dryad_bonus)</f>
        <v>4</v>
      </c>
      <c r="CC89" s="251">
        <f ca="1">MIN(rocka_cap,TblMili[[#This Row],[Homeland%]]/rocka_bonus)</f>
        <v>2</v>
      </c>
      <c r="CD89" s="251">
        <f ca="1">MIN(adept_op_cap,TblMili[[#This Row],[WG]]/adept_op_bonus)</f>
        <v>0</v>
      </c>
      <c r="CE89" s="251">
        <f ca="1">MIN(adept_dp_cap,TblMili[[#This Row],[WG]]/adept_dp_bonus)</f>
        <v>0</v>
      </c>
      <c r="CF89" s="94">
        <f ca="1">MIN(TblMili[[#This Row],[Unit 3]],TblMili[[#This Row],[Unit 2]])*2</f>
        <v>0</v>
      </c>
      <c r="CG89" s="94">
        <f ca="1">MIN(TblMili[[#This Row],[Unit 1]],TblMili[[#This Row],[Unit 4]])*2</f>
        <v>0</v>
      </c>
      <c r="CH89" s="251">
        <f ca="1">MIN(frost_mage_cap,TblMili[[#This Row],[Homeland%]]/frost_mage_bonus)</f>
        <v>3</v>
      </c>
      <c r="CI89" s="45">
        <f ca="1">MIN(ice_elem_cap,TblMili[[#This Row],[Raw (2)]]*ice_elem_bonus)</f>
        <v>0</v>
      </c>
      <c r="CJ89" s="251">
        <f t="shared" si="3"/>
        <v>0.83333333333333337</v>
      </c>
      <c r="CK89" s="251">
        <f ca="1">MIN(nox_nightshade_cap,TblConstr[[#This Row],[Homeland]]/TblConstr[[#This Row],[Land]]/nox_nightshade_swamp_bonus)</f>
        <v>4</v>
      </c>
      <c r="CL89" s="251">
        <f ca="1">MIN(TblConstr[[#This Row],[Total Swamp]]/TblConstr[[#This Row],[Land]]/abyss_enforce_bonus,abyss_enforcer_cap)</f>
        <v>0</v>
      </c>
      <c r="CM89" s="251">
        <f ca="1">IF(TblMagic[[#This Row],[Active Infernal Command]]&gt;0,TblMili[[#This Row],[Unit 1]]*infernal_cmd_op,0)</f>
        <v>0</v>
      </c>
      <c r="CN89" s="252"/>
      <c r="CO89" s="252"/>
      <c r="CP89" s="252"/>
      <c r="CQ89" s="251">
        <f ca="1">MIN(6,TblMili[[#This Row],[Mystic]]+Races!$F$19)*1.8 +  IF(TblMili[[#This Row],[Mystic]]+Races!$F$19&gt;6,(TblMili[[#This Row],[Mystic]]+Races!$F$19-6)*0.2,0) - Races!$I$19</f>
        <v>1</v>
      </c>
      <c r="CR8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89" s="94">
        <f ca="1">TblMili[[#This Row],[Mystic bonus]]*TblMili[[#This Row],[Unit 3]]+TblMili[[#This Row],[Druid bonus]]*TblMili[[#This Row],[Unit 4]]</f>
        <v>0</v>
      </c>
      <c r="CT89" s="155">
        <f ca="1">MIN(6,TblMili[[#This Row],[Dryad]]+Races!$F$35)*1.8 +  IF(TblMili[[#This Row],[Dryad]]+Races!$F$35&gt;6,(TblMili[[#This Row],[Dryad]]+Races!$F$35-6)*0.2,0) - Races!$I$19</f>
        <v>1</v>
      </c>
      <c r="CU89" s="94">
        <f ca="1">sylvan*(TblMili[[#This Row],[Mystic bonus]]*TblMili[[#This Row],[Unit 3]])</f>
        <v>0</v>
      </c>
      <c r="CV89" s="155">
        <f ca="1">1.8 * MIN(MAX(Races!$E$27,TblMili[[#This Row],[Rockapult]]+Races!$F$27),6)  +  0.45 * MIN(MIN(Races!$E$27,TblMili[[#This Row],[Rockapult]]+Races!$F$27),6)  +  0.2 * ( MAX(Races!$E$27-6,0) + MAX(TblMili[[#This Row],[Rockapult]]+Races!$F$27-6,0) )  -  Races!$I$20</f>
        <v>3.7000000000000011</v>
      </c>
      <c r="CW89" s="94">
        <f ca="1">gnome*(TblMili[[#This Row],[Rockapult bonus]]*TblMili[[#This Row],[Unit 3]])</f>
        <v>0</v>
      </c>
      <c r="CX8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89" s="94">
        <f ca="1">dark_elf*(TblMili[[#This Row],[Adept bonus]]*TblMili[[#This Row],[Unit 3]])</f>
        <v>0</v>
      </c>
      <c r="CZ89" s="155">
        <f ca="1">1.8 * MIN(MAX(TblMili[[#This Row],[Frost Mage]]+Races!$F$71,Races!$E$71),6)  +  0.45 * MIN(MIN(TblMili[[#This Row],[Frost Mage]]+Races!$F$71,Races!$E$71),6)  +  0.2 * ( MAX(TblMili[[#This Row],[Frost Mage]]+Races!$F$71-6,0) + MAX(Races!$E$71-6,0) )  -  Races!$I$71</f>
        <v>6.15</v>
      </c>
      <c r="DA89" s="155">
        <f ca="1">1.8 * MIN(MAX(TblMili[[#This Row],[Ice Elemental]]+Races!$E$71,Races!$F$71),6)  +  0.45 * MIN(MIN(TblMili[[#This Row],[Ice Elemental]]+Races!$E$71,Races!$F$71),6)  +  0.2 * ( MAX(TblMili[[#This Row],[Ice Elemental]]+Races!$E$71-6,0) + MAX(Races!$F$71-6,0) )  -  Races!$I$71</f>
        <v>0.75</v>
      </c>
      <c r="DB89" s="94">
        <f ca="1">TblMili[[#This Row],[Frost Mage bonus]]*TblMili[[#This Row],[Unit 3]]+TblMili[[#This Row],[Ice Elemental bonus]]*TblMili[[#This Row],[Unit 4]]</f>
        <v>0</v>
      </c>
      <c r="DC89" s="253"/>
      <c r="DD89" s="143">
        <f ca="1">MIN(SUM(TblConstr[[#This Row],[Plain]:[Water]])/TblMili[[#This Row],[Land]]/favorable_terrain_bonus/100,favorable_terrain_max)</f>
        <v>0.1</v>
      </c>
      <c r="DE89" s="253"/>
      <c r="DF8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89" s="142"/>
      <c r="DH89" s="254">
        <f ca="1">(TblMili[[#This Row],[Wizards]]+2*TblMili[[#This Row],[Archmages]])/TblConstr[[#This Row],[Land]]</f>
        <v>0</v>
      </c>
      <c r="DI89" s="254">
        <f ca="1">TblMili[[#This Row],[Raw (2)]]*(1+race_wizard_strength+IF(TblMili[[#This Row],[Hour]]&gt;72,tech_magical_weaponry_wiz*TblTech[[#This Row],[3-5]],0))</f>
        <v>0</v>
      </c>
    </row>
    <row r="90" spans="1:113" x14ac:dyDescent="0.2">
      <c r="A90" s="137">
        <f>TblRezone[[#This Row],[Hour]]</f>
        <v>87</v>
      </c>
      <c r="B90" s="246">
        <f ca="1">SUM(TblMili[[#This Row],[Unit 1]:[Archmages]])+SUM(OFFSET(TblMili[[#This Row],[Train Unit 1]],-8,0):TblMili[[#This Row],[Train Unit 2]]) + SUM(OFFSET(TblMili[[#This Row],[Train Unit 3]],-11,0):TblMili[[#This Row],[Train AM]]) + TblMili[[#This Row],[Draftees]]</f>
        <v>653</v>
      </c>
      <c r="C90" s="157">
        <f ca="1">TblPop[[#This Row],[Military%]]</f>
        <v>0.60687732342007439</v>
      </c>
      <c r="D90" s="142"/>
      <c r="E90" s="45">
        <f ca="1">OFFSET(TblMili[[#This Row],[Unit 1]],-1,0) + OFFSET(TblMili[[#This Row],[Train Unit 1]],-9,0) - TblMili[[#This Row],[Release Unit 1]] + OFFSET(TblMili[[#This Row],[DnD_Zombies]],-12,0)</f>
        <v>0</v>
      </c>
      <c r="F90" s="45">
        <f ca="1">OFFSET(TblMili[[#This Row],[Unit 2]],-1,0) + OFFSET(TblMili[[#This Row],[Train Unit 2]],-9,0)-TblMili[[#This Row],[Release Unit 2]]</f>
        <v>0</v>
      </c>
      <c r="G90" s="45">
        <f ca="1">OFFSET(TblMili[[#This Row],[Unit 3]],-1,0) + OFFSET(TblMili[[#This Row],[Train Unit 3]],-12,0)-TblMili[[#This Row],[Release Unit 3]]</f>
        <v>0</v>
      </c>
      <c r="H90" s="45">
        <f ca="1">OFFSET(TblMili[[#This Row],[Unit 4]],-1,0) + OFFSET(TblMili[[#This Row],[Train Unit 4]],-12,0)-TblMili[[#This Row],[Release Unit 4]]</f>
        <v>0</v>
      </c>
      <c r="I90" s="45">
        <f ca="1">OFFSET(TblMili[[#This Row],[Spies]],-1,0) + OFFSET(TblMili[[#This Row],[Train Spies]],-12,0) - TblMili[[#This Row],[Release Spies]]-TblMili[[#This Row],[Train AS]]</f>
        <v>0</v>
      </c>
      <c r="J90" s="45">
        <f ca="1">OFFSET(TblMili[[#This Row],[Archspies]],-1,0) + OFFSET(TblMili[[#This Row],[Train AS]],-12,0) - TblMili[[#This Row],[Release AS]]</f>
        <v>0</v>
      </c>
      <c r="K90" s="45">
        <f ca="1">OFFSET(TblMili[[#This Row],[Wizards]],-1,0) + OFFSET(TblMili[[#This Row],[Train Wiz]],-12,0) - TblMili[[#This Row],[Release Wizards]]-TblMili[[#This Row],[Train AM]]</f>
        <v>0</v>
      </c>
      <c r="L90" s="45">
        <f ca="1">OFFSET(TblMili[[#This Row],[Archmages]],-1,0) + OFFSET(TblMili[[#This Row],[Train AM]],-12,0) - TblMili[[#This Row],[Release AM]]</f>
        <v>0</v>
      </c>
      <c r="M90" s="142"/>
      <c r="N90" s="94">
        <f ca="1">TblProd[[#This Row],[Networth]]</f>
        <v>2450</v>
      </c>
      <c r="O90" s="142"/>
      <c r="P9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0" s="247">
        <f ca="1">TblMili[[#This Row],[Raw]]*(1+TblMili[[#This Row],[Mods_Off]])</f>
        <v>0</v>
      </c>
      <c r="S9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0" s="247">
        <f ca="1">TblMili[[#This Row],[Non Draft]]+TblMili[[#This Row],[Draftees]]</f>
        <v>653</v>
      </c>
      <c r="U90" s="248">
        <f ca="1">race_defense + TblImps[[#This Row],[Walls]] + ROUND( MIN(gt_bonus*TblConstr[[#This Row],[Tot GT]]/TblConstr[[#This Row],[Land]],gt_bonus_cap), 4) + IF(TblMagic[[#This Row],[Active Howling]]&gt;0,howling_dp_bonus,IF(TblMagic[[#This Row],[Active Ares Call]]&gt;0,ares_call_bonus))</f>
        <v>0</v>
      </c>
      <c r="V90" s="249">
        <f ca="1">TblMili[[#This Row],[Non Draft]] * (1 + TblMili[[#This Row],[Mods_Def]])</f>
        <v>0</v>
      </c>
      <c r="W90" s="247">
        <f ca="1">TblMili[[#This Row],[Draft]] * (1 + TblMili[[#This Row],[Mods_Def]])</f>
        <v>653</v>
      </c>
      <c r="X90" s="247">
        <f ca="1">TblConstr[[#This Row],[Land]]</f>
        <v>110</v>
      </c>
      <c r="Y90" s="250"/>
      <c r="Z90" s="255">
        <f ca="1">IF(TblMili[[#This Row],[Set]]&lt;&gt;"",TblMili[[#This Row],[Set]],OFFSET(TblMili[[#This Row],[Draftrate]],-1,0))</f>
        <v>0.9</v>
      </c>
      <c r="AA90" s="94">
        <f ca="1">OFFSET(TblMili[[#This Row],[Draftees]],-1,0)+OFFSET(TblPop[[#This Row],[Draft Growth]],-1,0) - SUM(TblMili[[#This Row],[Train Unit 1]:[Train Spies]],TblMili[[#This Row],[Train Wiz]],TblMili[[#This Row],[DnD_Zombies]]) - TblMili[[#This Row],[Release Draft]] + SUM(TblMili[[#This Row],[Release Unit 1]:[Release AM]]) - TblExplore[[#This Row],[Draftees (2)]]</f>
        <v>653</v>
      </c>
      <c r="AB90" s="154"/>
      <c r="AC90" s="180">
        <f ca="1">(TblConstr[[#This Row],[Tot Smi]]+TblConstr[[#This Row],[Dest Smi]])/(TblConstr[[#This Row],[Land]]-TblExplore[[#This Row],[Land Bonus]]*20)</f>
        <v>0</v>
      </c>
      <c r="AD90" s="137"/>
      <c r="AE90" s="246">
        <f>TblMili[[#This Row],[Hour]]</f>
        <v>87</v>
      </c>
      <c r="AF90" s="138">
        <f ca="1">TblExplore[[#This Row],[Time]]</f>
        <v>46050.583333333125</v>
      </c>
      <c r="AG90" s="179"/>
      <c r="AH90" s="179"/>
      <c r="AI90" s="179"/>
      <c r="AJ90" s="179"/>
      <c r="AK90" s="179"/>
      <c r="AL90" s="179"/>
      <c r="AM90" s="179"/>
      <c r="AN90" s="179"/>
      <c r="AO90" s="420">
        <f ca="1">ROUND(IF(AND(TblMagic[[#This Row],[Active DnD]]&lt;12,TblMagic[[#This Row],[Active DnD]]&gt;5),OFFSET(TblPop[[#This Row],[Draft Growth]],-1,0)*0.375,0),0)</f>
        <v>0</v>
      </c>
      <c r="AP90" s="142"/>
      <c r="AQ90" s="94">
        <f ca="1">TblProd[[#This Row],[Platinum]]</f>
        <v>185827</v>
      </c>
      <c r="AR90" s="94">
        <f ca="1">INDEX(TblProd[[#Headers],[Lumber]]:TblProd[[#This Row],[Ore]],COUNTA(TblProd[[#Headers],[Lumber]]:TblProd[[#This Row],[Lumber]]),MATCH(Military!$AR$2,TblProd[[#Headers],[Lumber]:[Ore]],0))</f>
        <v>0</v>
      </c>
      <c r="AS9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0" s="94">
        <f ca="1">TblMili[[#This Row],[Train Unit 1]]*TblMili[[#This Row],[OP Ore]]+TblMili[[#This Row],[Train Unit 2]]*TblMili[[#This Row],[DP Ore]]+TblMili[[#This Row],[Train Unit 3]]*TblMili[[#This Row],[E1 Ore]]+TblMili[[#This Row],[Train Unit 4]]*TblMili[[#This Row],[E2 Ore]]</f>
        <v>0</v>
      </c>
      <c r="AU90" s="142">
        <f>TblMili[[#This Row],[Hour]]</f>
        <v>87</v>
      </c>
      <c r="AV90" s="152">
        <f ca="1">TblMili[[#This Row],[Time]]</f>
        <v>46050.583333333125</v>
      </c>
      <c r="AW90" s="94">
        <f ca="1">TblMili[[#This Row],[Draftees]]</f>
        <v>653</v>
      </c>
      <c r="AX90" s="179"/>
      <c r="AY90" s="179"/>
      <c r="AZ90" s="179"/>
      <c r="BA90" s="179"/>
      <c r="BB90" s="179"/>
      <c r="BC90" s="179"/>
      <c r="BD90" s="179"/>
      <c r="BE90" s="179"/>
      <c r="BF90" s="179"/>
      <c r="BG90" s="142"/>
      <c r="BH90" s="157">
        <f ca="1">TblConstr[[#This Row],[Tot WG]]/TblConstr[[#This Row],[Land]]</f>
        <v>0</v>
      </c>
      <c r="BI90" s="157">
        <f ca="1">TblConstr[[#This Row],[Tot Hav]]/TblConstr[[#This Row],[Land]]</f>
        <v>0</v>
      </c>
      <c r="BJ90" s="94">
        <f ca="1">ROUNDUP((1-MIN(TblMili[[#This Row],[Smithies]]*smithy_bonus,smithy_bonus_cap) + tech_3_5*TblTech[[#This Row],[3-5]] + tech_5_3*TblTech[[#This Row],[5-3]] + tech_5_5*TblTech[[#This Row],[5-5]])*spec_op_plat,0)</f>
        <v>275</v>
      </c>
      <c r="BK90" s="94">
        <f ca="1">ROUNDUP(IF(race="Gnome",1,(1-MIN(TblMili[[#This Row],[Smithies]]*smithy_bonus,smithy_bonus_cap) + tech_3_5*TblTech[[#This Row],[3-5]] + tech_5_3*TblTech[[#This Row],[5-3]] + tech_5_5*TblTech[[#This Row],[5-5]]))*spec_op_ore,0)</f>
        <v>25</v>
      </c>
      <c r="BL90" s="94">
        <f ca="1">ROUNDUP((1-MIN(TblMili[[#This Row],[Smithies]]*smithy_bonus,smithy_bonus_cap) + tech_3_5*TblTech[[#This Row],[3-5]] + tech_5_3*TblTech[[#This Row],[5-3]] + tech_5_5*TblTech[[#This Row],[5-5]])*spec_dp_plat,0)</f>
        <v>275</v>
      </c>
      <c r="BM90" s="94">
        <f ca="1">ROUNDUP(IF(race="Gnome",1,(1-MIN(TblMili[[#This Row],[Smithies]]*smithy_bonus,smithy_bonus_cap) + tech_3_5*TblTech[[#This Row],[3-5]] + tech_5_3*TblTech[[#This Row],[5-3]] + tech_5_5*TblTech[[#This Row],[5-5]]))*spec_dp_ore,0)</f>
        <v>15</v>
      </c>
      <c r="BN90" s="94">
        <f ca="1">ROUNDUP((1-MIN(TblMili[[#This Row],[Smithies]]*smithy_bonus,smithy_bonus_cap) + tech_3_5*TblTech[[#This Row],[3-5]] + tech_5_3*TblTech[[#This Row],[5-3]] + tech_5_5*TblTech[[#This Row],[5-5]])*elite1_plat,0)</f>
        <v>1040</v>
      </c>
      <c r="BO90" s="94">
        <f ca="1">ROUNDUP(IF(race="Gnome",1,(1-MIN(TblMili[[#This Row],[Smithies]]*smithy_bonus,smithy_bonus_cap) + tech_3_5*TblTech[[#This Row],[3-5]] + tech_5_3*TblTech[[#This Row],[5-3]] + tech_5_5*TblTech[[#This Row],[5-5]]))*elite1_ore,0)</f>
        <v>75</v>
      </c>
      <c r="BP90" s="94">
        <f ca="1">ROUNDUP((1-MIN(TblMili[[#This Row],[Smithies]]*smithy_bonus,smithy_bonus_cap) + tech_3_5*TblTech[[#This Row],[3-5]] + tech_5_3*TblTech[[#This Row],[5-3]] + tech_5_5*TblTech[[#This Row],[5-5]])*elite2_plat,0)</f>
        <v>1280</v>
      </c>
      <c r="BQ90" s="94">
        <f ca="1">ROUNDUP(IF(race="Gnome",1,(1-MIN(TblMili[[#This Row],[Smithies]]*smithy_bonus,smithy_bonus_cap) + tech_3_5*TblTech[[#This Row],[3-5]] + tech_5_3*TblTech[[#This Row],[5-3]] + tech_5_5*TblTech[[#This Row],[5-5]]))*elite2_ore,0)</f>
        <v>100</v>
      </c>
      <c r="BR90" s="94">
        <f ca="1">ROUNDUP((1-MIN(ROUND(fh_spy_cost_red*TblMili[[#This Row],[FH''s]],4),fh_spy_cost_cap)+ tech_1_9*TblTech[[#This Row],[1-9]] + tech_9_1*TblTech[[#This Row],[9-1]])*spy_plat,0)</f>
        <v>500</v>
      </c>
      <c r="BS90" s="94">
        <f ca="1">ROUNDUP((1-MIN(ROUND(fh_spy_cost_red*TblMili[[#This Row],[FH''s]],4),fh_spy_cost_cap)+ tech_1_9*TblTech[[#This Row],[1-9]] + tech_9_1*TblTech[[#This Row],[9-1]])*archspy_plat,0)</f>
        <v>1000</v>
      </c>
      <c r="BT90" s="94">
        <f ca="1">ROUNDUP((1-MIN(ROUND(wg_wiz_cost_bonus*TblMili[[#This Row],[WG''s]],4),wg_wiz_cost_cap) + tech_1_9_2*TblTech[[#This Row],[1-9]] + tech_9_1_2*TblTech[[#This Row],[9-1]])*wizard_plat,0)</f>
        <v>500</v>
      </c>
      <c r="BU90" s="94">
        <f ca="1">ROUNDUP((1-MIN(ROUND(wg_wiz_cost_bonus*TblMili[[#This Row],[WG''s]],4),wg_wiz_cost_cap) + tech_1_9_2*TblTech[[#This Row],[1-9]] + tech_9_1_2*TblTech[[#This Row],[9-1]])*archmage_plat,0)</f>
        <v>1000</v>
      </c>
      <c r="BV90" s="142"/>
      <c r="BW90" s="157">
        <f ca="1">TblConstr[[#This Row],[Homeland]]/TblConstr[[#This Row],[Land]]</f>
        <v>0.81818181818181823</v>
      </c>
      <c r="BX90" s="157">
        <f ca="1">TblMili[[#This Row],[WG''s]]</f>
        <v>0</v>
      </c>
      <c r="BY90" s="251">
        <f ca="1">IF(mystic_cap="none",TblMili[[#This Row],[Homeland%]]/mystic_bonus,MIN(mystic_cap,TblMili[[#This Row],[Homeland%]]/mystic_bonus))</f>
        <v>2</v>
      </c>
      <c r="BZ90" s="251">
        <f ca="1">IF(druid_op_cap="none",TblMili[[#This Row],[Homeland%]]/druid_op_bonus,MIN(druid_op_cap,TblMili[[#This Row],[Homeland%]]/druid_op_bonus))</f>
        <v>2</v>
      </c>
      <c r="CA90" s="251">
        <f ca="1">IF(druid_dp_cap="none",TblMili[[#This Row],[Homeland%]]/druid_dp_bonus,MIN(druid_dp_cap,TblMili[[#This Row],[Homeland%]]/druid_dp_bonus))</f>
        <v>2</v>
      </c>
      <c r="CB90" s="251">
        <f ca="1">MIN(dryad_cap,TblMili[[#This Row],[Homeland%]]/dryad_bonus)</f>
        <v>4</v>
      </c>
      <c r="CC90" s="251">
        <f ca="1">MIN(rocka_cap,TblMili[[#This Row],[Homeland%]]/rocka_bonus)</f>
        <v>2</v>
      </c>
      <c r="CD90" s="251">
        <f ca="1">MIN(adept_op_cap,TblMili[[#This Row],[WG]]/adept_op_bonus)</f>
        <v>0</v>
      </c>
      <c r="CE90" s="251">
        <f ca="1">MIN(adept_dp_cap,TblMili[[#This Row],[WG]]/adept_dp_bonus)</f>
        <v>0</v>
      </c>
      <c r="CF90" s="94">
        <f ca="1">MIN(TblMili[[#This Row],[Unit 3]],TblMili[[#This Row],[Unit 2]])*2</f>
        <v>0</v>
      </c>
      <c r="CG90" s="94">
        <f ca="1">MIN(TblMili[[#This Row],[Unit 1]],TblMili[[#This Row],[Unit 4]])*2</f>
        <v>0</v>
      </c>
      <c r="CH90" s="251">
        <f ca="1">MIN(frost_mage_cap,TblMili[[#This Row],[Homeland%]]/frost_mage_bonus)</f>
        <v>3</v>
      </c>
      <c r="CI90" s="45">
        <f ca="1">MIN(ice_elem_cap,TblMili[[#This Row],[Raw (2)]]*ice_elem_bonus)</f>
        <v>0</v>
      </c>
      <c r="CJ90" s="251">
        <f t="shared" si="3"/>
        <v>0.83333333333333337</v>
      </c>
      <c r="CK90" s="251">
        <f ca="1">MIN(nox_nightshade_cap,TblConstr[[#This Row],[Homeland]]/TblConstr[[#This Row],[Land]]/nox_nightshade_swamp_bonus)</f>
        <v>4</v>
      </c>
      <c r="CL90" s="251">
        <f ca="1">MIN(TblConstr[[#This Row],[Total Swamp]]/TblConstr[[#This Row],[Land]]/abyss_enforce_bonus,abyss_enforcer_cap)</f>
        <v>0</v>
      </c>
      <c r="CM90" s="251">
        <f ca="1">IF(TblMagic[[#This Row],[Active Infernal Command]]&gt;0,TblMili[[#This Row],[Unit 1]]*infernal_cmd_op,0)</f>
        <v>0</v>
      </c>
      <c r="CN90" s="252"/>
      <c r="CO90" s="252"/>
      <c r="CP90" s="252"/>
      <c r="CQ90" s="251">
        <f ca="1">MIN(6,TblMili[[#This Row],[Mystic]]+Races!$F$19)*1.8 +  IF(TblMili[[#This Row],[Mystic]]+Races!$F$19&gt;6,(TblMili[[#This Row],[Mystic]]+Races!$F$19-6)*0.2,0) - Races!$I$19</f>
        <v>1</v>
      </c>
      <c r="CR9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0" s="94">
        <f ca="1">TblMili[[#This Row],[Mystic bonus]]*TblMili[[#This Row],[Unit 3]]+TblMili[[#This Row],[Druid bonus]]*TblMili[[#This Row],[Unit 4]]</f>
        <v>0</v>
      </c>
      <c r="CT90" s="155">
        <f ca="1">MIN(6,TblMili[[#This Row],[Dryad]]+Races!$F$35)*1.8 +  IF(TblMili[[#This Row],[Dryad]]+Races!$F$35&gt;6,(TblMili[[#This Row],[Dryad]]+Races!$F$35-6)*0.2,0) - Races!$I$19</f>
        <v>1</v>
      </c>
      <c r="CU90" s="94">
        <f ca="1">sylvan*(TblMili[[#This Row],[Mystic bonus]]*TblMili[[#This Row],[Unit 3]])</f>
        <v>0</v>
      </c>
      <c r="CV90" s="155">
        <f ca="1">1.8 * MIN(MAX(Races!$E$27,TblMili[[#This Row],[Rockapult]]+Races!$F$27),6)  +  0.45 * MIN(MIN(Races!$E$27,TblMili[[#This Row],[Rockapult]]+Races!$F$27),6)  +  0.2 * ( MAX(Races!$E$27-6,0) + MAX(TblMili[[#This Row],[Rockapult]]+Races!$F$27-6,0) )  -  Races!$I$20</f>
        <v>3.7000000000000011</v>
      </c>
      <c r="CW90" s="94">
        <f ca="1">gnome*(TblMili[[#This Row],[Rockapult bonus]]*TblMili[[#This Row],[Unit 3]])</f>
        <v>0</v>
      </c>
      <c r="CX9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0" s="94">
        <f ca="1">dark_elf*(TblMili[[#This Row],[Adept bonus]]*TblMili[[#This Row],[Unit 3]])</f>
        <v>0</v>
      </c>
      <c r="CZ90" s="155">
        <f ca="1">1.8 * MIN(MAX(TblMili[[#This Row],[Frost Mage]]+Races!$F$71,Races!$E$71),6)  +  0.45 * MIN(MIN(TblMili[[#This Row],[Frost Mage]]+Races!$F$71,Races!$E$71),6)  +  0.2 * ( MAX(TblMili[[#This Row],[Frost Mage]]+Races!$F$71-6,0) + MAX(Races!$E$71-6,0) )  -  Races!$I$71</f>
        <v>6.15</v>
      </c>
      <c r="DA90" s="155">
        <f ca="1">1.8 * MIN(MAX(TblMili[[#This Row],[Ice Elemental]]+Races!$E$71,Races!$F$71),6)  +  0.45 * MIN(MIN(TblMili[[#This Row],[Ice Elemental]]+Races!$E$71,Races!$F$71),6)  +  0.2 * ( MAX(TblMili[[#This Row],[Ice Elemental]]+Races!$E$71-6,0) + MAX(Races!$F$71-6,0) )  -  Races!$I$71</f>
        <v>0.75</v>
      </c>
      <c r="DB90" s="94">
        <f ca="1">TblMili[[#This Row],[Frost Mage bonus]]*TblMili[[#This Row],[Unit 3]]+TblMili[[#This Row],[Ice Elemental bonus]]*TblMili[[#This Row],[Unit 4]]</f>
        <v>0</v>
      </c>
      <c r="DC90" s="253"/>
      <c r="DD90" s="143">
        <f ca="1">MIN(SUM(TblConstr[[#This Row],[Plain]:[Water]])/TblMili[[#This Row],[Land]]/favorable_terrain_bonus/100,favorable_terrain_max)</f>
        <v>0.1</v>
      </c>
      <c r="DE90" s="253"/>
      <c r="DF9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0" s="142"/>
      <c r="DH90" s="254">
        <f ca="1">(TblMili[[#This Row],[Wizards]]+2*TblMili[[#This Row],[Archmages]])/TblConstr[[#This Row],[Land]]</f>
        <v>0</v>
      </c>
      <c r="DI90" s="254">
        <f ca="1">TblMili[[#This Row],[Raw (2)]]*(1+race_wizard_strength+IF(TblMili[[#This Row],[Hour]]&gt;72,tech_magical_weaponry_wiz*TblTech[[#This Row],[3-5]],0))</f>
        <v>0</v>
      </c>
    </row>
    <row r="91" spans="1:113" x14ac:dyDescent="0.2">
      <c r="A91" s="137">
        <f>TblRezone[[#This Row],[Hour]]</f>
        <v>88</v>
      </c>
      <c r="B91" s="246">
        <f ca="1">SUM(TblMili[[#This Row],[Unit 1]:[Archmages]])+SUM(OFFSET(TblMili[[#This Row],[Train Unit 1]],-8,0):TblMili[[#This Row],[Train Unit 2]]) + SUM(OFFSET(TblMili[[#This Row],[Train Unit 3]],-11,0):TblMili[[#This Row],[Train AM]]) + TblMili[[#This Row],[Draftees]]</f>
        <v>657</v>
      </c>
      <c r="C91" s="157">
        <f ca="1">TblPop[[#This Row],[Military%]]</f>
        <v>0.61059479553903351</v>
      </c>
      <c r="D91" s="142"/>
      <c r="E91" s="45">
        <f ca="1">OFFSET(TblMili[[#This Row],[Unit 1]],-1,0) + OFFSET(TblMili[[#This Row],[Train Unit 1]],-9,0) - TblMili[[#This Row],[Release Unit 1]] + OFFSET(TblMili[[#This Row],[DnD_Zombies]],-12,0)</f>
        <v>0</v>
      </c>
      <c r="F91" s="45">
        <f ca="1">OFFSET(TblMili[[#This Row],[Unit 2]],-1,0) + OFFSET(TblMili[[#This Row],[Train Unit 2]],-9,0)-TblMili[[#This Row],[Release Unit 2]]</f>
        <v>0</v>
      </c>
      <c r="G91" s="45">
        <f ca="1">OFFSET(TblMili[[#This Row],[Unit 3]],-1,0) + OFFSET(TblMili[[#This Row],[Train Unit 3]],-12,0)-TblMili[[#This Row],[Release Unit 3]]</f>
        <v>0</v>
      </c>
      <c r="H91" s="45">
        <f ca="1">OFFSET(TblMili[[#This Row],[Unit 4]],-1,0) + OFFSET(TblMili[[#This Row],[Train Unit 4]],-12,0)-TblMili[[#This Row],[Release Unit 4]]</f>
        <v>0</v>
      </c>
      <c r="I91" s="45">
        <f ca="1">OFFSET(TblMili[[#This Row],[Spies]],-1,0) + OFFSET(TblMili[[#This Row],[Train Spies]],-12,0) - TblMili[[#This Row],[Release Spies]]-TblMili[[#This Row],[Train AS]]</f>
        <v>0</v>
      </c>
      <c r="J91" s="45">
        <f ca="1">OFFSET(TblMili[[#This Row],[Archspies]],-1,0) + OFFSET(TblMili[[#This Row],[Train AS]],-12,0) - TblMili[[#This Row],[Release AS]]</f>
        <v>0</v>
      </c>
      <c r="K91" s="45">
        <f ca="1">OFFSET(TblMili[[#This Row],[Wizards]],-1,0) + OFFSET(TblMili[[#This Row],[Train Wiz]],-12,0) - TblMili[[#This Row],[Release Wizards]]-TblMili[[#This Row],[Train AM]]</f>
        <v>0</v>
      </c>
      <c r="L91" s="45">
        <f ca="1">OFFSET(TblMili[[#This Row],[Archmages]],-1,0) + OFFSET(TblMili[[#This Row],[Train AM]],-12,0) - TblMili[[#This Row],[Release AM]]</f>
        <v>0</v>
      </c>
      <c r="M91" s="142"/>
      <c r="N91" s="94">
        <f ca="1">TblProd[[#This Row],[Networth]]</f>
        <v>2450</v>
      </c>
      <c r="O91" s="142"/>
      <c r="P9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1" s="247">
        <f ca="1">TblMili[[#This Row],[Raw]]*(1+TblMili[[#This Row],[Mods_Off]])</f>
        <v>0</v>
      </c>
      <c r="S9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1" s="247">
        <f ca="1">TblMili[[#This Row],[Non Draft]]+TblMili[[#This Row],[Draftees]]</f>
        <v>657</v>
      </c>
      <c r="U91" s="248">
        <f ca="1">race_defense + TblImps[[#This Row],[Walls]] + ROUND( MIN(gt_bonus*TblConstr[[#This Row],[Tot GT]]/TblConstr[[#This Row],[Land]],gt_bonus_cap), 4) + IF(TblMagic[[#This Row],[Active Howling]]&gt;0,howling_dp_bonus,IF(TblMagic[[#This Row],[Active Ares Call]]&gt;0,ares_call_bonus))</f>
        <v>0</v>
      </c>
      <c r="V91" s="249">
        <f ca="1">TblMili[[#This Row],[Non Draft]] * (1 + TblMili[[#This Row],[Mods_Def]])</f>
        <v>0</v>
      </c>
      <c r="W91" s="247">
        <f ca="1">TblMili[[#This Row],[Draft]] * (1 + TblMili[[#This Row],[Mods_Def]])</f>
        <v>657</v>
      </c>
      <c r="X91" s="247">
        <f ca="1">TblConstr[[#This Row],[Land]]</f>
        <v>110</v>
      </c>
      <c r="Y91" s="250"/>
      <c r="Z91" s="255">
        <f ca="1">IF(TblMili[[#This Row],[Set]]&lt;&gt;"",TblMili[[#This Row],[Set]],OFFSET(TblMili[[#This Row],[Draftrate]],-1,0))</f>
        <v>0.9</v>
      </c>
      <c r="AA91" s="94">
        <f ca="1">OFFSET(TblMili[[#This Row],[Draftees]],-1,0)+OFFSET(TblPop[[#This Row],[Draft Growth]],-1,0) - SUM(TblMili[[#This Row],[Train Unit 1]:[Train Spies]],TblMili[[#This Row],[Train Wiz]],TblMili[[#This Row],[DnD_Zombies]]) - TblMili[[#This Row],[Release Draft]] + SUM(TblMili[[#This Row],[Release Unit 1]:[Release AM]]) - TblExplore[[#This Row],[Draftees (2)]]</f>
        <v>657</v>
      </c>
      <c r="AB91" s="154"/>
      <c r="AC91" s="180">
        <f ca="1">(TblConstr[[#This Row],[Tot Smi]]+TblConstr[[#This Row],[Dest Smi]])/(TblConstr[[#This Row],[Land]]-TblExplore[[#This Row],[Land Bonus]]*20)</f>
        <v>0</v>
      </c>
      <c r="AD91" s="137"/>
      <c r="AE91" s="246">
        <f>TblMili[[#This Row],[Hour]]</f>
        <v>88</v>
      </c>
      <c r="AF91" s="138">
        <f ca="1">TblExplore[[#This Row],[Time]]</f>
        <v>46050.624999999789</v>
      </c>
      <c r="AG91" s="179"/>
      <c r="AH91" s="179"/>
      <c r="AI91" s="179"/>
      <c r="AJ91" s="179"/>
      <c r="AK91" s="179"/>
      <c r="AL91" s="179"/>
      <c r="AM91" s="179"/>
      <c r="AN91" s="179"/>
      <c r="AO91" s="420">
        <f ca="1">ROUND(IF(AND(TblMagic[[#This Row],[Active DnD]]&lt;12,TblMagic[[#This Row],[Active DnD]]&gt;5),OFFSET(TblPop[[#This Row],[Draft Growth]],-1,0)*0.375,0),0)</f>
        <v>0</v>
      </c>
      <c r="AP91" s="142"/>
      <c r="AQ91" s="94">
        <f ca="1">TblProd[[#This Row],[Platinum]]</f>
        <v>186969</v>
      </c>
      <c r="AR91" s="94">
        <f ca="1">INDEX(TblProd[[#Headers],[Lumber]]:TblProd[[#This Row],[Ore]],COUNTA(TblProd[[#Headers],[Lumber]]:TblProd[[#This Row],[Lumber]]),MATCH(Military!$AR$2,TblProd[[#Headers],[Lumber]:[Ore]],0))</f>
        <v>0</v>
      </c>
      <c r="AS9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1" s="94">
        <f ca="1">TblMili[[#This Row],[Train Unit 1]]*TblMili[[#This Row],[OP Ore]]+TblMili[[#This Row],[Train Unit 2]]*TblMili[[#This Row],[DP Ore]]+TblMili[[#This Row],[Train Unit 3]]*TblMili[[#This Row],[E1 Ore]]+TblMili[[#This Row],[Train Unit 4]]*TblMili[[#This Row],[E2 Ore]]</f>
        <v>0</v>
      </c>
      <c r="AU91" s="142">
        <f>TblMili[[#This Row],[Hour]]</f>
        <v>88</v>
      </c>
      <c r="AV91" s="152">
        <f ca="1">TblMili[[#This Row],[Time]]</f>
        <v>46050.624999999789</v>
      </c>
      <c r="AW91" s="94">
        <f ca="1">TblMili[[#This Row],[Draftees]]</f>
        <v>657</v>
      </c>
      <c r="AX91" s="179"/>
      <c r="AY91" s="179"/>
      <c r="AZ91" s="179"/>
      <c r="BA91" s="179"/>
      <c r="BB91" s="179"/>
      <c r="BC91" s="179"/>
      <c r="BD91" s="179"/>
      <c r="BE91" s="179"/>
      <c r="BF91" s="179"/>
      <c r="BG91" s="142"/>
      <c r="BH91" s="157">
        <f ca="1">TblConstr[[#This Row],[Tot WG]]/TblConstr[[#This Row],[Land]]</f>
        <v>0</v>
      </c>
      <c r="BI91" s="157">
        <f ca="1">TblConstr[[#This Row],[Tot Hav]]/TblConstr[[#This Row],[Land]]</f>
        <v>0</v>
      </c>
      <c r="BJ91" s="94">
        <f ca="1">ROUNDUP((1-MIN(TblMili[[#This Row],[Smithies]]*smithy_bonus,smithy_bonus_cap) + tech_3_5*TblTech[[#This Row],[3-5]] + tech_5_3*TblTech[[#This Row],[5-3]] + tech_5_5*TblTech[[#This Row],[5-5]])*spec_op_plat,0)</f>
        <v>275</v>
      </c>
      <c r="BK91" s="94">
        <f ca="1">ROUNDUP(IF(race="Gnome",1,(1-MIN(TblMili[[#This Row],[Smithies]]*smithy_bonus,smithy_bonus_cap) + tech_3_5*TblTech[[#This Row],[3-5]] + tech_5_3*TblTech[[#This Row],[5-3]] + tech_5_5*TblTech[[#This Row],[5-5]]))*spec_op_ore,0)</f>
        <v>25</v>
      </c>
      <c r="BL91" s="94">
        <f ca="1">ROUNDUP((1-MIN(TblMili[[#This Row],[Smithies]]*smithy_bonus,smithy_bonus_cap) + tech_3_5*TblTech[[#This Row],[3-5]] + tech_5_3*TblTech[[#This Row],[5-3]] + tech_5_5*TblTech[[#This Row],[5-5]])*spec_dp_plat,0)</f>
        <v>275</v>
      </c>
      <c r="BM91" s="94">
        <f ca="1">ROUNDUP(IF(race="Gnome",1,(1-MIN(TblMili[[#This Row],[Smithies]]*smithy_bonus,smithy_bonus_cap) + tech_3_5*TblTech[[#This Row],[3-5]] + tech_5_3*TblTech[[#This Row],[5-3]] + tech_5_5*TblTech[[#This Row],[5-5]]))*spec_dp_ore,0)</f>
        <v>15</v>
      </c>
      <c r="BN91" s="94">
        <f ca="1">ROUNDUP((1-MIN(TblMili[[#This Row],[Smithies]]*smithy_bonus,smithy_bonus_cap) + tech_3_5*TblTech[[#This Row],[3-5]] + tech_5_3*TblTech[[#This Row],[5-3]] + tech_5_5*TblTech[[#This Row],[5-5]])*elite1_plat,0)</f>
        <v>1040</v>
      </c>
      <c r="BO91" s="94">
        <f ca="1">ROUNDUP(IF(race="Gnome",1,(1-MIN(TblMili[[#This Row],[Smithies]]*smithy_bonus,smithy_bonus_cap) + tech_3_5*TblTech[[#This Row],[3-5]] + tech_5_3*TblTech[[#This Row],[5-3]] + tech_5_5*TblTech[[#This Row],[5-5]]))*elite1_ore,0)</f>
        <v>75</v>
      </c>
      <c r="BP91" s="94">
        <f ca="1">ROUNDUP((1-MIN(TblMili[[#This Row],[Smithies]]*smithy_bonus,smithy_bonus_cap) + tech_3_5*TblTech[[#This Row],[3-5]] + tech_5_3*TblTech[[#This Row],[5-3]] + tech_5_5*TblTech[[#This Row],[5-5]])*elite2_plat,0)</f>
        <v>1280</v>
      </c>
      <c r="BQ91" s="94">
        <f ca="1">ROUNDUP(IF(race="Gnome",1,(1-MIN(TblMili[[#This Row],[Smithies]]*smithy_bonus,smithy_bonus_cap) + tech_3_5*TblTech[[#This Row],[3-5]] + tech_5_3*TblTech[[#This Row],[5-3]] + tech_5_5*TblTech[[#This Row],[5-5]]))*elite2_ore,0)</f>
        <v>100</v>
      </c>
      <c r="BR91" s="94">
        <f ca="1">ROUNDUP((1-MIN(ROUND(fh_spy_cost_red*TblMili[[#This Row],[FH''s]],4),fh_spy_cost_cap)+ tech_1_9*TblTech[[#This Row],[1-9]] + tech_9_1*TblTech[[#This Row],[9-1]])*spy_plat,0)</f>
        <v>500</v>
      </c>
      <c r="BS91" s="94">
        <f ca="1">ROUNDUP((1-MIN(ROUND(fh_spy_cost_red*TblMili[[#This Row],[FH''s]],4),fh_spy_cost_cap)+ tech_1_9*TblTech[[#This Row],[1-9]] + tech_9_1*TblTech[[#This Row],[9-1]])*archspy_plat,0)</f>
        <v>1000</v>
      </c>
      <c r="BT91" s="94">
        <f ca="1">ROUNDUP((1-MIN(ROUND(wg_wiz_cost_bonus*TblMili[[#This Row],[WG''s]],4),wg_wiz_cost_cap) + tech_1_9_2*TblTech[[#This Row],[1-9]] + tech_9_1_2*TblTech[[#This Row],[9-1]])*wizard_plat,0)</f>
        <v>500</v>
      </c>
      <c r="BU91" s="94">
        <f ca="1">ROUNDUP((1-MIN(ROUND(wg_wiz_cost_bonus*TblMili[[#This Row],[WG''s]],4),wg_wiz_cost_cap) + tech_1_9_2*TblTech[[#This Row],[1-9]] + tech_9_1_2*TblTech[[#This Row],[9-1]])*archmage_plat,0)</f>
        <v>1000</v>
      </c>
      <c r="BV91" s="142"/>
      <c r="BW91" s="157">
        <f ca="1">TblConstr[[#This Row],[Homeland]]/TblConstr[[#This Row],[Land]]</f>
        <v>0.81818181818181823</v>
      </c>
      <c r="BX91" s="157">
        <f ca="1">TblMili[[#This Row],[WG''s]]</f>
        <v>0</v>
      </c>
      <c r="BY91" s="251">
        <f ca="1">IF(mystic_cap="none",TblMili[[#This Row],[Homeland%]]/mystic_bonus,MIN(mystic_cap,TblMili[[#This Row],[Homeland%]]/mystic_bonus))</f>
        <v>2</v>
      </c>
      <c r="BZ91" s="251">
        <f ca="1">IF(druid_op_cap="none",TblMili[[#This Row],[Homeland%]]/druid_op_bonus,MIN(druid_op_cap,TblMili[[#This Row],[Homeland%]]/druid_op_bonus))</f>
        <v>2</v>
      </c>
      <c r="CA91" s="251">
        <f ca="1">IF(druid_dp_cap="none",TblMili[[#This Row],[Homeland%]]/druid_dp_bonus,MIN(druid_dp_cap,TblMili[[#This Row],[Homeland%]]/druid_dp_bonus))</f>
        <v>2</v>
      </c>
      <c r="CB91" s="251">
        <f ca="1">MIN(dryad_cap,TblMili[[#This Row],[Homeland%]]/dryad_bonus)</f>
        <v>4</v>
      </c>
      <c r="CC91" s="251">
        <f ca="1">MIN(rocka_cap,TblMili[[#This Row],[Homeland%]]/rocka_bonus)</f>
        <v>2</v>
      </c>
      <c r="CD91" s="251">
        <f ca="1">MIN(adept_op_cap,TblMili[[#This Row],[WG]]/adept_op_bonus)</f>
        <v>0</v>
      </c>
      <c r="CE91" s="251">
        <f ca="1">MIN(adept_dp_cap,TblMili[[#This Row],[WG]]/adept_dp_bonus)</f>
        <v>0</v>
      </c>
      <c r="CF91" s="94">
        <f ca="1">MIN(TblMili[[#This Row],[Unit 3]],TblMili[[#This Row],[Unit 2]])*2</f>
        <v>0</v>
      </c>
      <c r="CG91" s="94">
        <f ca="1">MIN(TblMili[[#This Row],[Unit 1]],TblMili[[#This Row],[Unit 4]])*2</f>
        <v>0</v>
      </c>
      <c r="CH91" s="251">
        <f ca="1">MIN(frost_mage_cap,TblMili[[#This Row],[Homeland%]]/frost_mage_bonus)</f>
        <v>3</v>
      </c>
      <c r="CI91" s="45">
        <f ca="1">MIN(ice_elem_cap,TblMili[[#This Row],[Raw (2)]]*ice_elem_bonus)</f>
        <v>0</v>
      </c>
      <c r="CJ91" s="251">
        <f t="shared" si="3"/>
        <v>0.83333333333333337</v>
      </c>
      <c r="CK91" s="251">
        <f ca="1">MIN(nox_nightshade_cap,TblConstr[[#This Row],[Homeland]]/TblConstr[[#This Row],[Land]]/nox_nightshade_swamp_bonus)</f>
        <v>4</v>
      </c>
      <c r="CL91" s="251">
        <f ca="1">MIN(TblConstr[[#This Row],[Total Swamp]]/TblConstr[[#This Row],[Land]]/abyss_enforce_bonus,abyss_enforcer_cap)</f>
        <v>0</v>
      </c>
      <c r="CM91" s="251">
        <f ca="1">IF(TblMagic[[#This Row],[Active Infernal Command]]&gt;0,TblMili[[#This Row],[Unit 1]]*infernal_cmd_op,0)</f>
        <v>0</v>
      </c>
      <c r="CN91" s="252"/>
      <c r="CO91" s="252"/>
      <c r="CP91" s="252"/>
      <c r="CQ91" s="251">
        <f ca="1">MIN(6,TblMili[[#This Row],[Mystic]]+Races!$F$19)*1.8 +  IF(TblMili[[#This Row],[Mystic]]+Races!$F$19&gt;6,(TblMili[[#This Row],[Mystic]]+Races!$F$19-6)*0.2,0) - Races!$I$19</f>
        <v>1</v>
      </c>
      <c r="CR9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1" s="94">
        <f ca="1">TblMili[[#This Row],[Mystic bonus]]*TblMili[[#This Row],[Unit 3]]+TblMili[[#This Row],[Druid bonus]]*TblMili[[#This Row],[Unit 4]]</f>
        <v>0</v>
      </c>
      <c r="CT91" s="155">
        <f ca="1">MIN(6,TblMili[[#This Row],[Dryad]]+Races!$F$35)*1.8 +  IF(TblMili[[#This Row],[Dryad]]+Races!$F$35&gt;6,(TblMili[[#This Row],[Dryad]]+Races!$F$35-6)*0.2,0) - Races!$I$19</f>
        <v>1</v>
      </c>
      <c r="CU91" s="94">
        <f ca="1">sylvan*(TblMili[[#This Row],[Mystic bonus]]*TblMili[[#This Row],[Unit 3]])</f>
        <v>0</v>
      </c>
      <c r="CV91" s="155">
        <f ca="1">1.8 * MIN(MAX(Races!$E$27,TblMili[[#This Row],[Rockapult]]+Races!$F$27),6)  +  0.45 * MIN(MIN(Races!$E$27,TblMili[[#This Row],[Rockapult]]+Races!$F$27),6)  +  0.2 * ( MAX(Races!$E$27-6,0) + MAX(TblMili[[#This Row],[Rockapult]]+Races!$F$27-6,0) )  -  Races!$I$20</f>
        <v>3.7000000000000011</v>
      </c>
      <c r="CW91" s="94">
        <f ca="1">gnome*(TblMili[[#This Row],[Rockapult bonus]]*TblMili[[#This Row],[Unit 3]])</f>
        <v>0</v>
      </c>
      <c r="CX9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1" s="94">
        <f ca="1">dark_elf*(TblMili[[#This Row],[Adept bonus]]*TblMili[[#This Row],[Unit 3]])</f>
        <v>0</v>
      </c>
      <c r="CZ91" s="155">
        <f ca="1">1.8 * MIN(MAX(TblMili[[#This Row],[Frost Mage]]+Races!$F$71,Races!$E$71),6)  +  0.45 * MIN(MIN(TblMili[[#This Row],[Frost Mage]]+Races!$F$71,Races!$E$71),6)  +  0.2 * ( MAX(TblMili[[#This Row],[Frost Mage]]+Races!$F$71-6,0) + MAX(Races!$E$71-6,0) )  -  Races!$I$71</f>
        <v>6.15</v>
      </c>
      <c r="DA91" s="155">
        <f ca="1">1.8 * MIN(MAX(TblMili[[#This Row],[Ice Elemental]]+Races!$E$71,Races!$F$71),6)  +  0.45 * MIN(MIN(TblMili[[#This Row],[Ice Elemental]]+Races!$E$71,Races!$F$71),6)  +  0.2 * ( MAX(TblMili[[#This Row],[Ice Elemental]]+Races!$E$71-6,0) + MAX(Races!$F$71-6,0) )  -  Races!$I$71</f>
        <v>0.75</v>
      </c>
      <c r="DB91" s="94">
        <f ca="1">TblMili[[#This Row],[Frost Mage bonus]]*TblMili[[#This Row],[Unit 3]]+TblMili[[#This Row],[Ice Elemental bonus]]*TblMili[[#This Row],[Unit 4]]</f>
        <v>0</v>
      </c>
      <c r="DC91" s="253"/>
      <c r="DD91" s="143">
        <f ca="1">MIN(SUM(TblConstr[[#This Row],[Plain]:[Water]])/TblMili[[#This Row],[Land]]/favorable_terrain_bonus/100,favorable_terrain_max)</f>
        <v>0.1</v>
      </c>
      <c r="DE91" s="253"/>
      <c r="DF9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1" s="142"/>
      <c r="DH91" s="254">
        <f ca="1">(TblMili[[#This Row],[Wizards]]+2*TblMili[[#This Row],[Archmages]])/TblConstr[[#This Row],[Land]]</f>
        <v>0</v>
      </c>
      <c r="DI91" s="254">
        <f ca="1">TblMili[[#This Row],[Raw (2)]]*(1+race_wizard_strength+IF(TblMili[[#This Row],[Hour]]&gt;72,tech_magical_weaponry_wiz*TblTech[[#This Row],[3-5]],0))</f>
        <v>0</v>
      </c>
    </row>
    <row r="92" spans="1:113" x14ac:dyDescent="0.2">
      <c r="A92" s="137">
        <f>TblRezone[[#This Row],[Hour]]</f>
        <v>89</v>
      </c>
      <c r="B92" s="246">
        <f ca="1">SUM(TblMili[[#This Row],[Unit 1]:[Archmages]])+SUM(OFFSET(TblMili[[#This Row],[Train Unit 1]],-8,0):TblMili[[#This Row],[Train Unit 2]]) + SUM(OFFSET(TblMili[[#This Row],[Train Unit 3]],-11,0):TblMili[[#This Row],[Train AM]]) + TblMili[[#This Row],[Draftees]]</f>
        <v>661</v>
      </c>
      <c r="C92" s="157">
        <f ca="1">TblPop[[#This Row],[Military%]]</f>
        <v>0.61431226765799252</v>
      </c>
      <c r="D92" s="142"/>
      <c r="E92" s="45">
        <f ca="1">OFFSET(TblMili[[#This Row],[Unit 1]],-1,0) + OFFSET(TblMili[[#This Row],[Train Unit 1]],-9,0) - TblMili[[#This Row],[Release Unit 1]] + OFFSET(TblMili[[#This Row],[DnD_Zombies]],-12,0)</f>
        <v>0</v>
      </c>
      <c r="F92" s="45">
        <f ca="1">OFFSET(TblMili[[#This Row],[Unit 2]],-1,0) + OFFSET(TblMili[[#This Row],[Train Unit 2]],-9,0)-TblMili[[#This Row],[Release Unit 2]]</f>
        <v>0</v>
      </c>
      <c r="G92" s="45">
        <f ca="1">OFFSET(TblMili[[#This Row],[Unit 3]],-1,0) + OFFSET(TblMili[[#This Row],[Train Unit 3]],-12,0)-TblMili[[#This Row],[Release Unit 3]]</f>
        <v>0</v>
      </c>
      <c r="H92" s="45">
        <f ca="1">OFFSET(TblMili[[#This Row],[Unit 4]],-1,0) + OFFSET(TblMili[[#This Row],[Train Unit 4]],-12,0)-TblMili[[#This Row],[Release Unit 4]]</f>
        <v>0</v>
      </c>
      <c r="I92" s="45">
        <f ca="1">OFFSET(TblMili[[#This Row],[Spies]],-1,0) + OFFSET(TblMili[[#This Row],[Train Spies]],-12,0) - TblMili[[#This Row],[Release Spies]]-TblMili[[#This Row],[Train AS]]</f>
        <v>0</v>
      </c>
      <c r="J92" s="45">
        <f ca="1">OFFSET(TblMili[[#This Row],[Archspies]],-1,0) + OFFSET(TblMili[[#This Row],[Train AS]],-12,0) - TblMili[[#This Row],[Release AS]]</f>
        <v>0</v>
      </c>
      <c r="K92" s="45">
        <f ca="1">OFFSET(TblMili[[#This Row],[Wizards]],-1,0) + OFFSET(TblMili[[#This Row],[Train Wiz]],-12,0) - TblMili[[#This Row],[Release Wizards]]-TblMili[[#This Row],[Train AM]]</f>
        <v>0</v>
      </c>
      <c r="L92" s="45">
        <f ca="1">OFFSET(TblMili[[#This Row],[Archmages]],-1,0) + OFFSET(TblMili[[#This Row],[Train AM]],-12,0) - TblMili[[#This Row],[Release AM]]</f>
        <v>0</v>
      </c>
      <c r="M92" s="142"/>
      <c r="N92" s="94">
        <f ca="1">TblProd[[#This Row],[Networth]]</f>
        <v>2450</v>
      </c>
      <c r="O92" s="142"/>
      <c r="P9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2" s="247">
        <f ca="1">TblMili[[#This Row],[Raw]]*(1+TblMili[[#This Row],[Mods_Off]])</f>
        <v>0</v>
      </c>
      <c r="S9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2" s="247">
        <f ca="1">TblMili[[#This Row],[Non Draft]]+TblMili[[#This Row],[Draftees]]</f>
        <v>661</v>
      </c>
      <c r="U92" s="248">
        <f ca="1">race_defense + TblImps[[#This Row],[Walls]] + ROUND( MIN(gt_bonus*TblConstr[[#This Row],[Tot GT]]/TblConstr[[#This Row],[Land]],gt_bonus_cap), 4) + IF(TblMagic[[#This Row],[Active Howling]]&gt;0,howling_dp_bonus,IF(TblMagic[[#This Row],[Active Ares Call]]&gt;0,ares_call_bonus))</f>
        <v>0</v>
      </c>
      <c r="V92" s="249">
        <f ca="1">TblMili[[#This Row],[Non Draft]] * (1 + TblMili[[#This Row],[Mods_Def]])</f>
        <v>0</v>
      </c>
      <c r="W92" s="247">
        <f ca="1">TblMili[[#This Row],[Draft]] * (1 + TblMili[[#This Row],[Mods_Def]])</f>
        <v>661</v>
      </c>
      <c r="X92" s="247">
        <f ca="1">TblConstr[[#This Row],[Land]]</f>
        <v>110</v>
      </c>
      <c r="Y92" s="250"/>
      <c r="Z92" s="255">
        <f ca="1">IF(TblMili[[#This Row],[Set]]&lt;&gt;"",TblMili[[#This Row],[Set]],OFFSET(TblMili[[#This Row],[Draftrate]],-1,0))</f>
        <v>0.9</v>
      </c>
      <c r="AA92" s="94">
        <f ca="1">OFFSET(TblMili[[#This Row],[Draftees]],-1,0)+OFFSET(TblPop[[#This Row],[Draft Growth]],-1,0) - SUM(TblMili[[#This Row],[Train Unit 1]:[Train Spies]],TblMili[[#This Row],[Train Wiz]],TblMili[[#This Row],[DnD_Zombies]]) - TblMili[[#This Row],[Release Draft]] + SUM(TblMili[[#This Row],[Release Unit 1]:[Release AM]]) - TblExplore[[#This Row],[Draftees (2)]]</f>
        <v>661</v>
      </c>
      <c r="AB92" s="154"/>
      <c r="AC92" s="180">
        <f ca="1">(TblConstr[[#This Row],[Tot Smi]]+TblConstr[[#This Row],[Dest Smi]])/(TblConstr[[#This Row],[Land]]-TblExplore[[#This Row],[Land Bonus]]*20)</f>
        <v>0</v>
      </c>
      <c r="AD92" s="137"/>
      <c r="AE92" s="246">
        <f>TblMili[[#This Row],[Hour]]</f>
        <v>89</v>
      </c>
      <c r="AF92" s="138">
        <f ca="1">TblExplore[[#This Row],[Time]]</f>
        <v>46050.666666666453</v>
      </c>
      <c r="AG92" s="179"/>
      <c r="AH92" s="179"/>
      <c r="AI92" s="179"/>
      <c r="AJ92" s="179"/>
      <c r="AK92" s="179"/>
      <c r="AL92" s="179"/>
      <c r="AM92" s="179"/>
      <c r="AN92" s="179"/>
      <c r="AO92" s="420">
        <f ca="1">ROUND(IF(AND(TblMagic[[#This Row],[Active DnD]]&lt;12,TblMagic[[#This Row],[Active DnD]]&gt;5),OFFSET(TblPop[[#This Row],[Draft Growth]],-1,0)*0.375,0),0)</f>
        <v>0</v>
      </c>
      <c r="AP92" s="142"/>
      <c r="AQ92" s="94">
        <f ca="1">TblProd[[#This Row],[Platinum]]</f>
        <v>188100</v>
      </c>
      <c r="AR92" s="94">
        <f ca="1">INDEX(TblProd[[#Headers],[Lumber]]:TblProd[[#This Row],[Ore]],COUNTA(TblProd[[#Headers],[Lumber]]:TblProd[[#This Row],[Lumber]]),MATCH(Military!$AR$2,TblProd[[#Headers],[Lumber]:[Ore]],0))</f>
        <v>0</v>
      </c>
      <c r="AS9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2" s="94">
        <f ca="1">TblMili[[#This Row],[Train Unit 1]]*TblMili[[#This Row],[OP Ore]]+TblMili[[#This Row],[Train Unit 2]]*TblMili[[#This Row],[DP Ore]]+TblMili[[#This Row],[Train Unit 3]]*TblMili[[#This Row],[E1 Ore]]+TblMili[[#This Row],[Train Unit 4]]*TblMili[[#This Row],[E2 Ore]]</f>
        <v>0</v>
      </c>
      <c r="AU92" s="142">
        <f>TblMili[[#This Row],[Hour]]</f>
        <v>89</v>
      </c>
      <c r="AV92" s="152">
        <f ca="1">TblMili[[#This Row],[Time]]</f>
        <v>46050.666666666453</v>
      </c>
      <c r="AW92" s="94">
        <f ca="1">TblMili[[#This Row],[Draftees]]</f>
        <v>661</v>
      </c>
      <c r="AX92" s="179"/>
      <c r="AY92" s="179"/>
      <c r="AZ92" s="179"/>
      <c r="BA92" s="179"/>
      <c r="BB92" s="179"/>
      <c r="BC92" s="179"/>
      <c r="BD92" s="179"/>
      <c r="BE92" s="179"/>
      <c r="BF92" s="179"/>
      <c r="BG92" s="142"/>
      <c r="BH92" s="157">
        <f ca="1">TblConstr[[#This Row],[Tot WG]]/TblConstr[[#This Row],[Land]]</f>
        <v>0</v>
      </c>
      <c r="BI92" s="157">
        <f ca="1">TblConstr[[#This Row],[Tot Hav]]/TblConstr[[#This Row],[Land]]</f>
        <v>0</v>
      </c>
      <c r="BJ92" s="94">
        <f ca="1">ROUNDUP((1-MIN(TblMili[[#This Row],[Smithies]]*smithy_bonus,smithy_bonus_cap) + tech_3_5*TblTech[[#This Row],[3-5]] + tech_5_3*TblTech[[#This Row],[5-3]] + tech_5_5*TblTech[[#This Row],[5-5]])*spec_op_plat,0)</f>
        <v>275</v>
      </c>
      <c r="BK92" s="94">
        <f ca="1">ROUNDUP(IF(race="Gnome",1,(1-MIN(TblMili[[#This Row],[Smithies]]*smithy_bonus,smithy_bonus_cap) + tech_3_5*TblTech[[#This Row],[3-5]] + tech_5_3*TblTech[[#This Row],[5-3]] + tech_5_5*TblTech[[#This Row],[5-5]]))*spec_op_ore,0)</f>
        <v>25</v>
      </c>
      <c r="BL92" s="94">
        <f ca="1">ROUNDUP((1-MIN(TblMili[[#This Row],[Smithies]]*smithy_bonus,smithy_bonus_cap) + tech_3_5*TblTech[[#This Row],[3-5]] + tech_5_3*TblTech[[#This Row],[5-3]] + tech_5_5*TblTech[[#This Row],[5-5]])*spec_dp_plat,0)</f>
        <v>275</v>
      </c>
      <c r="BM92" s="94">
        <f ca="1">ROUNDUP(IF(race="Gnome",1,(1-MIN(TblMili[[#This Row],[Smithies]]*smithy_bonus,smithy_bonus_cap) + tech_3_5*TblTech[[#This Row],[3-5]] + tech_5_3*TblTech[[#This Row],[5-3]] + tech_5_5*TblTech[[#This Row],[5-5]]))*spec_dp_ore,0)</f>
        <v>15</v>
      </c>
      <c r="BN92" s="94">
        <f ca="1">ROUNDUP((1-MIN(TblMili[[#This Row],[Smithies]]*smithy_bonus,smithy_bonus_cap) + tech_3_5*TblTech[[#This Row],[3-5]] + tech_5_3*TblTech[[#This Row],[5-3]] + tech_5_5*TblTech[[#This Row],[5-5]])*elite1_plat,0)</f>
        <v>1040</v>
      </c>
      <c r="BO92" s="94">
        <f ca="1">ROUNDUP(IF(race="Gnome",1,(1-MIN(TblMili[[#This Row],[Smithies]]*smithy_bonus,smithy_bonus_cap) + tech_3_5*TblTech[[#This Row],[3-5]] + tech_5_3*TblTech[[#This Row],[5-3]] + tech_5_5*TblTech[[#This Row],[5-5]]))*elite1_ore,0)</f>
        <v>75</v>
      </c>
      <c r="BP92" s="94">
        <f ca="1">ROUNDUP((1-MIN(TblMili[[#This Row],[Smithies]]*smithy_bonus,smithy_bonus_cap) + tech_3_5*TblTech[[#This Row],[3-5]] + tech_5_3*TblTech[[#This Row],[5-3]] + tech_5_5*TblTech[[#This Row],[5-5]])*elite2_plat,0)</f>
        <v>1280</v>
      </c>
      <c r="BQ92" s="94">
        <f ca="1">ROUNDUP(IF(race="Gnome",1,(1-MIN(TblMili[[#This Row],[Smithies]]*smithy_bonus,smithy_bonus_cap) + tech_3_5*TblTech[[#This Row],[3-5]] + tech_5_3*TblTech[[#This Row],[5-3]] + tech_5_5*TblTech[[#This Row],[5-5]]))*elite2_ore,0)</f>
        <v>100</v>
      </c>
      <c r="BR92" s="94">
        <f ca="1">ROUNDUP((1-MIN(ROUND(fh_spy_cost_red*TblMili[[#This Row],[FH''s]],4),fh_spy_cost_cap)+ tech_1_9*TblTech[[#This Row],[1-9]] + tech_9_1*TblTech[[#This Row],[9-1]])*spy_plat,0)</f>
        <v>500</v>
      </c>
      <c r="BS92" s="94">
        <f ca="1">ROUNDUP((1-MIN(ROUND(fh_spy_cost_red*TblMili[[#This Row],[FH''s]],4),fh_spy_cost_cap)+ tech_1_9*TblTech[[#This Row],[1-9]] + tech_9_1*TblTech[[#This Row],[9-1]])*archspy_plat,0)</f>
        <v>1000</v>
      </c>
      <c r="BT92" s="94">
        <f ca="1">ROUNDUP((1-MIN(ROUND(wg_wiz_cost_bonus*TblMili[[#This Row],[WG''s]],4),wg_wiz_cost_cap) + tech_1_9_2*TblTech[[#This Row],[1-9]] + tech_9_1_2*TblTech[[#This Row],[9-1]])*wizard_plat,0)</f>
        <v>500</v>
      </c>
      <c r="BU92" s="94">
        <f ca="1">ROUNDUP((1-MIN(ROUND(wg_wiz_cost_bonus*TblMili[[#This Row],[WG''s]],4),wg_wiz_cost_cap) + tech_1_9_2*TblTech[[#This Row],[1-9]] + tech_9_1_2*TblTech[[#This Row],[9-1]])*archmage_plat,0)</f>
        <v>1000</v>
      </c>
      <c r="BV92" s="142"/>
      <c r="BW92" s="157">
        <f ca="1">TblConstr[[#This Row],[Homeland]]/TblConstr[[#This Row],[Land]]</f>
        <v>0.81818181818181823</v>
      </c>
      <c r="BX92" s="157">
        <f ca="1">TblMili[[#This Row],[WG''s]]</f>
        <v>0</v>
      </c>
      <c r="BY92" s="251">
        <f ca="1">IF(mystic_cap="none",TblMili[[#This Row],[Homeland%]]/mystic_bonus,MIN(mystic_cap,TblMili[[#This Row],[Homeland%]]/mystic_bonus))</f>
        <v>2</v>
      </c>
      <c r="BZ92" s="251">
        <f ca="1">IF(druid_op_cap="none",TblMili[[#This Row],[Homeland%]]/druid_op_bonus,MIN(druid_op_cap,TblMili[[#This Row],[Homeland%]]/druid_op_bonus))</f>
        <v>2</v>
      </c>
      <c r="CA92" s="251">
        <f ca="1">IF(druid_dp_cap="none",TblMili[[#This Row],[Homeland%]]/druid_dp_bonus,MIN(druid_dp_cap,TblMili[[#This Row],[Homeland%]]/druid_dp_bonus))</f>
        <v>2</v>
      </c>
      <c r="CB92" s="251">
        <f ca="1">MIN(dryad_cap,TblMili[[#This Row],[Homeland%]]/dryad_bonus)</f>
        <v>4</v>
      </c>
      <c r="CC92" s="251">
        <f ca="1">MIN(rocka_cap,TblMili[[#This Row],[Homeland%]]/rocka_bonus)</f>
        <v>2</v>
      </c>
      <c r="CD92" s="251">
        <f ca="1">MIN(adept_op_cap,TblMili[[#This Row],[WG]]/adept_op_bonus)</f>
        <v>0</v>
      </c>
      <c r="CE92" s="251">
        <f ca="1">MIN(adept_dp_cap,TblMili[[#This Row],[WG]]/adept_dp_bonus)</f>
        <v>0</v>
      </c>
      <c r="CF92" s="94">
        <f ca="1">MIN(TblMili[[#This Row],[Unit 3]],TblMili[[#This Row],[Unit 2]])*2</f>
        <v>0</v>
      </c>
      <c r="CG92" s="94">
        <f ca="1">MIN(TblMili[[#This Row],[Unit 1]],TblMili[[#This Row],[Unit 4]])*2</f>
        <v>0</v>
      </c>
      <c r="CH92" s="251">
        <f ca="1">MIN(frost_mage_cap,TblMili[[#This Row],[Homeland%]]/frost_mage_bonus)</f>
        <v>3</v>
      </c>
      <c r="CI92" s="45">
        <f ca="1">MIN(ice_elem_cap,TblMili[[#This Row],[Raw (2)]]*ice_elem_bonus)</f>
        <v>0</v>
      </c>
      <c r="CJ92" s="251">
        <f t="shared" si="3"/>
        <v>0.83333333333333337</v>
      </c>
      <c r="CK92" s="251">
        <f ca="1">MIN(nox_nightshade_cap,TblConstr[[#This Row],[Homeland]]/TblConstr[[#This Row],[Land]]/nox_nightshade_swamp_bonus)</f>
        <v>4</v>
      </c>
      <c r="CL92" s="251">
        <f ca="1">MIN(TblConstr[[#This Row],[Total Swamp]]/TblConstr[[#This Row],[Land]]/abyss_enforce_bonus,abyss_enforcer_cap)</f>
        <v>0</v>
      </c>
      <c r="CM92" s="251">
        <f ca="1">IF(TblMagic[[#This Row],[Active Infernal Command]]&gt;0,TblMili[[#This Row],[Unit 1]]*infernal_cmd_op,0)</f>
        <v>0</v>
      </c>
      <c r="CN92" s="252"/>
      <c r="CO92" s="252"/>
      <c r="CP92" s="252"/>
      <c r="CQ92" s="251">
        <f ca="1">MIN(6,TblMili[[#This Row],[Mystic]]+Races!$F$19)*1.8 +  IF(TblMili[[#This Row],[Mystic]]+Races!$F$19&gt;6,(TblMili[[#This Row],[Mystic]]+Races!$F$19-6)*0.2,0) - Races!$I$19</f>
        <v>1</v>
      </c>
      <c r="CR9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2" s="94">
        <f ca="1">TblMili[[#This Row],[Mystic bonus]]*TblMili[[#This Row],[Unit 3]]+TblMili[[#This Row],[Druid bonus]]*TblMili[[#This Row],[Unit 4]]</f>
        <v>0</v>
      </c>
      <c r="CT92" s="155">
        <f ca="1">MIN(6,TblMili[[#This Row],[Dryad]]+Races!$F$35)*1.8 +  IF(TblMili[[#This Row],[Dryad]]+Races!$F$35&gt;6,(TblMili[[#This Row],[Dryad]]+Races!$F$35-6)*0.2,0) - Races!$I$19</f>
        <v>1</v>
      </c>
      <c r="CU92" s="94">
        <f ca="1">sylvan*(TblMili[[#This Row],[Mystic bonus]]*TblMili[[#This Row],[Unit 3]])</f>
        <v>0</v>
      </c>
      <c r="CV92" s="155">
        <f ca="1">1.8 * MIN(MAX(Races!$E$27,TblMili[[#This Row],[Rockapult]]+Races!$F$27),6)  +  0.45 * MIN(MIN(Races!$E$27,TblMili[[#This Row],[Rockapult]]+Races!$F$27),6)  +  0.2 * ( MAX(Races!$E$27-6,0) + MAX(TblMili[[#This Row],[Rockapult]]+Races!$F$27-6,0) )  -  Races!$I$20</f>
        <v>3.7000000000000011</v>
      </c>
      <c r="CW92" s="94">
        <f ca="1">gnome*(TblMili[[#This Row],[Rockapult bonus]]*TblMili[[#This Row],[Unit 3]])</f>
        <v>0</v>
      </c>
      <c r="CX9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2" s="94">
        <f ca="1">dark_elf*(TblMili[[#This Row],[Adept bonus]]*TblMili[[#This Row],[Unit 3]])</f>
        <v>0</v>
      </c>
      <c r="CZ92" s="155">
        <f ca="1">1.8 * MIN(MAX(TblMili[[#This Row],[Frost Mage]]+Races!$F$71,Races!$E$71),6)  +  0.45 * MIN(MIN(TblMili[[#This Row],[Frost Mage]]+Races!$F$71,Races!$E$71),6)  +  0.2 * ( MAX(TblMili[[#This Row],[Frost Mage]]+Races!$F$71-6,0) + MAX(Races!$E$71-6,0) )  -  Races!$I$71</f>
        <v>6.15</v>
      </c>
      <c r="DA92" s="155">
        <f ca="1">1.8 * MIN(MAX(TblMili[[#This Row],[Ice Elemental]]+Races!$E$71,Races!$F$71),6)  +  0.45 * MIN(MIN(TblMili[[#This Row],[Ice Elemental]]+Races!$E$71,Races!$F$71),6)  +  0.2 * ( MAX(TblMili[[#This Row],[Ice Elemental]]+Races!$E$71-6,0) + MAX(Races!$F$71-6,0) )  -  Races!$I$71</f>
        <v>0.75</v>
      </c>
      <c r="DB92" s="94">
        <f ca="1">TblMili[[#This Row],[Frost Mage bonus]]*TblMili[[#This Row],[Unit 3]]+TblMili[[#This Row],[Ice Elemental bonus]]*TblMili[[#This Row],[Unit 4]]</f>
        <v>0</v>
      </c>
      <c r="DC92" s="253"/>
      <c r="DD92" s="143">
        <f ca="1">MIN(SUM(TblConstr[[#This Row],[Plain]:[Water]])/TblMili[[#This Row],[Land]]/favorable_terrain_bonus/100,favorable_terrain_max)</f>
        <v>0.1</v>
      </c>
      <c r="DE92" s="253"/>
      <c r="DF9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2" s="142"/>
      <c r="DH92" s="254">
        <f ca="1">(TblMili[[#This Row],[Wizards]]+2*TblMili[[#This Row],[Archmages]])/TblConstr[[#This Row],[Land]]</f>
        <v>0</v>
      </c>
      <c r="DI92" s="254">
        <f ca="1">TblMili[[#This Row],[Raw (2)]]*(1+race_wizard_strength+IF(TblMili[[#This Row],[Hour]]&gt;72,tech_magical_weaponry_wiz*TblTech[[#This Row],[3-5]],0))</f>
        <v>0</v>
      </c>
    </row>
    <row r="93" spans="1:113" x14ac:dyDescent="0.2">
      <c r="A93" s="137">
        <f>TblRezone[[#This Row],[Hour]]</f>
        <v>90</v>
      </c>
      <c r="B93" s="246">
        <f ca="1">SUM(TblMili[[#This Row],[Unit 1]:[Archmages]])+SUM(OFFSET(TblMili[[#This Row],[Train Unit 1]],-8,0):TblMili[[#This Row],[Train Unit 2]]) + SUM(OFFSET(TblMili[[#This Row],[Train Unit 3]],-11,0):TblMili[[#This Row],[Train AM]]) + TblMili[[#This Row],[Draftees]]</f>
        <v>665</v>
      </c>
      <c r="C93" s="157">
        <f ca="1">TblPop[[#This Row],[Military%]]</f>
        <v>0.61802973977695164</v>
      </c>
      <c r="D93" s="142"/>
      <c r="E93" s="45">
        <f ca="1">OFFSET(TblMili[[#This Row],[Unit 1]],-1,0) + OFFSET(TblMili[[#This Row],[Train Unit 1]],-9,0) - TblMili[[#This Row],[Release Unit 1]] + OFFSET(TblMili[[#This Row],[DnD_Zombies]],-12,0)</f>
        <v>0</v>
      </c>
      <c r="F93" s="45">
        <f ca="1">OFFSET(TblMili[[#This Row],[Unit 2]],-1,0) + OFFSET(TblMili[[#This Row],[Train Unit 2]],-9,0)-TblMili[[#This Row],[Release Unit 2]]</f>
        <v>0</v>
      </c>
      <c r="G93" s="45">
        <f ca="1">OFFSET(TblMili[[#This Row],[Unit 3]],-1,0) + OFFSET(TblMili[[#This Row],[Train Unit 3]],-12,0)-TblMili[[#This Row],[Release Unit 3]]</f>
        <v>0</v>
      </c>
      <c r="H93" s="45">
        <f ca="1">OFFSET(TblMili[[#This Row],[Unit 4]],-1,0) + OFFSET(TblMili[[#This Row],[Train Unit 4]],-12,0)-TblMili[[#This Row],[Release Unit 4]]</f>
        <v>0</v>
      </c>
      <c r="I93" s="45">
        <f ca="1">OFFSET(TblMili[[#This Row],[Spies]],-1,0) + OFFSET(TblMili[[#This Row],[Train Spies]],-12,0) - TblMili[[#This Row],[Release Spies]]-TblMili[[#This Row],[Train AS]]</f>
        <v>0</v>
      </c>
      <c r="J93" s="45">
        <f ca="1">OFFSET(TblMili[[#This Row],[Archspies]],-1,0) + OFFSET(TblMili[[#This Row],[Train AS]],-12,0) - TblMili[[#This Row],[Release AS]]</f>
        <v>0</v>
      </c>
      <c r="K93" s="45">
        <f ca="1">OFFSET(TblMili[[#This Row],[Wizards]],-1,0) + OFFSET(TblMili[[#This Row],[Train Wiz]],-12,0) - TblMili[[#This Row],[Release Wizards]]-TblMili[[#This Row],[Train AM]]</f>
        <v>0</v>
      </c>
      <c r="L93" s="45">
        <f ca="1">OFFSET(TblMili[[#This Row],[Archmages]],-1,0) + OFFSET(TblMili[[#This Row],[Train AM]],-12,0) - TblMili[[#This Row],[Release AM]]</f>
        <v>0</v>
      </c>
      <c r="M93" s="142"/>
      <c r="N93" s="94">
        <f ca="1">TblProd[[#This Row],[Networth]]</f>
        <v>2450</v>
      </c>
      <c r="O93" s="142"/>
      <c r="P9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3" s="247">
        <f ca="1">TblMili[[#This Row],[Raw]]*(1+TblMili[[#This Row],[Mods_Off]])</f>
        <v>0</v>
      </c>
      <c r="S9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3" s="247">
        <f ca="1">TblMili[[#This Row],[Non Draft]]+TblMili[[#This Row],[Draftees]]</f>
        <v>665</v>
      </c>
      <c r="U93" s="248">
        <f ca="1">race_defense + TblImps[[#This Row],[Walls]] + ROUND( MIN(gt_bonus*TblConstr[[#This Row],[Tot GT]]/TblConstr[[#This Row],[Land]],gt_bonus_cap), 4) + IF(TblMagic[[#This Row],[Active Howling]]&gt;0,howling_dp_bonus,IF(TblMagic[[#This Row],[Active Ares Call]]&gt;0,ares_call_bonus))</f>
        <v>0</v>
      </c>
      <c r="V93" s="249">
        <f ca="1">TblMili[[#This Row],[Non Draft]] * (1 + TblMili[[#This Row],[Mods_Def]])</f>
        <v>0</v>
      </c>
      <c r="W93" s="247">
        <f ca="1">TblMili[[#This Row],[Draft]] * (1 + TblMili[[#This Row],[Mods_Def]])</f>
        <v>665</v>
      </c>
      <c r="X93" s="247">
        <f ca="1">TblConstr[[#This Row],[Land]]</f>
        <v>110</v>
      </c>
      <c r="Y93" s="250"/>
      <c r="Z93" s="255">
        <f ca="1">IF(TblMili[[#This Row],[Set]]&lt;&gt;"",TblMili[[#This Row],[Set]],OFFSET(TblMili[[#This Row],[Draftrate]],-1,0))</f>
        <v>0.9</v>
      </c>
      <c r="AA93" s="94">
        <f ca="1">OFFSET(TblMili[[#This Row],[Draftees]],-1,0)+OFFSET(TblPop[[#This Row],[Draft Growth]],-1,0) - SUM(TblMili[[#This Row],[Train Unit 1]:[Train Spies]],TblMili[[#This Row],[Train Wiz]],TblMili[[#This Row],[DnD_Zombies]]) - TblMili[[#This Row],[Release Draft]] + SUM(TblMili[[#This Row],[Release Unit 1]:[Release AM]]) - TblExplore[[#This Row],[Draftees (2)]]</f>
        <v>665</v>
      </c>
      <c r="AB93" s="154"/>
      <c r="AC93" s="180">
        <f ca="1">(TblConstr[[#This Row],[Tot Smi]]+TblConstr[[#This Row],[Dest Smi]])/(TblConstr[[#This Row],[Land]]-TblExplore[[#This Row],[Land Bonus]]*20)</f>
        <v>0</v>
      </c>
      <c r="AD93" s="137"/>
      <c r="AE93" s="246">
        <f>TblMili[[#This Row],[Hour]]</f>
        <v>90</v>
      </c>
      <c r="AF93" s="138">
        <f ca="1">TblExplore[[#This Row],[Time]]</f>
        <v>46050.708333333117</v>
      </c>
      <c r="AG93" s="179"/>
      <c r="AH93" s="179"/>
      <c r="AI93" s="179"/>
      <c r="AJ93" s="179"/>
      <c r="AK93" s="179"/>
      <c r="AL93" s="179"/>
      <c r="AM93" s="179"/>
      <c r="AN93" s="179"/>
      <c r="AO93" s="420">
        <f ca="1">ROUND(IF(AND(TblMagic[[#This Row],[Active DnD]]&lt;12,TblMagic[[#This Row],[Active DnD]]&gt;5),OFFSET(TblPop[[#This Row],[Draft Growth]],-1,0)*0.375,0),0)</f>
        <v>0</v>
      </c>
      <c r="AP93" s="142"/>
      <c r="AQ93" s="94">
        <f ca="1">TblProd[[#This Row],[Platinum]]</f>
        <v>189220</v>
      </c>
      <c r="AR93" s="94">
        <f ca="1">INDEX(TblProd[[#Headers],[Lumber]]:TblProd[[#This Row],[Ore]],COUNTA(TblProd[[#Headers],[Lumber]]:TblProd[[#This Row],[Lumber]]),MATCH(Military!$AR$2,TblProd[[#Headers],[Lumber]:[Ore]],0))</f>
        <v>0</v>
      </c>
      <c r="AS9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3" s="94">
        <f ca="1">TblMili[[#This Row],[Train Unit 1]]*TblMili[[#This Row],[OP Ore]]+TblMili[[#This Row],[Train Unit 2]]*TblMili[[#This Row],[DP Ore]]+TblMili[[#This Row],[Train Unit 3]]*TblMili[[#This Row],[E1 Ore]]+TblMili[[#This Row],[Train Unit 4]]*TblMili[[#This Row],[E2 Ore]]</f>
        <v>0</v>
      </c>
      <c r="AU93" s="142">
        <f>TblMili[[#This Row],[Hour]]</f>
        <v>90</v>
      </c>
      <c r="AV93" s="152">
        <f ca="1">TblMili[[#This Row],[Time]]</f>
        <v>46050.708333333117</v>
      </c>
      <c r="AW93" s="94">
        <f ca="1">TblMili[[#This Row],[Draftees]]</f>
        <v>665</v>
      </c>
      <c r="AX93" s="179"/>
      <c r="AY93" s="179"/>
      <c r="AZ93" s="179"/>
      <c r="BA93" s="179"/>
      <c r="BB93" s="179"/>
      <c r="BC93" s="179"/>
      <c r="BD93" s="179"/>
      <c r="BE93" s="179"/>
      <c r="BF93" s="179"/>
      <c r="BG93" s="142"/>
      <c r="BH93" s="157">
        <f ca="1">TblConstr[[#This Row],[Tot WG]]/TblConstr[[#This Row],[Land]]</f>
        <v>0</v>
      </c>
      <c r="BI93" s="157">
        <f ca="1">TblConstr[[#This Row],[Tot Hav]]/TblConstr[[#This Row],[Land]]</f>
        <v>0</v>
      </c>
      <c r="BJ93" s="94">
        <f ca="1">ROUNDUP((1-MIN(TblMili[[#This Row],[Smithies]]*smithy_bonus,smithy_bonus_cap) + tech_3_5*TblTech[[#This Row],[3-5]] + tech_5_3*TblTech[[#This Row],[5-3]] + tech_5_5*TblTech[[#This Row],[5-5]])*spec_op_plat,0)</f>
        <v>275</v>
      </c>
      <c r="BK93" s="94">
        <f ca="1">ROUNDUP(IF(race="Gnome",1,(1-MIN(TblMili[[#This Row],[Smithies]]*smithy_bonus,smithy_bonus_cap) + tech_3_5*TblTech[[#This Row],[3-5]] + tech_5_3*TblTech[[#This Row],[5-3]] + tech_5_5*TblTech[[#This Row],[5-5]]))*spec_op_ore,0)</f>
        <v>25</v>
      </c>
      <c r="BL93" s="94">
        <f ca="1">ROUNDUP((1-MIN(TblMili[[#This Row],[Smithies]]*smithy_bonus,smithy_bonus_cap) + tech_3_5*TblTech[[#This Row],[3-5]] + tech_5_3*TblTech[[#This Row],[5-3]] + tech_5_5*TblTech[[#This Row],[5-5]])*spec_dp_plat,0)</f>
        <v>275</v>
      </c>
      <c r="BM93" s="94">
        <f ca="1">ROUNDUP(IF(race="Gnome",1,(1-MIN(TblMili[[#This Row],[Smithies]]*smithy_bonus,smithy_bonus_cap) + tech_3_5*TblTech[[#This Row],[3-5]] + tech_5_3*TblTech[[#This Row],[5-3]] + tech_5_5*TblTech[[#This Row],[5-5]]))*spec_dp_ore,0)</f>
        <v>15</v>
      </c>
      <c r="BN93" s="94">
        <f ca="1">ROUNDUP((1-MIN(TblMili[[#This Row],[Smithies]]*smithy_bonus,smithy_bonus_cap) + tech_3_5*TblTech[[#This Row],[3-5]] + tech_5_3*TblTech[[#This Row],[5-3]] + tech_5_5*TblTech[[#This Row],[5-5]])*elite1_plat,0)</f>
        <v>1040</v>
      </c>
      <c r="BO93" s="94">
        <f ca="1">ROUNDUP(IF(race="Gnome",1,(1-MIN(TblMili[[#This Row],[Smithies]]*smithy_bonus,smithy_bonus_cap) + tech_3_5*TblTech[[#This Row],[3-5]] + tech_5_3*TblTech[[#This Row],[5-3]] + tech_5_5*TblTech[[#This Row],[5-5]]))*elite1_ore,0)</f>
        <v>75</v>
      </c>
      <c r="BP93" s="94">
        <f ca="1">ROUNDUP((1-MIN(TblMili[[#This Row],[Smithies]]*smithy_bonus,smithy_bonus_cap) + tech_3_5*TblTech[[#This Row],[3-5]] + tech_5_3*TblTech[[#This Row],[5-3]] + tech_5_5*TblTech[[#This Row],[5-5]])*elite2_plat,0)</f>
        <v>1280</v>
      </c>
      <c r="BQ93" s="94">
        <f ca="1">ROUNDUP(IF(race="Gnome",1,(1-MIN(TblMili[[#This Row],[Smithies]]*smithy_bonus,smithy_bonus_cap) + tech_3_5*TblTech[[#This Row],[3-5]] + tech_5_3*TblTech[[#This Row],[5-3]] + tech_5_5*TblTech[[#This Row],[5-5]]))*elite2_ore,0)</f>
        <v>100</v>
      </c>
      <c r="BR93" s="94">
        <f ca="1">ROUNDUP((1-MIN(ROUND(fh_spy_cost_red*TblMili[[#This Row],[FH''s]],4),fh_spy_cost_cap)+ tech_1_9*TblTech[[#This Row],[1-9]] + tech_9_1*TblTech[[#This Row],[9-1]])*spy_plat,0)</f>
        <v>500</v>
      </c>
      <c r="BS93" s="94">
        <f ca="1">ROUNDUP((1-MIN(ROUND(fh_spy_cost_red*TblMili[[#This Row],[FH''s]],4),fh_spy_cost_cap)+ tech_1_9*TblTech[[#This Row],[1-9]] + tech_9_1*TblTech[[#This Row],[9-1]])*archspy_plat,0)</f>
        <v>1000</v>
      </c>
      <c r="BT93" s="94">
        <f ca="1">ROUNDUP((1-MIN(ROUND(wg_wiz_cost_bonus*TblMili[[#This Row],[WG''s]],4),wg_wiz_cost_cap) + tech_1_9_2*TblTech[[#This Row],[1-9]] + tech_9_1_2*TblTech[[#This Row],[9-1]])*wizard_plat,0)</f>
        <v>500</v>
      </c>
      <c r="BU93" s="94">
        <f ca="1">ROUNDUP((1-MIN(ROUND(wg_wiz_cost_bonus*TblMili[[#This Row],[WG''s]],4),wg_wiz_cost_cap) + tech_1_9_2*TblTech[[#This Row],[1-9]] + tech_9_1_2*TblTech[[#This Row],[9-1]])*archmage_plat,0)</f>
        <v>1000</v>
      </c>
      <c r="BV93" s="142"/>
      <c r="BW93" s="157">
        <f ca="1">TblConstr[[#This Row],[Homeland]]/TblConstr[[#This Row],[Land]]</f>
        <v>0.81818181818181823</v>
      </c>
      <c r="BX93" s="157">
        <f ca="1">TblMili[[#This Row],[WG''s]]</f>
        <v>0</v>
      </c>
      <c r="BY93" s="251">
        <f ca="1">IF(mystic_cap="none",TblMili[[#This Row],[Homeland%]]/mystic_bonus,MIN(mystic_cap,TblMili[[#This Row],[Homeland%]]/mystic_bonus))</f>
        <v>2</v>
      </c>
      <c r="BZ93" s="251">
        <f ca="1">IF(druid_op_cap="none",TblMili[[#This Row],[Homeland%]]/druid_op_bonus,MIN(druid_op_cap,TblMili[[#This Row],[Homeland%]]/druid_op_bonus))</f>
        <v>2</v>
      </c>
      <c r="CA93" s="251">
        <f ca="1">IF(druid_dp_cap="none",TblMili[[#This Row],[Homeland%]]/druid_dp_bonus,MIN(druid_dp_cap,TblMili[[#This Row],[Homeland%]]/druid_dp_bonus))</f>
        <v>2</v>
      </c>
      <c r="CB93" s="251">
        <f ca="1">MIN(dryad_cap,TblMili[[#This Row],[Homeland%]]/dryad_bonus)</f>
        <v>4</v>
      </c>
      <c r="CC93" s="251">
        <f ca="1">MIN(rocka_cap,TblMili[[#This Row],[Homeland%]]/rocka_bonus)</f>
        <v>2</v>
      </c>
      <c r="CD93" s="251">
        <f ca="1">MIN(adept_op_cap,TblMili[[#This Row],[WG]]/adept_op_bonus)</f>
        <v>0</v>
      </c>
      <c r="CE93" s="251">
        <f ca="1">MIN(adept_dp_cap,TblMili[[#This Row],[WG]]/adept_dp_bonus)</f>
        <v>0</v>
      </c>
      <c r="CF93" s="94">
        <f ca="1">MIN(TblMili[[#This Row],[Unit 3]],TblMili[[#This Row],[Unit 2]])*2</f>
        <v>0</v>
      </c>
      <c r="CG93" s="94">
        <f ca="1">MIN(TblMili[[#This Row],[Unit 1]],TblMili[[#This Row],[Unit 4]])*2</f>
        <v>0</v>
      </c>
      <c r="CH93" s="251">
        <f ca="1">MIN(frost_mage_cap,TblMili[[#This Row],[Homeland%]]/frost_mage_bonus)</f>
        <v>3</v>
      </c>
      <c r="CI93" s="45">
        <f ca="1">MIN(ice_elem_cap,TblMili[[#This Row],[Raw (2)]]*ice_elem_bonus)</f>
        <v>0</v>
      </c>
      <c r="CJ93" s="251">
        <f t="shared" si="3"/>
        <v>0.83333333333333337</v>
      </c>
      <c r="CK93" s="251">
        <f ca="1">MIN(nox_nightshade_cap,TblConstr[[#This Row],[Homeland]]/TblConstr[[#This Row],[Land]]/nox_nightshade_swamp_bonus)</f>
        <v>4</v>
      </c>
      <c r="CL93" s="251">
        <f ca="1">MIN(TblConstr[[#This Row],[Total Swamp]]/TblConstr[[#This Row],[Land]]/abyss_enforce_bonus,abyss_enforcer_cap)</f>
        <v>0</v>
      </c>
      <c r="CM93" s="251">
        <f ca="1">IF(TblMagic[[#This Row],[Active Infernal Command]]&gt;0,TblMili[[#This Row],[Unit 1]]*infernal_cmd_op,0)</f>
        <v>0</v>
      </c>
      <c r="CN93" s="252"/>
      <c r="CO93" s="252"/>
      <c r="CP93" s="252"/>
      <c r="CQ93" s="251">
        <f ca="1">MIN(6,TblMili[[#This Row],[Mystic]]+Races!$F$19)*1.8 +  IF(TblMili[[#This Row],[Mystic]]+Races!$F$19&gt;6,(TblMili[[#This Row],[Mystic]]+Races!$F$19-6)*0.2,0) - Races!$I$19</f>
        <v>1</v>
      </c>
      <c r="CR9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3" s="94">
        <f ca="1">TblMili[[#This Row],[Mystic bonus]]*TblMili[[#This Row],[Unit 3]]+TblMili[[#This Row],[Druid bonus]]*TblMili[[#This Row],[Unit 4]]</f>
        <v>0</v>
      </c>
      <c r="CT93" s="155">
        <f ca="1">MIN(6,TblMili[[#This Row],[Dryad]]+Races!$F$35)*1.8 +  IF(TblMili[[#This Row],[Dryad]]+Races!$F$35&gt;6,(TblMili[[#This Row],[Dryad]]+Races!$F$35-6)*0.2,0) - Races!$I$19</f>
        <v>1</v>
      </c>
      <c r="CU93" s="94">
        <f ca="1">sylvan*(TblMili[[#This Row],[Mystic bonus]]*TblMili[[#This Row],[Unit 3]])</f>
        <v>0</v>
      </c>
      <c r="CV93" s="155">
        <f ca="1">1.8 * MIN(MAX(Races!$E$27,TblMili[[#This Row],[Rockapult]]+Races!$F$27),6)  +  0.45 * MIN(MIN(Races!$E$27,TblMili[[#This Row],[Rockapult]]+Races!$F$27),6)  +  0.2 * ( MAX(Races!$E$27-6,0) + MAX(TblMili[[#This Row],[Rockapult]]+Races!$F$27-6,0) )  -  Races!$I$20</f>
        <v>3.7000000000000011</v>
      </c>
      <c r="CW93" s="94">
        <f ca="1">gnome*(TblMili[[#This Row],[Rockapult bonus]]*TblMili[[#This Row],[Unit 3]])</f>
        <v>0</v>
      </c>
      <c r="CX9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3" s="94">
        <f ca="1">dark_elf*(TblMili[[#This Row],[Adept bonus]]*TblMili[[#This Row],[Unit 3]])</f>
        <v>0</v>
      </c>
      <c r="CZ93" s="155">
        <f ca="1">1.8 * MIN(MAX(TblMili[[#This Row],[Frost Mage]]+Races!$F$71,Races!$E$71),6)  +  0.45 * MIN(MIN(TblMili[[#This Row],[Frost Mage]]+Races!$F$71,Races!$E$71),6)  +  0.2 * ( MAX(TblMili[[#This Row],[Frost Mage]]+Races!$F$71-6,0) + MAX(Races!$E$71-6,0) )  -  Races!$I$71</f>
        <v>6.15</v>
      </c>
      <c r="DA93" s="155">
        <f ca="1">1.8 * MIN(MAX(TblMili[[#This Row],[Ice Elemental]]+Races!$E$71,Races!$F$71),6)  +  0.45 * MIN(MIN(TblMili[[#This Row],[Ice Elemental]]+Races!$E$71,Races!$F$71),6)  +  0.2 * ( MAX(TblMili[[#This Row],[Ice Elemental]]+Races!$E$71-6,0) + MAX(Races!$F$71-6,0) )  -  Races!$I$71</f>
        <v>0.75</v>
      </c>
      <c r="DB93" s="94">
        <f ca="1">TblMili[[#This Row],[Frost Mage bonus]]*TblMili[[#This Row],[Unit 3]]+TblMili[[#This Row],[Ice Elemental bonus]]*TblMili[[#This Row],[Unit 4]]</f>
        <v>0</v>
      </c>
      <c r="DC93" s="253"/>
      <c r="DD93" s="143">
        <f ca="1">MIN(SUM(TblConstr[[#This Row],[Plain]:[Water]])/TblMili[[#This Row],[Land]]/favorable_terrain_bonus/100,favorable_terrain_max)</f>
        <v>0.1</v>
      </c>
      <c r="DE93" s="253"/>
      <c r="DF9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3" s="142"/>
      <c r="DH93" s="254">
        <f ca="1">(TblMili[[#This Row],[Wizards]]+2*TblMili[[#This Row],[Archmages]])/TblConstr[[#This Row],[Land]]</f>
        <v>0</v>
      </c>
      <c r="DI93" s="254">
        <f ca="1">TblMili[[#This Row],[Raw (2)]]*(1+race_wizard_strength+IF(TblMili[[#This Row],[Hour]]&gt;72,tech_magical_weaponry_wiz*TblTech[[#This Row],[3-5]],0))</f>
        <v>0</v>
      </c>
    </row>
    <row r="94" spans="1:113" x14ac:dyDescent="0.2">
      <c r="A94" s="137">
        <f>TblRezone[[#This Row],[Hour]]</f>
        <v>91</v>
      </c>
      <c r="B94" s="246">
        <f ca="1">SUM(TblMili[[#This Row],[Unit 1]:[Archmages]])+SUM(OFFSET(TblMili[[#This Row],[Train Unit 1]],-8,0):TblMili[[#This Row],[Train Unit 2]]) + SUM(OFFSET(TblMili[[#This Row],[Train Unit 3]],-11,0):TblMili[[#This Row],[Train AM]]) + TblMili[[#This Row],[Draftees]]</f>
        <v>669</v>
      </c>
      <c r="C94" s="157">
        <f ca="1">TblPop[[#This Row],[Military%]]</f>
        <v>0.62174721189591076</v>
      </c>
      <c r="D94" s="142"/>
      <c r="E94" s="45">
        <f ca="1">OFFSET(TblMili[[#This Row],[Unit 1]],-1,0) + OFFSET(TblMili[[#This Row],[Train Unit 1]],-9,0) - TblMili[[#This Row],[Release Unit 1]] + OFFSET(TblMili[[#This Row],[DnD_Zombies]],-12,0)</f>
        <v>0</v>
      </c>
      <c r="F94" s="45">
        <f ca="1">OFFSET(TblMili[[#This Row],[Unit 2]],-1,0) + OFFSET(TblMili[[#This Row],[Train Unit 2]],-9,0)-TblMili[[#This Row],[Release Unit 2]]</f>
        <v>0</v>
      </c>
      <c r="G94" s="45">
        <f ca="1">OFFSET(TblMili[[#This Row],[Unit 3]],-1,0) + OFFSET(TblMili[[#This Row],[Train Unit 3]],-12,0)-TblMili[[#This Row],[Release Unit 3]]</f>
        <v>0</v>
      </c>
      <c r="H94" s="45">
        <f ca="1">OFFSET(TblMili[[#This Row],[Unit 4]],-1,0) + OFFSET(TblMili[[#This Row],[Train Unit 4]],-12,0)-TblMili[[#This Row],[Release Unit 4]]</f>
        <v>0</v>
      </c>
      <c r="I94" s="45">
        <f ca="1">OFFSET(TblMili[[#This Row],[Spies]],-1,0) + OFFSET(TblMili[[#This Row],[Train Spies]],-12,0) - TblMili[[#This Row],[Release Spies]]-TblMili[[#This Row],[Train AS]]</f>
        <v>0</v>
      </c>
      <c r="J94" s="45">
        <f ca="1">OFFSET(TblMili[[#This Row],[Archspies]],-1,0) + OFFSET(TblMili[[#This Row],[Train AS]],-12,0) - TblMili[[#This Row],[Release AS]]</f>
        <v>0</v>
      </c>
      <c r="K94" s="45">
        <f ca="1">OFFSET(TblMili[[#This Row],[Wizards]],-1,0) + OFFSET(TblMili[[#This Row],[Train Wiz]],-12,0) - TblMili[[#This Row],[Release Wizards]]-TblMili[[#This Row],[Train AM]]</f>
        <v>0</v>
      </c>
      <c r="L94" s="45">
        <f ca="1">OFFSET(TblMili[[#This Row],[Archmages]],-1,0) + OFFSET(TblMili[[#This Row],[Train AM]],-12,0) - TblMili[[#This Row],[Release AM]]</f>
        <v>0</v>
      </c>
      <c r="M94" s="142"/>
      <c r="N94" s="94">
        <f ca="1">TblProd[[#This Row],[Networth]]</f>
        <v>2450</v>
      </c>
      <c r="O94" s="142"/>
      <c r="P9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4" s="247">
        <f ca="1">TblMili[[#This Row],[Raw]]*(1+TblMili[[#This Row],[Mods_Off]])</f>
        <v>0</v>
      </c>
      <c r="S9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4" s="247">
        <f ca="1">TblMili[[#This Row],[Non Draft]]+TblMili[[#This Row],[Draftees]]</f>
        <v>669</v>
      </c>
      <c r="U94" s="248">
        <f ca="1">race_defense + TblImps[[#This Row],[Walls]] + ROUND( MIN(gt_bonus*TblConstr[[#This Row],[Tot GT]]/TblConstr[[#This Row],[Land]],gt_bonus_cap), 4) + IF(TblMagic[[#This Row],[Active Howling]]&gt;0,howling_dp_bonus,IF(TblMagic[[#This Row],[Active Ares Call]]&gt;0,ares_call_bonus))</f>
        <v>0</v>
      </c>
      <c r="V94" s="249">
        <f ca="1">TblMili[[#This Row],[Non Draft]] * (1 + TblMili[[#This Row],[Mods_Def]])</f>
        <v>0</v>
      </c>
      <c r="W94" s="247">
        <f ca="1">TblMili[[#This Row],[Draft]] * (1 + TblMili[[#This Row],[Mods_Def]])</f>
        <v>669</v>
      </c>
      <c r="X94" s="247">
        <f ca="1">TblConstr[[#This Row],[Land]]</f>
        <v>110</v>
      </c>
      <c r="Y94" s="250"/>
      <c r="Z94" s="255">
        <f ca="1">IF(TblMili[[#This Row],[Set]]&lt;&gt;"",TblMili[[#This Row],[Set]],OFFSET(TblMili[[#This Row],[Draftrate]],-1,0))</f>
        <v>0.9</v>
      </c>
      <c r="AA94" s="94">
        <f ca="1">OFFSET(TblMili[[#This Row],[Draftees]],-1,0)+OFFSET(TblPop[[#This Row],[Draft Growth]],-1,0) - SUM(TblMili[[#This Row],[Train Unit 1]:[Train Spies]],TblMili[[#This Row],[Train Wiz]],TblMili[[#This Row],[DnD_Zombies]]) - TblMili[[#This Row],[Release Draft]] + SUM(TblMili[[#This Row],[Release Unit 1]:[Release AM]]) - TblExplore[[#This Row],[Draftees (2)]]</f>
        <v>669</v>
      </c>
      <c r="AB94" s="154"/>
      <c r="AC94" s="180">
        <f ca="1">(TblConstr[[#This Row],[Tot Smi]]+TblConstr[[#This Row],[Dest Smi]])/(TblConstr[[#This Row],[Land]]-TblExplore[[#This Row],[Land Bonus]]*20)</f>
        <v>0</v>
      </c>
      <c r="AD94" s="137"/>
      <c r="AE94" s="246">
        <f>TblMili[[#This Row],[Hour]]</f>
        <v>91</v>
      </c>
      <c r="AF94" s="138">
        <f ca="1">TblExplore[[#This Row],[Time]]</f>
        <v>46050.749999999782</v>
      </c>
      <c r="AG94" s="179"/>
      <c r="AH94" s="179"/>
      <c r="AI94" s="179"/>
      <c r="AJ94" s="179"/>
      <c r="AK94" s="179"/>
      <c r="AL94" s="179"/>
      <c r="AM94" s="179"/>
      <c r="AN94" s="179"/>
      <c r="AO94" s="420">
        <f ca="1">ROUND(IF(AND(TblMagic[[#This Row],[Active DnD]]&lt;12,TblMagic[[#This Row],[Active DnD]]&gt;5),OFFSET(TblPop[[#This Row],[Draft Growth]],-1,0)*0.375,0),0)</f>
        <v>0</v>
      </c>
      <c r="AP94" s="142"/>
      <c r="AQ94" s="94">
        <f ca="1">TblProd[[#This Row],[Platinum]]</f>
        <v>190329</v>
      </c>
      <c r="AR94" s="94">
        <f ca="1">INDEX(TblProd[[#Headers],[Lumber]]:TblProd[[#This Row],[Ore]],COUNTA(TblProd[[#Headers],[Lumber]]:TblProd[[#This Row],[Lumber]]),MATCH(Military!$AR$2,TblProd[[#Headers],[Lumber]:[Ore]],0))</f>
        <v>0</v>
      </c>
      <c r="AS9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4" s="94">
        <f ca="1">TblMili[[#This Row],[Train Unit 1]]*TblMili[[#This Row],[OP Ore]]+TblMili[[#This Row],[Train Unit 2]]*TblMili[[#This Row],[DP Ore]]+TblMili[[#This Row],[Train Unit 3]]*TblMili[[#This Row],[E1 Ore]]+TblMili[[#This Row],[Train Unit 4]]*TblMili[[#This Row],[E2 Ore]]</f>
        <v>0</v>
      </c>
      <c r="AU94" s="142">
        <f>TblMili[[#This Row],[Hour]]</f>
        <v>91</v>
      </c>
      <c r="AV94" s="152">
        <f ca="1">TblMili[[#This Row],[Time]]</f>
        <v>46050.749999999782</v>
      </c>
      <c r="AW94" s="94">
        <f ca="1">TblMili[[#This Row],[Draftees]]</f>
        <v>669</v>
      </c>
      <c r="AX94" s="179"/>
      <c r="AY94" s="179"/>
      <c r="AZ94" s="179"/>
      <c r="BA94" s="179"/>
      <c r="BB94" s="179"/>
      <c r="BC94" s="179"/>
      <c r="BD94" s="179"/>
      <c r="BE94" s="179"/>
      <c r="BF94" s="179"/>
      <c r="BG94" s="142"/>
      <c r="BH94" s="157">
        <f ca="1">TblConstr[[#This Row],[Tot WG]]/TblConstr[[#This Row],[Land]]</f>
        <v>0</v>
      </c>
      <c r="BI94" s="157">
        <f ca="1">TblConstr[[#This Row],[Tot Hav]]/TblConstr[[#This Row],[Land]]</f>
        <v>0</v>
      </c>
      <c r="BJ94" s="94">
        <f ca="1">ROUNDUP((1-MIN(TblMili[[#This Row],[Smithies]]*smithy_bonus,smithy_bonus_cap) + tech_3_5*TblTech[[#This Row],[3-5]] + tech_5_3*TblTech[[#This Row],[5-3]] + tech_5_5*TblTech[[#This Row],[5-5]])*spec_op_plat,0)</f>
        <v>275</v>
      </c>
      <c r="BK94" s="94">
        <f ca="1">ROUNDUP(IF(race="Gnome",1,(1-MIN(TblMili[[#This Row],[Smithies]]*smithy_bonus,smithy_bonus_cap) + tech_3_5*TblTech[[#This Row],[3-5]] + tech_5_3*TblTech[[#This Row],[5-3]] + tech_5_5*TblTech[[#This Row],[5-5]]))*spec_op_ore,0)</f>
        <v>25</v>
      </c>
      <c r="BL94" s="94">
        <f ca="1">ROUNDUP((1-MIN(TblMili[[#This Row],[Smithies]]*smithy_bonus,smithy_bonus_cap) + tech_3_5*TblTech[[#This Row],[3-5]] + tech_5_3*TblTech[[#This Row],[5-3]] + tech_5_5*TblTech[[#This Row],[5-5]])*spec_dp_plat,0)</f>
        <v>275</v>
      </c>
      <c r="BM94" s="94">
        <f ca="1">ROUNDUP(IF(race="Gnome",1,(1-MIN(TblMili[[#This Row],[Smithies]]*smithy_bonus,smithy_bonus_cap) + tech_3_5*TblTech[[#This Row],[3-5]] + tech_5_3*TblTech[[#This Row],[5-3]] + tech_5_5*TblTech[[#This Row],[5-5]]))*spec_dp_ore,0)</f>
        <v>15</v>
      </c>
      <c r="BN94" s="94">
        <f ca="1">ROUNDUP((1-MIN(TblMili[[#This Row],[Smithies]]*smithy_bonus,smithy_bonus_cap) + tech_3_5*TblTech[[#This Row],[3-5]] + tech_5_3*TblTech[[#This Row],[5-3]] + tech_5_5*TblTech[[#This Row],[5-5]])*elite1_plat,0)</f>
        <v>1040</v>
      </c>
      <c r="BO94" s="94">
        <f ca="1">ROUNDUP(IF(race="Gnome",1,(1-MIN(TblMili[[#This Row],[Smithies]]*smithy_bonus,smithy_bonus_cap) + tech_3_5*TblTech[[#This Row],[3-5]] + tech_5_3*TblTech[[#This Row],[5-3]] + tech_5_5*TblTech[[#This Row],[5-5]]))*elite1_ore,0)</f>
        <v>75</v>
      </c>
      <c r="BP94" s="94">
        <f ca="1">ROUNDUP((1-MIN(TblMili[[#This Row],[Smithies]]*smithy_bonus,smithy_bonus_cap) + tech_3_5*TblTech[[#This Row],[3-5]] + tech_5_3*TblTech[[#This Row],[5-3]] + tech_5_5*TblTech[[#This Row],[5-5]])*elite2_plat,0)</f>
        <v>1280</v>
      </c>
      <c r="BQ94" s="94">
        <f ca="1">ROUNDUP(IF(race="Gnome",1,(1-MIN(TblMili[[#This Row],[Smithies]]*smithy_bonus,smithy_bonus_cap) + tech_3_5*TblTech[[#This Row],[3-5]] + tech_5_3*TblTech[[#This Row],[5-3]] + tech_5_5*TblTech[[#This Row],[5-5]]))*elite2_ore,0)</f>
        <v>100</v>
      </c>
      <c r="BR94" s="94">
        <f ca="1">ROUNDUP((1-MIN(ROUND(fh_spy_cost_red*TblMili[[#This Row],[FH''s]],4),fh_spy_cost_cap)+ tech_1_9*TblTech[[#This Row],[1-9]] + tech_9_1*TblTech[[#This Row],[9-1]])*spy_plat,0)</f>
        <v>500</v>
      </c>
      <c r="BS94" s="94">
        <f ca="1">ROUNDUP((1-MIN(ROUND(fh_spy_cost_red*TblMili[[#This Row],[FH''s]],4),fh_spy_cost_cap)+ tech_1_9*TblTech[[#This Row],[1-9]] + tech_9_1*TblTech[[#This Row],[9-1]])*archspy_plat,0)</f>
        <v>1000</v>
      </c>
      <c r="BT94" s="94">
        <f ca="1">ROUNDUP((1-MIN(ROUND(wg_wiz_cost_bonus*TblMili[[#This Row],[WG''s]],4),wg_wiz_cost_cap) + tech_1_9_2*TblTech[[#This Row],[1-9]] + tech_9_1_2*TblTech[[#This Row],[9-1]])*wizard_plat,0)</f>
        <v>500</v>
      </c>
      <c r="BU94" s="94">
        <f ca="1">ROUNDUP((1-MIN(ROUND(wg_wiz_cost_bonus*TblMili[[#This Row],[WG''s]],4),wg_wiz_cost_cap) + tech_1_9_2*TblTech[[#This Row],[1-9]] + tech_9_1_2*TblTech[[#This Row],[9-1]])*archmage_plat,0)</f>
        <v>1000</v>
      </c>
      <c r="BV94" s="142"/>
      <c r="BW94" s="157">
        <f ca="1">TblConstr[[#This Row],[Homeland]]/TblConstr[[#This Row],[Land]]</f>
        <v>0.81818181818181823</v>
      </c>
      <c r="BX94" s="157">
        <f ca="1">TblMili[[#This Row],[WG''s]]</f>
        <v>0</v>
      </c>
      <c r="BY94" s="251">
        <f ca="1">IF(mystic_cap="none",TblMili[[#This Row],[Homeland%]]/mystic_bonus,MIN(mystic_cap,TblMili[[#This Row],[Homeland%]]/mystic_bonus))</f>
        <v>2</v>
      </c>
      <c r="BZ94" s="251">
        <f ca="1">IF(druid_op_cap="none",TblMili[[#This Row],[Homeland%]]/druid_op_bonus,MIN(druid_op_cap,TblMili[[#This Row],[Homeland%]]/druid_op_bonus))</f>
        <v>2</v>
      </c>
      <c r="CA94" s="251">
        <f ca="1">IF(druid_dp_cap="none",TblMili[[#This Row],[Homeland%]]/druid_dp_bonus,MIN(druid_dp_cap,TblMili[[#This Row],[Homeland%]]/druid_dp_bonus))</f>
        <v>2</v>
      </c>
      <c r="CB94" s="251">
        <f ca="1">MIN(dryad_cap,TblMili[[#This Row],[Homeland%]]/dryad_bonus)</f>
        <v>4</v>
      </c>
      <c r="CC94" s="251">
        <f ca="1">MIN(rocka_cap,TblMili[[#This Row],[Homeland%]]/rocka_bonus)</f>
        <v>2</v>
      </c>
      <c r="CD94" s="251">
        <f ca="1">MIN(adept_op_cap,TblMili[[#This Row],[WG]]/adept_op_bonus)</f>
        <v>0</v>
      </c>
      <c r="CE94" s="251">
        <f ca="1">MIN(adept_dp_cap,TblMili[[#This Row],[WG]]/adept_dp_bonus)</f>
        <v>0</v>
      </c>
      <c r="CF94" s="94">
        <f ca="1">MIN(TblMili[[#This Row],[Unit 3]],TblMili[[#This Row],[Unit 2]])*2</f>
        <v>0</v>
      </c>
      <c r="CG94" s="94">
        <f ca="1">MIN(TblMili[[#This Row],[Unit 1]],TblMili[[#This Row],[Unit 4]])*2</f>
        <v>0</v>
      </c>
      <c r="CH94" s="251">
        <f ca="1">MIN(frost_mage_cap,TblMili[[#This Row],[Homeland%]]/frost_mage_bonus)</f>
        <v>3</v>
      </c>
      <c r="CI94" s="45">
        <f ca="1">MIN(ice_elem_cap,TblMili[[#This Row],[Raw (2)]]*ice_elem_bonus)</f>
        <v>0</v>
      </c>
      <c r="CJ94" s="251">
        <f t="shared" si="3"/>
        <v>0.83333333333333337</v>
      </c>
      <c r="CK94" s="251">
        <f ca="1">MIN(nox_nightshade_cap,TblConstr[[#This Row],[Homeland]]/TblConstr[[#This Row],[Land]]/nox_nightshade_swamp_bonus)</f>
        <v>4</v>
      </c>
      <c r="CL94" s="251">
        <f ca="1">MIN(TblConstr[[#This Row],[Total Swamp]]/TblConstr[[#This Row],[Land]]/abyss_enforce_bonus,abyss_enforcer_cap)</f>
        <v>0</v>
      </c>
      <c r="CM94" s="251">
        <f ca="1">IF(TblMagic[[#This Row],[Active Infernal Command]]&gt;0,TblMili[[#This Row],[Unit 1]]*infernal_cmd_op,0)</f>
        <v>0</v>
      </c>
      <c r="CN94" s="252"/>
      <c r="CO94" s="252"/>
      <c r="CP94" s="252"/>
      <c r="CQ94" s="251">
        <f ca="1">MIN(6,TblMili[[#This Row],[Mystic]]+Races!$F$19)*1.8 +  IF(TblMili[[#This Row],[Mystic]]+Races!$F$19&gt;6,(TblMili[[#This Row],[Mystic]]+Races!$F$19-6)*0.2,0) - Races!$I$19</f>
        <v>1</v>
      </c>
      <c r="CR9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4" s="94">
        <f ca="1">TblMili[[#This Row],[Mystic bonus]]*TblMili[[#This Row],[Unit 3]]+TblMili[[#This Row],[Druid bonus]]*TblMili[[#This Row],[Unit 4]]</f>
        <v>0</v>
      </c>
      <c r="CT94" s="155">
        <f ca="1">MIN(6,TblMili[[#This Row],[Dryad]]+Races!$F$35)*1.8 +  IF(TblMili[[#This Row],[Dryad]]+Races!$F$35&gt;6,(TblMili[[#This Row],[Dryad]]+Races!$F$35-6)*0.2,0) - Races!$I$19</f>
        <v>1</v>
      </c>
      <c r="CU94" s="94">
        <f ca="1">sylvan*(TblMili[[#This Row],[Mystic bonus]]*TblMili[[#This Row],[Unit 3]])</f>
        <v>0</v>
      </c>
      <c r="CV94" s="155">
        <f ca="1">1.8 * MIN(MAX(Races!$E$27,TblMili[[#This Row],[Rockapult]]+Races!$F$27),6)  +  0.45 * MIN(MIN(Races!$E$27,TblMili[[#This Row],[Rockapult]]+Races!$F$27),6)  +  0.2 * ( MAX(Races!$E$27-6,0) + MAX(TblMili[[#This Row],[Rockapult]]+Races!$F$27-6,0) )  -  Races!$I$20</f>
        <v>3.7000000000000011</v>
      </c>
      <c r="CW94" s="94">
        <f ca="1">gnome*(TblMili[[#This Row],[Rockapult bonus]]*TblMili[[#This Row],[Unit 3]])</f>
        <v>0</v>
      </c>
      <c r="CX9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4" s="94">
        <f ca="1">dark_elf*(TblMili[[#This Row],[Adept bonus]]*TblMili[[#This Row],[Unit 3]])</f>
        <v>0</v>
      </c>
      <c r="CZ94" s="155">
        <f ca="1">1.8 * MIN(MAX(TblMili[[#This Row],[Frost Mage]]+Races!$F$71,Races!$E$71),6)  +  0.45 * MIN(MIN(TblMili[[#This Row],[Frost Mage]]+Races!$F$71,Races!$E$71),6)  +  0.2 * ( MAX(TblMili[[#This Row],[Frost Mage]]+Races!$F$71-6,0) + MAX(Races!$E$71-6,0) )  -  Races!$I$71</f>
        <v>6.15</v>
      </c>
      <c r="DA94" s="155">
        <f ca="1">1.8 * MIN(MAX(TblMili[[#This Row],[Ice Elemental]]+Races!$E$71,Races!$F$71),6)  +  0.45 * MIN(MIN(TblMili[[#This Row],[Ice Elemental]]+Races!$E$71,Races!$F$71),6)  +  0.2 * ( MAX(TblMili[[#This Row],[Ice Elemental]]+Races!$E$71-6,0) + MAX(Races!$F$71-6,0) )  -  Races!$I$71</f>
        <v>0.75</v>
      </c>
      <c r="DB94" s="94">
        <f ca="1">TblMili[[#This Row],[Frost Mage bonus]]*TblMili[[#This Row],[Unit 3]]+TblMili[[#This Row],[Ice Elemental bonus]]*TblMili[[#This Row],[Unit 4]]</f>
        <v>0</v>
      </c>
      <c r="DC94" s="253"/>
      <c r="DD94" s="143">
        <f ca="1">MIN(SUM(TblConstr[[#This Row],[Plain]:[Water]])/TblMili[[#This Row],[Land]]/favorable_terrain_bonus/100,favorable_terrain_max)</f>
        <v>0.1</v>
      </c>
      <c r="DE94" s="253"/>
      <c r="DF9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4" s="142"/>
      <c r="DH94" s="254">
        <f ca="1">(TblMili[[#This Row],[Wizards]]+2*TblMili[[#This Row],[Archmages]])/TblConstr[[#This Row],[Land]]</f>
        <v>0</v>
      </c>
      <c r="DI94" s="254">
        <f ca="1">TblMili[[#This Row],[Raw (2)]]*(1+race_wizard_strength+IF(TblMili[[#This Row],[Hour]]&gt;72,tech_magical_weaponry_wiz*TblTech[[#This Row],[3-5]],0))</f>
        <v>0</v>
      </c>
    </row>
    <row r="95" spans="1:113" x14ac:dyDescent="0.2">
      <c r="A95" s="137">
        <f>TblRezone[[#This Row],[Hour]]</f>
        <v>92</v>
      </c>
      <c r="B95" s="246">
        <f ca="1">SUM(TblMili[[#This Row],[Unit 1]:[Archmages]])+SUM(OFFSET(TblMili[[#This Row],[Train Unit 1]],-8,0):TblMili[[#This Row],[Train Unit 2]]) + SUM(OFFSET(TblMili[[#This Row],[Train Unit 3]],-11,0):TblMili[[#This Row],[Train AM]]) + TblMili[[#This Row],[Draftees]]</f>
        <v>673</v>
      </c>
      <c r="C95" s="157">
        <f ca="1">TblPop[[#This Row],[Military%]]</f>
        <v>0.62546468401486988</v>
      </c>
      <c r="D95" s="142"/>
      <c r="E95" s="45">
        <f ca="1">OFFSET(TblMili[[#This Row],[Unit 1]],-1,0) + OFFSET(TblMili[[#This Row],[Train Unit 1]],-9,0) - TblMili[[#This Row],[Release Unit 1]] + OFFSET(TblMili[[#This Row],[DnD_Zombies]],-12,0)</f>
        <v>0</v>
      </c>
      <c r="F95" s="45">
        <f ca="1">OFFSET(TblMili[[#This Row],[Unit 2]],-1,0) + OFFSET(TblMili[[#This Row],[Train Unit 2]],-9,0)-TblMili[[#This Row],[Release Unit 2]]</f>
        <v>0</v>
      </c>
      <c r="G95" s="45">
        <f ca="1">OFFSET(TblMili[[#This Row],[Unit 3]],-1,0) + OFFSET(TblMili[[#This Row],[Train Unit 3]],-12,0)-TblMili[[#This Row],[Release Unit 3]]</f>
        <v>0</v>
      </c>
      <c r="H95" s="45">
        <f ca="1">OFFSET(TblMili[[#This Row],[Unit 4]],-1,0) + OFFSET(TblMili[[#This Row],[Train Unit 4]],-12,0)-TblMili[[#This Row],[Release Unit 4]]</f>
        <v>0</v>
      </c>
      <c r="I95" s="45">
        <f ca="1">OFFSET(TblMili[[#This Row],[Spies]],-1,0) + OFFSET(TblMili[[#This Row],[Train Spies]],-12,0) - TblMili[[#This Row],[Release Spies]]-TblMili[[#This Row],[Train AS]]</f>
        <v>0</v>
      </c>
      <c r="J95" s="45">
        <f ca="1">OFFSET(TblMili[[#This Row],[Archspies]],-1,0) + OFFSET(TblMili[[#This Row],[Train AS]],-12,0) - TblMili[[#This Row],[Release AS]]</f>
        <v>0</v>
      </c>
      <c r="K95" s="45">
        <f ca="1">OFFSET(TblMili[[#This Row],[Wizards]],-1,0) + OFFSET(TblMili[[#This Row],[Train Wiz]],-12,0) - TblMili[[#This Row],[Release Wizards]]-TblMili[[#This Row],[Train AM]]</f>
        <v>0</v>
      </c>
      <c r="L95" s="45">
        <f ca="1">OFFSET(TblMili[[#This Row],[Archmages]],-1,0) + OFFSET(TblMili[[#This Row],[Train AM]],-12,0) - TblMili[[#This Row],[Release AM]]</f>
        <v>0</v>
      </c>
      <c r="M95" s="142"/>
      <c r="N95" s="94">
        <f ca="1">TblProd[[#This Row],[Networth]]</f>
        <v>2450</v>
      </c>
      <c r="O95" s="142"/>
      <c r="P9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5" s="247">
        <f ca="1">TblMili[[#This Row],[Raw]]*(1+TblMili[[#This Row],[Mods_Off]])</f>
        <v>0</v>
      </c>
      <c r="S9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5" s="247">
        <f ca="1">TblMili[[#This Row],[Non Draft]]+TblMili[[#This Row],[Draftees]]</f>
        <v>673</v>
      </c>
      <c r="U95" s="248">
        <f ca="1">race_defense + TblImps[[#This Row],[Walls]] + ROUND( MIN(gt_bonus*TblConstr[[#This Row],[Tot GT]]/TblConstr[[#This Row],[Land]],gt_bonus_cap), 4) + IF(TblMagic[[#This Row],[Active Howling]]&gt;0,howling_dp_bonus,IF(TblMagic[[#This Row],[Active Ares Call]]&gt;0,ares_call_bonus))</f>
        <v>0</v>
      </c>
      <c r="V95" s="249">
        <f ca="1">TblMili[[#This Row],[Non Draft]] * (1 + TblMili[[#This Row],[Mods_Def]])</f>
        <v>0</v>
      </c>
      <c r="W95" s="247">
        <f ca="1">TblMili[[#This Row],[Draft]] * (1 + TblMili[[#This Row],[Mods_Def]])</f>
        <v>673</v>
      </c>
      <c r="X95" s="247">
        <f ca="1">TblConstr[[#This Row],[Land]]</f>
        <v>110</v>
      </c>
      <c r="Y95" s="250"/>
      <c r="Z95" s="255">
        <f ca="1">IF(TblMili[[#This Row],[Set]]&lt;&gt;"",TblMili[[#This Row],[Set]],OFFSET(TblMili[[#This Row],[Draftrate]],-1,0))</f>
        <v>0.9</v>
      </c>
      <c r="AA95" s="94">
        <f ca="1">OFFSET(TblMili[[#This Row],[Draftees]],-1,0)+OFFSET(TblPop[[#This Row],[Draft Growth]],-1,0) - SUM(TblMili[[#This Row],[Train Unit 1]:[Train Spies]],TblMili[[#This Row],[Train Wiz]],TblMili[[#This Row],[DnD_Zombies]]) - TblMili[[#This Row],[Release Draft]] + SUM(TblMili[[#This Row],[Release Unit 1]:[Release AM]]) - TblExplore[[#This Row],[Draftees (2)]]</f>
        <v>673</v>
      </c>
      <c r="AB95" s="154"/>
      <c r="AC95" s="180">
        <f ca="1">(TblConstr[[#This Row],[Tot Smi]]+TblConstr[[#This Row],[Dest Smi]])/(TblConstr[[#This Row],[Land]]-TblExplore[[#This Row],[Land Bonus]]*20)</f>
        <v>0</v>
      </c>
      <c r="AD95" s="137"/>
      <c r="AE95" s="246">
        <f>TblMili[[#This Row],[Hour]]</f>
        <v>92</v>
      </c>
      <c r="AF95" s="138">
        <f ca="1">TblExplore[[#This Row],[Time]]</f>
        <v>46050.791666666446</v>
      </c>
      <c r="AG95" s="179"/>
      <c r="AH95" s="179"/>
      <c r="AI95" s="179"/>
      <c r="AJ95" s="179"/>
      <c r="AK95" s="179"/>
      <c r="AL95" s="179"/>
      <c r="AM95" s="179"/>
      <c r="AN95" s="179"/>
      <c r="AO95" s="420">
        <f ca="1">ROUND(IF(AND(TblMagic[[#This Row],[Active DnD]]&lt;12,TblMagic[[#This Row],[Active DnD]]&gt;5),OFFSET(TblPop[[#This Row],[Draft Growth]],-1,0)*0.375,0),0)</f>
        <v>0</v>
      </c>
      <c r="AP95" s="142"/>
      <c r="AQ95" s="94">
        <f ca="1">TblProd[[#This Row],[Platinum]]</f>
        <v>191427</v>
      </c>
      <c r="AR95" s="94">
        <f ca="1">INDEX(TblProd[[#Headers],[Lumber]]:TblProd[[#This Row],[Ore]],COUNTA(TblProd[[#Headers],[Lumber]]:TblProd[[#This Row],[Lumber]]),MATCH(Military!$AR$2,TblProd[[#Headers],[Lumber]:[Ore]],0))</f>
        <v>0</v>
      </c>
      <c r="AS9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5" s="94">
        <f ca="1">TblMili[[#This Row],[Train Unit 1]]*TblMili[[#This Row],[OP Ore]]+TblMili[[#This Row],[Train Unit 2]]*TblMili[[#This Row],[DP Ore]]+TblMili[[#This Row],[Train Unit 3]]*TblMili[[#This Row],[E1 Ore]]+TblMili[[#This Row],[Train Unit 4]]*TblMili[[#This Row],[E2 Ore]]</f>
        <v>0</v>
      </c>
      <c r="AU95" s="142">
        <f>TblMili[[#This Row],[Hour]]</f>
        <v>92</v>
      </c>
      <c r="AV95" s="152">
        <f ca="1">TblMili[[#This Row],[Time]]</f>
        <v>46050.791666666446</v>
      </c>
      <c r="AW95" s="94">
        <f ca="1">TblMili[[#This Row],[Draftees]]</f>
        <v>673</v>
      </c>
      <c r="AX95" s="179"/>
      <c r="AY95" s="179"/>
      <c r="AZ95" s="179"/>
      <c r="BA95" s="179"/>
      <c r="BB95" s="179"/>
      <c r="BC95" s="179"/>
      <c r="BD95" s="179"/>
      <c r="BE95" s="179"/>
      <c r="BF95" s="179"/>
      <c r="BG95" s="142"/>
      <c r="BH95" s="157">
        <f ca="1">TblConstr[[#This Row],[Tot WG]]/TblConstr[[#This Row],[Land]]</f>
        <v>0</v>
      </c>
      <c r="BI95" s="157">
        <f ca="1">TblConstr[[#This Row],[Tot Hav]]/TblConstr[[#This Row],[Land]]</f>
        <v>0</v>
      </c>
      <c r="BJ95" s="94">
        <f ca="1">ROUNDUP((1-MIN(TblMili[[#This Row],[Smithies]]*smithy_bonus,smithy_bonus_cap) + tech_3_5*TblTech[[#This Row],[3-5]] + tech_5_3*TblTech[[#This Row],[5-3]] + tech_5_5*TblTech[[#This Row],[5-5]])*spec_op_plat,0)</f>
        <v>275</v>
      </c>
      <c r="BK95" s="94">
        <f ca="1">ROUNDUP(IF(race="Gnome",1,(1-MIN(TblMili[[#This Row],[Smithies]]*smithy_bonus,smithy_bonus_cap) + tech_3_5*TblTech[[#This Row],[3-5]] + tech_5_3*TblTech[[#This Row],[5-3]] + tech_5_5*TblTech[[#This Row],[5-5]]))*spec_op_ore,0)</f>
        <v>25</v>
      </c>
      <c r="BL95" s="94">
        <f ca="1">ROUNDUP((1-MIN(TblMili[[#This Row],[Smithies]]*smithy_bonus,smithy_bonus_cap) + tech_3_5*TblTech[[#This Row],[3-5]] + tech_5_3*TblTech[[#This Row],[5-3]] + tech_5_5*TblTech[[#This Row],[5-5]])*spec_dp_plat,0)</f>
        <v>275</v>
      </c>
      <c r="BM95" s="94">
        <f ca="1">ROUNDUP(IF(race="Gnome",1,(1-MIN(TblMili[[#This Row],[Smithies]]*smithy_bonus,smithy_bonus_cap) + tech_3_5*TblTech[[#This Row],[3-5]] + tech_5_3*TblTech[[#This Row],[5-3]] + tech_5_5*TblTech[[#This Row],[5-5]]))*spec_dp_ore,0)</f>
        <v>15</v>
      </c>
      <c r="BN95" s="94">
        <f ca="1">ROUNDUP((1-MIN(TblMili[[#This Row],[Smithies]]*smithy_bonus,smithy_bonus_cap) + tech_3_5*TblTech[[#This Row],[3-5]] + tech_5_3*TblTech[[#This Row],[5-3]] + tech_5_5*TblTech[[#This Row],[5-5]])*elite1_plat,0)</f>
        <v>1040</v>
      </c>
      <c r="BO95" s="94">
        <f ca="1">ROUNDUP(IF(race="Gnome",1,(1-MIN(TblMili[[#This Row],[Smithies]]*smithy_bonus,smithy_bonus_cap) + tech_3_5*TblTech[[#This Row],[3-5]] + tech_5_3*TblTech[[#This Row],[5-3]] + tech_5_5*TblTech[[#This Row],[5-5]]))*elite1_ore,0)</f>
        <v>75</v>
      </c>
      <c r="BP95" s="94">
        <f ca="1">ROUNDUP((1-MIN(TblMili[[#This Row],[Smithies]]*smithy_bonus,smithy_bonus_cap) + tech_3_5*TblTech[[#This Row],[3-5]] + tech_5_3*TblTech[[#This Row],[5-3]] + tech_5_5*TblTech[[#This Row],[5-5]])*elite2_plat,0)</f>
        <v>1280</v>
      </c>
      <c r="BQ95" s="94">
        <f ca="1">ROUNDUP(IF(race="Gnome",1,(1-MIN(TblMili[[#This Row],[Smithies]]*smithy_bonus,smithy_bonus_cap) + tech_3_5*TblTech[[#This Row],[3-5]] + tech_5_3*TblTech[[#This Row],[5-3]] + tech_5_5*TblTech[[#This Row],[5-5]]))*elite2_ore,0)</f>
        <v>100</v>
      </c>
      <c r="BR95" s="94">
        <f ca="1">ROUNDUP((1-MIN(ROUND(fh_spy_cost_red*TblMili[[#This Row],[FH''s]],4),fh_spy_cost_cap)+ tech_1_9*TblTech[[#This Row],[1-9]] + tech_9_1*TblTech[[#This Row],[9-1]])*spy_plat,0)</f>
        <v>500</v>
      </c>
      <c r="BS95" s="94">
        <f ca="1">ROUNDUP((1-MIN(ROUND(fh_spy_cost_red*TblMili[[#This Row],[FH''s]],4),fh_spy_cost_cap)+ tech_1_9*TblTech[[#This Row],[1-9]] + tech_9_1*TblTech[[#This Row],[9-1]])*archspy_plat,0)</f>
        <v>1000</v>
      </c>
      <c r="BT95" s="94">
        <f ca="1">ROUNDUP((1-MIN(ROUND(wg_wiz_cost_bonus*TblMili[[#This Row],[WG''s]],4),wg_wiz_cost_cap) + tech_1_9_2*TblTech[[#This Row],[1-9]] + tech_9_1_2*TblTech[[#This Row],[9-1]])*wizard_plat,0)</f>
        <v>500</v>
      </c>
      <c r="BU95" s="94">
        <f ca="1">ROUNDUP((1-MIN(ROUND(wg_wiz_cost_bonus*TblMili[[#This Row],[WG''s]],4),wg_wiz_cost_cap) + tech_1_9_2*TblTech[[#This Row],[1-9]] + tech_9_1_2*TblTech[[#This Row],[9-1]])*archmage_plat,0)</f>
        <v>1000</v>
      </c>
      <c r="BV95" s="142"/>
      <c r="BW95" s="157">
        <f ca="1">TblConstr[[#This Row],[Homeland]]/TblConstr[[#This Row],[Land]]</f>
        <v>0.81818181818181823</v>
      </c>
      <c r="BX95" s="157">
        <f ca="1">TblMili[[#This Row],[WG''s]]</f>
        <v>0</v>
      </c>
      <c r="BY95" s="251">
        <f ca="1">IF(mystic_cap="none",TblMili[[#This Row],[Homeland%]]/mystic_bonus,MIN(mystic_cap,TblMili[[#This Row],[Homeland%]]/mystic_bonus))</f>
        <v>2</v>
      </c>
      <c r="BZ95" s="251">
        <f ca="1">IF(druid_op_cap="none",TblMili[[#This Row],[Homeland%]]/druid_op_bonus,MIN(druid_op_cap,TblMili[[#This Row],[Homeland%]]/druid_op_bonus))</f>
        <v>2</v>
      </c>
      <c r="CA95" s="251">
        <f ca="1">IF(druid_dp_cap="none",TblMili[[#This Row],[Homeland%]]/druid_dp_bonus,MIN(druid_dp_cap,TblMili[[#This Row],[Homeland%]]/druid_dp_bonus))</f>
        <v>2</v>
      </c>
      <c r="CB95" s="251">
        <f ca="1">MIN(dryad_cap,TblMili[[#This Row],[Homeland%]]/dryad_bonus)</f>
        <v>4</v>
      </c>
      <c r="CC95" s="251">
        <f ca="1">MIN(rocka_cap,TblMili[[#This Row],[Homeland%]]/rocka_bonus)</f>
        <v>2</v>
      </c>
      <c r="CD95" s="251">
        <f ca="1">MIN(adept_op_cap,TblMili[[#This Row],[WG]]/adept_op_bonus)</f>
        <v>0</v>
      </c>
      <c r="CE95" s="251">
        <f ca="1">MIN(adept_dp_cap,TblMili[[#This Row],[WG]]/adept_dp_bonus)</f>
        <v>0</v>
      </c>
      <c r="CF95" s="94">
        <f ca="1">MIN(TblMili[[#This Row],[Unit 3]],TblMili[[#This Row],[Unit 2]])*2</f>
        <v>0</v>
      </c>
      <c r="CG95" s="94">
        <f ca="1">MIN(TblMili[[#This Row],[Unit 1]],TblMili[[#This Row],[Unit 4]])*2</f>
        <v>0</v>
      </c>
      <c r="CH95" s="251">
        <f ca="1">MIN(frost_mage_cap,TblMili[[#This Row],[Homeland%]]/frost_mage_bonus)</f>
        <v>3</v>
      </c>
      <c r="CI95" s="45">
        <f ca="1">MIN(ice_elem_cap,TblMili[[#This Row],[Raw (2)]]*ice_elem_bonus)</f>
        <v>0</v>
      </c>
      <c r="CJ95" s="251">
        <f t="shared" si="3"/>
        <v>0.83333333333333337</v>
      </c>
      <c r="CK95" s="251">
        <f ca="1">MIN(nox_nightshade_cap,TblConstr[[#This Row],[Homeland]]/TblConstr[[#This Row],[Land]]/nox_nightshade_swamp_bonus)</f>
        <v>4</v>
      </c>
      <c r="CL95" s="251">
        <f ca="1">MIN(TblConstr[[#This Row],[Total Swamp]]/TblConstr[[#This Row],[Land]]/abyss_enforce_bonus,abyss_enforcer_cap)</f>
        <v>0</v>
      </c>
      <c r="CM95" s="251">
        <f ca="1">IF(TblMagic[[#This Row],[Active Infernal Command]]&gt;0,TblMili[[#This Row],[Unit 1]]*infernal_cmd_op,0)</f>
        <v>0</v>
      </c>
      <c r="CN95" s="252"/>
      <c r="CO95" s="252"/>
      <c r="CP95" s="252"/>
      <c r="CQ95" s="251">
        <f ca="1">MIN(6,TblMili[[#This Row],[Mystic]]+Races!$F$19)*1.8 +  IF(TblMili[[#This Row],[Mystic]]+Races!$F$19&gt;6,(TblMili[[#This Row],[Mystic]]+Races!$F$19-6)*0.2,0) - Races!$I$19</f>
        <v>1</v>
      </c>
      <c r="CR9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5" s="94">
        <f ca="1">TblMili[[#This Row],[Mystic bonus]]*TblMili[[#This Row],[Unit 3]]+TblMili[[#This Row],[Druid bonus]]*TblMili[[#This Row],[Unit 4]]</f>
        <v>0</v>
      </c>
      <c r="CT95" s="155">
        <f ca="1">MIN(6,TblMili[[#This Row],[Dryad]]+Races!$F$35)*1.8 +  IF(TblMili[[#This Row],[Dryad]]+Races!$F$35&gt;6,(TblMili[[#This Row],[Dryad]]+Races!$F$35-6)*0.2,0) - Races!$I$19</f>
        <v>1</v>
      </c>
      <c r="CU95" s="94">
        <f ca="1">sylvan*(TblMili[[#This Row],[Mystic bonus]]*TblMili[[#This Row],[Unit 3]])</f>
        <v>0</v>
      </c>
      <c r="CV95" s="155">
        <f ca="1">1.8 * MIN(MAX(Races!$E$27,TblMili[[#This Row],[Rockapult]]+Races!$F$27),6)  +  0.45 * MIN(MIN(Races!$E$27,TblMili[[#This Row],[Rockapult]]+Races!$F$27),6)  +  0.2 * ( MAX(Races!$E$27-6,0) + MAX(TblMili[[#This Row],[Rockapult]]+Races!$F$27-6,0) )  -  Races!$I$20</f>
        <v>3.7000000000000011</v>
      </c>
      <c r="CW95" s="94">
        <f ca="1">gnome*(TblMili[[#This Row],[Rockapult bonus]]*TblMili[[#This Row],[Unit 3]])</f>
        <v>0</v>
      </c>
      <c r="CX9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5" s="94">
        <f ca="1">dark_elf*(TblMili[[#This Row],[Adept bonus]]*TblMili[[#This Row],[Unit 3]])</f>
        <v>0</v>
      </c>
      <c r="CZ95" s="155">
        <f ca="1">1.8 * MIN(MAX(TblMili[[#This Row],[Frost Mage]]+Races!$F$71,Races!$E$71),6)  +  0.45 * MIN(MIN(TblMili[[#This Row],[Frost Mage]]+Races!$F$71,Races!$E$71),6)  +  0.2 * ( MAX(TblMili[[#This Row],[Frost Mage]]+Races!$F$71-6,0) + MAX(Races!$E$71-6,0) )  -  Races!$I$71</f>
        <v>6.15</v>
      </c>
      <c r="DA95" s="155">
        <f ca="1">1.8 * MIN(MAX(TblMili[[#This Row],[Ice Elemental]]+Races!$E$71,Races!$F$71),6)  +  0.45 * MIN(MIN(TblMili[[#This Row],[Ice Elemental]]+Races!$E$71,Races!$F$71),6)  +  0.2 * ( MAX(TblMili[[#This Row],[Ice Elemental]]+Races!$E$71-6,0) + MAX(Races!$F$71-6,0) )  -  Races!$I$71</f>
        <v>0.75</v>
      </c>
      <c r="DB95" s="94">
        <f ca="1">TblMili[[#This Row],[Frost Mage bonus]]*TblMili[[#This Row],[Unit 3]]+TblMili[[#This Row],[Ice Elemental bonus]]*TblMili[[#This Row],[Unit 4]]</f>
        <v>0</v>
      </c>
      <c r="DC95" s="253"/>
      <c r="DD95" s="143">
        <f ca="1">MIN(SUM(TblConstr[[#This Row],[Plain]:[Water]])/TblMili[[#This Row],[Land]]/favorable_terrain_bonus/100,favorable_terrain_max)</f>
        <v>0.1</v>
      </c>
      <c r="DE95" s="253"/>
      <c r="DF9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5" s="142"/>
      <c r="DH95" s="254">
        <f ca="1">(TblMili[[#This Row],[Wizards]]+2*TblMili[[#This Row],[Archmages]])/TblConstr[[#This Row],[Land]]</f>
        <v>0</v>
      </c>
      <c r="DI95" s="254">
        <f ca="1">TblMili[[#This Row],[Raw (2)]]*(1+race_wizard_strength+IF(TblMili[[#This Row],[Hour]]&gt;72,tech_magical_weaponry_wiz*TblTech[[#This Row],[3-5]],0))</f>
        <v>0</v>
      </c>
    </row>
    <row r="96" spans="1:113" x14ac:dyDescent="0.2">
      <c r="A96" s="137">
        <f>TblRezone[[#This Row],[Hour]]</f>
        <v>93</v>
      </c>
      <c r="B96" s="246">
        <f ca="1">SUM(TblMili[[#This Row],[Unit 1]:[Archmages]])+SUM(OFFSET(TblMili[[#This Row],[Train Unit 1]],-8,0):TblMili[[#This Row],[Train Unit 2]]) + SUM(OFFSET(TblMili[[#This Row],[Train Unit 3]],-11,0):TblMili[[#This Row],[Train AM]]) + TblMili[[#This Row],[Draftees]]</f>
        <v>677</v>
      </c>
      <c r="C96" s="157">
        <f ca="1">TblPop[[#This Row],[Military%]]</f>
        <v>0.629182156133829</v>
      </c>
      <c r="D96" s="142"/>
      <c r="E96" s="45">
        <f ca="1">OFFSET(TblMili[[#This Row],[Unit 1]],-1,0) + OFFSET(TblMili[[#This Row],[Train Unit 1]],-9,0) - TblMili[[#This Row],[Release Unit 1]] + OFFSET(TblMili[[#This Row],[DnD_Zombies]],-12,0)</f>
        <v>0</v>
      </c>
      <c r="F96" s="45">
        <f ca="1">OFFSET(TblMili[[#This Row],[Unit 2]],-1,0) + OFFSET(TblMili[[#This Row],[Train Unit 2]],-9,0)-TblMili[[#This Row],[Release Unit 2]]</f>
        <v>0</v>
      </c>
      <c r="G96" s="45">
        <f ca="1">OFFSET(TblMili[[#This Row],[Unit 3]],-1,0) + OFFSET(TblMili[[#This Row],[Train Unit 3]],-12,0)-TblMili[[#This Row],[Release Unit 3]]</f>
        <v>0</v>
      </c>
      <c r="H96" s="45">
        <f ca="1">OFFSET(TblMili[[#This Row],[Unit 4]],-1,0) + OFFSET(TblMili[[#This Row],[Train Unit 4]],-12,0)-TblMili[[#This Row],[Release Unit 4]]</f>
        <v>0</v>
      </c>
      <c r="I96" s="45">
        <f ca="1">OFFSET(TblMili[[#This Row],[Spies]],-1,0) + OFFSET(TblMili[[#This Row],[Train Spies]],-12,0) - TblMili[[#This Row],[Release Spies]]-TblMili[[#This Row],[Train AS]]</f>
        <v>0</v>
      </c>
      <c r="J96" s="45">
        <f ca="1">OFFSET(TblMili[[#This Row],[Archspies]],-1,0) + OFFSET(TblMili[[#This Row],[Train AS]],-12,0) - TblMili[[#This Row],[Release AS]]</f>
        <v>0</v>
      </c>
      <c r="K96" s="45">
        <f ca="1">OFFSET(TblMili[[#This Row],[Wizards]],-1,0) + OFFSET(TblMili[[#This Row],[Train Wiz]],-12,0) - TblMili[[#This Row],[Release Wizards]]-TblMili[[#This Row],[Train AM]]</f>
        <v>0</v>
      </c>
      <c r="L96" s="45">
        <f ca="1">OFFSET(TblMili[[#This Row],[Archmages]],-1,0) + OFFSET(TblMili[[#This Row],[Train AM]],-12,0) - TblMili[[#This Row],[Release AM]]</f>
        <v>0</v>
      </c>
      <c r="M96" s="142"/>
      <c r="N96" s="94">
        <f ca="1">TblProd[[#This Row],[Networth]]</f>
        <v>2450</v>
      </c>
      <c r="O96" s="142"/>
      <c r="P9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6" s="247">
        <f ca="1">TblMili[[#This Row],[Raw]]*(1+TblMili[[#This Row],[Mods_Off]])</f>
        <v>0</v>
      </c>
      <c r="S9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6" s="247">
        <f ca="1">TblMili[[#This Row],[Non Draft]]+TblMili[[#This Row],[Draftees]]</f>
        <v>677</v>
      </c>
      <c r="U96" s="248">
        <f ca="1">race_defense + TblImps[[#This Row],[Walls]] + ROUND( MIN(gt_bonus*TblConstr[[#This Row],[Tot GT]]/TblConstr[[#This Row],[Land]],gt_bonus_cap), 4) + IF(TblMagic[[#This Row],[Active Howling]]&gt;0,howling_dp_bonus,IF(TblMagic[[#This Row],[Active Ares Call]]&gt;0,ares_call_bonus))</f>
        <v>0</v>
      </c>
      <c r="V96" s="249">
        <f ca="1">TblMili[[#This Row],[Non Draft]] * (1 + TblMili[[#This Row],[Mods_Def]])</f>
        <v>0</v>
      </c>
      <c r="W96" s="247">
        <f ca="1">TblMili[[#This Row],[Draft]] * (1 + TblMili[[#This Row],[Mods_Def]])</f>
        <v>677</v>
      </c>
      <c r="X96" s="247">
        <f ca="1">TblConstr[[#This Row],[Land]]</f>
        <v>110</v>
      </c>
      <c r="Y96" s="250"/>
      <c r="Z96" s="255">
        <f ca="1">IF(TblMili[[#This Row],[Set]]&lt;&gt;"",TblMili[[#This Row],[Set]],OFFSET(TblMili[[#This Row],[Draftrate]],-1,0))</f>
        <v>0.9</v>
      </c>
      <c r="AA96" s="94">
        <f ca="1">OFFSET(TblMili[[#This Row],[Draftees]],-1,0)+OFFSET(TblPop[[#This Row],[Draft Growth]],-1,0) - SUM(TblMili[[#This Row],[Train Unit 1]:[Train Spies]],TblMili[[#This Row],[Train Wiz]],TblMili[[#This Row],[DnD_Zombies]]) - TblMili[[#This Row],[Release Draft]] + SUM(TblMili[[#This Row],[Release Unit 1]:[Release AM]]) - TblExplore[[#This Row],[Draftees (2)]]</f>
        <v>677</v>
      </c>
      <c r="AB96" s="154"/>
      <c r="AC96" s="180">
        <f ca="1">(TblConstr[[#This Row],[Tot Smi]]+TblConstr[[#This Row],[Dest Smi]])/(TblConstr[[#This Row],[Land]]-TblExplore[[#This Row],[Land Bonus]]*20)</f>
        <v>0</v>
      </c>
      <c r="AD96" s="137"/>
      <c r="AE96" s="246">
        <f>TblMili[[#This Row],[Hour]]</f>
        <v>93</v>
      </c>
      <c r="AF96" s="138">
        <f ca="1">TblExplore[[#This Row],[Time]]</f>
        <v>46050.83333333311</v>
      </c>
      <c r="AG96" s="179"/>
      <c r="AH96" s="179"/>
      <c r="AI96" s="179"/>
      <c r="AJ96" s="179"/>
      <c r="AK96" s="179"/>
      <c r="AL96" s="179"/>
      <c r="AM96" s="179"/>
      <c r="AN96" s="179"/>
      <c r="AO96" s="420">
        <f ca="1">ROUND(IF(AND(TblMagic[[#This Row],[Active DnD]]&lt;12,TblMagic[[#This Row],[Active DnD]]&gt;5),OFFSET(TblPop[[#This Row],[Draft Growth]],-1,0)*0.375,0),0)</f>
        <v>0</v>
      </c>
      <c r="AP96" s="142"/>
      <c r="AQ96" s="94">
        <f ca="1">TblProd[[#This Row],[Platinum]]</f>
        <v>192515</v>
      </c>
      <c r="AR96" s="94">
        <f ca="1">INDEX(TblProd[[#Headers],[Lumber]]:TblProd[[#This Row],[Ore]],COUNTA(TblProd[[#Headers],[Lumber]]:TblProd[[#This Row],[Lumber]]),MATCH(Military!$AR$2,TblProd[[#Headers],[Lumber]:[Ore]],0))</f>
        <v>0</v>
      </c>
      <c r="AS9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6" s="94">
        <f ca="1">TblMili[[#This Row],[Train Unit 1]]*TblMili[[#This Row],[OP Ore]]+TblMili[[#This Row],[Train Unit 2]]*TblMili[[#This Row],[DP Ore]]+TblMili[[#This Row],[Train Unit 3]]*TblMili[[#This Row],[E1 Ore]]+TblMili[[#This Row],[Train Unit 4]]*TblMili[[#This Row],[E2 Ore]]</f>
        <v>0</v>
      </c>
      <c r="AU96" s="142">
        <f>TblMili[[#This Row],[Hour]]</f>
        <v>93</v>
      </c>
      <c r="AV96" s="152">
        <f ca="1">TblMili[[#This Row],[Time]]</f>
        <v>46050.83333333311</v>
      </c>
      <c r="AW96" s="94">
        <f ca="1">TblMili[[#This Row],[Draftees]]</f>
        <v>677</v>
      </c>
      <c r="AX96" s="179"/>
      <c r="AY96" s="179"/>
      <c r="AZ96" s="179"/>
      <c r="BA96" s="179"/>
      <c r="BB96" s="179"/>
      <c r="BC96" s="179"/>
      <c r="BD96" s="179"/>
      <c r="BE96" s="179"/>
      <c r="BF96" s="179"/>
      <c r="BG96" s="142"/>
      <c r="BH96" s="157">
        <f ca="1">TblConstr[[#This Row],[Tot WG]]/TblConstr[[#This Row],[Land]]</f>
        <v>0</v>
      </c>
      <c r="BI96" s="157">
        <f ca="1">TblConstr[[#This Row],[Tot Hav]]/TblConstr[[#This Row],[Land]]</f>
        <v>0</v>
      </c>
      <c r="BJ96" s="94">
        <f ca="1">ROUNDUP((1-MIN(TblMili[[#This Row],[Smithies]]*smithy_bonus,smithy_bonus_cap) + tech_3_5*TblTech[[#This Row],[3-5]] + tech_5_3*TblTech[[#This Row],[5-3]] + tech_5_5*TblTech[[#This Row],[5-5]])*spec_op_plat,0)</f>
        <v>275</v>
      </c>
      <c r="BK96" s="94">
        <f ca="1">ROUNDUP(IF(race="Gnome",1,(1-MIN(TblMili[[#This Row],[Smithies]]*smithy_bonus,smithy_bonus_cap) + tech_3_5*TblTech[[#This Row],[3-5]] + tech_5_3*TblTech[[#This Row],[5-3]] + tech_5_5*TblTech[[#This Row],[5-5]]))*spec_op_ore,0)</f>
        <v>25</v>
      </c>
      <c r="BL96" s="94">
        <f ca="1">ROUNDUP((1-MIN(TblMili[[#This Row],[Smithies]]*smithy_bonus,smithy_bonus_cap) + tech_3_5*TblTech[[#This Row],[3-5]] + tech_5_3*TblTech[[#This Row],[5-3]] + tech_5_5*TblTech[[#This Row],[5-5]])*spec_dp_plat,0)</f>
        <v>275</v>
      </c>
      <c r="BM96" s="94">
        <f ca="1">ROUNDUP(IF(race="Gnome",1,(1-MIN(TblMili[[#This Row],[Smithies]]*smithy_bonus,smithy_bonus_cap) + tech_3_5*TblTech[[#This Row],[3-5]] + tech_5_3*TblTech[[#This Row],[5-3]] + tech_5_5*TblTech[[#This Row],[5-5]]))*spec_dp_ore,0)</f>
        <v>15</v>
      </c>
      <c r="BN96" s="94">
        <f ca="1">ROUNDUP((1-MIN(TblMili[[#This Row],[Smithies]]*smithy_bonus,smithy_bonus_cap) + tech_3_5*TblTech[[#This Row],[3-5]] + tech_5_3*TblTech[[#This Row],[5-3]] + tech_5_5*TblTech[[#This Row],[5-5]])*elite1_plat,0)</f>
        <v>1040</v>
      </c>
      <c r="BO96" s="94">
        <f ca="1">ROUNDUP(IF(race="Gnome",1,(1-MIN(TblMili[[#This Row],[Smithies]]*smithy_bonus,smithy_bonus_cap) + tech_3_5*TblTech[[#This Row],[3-5]] + tech_5_3*TblTech[[#This Row],[5-3]] + tech_5_5*TblTech[[#This Row],[5-5]]))*elite1_ore,0)</f>
        <v>75</v>
      </c>
      <c r="BP96" s="94">
        <f ca="1">ROUNDUP((1-MIN(TblMili[[#This Row],[Smithies]]*smithy_bonus,smithy_bonus_cap) + tech_3_5*TblTech[[#This Row],[3-5]] + tech_5_3*TblTech[[#This Row],[5-3]] + tech_5_5*TblTech[[#This Row],[5-5]])*elite2_plat,0)</f>
        <v>1280</v>
      </c>
      <c r="BQ96" s="94">
        <f ca="1">ROUNDUP(IF(race="Gnome",1,(1-MIN(TblMili[[#This Row],[Smithies]]*smithy_bonus,smithy_bonus_cap) + tech_3_5*TblTech[[#This Row],[3-5]] + tech_5_3*TblTech[[#This Row],[5-3]] + tech_5_5*TblTech[[#This Row],[5-5]]))*elite2_ore,0)</f>
        <v>100</v>
      </c>
      <c r="BR96" s="94">
        <f ca="1">ROUNDUP((1-MIN(ROUND(fh_spy_cost_red*TblMili[[#This Row],[FH''s]],4),fh_spy_cost_cap)+ tech_1_9*TblTech[[#This Row],[1-9]] + tech_9_1*TblTech[[#This Row],[9-1]])*spy_plat,0)</f>
        <v>500</v>
      </c>
      <c r="BS96" s="94">
        <f ca="1">ROUNDUP((1-MIN(ROUND(fh_spy_cost_red*TblMili[[#This Row],[FH''s]],4),fh_spy_cost_cap)+ tech_1_9*TblTech[[#This Row],[1-9]] + tech_9_1*TblTech[[#This Row],[9-1]])*archspy_plat,0)</f>
        <v>1000</v>
      </c>
      <c r="BT96" s="94">
        <f ca="1">ROUNDUP((1-MIN(ROUND(wg_wiz_cost_bonus*TblMili[[#This Row],[WG''s]],4),wg_wiz_cost_cap) + tech_1_9_2*TblTech[[#This Row],[1-9]] + tech_9_1_2*TblTech[[#This Row],[9-1]])*wizard_plat,0)</f>
        <v>500</v>
      </c>
      <c r="BU96" s="94">
        <f ca="1">ROUNDUP((1-MIN(ROUND(wg_wiz_cost_bonus*TblMili[[#This Row],[WG''s]],4),wg_wiz_cost_cap) + tech_1_9_2*TblTech[[#This Row],[1-9]] + tech_9_1_2*TblTech[[#This Row],[9-1]])*archmage_plat,0)</f>
        <v>1000</v>
      </c>
      <c r="BV96" s="142"/>
      <c r="BW96" s="157">
        <f ca="1">TblConstr[[#This Row],[Homeland]]/TblConstr[[#This Row],[Land]]</f>
        <v>0.81818181818181823</v>
      </c>
      <c r="BX96" s="157">
        <f ca="1">TblMili[[#This Row],[WG''s]]</f>
        <v>0</v>
      </c>
      <c r="BY96" s="251">
        <f ca="1">IF(mystic_cap="none",TblMili[[#This Row],[Homeland%]]/mystic_bonus,MIN(mystic_cap,TblMili[[#This Row],[Homeland%]]/mystic_bonus))</f>
        <v>2</v>
      </c>
      <c r="BZ96" s="251">
        <f ca="1">IF(druid_op_cap="none",TblMili[[#This Row],[Homeland%]]/druid_op_bonus,MIN(druid_op_cap,TblMili[[#This Row],[Homeland%]]/druid_op_bonus))</f>
        <v>2</v>
      </c>
      <c r="CA96" s="251">
        <f ca="1">IF(druid_dp_cap="none",TblMili[[#This Row],[Homeland%]]/druid_dp_bonus,MIN(druid_dp_cap,TblMili[[#This Row],[Homeland%]]/druid_dp_bonus))</f>
        <v>2</v>
      </c>
      <c r="CB96" s="251">
        <f ca="1">MIN(dryad_cap,TblMili[[#This Row],[Homeland%]]/dryad_bonus)</f>
        <v>4</v>
      </c>
      <c r="CC96" s="251">
        <f ca="1">MIN(rocka_cap,TblMili[[#This Row],[Homeland%]]/rocka_bonus)</f>
        <v>2</v>
      </c>
      <c r="CD96" s="251">
        <f ca="1">MIN(adept_op_cap,TblMili[[#This Row],[WG]]/adept_op_bonus)</f>
        <v>0</v>
      </c>
      <c r="CE96" s="251">
        <f ca="1">MIN(adept_dp_cap,TblMili[[#This Row],[WG]]/adept_dp_bonus)</f>
        <v>0</v>
      </c>
      <c r="CF96" s="94">
        <f ca="1">MIN(TblMili[[#This Row],[Unit 3]],TblMili[[#This Row],[Unit 2]])*2</f>
        <v>0</v>
      </c>
      <c r="CG96" s="94">
        <f ca="1">MIN(TblMili[[#This Row],[Unit 1]],TblMili[[#This Row],[Unit 4]])*2</f>
        <v>0</v>
      </c>
      <c r="CH96" s="251">
        <f ca="1">MIN(frost_mage_cap,TblMili[[#This Row],[Homeland%]]/frost_mage_bonus)</f>
        <v>3</v>
      </c>
      <c r="CI96" s="45">
        <f ca="1">MIN(ice_elem_cap,TblMili[[#This Row],[Raw (2)]]*ice_elem_bonus)</f>
        <v>0</v>
      </c>
      <c r="CJ96" s="251">
        <f t="shared" si="3"/>
        <v>0.83333333333333337</v>
      </c>
      <c r="CK96" s="251">
        <f ca="1">MIN(nox_nightshade_cap,TblConstr[[#This Row],[Homeland]]/TblConstr[[#This Row],[Land]]/nox_nightshade_swamp_bonus)</f>
        <v>4</v>
      </c>
      <c r="CL96" s="251">
        <f ca="1">MIN(TblConstr[[#This Row],[Total Swamp]]/TblConstr[[#This Row],[Land]]/abyss_enforce_bonus,abyss_enforcer_cap)</f>
        <v>0</v>
      </c>
      <c r="CM96" s="251">
        <f ca="1">IF(TblMagic[[#This Row],[Active Infernal Command]]&gt;0,TblMili[[#This Row],[Unit 1]]*infernal_cmd_op,0)</f>
        <v>0</v>
      </c>
      <c r="CN96" s="252"/>
      <c r="CO96" s="252"/>
      <c r="CP96" s="252"/>
      <c r="CQ96" s="251">
        <f ca="1">MIN(6,TblMili[[#This Row],[Mystic]]+Races!$F$19)*1.8 +  IF(TblMili[[#This Row],[Mystic]]+Races!$F$19&gt;6,(TblMili[[#This Row],[Mystic]]+Races!$F$19-6)*0.2,0) - Races!$I$19</f>
        <v>1</v>
      </c>
      <c r="CR9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6" s="94">
        <f ca="1">TblMili[[#This Row],[Mystic bonus]]*TblMili[[#This Row],[Unit 3]]+TblMili[[#This Row],[Druid bonus]]*TblMili[[#This Row],[Unit 4]]</f>
        <v>0</v>
      </c>
      <c r="CT96" s="155">
        <f ca="1">MIN(6,TblMili[[#This Row],[Dryad]]+Races!$F$35)*1.8 +  IF(TblMili[[#This Row],[Dryad]]+Races!$F$35&gt;6,(TblMili[[#This Row],[Dryad]]+Races!$F$35-6)*0.2,0) - Races!$I$19</f>
        <v>1</v>
      </c>
      <c r="CU96" s="94">
        <f ca="1">sylvan*(TblMili[[#This Row],[Mystic bonus]]*TblMili[[#This Row],[Unit 3]])</f>
        <v>0</v>
      </c>
      <c r="CV96" s="155">
        <f ca="1">1.8 * MIN(MAX(Races!$E$27,TblMili[[#This Row],[Rockapult]]+Races!$F$27),6)  +  0.45 * MIN(MIN(Races!$E$27,TblMili[[#This Row],[Rockapult]]+Races!$F$27),6)  +  0.2 * ( MAX(Races!$E$27-6,0) + MAX(TblMili[[#This Row],[Rockapult]]+Races!$F$27-6,0) )  -  Races!$I$20</f>
        <v>3.7000000000000011</v>
      </c>
      <c r="CW96" s="94">
        <f ca="1">gnome*(TblMili[[#This Row],[Rockapult bonus]]*TblMili[[#This Row],[Unit 3]])</f>
        <v>0</v>
      </c>
      <c r="CX9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6" s="94">
        <f ca="1">dark_elf*(TblMili[[#This Row],[Adept bonus]]*TblMili[[#This Row],[Unit 3]])</f>
        <v>0</v>
      </c>
      <c r="CZ96" s="155">
        <f ca="1">1.8 * MIN(MAX(TblMili[[#This Row],[Frost Mage]]+Races!$F$71,Races!$E$71),6)  +  0.45 * MIN(MIN(TblMili[[#This Row],[Frost Mage]]+Races!$F$71,Races!$E$71),6)  +  0.2 * ( MAX(TblMili[[#This Row],[Frost Mage]]+Races!$F$71-6,0) + MAX(Races!$E$71-6,0) )  -  Races!$I$71</f>
        <v>6.15</v>
      </c>
      <c r="DA96" s="155">
        <f ca="1">1.8 * MIN(MAX(TblMili[[#This Row],[Ice Elemental]]+Races!$E$71,Races!$F$71),6)  +  0.45 * MIN(MIN(TblMili[[#This Row],[Ice Elemental]]+Races!$E$71,Races!$F$71),6)  +  0.2 * ( MAX(TblMili[[#This Row],[Ice Elemental]]+Races!$E$71-6,0) + MAX(Races!$F$71-6,0) )  -  Races!$I$71</f>
        <v>0.75</v>
      </c>
      <c r="DB96" s="94">
        <f ca="1">TblMili[[#This Row],[Frost Mage bonus]]*TblMili[[#This Row],[Unit 3]]+TblMili[[#This Row],[Ice Elemental bonus]]*TblMili[[#This Row],[Unit 4]]</f>
        <v>0</v>
      </c>
      <c r="DC96" s="253"/>
      <c r="DD96" s="143">
        <f ca="1">MIN(SUM(TblConstr[[#This Row],[Plain]:[Water]])/TblMili[[#This Row],[Land]]/favorable_terrain_bonus/100,favorable_terrain_max)</f>
        <v>0.1</v>
      </c>
      <c r="DE96" s="253"/>
      <c r="DF9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6" s="142"/>
      <c r="DH96" s="254">
        <f ca="1">(TblMili[[#This Row],[Wizards]]+2*TblMili[[#This Row],[Archmages]])/TblConstr[[#This Row],[Land]]</f>
        <v>0</v>
      </c>
      <c r="DI96" s="254">
        <f ca="1">TblMili[[#This Row],[Raw (2)]]*(1+race_wizard_strength+IF(TblMili[[#This Row],[Hour]]&gt;72,tech_magical_weaponry_wiz*TblTech[[#This Row],[3-5]],0))</f>
        <v>0</v>
      </c>
    </row>
    <row r="97" spans="1:113" x14ac:dyDescent="0.2">
      <c r="A97" s="137">
        <f>TblRezone[[#This Row],[Hour]]</f>
        <v>94</v>
      </c>
      <c r="B97" s="246">
        <f ca="1">SUM(TblMili[[#This Row],[Unit 1]:[Archmages]])+SUM(OFFSET(TblMili[[#This Row],[Train Unit 1]],-8,0):TblMili[[#This Row],[Train Unit 2]]) + SUM(OFFSET(TblMili[[#This Row],[Train Unit 3]],-11,0):TblMili[[#This Row],[Train AM]]) + TblMili[[#This Row],[Draftees]]</f>
        <v>681</v>
      </c>
      <c r="C97" s="157">
        <f ca="1">TblPop[[#This Row],[Military%]]</f>
        <v>0.63289962825278812</v>
      </c>
      <c r="D97" s="142"/>
      <c r="E97" s="45">
        <f ca="1">OFFSET(TblMili[[#This Row],[Unit 1]],-1,0) + OFFSET(TblMili[[#This Row],[Train Unit 1]],-9,0) - TblMili[[#This Row],[Release Unit 1]] + OFFSET(TblMili[[#This Row],[DnD_Zombies]],-12,0)</f>
        <v>0</v>
      </c>
      <c r="F97" s="45">
        <f ca="1">OFFSET(TblMili[[#This Row],[Unit 2]],-1,0) + OFFSET(TblMili[[#This Row],[Train Unit 2]],-9,0)-TblMili[[#This Row],[Release Unit 2]]</f>
        <v>0</v>
      </c>
      <c r="G97" s="45">
        <f ca="1">OFFSET(TblMili[[#This Row],[Unit 3]],-1,0) + OFFSET(TblMili[[#This Row],[Train Unit 3]],-12,0)-TblMili[[#This Row],[Release Unit 3]]</f>
        <v>0</v>
      </c>
      <c r="H97" s="45">
        <f ca="1">OFFSET(TblMili[[#This Row],[Unit 4]],-1,0) + OFFSET(TblMili[[#This Row],[Train Unit 4]],-12,0)-TblMili[[#This Row],[Release Unit 4]]</f>
        <v>0</v>
      </c>
      <c r="I97" s="45">
        <f ca="1">OFFSET(TblMili[[#This Row],[Spies]],-1,0) + OFFSET(TblMili[[#This Row],[Train Spies]],-12,0) - TblMili[[#This Row],[Release Spies]]-TblMili[[#This Row],[Train AS]]</f>
        <v>0</v>
      </c>
      <c r="J97" s="45">
        <f ca="1">OFFSET(TblMili[[#This Row],[Archspies]],-1,0) + OFFSET(TblMili[[#This Row],[Train AS]],-12,0) - TblMili[[#This Row],[Release AS]]</f>
        <v>0</v>
      </c>
      <c r="K97" s="45">
        <f ca="1">OFFSET(TblMili[[#This Row],[Wizards]],-1,0) + OFFSET(TblMili[[#This Row],[Train Wiz]],-12,0) - TblMili[[#This Row],[Release Wizards]]-TblMili[[#This Row],[Train AM]]</f>
        <v>0</v>
      </c>
      <c r="L97" s="45">
        <f ca="1">OFFSET(TblMili[[#This Row],[Archmages]],-1,0) + OFFSET(TblMili[[#This Row],[Train AM]],-12,0) - TblMili[[#This Row],[Release AM]]</f>
        <v>0</v>
      </c>
      <c r="M97" s="142"/>
      <c r="N97" s="94">
        <f ca="1">TblProd[[#This Row],[Networth]]</f>
        <v>2450</v>
      </c>
      <c r="O97" s="142"/>
      <c r="P9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7" s="247">
        <f ca="1">TblMili[[#This Row],[Raw]]*(1+TblMili[[#This Row],[Mods_Off]])</f>
        <v>0</v>
      </c>
      <c r="S9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7" s="247">
        <f ca="1">TblMili[[#This Row],[Non Draft]]+TblMili[[#This Row],[Draftees]]</f>
        <v>681</v>
      </c>
      <c r="U97" s="248">
        <f ca="1">race_defense + TblImps[[#This Row],[Walls]] + ROUND( MIN(gt_bonus*TblConstr[[#This Row],[Tot GT]]/TblConstr[[#This Row],[Land]],gt_bonus_cap), 4) + IF(TblMagic[[#This Row],[Active Howling]]&gt;0,howling_dp_bonus,IF(TblMagic[[#This Row],[Active Ares Call]]&gt;0,ares_call_bonus))</f>
        <v>0</v>
      </c>
      <c r="V97" s="249">
        <f ca="1">TblMili[[#This Row],[Non Draft]] * (1 + TblMili[[#This Row],[Mods_Def]])</f>
        <v>0</v>
      </c>
      <c r="W97" s="247">
        <f ca="1">TblMili[[#This Row],[Draft]] * (1 + TblMili[[#This Row],[Mods_Def]])</f>
        <v>681</v>
      </c>
      <c r="X97" s="247">
        <f ca="1">TblConstr[[#This Row],[Land]]</f>
        <v>110</v>
      </c>
      <c r="Y97" s="250"/>
      <c r="Z97" s="255">
        <f ca="1">IF(TblMili[[#This Row],[Set]]&lt;&gt;"",TblMili[[#This Row],[Set]],OFFSET(TblMili[[#This Row],[Draftrate]],-1,0))</f>
        <v>0.9</v>
      </c>
      <c r="AA97" s="94">
        <f ca="1">OFFSET(TblMili[[#This Row],[Draftees]],-1,0)+OFFSET(TblPop[[#This Row],[Draft Growth]],-1,0) - SUM(TblMili[[#This Row],[Train Unit 1]:[Train Spies]],TblMili[[#This Row],[Train Wiz]],TblMili[[#This Row],[DnD_Zombies]]) - TblMili[[#This Row],[Release Draft]] + SUM(TblMili[[#This Row],[Release Unit 1]:[Release AM]]) - TblExplore[[#This Row],[Draftees (2)]]</f>
        <v>681</v>
      </c>
      <c r="AB97" s="154"/>
      <c r="AC97" s="180">
        <f ca="1">(TblConstr[[#This Row],[Tot Smi]]+TblConstr[[#This Row],[Dest Smi]])/(TblConstr[[#This Row],[Land]]-TblExplore[[#This Row],[Land Bonus]]*20)</f>
        <v>0</v>
      </c>
      <c r="AD97" s="137"/>
      <c r="AE97" s="246">
        <f>TblMili[[#This Row],[Hour]]</f>
        <v>94</v>
      </c>
      <c r="AF97" s="138">
        <f ca="1">TblExplore[[#This Row],[Time]]</f>
        <v>46050.874999999774</v>
      </c>
      <c r="AG97" s="179"/>
      <c r="AH97" s="179"/>
      <c r="AI97" s="179"/>
      <c r="AJ97" s="179"/>
      <c r="AK97" s="179"/>
      <c r="AL97" s="179"/>
      <c r="AM97" s="179"/>
      <c r="AN97" s="179"/>
      <c r="AO97" s="420">
        <f ca="1">ROUND(IF(AND(TblMagic[[#This Row],[Active DnD]]&lt;12,TblMagic[[#This Row],[Active DnD]]&gt;5),OFFSET(TblPop[[#This Row],[Draft Growth]],-1,0)*0.375,0),0)</f>
        <v>0</v>
      </c>
      <c r="AP97" s="142"/>
      <c r="AQ97" s="94">
        <f ca="1">TblProd[[#This Row],[Platinum]]</f>
        <v>193592</v>
      </c>
      <c r="AR97" s="94">
        <f ca="1">INDEX(TblProd[[#Headers],[Lumber]]:TblProd[[#This Row],[Ore]],COUNTA(TblProd[[#Headers],[Lumber]]:TblProd[[#This Row],[Lumber]]),MATCH(Military!$AR$2,TblProd[[#Headers],[Lumber]:[Ore]],0))</f>
        <v>0</v>
      </c>
      <c r="AS9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7" s="94">
        <f ca="1">TblMili[[#This Row],[Train Unit 1]]*TblMili[[#This Row],[OP Ore]]+TblMili[[#This Row],[Train Unit 2]]*TblMili[[#This Row],[DP Ore]]+TblMili[[#This Row],[Train Unit 3]]*TblMili[[#This Row],[E1 Ore]]+TblMili[[#This Row],[Train Unit 4]]*TblMili[[#This Row],[E2 Ore]]</f>
        <v>0</v>
      </c>
      <c r="AU97" s="142">
        <f>TblMili[[#This Row],[Hour]]</f>
        <v>94</v>
      </c>
      <c r="AV97" s="152">
        <f ca="1">TblMili[[#This Row],[Time]]</f>
        <v>46050.874999999774</v>
      </c>
      <c r="AW97" s="94">
        <f ca="1">TblMili[[#This Row],[Draftees]]</f>
        <v>681</v>
      </c>
      <c r="AX97" s="179"/>
      <c r="AY97" s="179"/>
      <c r="AZ97" s="179"/>
      <c r="BA97" s="179"/>
      <c r="BB97" s="179"/>
      <c r="BC97" s="179"/>
      <c r="BD97" s="179"/>
      <c r="BE97" s="179"/>
      <c r="BF97" s="179"/>
      <c r="BG97" s="142"/>
      <c r="BH97" s="157">
        <f ca="1">TblConstr[[#This Row],[Tot WG]]/TblConstr[[#This Row],[Land]]</f>
        <v>0</v>
      </c>
      <c r="BI97" s="157">
        <f ca="1">TblConstr[[#This Row],[Tot Hav]]/TblConstr[[#This Row],[Land]]</f>
        <v>0</v>
      </c>
      <c r="BJ97" s="94">
        <f ca="1">ROUNDUP((1-MIN(TblMili[[#This Row],[Smithies]]*smithy_bonus,smithy_bonus_cap) + tech_3_5*TblTech[[#This Row],[3-5]] + tech_5_3*TblTech[[#This Row],[5-3]] + tech_5_5*TblTech[[#This Row],[5-5]])*spec_op_plat,0)</f>
        <v>275</v>
      </c>
      <c r="BK97" s="94">
        <f ca="1">ROUNDUP(IF(race="Gnome",1,(1-MIN(TblMili[[#This Row],[Smithies]]*smithy_bonus,smithy_bonus_cap) + tech_3_5*TblTech[[#This Row],[3-5]] + tech_5_3*TblTech[[#This Row],[5-3]] + tech_5_5*TblTech[[#This Row],[5-5]]))*spec_op_ore,0)</f>
        <v>25</v>
      </c>
      <c r="BL97" s="94">
        <f ca="1">ROUNDUP((1-MIN(TblMili[[#This Row],[Smithies]]*smithy_bonus,smithy_bonus_cap) + tech_3_5*TblTech[[#This Row],[3-5]] + tech_5_3*TblTech[[#This Row],[5-3]] + tech_5_5*TblTech[[#This Row],[5-5]])*spec_dp_plat,0)</f>
        <v>275</v>
      </c>
      <c r="BM97" s="94">
        <f ca="1">ROUNDUP(IF(race="Gnome",1,(1-MIN(TblMili[[#This Row],[Smithies]]*smithy_bonus,smithy_bonus_cap) + tech_3_5*TblTech[[#This Row],[3-5]] + tech_5_3*TblTech[[#This Row],[5-3]] + tech_5_5*TblTech[[#This Row],[5-5]]))*spec_dp_ore,0)</f>
        <v>15</v>
      </c>
      <c r="BN97" s="94">
        <f ca="1">ROUNDUP((1-MIN(TblMili[[#This Row],[Smithies]]*smithy_bonus,smithy_bonus_cap) + tech_3_5*TblTech[[#This Row],[3-5]] + tech_5_3*TblTech[[#This Row],[5-3]] + tech_5_5*TblTech[[#This Row],[5-5]])*elite1_plat,0)</f>
        <v>1040</v>
      </c>
      <c r="BO97" s="94">
        <f ca="1">ROUNDUP(IF(race="Gnome",1,(1-MIN(TblMili[[#This Row],[Smithies]]*smithy_bonus,smithy_bonus_cap) + tech_3_5*TblTech[[#This Row],[3-5]] + tech_5_3*TblTech[[#This Row],[5-3]] + tech_5_5*TblTech[[#This Row],[5-5]]))*elite1_ore,0)</f>
        <v>75</v>
      </c>
      <c r="BP97" s="94">
        <f ca="1">ROUNDUP((1-MIN(TblMili[[#This Row],[Smithies]]*smithy_bonus,smithy_bonus_cap) + tech_3_5*TblTech[[#This Row],[3-5]] + tech_5_3*TblTech[[#This Row],[5-3]] + tech_5_5*TblTech[[#This Row],[5-5]])*elite2_plat,0)</f>
        <v>1280</v>
      </c>
      <c r="BQ97" s="94">
        <f ca="1">ROUNDUP(IF(race="Gnome",1,(1-MIN(TblMili[[#This Row],[Smithies]]*smithy_bonus,smithy_bonus_cap) + tech_3_5*TblTech[[#This Row],[3-5]] + tech_5_3*TblTech[[#This Row],[5-3]] + tech_5_5*TblTech[[#This Row],[5-5]]))*elite2_ore,0)</f>
        <v>100</v>
      </c>
      <c r="BR97" s="94">
        <f ca="1">ROUNDUP((1-MIN(ROUND(fh_spy_cost_red*TblMili[[#This Row],[FH''s]],4),fh_spy_cost_cap)+ tech_1_9*TblTech[[#This Row],[1-9]] + tech_9_1*TblTech[[#This Row],[9-1]])*spy_plat,0)</f>
        <v>500</v>
      </c>
      <c r="BS97" s="94">
        <f ca="1">ROUNDUP((1-MIN(ROUND(fh_spy_cost_red*TblMili[[#This Row],[FH''s]],4),fh_spy_cost_cap)+ tech_1_9*TblTech[[#This Row],[1-9]] + tech_9_1*TblTech[[#This Row],[9-1]])*archspy_plat,0)</f>
        <v>1000</v>
      </c>
      <c r="BT97" s="94">
        <f ca="1">ROUNDUP((1-MIN(ROUND(wg_wiz_cost_bonus*TblMili[[#This Row],[WG''s]],4),wg_wiz_cost_cap) + tech_1_9_2*TblTech[[#This Row],[1-9]] + tech_9_1_2*TblTech[[#This Row],[9-1]])*wizard_plat,0)</f>
        <v>500</v>
      </c>
      <c r="BU97" s="94">
        <f ca="1">ROUNDUP((1-MIN(ROUND(wg_wiz_cost_bonus*TblMili[[#This Row],[WG''s]],4),wg_wiz_cost_cap) + tech_1_9_2*TblTech[[#This Row],[1-9]] + tech_9_1_2*TblTech[[#This Row],[9-1]])*archmage_plat,0)</f>
        <v>1000</v>
      </c>
      <c r="BV97" s="142"/>
      <c r="BW97" s="157">
        <f ca="1">TblConstr[[#This Row],[Homeland]]/TblConstr[[#This Row],[Land]]</f>
        <v>0.81818181818181823</v>
      </c>
      <c r="BX97" s="157">
        <f ca="1">TblMili[[#This Row],[WG''s]]</f>
        <v>0</v>
      </c>
      <c r="BY97" s="251">
        <f ca="1">IF(mystic_cap="none",TblMili[[#This Row],[Homeland%]]/mystic_bonus,MIN(mystic_cap,TblMili[[#This Row],[Homeland%]]/mystic_bonus))</f>
        <v>2</v>
      </c>
      <c r="BZ97" s="251">
        <f ca="1">IF(druid_op_cap="none",TblMili[[#This Row],[Homeland%]]/druid_op_bonus,MIN(druid_op_cap,TblMili[[#This Row],[Homeland%]]/druid_op_bonus))</f>
        <v>2</v>
      </c>
      <c r="CA97" s="251">
        <f ca="1">IF(druid_dp_cap="none",TblMili[[#This Row],[Homeland%]]/druid_dp_bonus,MIN(druid_dp_cap,TblMili[[#This Row],[Homeland%]]/druid_dp_bonus))</f>
        <v>2</v>
      </c>
      <c r="CB97" s="251">
        <f ca="1">MIN(dryad_cap,TblMili[[#This Row],[Homeland%]]/dryad_bonus)</f>
        <v>4</v>
      </c>
      <c r="CC97" s="251">
        <f ca="1">MIN(rocka_cap,TblMili[[#This Row],[Homeland%]]/rocka_bonus)</f>
        <v>2</v>
      </c>
      <c r="CD97" s="251">
        <f ca="1">MIN(adept_op_cap,TblMili[[#This Row],[WG]]/adept_op_bonus)</f>
        <v>0</v>
      </c>
      <c r="CE97" s="251">
        <f ca="1">MIN(adept_dp_cap,TblMili[[#This Row],[WG]]/adept_dp_bonus)</f>
        <v>0</v>
      </c>
      <c r="CF97" s="94">
        <f ca="1">MIN(TblMili[[#This Row],[Unit 3]],TblMili[[#This Row],[Unit 2]])*2</f>
        <v>0</v>
      </c>
      <c r="CG97" s="94">
        <f ca="1">MIN(TblMili[[#This Row],[Unit 1]],TblMili[[#This Row],[Unit 4]])*2</f>
        <v>0</v>
      </c>
      <c r="CH97" s="251">
        <f ca="1">MIN(frost_mage_cap,TblMili[[#This Row],[Homeland%]]/frost_mage_bonus)</f>
        <v>3</v>
      </c>
      <c r="CI97" s="45">
        <f ca="1">MIN(ice_elem_cap,TblMili[[#This Row],[Raw (2)]]*ice_elem_bonus)</f>
        <v>0</v>
      </c>
      <c r="CJ97" s="251">
        <f t="shared" si="3"/>
        <v>0.83333333333333337</v>
      </c>
      <c r="CK97" s="251">
        <f ca="1">MIN(nox_nightshade_cap,TblConstr[[#This Row],[Homeland]]/TblConstr[[#This Row],[Land]]/nox_nightshade_swamp_bonus)</f>
        <v>4</v>
      </c>
      <c r="CL97" s="251">
        <f ca="1">MIN(TblConstr[[#This Row],[Total Swamp]]/TblConstr[[#This Row],[Land]]/abyss_enforce_bonus,abyss_enforcer_cap)</f>
        <v>0</v>
      </c>
      <c r="CM97" s="251">
        <f ca="1">IF(TblMagic[[#This Row],[Active Infernal Command]]&gt;0,TblMili[[#This Row],[Unit 1]]*infernal_cmd_op,0)</f>
        <v>0</v>
      </c>
      <c r="CN97" s="252"/>
      <c r="CO97" s="252"/>
      <c r="CP97" s="252"/>
      <c r="CQ97" s="251">
        <f ca="1">MIN(6,TblMili[[#This Row],[Mystic]]+Races!$F$19)*1.8 +  IF(TblMili[[#This Row],[Mystic]]+Races!$F$19&gt;6,(TblMili[[#This Row],[Mystic]]+Races!$F$19-6)*0.2,0) - Races!$I$19</f>
        <v>1</v>
      </c>
      <c r="CR9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7" s="94">
        <f ca="1">TblMili[[#This Row],[Mystic bonus]]*TblMili[[#This Row],[Unit 3]]+TblMili[[#This Row],[Druid bonus]]*TblMili[[#This Row],[Unit 4]]</f>
        <v>0</v>
      </c>
      <c r="CT97" s="155">
        <f ca="1">MIN(6,TblMili[[#This Row],[Dryad]]+Races!$F$35)*1.8 +  IF(TblMili[[#This Row],[Dryad]]+Races!$F$35&gt;6,(TblMili[[#This Row],[Dryad]]+Races!$F$35-6)*0.2,0) - Races!$I$19</f>
        <v>1</v>
      </c>
      <c r="CU97" s="94">
        <f ca="1">sylvan*(TblMili[[#This Row],[Mystic bonus]]*TblMili[[#This Row],[Unit 3]])</f>
        <v>0</v>
      </c>
      <c r="CV97" s="155">
        <f ca="1">1.8 * MIN(MAX(Races!$E$27,TblMili[[#This Row],[Rockapult]]+Races!$F$27),6)  +  0.45 * MIN(MIN(Races!$E$27,TblMili[[#This Row],[Rockapult]]+Races!$F$27),6)  +  0.2 * ( MAX(Races!$E$27-6,0) + MAX(TblMili[[#This Row],[Rockapult]]+Races!$F$27-6,0) )  -  Races!$I$20</f>
        <v>3.7000000000000011</v>
      </c>
      <c r="CW97" s="94">
        <f ca="1">gnome*(TblMili[[#This Row],[Rockapult bonus]]*TblMili[[#This Row],[Unit 3]])</f>
        <v>0</v>
      </c>
      <c r="CX9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7" s="94">
        <f ca="1">dark_elf*(TblMili[[#This Row],[Adept bonus]]*TblMili[[#This Row],[Unit 3]])</f>
        <v>0</v>
      </c>
      <c r="CZ97" s="155">
        <f ca="1">1.8 * MIN(MAX(TblMili[[#This Row],[Frost Mage]]+Races!$F$71,Races!$E$71),6)  +  0.45 * MIN(MIN(TblMili[[#This Row],[Frost Mage]]+Races!$F$71,Races!$E$71),6)  +  0.2 * ( MAX(TblMili[[#This Row],[Frost Mage]]+Races!$F$71-6,0) + MAX(Races!$E$71-6,0) )  -  Races!$I$71</f>
        <v>6.15</v>
      </c>
      <c r="DA97" s="155">
        <f ca="1">1.8 * MIN(MAX(TblMili[[#This Row],[Ice Elemental]]+Races!$E$71,Races!$F$71),6)  +  0.45 * MIN(MIN(TblMili[[#This Row],[Ice Elemental]]+Races!$E$71,Races!$F$71),6)  +  0.2 * ( MAX(TblMili[[#This Row],[Ice Elemental]]+Races!$E$71-6,0) + MAX(Races!$F$71-6,0) )  -  Races!$I$71</f>
        <v>0.75</v>
      </c>
      <c r="DB97" s="94">
        <f ca="1">TblMili[[#This Row],[Frost Mage bonus]]*TblMili[[#This Row],[Unit 3]]+TblMili[[#This Row],[Ice Elemental bonus]]*TblMili[[#This Row],[Unit 4]]</f>
        <v>0</v>
      </c>
      <c r="DC97" s="253"/>
      <c r="DD97" s="143">
        <f ca="1">MIN(SUM(TblConstr[[#This Row],[Plain]:[Water]])/TblMili[[#This Row],[Land]]/favorable_terrain_bonus/100,favorable_terrain_max)</f>
        <v>0.1</v>
      </c>
      <c r="DE97" s="253"/>
      <c r="DF9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7" s="142"/>
      <c r="DH97" s="254">
        <f ca="1">(TblMili[[#This Row],[Wizards]]+2*TblMili[[#This Row],[Archmages]])/TblConstr[[#This Row],[Land]]</f>
        <v>0</v>
      </c>
      <c r="DI97" s="254">
        <f ca="1">TblMili[[#This Row],[Raw (2)]]*(1+race_wizard_strength+IF(TblMili[[#This Row],[Hour]]&gt;72,tech_magical_weaponry_wiz*TblTech[[#This Row],[3-5]],0))</f>
        <v>0</v>
      </c>
    </row>
    <row r="98" spans="1:113" x14ac:dyDescent="0.2">
      <c r="A98" s="137">
        <f>TblRezone[[#This Row],[Hour]]</f>
        <v>95</v>
      </c>
      <c r="B98" s="246">
        <f ca="1">SUM(TblMili[[#This Row],[Unit 1]:[Archmages]])+SUM(OFFSET(TblMili[[#This Row],[Train Unit 1]],-8,0):TblMili[[#This Row],[Train Unit 2]]) + SUM(OFFSET(TblMili[[#This Row],[Train Unit 3]],-11,0):TblMili[[#This Row],[Train AM]]) + TblMili[[#This Row],[Draftees]]</f>
        <v>685</v>
      </c>
      <c r="C98" s="157">
        <f ca="1">TblPop[[#This Row],[Military%]]</f>
        <v>0.63661710037174724</v>
      </c>
      <c r="D98" s="142"/>
      <c r="E98" s="45">
        <f ca="1">OFFSET(TblMili[[#This Row],[Unit 1]],-1,0) + OFFSET(TblMili[[#This Row],[Train Unit 1]],-9,0) - TblMili[[#This Row],[Release Unit 1]] + OFFSET(TblMili[[#This Row],[DnD_Zombies]],-12,0)</f>
        <v>0</v>
      </c>
      <c r="F98" s="45">
        <f ca="1">OFFSET(TblMili[[#This Row],[Unit 2]],-1,0) + OFFSET(TblMili[[#This Row],[Train Unit 2]],-9,0)-TblMili[[#This Row],[Release Unit 2]]</f>
        <v>0</v>
      </c>
      <c r="G98" s="45">
        <f ca="1">OFFSET(TblMili[[#This Row],[Unit 3]],-1,0) + OFFSET(TblMili[[#This Row],[Train Unit 3]],-12,0)-TblMili[[#This Row],[Release Unit 3]]</f>
        <v>0</v>
      </c>
      <c r="H98" s="45">
        <f ca="1">OFFSET(TblMili[[#This Row],[Unit 4]],-1,0) + OFFSET(TblMili[[#This Row],[Train Unit 4]],-12,0)-TblMili[[#This Row],[Release Unit 4]]</f>
        <v>0</v>
      </c>
      <c r="I98" s="45">
        <f ca="1">OFFSET(TblMili[[#This Row],[Spies]],-1,0) + OFFSET(TblMili[[#This Row],[Train Spies]],-12,0) - TblMili[[#This Row],[Release Spies]]-TblMili[[#This Row],[Train AS]]</f>
        <v>0</v>
      </c>
      <c r="J98" s="45">
        <f ca="1">OFFSET(TblMili[[#This Row],[Archspies]],-1,0) + OFFSET(TblMili[[#This Row],[Train AS]],-12,0) - TblMili[[#This Row],[Release AS]]</f>
        <v>0</v>
      </c>
      <c r="K98" s="45">
        <f ca="1">OFFSET(TblMili[[#This Row],[Wizards]],-1,0) + OFFSET(TblMili[[#This Row],[Train Wiz]],-12,0) - TblMili[[#This Row],[Release Wizards]]-TblMili[[#This Row],[Train AM]]</f>
        <v>0</v>
      </c>
      <c r="L98" s="45">
        <f ca="1">OFFSET(TblMili[[#This Row],[Archmages]],-1,0) + OFFSET(TblMili[[#This Row],[Train AM]],-12,0) - TblMili[[#This Row],[Release AM]]</f>
        <v>0</v>
      </c>
      <c r="M98" s="142"/>
      <c r="N98" s="94">
        <f ca="1">TblProd[[#This Row],[Networth]]</f>
        <v>2450</v>
      </c>
      <c r="O98" s="142"/>
      <c r="P9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8" s="247">
        <f ca="1">TblMili[[#This Row],[Raw]]*(1+TblMili[[#This Row],[Mods_Off]])</f>
        <v>0</v>
      </c>
      <c r="S9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8" s="247">
        <f ca="1">TblMili[[#This Row],[Non Draft]]+TblMili[[#This Row],[Draftees]]</f>
        <v>685</v>
      </c>
      <c r="U98" s="248">
        <f ca="1">race_defense + TblImps[[#This Row],[Walls]] + ROUND( MIN(gt_bonus*TblConstr[[#This Row],[Tot GT]]/TblConstr[[#This Row],[Land]],gt_bonus_cap), 4) + IF(TblMagic[[#This Row],[Active Howling]]&gt;0,howling_dp_bonus,IF(TblMagic[[#This Row],[Active Ares Call]]&gt;0,ares_call_bonus))</f>
        <v>0</v>
      </c>
      <c r="V98" s="249">
        <f ca="1">TblMili[[#This Row],[Non Draft]] * (1 + TblMili[[#This Row],[Mods_Def]])</f>
        <v>0</v>
      </c>
      <c r="W98" s="247">
        <f ca="1">TblMili[[#This Row],[Draft]] * (1 + TblMili[[#This Row],[Mods_Def]])</f>
        <v>685</v>
      </c>
      <c r="X98" s="247">
        <f ca="1">TblConstr[[#This Row],[Land]]</f>
        <v>110</v>
      </c>
      <c r="Y98" s="250"/>
      <c r="Z98" s="255">
        <f ca="1">IF(TblMili[[#This Row],[Set]]&lt;&gt;"",TblMili[[#This Row],[Set]],OFFSET(TblMili[[#This Row],[Draftrate]],-1,0))</f>
        <v>0.9</v>
      </c>
      <c r="AA98" s="94">
        <f ca="1">OFFSET(TblMili[[#This Row],[Draftees]],-1,0)+OFFSET(TblPop[[#This Row],[Draft Growth]],-1,0) - SUM(TblMili[[#This Row],[Train Unit 1]:[Train Spies]],TblMili[[#This Row],[Train Wiz]],TblMili[[#This Row],[DnD_Zombies]]) - TblMili[[#This Row],[Release Draft]] + SUM(TblMili[[#This Row],[Release Unit 1]:[Release AM]]) - TblExplore[[#This Row],[Draftees (2)]]</f>
        <v>685</v>
      </c>
      <c r="AB98" s="154"/>
      <c r="AC98" s="180">
        <f ca="1">(TblConstr[[#This Row],[Tot Smi]]+TblConstr[[#This Row],[Dest Smi]])/(TblConstr[[#This Row],[Land]]-TblExplore[[#This Row],[Land Bonus]]*20)</f>
        <v>0</v>
      </c>
      <c r="AD98" s="137"/>
      <c r="AE98" s="246">
        <f>TblMili[[#This Row],[Hour]]</f>
        <v>95</v>
      </c>
      <c r="AF98" s="138">
        <f ca="1">TblExplore[[#This Row],[Time]]</f>
        <v>46050.916666666439</v>
      </c>
      <c r="AG98" s="179"/>
      <c r="AH98" s="179"/>
      <c r="AI98" s="179"/>
      <c r="AJ98" s="179"/>
      <c r="AK98" s="179"/>
      <c r="AL98" s="179"/>
      <c r="AM98" s="179"/>
      <c r="AN98" s="179"/>
      <c r="AO98" s="420">
        <f ca="1">ROUND(IF(AND(TblMagic[[#This Row],[Active DnD]]&lt;12,TblMagic[[#This Row],[Active DnD]]&gt;5),OFFSET(TblPop[[#This Row],[Draft Growth]],-1,0)*0.375,0),0)</f>
        <v>0</v>
      </c>
      <c r="AP98" s="142"/>
      <c r="AQ98" s="94">
        <f ca="1">TblProd[[#This Row],[Platinum]]</f>
        <v>194658</v>
      </c>
      <c r="AR98" s="94">
        <f ca="1">INDEX(TblProd[[#Headers],[Lumber]]:TblProd[[#This Row],[Ore]],COUNTA(TblProd[[#Headers],[Lumber]]:TblProd[[#This Row],[Lumber]]),MATCH(Military!$AR$2,TblProd[[#Headers],[Lumber]:[Ore]],0))</f>
        <v>0</v>
      </c>
      <c r="AS9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8" s="94">
        <f ca="1">TblMili[[#This Row],[Train Unit 1]]*TblMili[[#This Row],[OP Ore]]+TblMili[[#This Row],[Train Unit 2]]*TblMili[[#This Row],[DP Ore]]+TblMili[[#This Row],[Train Unit 3]]*TblMili[[#This Row],[E1 Ore]]+TblMili[[#This Row],[Train Unit 4]]*TblMili[[#This Row],[E2 Ore]]</f>
        <v>0</v>
      </c>
      <c r="AU98" s="142">
        <f>TblMili[[#This Row],[Hour]]</f>
        <v>95</v>
      </c>
      <c r="AV98" s="152">
        <f ca="1">TblMili[[#This Row],[Time]]</f>
        <v>46050.916666666439</v>
      </c>
      <c r="AW98" s="94">
        <f ca="1">TblMili[[#This Row],[Draftees]]</f>
        <v>685</v>
      </c>
      <c r="AX98" s="179"/>
      <c r="AY98" s="179"/>
      <c r="AZ98" s="179"/>
      <c r="BA98" s="179"/>
      <c r="BB98" s="179"/>
      <c r="BC98" s="179"/>
      <c r="BD98" s="179"/>
      <c r="BE98" s="179"/>
      <c r="BF98" s="179"/>
      <c r="BG98" s="142"/>
      <c r="BH98" s="157">
        <f ca="1">TblConstr[[#This Row],[Tot WG]]/TblConstr[[#This Row],[Land]]</f>
        <v>0</v>
      </c>
      <c r="BI98" s="157">
        <f ca="1">TblConstr[[#This Row],[Tot Hav]]/TblConstr[[#This Row],[Land]]</f>
        <v>0</v>
      </c>
      <c r="BJ98" s="94">
        <f ca="1">ROUNDUP((1-MIN(TblMili[[#This Row],[Smithies]]*smithy_bonus,smithy_bonus_cap) + tech_3_5*TblTech[[#This Row],[3-5]] + tech_5_3*TblTech[[#This Row],[5-3]] + tech_5_5*TblTech[[#This Row],[5-5]])*spec_op_plat,0)</f>
        <v>275</v>
      </c>
      <c r="BK98" s="94">
        <f ca="1">ROUNDUP(IF(race="Gnome",1,(1-MIN(TblMili[[#This Row],[Smithies]]*smithy_bonus,smithy_bonus_cap) + tech_3_5*TblTech[[#This Row],[3-5]] + tech_5_3*TblTech[[#This Row],[5-3]] + tech_5_5*TblTech[[#This Row],[5-5]]))*spec_op_ore,0)</f>
        <v>25</v>
      </c>
      <c r="BL98" s="94">
        <f ca="1">ROUNDUP((1-MIN(TblMili[[#This Row],[Smithies]]*smithy_bonus,smithy_bonus_cap) + tech_3_5*TblTech[[#This Row],[3-5]] + tech_5_3*TblTech[[#This Row],[5-3]] + tech_5_5*TblTech[[#This Row],[5-5]])*spec_dp_plat,0)</f>
        <v>275</v>
      </c>
      <c r="BM98" s="94">
        <f ca="1">ROUNDUP(IF(race="Gnome",1,(1-MIN(TblMili[[#This Row],[Smithies]]*smithy_bonus,smithy_bonus_cap) + tech_3_5*TblTech[[#This Row],[3-5]] + tech_5_3*TblTech[[#This Row],[5-3]] + tech_5_5*TblTech[[#This Row],[5-5]]))*spec_dp_ore,0)</f>
        <v>15</v>
      </c>
      <c r="BN98" s="94">
        <f ca="1">ROUNDUP((1-MIN(TblMili[[#This Row],[Smithies]]*smithy_bonus,smithy_bonus_cap) + tech_3_5*TblTech[[#This Row],[3-5]] + tech_5_3*TblTech[[#This Row],[5-3]] + tech_5_5*TblTech[[#This Row],[5-5]])*elite1_plat,0)</f>
        <v>1040</v>
      </c>
      <c r="BO98" s="94">
        <f ca="1">ROUNDUP(IF(race="Gnome",1,(1-MIN(TblMili[[#This Row],[Smithies]]*smithy_bonus,smithy_bonus_cap) + tech_3_5*TblTech[[#This Row],[3-5]] + tech_5_3*TblTech[[#This Row],[5-3]] + tech_5_5*TblTech[[#This Row],[5-5]]))*elite1_ore,0)</f>
        <v>75</v>
      </c>
      <c r="BP98" s="94">
        <f ca="1">ROUNDUP((1-MIN(TblMili[[#This Row],[Smithies]]*smithy_bonus,smithy_bonus_cap) + tech_3_5*TblTech[[#This Row],[3-5]] + tech_5_3*TblTech[[#This Row],[5-3]] + tech_5_5*TblTech[[#This Row],[5-5]])*elite2_plat,0)</f>
        <v>1280</v>
      </c>
      <c r="BQ98" s="94">
        <f ca="1">ROUNDUP(IF(race="Gnome",1,(1-MIN(TblMili[[#This Row],[Smithies]]*smithy_bonus,smithy_bonus_cap) + tech_3_5*TblTech[[#This Row],[3-5]] + tech_5_3*TblTech[[#This Row],[5-3]] + tech_5_5*TblTech[[#This Row],[5-5]]))*elite2_ore,0)</f>
        <v>100</v>
      </c>
      <c r="BR98" s="94">
        <f ca="1">ROUNDUP((1-MIN(ROUND(fh_spy_cost_red*TblMili[[#This Row],[FH''s]],4),fh_spy_cost_cap)+ tech_1_9*TblTech[[#This Row],[1-9]] + tech_9_1*TblTech[[#This Row],[9-1]])*spy_plat,0)</f>
        <v>500</v>
      </c>
      <c r="BS98" s="94">
        <f ca="1">ROUNDUP((1-MIN(ROUND(fh_spy_cost_red*TblMili[[#This Row],[FH''s]],4),fh_spy_cost_cap)+ tech_1_9*TblTech[[#This Row],[1-9]] + tech_9_1*TblTech[[#This Row],[9-1]])*archspy_plat,0)</f>
        <v>1000</v>
      </c>
      <c r="BT98" s="94">
        <f ca="1">ROUNDUP((1-MIN(ROUND(wg_wiz_cost_bonus*TblMili[[#This Row],[WG''s]],4),wg_wiz_cost_cap) + tech_1_9_2*TblTech[[#This Row],[1-9]] + tech_9_1_2*TblTech[[#This Row],[9-1]])*wizard_plat,0)</f>
        <v>500</v>
      </c>
      <c r="BU98" s="94">
        <f ca="1">ROUNDUP((1-MIN(ROUND(wg_wiz_cost_bonus*TblMili[[#This Row],[WG''s]],4),wg_wiz_cost_cap) + tech_1_9_2*TblTech[[#This Row],[1-9]] + tech_9_1_2*TblTech[[#This Row],[9-1]])*archmage_plat,0)</f>
        <v>1000</v>
      </c>
      <c r="BV98" s="142"/>
      <c r="BW98" s="157">
        <f ca="1">TblConstr[[#This Row],[Homeland]]/TblConstr[[#This Row],[Land]]</f>
        <v>0.81818181818181823</v>
      </c>
      <c r="BX98" s="157">
        <f ca="1">TblMili[[#This Row],[WG''s]]</f>
        <v>0</v>
      </c>
      <c r="BY98" s="251">
        <f ca="1">IF(mystic_cap="none",TblMili[[#This Row],[Homeland%]]/mystic_bonus,MIN(mystic_cap,TblMili[[#This Row],[Homeland%]]/mystic_bonus))</f>
        <v>2</v>
      </c>
      <c r="BZ98" s="251">
        <f ca="1">IF(druid_op_cap="none",TblMili[[#This Row],[Homeland%]]/druid_op_bonus,MIN(druid_op_cap,TblMili[[#This Row],[Homeland%]]/druid_op_bonus))</f>
        <v>2</v>
      </c>
      <c r="CA98" s="251">
        <f ca="1">IF(druid_dp_cap="none",TblMili[[#This Row],[Homeland%]]/druid_dp_bonus,MIN(druid_dp_cap,TblMili[[#This Row],[Homeland%]]/druid_dp_bonus))</f>
        <v>2</v>
      </c>
      <c r="CB98" s="251">
        <f ca="1">MIN(dryad_cap,TblMili[[#This Row],[Homeland%]]/dryad_bonus)</f>
        <v>4</v>
      </c>
      <c r="CC98" s="251">
        <f ca="1">MIN(rocka_cap,TblMili[[#This Row],[Homeland%]]/rocka_bonus)</f>
        <v>2</v>
      </c>
      <c r="CD98" s="251">
        <f ca="1">MIN(adept_op_cap,TblMili[[#This Row],[WG]]/adept_op_bonus)</f>
        <v>0</v>
      </c>
      <c r="CE98" s="251">
        <f ca="1">MIN(adept_dp_cap,TblMili[[#This Row],[WG]]/adept_dp_bonus)</f>
        <v>0</v>
      </c>
      <c r="CF98" s="94">
        <f ca="1">MIN(TblMili[[#This Row],[Unit 3]],TblMili[[#This Row],[Unit 2]])*2</f>
        <v>0</v>
      </c>
      <c r="CG98" s="94">
        <f ca="1">MIN(TblMili[[#This Row],[Unit 1]],TblMili[[#This Row],[Unit 4]])*2</f>
        <v>0</v>
      </c>
      <c r="CH98" s="251">
        <f ca="1">MIN(frost_mage_cap,TblMili[[#This Row],[Homeland%]]/frost_mage_bonus)</f>
        <v>3</v>
      </c>
      <c r="CI98" s="45">
        <f ca="1">MIN(ice_elem_cap,TblMili[[#This Row],[Raw (2)]]*ice_elem_bonus)</f>
        <v>0</v>
      </c>
      <c r="CJ98" s="251">
        <f t="shared" si="3"/>
        <v>0.83333333333333337</v>
      </c>
      <c r="CK98" s="251">
        <f ca="1">MIN(nox_nightshade_cap,TblConstr[[#This Row],[Homeland]]/TblConstr[[#This Row],[Land]]/nox_nightshade_swamp_bonus)</f>
        <v>4</v>
      </c>
      <c r="CL98" s="251">
        <f ca="1">MIN(TblConstr[[#This Row],[Total Swamp]]/TblConstr[[#This Row],[Land]]/abyss_enforce_bonus,abyss_enforcer_cap)</f>
        <v>0</v>
      </c>
      <c r="CM98" s="251">
        <f ca="1">IF(TblMagic[[#This Row],[Active Infernal Command]]&gt;0,TblMili[[#This Row],[Unit 1]]*infernal_cmd_op,0)</f>
        <v>0</v>
      </c>
      <c r="CN98" s="252"/>
      <c r="CO98" s="252"/>
      <c r="CP98" s="252"/>
      <c r="CQ98" s="251">
        <f ca="1">MIN(6,TblMili[[#This Row],[Mystic]]+Races!$F$19)*1.8 +  IF(TblMili[[#This Row],[Mystic]]+Races!$F$19&gt;6,(TblMili[[#This Row],[Mystic]]+Races!$F$19-6)*0.2,0) - Races!$I$19</f>
        <v>1</v>
      </c>
      <c r="CR9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8" s="94">
        <f ca="1">TblMili[[#This Row],[Mystic bonus]]*TblMili[[#This Row],[Unit 3]]+TblMili[[#This Row],[Druid bonus]]*TblMili[[#This Row],[Unit 4]]</f>
        <v>0</v>
      </c>
      <c r="CT98" s="155">
        <f ca="1">MIN(6,TblMili[[#This Row],[Dryad]]+Races!$F$35)*1.8 +  IF(TblMili[[#This Row],[Dryad]]+Races!$F$35&gt;6,(TblMili[[#This Row],[Dryad]]+Races!$F$35-6)*0.2,0) - Races!$I$19</f>
        <v>1</v>
      </c>
      <c r="CU98" s="94">
        <f ca="1">sylvan*(TblMili[[#This Row],[Mystic bonus]]*TblMili[[#This Row],[Unit 3]])</f>
        <v>0</v>
      </c>
      <c r="CV98" s="155">
        <f ca="1">1.8 * MIN(MAX(Races!$E$27,TblMili[[#This Row],[Rockapult]]+Races!$F$27),6)  +  0.45 * MIN(MIN(Races!$E$27,TblMili[[#This Row],[Rockapult]]+Races!$F$27),6)  +  0.2 * ( MAX(Races!$E$27-6,0) + MAX(TblMili[[#This Row],[Rockapult]]+Races!$F$27-6,0) )  -  Races!$I$20</f>
        <v>3.7000000000000011</v>
      </c>
      <c r="CW98" s="94">
        <f ca="1">gnome*(TblMili[[#This Row],[Rockapult bonus]]*TblMili[[#This Row],[Unit 3]])</f>
        <v>0</v>
      </c>
      <c r="CX9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8" s="94">
        <f ca="1">dark_elf*(TblMili[[#This Row],[Adept bonus]]*TblMili[[#This Row],[Unit 3]])</f>
        <v>0</v>
      </c>
      <c r="CZ98" s="155">
        <f ca="1">1.8 * MIN(MAX(TblMili[[#This Row],[Frost Mage]]+Races!$F$71,Races!$E$71),6)  +  0.45 * MIN(MIN(TblMili[[#This Row],[Frost Mage]]+Races!$F$71,Races!$E$71),6)  +  0.2 * ( MAX(TblMili[[#This Row],[Frost Mage]]+Races!$F$71-6,0) + MAX(Races!$E$71-6,0) )  -  Races!$I$71</f>
        <v>6.15</v>
      </c>
      <c r="DA98" s="155">
        <f ca="1">1.8 * MIN(MAX(TblMili[[#This Row],[Ice Elemental]]+Races!$E$71,Races!$F$71),6)  +  0.45 * MIN(MIN(TblMili[[#This Row],[Ice Elemental]]+Races!$E$71,Races!$F$71),6)  +  0.2 * ( MAX(TblMili[[#This Row],[Ice Elemental]]+Races!$E$71-6,0) + MAX(Races!$F$71-6,0) )  -  Races!$I$71</f>
        <v>0.75</v>
      </c>
      <c r="DB98" s="94">
        <f ca="1">TblMili[[#This Row],[Frost Mage bonus]]*TblMili[[#This Row],[Unit 3]]+TblMili[[#This Row],[Ice Elemental bonus]]*TblMili[[#This Row],[Unit 4]]</f>
        <v>0</v>
      </c>
      <c r="DC98" s="253"/>
      <c r="DD98" s="143">
        <f ca="1">MIN(SUM(TblConstr[[#This Row],[Plain]:[Water]])/TblMili[[#This Row],[Land]]/favorable_terrain_bonus/100,favorable_terrain_max)</f>
        <v>0.1</v>
      </c>
      <c r="DE98" s="253"/>
      <c r="DF9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8" s="142"/>
      <c r="DH98" s="254">
        <f ca="1">(TblMili[[#This Row],[Wizards]]+2*TblMili[[#This Row],[Archmages]])/TblConstr[[#This Row],[Land]]</f>
        <v>0</v>
      </c>
      <c r="DI98" s="254">
        <f ca="1">TblMili[[#This Row],[Raw (2)]]*(1+race_wizard_strength+IF(TblMili[[#This Row],[Hour]]&gt;72,tech_magical_weaponry_wiz*TblTech[[#This Row],[3-5]],0))</f>
        <v>0</v>
      </c>
    </row>
    <row r="99" spans="1:113" x14ac:dyDescent="0.2">
      <c r="A99" s="137">
        <f>TblRezone[[#This Row],[Hour]]</f>
        <v>96</v>
      </c>
      <c r="B99" s="246">
        <f ca="1">SUM(TblMili[[#This Row],[Unit 1]:[Archmages]])+SUM(OFFSET(TblMili[[#This Row],[Train Unit 1]],-8,0):TblMili[[#This Row],[Train Unit 2]]) + SUM(OFFSET(TblMili[[#This Row],[Train Unit 3]],-11,0):TblMili[[#This Row],[Train AM]]) + TblMili[[#This Row],[Draftees]]</f>
        <v>689</v>
      </c>
      <c r="C99" s="157">
        <f ca="1">TblPop[[#This Row],[Military%]]</f>
        <v>0.64033457249070636</v>
      </c>
      <c r="D99" s="142"/>
      <c r="E99" s="45">
        <f ca="1">OFFSET(TblMili[[#This Row],[Unit 1]],-1,0) + OFFSET(TblMili[[#This Row],[Train Unit 1]],-9,0) - TblMili[[#This Row],[Release Unit 1]] + OFFSET(TblMili[[#This Row],[DnD_Zombies]],-12,0)</f>
        <v>0</v>
      </c>
      <c r="F99" s="45">
        <f ca="1">OFFSET(TblMili[[#This Row],[Unit 2]],-1,0) + OFFSET(TblMili[[#This Row],[Train Unit 2]],-9,0)-TblMili[[#This Row],[Release Unit 2]]</f>
        <v>0</v>
      </c>
      <c r="G99" s="45">
        <f ca="1">OFFSET(TblMili[[#This Row],[Unit 3]],-1,0) + OFFSET(TblMili[[#This Row],[Train Unit 3]],-12,0)-TblMili[[#This Row],[Release Unit 3]]</f>
        <v>0</v>
      </c>
      <c r="H99" s="45">
        <f ca="1">OFFSET(TblMili[[#This Row],[Unit 4]],-1,0) + OFFSET(TblMili[[#This Row],[Train Unit 4]],-12,0)-TblMili[[#This Row],[Release Unit 4]]</f>
        <v>0</v>
      </c>
      <c r="I99" s="45">
        <f ca="1">OFFSET(TblMili[[#This Row],[Spies]],-1,0) + OFFSET(TblMili[[#This Row],[Train Spies]],-12,0) - TblMili[[#This Row],[Release Spies]]-TblMili[[#This Row],[Train AS]]</f>
        <v>0</v>
      </c>
      <c r="J99" s="45">
        <f ca="1">OFFSET(TblMili[[#This Row],[Archspies]],-1,0) + OFFSET(TblMili[[#This Row],[Train AS]],-12,0) - TblMili[[#This Row],[Release AS]]</f>
        <v>0</v>
      </c>
      <c r="K99" s="45">
        <f ca="1">OFFSET(TblMili[[#This Row],[Wizards]],-1,0) + OFFSET(TblMili[[#This Row],[Train Wiz]],-12,0) - TblMili[[#This Row],[Release Wizards]]-TblMili[[#This Row],[Train AM]]</f>
        <v>0</v>
      </c>
      <c r="L99" s="45">
        <f ca="1">OFFSET(TblMili[[#This Row],[Archmages]],-1,0) + OFFSET(TblMili[[#This Row],[Train AM]],-12,0) - TblMili[[#This Row],[Release AM]]</f>
        <v>0</v>
      </c>
      <c r="M99" s="142"/>
      <c r="N99" s="94">
        <f ca="1">TblProd[[#This Row],[Networth]]</f>
        <v>2450</v>
      </c>
      <c r="O99" s="142"/>
      <c r="P9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9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99" s="247">
        <f ca="1">TblMili[[#This Row],[Raw]]*(1+TblMili[[#This Row],[Mods_Off]])</f>
        <v>0</v>
      </c>
      <c r="S9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99" s="247">
        <f ca="1">TblMili[[#This Row],[Non Draft]]+TblMili[[#This Row],[Draftees]]</f>
        <v>689</v>
      </c>
      <c r="U99" s="248">
        <f ca="1">race_defense + TblImps[[#This Row],[Walls]] + ROUND( MIN(gt_bonus*TblConstr[[#This Row],[Tot GT]]/TblConstr[[#This Row],[Land]],gt_bonus_cap), 4) + IF(TblMagic[[#This Row],[Active Howling]]&gt;0,howling_dp_bonus,IF(TblMagic[[#This Row],[Active Ares Call]]&gt;0,ares_call_bonus))</f>
        <v>0</v>
      </c>
      <c r="V99" s="249">
        <f ca="1">TblMili[[#This Row],[Non Draft]] * (1 + TblMili[[#This Row],[Mods_Def]])</f>
        <v>0</v>
      </c>
      <c r="W99" s="247">
        <f ca="1">TblMili[[#This Row],[Draft]] * (1 + TblMili[[#This Row],[Mods_Def]])</f>
        <v>689</v>
      </c>
      <c r="X99" s="247">
        <f ca="1">TblConstr[[#This Row],[Land]]</f>
        <v>110</v>
      </c>
      <c r="Y99" s="250"/>
      <c r="Z99" s="255">
        <f ca="1">IF(TblMili[[#This Row],[Set]]&lt;&gt;"",TblMili[[#This Row],[Set]],OFFSET(TblMili[[#This Row],[Draftrate]],-1,0))</f>
        <v>0.9</v>
      </c>
      <c r="AA99" s="94">
        <f ca="1">OFFSET(TblMili[[#This Row],[Draftees]],-1,0)+OFFSET(TblPop[[#This Row],[Draft Growth]],-1,0) - SUM(TblMili[[#This Row],[Train Unit 1]:[Train Spies]],TblMili[[#This Row],[Train Wiz]],TblMili[[#This Row],[DnD_Zombies]]) - TblMili[[#This Row],[Release Draft]] + SUM(TblMili[[#This Row],[Release Unit 1]:[Release AM]]) - TblExplore[[#This Row],[Draftees (2)]]</f>
        <v>689</v>
      </c>
      <c r="AB99" s="154"/>
      <c r="AC99" s="180">
        <f ca="1">(TblConstr[[#This Row],[Tot Smi]]+TblConstr[[#This Row],[Dest Smi]])/(TblConstr[[#This Row],[Land]]-TblExplore[[#This Row],[Land Bonus]]*20)</f>
        <v>0</v>
      </c>
      <c r="AD99" s="137"/>
      <c r="AE99" s="246">
        <f>TblMili[[#This Row],[Hour]]</f>
        <v>96</v>
      </c>
      <c r="AF99" s="138">
        <f ca="1">TblExplore[[#This Row],[Time]]</f>
        <v>46050.958333333103</v>
      </c>
      <c r="AG99" s="179"/>
      <c r="AH99" s="179"/>
      <c r="AI99" s="179"/>
      <c r="AJ99" s="179"/>
      <c r="AK99" s="179"/>
      <c r="AL99" s="179"/>
      <c r="AM99" s="179"/>
      <c r="AN99" s="179"/>
      <c r="AO99" s="420">
        <f ca="1">ROUND(IF(AND(TblMagic[[#This Row],[Active DnD]]&lt;12,TblMagic[[#This Row],[Active DnD]]&gt;5),OFFSET(TblPop[[#This Row],[Draft Growth]],-1,0)*0.375,0),0)</f>
        <v>0</v>
      </c>
      <c r="AP99" s="142"/>
      <c r="AQ99" s="94">
        <f ca="1">TblProd[[#This Row],[Platinum]]</f>
        <v>195713</v>
      </c>
      <c r="AR99" s="94">
        <f ca="1">INDEX(TblProd[[#Headers],[Lumber]]:TblProd[[#This Row],[Ore]],COUNTA(TblProd[[#Headers],[Lumber]]:TblProd[[#This Row],[Lumber]]),MATCH(Military!$AR$2,TblProd[[#Headers],[Lumber]:[Ore]],0))</f>
        <v>0</v>
      </c>
      <c r="AS9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99" s="94">
        <f ca="1">TblMili[[#This Row],[Train Unit 1]]*TblMili[[#This Row],[OP Ore]]+TblMili[[#This Row],[Train Unit 2]]*TblMili[[#This Row],[DP Ore]]+TblMili[[#This Row],[Train Unit 3]]*TblMili[[#This Row],[E1 Ore]]+TblMili[[#This Row],[Train Unit 4]]*TblMili[[#This Row],[E2 Ore]]</f>
        <v>0</v>
      </c>
      <c r="AU99" s="142">
        <f>TblMili[[#This Row],[Hour]]</f>
        <v>96</v>
      </c>
      <c r="AV99" s="152">
        <f ca="1">TblMili[[#This Row],[Time]]</f>
        <v>46050.958333333103</v>
      </c>
      <c r="AW99" s="94">
        <f ca="1">TblMili[[#This Row],[Draftees]]</f>
        <v>689</v>
      </c>
      <c r="AX99" s="179"/>
      <c r="AY99" s="179"/>
      <c r="AZ99" s="179"/>
      <c r="BA99" s="179"/>
      <c r="BB99" s="179"/>
      <c r="BC99" s="179"/>
      <c r="BD99" s="179"/>
      <c r="BE99" s="179"/>
      <c r="BF99" s="179"/>
      <c r="BG99" s="142"/>
      <c r="BH99" s="157">
        <f ca="1">TblConstr[[#This Row],[Tot WG]]/TblConstr[[#This Row],[Land]]</f>
        <v>0</v>
      </c>
      <c r="BI99" s="157">
        <f ca="1">TblConstr[[#This Row],[Tot Hav]]/TblConstr[[#This Row],[Land]]</f>
        <v>0</v>
      </c>
      <c r="BJ99" s="94">
        <f ca="1">ROUNDUP((1-MIN(TblMili[[#This Row],[Smithies]]*smithy_bonus,smithy_bonus_cap) + tech_3_5*TblTech[[#This Row],[3-5]] + tech_5_3*TblTech[[#This Row],[5-3]] + tech_5_5*TblTech[[#This Row],[5-5]])*spec_op_plat,0)</f>
        <v>275</v>
      </c>
      <c r="BK99" s="94">
        <f ca="1">ROUNDUP(IF(race="Gnome",1,(1-MIN(TblMili[[#This Row],[Smithies]]*smithy_bonus,smithy_bonus_cap) + tech_3_5*TblTech[[#This Row],[3-5]] + tech_5_3*TblTech[[#This Row],[5-3]] + tech_5_5*TblTech[[#This Row],[5-5]]))*spec_op_ore,0)</f>
        <v>25</v>
      </c>
      <c r="BL99" s="94">
        <f ca="1">ROUNDUP((1-MIN(TblMili[[#This Row],[Smithies]]*smithy_bonus,smithy_bonus_cap) + tech_3_5*TblTech[[#This Row],[3-5]] + tech_5_3*TblTech[[#This Row],[5-3]] + tech_5_5*TblTech[[#This Row],[5-5]])*spec_dp_plat,0)</f>
        <v>275</v>
      </c>
      <c r="BM99" s="94">
        <f ca="1">ROUNDUP(IF(race="Gnome",1,(1-MIN(TblMili[[#This Row],[Smithies]]*smithy_bonus,smithy_bonus_cap) + tech_3_5*TblTech[[#This Row],[3-5]] + tech_5_3*TblTech[[#This Row],[5-3]] + tech_5_5*TblTech[[#This Row],[5-5]]))*spec_dp_ore,0)</f>
        <v>15</v>
      </c>
      <c r="BN99" s="94">
        <f ca="1">ROUNDUP((1-MIN(TblMili[[#This Row],[Smithies]]*smithy_bonus,smithy_bonus_cap) + tech_3_5*TblTech[[#This Row],[3-5]] + tech_5_3*TblTech[[#This Row],[5-3]] + tech_5_5*TblTech[[#This Row],[5-5]])*elite1_plat,0)</f>
        <v>1040</v>
      </c>
      <c r="BO99" s="94">
        <f ca="1">ROUNDUP(IF(race="Gnome",1,(1-MIN(TblMili[[#This Row],[Smithies]]*smithy_bonus,smithy_bonus_cap) + tech_3_5*TblTech[[#This Row],[3-5]] + tech_5_3*TblTech[[#This Row],[5-3]] + tech_5_5*TblTech[[#This Row],[5-5]]))*elite1_ore,0)</f>
        <v>75</v>
      </c>
      <c r="BP99" s="94">
        <f ca="1">ROUNDUP((1-MIN(TblMili[[#This Row],[Smithies]]*smithy_bonus,smithy_bonus_cap) + tech_3_5*TblTech[[#This Row],[3-5]] + tech_5_3*TblTech[[#This Row],[5-3]] + tech_5_5*TblTech[[#This Row],[5-5]])*elite2_plat,0)</f>
        <v>1280</v>
      </c>
      <c r="BQ99" s="94">
        <f ca="1">ROUNDUP(IF(race="Gnome",1,(1-MIN(TblMili[[#This Row],[Smithies]]*smithy_bonus,smithy_bonus_cap) + tech_3_5*TblTech[[#This Row],[3-5]] + tech_5_3*TblTech[[#This Row],[5-3]] + tech_5_5*TblTech[[#This Row],[5-5]]))*elite2_ore,0)</f>
        <v>100</v>
      </c>
      <c r="BR99" s="94">
        <f ca="1">ROUNDUP((1-MIN(ROUND(fh_spy_cost_red*TblMili[[#This Row],[FH''s]],4),fh_spy_cost_cap)+ tech_1_9*TblTech[[#This Row],[1-9]] + tech_9_1*TblTech[[#This Row],[9-1]])*spy_plat,0)</f>
        <v>500</v>
      </c>
      <c r="BS99" s="94">
        <f ca="1">ROUNDUP((1-MIN(ROUND(fh_spy_cost_red*TblMili[[#This Row],[FH''s]],4),fh_spy_cost_cap)+ tech_1_9*TblTech[[#This Row],[1-9]] + tech_9_1*TblTech[[#This Row],[9-1]])*archspy_plat,0)</f>
        <v>1000</v>
      </c>
      <c r="BT99" s="94">
        <f ca="1">ROUNDUP((1-MIN(ROUND(wg_wiz_cost_bonus*TblMili[[#This Row],[WG''s]],4),wg_wiz_cost_cap) + tech_1_9_2*TblTech[[#This Row],[1-9]] + tech_9_1_2*TblTech[[#This Row],[9-1]])*wizard_plat,0)</f>
        <v>500</v>
      </c>
      <c r="BU99" s="94">
        <f ca="1">ROUNDUP((1-MIN(ROUND(wg_wiz_cost_bonus*TblMili[[#This Row],[WG''s]],4),wg_wiz_cost_cap) + tech_1_9_2*TblTech[[#This Row],[1-9]] + tech_9_1_2*TblTech[[#This Row],[9-1]])*archmage_plat,0)</f>
        <v>1000</v>
      </c>
      <c r="BV99" s="142"/>
      <c r="BW99" s="157">
        <f ca="1">TblConstr[[#This Row],[Homeland]]/TblConstr[[#This Row],[Land]]</f>
        <v>0.81818181818181823</v>
      </c>
      <c r="BX99" s="157">
        <f ca="1">TblMili[[#This Row],[WG''s]]</f>
        <v>0</v>
      </c>
      <c r="BY99" s="251">
        <f ca="1">IF(mystic_cap="none",TblMili[[#This Row],[Homeland%]]/mystic_bonus,MIN(mystic_cap,TblMili[[#This Row],[Homeland%]]/mystic_bonus))</f>
        <v>2</v>
      </c>
      <c r="BZ99" s="251">
        <f ca="1">IF(druid_op_cap="none",TblMili[[#This Row],[Homeland%]]/druid_op_bonus,MIN(druid_op_cap,TblMili[[#This Row],[Homeland%]]/druid_op_bonus))</f>
        <v>2</v>
      </c>
      <c r="CA99" s="251">
        <f ca="1">IF(druid_dp_cap="none",TblMili[[#This Row],[Homeland%]]/druid_dp_bonus,MIN(druid_dp_cap,TblMili[[#This Row],[Homeland%]]/druid_dp_bonus))</f>
        <v>2</v>
      </c>
      <c r="CB99" s="251">
        <f ca="1">MIN(dryad_cap,TblMili[[#This Row],[Homeland%]]/dryad_bonus)</f>
        <v>4</v>
      </c>
      <c r="CC99" s="251">
        <f ca="1">MIN(rocka_cap,TblMili[[#This Row],[Homeland%]]/rocka_bonus)</f>
        <v>2</v>
      </c>
      <c r="CD99" s="251">
        <f ca="1">MIN(adept_op_cap,TblMili[[#This Row],[WG]]/adept_op_bonus)</f>
        <v>0</v>
      </c>
      <c r="CE99" s="251">
        <f ca="1">MIN(adept_dp_cap,TblMili[[#This Row],[WG]]/adept_dp_bonus)</f>
        <v>0</v>
      </c>
      <c r="CF99" s="94">
        <f ca="1">MIN(TblMili[[#This Row],[Unit 3]],TblMili[[#This Row],[Unit 2]])*2</f>
        <v>0</v>
      </c>
      <c r="CG99" s="94">
        <f ca="1">MIN(TblMili[[#This Row],[Unit 1]],TblMili[[#This Row],[Unit 4]])*2</f>
        <v>0</v>
      </c>
      <c r="CH99" s="251">
        <f ca="1">MIN(frost_mage_cap,TblMili[[#This Row],[Homeland%]]/frost_mage_bonus)</f>
        <v>3</v>
      </c>
      <c r="CI99" s="45">
        <f ca="1">MIN(ice_elem_cap,TblMili[[#This Row],[Raw (2)]]*ice_elem_bonus)</f>
        <v>0</v>
      </c>
      <c r="CJ99" s="251">
        <f t="shared" si="3"/>
        <v>0.83333333333333337</v>
      </c>
      <c r="CK99" s="251">
        <f ca="1">MIN(nox_nightshade_cap,TblConstr[[#This Row],[Homeland]]/TblConstr[[#This Row],[Land]]/nox_nightshade_swamp_bonus)</f>
        <v>4</v>
      </c>
      <c r="CL99" s="251">
        <f ca="1">MIN(TblConstr[[#This Row],[Total Swamp]]/TblConstr[[#This Row],[Land]]/abyss_enforce_bonus,abyss_enforcer_cap)</f>
        <v>0</v>
      </c>
      <c r="CM99" s="251">
        <f ca="1">IF(TblMagic[[#This Row],[Active Infernal Command]]&gt;0,TblMili[[#This Row],[Unit 1]]*infernal_cmd_op,0)</f>
        <v>0</v>
      </c>
      <c r="CN99" s="252"/>
      <c r="CO99" s="252"/>
      <c r="CP99" s="252"/>
      <c r="CQ99" s="251">
        <f ca="1">MIN(6,TblMili[[#This Row],[Mystic]]+Races!$F$19)*1.8 +  IF(TblMili[[#This Row],[Mystic]]+Races!$F$19&gt;6,(TblMili[[#This Row],[Mystic]]+Races!$F$19-6)*0.2,0) - Races!$I$19</f>
        <v>1</v>
      </c>
      <c r="CR9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99" s="94">
        <f ca="1">TblMili[[#This Row],[Mystic bonus]]*TblMili[[#This Row],[Unit 3]]+TblMili[[#This Row],[Druid bonus]]*TblMili[[#This Row],[Unit 4]]</f>
        <v>0</v>
      </c>
      <c r="CT99" s="155">
        <f ca="1">MIN(6,TblMili[[#This Row],[Dryad]]+Races!$F$35)*1.8 +  IF(TblMili[[#This Row],[Dryad]]+Races!$F$35&gt;6,(TblMili[[#This Row],[Dryad]]+Races!$F$35-6)*0.2,0) - Races!$I$19</f>
        <v>1</v>
      </c>
      <c r="CU99" s="94">
        <f ca="1">sylvan*(TblMili[[#This Row],[Mystic bonus]]*TblMili[[#This Row],[Unit 3]])</f>
        <v>0</v>
      </c>
      <c r="CV99" s="155">
        <f ca="1">1.8 * MIN(MAX(Races!$E$27,TblMili[[#This Row],[Rockapult]]+Races!$F$27),6)  +  0.45 * MIN(MIN(Races!$E$27,TblMili[[#This Row],[Rockapult]]+Races!$F$27),6)  +  0.2 * ( MAX(Races!$E$27-6,0) + MAX(TblMili[[#This Row],[Rockapult]]+Races!$F$27-6,0) )  -  Races!$I$20</f>
        <v>3.7000000000000011</v>
      </c>
      <c r="CW99" s="94">
        <f ca="1">gnome*(TblMili[[#This Row],[Rockapult bonus]]*TblMili[[#This Row],[Unit 3]])</f>
        <v>0</v>
      </c>
      <c r="CX9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99" s="94">
        <f ca="1">dark_elf*(TblMili[[#This Row],[Adept bonus]]*TblMili[[#This Row],[Unit 3]])</f>
        <v>0</v>
      </c>
      <c r="CZ99" s="155">
        <f ca="1">1.8 * MIN(MAX(TblMili[[#This Row],[Frost Mage]]+Races!$F$71,Races!$E$71),6)  +  0.45 * MIN(MIN(TblMili[[#This Row],[Frost Mage]]+Races!$F$71,Races!$E$71),6)  +  0.2 * ( MAX(TblMili[[#This Row],[Frost Mage]]+Races!$F$71-6,0) + MAX(Races!$E$71-6,0) )  -  Races!$I$71</f>
        <v>6.15</v>
      </c>
      <c r="DA99" s="155">
        <f ca="1">1.8 * MIN(MAX(TblMili[[#This Row],[Ice Elemental]]+Races!$E$71,Races!$F$71),6)  +  0.45 * MIN(MIN(TblMili[[#This Row],[Ice Elemental]]+Races!$E$71,Races!$F$71),6)  +  0.2 * ( MAX(TblMili[[#This Row],[Ice Elemental]]+Races!$E$71-6,0) + MAX(Races!$F$71-6,0) )  -  Races!$I$71</f>
        <v>0.75</v>
      </c>
      <c r="DB99" s="94">
        <f ca="1">TblMili[[#This Row],[Frost Mage bonus]]*TblMili[[#This Row],[Unit 3]]+TblMili[[#This Row],[Ice Elemental bonus]]*TblMili[[#This Row],[Unit 4]]</f>
        <v>0</v>
      </c>
      <c r="DC99" s="253"/>
      <c r="DD99" s="143">
        <f ca="1">MIN(SUM(TblConstr[[#This Row],[Plain]:[Water]])/TblMili[[#This Row],[Land]]/favorable_terrain_bonus/100,favorable_terrain_max)</f>
        <v>0.1</v>
      </c>
      <c r="DE99" s="253"/>
      <c r="DF9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99" s="142"/>
      <c r="DH99" s="254">
        <f ca="1">(TblMili[[#This Row],[Wizards]]+2*TblMili[[#This Row],[Archmages]])/TblConstr[[#This Row],[Land]]</f>
        <v>0</v>
      </c>
      <c r="DI99" s="254">
        <f ca="1">TblMili[[#This Row],[Raw (2)]]*(1+race_wizard_strength+IF(TblMili[[#This Row],[Hour]]&gt;72,tech_magical_weaponry_wiz*TblTech[[#This Row],[3-5]],0))</f>
        <v>0</v>
      </c>
    </row>
    <row r="100" spans="1:113" x14ac:dyDescent="0.2">
      <c r="A100" s="137">
        <f>TblRezone[[#This Row],[Hour]]</f>
        <v>97</v>
      </c>
      <c r="B100" s="246">
        <f ca="1">SUM(TblMili[[#This Row],[Unit 1]:[Archmages]])+SUM(OFFSET(TblMili[[#This Row],[Train Unit 1]],-8,0):TblMili[[#This Row],[Train Unit 2]]) + SUM(OFFSET(TblMili[[#This Row],[Train Unit 3]],-11,0):TblMili[[#This Row],[Train AM]]) + TblMili[[#This Row],[Draftees]]</f>
        <v>693</v>
      </c>
      <c r="C100" s="157">
        <f ca="1">TblPop[[#This Row],[Military%]]</f>
        <v>0.64405204460966547</v>
      </c>
      <c r="D100" s="142"/>
      <c r="E100" s="45">
        <f ca="1">OFFSET(TblMili[[#This Row],[Unit 1]],-1,0) + OFFSET(TblMili[[#This Row],[Train Unit 1]],-9,0) - TblMili[[#This Row],[Release Unit 1]] + OFFSET(TblMili[[#This Row],[DnD_Zombies]],-12,0)</f>
        <v>0</v>
      </c>
      <c r="F100" s="45">
        <f ca="1">OFFSET(TblMili[[#This Row],[Unit 2]],-1,0) + OFFSET(TblMili[[#This Row],[Train Unit 2]],-9,0)-TblMili[[#This Row],[Release Unit 2]]</f>
        <v>0</v>
      </c>
      <c r="G100" s="45">
        <f ca="1">OFFSET(TblMili[[#This Row],[Unit 3]],-1,0) + OFFSET(TblMili[[#This Row],[Train Unit 3]],-12,0)-TblMili[[#This Row],[Release Unit 3]]</f>
        <v>0</v>
      </c>
      <c r="H100" s="45">
        <f ca="1">OFFSET(TblMili[[#This Row],[Unit 4]],-1,0) + OFFSET(TblMili[[#This Row],[Train Unit 4]],-12,0)-TblMili[[#This Row],[Release Unit 4]]</f>
        <v>0</v>
      </c>
      <c r="I100" s="45">
        <f ca="1">OFFSET(TblMili[[#This Row],[Spies]],-1,0) + OFFSET(TblMili[[#This Row],[Train Spies]],-12,0) - TblMili[[#This Row],[Release Spies]]-TblMili[[#This Row],[Train AS]]</f>
        <v>0</v>
      </c>
      <c r="J100" s="45">
        <f ca="1">OFFSET(TblMili[[#This Row],[Archspies]],-1,0) + OFFSET(TblMili[[#This Row],[Train AS]],-12,0) - TblMili[[#This Row],[Release AS]]</f>
        <v>0</v>
      </c>
      <c r="K100" s="45">
        <f ca="1">OFFSET(TblMili[[#This Row],[Wizards]],-1,0) + OFFSET(TblMili[[#This Row],[Train Wiz]],-12,0) - TblMili[[#This Row],[Release Wizards]]-TblMili[[#This Row],[Train AM]]</f>
        <v>0</v>
      </c>
      <c r="L100" s="45">
        <f ca="1">OFFSET(TblMili[[#This Row],[Archmages]],-1,0) + OFFSET(TblMili[[#This Row],[Train AM]],-12,0) - TblMili[[#This Row],[Release AM]]</f>
        <v>0</v>
      </c>
      <c r="M100" s="142"/>
      <c r="N100" s="94">
        <f ca="1">TblProd[[#This Row],[Networth]]</f>
        <v>2450</v>
      </c>
      <c r="O100" s="142"/>
      <c r="P10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0" s="247">
        <f ca="1">TblMili[[#This Row],[Raw]]*(1+TblMili[[#This Row],[Mods_Off]])</f>
        <v>0</v>
      </c>
      <c r="S10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0" s="247">
        <f ca="1">TblMili[[#This Row],[Non Draft]]+TblMili[[#This Row],[Draftees]]</f>
        <v>693</v>
      </c>
      <c r="U100" s="248">
        <f ca="1">race_defense + TblImps[[#This Row],[Walls]] + ROUND( MIN(gt_bonus*TblConstr[[#This Row],[Tot GT]]/TblConstr[[#This Row],[Land]],gt_bonus_cap), 4) + IF(TblMagic[[#This Row],[Active Howling]]&gt;0,howling_dp_bonus,IF(TblMagic[[#This Row],[Active Ares Call]]&gt;0,ares_call_bonus))</f>
        <v>0</v>
      </c>
      <c r="V100" s="249">
        <f ca="1">TblMili[[#This Row],[Non Draft]] * (1 + TblMili[[#This Row],[Mods_Def]])</f>
        <v>0</v>
      </c>
      <c r="W100" s="247">
        <f ca="1">TblMili[[#This Row],[Draft]] * (1 + TblMili[[#This Row],[Mods_Def]])</f>
        <v>693</v>
      </c>
      <c r="X100" s="247">
        <f ca="1">TblConstr[[#This Row],[Land]]</f>
        <v>110</v>
      </c>
      <c r="Y100" s="250"/>
      <c r="Z100" s="255">
        <f ca="1">IF(TblMili[[#This Row],[Set]]&lt;&gt;"",TblMili[[#This Row],[Set]],OFFSET(TblMili[[#This Row],[Draftrate]],-1,0))</f>
        <v>0.9</v>
      </c>
      <c r="AA100" s="94">
        <f ca="1">OFFSET(TblMili[[#This Row],[Draftees]],-1,0)+OFFSET(TblPop[[#This Row],[Draft Growth]],-1,0) - SUM(TblMili[[#This Row],[Train Unit 1]:[Train Spies]],TblMili[[#This Row],[Train Wiz]],TblMili[[#This Row],[DnD_Zombies]]) - TblMili[[#This Row],[Release Draft]] + SUM(TblMili[[#This Row],[Release Unit 1]:[Release AM]]) - TblExplore[[#This Row],[Draftees (2)]]</f>
        <v>693</v>
      </c>
      <c r="AB100" s="154"/>
      <c r="AC100" s="180">
        <f ca="1">(TblConstr[[#This Row],[Tot Smi]]+TblConstr[[#This Row],[Dest Smi]])/(TblConstr[[#This Row],[Land]]-TblExplore[[#This Row],[Land Bonus]]*20)</f>
        <v>0</v>
      </c>
      <c r="AD100" s="137"/>
      <c r="AE100" s="246">
        <f>TblMili[[#This Row],[Hour]]</f>
        <v>97</v>
      </c>
      <c r="AF100" s="138">
        <f ca="1">TblExplore[[#This Row],[Time]]</f>
        <v>46050.999999999767</v>
      </c>
      <c r="AG100" s="179"/>
      <c r="AH100" s="179"/>
      <c r="AI100" s="179"/>
      <c r="AJ100" s="179"/>
      <c r="AK100" s="179"/>
      <c r="AL100" s="179"/>
      <c r="AM100" s="179"/>
      <c r="AN100" s="179"/>
      <c r="AO100" s="420">
        <f ca="1">ROUND(IF(AND(TblMagic[[#This Row],[Active DnD]]&lt;12,TblMagic[[#This Row],[Active DnD]]&gt;5),OFFSET(TblPop[[#This Row],[Draft Growth]],-1,0)*0.375,0),0)</f>
        <v>0</v>
      </c>
      <c r="AP100" s="142"/>
      <c r="AQ100" s="94">
        <f ca="1">TblProd[[#This Row],[Platinum]]</f>
        <v>196757</v>
      </c>
      <c r="AR100" s="94">
        <f ca="1">INDEX(TblProd[[#Headers],[Lumber]]:TblProd[[#This Row],[Ore]],COUNTA(TblProd[[#Headers],[Lumber]]:TblProd[[#This Row],[Lumber]]),MATCH(Military!$AR$2,TblProd[[#Headers],[Lumber]:[Ore]],0))</f>
        <v>0</v>
      </c>
      <c r="AS10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0" s="94">
        <f ca="1">TblMili[[#This Row],[Train Unit 1]]*TblMili[[#This Row],[OP Ore]]+TblMili[[#This Row],[Train Unit 2]]*TblMili[[#This Row],[DP Ore]]+TblMili[[#This Row],[Train Unit 3]]*TblMili[[#This Row],[E1 Ore]]+TblMili[[#This Row],[Train Unit 4]]*TblMili[[#This Row],[E2 Ore]]</f>
        <v>0</v>
      </c>
      <c r="AU100" s="142">
        <f>TblMili[[#This Row],[Hour]]</f>
        <v>97</v>
      </c>
      <c r="AV100" s="152">
        <f ca="1">TblMili[[#This Row],[Time]]</f>
        <v>46050.999999999767</v>
      </c>
      <c r="AW100" s="94">
        <f ca="1">TblMili[[#This Row],[Draftees]]</f>
        <v>693</v>
      </c>
      <c r="AX100" s="179"/>
      <c r="AY100" s="179"/>
      <c r="AZ100" s="179"/>
      <c r="BA100" s="179"/>
      <c r="BB100" s="179"/>
      <c r="BC100" s="179"/>
      <c r="BD100" s="179"/>
      <c r="BE100" s="179"/>
      <c r="BF100" s="179"/>
      <c r="BG100" s="142"/>
      <c r="BH100" s="157">
        <f ca="1">TblConstr[[#This Row],[Tot WG]]/TblConstr[[#This Row],[Land]]</f>
        <v>0</v>
      </c>
      <c r="BI100" s="157">
        <f ca="1">TblConstr[[#This Row],[Tot Hav]]/TblConstr[[#This Row],[Land]]</f>
        <v>0</v>
      </c>
      <c r="BJ100" s="94">
        <f ca="1">ROUNDUP((1-MIN(TblMili[[#This Row],[Smithies]]*smithy_bonus,smithy_bonus_cap) + tech_3_5*TblTech[[#This Row],[3-5]] + tech_5_3*TblTech[[#This Row],[5-3]] + tech_5_5*TblTech[[#This Row],[5-5]])*spec_op_plat,0)</f>
        <v>275</v>
      </c>
      <c r="BK100" s="94">
        <f ca="1">ROUNDUP(IF(race="Gnome",1,(1-MIN(TblMili[[#This Row],[Smithies]]*smithy_bonus,smithy_bonus_cap) + tech_3_5*TblTech[[#This Row],[3-5]] + tech_5_3*TblTech[[#This Row],[5-3]] + tech_5_5*TblTech[[#This Row],[5-5]]))*spec_op_ore,0)</f>
        <v>25</v>
      </c>
      <c r="BL100" s="94">
        <f ca="1">ROUNDUP((1-MIN(TblMili[[#This Row],[Smithies]]*smithy_bonus,smithy_bonus_cap) + tech_3_5*TblTech[[#This Row],[3-5]] + tech_5_3*TblTech[[#This Row],[5-3]] + tech_5_5*TblTech[[#This Row],[5-5]])*spec_dp_plat,0)</f>
        <v>275</v>
      </c>
      <c r="BM100" s="94">
        <f ca="1">ROUNDUP(IF(race="Gnome",1,(1-MIN(TblMili[[#This Row],[Smithies]]*smithy_bonus,smithy_bonus_cap) + tech_3_5*TblTech[[#This Row],[3-5]] + tech_5_3*TblTech[[#This Row],[5-3]] + tech_5_5*TblTech[[#This Row],[5-5]]))*spec_dp_ore,0)</f>
        <v>15</v>
      </c>
      <c r="BN100" s="94">
        <f ca="1">ROUNDUP((1-MIN(TblMili[[#This Row],[Smithies]]*smithy_bonus,smithy_bonus_cap) + tech_3_5*TblTech[[#This Row],[3-5]] + tech_5_3*TblTech[[#This Row],[5-3]] + tech_5_5*TblTech[[#This Row],[5-5]])*elite1_plat,0)</f>
        <v>1040</v>
      </c>
      <c r="BO100" s="94">
        <f ca="1">ROUNDUP(IF(race="Gnome",1,(1-MIN(TblMili[[#This Row],[Smithies]]*smithy_bonus,smithy_bonus_cap) + tech_3_5*TblTech[[#This Row],[3-5]] + tech_5_3*TblTech[[#This Row],[5-3]] + tech_5_5*TblTech[[#This Row],[5-5]]))*elite1_ore,0)</f>
        <v>75</v>
      </c>
      <c r="BP100" s="94">
        <f ca="1">ROUNDUP((1-MIN(TblMili[[#This Row],[Smithies]]*smithy_bonus,smithy_bonus_cap) + tech_3_5*TblTech[[#This Row],[3-5]] + tech_5_3*TblTech[[#This Row],[5-3]] + tech_5_5*TblTech[[#This Row],[5-5]])*elite2_plat,0)</f>
        <v>1280</v>
      </c>
      <c r="BQ100" s="94">
        <f ca="1">ROUNDUP(IF(race="Gnome",1,(1-MIN(TblMili[[#This Row],[Smithies]]*smithy_bonus,smithy_bonus_cap) + tech_3_5*TblTech[[#This Row],[3-5]] + tech_5_3*TblTech[[#This Row],[5-3]] + tech_5_5*TblTech[[#This Row],[5-5]]))*elite2_ore,0)</f>
        <v>100</v>
      </c>
      <c r="BR100" s="94">
        <f ca="1">ROUNDUP((1-MIN(ROUND(fh_spy_cost_red*TblMili[[#This Row],[FH''s]],4),fh_spy_cost_cap)+ tech_1_9*TblTech[[#This Row],[1-9]] + tech_9_1*TblTech[[#This Row],[9-1]])*spy_plat,0)</f>
        <v>500</v>
      </c>
      <c r="BS100" s="94">
        <f ca="1">ROUNDUP((1-MIN(ROUND(fh_spy_cost_red*TblMili[[#This Row],[FH''s]],4),fh_spy_cost_cap)+ tech_1_9*TblTech[[#This Row],[1-9]] + tech_9_1*TblTech[[#This Row],[9-1]])*archspy_plat,0)</f>
        <v>1000</v>
      </c>
      <c r="BT100" s="94">
        <f ca="1">ROUNDUP((1-MIN(ROUND(wg_wiz_cost_bonus*TblMili[[#This Row],[WG''s]],4),wg_wiz_cost_cap) + tech_1_9_2*TblTech[[#This Row],[1-9]] + tech_9_1_2*TblTech[[#This Row],[9-1]])*wizard_plat,0)</f>
        <v>500</v>
      </c>
      <c r="BU100" s="94">
        <f ca="1">ROUNDUP((1-MIN(ROUND(wg_wiz_cost_bonus*TblMili[[#This Row],[WG''s]],4),wg_wiz_cost_cap) + tech_1_9_2*TblTech[[#This Row],[1-9]] + tech_9_1_2*TblTech[[#This Row],[9-1]])*archmage_plat,0)</f>
        <v>1000</v>
      </c>
      <c r="BV100" s="142"/>
      <c r="BW100" s="157">
        <f ca="1">TblConstr[[#This Row],[Homeland]]/TblConstr[[#This Row],[Land]]</f>
        <v>0.81818181818181823</v>
      </c>
      <c r="BX100" s="157">
        <f ca="1">TblMili[[#This Row],[WG''s]]</f>
        <v>0</v>
      </c>
      <c r="BY100" s="251">
        <f ca="1">IF(mystic_cap="none",TblMili[[#This Row],[Homeland%]]/mystic_bonus,MIN(mystic_cap,TblMili[[#This Row],[Homeland%]]/mystic_bonus))</f>
        <v>2</v>
      </c>
      <c r="BZ100" s="251">
        <f ca="1">IF(druid_op_cap="none",TblMili[[#This Row],[Homeland%]]/druid_op_bonus,MIN(druid_op_cap,TblMili[[#This Row],[Homeland%]]/druid_op_bonus))</f>
        <v>2</v>
      </c>
      <c r="CA100" s="251">
        <f ca="1">IF(druid_dp_cap="none",TblMili[[#This Row],[Homeland%]]/druid_dp_bonus,MIN(druid_dp_cap,TblMili[[#This Row],[Homeland%]]/druid_dp_bonus))</f>
        <v>2</v>
      </c>
      <c r="CB100" s="251">
        <f ca="1">MIN(dryad_cap,TblMili[[#This Row],[Homeland%]]/dryad_bonus)</f>
        <v>4</v>
      </c>
      <c r="CC100" s="251">
        <f ca="1">MIN(rocka_cap,TblMili[[#This Row],[Homeland%]]/rocka_bonus)</f>
        <v>2</v>
      </c>
      <c r="CD100" s="251">
        <f ca="1">MIN(adept_op_cap,TblMili[[#This Row],[WG]]/adept_op_bonus)</f>
        <v>0</v>
      </c>
      <c r="CE100" s="251">
        <f ca="1">MIN(adept_dp_cap,TblMili[[#This Row],[WG]]/adept_dp_bonus)</f>
        <v>0</v>
      </c>
      <c r="CF100" s="94">
        <f ca="1">MIN(TblMili[[#This Row],[Unit 3]],TblMili[[#This Row],[Unit 2]])*2</f>
        <v>0</v>
      </c>
      <c r="CG100" s="94">
        <f ca="1">MIN(TblMili[[#This Row],[Unit 1]],TblMili[[#This Row],[Unit 4]])*2</f>
        <v>0</v>
      </c>
      <c r="CH100" s="251">
        <f ca="1">MIN(frost_mage_cap,TblMili[[#This Row],[Homeland%]]/frost_mage_bonus)</f>
        <v>3</v>
      </c>
      <c r="CI100" s="45">
        <f ca="1">MIN(ice_elem_cap,TblMili[[#This Row],[Raw (2)]]*ice_elem_bonus)</f>
        <v>0</v>
      </c>
      <c r="CJ100" s="251">
        <f t="shared" ref="CJ100:CJ136" si="4">MIN(bone_breaker_cap,250/bone_breaker_bonus)</f>
        <v>0.83333333333333337</v>
      </c>
      <c r="CK100" s="251">
        <f ca="1">MIN(nox_nightshade_cap,TblConstr[[#This Row],[Homeland]]/TblConstr[[#This Row],[Land]]/nox_nightshade_swamp_bonus)</f>
        <v>4</v>
      </c>
      <c r="CL100" s="251">
        <f ca="1">MIN(TblConstr[[#This Row],[Total Swamp]]/TblConstr[[#This Row],[Land]]/abyss_enforce_bonus,abyss_enforcer_cap)</f>
        <v>0</v>
      </c>
      <c r="CM100" s="251">
        <f ca="1">IF(TblMagic[[#This Row],[Active Infernal Command]]&gt;0,TblMili[[#This Row],[Unit 1]]*infernal_cmd_op,0)</f>
        <v>0</v>
      </c>
      <c r="CN100" s="252"/>
      <c r="CO100" s="252"/>
      <c r="CP100" s="252"/>
      <c r="CQ100" s="251">
        <f ca="1">MIN(6,TblMili[[#This Row],[Mystic]]+Races!$F$19)*1.8 +  IF(TblMili[[#This Row],[Mystic]]+Races!$F$19&gt;6,(TblMili[[#This Row],[Mystic]]+Races!$F$19-6)*0.2,0) - Races!$I$19</f>
        <v>1</v>
      </c>
      <c r="CR10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0" s="94">
        <f ca="1">TblMili[[#This Row],[Mystic bonus]]*TblMili[[#This Row],[Unit 3]]+TblMili[[#This Row],[Druid bonus]]*TblMili[[#This Row],[Unit 4]]</f>
        <v>0</v>
      </c>
      <c r="CT100" s="155">
        <f ca="1">MIN(6,TblMili[[#This Row],[Dryad]]+Races!$F$35)*1.8 +  IF(TblMili[[#This Row],[Dryad]]+Races!$F$35&gt;6,(TblMili[[#This Row],[Dryad]]+Races!$F$35-6)*0.2,0) - Races!$I$19</f>
        <v>1</v>
      </c>
      <c r="CU100" s="94">
        <f ca="1">sylvan*(TblMili[[#This Row],[Mystic bonus]]*TblMili[[#This Row],[Unit 3]])</f>
        <v>0</v>
      </c>
      <c r="CV100" s="155">
        <f ca="1">1.8 * MIN(MAX(Races!$E$27,TblMili[[#This Row],[Rockapult]]+Races!$F$27),6)  +  0.45 * MIN(MIN(Races!$E$27,TblMili[[#This Row],[Rockapult]]+Races!$F$27),6)  +  0.2 * ( MAX(Races!$E$27-6,0) + MAX(TblMili[[#This Row],[Rockapult]]+Races!$F$27-6,0) )  -  Races!$I$20</f>
        <v>3.7000000000000011</v>
      </c>
      <c r="CW100" s="94">
        <f ca="1">gnome*(TblMili[[#This Row],[Rockapult bonus]]*TblMili[[#This Row],[Unit 3]])</f>
        <v>0</v>
      </c>
      <c r="CX10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0" s="94">
        <f ca="1">dark_elf*(TblMili[[#This Row],[Adept bonus]]*TblMili[[#This Row],[Unit 3]])</f>
        <v>0</v>
      </c>
      <c r="CZ100" s="155">
        <f ca="1">1.8 * MIN(MAX(TblMili[[#This Row],[Frost Mage]]+Races!$F$71,Races!$E$71),6)  +  0.45 * MIN(MIN(TblMili[[#This Row],[Frost Mage]]+Races!$F$71,Races!$E$71),6)  +  0.2 * ( MAX(TblMili[[#This Row],[Frost Mage]]+Races!$F$71-6,0) + MAX(Races!$E$71-6,0) )  -  Races!$I$71</f>
        <v>6.15</v>
      </c>
      <c r="DA100" s="155">
        <f ca="1">1.8 * MIN(MAX(TblMili[[#This Row],[Ice Elemental]]+Races!$E$71,Races!$F$71),6)  +  0.45 * MIN(MIN(TblMili[[#This Row],[Ice Elemental]]+Races!$E$71,Races!$F$71),6)  +  0.2 * ( MAX(TblMili[[#This Row],[Ice Elemental]]+Races!$E$71-6,0) + MAX(Races!$F$71-6,0) )  -  Races!$I$71</f>
        <v>0.75</v>
      </c>
      <c r="DB100" s="94">
        <f ca="1">TblMili[[#This Row],[Frost Mage bonus]]*TblMili[[#This Row],[Unit 3]]+TblMili[[#This Row],[Ice Elemental bonus]]*TblMili[[#This Row],[Unit 4]]</f>
        <v>0</v>
      </c>
      <c r="DC100" s="253"/>
      <c r="DD100" s="143">
        <f ca="1">MIN(SUM(TblConstr[[#This Row],[Plain]:[Water]])/TblMili[[#This Row],[Land]]/favorable_terrain_bonus/100,favorable_terrain_max)</f>
        <v>0.1</v>
      </c>
      <c r="DE100" s="253"/>
      <c r="DF10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0" s="142"/>
      <c r="DH100" s="254">
        <f ca="1">(TblMili[[#This Row],[Wizards]]+2*TblMili[[#This Row],[Archmages]])/TblConstr[[#This Row],[Land]]</f>
        <v>0</v>
      </c>
      <c r="DI100" s="254">
        <f ca="1">TblMili[[#This Row],[Raw (2)]]*(1+race_wizard_strength+IF(TblMili[[#This Row],[Hour]]&gt;72,tech_magical_weaponry_wiz*TblTech[[#This Row],[3-5]],0))</f>
        <v>0</v>
      </c>
    </row>
    <row r="101" spans="1:113" x14ac:dyDescent="0.2">
      <c r="A101" s="137">
        <f>TblRezone[[#This Row],[Hour]]</f>
        <v>98</v>
      </c>
      <c r="B101" s="246">
        <f ca="1">SUM(TblMili[[#This Row],[Unit 1]:[Archmages]])+SUM(OFFSET(TblMili[[#This Row],[Train Unit 1]],-8,0):TblMili[[#This Row],[Train Unit 2]]) + SUM(OFFSET(TblMili[[#This Row],[Train Unit 3]],-11,0):TblMili[[#This Row],[Train AM]]) + TblMili[[#This Row],[Draftees]]</f>
        <v>697</v>
      </c>
      <c r="C101" s="157">
        <f ca="1">TblPop[[#This Row],[Military%]]</f>
        <v>0.64776951672862448</v>
      </c>
      <c r="D101" s="142"/>
      <c r="E101" s="45">
        <f ca="1">OFFSET(TblMili[[#This Row],[Unit 1]],-1,0) + OFFSET(TblMili[[#This Row],[Train Unit 1]],-9,0) - TblMili[[#This Row],[Release Unit 1]] + OFFSET(TblMili[[#This Row],[DnD_Zombies]],-12,0)</f>
        <v>0</v>
      </c>
      <c r="F101" s="45">
        <f ca="1">OFFSET(TblMili[[#This Row],[Unit 2]],-1,0) + OFFSET(TblMili[[#This Row],[Train Unit 2]],-9,0)-TblMili[[#This Row],[Release Unit 2]]</f>
        <v>0</v>
      </c>
      <c r="G101" s="45">
        <f ca="1">OFFSET(TblMili[[#This Row],[Unit 3]],-1,0) + OFFSET(TblMili[[#This Row],[Train Unit 3]],-12,0)-TblMili[[#This Row],[Release Unit 3]]</f>
        <v>0</v>
      </c>
      <c r="H101" s="45">
        <f ca="1">OFFSET(TblMili[[#This Row],[Unit 4]],-1,0) + OFFSET(TblMili[[#This Row],[Train Unit 4]],-12,0)-TblMili[[#This Row],[Release Unit 4]]</f>
        <v>0</v>
      </c>
      <c r="I101" s="45">
        <f ca="1">OFFSET(TblMili[[#This Row],[Spies]],-1,0) + OFFSET(TblMili[[#This Row],[Train Spies]],-12,0) - TblMili[[#This Row],[Release Spies]]-TblMili[[#This Row],[Train AS]]</f>
        <v>0</v>
      </c>
      <c r="J101" s="45">
        <f ca="1">OFFSET(TblMili[[#This Row],[Archspies]],-1,0) + OFFSET(TblMili[[#This Row],[Train AS]],-12,0) - TblMili[[#This Row],[Release AS]]</f>
        <v>0</v>
      </c>
      <c r="K101" s="45">
        <f ca="1">OFFSET(TblMili[[#This Row],[Wizards]],-1,0) + OFFSET(TblMili[[#This Row],[Train Wiz]],-12,0) - TblMili[[#This Row],[Release Wizards]]-TblMili[[#This Row],[Train AM]]</f>
        <v>0</v>
      </c>
      <c r="L101" s="45">
        <f ca="1">OFFSET(TblMili[[#This Row],[Archmages]],-1,0) + OFFSET(TblMili[[#This Row],[Train AM]],-12,0) - TblMili[[#This Row],[Release AM]]</f>
        <v>0</v>
      </c>
      <c r="M101" s="142"/>
      <c r="N101" s="94">
        <f ca="1">TblProd[[#This Row],[Networth]]</f>
        <v>2450</v>
      </c>
      <c r="O101" s="142"/>
      <c r="P10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1" s="247">
        <f ca="1">TblMili[[#This Row],[Raw]]*(1+TblMili[[#This Row],[Mods_Off]])</f>
        <v>0</v>
      </c>
      <c r="S10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1" s="247">
        <f ca="1">TblMili[[#This Row],[Non Draft]]+TblMili[[#This Row],[Draftees]]</f>
        <v>697</v>
      </c>
      <c r="U101" s="248">
        <f ca="1">race_defense + TblImps[[#This Row],[Walls]] + ROUND( MIN(gt_bonus*TblConstr[[#This Row],[Tot GT]]/TblConstr[[#This Row],[Land]],gt_bonus_cap), 4) + IF(TblMagic[[#This Row],[Active Howling]]&gt;0,howling_dp_bonus,IF(TblMagic[[#This Row],[Active Ares Call]]&gt;0,ares_call_bonus))</f>
        <v>0</v>
      </c>
      <c r="V101" s="249">
        <f ca="1">TblMili[[#This Row],[Non Draft]] * (1 + TblMili[[#This Row],[Mods_Def]])</f>
        <v>0</v>
      </c>
      <c r="W101" s="247">
        <f ca="1">TblMili[[#This Row],[Draft]] * (1 + TblMili[[#This Row],[Mods_Def]])</f>
        <v>697</v>
      </c>
      <c r="X101" s="247">
        <f ca="1">TblConstr[[#This Row],[Land]]</f>
        <v>110</v>
      </c>
      <c r="Y101" s="250"/>
      <c r="Z101" s="255">
        <f ca="1">IF(TblMili[[#This Row],[Set]]&lt;&gt;"",TblMili[[#This Row],[Set]],OFFSET(TblMili[[#This Row],[Draftrate]],-1,0))</f>
        <v>0.9</v>
      </c>
      <c r="AA101" s="94">
        <f ca="1">OFFSET(TblMili[[#This Row],[Draftees]],-1,0)+OFFSET(TblPop[[#This Row],[Draft Growth]],-1,0) - SUM(TblMili[[#This Row],[Train Unit 1]:[Train Spies]],TblMili[[#This Row],[Train Wiz]],TblMili[[#This Row],[DnD_Zombies]]) - TblMili[[#This Row],[Release Draft]] + SUM(TblMili[[#This Row],[Release Unit 1]:[Release AM]]) - TblExplore[[#This Row],[Draftees (2)]]</f>
        <v>697</v>
      </c>
      <c r="AB101" s="154"/>
      <c r="AC101" s="180">
        <f ca="1">(TblConstr[[#This Row],[Tot Smi]]+TblConstr[[#This Row],[Dest Smi]])/(TblConstr[[#This Row],[Land]]-TblExplore[[#This Row],[Land Bonus]]*20)</f>
        <v>0</v>
      </c>
      <c r="AD101" s="137"/>
      <c r="AE101" s="246">
        <f>TblMili[[#This Row],[Hour]]</f>
        <v>98</v>
      </c>
      <c r="AF101" s="138">
        <f ca="1">TblExplore[[#This Row],[Time]]</f>
        <v>46051.041666666431</v>
      </c>
      <c r="AG101" s="179"/>
      <c r="AH101" s="179"/>
      <c r="AI101" s="179"/>
      <c r="AJ101" s="179"/>
      <c r="AK101" s="179"/>
      <c r="AL101" s="179"/>
      <c r="AM101" s="179"/>
      <c r="AN101" s="179"/>
      <c r="AO101" s="420">
        <f ca="1">ROUND(IF(AND(TblMagic[[#This Row],[Active DnD]]&lt;12,TblMagic[[#This Row],[Active DnD]]&gt;5),OFFSET(TblPop[[#This Row],[Draft Growth]],-1,0)*0.375,0),0)</f>
        <v>0</v>
      </c>
      <c r="AP101" s="142"/>
      <c r="AQ101" s="94">
        <f ca="1">TblProd[[#This Row],[Platinum]]</f>
        <v>197791</v>
      </c>
      <c r="AR101" s="94">
        <f ca="1">INDEX(TblProd[[#Headers],[Lumber]]:TblProd[[#This Row],[Ore]],COUNTA(TblProd[[#Headers],[Lumber]]:TblProd[[#This Row],[Lumber]]),MATCH(Military!$AR$2,TblProd[[#Headers],[Lumber]:[Ore]],0))</f>
        <v>0</v>
      </c>
      <c r="AS10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1" s="94">
        <f ca="1">TblMili[[#This Row],[Train Unit 1]]*TblMili[[#This Row],[OP Ore]]+TblMili[[#This Row],[Train Unit 2]]*TblMili[[#This Row],[DP Ore]]+TblMili[[#This Row],[Train Unit 3]]*TblMili[[#This Row],[E1 Ore]]+TblMili[[#This Row],[Train Unit 4]]*TblMili[[#This Row],[E2 Ore]]</f>
        <v>0</v>
      </c>
      <c r="AU101" s="142">
        <f>TblMili[[#This Row],[Hour]]</f>
        <v>98</v>
      </c>
      <c r="AV101" s="152">
        <f ca="1">TblMili[[#This Row],[Time]]</f>
        <v>46051.041666666431</v>
      </c>
      <c r="AW101" s="94">
        <f ca="1">TblMili[[#This Row],[Draftees]]</f>
        <v>697</v>
      </c>
      <c r="AX101" s="179"/>
      <c r="AY101" s="179"/>
      <c r="AZ101" s="179"/>
      <c r="BA101" s="179"/>
      <c r="BB101" s="179"/>
      <c r="BC101" s="179"/>
      <c r="BD101" s="179"/>
      <c r="BE101" s="179"/>
      <c r="BF101" s="179"/>
      <c r="BG101" s="142"/>
      <c r="BH101" s="157">
        <f ca="1">TblConstr[[#This Row],[Tot WG]]/TblConstr[[#This Row],[Land]]</f>
        <v>0</v>
      </c>
      <c r="BI101" s="157">
        <f ca="1">TblConstr[[#This Row],[Tot Hav]]/TblConstr[[#This Row],[Land]]</f>
        <v>0</v>
      </c>
      <c r="BJ101" s="94">
        <f ca="1">ROUNDUP((1-MIN(TblMili[[#This Row],[Smithies]]*smithy_bonus,smithy_bonus_cap) + tech_3_5*TblTech[[#This Row],[3-5]] + tech_5_3*TblTech[[#This Row],[5-3]] + tech_5_5*TblTech[[#This Row],[5-5]])*spec_op_plat,0)</f>
        <v>275</v>
      </c>
      <c r="BK101" s="94">
        <f ca="1">ROUNDUP(IF(race="Gnome",1,(1-MIN(TblMili[[#This Row],[Smithies]]*smithy_bonus,smithy_bonus_cap) + tech_3_5*TblTech[[#This Row],[3-5]] + tech_5_3*TblTech[[#This Row],[5-3]] + tech_5_5*TblTech[[#This Row],[5-5]]))*spec_op_ore,0)</f>
        <v>25</v>
      </c>
      <c r="BL101" s="94">
        <f ca="1">ROUNDUP((1-MIN(TblMili[[#This Row],[Smithies]]*smithy_bonus,smithy_bonus_cap) + tech_3_5*TblTech[[#This Row],[3-5]] + tech_5_3*TblTech[[#This Row],[5-3]] + tech_5_5*TblTech[[#This Row],[5-5]])*spec_dp_plat,0)</f>
        <v>275</v>
      </c>
      <c r="BM101" s="94">
        <f ca="1">ROUNDUP(IF(race="Gnome",1,(1-MIN(TblMili[[#This Row],[Smithies]]*smithy_bonus,smithy_bonus_cap) + tech_3_5*TblTech[[#This Row],[3-5]] + tech_5_3*TblTech[[#This Row],[5-3]] + tech_5_5*TblTech[[#This Row],[5-5]]))*spec_dp_ore,0)</f>
        <v>15</v>
      </c>
      <c r="BN101" s="94">
        <f ca="1">ROUNDUP((1-MIN(TblMili[[#This Row],[Smithies]]*smithy_bonus,smithy_bonus_cap) + tech_3_5*TblTech[[#This Row],[3-5]] + tech_5_3*TblTech[[#This Row],[5-3]] + tech_5_5*TblTech[[#This Row],[5-5]])*elite1_plat,0)</f>
        <v>1040</v>
      </c>
      <c r="BO101" s="94">
        <f ca="1">ROUNDUP(IF(race="Gnome",1,(1-MIN(TblMili[[#This Row],[Smithies]]*smithy_bonus,smithy_bonus_cap) + tech_3_5*TblTech[[#This Row],[3-5]] + tech_5_3*TblTech[[#This Row],[5-3]] + tech_5_5*TblTech[[#This Row],[5-5]]))*elite1_ore,0)</f>
        <v>75</v>
      </c>
      <c r="BP101" s="94">
        <f ca="1">ROUNDUP((1-MIN(TblMili[[#This Row],[Smithies]]*smithy_bonus,smithy_bonus_cap) + tech_3_5*TblTech[[#This Row],[3-5]] + tech_5_3*TblTech[[#This Row],[5-3]] + tech_5_5*TblTech[[#This Row],[5-5]])*elite2_plat,0)</f>
        <v>1280</v>
      </c>
      <c r="BQ101" s="94">
        <f ca="1">ROUNDUP(IF(race="Gnome",1,(1-MIN(TblMili[[#This Row],[Smithies]]*smithy_bonus,smithy_bonus_cap) + tech_3_5*TblTech[[#This Row],[3-5]] + tech_5_3*TblTech[[#This Row],[5-3]] + tech_5_5*TblTech[[#This Row],[5-5]]))*elite2_ore,0)</f>
        <v>100</v>
      </c>
      <c r="BR101" s="94">
        <f ca="1">ROUNDUP((1-MIN(ROUND(fh_spy_cost_red*TblMili[[#This Row],[FH''s]],4),fh_spy_cost_cap)+ tech_1_9*TblTech[[#This Row],[1-9]] + tech_9_1*TblTech[[#This Row],[9-1]])*spy_plat,0)</f>
        <v>500</v>
      </c>
      <c r="BS101" s="94">
        <f ca="1">ROUNDUP((1-MIN(ROUND(fh_spy_cost_red*TblMili[[#This Row],[FH''s]],4),fh_spy_cost_cap)+ tech_1_9*TblTech[[#This Row],[1-9]] + tech_9_1*TblTech[[#This Row],[9-1]])*archspy_plat,0)</f>
        <v>1000</v>
      </c>
      <c r="BT101" s="94">
        <f ca="1">ROUNDUP((1-MIN(ROUND(wg_wiz_cost_bonus*TblMili[[#This Row],[WG''s]],4),wg_wiz_cost_cap) + tech_1_9_2*TblTech[[#This Row],[1-9]] + tech_9_1_2*TblTech[[#This Row],[9-1]])*wizard_plat,0)</f>
        <v>500</v>
      </c>
      <c r="BU101" s="94">
        <f ca="1">ROUNDUP((1-MIN(ROUND(wg_wiz_cost_bonus*TblMili[[#This Row],[WG''s]],4),wg_wiz_cost_cap) + tech_1_9_2*TblTech[[#This Row],[1-9]] + tech_9_1_2*TblTech[[#This Row],[9-1]])*archmage_plat,0)</f>
        <v>1000</v>
      </c>
      <c r="BV101" s="142"/>
      <c r="BW101" s="157">
        <f ca="1">TblConstr[[#This Row],[Homeland]]/TblConstr[[#This Row],[Land]]</f>
        <v>0.81818181818181823</v>
      </c>
      <c r="BX101" s="157">
        <f ca="1">TblMili[[#This Row],[WG''s]]</f>
        <v>0</v>
      </c>
      <c r="BY101" s="251">
        <f ca="1">IF(mystic_cap="none",TblMili[[#This Row],[Homeland%]]/mystic_bonus,MIN(mystic_cap,TblMili[[#This Row],[Homeland%]]/mystic_bonus))</f>
        <v>2</v>
      </c>
      <c r="BZ101" s="251">
        <f ca="1">IF(druid_op_cap="none",TblMili[[#This Row],[Homeland%]]/druid_op_bonus,MIN(druid_op_cap,TblMili[[#This Row],[Homeland%]]/druid_op_bonus))</f>
        <v>2</v>
      </c>
      <c r="CA101" s="251">
        <f ca="1">IF(druid_dp_cap="none",TblMili[[#This Row],[Homeland%]]/druid_dp_bonus,MIN(druid_dp_cap,TblMili[[#This Row],[Homeland%]]/druid_dp_bonus))</f>
        <v>2</v>
      </c>
      <c r="CB101" s="251">
        <f ca="1">MIN(dryad_cap,TblMili[[#This Row],[Homeland%]]/dryad_bonus)</f>
        <v>4</v>
      </c>
      <c r="CC101" s="251">
        <f ca="1">MIN(rocka_cap,TblMili[[#This Row],[Homeland%]]/rocka_bonus)</f>
        <v>2</v>
      </c>
      <c r="CD101" s="251">
        <f ca="1">MIN(adept_op_cap,TblMili[[#This Row],[WG]]/adept_op_bonus)</f>
        <v>0</v>
      </c>
      <c r="CE101" s="251">
        <f ca="1">MIN(adept_dp_cap,TblMili[[#This Row],[WG]]/adept_dp_bonus)</f>
        <v>0</v>
      </c>
      <c r="CF101" s="94">
        <f ca="1">MIN(TblMili[[#This Row],[Unit 3]],TblMili[[#This Row],[Unit 2]])*2</f>
        <v>0</v>
      </c>
      <c r="CG101" s="94">
        <f ca="1">MIN(TblMili[[#This Row],[Unit 1]],TblMili[[#This Row],[Unit 4]])*2</f>
        <v>0</v>
      </c>
      <c r="CH101" s="251">
        <f ca="1">MIN(frost_mage_cap,TblMili[[#This Row],[Homeland%]]/frost_mage_bonus)</f>
        <v>3</v>
      </c>
      <c r="CI101" s="45">
        <f ca="1">MIN(ice_elem_cap,TblMili[[#This Row],[Raw (2)]]*ice_elem_bonus)</f>
        <v>0</v>
      </c>
      <c r="CJ101" s="251">
        <f t="shared" si="4"/>
        <v>0.83333333333333337</v>
      </c>
      <c r="CK101" s="251">
        <f ca="1">MIN(nox_nightshade_cap,TblConstr[[#This Row],[Homeland]]/TblConstr[[#This Row],[Land]]/nox_nightshade_swamp_bonus)</f>
        <v>4</v>
      </c>
      <c r="CL101" s="251">
        <f ca="1">MIN(TblConstr[[#This Row],[Total Swamp]]/TblConstr[[#This Row],[Land]]/abyss_enforce_bonus,abyss_enforcer_cap)</f>
        <v>0</v>
      </c>
      <c r="CM101" s="251">
        <f ca="1">IF(TblMagic[[#This Row],[Active Infernal Command]]&gt;0,TblMili[[#This Row],[Unit 1]]*infernal_cmd_op,0)</f>
        <v>0</v>
      </c>
      <c r="CN101" s="252"/>
      <c r="CO101" s="252"/>
      <c r="CP101" s="252"/>
      <c r="CQ101" s="251">
        <f ca="1">MIN(6,TblMili[[#This Row],[Mystic]]+Races!$F$19)*1.8 +  IF(TblMili[[#This Row],[Mystic]]+Races!$F$19&gt;6,(TblMili[[#This Row],[Mystic]]+Races!$F$19-6)*0.2,0) - Races!$I$19</f>
        <v>1</v>
      </c>
      <c r="CR10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1" s="94">
        <f ca="1">TblMili[[#This Row],[Mystic bonus]]*TblMili[[#This Row],[Unit 3]]+TblMili[[#This Row],[Druid bonus]]*TblMili[[#This Row],[Unit 4]]</f>
        <v>0</v>
      </c>
      <c r="CT101" s="155">
        <f ca="1">MIN(6,TblMili[[#This Row],[Dryad]]+Races!$F$35)*1.8 +  IF(TblMili[[#This Row],[Dryad]]+Races!$F$35&gt;6,(TblMili[[#This Row],[Dryad]]+Races!$F$35-6)*0.2,0) - Races!$I$19</f>
        <v>1</v>
      </c>
      <c r="CU101" s="94">
        <f ca="1">sylvan*(TblMili[[#This Row],[Mystic bonus]]*TblMili[[#This Row],[Unit 3]])</f>
        <v>0</v>
      </c>
      <c r="CV101" s="155">
        <f ca="1">1.8 * MIN(MAX(Races!$E$27,TblMili[[#This Row],[Rockapult]]+Races!$F$27),6)  +  0.45 * MIN(MIN(Races!$E$27,TblMili[[#This Row],[Rockapult]]+Races!$F$27),6)  +  0.2 * ( MAX(Races!$E$27-6,0) + MAX(TblMili[[#This Row],[Rockapult]]+Races!$F$27-6,0) )  -  Races!$I$20</f>
        <v>3.7000000000000011</v>
      </c>
      <c r="CW101" s="94">
        <f ca="1">gnome*(TblMili[[#This Row],[Rockapult bonus]]*TblMili[[#This Row],[Unit 3]])</f>
        <v>0</v>
      </c>
      <c r="CX10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1" s="94">
        <f ca="1">dark_elf*(TblMili[[#This Row],[Adept bonus]]*TblMili[[#This Row],[Unit 3]])</f>
        <v>0</v>
      </c>
      <c r="CZ101" s="155">
        <f ca="1">1.8 * MIN(MAX(TblMili[[#This Row],[Frost Mage]]+Races!$F$71,Races!$E$71),6)  +  0.45 * MIN(MIN(TblMili[[#This Row],[Frost Mage]]+Races!$F$71,Races!$E$71),6)  +  0.2 * ( MAX(TblMili[[#This Row],[Frost Mage]]+Races!$F$71-6,0) + MAX(Races!$E$71-6,0) )  -  Races!$I$71</f>
        <v>6.15</v>
      </c>
      <c r="DA101" s="155">
        <f ca="1">1.8 * MIN(MAX(TblMili[[#This Row],[Ice Elemental]]+Races!$E$71,Races!$F$71),6)  +  0.45 * MIN(MIN(TblMili[[#This Row],[Ice Elemental]]+Races!$E$71,Races!$F$71),6)  +  0.2 * ( MAX(TblMili[[#This Row],[Ice Elemental]]+Races!$E$71-6,0) + MAX(Races!$F$71-6,0) )  -  Races!$I$71</f>
        <v>0.75</v>
      </c>
      <c r="DB101" s="94">
        <f ca="1">TblMili[[#This Row],[Frost Mage bonus]]*TblMili[[#This Row],[Unit 3]]+TblMili[[#This Row],[Ice Elemental bonus]]*TblMili[[#This Row],[Unit 4]]</f>
        <v>0</v>
      </c>
      <c r="DC101" s="253"/>
      <c r="DD101" s="143">
        <f ca="1">MIN(SUM(TblConstr[[#This Row],[Plain]:[Water]])/TblMili[[#This Row],[Land]]/favorable_terrain_bonus/100,favorable_terrain_max)</f>
        <v>0.1</v>
      </c>
      <c r="DE101" s="253"/>
      <c r="DF10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1" s="142"/>
      <c r="DH101" s="254">
        <f ca="1">(TblMili[[#This Row],[Wizards]]+2*TblMili[[#This Row],[Archmages]])/TblConstr[[#This Row],[Land]]</f>
        <v>0</v>
      </c>
      <c r="DI101" s="254">
        <f ca="1">TblMili[[#This Row],[Raw (2)]]*(1+race_wizard_strength+IF(TblMili[[#This Row],[Hour]]&gt;72,tech_magical_weaponry_wiz*TblTech[[#This Row],[3-5]],0))</f>
        <v>0</v>
      </c>
    </row>
    <row r="102" spans="1:113" x14ac:dyDescent="0.2">
      <c r="A102" s="137">
        <f>TblRezone[[#This Row],[Hour]]</f>
        <v>99</v>
      </c>
      <c r="B102" s="246">
        <f ca="1">SUM(TblMili[[#This Row],[Unit 1]:[Archmages]])+SUM(OFFSET(TblMili[[#This Row],[Train Unit 1]],-8,0):TblMili[[#This Row],[Train Unit 2]]) + SUM(OFFSET(TblMili[[#This Row],[Train Unit 3]],-11,0):TblMili[[#This Row],[Train AM]]) + TblMili[[#This Row],[Draftees]]</f>
        <v>701</v>
      </c>
      <c r="C102" s="157">
        <f ca="1">TblPop[[#This Row],[Military%]]</f>
        <v>0.6514869888475836</v>
      </c>
      <c r="D102" s="142"/>
      <c r="E102" s="45">
        <f ca="1">OFFSET(TblMili[[#This Row],[Unit 1]],-1,0) + OFFSET(TblMili[[#This Row],[Train Unit 1]],-9,0) - TblMili[[#This Row],[Release Unit 1]] + OFFSET(TblMili[[#This Row],[DnD_Zombies]],-12,0)</f>
        <v>0</v>
      </c>
      <c r="F102" s="45">
        <f ca="1">OFFSET(TblMili[[#This Row],[Unit 2]],-1,0) + OFFSET(TblMili[[#This Row],[Train Unit 2]],-9,0)-TblMili[[#This Row],[Release Unit 2]]</f>
        <v>0</v>
      </c>
      <c r="G102" s="45">
        <f ca="1">OFFSET(TblMili[[#This Row],[Unit 3]],-1,0) + OFFSET(TblMili[[#This Row],[Train Unit 3]],-12,0)-TblMili[[#This Row],[Release Unit 3]]</f>
        <v>0</v>
      </c>
      <c r="H102" s="45">
        <f ca="1">OFFSET(TblMili[[#This Row],[Unit 4]],-1,0) + OFFSET(TblMili[[#This Row],[Train Unit 4]],-12,0)-TblMili[[#This Row],[Release Unit 4]]</f>
        <v>0</v>
      </c>
      <c r="I102" s="45">
        <f ca="1">OFFSET(TblMili[[#This Row],[Spies]],-1,0) + OFFSET(TblMili[[#This Row],[Train Spies]],-12,0) - TblMili[[#This Row],[Release Spies]]-TblMili[[#This Row],[Train AS]]</f>
        <v>0</v>
      </c>
      <c r="J102" s="45">
        <f ca="1">OFFSET(TblMili[[#This Row],[Archspies]],-1,0) + OFFSET(TblMili[[#This Row],[Train AS]],-12,0) - TblMili[[#This Row],[Release AS]]</f>
        <v>0</v>
      </c>
      <c r="K102" s="45">
        <f ca="1">OFFSET(TblMili[[#This Row],[Wizards]],-1,0) + OFFSET(TblMili[[#This Row],[Train Wiz]],-12,0) - TblMili[[#This Row],[Release Wizards]]-TblMili[[#This Row],[Train AM]]</f>
        <v>0</v>
      </c>
      <c r="L102" s="45">
        <f ca="1">OFFSET(TblMili[[#This Row],[Archmages]],-1,0) + OFFSET(TblMili[[#This Row],[Train AM]],-12,0) - TblMili[[#This Row],[Release AM]]</f>
        <v>0</v>
      </c>
      <c r="M102" s="142"/>
      <c r="N102" s="94">
        <f ca="1">TblProd[[#This Row],[Networth]]</f>
        <v>2450</v>
      </c>
      <c r="O102" s="142"/>
      <c r="P10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2" s="247">
        <f ca="1">TblMili[[#This Row],[Raw]]*(1+TblMili[[#This Row],[Mods_Off]])</f>
        <v>0</v>
      </c>
      <c r="S10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2" s="247">
        <f ca="1">TblMili[[#This Row],[Non Draft]]+TblMili[[#This Row],[Draftees]]</f>
        <v>701</v>
      </c>
      <c r="U102" s="248">
        <f ca="1">race_defense + TblImps[[#This Row],[Walls]] + ROUND( MIN(gt_bonus*TblConstr[[#This Row],[Tot GT]]/TblConstr[[#This Row],[Land]],gt_bonus_cap), 4) + IF(TblMagic[[#This Row],[Active Howling]]&gt;0,howling_dp_bonus,IF(TblMagic[[#This Row],[Active Ares Call]]&gt;0,ares_call_bonus))</f>
        <v>0</v>
      </c>
      <c r="V102" s="249">
        <f ca="1">TblMili[[#This Row],[Non Draft]] * (1 + TblMili[[#This Row],[Mods_Def]])</f>
        <v>0</v>
      </c>
      <c r="W102" s="247">
        <f ca="1">TblMili[[#This Row],[Draft]] * (1 + TblMili[[#This Row],[Mods_Def]])</f>
        <v>701</v>
      </c>
      <c r="X102" s="247">
        <f ca="1">TblConstr[[#This Row],[Land]]</f>
        <v>110</v>
      </c>
      <c r="Y102" s="250"/>
      <c r="Z102" s="255">
        <f ca="1">IF(TblMili[[#This Row],[Set]]&lt;&gt;"",TblMili[[#This Row],[Set]],OFFSET(TblMili[[#This Row],[Draftrate]],-1,0))</f>
        <v>0.9</v>
      </c>
      <c r="AA102" s="94">
        <f ca="1">OFFSET(TblMili[[#This Row],[Draftees]],-1,0)+OFFSET(TblPop[[#This Row],[Draft Growth]],-1,0) - SUM(TblMili[[#This Row],[Train Unit 1]:[Train Spies]],TblMili[[#This Row],[Train Wiz]],TblMili[[#This Row],[DnD_Zombies]]) - TblMili[[#This Row],[Release Draft]] + SUM(TblMili[[#This Row],[Release Unit 1]:[Release AM]]) - TblExplore[[#This Row],[Draftees (2)]]</f>
        <v>701</v>
      </c>
      <c r="AB102" s="154"/>
      <c r="AC102" s="180">
        <f ca="1">(TblConstr[[#This Row],[Tot Smi]]+TblConstr[[#This Row],[Dest Smi]])/(TblConstr[[#This Row],[Land]]-TblExplore[[#This Row],[Land Bonus]]*20)</f>
        <v>0</v>
      </c>
      <c r="AD102" s="137"/>
      <c r="AE102" s="246">
        <f>TblMili[[#This Row],[Hour]]</f>
        <v>99</v>
      </c>
      <c r="AF102" s="138">
        <f ca="1">TblExplore[[#This Row],[Time]]</f>
        <v>46051.083333333096</v>
      </c>
      <c r="AG102" s="179"/>
      <c r="AH102" s="179"/>
      <c r="AI102" s="179"/>
      <c r="AJ102" s="179"/>
      <c r="AK102" s="179"/>
      <c r="AL102" s="179"/>
      <c r="AM102" s="179"/>
      <c r="AN102" s="179"/>
      <c r="AO102" s="420">
        <f ca="1">ROUND(IF(AND(TblMagic[[#This Row],[Active DnD]]&lt;12,TblMagic[[#This Row],[Active DnD]]&gt;5),OFFSET(TblPop[[#This Row],[Draft Growth]],-1,0)*0.375,0),0)</f>
        <v>0</v>
      </c>
      <c r="AP102" s="142"/>
      <c r="AQ102" s="94">
        <f ca="1">TblProd[[#This Row],[Platinum]]</f>
        <v>198814</v>
      </c>
      <c r="AR102" s="94">
        <f ca="1">INDEX(TblProd[[#Headers],[Lumber]]:TblProd[[#This Row],[Ore]],COUNTA(TblProd[[#Headers],[Lumber]]:TblProd[[#This Row],[Lumber]]),MATCH(Military!$AR$2,TblProd[[#Headers],[Lumber]:[Ore]],0))</f>
        <v>0</v>
      </c>
      <c r="AS10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2" s="94">
        <f ca="1">TblMili[[#This Row],[Train Unit 1]]*TblMili[[#This Row],[OP Ore]]+TblMili[[#This Row],[Train Unit 2]]*TblMili[[#This Row],[DP Ore]]+TblMili[[#This Row],[Train Unit 3]]*TblMili[[#This Row],[E1 Ore]]+TblMili[[#This Row],[Train Unit 4]]*TblMili[[#This Row],[E2 Ore]]</f>
        <v>0</v>
      </c>
      <c r="AU102" s="142">
        <f>TblMili[[#This Row],[Hour]]</f>
        <v>99</v>
      </c>
      <c r="AV102" s="152">
        <f ca="1">TblMili[[#This Row],[Time]]</f>
        <v>46051.083333333096</v>
      </c>
      <c r="AW102" s="94">
        <f ca="1">TblMili[[#This Row],[Draftees]]</f>
        <v>701</v>
      </c>
      <c r="AX102" s="179"/>
      <c r="AY102" s="179"/>
      <c r="AZ102" s="179"/>
      <c r="BA102" s="179"/>
      <c r="BB102" s="179"/>
      <c r="BC102" s="179"/>
      <c r="BD102" s="179"/>
      <c r="BE102" s="179"/>
      <c r="BF102" s="179"/>
      <c r="BG102" s="142"/>
      <c r="BH102" s="157">
        <f ca="1">TblConstr[[#This Row],[Tot WG]]/TblConstr[[#This Row],[Land]]</f>
        <v>0</v>
      </c>
      <c r="BI102" s="157">
        <f ca="1">TblConstr[[#This Row],[Tot Hav]]/TblConstr[[#This Row],[Land]]</f>
        <v>0</v>
      </c>
      <c r="BJ102" s="94">
        <f ca="1">ROUNDUP((1-MIN(TblMili[[#This Row],[Smithies]]*smithy_bonus,smithy_bonus_cap) + tech_3_5*TblTech[[#This Row],[3-5]] + tech_5_3*TblTech[[#This Row],[5-3]] + tech_5_5*TblTech[[#This Row],[5-5]])*spec_op_plat,0)</f>
        <v>275</v>
      </c>
      <c r="BK102" s="94">
        <f ca="1">ROUNDUP(IF(race="Gnome",1,(1-MIN(TblMili[[#This Row],[Smithies]]*smithy_bonus,smithy_bonus_cap) + tech_3_5*TblTech[[#This Row],[3-5]] + tech_5_3*TblTech[[#This Row],[5-3]] + tech_5_5*TblTech[[#This Row],[5-5]]))*spec_op_ore,0)</f>
        <v>25</v>
      </c>
      <c r="BL102" s="94">
        <f ca="1">ROUNDUP((1-MIN(TblMili[[#This Row],[Smithies]]*smithy_bonus,smithy_bonus_cap) + tech_3_5*TblTech[[#This Row],[3-5]] + tech_5_3*TblTech[[#This Row],[5-3]] + tech_5_5*TblTech[[#This Row],[5-5]])*spec_dp_plat,0)</f>
        <v>275</v>
      </c>
      <c r="BM102" s="94">
        <f ca="1">ROUNDUP(IF(race="Gnome",1,(1-MIN(TblMili[[#This Row],[Smithies]]*smithy_bonus,smithy_bonus_cap) + tech_3_5*TblTech[[#This Row],[3-5]] + tech_5_3*TblTech[[#This Row],[5-3]] + tech_5_5*TblTech[[#This Row],[5-5]]))*spec_dp_ore,0)</f>
        <v>15</v>
      </c>
      <c r="BN102" s="94">
        <f ca="1">ROUNDUP((1-MIN(TblMili[[#This Row],[Smithies]]*smithy_bonus,smithy_bonus_cap) + tech_3_5*TblTech[[#This Row],[3-5]] + tech_5_3*TblTech[[#This Row],[5-3]] + tech_5_5*TblTech[[#This Row],[5-5]])*elite1_plat,0)</f>
        <v>1040</v>
      </c>
      <c r="BO102" s="94">
        <f ca="1">ROUNDUP(IF(race="Gnome",1,(1-MIN(TblMili[[#This Row],[Smithies]]*smithy_bonus,smithy_bonus_cap) + tech_3_5*TblTech[[#This Row],[3-5]] + tech_5_3*TblTech[[#This Row],[5-3]] + tech_5_5*TblTech[[#This Row],[5-5]]))*elite1_ore,0)</f>
        <v>75</v>
      </c>
      <c r="BP102" s="94">
        <f ca="1">ROUNDUP((1-MIN(TblMili[[#This Row],[Smithies]]*smithy_bonus,smithy_bonus_cap) + tech_3_5*TblTech[[#This Row],[3-5]] + tech_5_3*TblTech[[#This Row],[5-3]] + tech_5_5*TblTech[[#This Row],[5-5]])*elite2_plat,0)</f>
        <v>1280</v>
      </c>
      <c r="BQ102" s="94">
        <f ca="1">ROUNDUP(IF(race="Gnome",1,(1-MIN(TblMili[[#This Row],[Smithies]]*smithy_bonus,smithy_bonus_cap) + tech_3_5*TblTech[[#This Row],[3-5]] + tech_5_3*TblTech[[#This Row],[5-3]] + tech_5_5*TblTech[[#This Row],[5-5]]))*elite2_ore,0)</f>
        <v>100</v>
      </c>
      <c r="BR102" s="94">
        <f ca="1">ROUNDUP((1-MIN(ROUND(fh_spy_cost_red*TblMili[[#This Row],[FH''s]],4),fh_spy_cost_cap)+ tech_1_9*TblTech[[#This Row],[1-9]] + tech_9_1*TblTech[[#This Row],[9-1]])*spy_plat,0)</f>
        <v>500</v>
      </c>
      <c r="BS102" s="94">
        <f ca="1">ROUNDUP((1-MIN(ROUND(fh_spy_cost_red*TblMili[[#This Row],[FH''s]],4),fh_spy_cost_cap)+ tech_1_9*TblTech[[#This Row],[1-9]] + tech_9_1*TblTech[[#This Row],[9-1]])*archspy_plat,0)</f>
        <v>1000</v>
      </c>
      <c r="BT102" s="94">
        <f ca="1">ROUNDUP((1-MIN(ROUND(wg_wiz_cost_bonus*TblMili[[#This Row],[WG''s]],4),wg_wiz_cost_cap) + tech_1_9_2*TblTech[[#This Row],[1-9]] + tech_9_1_2*TblTech[[#This Row],[9-1]])*wizard_plat,0)</f>
        <v>500</v>
      </c>
      <c r="BU102" s="94">
        <f ca="1">ROUNDUP((1-MIN(ROUND(wg_wiz_cost_bonus*TblMili[[#This Row],[WG''s]],4),wg_wiz_cost_cap) + tech_1_9_2*TblTech[[#This Row],[1-9]] + tech_9_1_2*TblTech[[#This Row],[9-1]])*archmage_plat,0)</f>
        <v>1000</v>
      </c>
      <c r="BV102" s="142"/>
      <c r="BW102" s="157">
        <f ca="1">TblConstr[[#This Row],[Homeland]]/TblConstr[[#This Row],[Land]]</f>
        <v>0.81818181818181823</v>
      </c>
      <c r="BX102" s="157">
        <f ca="1">TblMili[[#This Row],[WG''s]]</f>
        <v>0</v>
      </c>
      <c r="BY102" s="251">
        <f ca="1">IF(mystic_cap="none",TblMili[[#This Row],[Homeland%]]/mystic_bonus,MIN(mystic_cap,TblMili[[#This Row],[Homeland%]]/mystic_bonus))</f>
        <v>2</v>
      </c>
      <c r="BZ102" s="251">
        <f ca="1">IF(druid_op_cap="none",TblMili[[#This Row],[Homeland%]]/druid_op_bonus,MIN(druid_op_cap,TblMili[[#This Row],[Homeland%]]/druid_op_bonus))</f>
        <v>2</v>
      </c>
      <c r="CA102" s="251">
        <f ca="1">IF(druid_dp_cap="none",TblMili[[#This Row],[Homeland%]]/druid_dp_bonus,MIN(druid_dp_cap,TblMili[[#This Row],[Homeland%]]/druid_dp_bonus))</f>
        <v>2</v>
      </c>
      <c r="CB102" s="251">
        <f ca="1">MIN(dryad_cap,TblMili[[#This Row],[Homeland%]]/dryad_bonus)</f>
        <v>4</v>
      </c>
      <c r="CC102" s="251">
        <f ca="1">MIN(rocka_cap,TblMili[[#This Row],[Homeland%]]/rocka_bonus)</f>
        <v>2</v>
      </c>
      <c r="CD102" s="251">
        <f ca="1">MIN(adept_op_cap,TblMili[[#This Row],[WG]]/adept_op_bonus)</f>
        <v>0</v>
      </c>
      <c r="CE102" s="251">
        <f ca="1">MIN(adept_dp_cap,TblMili[[#This Row],[WG]]/adept_dp_bonus)</f>
        <v>0</v>
      </c>
      <c r="CF102" s="94">
        <f ca="1">MIN(TblMili[[#This Row],[Unit 3]],TblMili[[#This Row],[Unit 2]])*2</f>
        <v>0</v>
      </c>
      <c r="CG102" s="94">
        <f ca="1">MIN(TblMili[[#This Row],[Unit 1]],TblMili[[#This Row],[Unit 4]])*2</f>
        <v>0</v>
      </c>
      <c r="CH102" s="251">
        <f ca="1">MIN(frost_mage_cap,TblMili[[#This Row],[Homeland%]]/frost_mage_bonus)</f>
        <v>3</v>
      </c>
      <c r="CI102" s="45">
        <f ca="1">MIN(ice_elem_cap,TblMili[[#This Row],[Raw (2)]]*ice_elem_bonus)</f>
        <v>0</v>
      </c>
      <c r="CJ102" s="251">
        <f t="shared" si="4"/>
        <v>0.83333333333333337</v>
      </c>
      <c r="CK102" s="251">
        <f ca="1">MIN(nox_nightshade_cap,TblConstr[[#This Row],[Homeland]]/TblConstr[[#This Row],[Land]]/nox_nightshade_swamp_bonus)</f>
        <v>4</v>
      </c>
      <c r="CL102" s="251">
        <f ca="1">MIN(TblConstr[[#This Row],[Total Swamp]]/TblConstr[[#This Row],[Land]]/abyss_enforce_bonus,abyss_enforcer_cap)</f>
        <v>0</v>
      </c>
      <c r="CM102" s="251">
        <f ca="1">IF(TblMagic[[#This Row],[Active Infernal Command]]&gt;0,TblMili[[#This Row],[Unit 1]]*infernal_cmd_op,0)</f>
        <v>0</v>
      </c>
      <c r="CN102" s="252"/>
      <c r="CO102" s="252"/>
      <c r="CP102" s="252"/>
      <c r="CQ102" s="251">
        <f ca="1">MIN(6,TblMili[[#This Row],[Mystic]]+Races!$F$19)*1.8 +  IF(TblMili[[#This Row],[Mystic]]+Races!$F$19&gt;6,(TblMili[[#This Row],[Mystic]]+Races!$F$19-6)*0.2,0) - Races!$I$19</f>
        <v>1</v>
      </c>
      <c r="CR10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2" s="94">
        <f ca="1">TblMili[[#This Row],[Mystic bonus]]*TblMili[[#This Row],[Unit 3]]+TblMili[[#This Row],[Druid bonus]]*TblMili[[#This Row],[Unit 4]]</f>
        <v>0</v>
      </c>
      <c r="CT102" s="155">
        <f ca="1">MIN(6,TblMili[[#This Row],[Dryad]]+Races!$F$35)*1.8 +  IF(TblMili[[#This Row],[Dryad]]+Races!$F$35&gt;6,(TblMili[[#This Row],[Dryad]]+Races!$F$35-6)*0.2,0) - Races!$I$19</f>
        <v>1</v>
      </c>
      <c r="CU102" s="94">
        <f ca="1">sylvan*(TblMili[[#This Row],[Mystic bonus]]*TblMili[[#This Row],[Unit 3]])</f>
        <v>0</v>
      </c>
      <c r="CV102" s="155">
        <f ca="1">1.8 * MIN(MAX(Races!$E$27,TblMili[[#This Row],[Rockapult]]+Races!$F$27),6)  +  0.45 * MIN(MIN(Races!$E$27,TblMili[[#This Row],[Rockapult]]+Races!$F$27),6)  +  0.2 * ( MAX(Races!$E$27-6,0) + MAX(TblMili[[#This Row],[Rockapult]]+Races!$F$27-6,0) )  -  Races!$I$20</f>
        <v>3.7000000000000011</v>
      </c>
      <c r="CW102" s="94">
        <f ca="1">gnome*(TblMili[[#This Row],[Rockapult bonus]]*TblMili[[#This Row],[Unit 3]])</f>
        <v>0</v>
      </c>
      <c r="CX10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2" s="94">
        <f ca="1">dark_elf*(TblMili[[#This Row],[Adept bonus]]*TblMili[[#This Row],[Unit 3]])</f>
        <v>0</v>
      </c>
      <c r="CZ102" s="155">
        <f ca="1">1.8 * MIN(MAX(TblMili[[#This Row],[Frost Mage]]+Races!$F$71,Races!$E$71),6)  +  0.45 * MIN(MIN(TblMili[[#This Row],[Frost Mage]]+Races!$F$71,Races!$E$71),6)  +  0.2 * ( MAX(TblMili[[#This Row],[Frost Mage]]+Races!$F$71-6,0) + MAX(Races!$E$71-6,0) )  -  Races!$I$71</f>
        <v>6.15</v>
      </c>
      <c r="DA102" s="155">
        <f ca="1">1.8 * MIN(MAX(TblMili[[#This Row],[Ice Elemental]]+Races!$E$71,Races!$F$71),6)  +  0.45 * MIN(MIN(TblMili[[#This Row],[Ice Elemental]]+Races!$E$71,Races!$F$71),6)  +  0.2 * ( MAX(TblMili[[#This Row],[Ice Elemental]]+Races!$E$71-6,0) + MAX(Races!$F$71-6,0) )  -  Races!$I$71</f>
        <v>0.75</v>
      </c>
      <c r="DB102" s="94">
        <f ca="1">TblMili[[#This Row],[Frost Mage bonus]]*TblMili[[#This Row],[Unit 3]]+TblMili[[#This Row],[Ice Elemental bonus]]*TblMili[[#This Row],[Unit 4]]</f>
        <v>0</v>
      </c>
      <c r="DC102" s="253"/>
      <c r="DD102" s="143">
        <f ca="1">MIN(SUM(TblConstr[[#This Row],[Plain]:[Water]])/TblMili[[#This Row],[Land]]/favorable_terrain_bonus/100,favorable_terrain_max)</f>
        <v>0.1</v>
      </c>
      <c r="DE102" s="253"/>
      <c r="DF10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2" s="142"/>
      <c r="DH102" s="254">
        <f ca="1">(TblMili[[#This Row],[Wizards]]+2*TblMili[[#This Row],[Archmages]])/TblConstr[[#This Row],[Land]]</f>
        <v>0</v>
      </c>
      <c r="DI102" s="254">
        <f ca="1">TblMili[[#This Row],[Raw (2)]]*(1+race_wizard_strength+IF(TblMili[[#This Row],[Hour]]&gt;72,tech_magical_weaponry_wiz*TblTech[[#This Row],[3-5]],0))</f>
        <v>0</v>
      </c>
    </row>
    <row r="103" spans="1:113" x14ac:dyDescent="0.2">
      <c r="A103" s="137">
        <f>TblRezone[[#This Row],[Hour]]</f>
        <v>100</v>
      </c>
      <c r="B103" s="246">
        <f ca="1">SUM(TblMili[[#This Row],[Unit 1]:[Archmages]])+SUM(OFFSET(TblMili[[#This Row],[Train Unit 1]],-8,0):TblMili[[#This Row],[Train Unit 2]]) + SUM(OFFSET(TblMili[[#This Row],[Train Unit 3]],-11,0):TblMili[[#This Row],[Train AM]]) + TblMili[[#This Row],[Draftees]]</f>
        <v>705</v>
      </c>
      <c r="C103" s="157">
        <f ca="1">TblPop[[#This Row],[Military%]]</f>
        <v>0.65520446096654272</v>
      </c>
      <c r="D103" s="142"/>
      <c r="E103" s="45">
        <f ca="1">OFFSET(TblMili[[#This Row],[Unit 1]],-1,0) + OFFSET(TblMili[[#This Row],[Train Unit 1]],-9,0) - TblMili[[#This Row],[Release Unit 1]] + OFFSET(TblMili[[#This Row],[DnD_Zombies]],-12,0)</f>
        <v>0</v>
      </c>
      <c r="F103" s="45">
        <f ca="1">OFFSET(TblMili[[#This Row],[Unit 2]],-1,0) + OFFSET(TblMili[[#This Row],[Train Unit 2]],-9,0)-TblMili[[#This Row],[Release Unit 2]]</f>
        <v>0</v>
      </c>
      <c r="G103" s="45">
        <f ca="1">OFFSET(TblMili[[#This Row],[Unit 3]],-1,0) + OFFSET(TblMili[[#This Row],[Train Unit 3]],-12,0)-TblMili[[#This Row],[Release Unit 3]]</f>
        <v>0</v>
      </c>
      <c r="H103" s="45">
        <f ca="1">OFFSET(TblMili[[#This Row],[Unit 4]],-1,0) + OFFSET(TblMili[[#This Row],[Train Unit 4]],-12,0)-TblMili[[#This Row],[Release Unit 4]]</f>
        <v>0</v>
      </c>
      <c r="I103" s="45">
        <f ca="1">OFFSET(TblMili[[#This Row],[Spies]],-1,0) + OFFSET(TblMili[[#This Row],[Train Spies]],-12,0) - TblMili[[#This Row],[Release Spies]]-TblMili[[#This Row],[Train AS]]</f>
        <v>0</v>
      </c>
      <c r="J103" s="45">
        <f ca="1">OFFSET(TblMili[[#This Row],[Archspies]],-1,0) + OFFSET(TblMili[[#This Row],[Train AS]],-12,0) - TblMili[[#This Row],[Release AS]]</f>
        <v>0</v>
      </c>
      <c r="K103" s="45">
        <f ca="1">OFFSET(TblMili[[#This Row],[Wizards]],-1,0) + OFFSET(TblMili[[#This Row],[Train Wiz]],-12,0) - TblMili[[#This Row],[Release Wizards]]-TblMili[[#This Row],[Train AM]]</f>
        <v>0</v>
      </c>
      <c r="L103" s="45">
        <f ca="1">OFFSET(TblMili[[#This Row],[Archmages]],-1,0) + OFFSET(TblMili[[#This Row],[Train AM]],-12,0) - TblMili[[#This Row],[Release AM]]</f>
        <v>0</v>
      </c>
      <c r="M103" s="142"/>
      <c r="N103" s="94">
        <f ca="1">TblProd[[#This Row],[Networth]]</f>
        <v>2450</v>
      </c>
      <c r="O103" s="142"/>
      <c r="P10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3" s="247">
        <f ca="1">TblMili[[#This Row],[Raw]]*(1+TblMili[[#This Row],[Mods_Off]])</f>
        <v>0</v>
      </c>
      <c r="S10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3" s="247">
        <f ca="1">TblMili[[#This Row],[Non Draft]]+TblMili[[#This Row],[Draftees]]</f>
        <v>705</v>
      </c>
      <c r="U103" s="248">
        <f ca="1">race_defense + TblImps[[#This Row],[Walls]] + ROUND( MIN(gt_bonus*TblConstr[[#This Row],[Tot GT]]/TblConstr[[#This Row],[Land]],gt_bonus_cap), 4) + IF(TblMagic[[#This Row],[Active Howling]]&gt;0,howling_dp_bonus,IF(TblMagic[[#This Row],[Active Ares Call]]&gt;0,ares_call_bonus))</f>
        <v>0</v>
      </c>
      <c r="V103" s="249">
        <f ca="1">TblMili[[#This Row],[Non Draft]] * (1 + TblMili[[#This Row],[Mods_Def]])</f>
        <v>0</v>
      </c>
      <c r="W103" s="247">
        <f ca="1">TblMili[[#This Row],[Draft]] * (1 + TblMili[[#This Row],[Mods_Def]])</f>
        <v>705</v>
      </c>
      <c r="X103" s="247">
        <f ca="1">TblConstr[[#This Row],[Land]]</f>
        <v>110</v>
      </c>
      <c r="Y103" s="250"/>
      <c r="Z103" s="255">
        <f ca="1">IF(TblMili[[#This Row],[Set]]&lt;&gt;"",TblMili[[#This Row],[Set]],OFFSET(TblMili[[#This Row],[Draftrate]],-1,0))</f>
        <v>0.9</v>
      </c>
      <c r="AA103" s="94">
        <f ca="1">OFFSET(TblMili[[#This Row],[Draftees]],-1,0)+OFFSET(TblPop[[#This Row],[Draft Growth]],-1,0) - SUM(TblMili[[#This Row],[Train Unit 1]:[Train Spies]],TblMili[[#This Row],[Train Wiz]],TblMili[[#This Row],[DnD_Zombies]]) - TblMili[[#This Row],[Release Draft]] + SUM(TblMili[[#This Row],[Release Unit 1]:[Release AM]]) - TblExplore[[#This Row],[Draftees (2)]]</f>
        <v>705</v>
      </c>
      <c r="AB103" s="154"/>
      <c r="AC103" s="180">
        <f ca="1">(TblConstr[[#This Row],[Tot Smi]]+TblConstr[[#This Row],[Dest Smi]])/(TblConstr[[#This Row],[Land]]-TblExplore[[#This Row],[Land Bonus]]*20)</f>
        <v>0</v>
      </c>
      <c r="AD103" s="137"/>
      <c r="AE103" s="246">
        <f>TblMili[[#This Row],[Hour]]</f>
        <v>100</v>
      </c>
      <c r="AF103" s="138">
        <f ca="1">TblExplore[[#This Row],[Time]]</f>
        <v>46051.12499999976</v>
      </c>
      <c r="AG103" s="179"/>
      <c r="AH103" s="179"/>
      <c r="AI103" s="179"/>
      <c r="AJ103" s="179"/>
      <c r="AK103" s="179"/>
      <c r="AL103" s="179"/>
      <c r="AM103" s="179"/>
      <c r="AN103" s="179"/>
      <c r="AO103" s="420">
        <f ca="1">ROUND(IF(AND(TblMagic[[#This Row],[Active DnD]]&lt;12,TblMagic[[#This Row],[Active DnD]]&gt;5),OFFSET(TblPop[[#This Row],[Draft Growth]],-1,0)*0.375,0),0)</f>
        <v>0</v>
      </c>
      <c r="AP103" s="142"/>
      <c r="AQ103" s="94">
        <f ca="1">TblProd[[#This Row],[Platinum]]</f>
        <v>199826</v>
      </c>
      <c r="AR103" s="94">
        <f ca="1">INDEX(TblProd[[#Headers],[Lumber]]:TblProd[[#This Row],[Ore]],COUNTA(TblProd[[#Headers],[Lumber]]:TblProd[[#This Row],[Lumber]]),MATCH(Military!$AR$2,TblProd[[#Headers],[Lumber]:[Ore]],0))</f>
        <v>0</v>
      </c>
      <c r="AS10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3" s="94">
        <f ca="1">TblMili[[#This Row],[Train Unit 1]]*TblMili[[#This Row],[OP Ore]]+TblMili[[#This Row],[Train Unit 2]]*TblMili[[#This Row],[DP Ore]]+TblMili[[#This Row],[Train Unit 3]]*TblMili[[#This Row],[E1 Ore]]+TblMili[[#This Row],[Train Unit 4]]*TblMili[[#This Row],[E2 Ore]]</f>
        <v>0</v>
      </c>
      <c r="AU103" s="142">
        <f>TblMili[[#This Row],[Hour]]</f>
        <v>100</v>
      </c>
      <c r="AV103" s="152">
        <f ca="1">TblMili[[#This Row],[Time]]</f>
        <v>46051.12499999976</v>
      </c>
      <c r="AW103" s="94">
        <f ca="1">TblMili[[#This Row],[Draftees]]</f>
        <v>705</v>
      </c>
      <c r="AX103" s="179"/>
      <c r="AY103" s="179"/>
      <c r="AZ103" s="179"/>
      <c r="BA103" s="179"/>
      <c r="BB103" s="179"/>
      <c r="BC103" s="179"/>
      <c r="BD103" s="179"/>
      <c r="BE103" s="179"/>
      <c r="BF103" s="179"/>
      <c r="BG103" s="142"/>
      <c r="BH103" s="157">
        <f ca="1">TblConstr[[#This Row],[Tot WG]]/TblConstr[[#This Row],[Land]]</f>
        <v>0</v>
      </c>
      <c r="BI103" s="157">
        <f ca="1">TblConstr[[#This Row],[Tot Hav]]/TblConstr[[#This Row],[Land]]</f>
        <v>0</v>
      </c>
      <c r="BJ103" s="94">
        <f ca="1">ROUNDUP((1-MIN(TblMili[[#This Row],[Smithies]]*smithy_bonus,smithy_bonus_cap) + tech_3_5*TblTech[[#This Row],[3-5]] + tech_5_3*TblTech[[#This Row],[5-3]] + tech_5_5*TblTech[[#This Row],[5-5]])*spec_op_plat,0)</f>
        <v>275</v>
      </c>
      <c r="BK103" s="94">
        <f ca="1">ROUNDUP(IF(race="Gnome",1,(1-MIN(TblMili[[#This Row],[Smithies]]*smithy_bonus,smithy_bonus_cap) + tech_3_5*TblTech[[#This Row],[3-5]] + tech_5_3*TblTech[[#This Row],[5-3]] + tech_5_5*TblTech[[#This Row],[5-5]]))*spec_op_ore,0)</f>
        <v>25</v>
      </c>
      <c r="BL103" s="94">
        <f ca="1">ROUNDUP((1-MIN(TblMili[[#This Row],[Smithies]]*smithy_bonus,smithy_bonus_cap) + tech_3_5*TblTech[[#This Row],[3-5]] + tech_5_3*TblTech[[#This Row],[5-3]] + tech_5_5*TblTech[[#This Row],[5-5]])*spec_dp_plat,0)</f>
        <v>275</v>
      </c>
      <c r="BM103" s="94">
        <f ca="1">ROUNDUP(IF(race="Gnome",1,(1-MIN(TblMili[[#This Row],[Smithies]]*smithy_bonus,smithy_bonus_cap) + tech_3_5*TblTech[[#This Row],[3-5]] + tech_5_3*TblTech[[#This Row],[5-3]] + tech_5_5*TblTech[[#This Row],[5-5]]))*spec_dp_ore,0)</f>
        <v>15</v>
      </c>
      <c r="BN103" s="94">
        <f ca="1">ROUNDUP((1-MIN(TblMili[[#This Row],[Smithies]]*smithy_bonus,smithy_bonus_cap) + tech_3_5*TblTech[[#This Row],[3-5]] + tech_5_3*TblTech[[#This Row],[5-3]] + tech_5_5*TblTech[[#This Row],[5-5]])*elite1_plat,0)</f>
        <v>1040</v>
      </c>
      <c r="BO103" s="94">
        <f ca="1">ROUNDUP(IF(race="Gnome",1,(1-MIN(TblMili[[#This Row],[Smithies]]*smithy_bonus,smithy_bonus_cap) + tech_3_5*TblTech[[#This Row],[3-5]] + tech_5_3*TblTech[[#This Row],[5-3]] + tech_5_5*TblTech[[#This Row],[5-5]]))*elite1_ore,0)</f>
        <v>75</v>
      </c>
      <c r="BP103" s="94">
        <f ca="1">ROUNDUP((1-MIN(TblMili[[#This Row],[Smithies]]*smithy_bonus,smithy_bonus_cap) + tech_3_5*TblTech[[#This Row],[3-5]] + tech_5_3*TblTech[[#This Row],[5-3]] + tech_5_5*TblTech[[#This Row],[5-5]])*elite2_plat,0)</f>
        <v>1280</v>
      </c>
      <c r="BQ103" s="94">
        <f ca="1">ROUNDUP(IF(race="Gnome",1,(1-MIN(TblMili[[#This Row],[Smithies]]*smithy_bonus,smithy_bonus_cap) + tech_3_5*TblTech[[#This Row],[3-5]] + tech_5_3*TblTech[[#This Row],[5-3]] + tech_5_5*TblTech[[#This Row],[5-5]]))*elite2_ore,0)</f>
        <v>100</v>
      </c>
      <c r="BR103" s="94">
        <f ca="1">ROUNDUP((1-MIN(ROUND(fh_spy_cost_red*TblMili[[#This Row],[FH''s]],4),fh_spy_cost_cap)+ tech_1_9*TblTech[[#This Row],[1-9]] + tech_9_1*TblTech[[#This Row],[9-1]])*spy_plat,0)</f>
        <v>500</v>
      </c>
      <c r="BS103" s="94">
        <f ca="1">ROUNDUP((1-MIN(ROUND(fh_spy_cost_red*TblMili[[#This Row],[FH''s]],4),fh_spy_cost_cap)+ tech_1_9*TblTech[[#This Row],[1-9]] + tech_9_1*TblTech[[#This Row],[9-1]])*archspy_plat,0)</f>
        <v>1000</v>
      </c>
      <c r="BT103" s="94">
        <f ca="1">ROUNDUP((1-MIN(ROUND(wg_wiz_cost_bonus*TblMili[[#This Row],[WG''s]],4),wg_wiz_cost_cap) + tech_1_9_2*TblTech[[#This Row],[1-9]] + tech_9_1_2*TblTech[[#This Row],[9-1]])*wizard_plat,0)</f>
        <v>500</v>
      </c>
      <c r="BU103" s="94">
        <f ca="1">ROUNDUP((1-MIN(ROUND(wg_wiz_cost_bonus*TblMili[[#This Row],[WG''s]],4),wg_wiz_cost_cap) + tech_1_9_2*TblTech[[#This Row],[1-9]] + tech_9_1_2*TblTech[[#This Row],[9-1]])*archmage_plat,0)</f>
        <v>1000</v>
      </c>
      <c r="BV103" s="142"/>
      <c r="BW103" s="157">
        <f ca="1">TblConstr[[#This Row],[Homeland]]/TblConstr[[#This Row],[Land]]</f>
        <v>0.81818181818181823</v>
      </c>
      <c r="BX103" s="157">
        <f ca="1">TblMili[[#This Row],[WG''s]]</f>
        <v>0</v>
      </c>
      <c r="BY103" s="251">
        <f ca="1">IF(mystic_cap="none",TblMili[[#This Row],[Homeland%]]/mystic_bonus,MIN(mystic_cap,TblMili[[#This Row],[Homeland%]]/mystic_bonus))</f>
        <v>2</v>
      </c>
      <c r="BZ103" s="251">
        <f ca="1">IF(druid_op_cap="none",TblMili[[#This Row],[Homeland%]]/druid_op_bonus,MIN(druid_op_cap,TblMili[[#This Row],[Homeland%]]/druid_op_bonus))</f>
        <v>2</v>
      </c>
      <c r="CA103" s="251">
        <f ca="1">IF(druid_dp_cap="none",TblMili[[#This Row],[Homeland%]]/druid_dp_bonus,MIN(druid_dp_cap,TblMili[[#This Row],[Homeland%]]/druid_dp_bonus))</f>
        <v>2</v>
      </c>
      <c r="CB103" s="251">
        <f ca="1">MIN(dryad_cap,TblMili[[#This Row],[Homeland%]]/dryad_bonus)</f>
        <v>4</v>
      </c>
      <c r="CC103" s="251">
        <f ca="1">MIN(rocka_cap,TblMili[[#This Row],[Homeland%]]/rocka_bonus)</f>
        <v>2</v>
      </c>
      <c r="CD103" s="251">
        <f ca="1">MIN(adept_op_cap,TblMili[[#This Row],[WG]]/adept_op_bonus)</f>
        <v>0</v>
      </c>
      <c r="CE103" s="251">
        <f ca="1">MIN(adept_dp_cap,TblMili[[#This Row],[WG]]/adept_dp_bonus)</f>
        <v>0</v>
      </c>
      <c r="CF103" s="94">
        <f ca="1">MIN(TblMili[[#This Row],[Unit 3]],TblMili[[#This Row],[Unit 2]])*2</f>
        <v>0</v>
      </c>
      <c r="CG103" s="94">
        <f ca="1">MIN(TblMili[[#This Row],[Unit 1]],TblMili[[#This Row],[Unit 4]])*2</f>
        <v>0</v>
      </c>
      <c r="CH103" s="251">
        <f ca="1">MIN(frost_mage_cap,TblMili[[#This Row],[Homeland%]]/frost_mage_bonus)</f>
        <v>3</v>
      </c>
      <c r="CI103" s="45">
        <f ca="1">MIN(ice_elem_cap,TblMili[[#This Row],[Raw (2)]]*ice_elem_bonus)</f>
        <v>0</v>
      </c>
      <c r="CJ103" s="251">
        <f t="shared" si="4"/>
        <v>0.83333333333333337</v>
      </c>
      <c r="CK103" s="251">
        <f ca="1">MIN(nox_nightshade_cap,TblConstr[[#This Row],[Homeland]]/TblConstr[[#This Row],[Land]]/nox_nightshade_swamp_bonus)</f>
        <v>4</v>
      </c>
      <c r="CL103" s="251">
        <f ca="1">MIN(TblConstr[[#This Row],[Total Swamp]]/TblConstr[[#This Row],[Land]]/abyss_enforce_bonus,abyss_enforcer_cap)</f>
        <v>0</v>
      </c>
      <c r="CM103" s="251">
        <f ca="1">IF(TblMagic[[#This Row],[Active Infernal Command]]&gt;0,TblMili[[#This Row],[Unit 1]]*infernal_cmd_op,0)</f>
        <v>0</v>
      </c>
      <c r="CN103" s="252"/>
      <c r="CO103" s="252"/>
      <c r="CP103" s="252"/>
      <c r="CQ103" s="251">
        <f ca="1">MIN(6,TblMili[[#This Row],[Mystic]]+Races!$F$19)*1.8 +  IF(TblMili[[#This Row],[Mystic]]+Races!$F$19&gt;6,(TblMili[[#This Row],[Mystic]]+Races!$F$19-6)*0.2,0) - Races!$I$19</f>
        <v>1</v>
      </c>
      <c r="CR10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3" s="94">
        <f ca="1">TblMili[[#This Row],[Mystic bonus]]*TblMili[[#This Row],[Unit 3]]+TblMili[[#This Row],[Druid bonus]]*TblMili[[#This Row],[Unit 4]]</f>
        <v>0</v>
      </c>
      <c r="CT103" s="155">
        <f ca="1">MIN(6,TblMili[[#This Row],[Dryad]]+Races!$F$35)*1.8 +  IF(TblMili[[#This Row],[Dryad]]+Races!$F$35&gt;6,(TblMili[[#This Row],[Dryad]]+Races!$F$35-6)*0.2,0) - Races!$I$19</f>
        <v>1</v>
      </c>
      <c r="CU103" s="94">
        <f ca="1">sylvan*(TblMili[[#This Row],[Mystic bonus]]*TblMili[[#This Row],[Unit 3]])</f>
        <v>0</v>
      </c>
      <c r="CV103" s="155">
        <f ca="1">1.8 * MIN(MAX(Races!$E$27,TblMili[[#This Row],[Rockapult]]+Races!$F$27),6)  +  0.45 * MIN(MIN(Races!$E$27,TblMili[[#This Row],[Rockapult]]+Races!$F$27),6)  +  0.2 * ( MAX(Races!$E$27-6,0) + MAX(TblMili[[#This Row],[Rockapult]]+Races!$F$27-6,0) )  -  Races!$I$20</f>
        <v>3.7000000000000011</v>
      </c>
      <c r="CW103" s="94">
        <f ca="1">gnome*(TblMili[[#This Row],[Rockapult bonus]]*TblMili[[#This Row],[Unit 3]])</f>
        <v>0</v>
      </c>
      <c r="CX10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3" s="94">
        <f ca="1">dark_elf*(TblMili[[#This Row],[Adept bonus]]*TblMili[[#This Row],[Unit 3]])</f>
        <v>0</v>
      </c>
      <c r="CZ103" s="155">
        <f ca="1">1.8 * MIN(MAX(TblMili[[#This Row],[Frost Mage]]+Races!$F$71,Races!$E$71),6)  +  0.45 * MIN(MIN(TblMili[[#This Row],[Frost Mage]]+Races!$F$71,Races!$E$71),6)  +  0.2 * ( MAX(TblMili[[#This Row],[Frost Mage]]+Races!$F$71-6,0) + MAX(Races!$E$71-6,0) )  -  Races!$I$71</f>
        <v>6.15</v>
      </c>
      <c r="DA103" s="155">
        <f ca="1">1.8 * MIN(MAX(TblMili[[#This Row],[Ice Elemental]]+Races!$E$71,Races!$F$71),6)  +  0.45 * MIN(MIN(TblMili[[#This Row],[Ice Elemental]]+Races!$E$71,Races!$F$71),6)  +  0.2 * ( MAX(TblMili[[#This Row],[Ice Elemental]]+Races!$E$71-6,0) + MAX(Races!$F$71-6,0) )  -  Races!$I$71</f>
        <v>0.75</v>
      </c>
      <c r="DB103" s="94">
        <f ca="1">TblMili[[#This Row],[Frost Mage bonus]]*TblMili[[#This Row],[Unit 3]]+TblMili[[#This Row],[Ice Elemental bonus]]*TblMili[[#This Row],[Unit 4]]</f>
        <v>0</v>
      </c>
      <c r="DC103" s="253"/>
      <c r="DD103" s="143">
        <f ca="1">MIN(SUM(TblConstr[[#This Row],[Plain]:[Water]])/TblMili[[#This Row],[Land]]/favorable_terrain_bonus/100,favorable_terrain_max)</f>
        <v>0.1</v>
      </c>
      <c r="DE103" s="253"/>
      <c r="DF10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3" s="142"/>
      <c r="DH103" s="254">
        <f ca="1">(TblMili[[#This Row],[Wizards]]+2*TblMili[[#This Row],[Archmages]])/TblConstr[[#This Row],[Land]]</f>
        <v>0</v>
      </c>
      <c r="DI103" s="254">
        <f ca="1">TblMili[[#This Row],[Raw (2)]]*(1+race_wizard_strength+IF(TblMili[[#This Row],[Hour]]&gt;72,tech_magical_weaponry_wiz*TblTech[[#This Row],[3-5]],0))</f>
        <v>0</v>
      </c>
    </row>
    <row r="104" spans="1:113" x14ac:dyDescent="0.2">
      <c r="A104" s="137">
        <f>TblRezone[[#This Row],[Hour]]</f>
        <v>101</v>
      </c>
      <c r="B104" s="246">
        <f ca="1">SUM(TblMili[[#This Row],[Unit 1]:[Archmages]])+SUM(OFFSET(TblMili[[#This Row],[Train Unit 1]],-8,0):TblMili[[#This Row],[Train Unit 2]]) + SUM(OFFSET(TblMili[[#This Row],[Train Unit 3]],-11,0):TblMili[[#This Row],[Train AM]]) + TblMili[[#This Row],[Draftees]]</f>
        <v>709</v>
      </c>
      <c r="C104" s="157">
        <f ca="1">TblPop[[#This Row],[Military%]]</f>
        <v>0.65892193308550184</v>
      </c>
      <c r="D104" s="142"/>
      <c r="E104" s="45">
        <f ca="1">OFFSET(TblMili[[#This Row],[Unit 1]],-1,0) + OFFSET(TblMili[[#This Row],[Train Unit 1]],-9,0) - TblMili[[#This Row],[Release Unit 1]] + OFFSET(TblMili[[#This Row],[DnD_Zombies]],-12,0)</f>
        <v>0</v>
      </c>
      <c r="F104" s="45">
        <f ca="1">OFFSET(TblMili[[#This Row],[Unit 2]],-1,0) + OFFSET(TblMili[[#This Row],[Train Unit 2]],-9,0)-TblMili[[#This Row],[Release Unit 2]]</f>
        <v>0</v>
      </c>
      <c r="G104" s="45">
        <f ca="1">OFFSET(TblMili[[#This Row],[Unit 3]],-1,0) + OFFSET(TblMili[[#This Row],[Train Unit 3]],-12,0)-TblMili[[#This Row],[Release Unit 3]]</f>
        <v>0</v>
      </c>
      <c r="H104" s="45">
        <f ca="1">OFFSET(TblMili[[#This Row],[Unit 4]],-1,0) + OFFSET(TblMili[[#This Row],[Train Unit 4]],-12,0)-TblMili[[#This Row],[Release Unit 4]]</f>
        <v>0</v>
      </c>
      <c r="I104" s="45">
        <f ca="1">OFFSET(TblMili[[#This Row],[Spies]],-1,0) + OFFSET(TblMili[[#This Row],[Train Spies]],-12,0) - TblMili[[#This Row],[Release Spies]]-TblMili[[#This Row],[Train AS]]</f>
        <v>0</v>
      </c>
      <c r="J104" s="45">
        <f ca="1">OFFSET(TblMili[[#This Row],[Archspies]],-1,0) + OFFSET(TblMili[[#This Row],[Train AS]],-12,0) - TblMili[[#This Row],[Release AS]]</f>
        <v>0</v>
      </c>
      <c r="K104" s="45">
        <f ca="1">OFFSET(TblMili[[#This Row],[Wizards]],-1,0) + OFFSET(TblMili[[#This Row],[Train Wiz]],-12,0) - TblMili[[#This Row],[Release Wizards]]-TblMili[[#This Row],[Train AM]]</f>
        <v>0</v>
      </c>
      <c r="L104" s="45">
        <f ca="1">OFFSET(TblMili[[#This Row],[Archmages]],-1,0) + OFFSET(TblMili[[#This Row],[Train AM]],-12,0) - TblMili[[#This Row],[Release AM]]</f>
        <v>0</v>
      </c>
      <c r="M104" s="142"/>
      <c r="N104" s="94">
        <f ca="1">TblProd[[#This Row],[Networth]]</f>
        <v>2450</v>
      </c>
      <c r="O104" s="142"/>
      <c r="P10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4" s="247">
        <f ca="1">TblMili[[#This Row],[Raw]]*(1+TblMili[[#This Row],[Mods_Off]])</f>
        <v>0</v>
      </c>
      <c r="S10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4" s="247">
        <f ca="1">TblMili[[#This Row],[Non Draft]]+TblMili[[#This Row],[Draftees]]</f>
        <v>709</v>
      </c>
      <c r="U104" s="248">
        <f ca="1">race_defense + TblImps[[#This Row],[Walls]] + ROUND( MIN(gt_bonus*TblConstr[[#This Row],[Tot GT]]/TblConstr[[#This Row],[Land]],gt_bonus_cap), 4) + IF(TblMagic[[#This Row],[Active Howling]]&gt;0,howling_dp_bonus,IF(TblMagic[[#This Row],[Active Ares Call]]&gt;0,ares_call_bonus))</f>
        <v>0</v>
      </c>
      <c r="V104" s="249">
        <f ca="1">TblMili[[#This Row],[Non Draft]] * (1 + TblMili[[#This Row],[Mods_Def]])</f>
        <v>0</v>
      </c>
      <c r="W104" s="247">
        <f ca="1">TblMili[[#This Row],[Draft]] * (1 + TblMili[[#This Row],[Mods_Def]])</f>
        <v>709</v>
      </c>
      <c r="X104" s="247">
        <f ca="1">TblConstr[[#This Row],[Land]]</f>
        <v>110</v>
      </c>
      <c r="Y104" s="250"/>
      <c r="Z104" s="255">
        <f ca="1">IF(TblMili[[#This Row],[Set]]&lt;&gt;"",TblMili[[#This Row],[Set]],OFFSET(TblMili[[#This Row],[Draftrate]],-1,0))</f>
        <v>0.9</v>
      </c>
      <c r="AA104" s="94">
        <f ca="1">OFFSET(TblMili[[#This Row],[Draftees]],-1,0)+OFFSET(TblPop[[#This Row],[Draft Growth]],-1,0) - SUM(TblMili[[#This Row],[Train Unit 1]:[Train Spies]],TblMili[[#This Row],[Train Wiz]],TblMili[[#This Row],[DnD_Zombies]]) - TblMili[[#This Row],[Release Draft]] + SUM(TblMili[[#This Row],[Release Unit 1]:[Release AM]]) - TblExplore[[#This Row],[Draftees (2)]]</f>
        <v>709</v>
      </c>
      <c r="AB104" s="154"/>
      <c r="AC104" s="180">
        <f ca="1">(TblConstr[[#This Row],[Tot Smi]]+TblConstr[[#This Row],[Dest Smi]])/(TblConstr[[#This Row],[Land]]-TblExplore[[#This Row],[Land Bonus]]*20)</f>
        <v>0</v>
      </c>
      <c r="AD104" s="137"/>
      <c r="AE104" s="246">
        <f>TblMili[[#This Row],[Hour]]</f>
        <v>101</v>
      </c>
      <c r="AF104" s="138">
        <f ca="1">TblExplore[[#This Row],[Time]]</f>
        <v>46051.166666666424</v>
      </c>
      <c r="AG104" s="179"/>
      <c r="AH104" s="179"/>
      <c r="AI104" s="179"/>
      <c r="AJ104" s="179"/>
      <c r="AK104" s="179"/>
      <c r="AL104" s="179"/>
      <c r="AM104" s="179"/>
      <c r="AN104" s="179"/>
      <c r="AO104" s="420">
        <f ca="1">ROUND(IF(AND(TblMagic[[#This Row],[Active DnD]]&lt;12,TblMagic[[#This Row],[Active DnD]]&gt;5),OFFSET(TblPop[[#This Row],[Draft Growth]],-1,0)*0.375,0),0)</f>
        <v>0</v>
      </c>
      <c r="AP104" s="142"/>
      <c r="AQ104" s="94">
        <f ca="1">TblProd[[#This Row],[Platinum]]</f>
        <v>200827</v>
      </c>
      <c r="AR104" s="94">
        <f ca="1">INDEX(TblProd[[#Headers],[Lumber]]:TblProd[[#This Row],[Ore]],COUNTA(TblProd[[#Headers],[Lumber]]:TblProd[[#This Row],[Lumber]]),MATCH(Military!$AR$2,TblProd[[#Headers],[Lumber]:[Ore]],0))</f>
        <v>0</v>
      </c>
      <c r="AS10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4" s="94">
        <f ca="1">TblMili[[#This Row],[Train Unit 1]]*TblMili[[#This Row],[OP Ore]]+TblMili[[#This Row],[Train Unit 2]]*TblMili[[#This Row],[DP Ore]]+TblMili[[#This Row],[Train Unit 3]]*TblMili[[#This Row],[E1 Ore]]+TblMili[[#This Row],[Train Unit 4]]*TblMili[[#This Row],[E2 Ore]]</f>
        <v>0</v>
      </c>
      <c r="AU104" s="142">
        <f>TblMili[[#This Row],[Hour]]</f>
        <v>101</v>
      </c>
      <c r="AV104" s="152">
        <f ca="1">TblMili[[#This Row],[Time]]</f>
        <v>46051.166666666424</v>
      </c>
      <c r="AW104" s="94">
        <f ca="1">TblMili[[#This Row],[Draftees]]</f>
        <v>709</v>
      </c>
      <c r="AX104" s="179"/>
      <c r="AY104" s="179"/>
      <c r="AZ104" s="179"/>
      <c r="BA104" s="179"/>
      <c r="BB104" s="179"/>
      <c r="BC104" s="179"/>
      <c r="BD104" s="179"/>
      <c r="BE104" s="179"/>
      <c r="BF104" s="179"/>
      <c r="BG104" s="142"/>
      <c r="BH104" s="157">
        <f ca="1">TblConstr[[#This Row],[Tot WG]]/TblConstr[[#This Row],[Land]]</f>
        <v>0</v>
      </c>
      <c r="BI104" s="157">
        <f ca="1">TblConstr[[#This Row],[Tot Hav]]/TblConstr[[#This Row],[Land]]</f>
        <v>0</v>
      </c>
      <c r="BJ104" s="94">
        <f ca="1">ROUNDUP((1-MIN(TblMili[[#This Row],[Smithies]]*smithy_bonus,smithy_bonus_cap) + tech_3_5*TblTech[[#This Row],[3-5]] + tech_5_3*TblTech[[#This Row],[5-3]] + tech_5_5*TblTech[[#This Row],[5-5]])*spec_op_plat,0)</f>
        <v>275</v>
      </c>
      <c r="BK104" s="94">
        <f ca="1">ROUNDUP(IF(race="Gnome",1,(1-MIN(TblMili[[#This Row],[Smithies]]*smithy_bonus,smithy_bonus_cap) + tech_3_5*TblTech[[#This Row],[3-5]] + tech_5_3*TblTech[[#This Row],[5-3]] + tech_5_5*TblTech[[#This Row],[5-5]]))*spec_op_ore,0)</f>
        <v>25</v>
      </c>
      <c r="BL104" s="94">
        <f ca="1">ROUNDUP((1-MIN(TblMili[[#This Row],[Smithies]]*smithy_bonus,smithy_bonus_cap) + tech_3_5*TblTech[[#This Row],[3-5]] + tech_5_3*TblTech[[#This Row],[5-3]] + tech_5_5*TblTech[[#This Row],[5-5]])*spec_dp_plat,0)</f>
        <v>275</v>
      </c>
      <c r="BM104" s="94">
        <f ca="1">ROUNDUP(IF(race="Gnome",1,(1-MIN(TblMili[[#This Row],[Smithies]]*smithy_bonus,smithy_bonus_cap) + tech_3_5*TblTech[[#This Row],[3-5]] + tech_5_3*TblTech[[#This Row],[5-3]] + tech_5_5*TblTech[[#This Row],[5-5]]))*spec_dp_ore,0)</f>
        <v>15</v>
      </c>
      <c r="BN104" s="94">
        <f ca="1">ROUNDUP((1-MIN(TblMili[[#This Row],[Smithies]]*smithy_bonus,smithy_bonus_cap) + tech_3_5*TblTech[[#This Row],[3-5]] + tech_5_3*TblTech[[#This Row],[5-3]] + tech_5_5*TblTech[[#This Row],[5-5]])*elite1_plat,0)</f>
        <v>1040</v>
      </c>
      <c r="BO104" s="94">
        <f ca="1">ROUNDUP(IF(race="Gnome",1,(1-MIN(TblMili[[#This Row],[Smithies]]*smithy_bonus,smithy_bonus_cap) + tech_3_5*TblTech[[#This Row],[3-5]] + tech_5_3*TblTech[[#This Row],[5-3]] + tech_5_5*TblTech[[#This Row],[5-5]]))*elite1_ore,0)</f>
        <v>75</v>
      </c>
      <c r="BP104" s="94">
        <f ca="1">ROUNDUP((1-MIN(TblMili[[#This Row],[Smithies]]*smithy_bonus,smithy_bonus_cap) + tech_3_5*TblTech[[#This Row],[3-5]] + tech_5_3*TblTech[[#This Row],[5-3]] + tech_5_5*TblTech[[#This Row],[5-5]])*elite2_plat,0)</f>
        <v>1280</v>
      </c>
      <c r="BQ104" s="94">
        <f ca="1">ROUNDUP(IF(race="Gnome",1,(1-MIN(TblMili[[#This Row],[Smithies]]*smithy_bonus,smithy_bonus_cap) + tech_3_5*TblTech[[#This Row],[3-5]] + tech_5_3*TblTech[[#This Row],[5-3]] + tech_5_5*TblTech[[#This Row],[5-5]]))*elite2_ore,0)</f>
        <v>100</v>
      </c>
      <c r="BR104" s="94">
        <f ca="1">ROUNDUP((1-MIN(ROUND(fh_spy_cost_red*TblMili[[#This Row],[FH''s]],4),fh_spy_cost_cap)+ tech_1_9*TblTech[[#This Row],[1-9]] + tech_9_1*TblTech[[#This Row],[9-1]])*spy_plat,0)</f>
        <v>500</v>
      </c>
      <c r="BS104" s="94">
        <f ca="1">ROUNDUP((1-MIN(ROUND(fh_spy_cost_red*TblMili[[#This Row],[FH''s]],4),fh_spy_cost_cap)+ tech_1_9*TblTech[[#This Row],[1-9]] + tech_9_1*TblTech[[#This Row],[9-1]])*archspy_plat,0)</f>
        <v>1000</v>
      </c>
      <c r="BT104" s="94">
        <f ca="1">ROUNDUP((1-MIN(ROUND(wg_wiz_cost_bonus*TblMili[[#This Row],[WG''s]],4),wg_wiz_cost_cap) + tech_1_9_2*TblTech[[#This Row],[1-9]] + tech_9_1_2*TblTech[[#This Row],[9-1]])*wizard_plat,0)</f>
        <v>500</v>
      </c>
      <c r="BU104" s="94">
        <f ca="1">ROUNDUP((1-MIN(ROUND(wg_wiz_cost_bonus*TblMili[[#This Row],[WG''s]],4),wg_wiz_cost_cap) + tech_1_9_2*TblTech[[#This Row],[1-9]] + tech_9_1_2*TblTech[[#This Row],[9-1]])*archmage_plat,0)</f>
        <v>1000</v>
      </c>
      <c r="BV104" s="142"/>
      <c r="BW104" s="157">
        <f ca="1">TblConstr[[#This Row],[Homeland]]/TblConstr[[#This Row],[Land]]</f>
        <v>0.81818181818181823</v>
      </c>
      <c r="BX104" s="157">
        <f ca="1">TblMili[[#This Row],[WG''s]]</f>
        <v>0</v>
      </c>
      <c r="BY104" s="251">
        <f ca="1">IF(mystic_cap="none",TblMili[[#This Row],[Homeland%]]/mystic_bonus,MIN(mystic_cap,TblMili[[#This Row],[Homeland%]]/mystic_bonus))</f>
        <v>2</v>
      </c>
      <c r="BZ104" s="251">
        <f ca="1">IF(druid_op_cap="none",TblMili[[#This Row],[Homeland%]]/druid_op_bonus,MIN(druid_op_cap,TblMili[[#This Row],[Homeland%]]/druid_op_bonus))</f>
        <v>2</v>
      </c>
      <c r="CA104" s="251">
        <f ca="1">IF(druid_dp_cap="none",TblMili[[#This Row],[Homeland%]]/druid_dp_bonus,MIN(druid_dp_cap,TblMili[[#This Row],[Homeland%]]/druid_dp_bonus))</f>
        <v>2</v>
      </c>
      <c r="CB104" s="251">
        <f ca="1">MIN(dryad_cap,TblMili[[#This Row],[Homeland%]]/dryad_bonus)</f>
        <v>4</v>
      </c>
      <c r="CC104" s="251">
        <f ca="1">MIN(rocka_cap,TblMili[[#This Row],[Homeland%]]/rocka_bonus)</f>
        <v>2</v>
      </c>
      <c r="CD104" s="251">
        <f ca="1">MIN(adept_op_cap,TblMili[[#This Row],[WG]]/adept_op_bonus)</f>
        <v>0</v>
      </c>
      <c r="CE104" s="251">
        <f ca="1">MIN(adept_dp_cap,TblMili[[#This Row],[WG]]/adept_dp_bonus)</f>
        <v>0</v>
      </c>
      <c r="CF104" s="94">
        <f ca="1">MIN(TblMili[[#This Row],[Unit 3]],TblMili[[#This Row],[Unit 2]])*2</f>
        <v>0</v>
      </c>
      <c r="CG104" s="94">
        <f ca="1">MIN(TblMili[[#This Row],[Unit 1]],TblMili[[#This Row],[Unit 4]])*2</f>
        <v>0</v>
      </c>
      <c r="CH104" s="251">
        <f ca="1">MIN(frost_mage_cap,TblMili[[#This Row],[Homeland%]]/frost_mage_bonus)</f>
        <v>3</v>
      </c>
      <c r="CI104" s="45">
        <f ca="1">MIN(ice_elem_cap,TblMili[[#This Row],[Raw (2)]]*ice_elem_bonus)</f>
        <v>0</v>
      </c>
      <c r="CJ104" s="251">
        <f t="shared" si="4"/>
        <v>0.83333333333333337</v>
      </c>
      <c r="CK104" s="251">
        <f ca="1">MIN(nox_nightshade_cap,TblConstr[[#This Row],[Homeland]]/TblConstr[[#This Row],[Land]]/nox_nightshade_swamp_bonus)</f>
        <v>4</v>
      </c>
      <c r="CL104" s="251">
        <f ca="1">MIN(TblConstr[[#This Row],[Total Swamp]]/TblConstr[[#This Row],[Land]]/abyss_enforce_bonus,abyss_enforcer_cap)</f>
        <v>0</v>
      </c>
      <c r="CM104" s="251">
        <f ca="1">IF(TblMagic[[#This Row],[Active Infernal Command]]&gt;0,TblMili[[#This Row],[Unit 1]]*infernal_cmd_op,0)</f>
        <v>0</v>
      </c>
      <c r="CN104" s="252"/>
      <c r="CO104" s="252"/>
      <c r="CP104" s="252"/>
      <c r="CQ104" s="251">
        <f ca="1">MIN(6,TblMili[[#This Row],[Mystic]]+Races!$F$19)*1.8 +  IF(TblMili[[#This Row],[Mystic]]+Races!$F$19&gt;6,(TblMili[[#This Row],[Mystic]]+Races!$F$19-6)*0.2,0) - Races!$I$19</f>
        <v>1</v>
      </c>
      <c r="CR10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4" s="94">
        <f ca="1">TblMili[[#This Row],[Mystic bonus]]*TblMili[[#This Row],[Unit 3]]+TblMili[[#This Row],[Druid bonus]]*TblMili[[#This Row],[Unit 4]]</f>
        <v>0</v>
      </c>
      <c r="CT104" s="155">
        <f ca="1">MIN(6,TblMili[[#This Row],[Dryad]]+Races!$F$35)*1.8 +  IF(TblMili[[#This Row],[Dryad]]+Races!$F$35&gt;6,(TblMili[[#This Row],[Dryad]]+Races!$F$35-6)*0.2,0) - Races!$I$19</f>
        <v>1</v>
      </c>
      <c r="CU104" s="94">
        <f ca="1">sylvan*(TblMili[[#This Row],[Mystic bonus]]*TblMili[[#This Row],[Unit 3]])</f>
        <v>0</v>
      </c>
      <c r="CV104" s="155">
        <f ca="1">1.8 * MIN(MAX(Races!$E$27,TblMili[[#This Row],[Rockapult]]+Races!$F$27),6)  +  0.45 * MIN(MIN(Races!$E$27,TblMili[[#This Row],[Rockapult]]+Races!$F$27),6)  +  0.2 * ( MAX(Races!$E$27-6,0) + MAX(TblMili[[#This Row],[Rockapult]]+Races!$F$27-6,0) )  -  Races!$I$20</f>
        <v>3.7000000000000011</v>
      </c>
      <c r="CW104" s="94">
        <f ca="1">gnome*(TblMili[[#This Row],[Rockapult bonus]]*TblMili[[#This Row],[Unit 3]])</f>
        <v>0</v>
      </c>
      <c r="CX10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4" s="94">
        <f ca="1">dark_elf*(TblMili[[#This Row],[Adept bonus]]*TblMili[[#This Row],[Unit 3]])</f>
        <v>0</v>
      </c>
      <c r="CZ104" s="155">
        <f ca="1">1.8 * MIN(MAX(TblMili[[#This Row],[Frost Mage]]+Races!$F$71,Races!$E$71),6)  +  0.45 * MIN(MIN(TblMili[[#This Row],[Frost Mage]]+Races!$F$71,Races!$E$71),6)  +  0.2 * ( MAX(TblMili[[#This Row],[Frost Mage]]+Races!$F$71-6,0) + MAX(Races!$E$71-6,0) )  -  Races!$I$71</f>
        <v>6.15</v>
      </c>
      <c r="DA104" s="155">
        <f ca="1">1.8 * MIN(MAX(TblMili[[#This Row],[Ice Elemental]]+Races!$E$71,Races!$F$71),6)  +  0.45 * MIN(MIN(TblMili[[#This Row],[Ice Elemental]]+Races!$E$71,Races!$F$71),6)  +  0.2 * ( MAX(TblMili[[#This Row],[Ice Elemental]]+Races!$E$71-6,0) + MAX(Races!$F$71-6,0) )  -  Races!$I$71</f>
        <v>0.75</v>
      </c>
      <c r="DB104" s="94">
        <f ca="1">TblMili[[#This Row],[Frost Mage bonus]]*TblMili[[#This Row],[Unit 3]]+TblMili[[#This Row],[Ice Elemental bonus]]*TblMili[[#This Row],[Unit 4]]</f>
        <v>0</v>
      </c>
      <c r="DC104" s="253"/>
      <c r="DD104" s="143">
        <f ca="1">MIN(SUM(TblConstr[[#This Row],[Plain]:[Water]])/TblMili[[#This Row],[Land]]/favorable_terrain_bonus/100,favorable_terrain_max)</f>
        <v>0.1</v>
      </c>
      <c r="DE104" s="253"/>
      <c r="DF10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4" s="142"/>
      <c r="DH104" s="254">
        <f ca="1">(TblMili[[#This Row],[Wizards]]+2*TblMili[[#This Row],[Archmages]])/TblConstr[[#This Row],[Land]]</f>
        <v>0</v>
      </c>
      <c r="DI104" s="254">
        <f ca="1">TblMili[[#This Row],[Raw (2)]]*(1+race_wizard_strength+IF(TblMili[[#This Row],[Hour]]&gt;72,tech_magical_weaponry_wiz*TblTech[[#This Row],[3-5]],0))</f>
        <v>0</v>
      </c>
    </row>
    <row r="105" spans="1:113" x14ac:dyDescent="0.2">
      <c r="A105" s="137">
        <f>TblRezone[[#This Row],[Hour]]</f>
        <v>102</v>
      </c>
      <c r="B105" s="246">
        <f ca="1">SUM(TblMili[[#This Row],[Unit 1]:[Archmages]])+SUM(OFFSET(TblMili[[#This Row],[Train Unit 1]],-8,0):TblMili[[#This Row],[Train Unit 2]]) + SUM(OFFSET(TblMili[[#This Row],[Train Unit 3]],-11,0):TblMili[[#This Row],[Train AM]]) + TblMili[[#This Row],[Draftees]]</f>
        <v>713</v>
      </c>
      <c r="C105" s="157">
        <f ca="1">TblPop[[#This Row],[Military%]]</f>
        <v>0.66263940520446096</v>
      </c>
      <c r="D105" s="142"/>
      <c r="E105" s="45">
        <f ca="1">OFFSET(TblMili[[#This Row],[Unit 1]],-1,0) + OFFSET(TblMili[[#This Row],[Train Unit 1]],-9,0) - TblMili[[#This Row],[Release Unit 1]] + OFFSET(TblMili[[#This Row],[DnD_Zombies]],-12,0)</f>
        <v>0</v>
      </c>
      <c r="F105" s="45">
        <f ca="1">OFFSET(TblMili[[#This Row],[Unit 2]],-1,0) + OFFSET(TblMili[[#This Row],[Train Unit 2]],-9,0)-TblMili[[#This Row],[Release Unit 2]]</f>
        <v>0</v>
      </c>
      <c r="G105" s="45">
        <f ca="1">OFFSET(TblMili[[#This Row],[Unit 3]],-1,0) + OFFSET(TblMili[[#This Row],[Train Unit 3]],-12,0)-TblMili[[#This Row],[Release Unit 3]]</f>
        <v>0</v>
      </c>
      <c r="H105" s="45">
        <f ca="1">OFFSET(TblMili[[#This Row],[Unit 4]],-1,0) + OFFSET(TblMili[[#This Row],[Train Unit 4]],-12,0)-TblMili[[#This Row],[Release Unit 4]]</f>
        <v>0</v>
      </c>
      <c r="I105" s="45">
        <f ca="1">OFFSET(TblMili[[#This Row],[Spies]],-1,0) + OFFSET(TblMili[[#This Row],[Train Spies]],-12,0) - TblMili[[#This Row],[Release Spies]]-TblMili[[#This Row],[Train AS]]</f>
        <v>0</v>
      </c>
      <c r="J105" s="45">
        <f ca="1">OFFSET(TblMili[[#This Row],[Archspies]],-1,0) + OFFSET(TblMili[[#This Row],[Train AS]],-12,0) - TblMili[[#This Row],[Release AS]]</f>
        <v>0</v>
      </c>
      <c r="K105" s="45">
        <f ca="1">OFFSET(TblMili[[#This Row],[Wizards]],-1,0) + OFFSET(TblMili[[#This Row],[Train Wiz]],-12,0) - TblMili[[#This Row],[Release Wizards]]-TblMili[[#This Row],[Train AM]]</f>
        <v>0</v>
      </c>
      <c r="L105" s="45">
        <f ca="1">OFFSET(TblMili[[#This Row],[Archmages]],-1,0) + OFFSET(TblMili[[#This Row],[Train AM]],-12,0) - TblMili[[#This Row],[Release AM]]</f>
        <v>0</v>
      </c>
      <c r="M105" s="142"/>
      <c r="N105" s="94">
        <f ca="1">TblProd[[#This Row],[Networth]]</f>
        <v>2450</v>
      </c>
      <c r="O105" s="142"/>
      <c r="P10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5" s="247">
        <f ca="1">TblMili[[#This Row],[Raw]]*(1+TblMili[[#This Row],[Mods_Off]])</f>
        <v>0</v>
      </c>
      <c r="S10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5" s="247">
        <f ca="1">TblMili[[#This Row],[Non Draft]]+TblMili[[#This Row],[Draftees]]</f>
        <v>713</v>
      </c>
      <c r="U105" s="248">
        <f ca="1">race_defense + TblImps[[#This Row],[Walls]] + ROUND( MIN(gt_bonus*TblConstr[[#This Row],[Tot GT]]/TblConstr[[#This Row],[Land]],gt_bonus_cap), 4) + IF(TblMagic[[#This Row],[Active Howling]]&gt;0,howling_dp_bonus,IF(TblMagic[[#This Row],[Active Ares Call]]&gt;0,ares_call_bonus))</f>
        <v>0</v>
      </c>
      <c r="V105" s="249">
        <f ca="1">TblMili[[#This Row],[Non Draft]] * (1 + TblMili[[#This Row],[Mods_Def]])</f>
        <v>0</v>
      </c>
      <c r="W105" s="247">
        <f ca="1">TblMili[[#This Row],[Draft]] * (1 + TblMili[[#This Row],[Mods_Def]])</f>
        <v>713</v>
      </c>
      <c r="X105" s="247">
        <f ca="1">TblConstr[[#This Row],[Land]]</f>
        <v>110</v>
      </c>
      <c r="Y105" s="250"/>
      <c r="Z105" s="255">
        <f ca="1">IF(TblMili[[#This Row],[Set]]&lt;&gt;"",TblMili[[#This Row],[Set]],OFFSET(TblMili[[#This Row],[Draftrate]],-1,0))</f>
        <v>0.9</v>
      </c>
      <c r="AA105" s="94">
        <f ca="1">OFFSET(TblMili[[#This Row],[Draftees]],-1,0)+OFFSET(TblPop[[#This Row],[Draft Growth]],-1,0) - SUM(TblMili[[#This Row],[Train Unit 1]:[Train Spies]],TblMili[[#This Row],[Train Wiz]],TblMili[[#This Row],[DnD_Zombies]]) - TblMili[[#This Row],[Release Draft]] + SUM(TblMili[[#This Row],[Release Unit 1]:[Release AM]]) - TblExplore[[#This Row],[Draftees (2)]]</f>
        <v>713</v>
      </c>
      <c r="AB105" s="154"/>
      <c r="AC105" s="180">
        <f ca="1">(TblConstr[[#This Row],[Tot Smi]]+TblConstr[[#This Row],[Dest Smi]])/(TblConstr[[#This Row],[Land]]-TblExplore[[#This Row],[Land Bonus]]*20)</f>
        <v>0</v>
      </c>
      <c r="AD105" s="137"/>
      <c r="AE105" s="246">
        <f>TblMili[[#This Row],[Hour]]</f>
        <v>102</v>
      </c>
      <c r="AF105" s="138">
        <f ca="1">TblExplore[[#This Row],[Time]]</f>
        <v>46051.208333333088</v>
      </c>
      <c r="AG105" s="179"/>
      <c r="AH105" s="179"/>
      <c r="AI105" s="179"/>
      <c r="AJ105" s="179"/>
      <c r="AK105" s="179"/>
      <c r="AL105" s="179"/>
      <c r="AM105" s="179"/>
      <c r="AN105" s="179"/>
      <c r="AO105" s="420">
        <f ca="1">ROUND(IF(AND(TblMagic[[#This Row],[Active DnD]]&lt;12,TblMagic[[#This Row],[Active DnD]]&gt;5),OFFSET(TblPop[[#This Row],[Draft Growth]],-1,0)*0.375,0),0)</f>
        <v>0</v>
      </c>
      <c r="AP105" s="142"/>
      <c r="AQ105" s="94">
        <f ca="1">TblProd[[#This Row],[Platinum]]</f>
        <v>201817</v>
      </c>
      <c r="AR105" s="94">
        <f ca="1">INDEX(TblProd[[#Headers],[Lumber]]:TblProd[[#This Row],[Ore]],COUNTA(TblProd[[#Headers],[Lumber]]:TblProd[[#This Row],[Lumber]]),MATCH(Military!$AR$2,TblProd[[#Headers],[Lumber]:[Ore]],0))</f>
        <v>0</v>
      </c>
      <c r="AS10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5" s="94">
        <f ca="1">TblMili[[#This Row],[Train Unit 1]]*TblMili[[#This Row],[OP Ore]]+TblMili[[#This Row],[Train Unit 2]]*TblMili[[#This Row],[DP Ore]]+TblMili[[#This Row],[Train Unit 3]]*TblMili[[#This Row],[E1 Ore]]+TblMili[[#This Row],[Train Unit 4]]*TblMili[[#This Row],[E2 Ore]]</f>
        <v>0</v>
      </c>
      <c r="AU105" s="142">
        <f>TblMili[[#This Row],[Hour]]</f>
        <v>102</v>
      </c>
      <c r="AV105" s="152">
        <f ca="1">TblMili[[#This Row],[Time]]</f>
        <v>46051.208333333088</v>
      </c>
      <c r="AW105" s="94">
        <f ca="1">TblMili[[#This Row],[Draftees]]</f>
        <v>713</v>
      </c>
      <c r="AX105" s="179"/>
      <c r="AY105" s="179"/>
      <c r="AZ105" s="179"/>
      <c r="BA105" s="179"/>
      <c r="BB105" s="179"/>
      <c r="BC105" s="179"/>
      <c r="BD105" s="179"/>
      <c r="BE105" s="179"/>
      <c r="BF105" s="179"/>
      <c r="BG105" s="142"/>
      <c r="BH105" s="157">
        <f ca="1">TblConstr[[#This Row],[Tot WG]]/TblConstr[[#This Row],[Land]]</f>
        <v>0</v>
      </c>
      <c r="BI105" s="157">
        <f ca="1">TblConstr[[#This Row],[Tot Hav]]/TblConstr[[#This Row],[Land]]</f>
        <v>0</v>
      </c>
      <c r="BJ105" s="94">
        <f ca="1">ROUNDUP((1-MIN(TblMili[[#This Row],[Smithies]]*smithy_bonus,smithy_bonus_cap) + tech_3_5*TblTech[[#This Row],[3-5]] + tech_5_3*TblTech[[#This Row],[5-3]] + tech_5_5*TblTech[[#This Row],[5-5]])*spec_op_plat,0)</f>
        <v>275</v>
      </c>
      <c r="BK105" s="94">
        <f ca="1">ROUNDUP(IF(race="Gnome",1,(1-MIN(TblMili[[#This Row],[Smithies]]*smithy_bonus,smithy_bonus_cap) + tech_3_5*TblTech[[#This Row],[3-5]] + tech_5_3*TblTech[[#This Row],[5-3]] + tech_5_5*TblTech[[#This Row],[5-5]]))*spec_op_ore,0)</f>
        <v>25</v>
      </c>
      <c r="BL105" s="94">
        <f ca="1">ROUNDUP((1-MIN(TblMili[[#This Row],[Smithies]]*smithy_bonus,smithy_bonus_cap) + tech_3_5*TblTech[[#This Row],[3-5]] + tech_5_3*TblTech[[#This Row],[5-3]] + tech_5_5*TblTech[[#This Row],[5-5]])*spec_dp_plat,0)</f>
        <v>275</v>
      </c>
      <c r="BM105" s="94">
        <f ca="1">ROUNDUP(IF(race="Gnome",1,(1-MIN(TblMili[[#This Row],[Smithies]]*smithy_bonus,smithy_bonus_cap) + tech_3_5*TblTech[[#This Row],[3-5]] + tech_5_3*TblTech[[#This Row],[5-3]] + tech_5_5*TblTech[[#This Row],[5-5]]))*spec_dp_ore,0)</f>
        <v>15</v>
      </c>
      <c r="BN105" s="94">
        <f ca="1">ROUNDUP((1-MIN(TblMili[[#This Row],[Smithies]]*smithy_bonus,smithy_bonus_cap) + tech_3_5*TblTech[[#This Row],[3-5]] + tech_5_3*TblTech[[#This Row],[5-3]] + tech_5_5*TblTech[[#This Row],[5-5]])*elite1_plat,0)</f>
        <v>1040</v>
      </c>
      <c r="BO105" s="94">
        <f ca="1">ROUNDUP(IF(race="Gnome",1,(1-MIN(TblMili[[#This Row],[Smithies]]*smithy_bonus,smithy_bonus_cap) + tech_3_5*TblTech[[#This Row],[3-5]] + tech_5_3*TblTech[[#This Row],[5-3]] + tech_5_5*TblTech[[#This Row],[5-5]]))*elite1_ore,0)</f>
        <v>75</v>
      </c>
      <c r="BP105" s="94">
        <f ca="1">ROUNDUP((1-MIN(TblMili[[#This Row],[Smithies]]*smithy_bonus,smithy_bonus_cap) + tech_3_5*TblTech[[#This Row],[3-5]] + tech_5_3*TblTech[[#This Row],[5-3]] + tech_5_5*TblTech[[#This Row],[5-5]])*elite2_plat,0)</f>
        <v>1280</v>
      </c>
      <c r="BQ105" s="94">
        <f ca="1">ROUNDUP(IF(race="Gnome",1,(1-MIN(TblMili[[#This Row],[Smithies]]*smithy_bonus,smithy_bonus_cap) + tech_3_5*TblTech[[#This Row],[3-5]] + tech_5_3*TblTech[[#This Row],[5-3]] + tech_5_5*TblTech[[#This Row],[5-5]]))*elite2_ore,0)</f>
        <v>100</v>
      </c>
      <c r="BR105" s="94">
        <f ca="1">ROUNDUP((1-MIN(ROUND(fh_spy_cost_red*TblMili[[#This Row],[FH''s]],4),fh_spy_cost_cap)+ tech_1_9*TblTech[[#This Row],[1-9]] + tech_9_1*TblTech[[#This Row],[9-1]])*spy_plat,0)</f>
        <v>500</v>
      </c>
      <c r="BS105" s="94">
        <f ca="1">ROUNDUP((1-MIN(ROUND(fh_spy_cost_red*TblMili[[#This Row],[FH''s]],4),fh_spy_cost_cap)+ tech_1_9*TblTech[[#This Row],[1-9]] + tech_9_1*TblTech[[#This Row],[9-1]])*archspy_plat,0)</f>
        <v>1000</v>
      </c>
      <c r="BT105" s="94">
        <f ca="1">ROUNDUP((1-MIN(ROUND(wg_wiz_cost_bonus*TblMili[[#This Row],[WG''s]],4),wg_wiz_cost_cap) + tech_1_9_2*TblTech[[#This Row],[1-9]] + tech_9_1_2*TblTech[[#This Row],[9-1]])*wizard_plat,0)</f>
        <v>500</v>
      </c>
      <c r="BU105" s="94">
        <f ca="1">ROUNDUP((1-MIN(ROUND(wg_wiz_cost_bonus*TblMili[[#This Row],[WG''s]],4),wg_wiz_cost_cap) + tech_1_9_2*TblTech[[#This Row],[1-9]] + tech_9_1_2*TblTech[[#This Row],[9-1]])*archmage_plat,0)</f>
        <v>1000</v>
      </c>
      <c r="BV105" s="142"/>
      <c r="BW105" s="157">
        <f ca="1">TblConstr[[#This Row],[Homeland]]/TblConstr[[#This Row],[Land]]</f>
        <v>0.81818181818181823</v>
      </c>
      <c r="BX105" s="157">
        <f ca="1">TblMili[[#This Row],[WG''s]]</f>
        <v>0</v>
      </c>
      <c r="BY105" s="251">
        <f ca="1">IF(mystic_cap="none",TblMili[[#This Row],[Homeland%]]/mystic_bonus,MIN(mystic_cap,TblMili[[#This Row],[Homeland%]]/mystic_bonus))</f>
        <v>2</v>
      </c>
      <c r="BZ105" s="251">
        <f ca="1">IF(druid_op_cap="none",TblMili[[#This Row],[Homeland%]]/druid_op_bonus,MIN(druid_op_cap,TblMili[[#This Row],[Homeland%]]/druid_op_bonus))</f>
        <v>2</v>
      </c>
      <c r="CA105" s="251">
        <f ca="1">IF(druid_dp_cap="none",TblMili[[#This Row],[Homeland%]]/druid_dp_bonus,MIN(druid_dp_cap,TblMili[[#This Row],[Homeland%]]/druid_dp_bonus))</f>
        <v>2</v>
      </c>
      <c r="CB105" s="251">
        <f ca="1">MIN(dryad_cap,TblMili[[#This Row],[Homeland%]]/dryad_bonus)</f>
        <v>4</v>
      </c>
      <c r="CC105" s="251">
        <f ca="1">MIN(rocka_cap,TblMili[[#This Row],[Homeland%]]/rocka_bonus)</f>
        <v>2</v>
      </c>
      <c r="CD105" s="251">
        <f ca="1">MIN(adept_op_cap,TblMili[[#This Row],[WG]]/adept_op_bonus)</f>
        <v>0</v>
      </c>
      <c r="CE105" s="251">
        <f ca="1">MIN(adept_dp_cap,TblMili[[#This Row],[WG]]/adept_dp_bonus)</f>
        <v>0</v>
      </c>
      <c r="CF105" s="94">
        <f ca="1">MIN(TblMili[[#This Row],[Unit 3]],TblMili[[#This Row],[Unit 2]])*2</f>
        <v>0</v>
      </c>
      <c r="CG105" s="94">
        <f ca="1">MIN(TblMili[[#This Row],[Unit 1]],TblMili[[#This Row],[Unit 4]])*2</f>
        <v>0</v>
      </c>
      <c r="CH105" s="251">
        <f ca="1">MIN(frost_mage_cap,TblMili[[#This Row],[Homeland%]]/frost_mage_bonus)</f>
        <v>3</v>
      </c>
      <c r="CI105" s="45">
        <f ca="1">MIN(ice_elem_cap,TblMili[[#This Row],[Raw (2)]]*ice_elem_bonus)</f>
        <v>0</v>
      </c>
      <c r="CJ105" s="251">
        <f t="shared" si="4"/>
        <v>0.83333333333333337</v>
      </c>
      <c r="CK105" s="251">
        <f ca="1">MIN(nox_nightshade_cap,TblConstr[[#This Row],[Homeland]]/TblConstr[[#This Row],[Land]]/nox_nightshade_swamp_bonus)</f>
        <v>4</v>
      </c>
      <c r="CL105" s="251">
        <f ca="1">MIN(TblConstr[[#This Row],[Total Swamp]]/TblConstr[[#This Row],[Land]]/abyss_enforce_bonus,abyss_enforcer_cap)</f>
        <v>0</v>
      </c>
      <c r="CM105" s="251">
        <f ca="1">IF(TblMagic[[#This Row],[Active Infernal Command]]&gt;0,TblMili[[#This Row],[Unit 1]]*infernal_cmd_op,0)</f>
        <v>0</v>
      </c>
      <c r="CN105" s="252"/>
      <c r="CO105" s="252"/>
      <c r="CP105" s="252"/>
      <c r="CQ105" s="251">
        <f ca="1">MIN(6,TblMili[[#This Row],[Mystic]]+Races!$F$19)*1.8 +  IF(TblMili[[#This Row],[Mystic]]+Races!$F$19&gt;6,(TblMili[[#This Row],[Mystic]]+Races!$F$19-6)*0.2,0) - Races!$I$19</f>
        <v>1</v>
      </c>
      <c r="CR10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5" s="94">
        <f ca="1">TblMili[[#This Row],[Mystic bonus]]*TblMili[[#This Row],[Unit 3]]+TblMili[[#This Row],[Druid bonus]]*TblMili[[#This Row],[Unit 4]]</f>
        <v>0</v>
      </c>
      <c r="CT105" s="155">
        <f ca="1">MIN(6,TblMili[[#This Row],[Dryad]]+Races!$F$35)*1.8 +  IF(TblMili[[#This Row],[Dryad]]+Races!$F$35&gt;6,(TblMili[[#This Row],[Dryad]]+Races!$F$35-6)*0.2,0) - Races!$I$19</f>
        <v>1</v>
      </c>
      <c r="CU105" s="94">
        <f ca="1">sylvan*(TblMili[[#This Row],[Mystic bonus]]*TblMili[[#This Row],[Unit 3]])</f>
        <v>0</v>
      </c>
      <c r="CV105" s="155">
        <f ca="1">1.8 * MIN(MAX(Races!$E$27,TblMili[[#This Row],[Rockapult]]+Races!$F$27),6)  +  0.45 * MIN(MIN(Races!$E$27,TblMili[[#This Row],[Rockapult]]+Races!$F$27),6)  +  0.2 * ( MAX(Races!$E$27-6,0) + MAX(TblMili[[#This Row],[Rockapult]]+Races!$F$27-6,0) )  -  Races!$I$20</f>
        <v>3.7000000000000011</v>
      </c>
      <c r="CW105" s="94">
        <f ca="1">gnome*(TblMili[[#This Row],[Rockapult bonus]]*TblMili[[#This Row],[Unit 3]])</f>
        <v>0</v>
      </c>
      <c r="CX10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5" s="94">
        <f ca="1">dark_elf*(TblMili[[#This Row],[Adept bonus]]*TblMili[[#This Row],[Unit 3]])</f>
        <v>0</v>
      </c>
      <c r="CZ105" s="155">
        <f ca="1">1.8 * MIN(MAX(TblMili[[#This Row],[Frost Mage]]+Races!$F$71,Races!$E$71),6)  +  0.45 * MIN(MIN(TblMili[[#This Row],[Frost Mage]]+Races!$F$71,Races!$E$71),6)  +  0.2 * ( MAX(TblMili[[#This Row],[Frost Mage]]+Races!$F$71-6,0) + MAX(Races!$E$71-6,0) )  -  Races!$I$71</f>
        <v>6.15</v>
      </c>
      <c r="DA105" s="155">
        <f ca="1">1.8 * MIN(MAX(TblMili[[#This Row],[Ice Elemental]]+Races!$E$71,Races!$F$71),6)  +  0.45 * MIN(MIN(TblMili[[#This Row],[Ice Elemental]]+Races!$E$71,Races!$F$71),6)  +  0.2 * ( MAX(TblMili[[#This Row],[Ice Elemental]]+Races!$E$71-6,0) + MAX(Races!$F$71-6,0) )  -  Races!$I$71</f>
        <v>0.75</v>
      </c>
      <c r="DB105" s="94">
        <f ca="1">TblMili[[#This Row],[Frost Mage bonus]]*TblMili[[#This Row],[Unit 3]]+TblMili[[#This Row],[Ice Elemental bonus]]*TblMili[[#This Row],[Unit 4]]</f>
        <v>0</v>
      </c>
      <c r="DC105" s="253"/>
      <c r="DD105" s="143">
        <f ca="1">MIN(SUM(TblConstr[[#This Row],[Plain]:[Water]])/TblMili[[#This Row],[Land]]/favorable_terrain_bonus/100,favorable_terrain_max)</f>
        <v>0.1</v>
      </c>
      <c r="DE105" s="253"/>
      <c r="DF10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5" s="142"/>
      <c r="DH105" s="254">
        <f ca="1">(TblMili[[#This Row],[Wizards]]+2*TblMili[[#This Row],[Archmages]])/TblConstr[[#This Row],[Land]]</f>
        <v>0</v>
      </c>
      <c r="DI105" s="254">
        <f ca="1">TblMili[[#This Row],[Raw (2)]]*(1+race_wizard_strength+IF(TblMili[[#This Row],[Hour]]&gt;72,tech_magical_weaponry_wiz*TblTech[[#This Row],[3-5]],0))</f>
        <v>0</v>
      </c>
    </row>
    <row r="106" spans="1:113" x14ac:dyDescent="0.2">
      <c r="A106" s="137">
        <f>TblRezone[[#This Row],[Hour]]</f>
        <v>103</v>
      </c>
      <c r="B106" s="246">
        <f ca="1">SUM(TblMili[[#This Row],[Unit 1]:[Archmages]])+SUM(OFFSET(TblMili[[#This Row],[Train Unit 1]],-8,0):TblMili[[#This Row],[Train Unit 2]]) + SUM(OFFSET(TblMili[[#This Row],[Train Unit 3]],-11,0):TblMili[[#This Row],[Train AM]]) + TblMili[[#This Row],[Draftees]]</f>
        <v>717</v>
      </c>
      <c r="C106" s="157">
        <f ca="1">TblPop[[#This Row],[Military%]]</f>
        <v>0.66635687732342008</v>
      </c>
      <c r="D106" s="142"/>
      <c r="E106" s="45">
        <f ca="1">OFFSET(TblMili[[#This Row],[Unit 1]],-1,0) + OFFSET(TblMili[[#This Row],[Train Unit 1]],-9,0) - TblMili[[#This Row],[Release Unit 1]] + OFFSET(TblMili[[#This Row],[DnD_Zombies]],-12,0)</f>
        <v>0</v>
      </c>
      <c r="F106" s="45">
        <f ca="1">OFFSET(TblMili[[#This Row],[Unit 2]],-1,0) + OFFSET(TblMili[[#This Row],[Train Unit 2]],-9,0)-TblMili[[#This Row],[Release Unit 2]]</f>
        <v>0</v>
      </c>
      <c r="G106" s="45">
        <f ca="1">OFFSET(TblMili[[#This Row],[Unit 3]],-1,0) + OFFSET(TblMili[[#This Row],[Train Unit 3]],-12,0)-TblMili[[#This Row],[Release Unit 3]]</f>
        <v>0</v>
      </c>
      <c r="H106" s="45">
        <f ca="1">OFFSET(TblMili[[#This Row],[Unit 4]],-1,0) + OFFSET(TblMili[[#This Row],[Train Unit 4]],-12,0)-TblMili[[#This Row],[Release Unit 4]]</f>
        <v>0</v>
      </c>
      <c r="I106" s="45">
        <f ca="1">OFFSET(TblMili[[#This Row],[Spies]],-1,0) + OFFSET(TblMili[[#This Row],[Train Spies]],-12,0) - TblMili[[#This Row],[Release Spies]]-TblMili[[#This Row],[Train AS]]</f>
        <v>0</v>
      </c>
      <c r="J106" s="45">
        <f ca="1">OFFSET(TblMili[[#This Row],[Archspies]],-1,0) + OFFSET(TblMili[[#This Row],[Train AS]],-12,0) - TblMili[[#This Row],[Release AS]]</f>
        <v>0</v>
      </c>
      <c r="K106" s="45">
        <f ca="1">OFFSET(TblMili[[#This Row],[Wizards]],-1,0) + OFFSET(TblMili[[#This Row],[Train Wiz]],-12,0) - TblMili[[#This Row],[Release Wizards]]-TblMili[[#This Row],[Train AM]]</f>
        <v>0</v>
      </c>
      <c r="L106" s="45">
        <f ca="1">OFFSET(TblMili[[#This Row],[Archmages]],-1,0) + OFFSET(TblMili[[#This Row],[Train AM]],-12,0) - TblMili[[#This Row],[Release AM]]</f>
        <v>0</v>
      </c>
      <c r="M106" s="142"/>
      <c r="N106" s="94">
        <f ca="1">TblProd[[#This Row],[Networth]]</f>
        <v>2450</v>
      </c>
      <c r="O106" s="142"/>
      <c r="P10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6" s="247">
        <f ca="1">TblMili[[#This Row],[Raw]]*(1+TblMili[[#This Row],[Mods_Off]])</f>
        <v>0</v>
      </c>
      <c r="S10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6" s="247">
        <f ca="1">TblMili[[#This Row],[Non Draft]]+TblMili[[#This Row],[Draftees]]</f>
        <v>717</v>
      </c>
      <c r="U106" s="248">
        <f ca="1">race_defense + TblImps[[#This Row],[Walls]] + ROUND( MIN(gt_bonus*TblConstr[[#This Row],[Tot GT]]/TblConstr[[#This Row],[Land]],gt_bonus_cap), 4) + IF(TblMagic[[#This Row],[Active Howling]]&gt;0,howling_dp_bonus,IF(TblMagic[[#This Row],[Active Ares Call]]&gt;0,ares_call_bonus))</f>
        <v>0</v>
      </c>
      <c r="V106" s="249">
        <f ca="1">TblMili[[#This Row],[Non Draft]] * (1 + TblMili[[#This Row],[Mods_Def]])</f>
        <v>0</v>
      </c>
      <c r="W106" s="247">
        <f ca="1">TblMili[[#This Row],[Draft]] * (1 + TblMili[[#This Row],[Mods_Def]])</f>
        <v>717</v>
      </c>
      <c r="X106" s="247">
        <f ca="1">TblConstr[[#This Row],[Land]]</f>
        <v>110</v>
      </c>
      <c r="Y106" s="250"/>
      <c r="Z106" s="255">
        <f ca="1">IF(TblMili[[#This Row],[Set]]&lt;&gt;"",TblMili[[#This Row],[Set]],OFFSET(TblMili[[#This Row],[Draftrate]],-1,0))</f>
        <v>0.9</v>
      </c>
      <c r="AA106" s="94">
        <f ca="1">OFFSET(TblMili[[#This Row],[Draftees]],-1,0)+OFFSET(TblPop[[#This Row],[Draft Growth]],-1,0) - SUM(TblMili[[#This Row],[Train Unit 1]:[Train Spies]],TblMili[[#This Row],[Train Wiz]],TblMili[[#This Row],[DnD_Zombies]]) - TblMili[[#This Row],[Release Draft]] + SUM(TblMili[[#This Row],[Release Unit 1]:[Release AM]]) - TblExplore[[#This Row],[Draftees (2)]]</f>
        <v>717</v>
      </c>
      <c r="AB106" s="154"/>
      <c r="AC106" s="180">
        <f ca="1">(TblConstr[[#This Row],[Tot Smi]]+TblConstr[[#This Row],[Dest Smi]])/(TblConstr[[#This Row],[Land]]-TblExplore[[#This Row],[Land Bonus]]*20)</f>
        <v>0</v>
      </c>
      <c r="AD106" s="137"/>
      <c r="AE106" s="246">
        <f>TblMili[[#This Row],[Hour]]</f>
        <v>103</v>
      </c>
      <c r="AF106" s="138">
        <f ca="1">TblExplore[[#This Row],[Time]]</f>
        <v>46051.249999999753</v>
      </c>
      <c r="AG106" s="179"/>
      <c r="AH106" s="179"/>
      <c r="AI106" s="179"/>
      <c r="AJ106" s="179"/>
      <c r="AK106" s="179"/>
      <c r="AL106" s="179"/>
      <c r="AM106" s="179"/>
      <c r="AN106" s="179"/>
      <c r="AO106" s="420">
        <f ca="1">ROUND(IF(AND(TblMagic[[#This Row],[Active DnD]]&lt;12,TblMagic[[#This Row],[Active DnD]]&gt;5),OFFSET(TblPop[[#This Row],[Draft Growth]],-1,0)*0.375,0),0)</f>
        <v>0</v>
      </c>
      <c r="AP106" s="142"/>
      <c r="AQ106" s="94">
        <f ca="1">TblProd[[#This Row],[Platinum]]</f>
        <v>202797</v>
      </c>
      <c r="AR106" s="94">
        <f ca="1">INDEX(TblProd[[#Headers],[Lumber]]:TblProd[[#This Row],[Ore]],COUNTA(TblProd[[#Headers],[Lumber]]:TblProd[[#This Row],[Lumber]]),MATCH(Military!$AR$2,TblProd[[#Headers],[Lumber]:[Ore]],0))</f>
        <v>0</v>
      </c>
      <c r="AS10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6" s="94">
        <f ca="1">TblMili[[#This Row],[Train Unit 1]]*TblMili[[#This Row],[OP Ore]]+TblMili[[#This Row],[Train Unit 2]]*TblMili[[#This Row],[DP Ore]]+TblMili[[#This Row],[Train Unit 3]]*TblMili[[#This Row],[E1 Ore]]+TblMili[[#This Row],[Train Unit 4]]*TblMili[[#This Row],[E2 Ore]]</f>
        <v>0</v>
      </c>
      <c r="AU106" s="142">
        <f>TblMili[[#This Row],[Hour]]</f>
        <v>103</v>
      </c>
      <c r="AV106" s="152">
        <f ca="1">TblMili[[#This Row],[Time]]</f>
        <v>46051.249999999753</v>
      </c>
      <c r="AW106" s="94">
        <f ca="1">TblMili[[#This Row],[Draftees]]</f>
        <v>717</v>
      </c>
      <c r="AX106" s="179"/>
      <c r="AY106" s="179"/>
      <c r="AZ106" s="179"/>
      <c r="BA106" s="179"/>
      <c r="BB106" s="179"/>
      <c r="BC106" s="179"/>
      <c r="BD106" s="179"/>
      <c r="BE106" s="179"/>
      <c r="BF106" s="179"/>
      <c r="BG106" s="142"/>
      <c r="BH106" s="157">
        <f ca="1">TblConstr[[#This Row],[Tot WG]]/TblConstr[[#This Row],[Land]]</f>
        <v>0</v>
      </c>
      <c r="BI106" s="157">
        <f ca="1">TblConstr[[#This Row],[Tot Hav]]/TblConstr[[#This Row],[Land]]</f>
        <v>0</v>
      </c>
      <c r="BJ106" s="94">
        <f ca="1">ROUNDUP((1-MIN(TblMili[[#This Row],[Smithies]]*smithy_bonus,smithy_bonus_cap) + tech_3_5*TblTech[[#This Row],[3-5]] + tech_5_3*TblTech[[#This Row],[5-3]] + tech_5_5*TblTech[[#This Row],[5-5]])*spec_op_plat,0)</f>
        <v>275</v>
      </c>
      <c r="BK106" s="94">
        <f ca="1">ROUNDUP(IF(race="Gnome",1,(1-MIN(TblMili[[#This Row],[Smithies]]*smithy_bonus,smithy_bonus_cap) + tech_3_5*TblTech[[#This Row],[3-5]] + tech_5_3*TblTech[[#This Row],[5-3]] + tech_5_5*TblTech[[#This Row],[5-5]]))*spec_op_ore,0)</f>
        <v>25</v>
      </c>
      <c r="BL106" s="94">
        <f ca="1">ROUNDUP((1-MIN(TblMili[[#This Row],[Smithies]]*smithy_bonus,smithy_bonus_cap) + tech_3_5*TblTech[[#This Row],[3-5]] + tech_5_3*TblTech[[#This Row],[5-3]] + tech_5_5*TblTech[[#This Row],[5-5]])*spec_dp_plat,0)</f>
        <v>275</v>
      </c>
      <c r="BM106" s="94">
        <f ca="1">ROUNDUP(IF(race="Gnome",1,(1-MIN(TblMili[[#This Row],[Smithies]]*smithy_bonus,smithy_bonus_cap) + tech_3_5*TblTech[[#This Row],[3-5]] + tech_5_3*TblTech[[#This Row],[5-3]] + tech_5_5*TblTech[[#This Row],[5-5]]))*spec_dp_ore,0)</f>
        <v>15</v>
      </c>
      <c r="BN106" s="94">
        <f ca="1">ROUNDUP((1-MIN(TblMili[[#This Row],[Smithies]]*smithy_bonus,smithy_bonus_cap) + tech_3_5*TblTech[[#This Row],[3-5]] + tech_5_3*TblTech[[#This Row],[5-3]] + tech_5_5*TblTech[[#This Row],[5-5]])*elite1_plat,0)</f>
        <v>1040</v>
      </c>
      <c r="BO106" s="94">
        <f ca="1">ROUNDUP(IF(race="Gnome",1,(1-MIN(TblMili[[#This Row],[Smithies]]*smithy_bonus,smithy_bonus_cap) + tech_3_5*TblTech[[#This Row],[3-5]] + tech_5_3*TblTech[[#This Row],[5-3]] + tech_5_5*TblTech[[#This Row],[5-5]]))*elite1_ore,0)</f>
        <v>75</v>
      </c>
      <c r="BP106" s="94">
        <f ca="1">ROUNDUP((1-MIN(TblMili[[#This Row],[Smithies]]*smithy_bonus,smithy_bonus_cap) + tech_3_5*TblTech[[#This Row],[3-5]] + tech_5_3*TblTech[[#This Row],[5-3]] + tech_5_5*TblTech[[#This Row],[5-5]])*elite2_plat,0)</f>
        <v>1280</v>
      </c>
      <c r="BQ106" s="94">
        <f ca="1">ROUNDUP(IF(race="Gnome",1,(1-MIN(TblMili[[#This Row],[Smithies]]*smithy_bonus,smithy_bonus_cap) + tech_3_5*TblTech[[#This Row],[3-5]] + tech_5_3*TblTech[[#This Row],[5-3]] + tech_5_5*TblTech[[#This Row],[5-5]]))*elite2_ore,0)</f>
        <v>100</v>
      </c>
      <c r="BR106" s="94">
        <f ca="1">ROUNDUP((1-MIN(ROUND(fh_spy_cost_red*TblMili[[#This Row],[FH''s]],4),fh_spy_cost_cap)+ tech_1_9*TblTech[[#This Row],[1-9]] + tech_9_1*TblTech[[#This Row],[9-1]])*spy_plat,0)</f>
        <v>500</v>
      </c>
      <c r="BS106" s="94">
        <f ca="1">ROUNDUP((1-MIN(ROUND(fh_spy_cost_red*TblMili[[#This Row],[FH''s]],4),fh_spy_cost_cap)+ tech_1_9*TblTech[[#This Row],[1-9]] + tech_9_1*TblTech[[#This Row],[9-1]])*archspy_plat,0)</f>
        <v>1000</v>
      </c>
      <c r="BT106" s="94">
        <f ca="1">ROUNDUP((1-MIN(ROUND(wg_wiz_cost_bonus*TblMili[[#This Row],[WG''s]],4),wg_wiz_cost_cap) + tech_1_9_2*TblTech[[#This Row],[1-9]] + tech_9_1_2*TblTech[[#This Row],[9-1]])*wizard_plat,0)</f>
        <v>500</v>
      </c>
      <c r="BU106" s="94">
        <f ca="1">ROUNDUP((1-MIN(ROUND(wg_wiz_cost_bonus*TblMili[[#This Row],[WG''s]],4),wg_wiz_cost_cap) + tech_1_9_2*TblTech[[#This Row],[1-9]] + tech_9_1_2*TblTech[[#This Row],[9-1]])*archmage_plat,0)</f>
        <v>1000</v>
      </c>
      <c r="BV106" s="142"/>
      <c r="BW106" s="157">
        <f ca="1">TblConstr[[#This Row],[Homeland]]/TblConstr[[#This Row],[Land]]</f>
        <v>0.81818181818181823</v>
      </c>
      <c r="BX106" s="157">
        <f ca="1">TblMili[[#This Row],[WG''s]]</f>
        <v>0</v>
      </c>
      <c r="BY106" s="251">
        <f ca="1">IF(mystic_cap="none",TblMili[[#This Row],[Homeland%]]/mystic_bonus,MIN(mystic_cap,TblMili[[#This Row],[Homeland%]]/mystic_bonus))</f>
        <v>2</v>
      </c>
      <c r="BZ106" s="251">
        <f ca="1">IF(druid_op_cap="none",TblMili[[#This Row],[Homeland%]]/druid_op_bonus,MIN(druid_op_cap,TblMili[[#This Row],[Homeland%]]/druid_op_bonus))</f>
        <v>2</v>
      </c>
      <c r="CA106" s="251">
        <f ca="1">IF(druid_dp_cap="none",TblMili[[#This Row],[Homeland%]]/druid_dp_bonus,MIN(druid_dp_cap,TblMili[[#This Row],[Homeland%]]/druid_dp_bonus))</f>
        <v>2</v>
      </c>
      <c r="CB106" s="251">
        <f ca="1">MIN(dryad_cap,TblMili[[#This Row],[Homeland%]]/dryad_bonus)</f>
        <v>4</v>
      </c>
      <c r="CC106" s="251">
        <f ca="1">MIN(rocka_cap,TblMili[[#This Row],[Homeland%]]/rocka_bonus)</f>
        <v>2</v>
      </c>
      <c r="CD106" s="251">
        <f ca="1">MIN(adept_op_cap,TblMili[[#This Row],[WG]]/adept_op_bonus)</f>
        <v>0</v>
      </c>
      <c r="CE106" s="251">
        <f ca="1">MIN(adept_dp_cap,TblMili[[#This Row],[WG]]/adept_dp_bonus)</f>
        <v>0</v>
      </c>
      <c r="CF106" s="94">
        <f ca="1">MIN(TblMili[[#This Row],[Unit 3]],TblMili[[#This Row],[Unit 2]])*2</f>
        <v>0</v>
      </c>
      <c r="CG106" s="94">
        <f ca="1">MIN(TblMili[[#This Row],[Unit 1]],TblMili[[#This Row],[Unit 4]])*2</f>
        <v>0</v>
      </c>
      <c r="CH106" s="251">
        <f ca="1">MIN(frost_mage_cap,TblMili[[#This Row],[Homeland%]]/frost_mage_bonus)</f>
        <v>3</v>
      </c>
      <c r="CI106" s="45">
        <f ca="1">MIN(ice_elem_cap,TblMili[[#This Row],[Raw (2)]]*ice_elem_bonus)</f>
        <v>0</v>
      </c>
      <c r="CJ106" s="251">
        <f t="shared" si="4"/>
        <v>0.83333333333333337</v>
      </c>
      <c r="CK106" s="251">
        <f ca="1">MIN(nox_nightshade_cap,TblConstr[[#This Row],[Homeland]]/TblConstr[[#This Row],[Land]]/nox_nightshade_swamp_bonus)</f>
        <v>4</v>
      </c>
      <c r="CL106" s="251">
        <f ca="1">MIN(TblConstr[[#This Row],[Total Swamp]]/TblConstr[[#This Row],[Land]]/abyss_enforce_bonus,abyss_enforcer_cap)</f>
        <v>0</v>
      </c>
      <c r="CM106" s="251">
        <f ca="1">IF(TblMagic[[#This Row],[Active Infernal Command]]&gt;0,TblMili[[#This Row],[Unit 1]]*infernal_cmd_op,0)</f>
        <v>0</v>
      </c>
      <c r="CN106" s="252"/>
      <c r="CO106" s="252"/>
      <c r="CP106" s="252"/>
      <c r="CQ106" s="251">
        <f ca="1">MIN(6,TblMili[[#This Row],[Mystic]]+Races!$F$19)*1.8 +  IF(TblMili[[#This Row],[Mystic]]+Races!$F$19&gt;6,(TblMili[[#This Row],[Mystic]]+Races!$F$19-6)*0.2,0) - Races!$I$19</f>
        <v>1</v>
      </c>
      <c r="CR10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6" s="94">
        <f ca="1">TblMili[[#This Row],[Mystic bonus]]*TblMili[[#This Row],[Unit 3]]+TblMili[[#This Row],[Druid bonus]]*TblMili[[#This Row],[Unit 4]]</f>
        <v>0</v>
      </c>
      <c r="CT106" s="155">
        <f ca="1">MIN(6,TblMili[[#This Row],[Dryad]]+Races!$F$35)*1.8 +  IF(TblMili[[#This Row],[Dryad]]+Races!$F$35&gt;6,(TblMili[[#This Row],[Dryad]]+Races!$F$35-6)*0.2,0) - Races!$I$19</f>
        <v>1</v>
      </c>
      <c r="CU106" s="94">
        <f ca="1">sylvan*(TblMili[[#This Row],[Mystic bonus]]*TblMili[[#This Row],[Unit 3]])</f>
        <v>0</v>
      </c>
      <c r="CV106" s="155">
        <f ca="1">1.8 * MIN(MAX(Races!$E$27,TblMili[[#This Row],[Rockapult]]+Races!$F$27),6)  +  0.45 * MIN(MIN(Races!$E$27,TblMili[[#This Row],[Rockapult]]+Races!$F$27),6)  +  0.2 * ( MAX(Races!$E$27-6,0) + MAX(TblMili[[#This Row],[Rockapult]]+Races!$F$27-6,0) )  -  Races!$I$20</f>
        <v>3.7000000000000011</v>
      </c>
      <c r="CW106" s="94">
        <f ca="1">gnome*(TblMili[[#This Row],[Rockapult bonus]]*TblMili[[#This Row],[Unit 3]])</f>
        <v>0</v>
      </c>
      <c r="CX10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6" s="94">
        <f ca="1">dark_elf*(TblMili[[#This Row],[Adept bonus]]*TblMili[[#This Row],[Unit 3]])</f>
        <v>0</v>
      </c>
      <c r="CZ106" s="155">
        <f ca="1">1.8 * MIN(MAX(TblMili[[#This Row],[Frost Mage]]+Races!$F$71,Races!$E$71),6)  +  0.45 * MIN(MIN(TblMili[[#This Row],[Frost Mage]]+Races!$F$71,Races!$E$71),6)  +  0.2 * ( MAX(TblMili[[#This Row],[Frost Mage]]+Races!$F$71-6,0) + MAX(Races!$E$71-6,0) )  -  Races!$I$71</f>
        <v>6.15</v>
      </c>
      <c r="DA106" s="155">
        <f ca="1">1.8 * MIN(MAX(TblMili[[#This Row],[Ice Elemental]]+Races!$E$71,Races!$F$71),6)  +  0.45 * MIN(MIN(TblMili[[#This Row],[Ice Elemental]]+Races!$E$71,Races!$F$71),6)  +  0.2 * ( MAX(TblMili[[#This Row],[Ice Elemental]]+Races!$E$71-6,0) + MAX(Races!$F$71-6,0) )  -  Races!$I$71</f>
        <v>0.75</v>
      </c>
      <c r="DB106" s="94">
        <f ca="1">TblMili[[#This Row],[Frost Mage bonus]]*TblMili[[#This Row],[Unit 3]]+TblMili[[#This Row],[Ice Elemental bonus]]*TblMili[[#This Row],[Unit 4]]</f>
        <v>0</v>
      </c>
      <c r="DC106" s="253"/>
      <c r="DD106" s="143">
        <f ca="1">MIN(SUM(TblConstr[[#This Row],[Plain]:[Water]])/TblMili[[#This Row],[Land]]/favorable_terrain_bonus/100,favorable_terrain_max)</f>
        <v>0.1</v>
      </c>
      <c r="DE106" s="253"/>
      <c r="DF10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6" s="142"/>
      <c r="DH106" s="254">
        <f ca="1">(TblMili[[#This Row],[Wizards]]+2*TblMili[[#This Row],[Archmages]])/TblConstr[[#This Row],[Land]]</f>
        <v>0</v>
      </c>
      <c r="DI106" s="254">
        <f ca="1">TblMili[[#This Row],[Raw (2)]]*(1+race_wizard_strength+IF(TblMili[[#This Row],[Hour]]&gt;72,tech_magical_weaponry_wiz*TblTech[[#This Row],[3-5]],0))</f>
        <v>0</v>
      </c>
    </row>
    <row r="107" spans="1:113" x14ac:dyDescent="0.2">
      <c r="A107" s="137">
        <f>TblRezone[[#This Row],[Hour]]</f>
        <v>104</v>
      </c>
      <c r="B107" s="246">
        <f ca="1">SUM(TblMili[[#This Row],[Unit 1]:[Archmages]])+SUM(OFFSET(TblMili[[#This Row],[Train Unit 1]],-8,0):TblMili[[#This Row],[Train Unit 2]]) + SUM(OFFSET(TblMili[[#This Row],[Train Unit 3]],-11,0):TblMili[[#This Row],[Train AM]]) + TblMili[[#This Row],[Draftees]]</f>
        <v>721</v>
      </c>
      <c r="C107" s="157">
        <f ca="1">TblPop[[#This Row],[Military%]]</f>
        <v>0.6700743494423792</v>
      </c>
      <c r="D107" s="142"/>
      <c r="E107" s="45">
        <f ca="1">OFFSET(TblMili[[#This Row],[Unit 1]],-1,0) + OFFSET(TblMili[[#This Row],[Train Unit 1]],-9,0) - TblMili[[#This Row],[Release Unit 1]] + OFFSET(TblMili[[#This Row],[DnD_Zombies]],-12,0)</f>
        <v>0</v>
      </c>
      <c r="F107" s="45">
        <f ca="1">OFFSET(TblMili[[#This Row],[Unit 2]],-1,0) + OFFSET(TblMili[[#This Row],[Train Unit 2]],-9,0)-TblMili[[#This Row],[Release Unit 2]]</f>
        <v>0</v>
      </c>
      <c r="G107" s="45">
        <f ca="1">OFFSET(TblMili[[#This Row],[Unit 3]],-1,0) + OFFSET(TblMili[[#This Row],[Train Unit 3]],-12,0)-TblMili[[#This Row],[Release Unit 3]]</f>
        <v>0</v>
      </c>
      <c r="H107" s="45">
        <f ca="1">OFFSET(TblMili[[#This Row],[Unit 4]],-1,0) + OFFSET(TblMili[[#This Row],[Train Unit 4]],-12,0)-TblMili[[#This Row],[Release Unit 4]]</f>
        <v>0</v>
      </c>
      <c r="I107" s="45">
        <f ca="1">OFFSET(TblMili[[#This Row],[Spies]],-1,0) + OFFSET(TblMili[[#This Row],[Train Spies]],-12,0) - TblMili[[#This Row],[Release Spies]]-TblMili[[#This Row],[Train AS]]</f>
        <v>0</v>
      </c>
      <c r="J107" s="45">
        <f ca="1">OFFSET(TblMili[[#This Row],[Archspies]],-1,0) + OFFSET(TblMili[[#This Row],[Train AS]],-12,0) - TblMili[[#This Row],[Release AS]]</f>
        <v>0</v>
      </c>
      <c r="K107" s="45">
        <f ca="1">OFFSET(TblMili[[#This Row],[Wizards]],-1,0) + OFFSET(TblMili[[#This Row],[Train Wiz]],-12,0) - TblMili[[#This Row],[Release Wizards]]-TblMili[[#This Row],[Train AM]]</f>
        <v>0</v>
      </c>
      <c r="L107" s="45">
        <f ca="1">OFFSET(TblMili[[#This Row],[Archmages]],-1,0) + OFFSET(TblMili[[#This Row],[Train AM]],-12,0) - TblMili[[#This Row],[Release AM]]</f>
        <v>0</v>
      </c>
      <c r="M107" s="142"/>
      <c r="N107" s="94">
        <f ca="1">TblProd[[#This Row],[Networth]]</f>
        <v>2450</v>
      </c>
      <c r="O107" s="142"/>
      <c r="P10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7" s="247">
        <f ca="1">TblMili[[#This Row],[Raw]]*(1+TblMili[[#This Row],[Mods_Off]])</f>
        <v>0</v>
      </c>
      <c r="S10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7" s="247">
        <f ca="1">TblMili[[#This Row],[Non Draft]]+TblMili[[#This Row],[Draftees]]</f>
        <v>721</v>
      </c>
      <c r="U107" s="248">
        <f ca="1">race_defense + TblImps[[#This Row],[Walls]] + ROUND( MIN(gt_bonus*TblConstr[[#This Row],[Tot GT]]/TblConstr[[#This Row],[Land]],gt_bonus_cap), 4) + IF(TblMagic[[#This Row],[Active Howling]]&gt;0,howling_dp_bonus,IF(TblMagic[[#This Row],[Active Ares Call]]&gt;0,ares_call_bonus))</f>
        <v>0</v>
      </c>
      <c r="V107" s="249">
        <f ca="1">TblMili[[#This Row],[Non Draft]] * (1 + TblMili[[#This Row],[Mods_Def]])</f>
        <v>0</v>
      </c>
      <c r="W107" s="247">
        <f ca="1">TblMili[[#This Row],[Draft]] * (1 + TblMili[[#This Row],[Mods_Def]])</f>
        <v>721</v>
      </c>
      <c r="X107" s="247">
        <f ca="1">TblConstr[[#This Row],[Land]]</f>
        <v>110</v>
      </c>
      <c r="Y107" s="250"/>
      <c r="Z107" s="255">
        <f ca="1">IF(TblMili[[#This Row],[Set]]&lt;&gt;"",TblMili[[#This Row],[Set]],OFFSET(TblMili[[#This Row],[Draftrate]],-1,0))</f>
        <v>0.9</v>
      </c>
      <c r="AA107" s="94">
        <f ca="1">OFFSET(TblMili[[#This Row],[Draftees]],-1,0)+OFFSET(TblPop[[#This Row],[Draft Growth]],-1,0) - SUM(TblMili[[#This Row],[Train Unit 1]:[Train Spies]],TblMili[[#This Row],[Train Wiz]],TblMili[[#This Row],[DnD_Zombies]]) - TblMili[[#This Row],[Release Draft]] + SUM(TblMili[[#This Row],[Release Unit 1]:[Release AM]]) - TblExplore[[#This Row],[Draftees (2)]]</f>
        <v>721</v>
      </c>
      <c r="AB107" s="154"/>
      <c r="AC107" s="180">
        <f ca="1">(TblConstr[[#This Row],[Tot Smi]]+TblConstr[[#This Row],[Dest Smi]])/(TblConstr[[#This Row],[Land]]-TblExplore[[#This Row],[Land Bonus]]*20)</f>
        <v>0</v>
      </c>
      <c r="AD107" s="137"/>
      <c r="AE107" s="246">
        <f>TblMili[[#This Row],[Hour]]</f>
        <v>104</v>
      </c>
      <c r="AF107" s="138">
        <f ca="1">TblExplore[[#This Row],[Time]]</f>
        <v>46051.291666666417</v>
      </c>
      <c r="AG107" s="179"/>
      <c r="AH107" s="179"/>
      <c r="AI107" s="179"/>
      <c r="AJ107" s="179"/>
      <c r="AK107" s="179"/>
      <c r="AL107" s="179"/>
      <c r="AM107" s="179"/>
      <c r="AN107" s="179"/>
      <c r="AO107" s="420">
        <f ca="1">ROUND(IF(AND(TblMagic[[#This Row],[Active DnD]]&lt;12,TblMagic[[#This Row],[Active DnD]]&gt;5),OFFSET(TblPop[[#This Row],[Draft Growth]],-1,0)*0.375,0),0)</f>
        <v>0</v>
      </c>
      <c r="AP107" s="142"/>
      <c r="AQ107" s="94">
        <f ca="1">TblProd[[#This Row],[Platinum]]</f>
        <v>203766</v>
      </c>
      <c r="AR107" s="94">
        <f ca="1">INDEX(TblProd[[#Headers],[Lumber]]:TblProd[[#This Row],[Ore]],COUNTA(TblProd[[#Headers],[Lumber]]:TblProd[[#This Row],[Lumber]]),MATCH(Military!$AR$2,TblProd[[#Headers],[Lumber]:[Ore]],0))</f>
        <v>0</v>
      </c>
      <c r="AS10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7" s="94">
        <f ca="1">TblMili[[#This Row],[Train Unit 1]]*TblMili[[#This Row],[OP Ore]]+TblMili[[#This Row],[Train Unit 2]]*TblMili[[#This Row],[DP Ore]]+TblMili[[#This Row],[Train Unit 3]]*TblMili[[#This Row],[E1 Ore]]+TblMili[[#This Row],[Train Unit 4]]*TblMili[[#This Row],[E2 Ore]]</f>
        <v>0</v>
      </c>
      <c r="AU107" s="142">
        <f>TblMili[[#This Row],[Hour]]</f>
        <v>104</v>
      </c>
      <c r="AV107" s="152">
        <f ca="1">TblMili[[#This Row],[Time]]</f>
        <v>46051.291666666417</v>
      </c>
      <c r="AW107" s="94">
        <f ca="1">TblMili[[#This Row],[Draftees]]</f>
        <v>721</v>
      </c>
      <c r="AX107" s="179"/>
      <c r="AY107" s="179"/>
      <c r="AZ107" s="179"/>
      <c r="BA107" s="179"/>
      <c r="BB107" s="179"/>
      <c r="BC107" s="179"/>
      <c r="BD107" s="179"/>
      <c r="BE107" s="179"/>
      <c r="BF107" s="179"/>
      <c r="BG107" s="142"/>
      <c r="BH107" s="157">
        <f ca="1">TblConstr[[#This Row],[Tot WG]]/TblConstr[[#This Row],[Land]]</f>
        <v>0</v>
      </c>
      <c r="BI107" s="157">
        <f ca="1">TblConstr[[#This Row],[Tot Hav]]/TblConstr[[#This Row],[Land]]</f>
        <v>0</v>
      </c>
      <c r="BJ107" s="94">
        <f ca="1">ROUNDUP((1-MIN(TblMili[[#This Row],[Smithies]]*smithy_bonus,smithy_bonus_cap) + tech_3_5*TblTech[[#This Row],[3-5]] + tech_5_3*TblTech[[#This Row],[5-3]] + tech_5_5*TblTech[[#This Row],[5-5]])*spec_op_plat,0)</f>
        <v>275</v>
      </c>
      <c r="BK107" s="94">
        <f ca="1">ROUNDUP(IF(race="Gnome",1,(1-MIN(TblMili[[#This Row],[Smithies]]*smithy_bonus,smithy_bonus_cap) + tech_3_5*TblTech[[#This Row],[3-5]] + tech_5_3*TblTech[[#This Row],[5-3]] + tech_5_5*TblTech[[#This Row],[5-5]]))*spec_op_ore,0)</f>
        <v>25</v>
      </c>
      <c r="BL107" s="94">
        <f ca="1">ROUNDUP((1-MIN(TblMili[[#This Row],[Smithies]]*smithy_bonus,smithy_bonus_cap) + tech_3_5*TblTech[[#This Row],[3-5]] + tech_5_3*TblTech[[#This Row],[5-3]] + tech_5_5*TblTech[[#This Row],[5-5]])*spec_dp_plat,0)</f>
        <v>275</v>
      </c>
      <c r="BM107" s="94">
        <f ca="1">ROUNDUP(IF(race="Gnome",1,(1-MIN(TblMili[[#This Row],[Smithies]]*smithy_bonus,smithy_bonus_cap) + tech_3_5*TblTech[[#This Row],[3-5]] + tech_5_3*TblTech[[#This Row],[5-3]] + tech_5_5*TblTech[[#This Row],[5-5]]))*spec_dp_ore,0)</f>
        <v>15</v>
      </c>
      <c r="BN107" s="94">
        <f ca="1">ROUNDUP((1-MIN(TblMili[[#This Row],[Smithies]]*smithy_bonus,smithy_bonus_cap) + tech_3_5*TblTech[[#This Row],[3-5]] + tech_5_3*TblTech[[#This Row],[5-3]] + tech_5_5*TblTech[[#This Row],[5-5]])*elite1_plat,0)</f>
        <v>1040</v>
      </c>
      <c r="BO107" s="94">
        <f ca="1">ROUNDUP(IF(race="Gnome",1,(1-MIN(TblMili[[#This Row],[Smithies]]*smithy_bonus,smithy_bonus_cap) + tech_3_5*TblTech[[#This Row],[3-5]] + tech_5_3*TblTech[[#This Row],[5-3]] + tech_5_5*TblTech[[#This Row],[5-5]]))*elite1_ore,0)</f>
        <v>75</v>
      </c>
      <c r="BP107" s="94">
        <f ca="1">ROUNDUP((1-MIN(TblMili[[#This Row],[Smithies]]*smithy_bonus,smithy_bonus_cap) + tech_3_5*TblTech[[#This Row],[3-5]] + tech_5_3*TblTech[[#This Row],[5-3]] + tech_5_5*TblTech[[#This Row],[5-5]])*elite2_plat,0)</f>
        <v>1280</v>
      </c>
      <c r="BQ107" s="94">
        <f ca="1">ROUNDUP(IF(race="Gnome",1,(1-MIN(TblMili[[#This Row],[Smithies]]*smithy_bonus,smithy_bonus_cap) + tech_3_5*TblTech[[#This Row],[3-5]] + tech_5_3*TblTech[[#This Row],[5-3]] + tech_5_5*TblTech[[#This Row],[5-5]]))*elite2_ore,0)</f>
        <v>100</v>
      </c>
      <c r="BR107" s="94">
        <f ca="1">ROUNDUP((1-MIN(ROUND(fh_spy_cost_red*TblMili[[#This Row],[FH''s]],4),fh_spy_cost_cap)+ tech_1_9*TblTech[[#This Row],[1-9]] + tech_9_1*TblTech[[#This Row],[9-1]])*spy_plat,0)</f>
        <v>500</v>
      </c>
      <c r="BS107" s="94">
        <f ca="1">ROUNDUP((1-MIN(ROUND(fh_spy_cost_red*TblMili[[#This Row],[FH''s]],4),fh_spy_cost_cap)+ tech_1_9*TblTech[[#This Row],[1-9]] + tech_9_1*TblTech[[#This Row],[9-1]])*archspy_plat,0)</f>
        <v>1000</v>
      </c>
      <c r="BT107" s="94">
        <f ca="1">ROUNDUP((1-MIN(ROUND(wg_wiz_cost_bonus*TblMili[[#This Row],[WG''s]],4),wg_wiz_cost_cap) + tech_1_9_2*TblTech[[#This Row],[1-9]] + tech_9_1_2*TblTech[[#This Row],[9-1]])*wizard_plat,0)</f>
        <v>500</v>
      </c>
      <c r="BU107" s="94">
        <f ca="1">ROUNDUP((1-MIN(ROUND(wg_wiz_cost_bonus*TblMili[[#This Row],[WG''s]],4),wg_wiz_cost_cap) + tech_1_9_2*TblTech[[#This Row],[1-9]] + tech_9_1_2*TblTech[[#This Row],[9-1]])*archmage_plat,0)</f>
        <v>1000</v>
      </c>
      <c r="BV107" s="142"/>
      <c r="BW107" s="157">
        <f ca="1">TblConstr[[#This Row],[Homeland]]/TblConstr[[#This Row],[Land]]</f>
        <v>0.81818181818181823</v>
      </c>
      <c r="BX107" s="157">
        <f ca="1">TblMili[[#This Row],[WG''s]]</f>
        <v>0</v>
      </c>
      <c r="BY107" s="251">
        <f ca="1">IF(mystic_cap="none",TblMili[[#This Row],[Homeland%]]/mystic_bonus,MIN(mystic_cap,TblMili[[#This Row],[Homeland%]]/mystic_bonus))</f>
        <v>2</v>
      </c>
      <c r="BZ107" s="251">
        <f ca="1">IF(druid_op_cap="none",TblMili[[#This Row],[Homeland%]]/druid_op_bonus,MIN(druid_op_cap,TblMili[[#This Row],[Homeland%]]/druid_op_bonus))</f>
        <v>2</v>
      </c>
      <c r="CA107" s="251">
        <f ca="1">IF(druid_dp_cap="none",TblMili[[#This Row],[Homeland%]]/druid_dp_bonus,MIN(druid_dp_cap,TblMili[[#This Row],[Homeland%]]/druid_dp_bonus))</f>
        <v>2</v>
      </c>
      <c r="CB107" s="251">
        <f ca="1">MIN(dryad_cap,TblMili[[#This Row],[Homeland%]]/dryad_bonus)</f>
        <v>4</v>
      </c>
      <c r="CC107" s="251">
        <f ca="1">MIN(rocka_cap,TblMili[[#This Row],[Homeland%]]/rocka_bonus)</f>
        <v>2</v>
      </c>
      <c r="CD107" s="251">
        <f ca="1">MIN(adept_op_cap,TblMili[[#This Row],[WG]]/adept_op_bonus)</f>
        <v>0</v>
      </c>
      <c r="CE107" s="251">
        <f ca="1">MIN(adept_dp_cap,TblMili[[#This Row],[WG]]/adept_dp_bonus)</f>
        <v>0</v>
      </c>
      <c r="CF107" s="94">
        <f ca="1">MIN(TblMili[[#This Row],[Unit 3]],TblMili[[#This Row],[Unit 2]])*2</f>
        <v>0</v>
      </c>
      <c r="CG107" s="94">
        <f ca="1">MIN(TblMili[[#This Row],[Unit 1]],TblMili[[#This Row],[Unit 4]])*2</f>
        <v>0</v>
      </c>
      <c r="CH107" s="251">
        <f ca="1">MIN(frost_mage_cap,TblMili[[#This Row],[Homeland%]]/frost_mage_bonus)</f>
        <v>3</v>
      </c>
      <c r="CI107" s="45">
        <f ca="1">MIN(ice_elem_cap,TblMili[[#This Row],[Raw (2)]]*ice_elem_bonus)</f>
        <v>0</v>
      </c>
      <c r="CJ107" s="251">
        <f t="shared" si="4"/>
        <v>0.83333333333333337</v>
      </c>
      <c r="CK107" s="251">
        <f ca="1">MIN(nox_nightshade_cap,TblConstr[[#This Row],[Homeland]]/TblConstr[[#This Row],[Land]]/nox_nightshade_swamp_bonus)</f>
        <v>4</v>
      </c>
      <c r="CL107" s="251">
        <f ca="1">MIN(TblConstr[[#This Row],[Total Swamp]]/TblConstr[[#This Row],[Land]]/abyss_enforce_bonus,abyss_enforcer_cap)</f>
        <v>0</v>
      </c>
      <c r="CM107" s="251">
        <f ca="1">IF(TblMagic[[#This Row],[Active Infernal Command]]&gt;0,TblMili[[#This Row],[Unit 1]]*infernal_cmd_op,0)</f>
        <v>0</v>
      </c>
      <c r="CN107" s="252"/>
      <c r="CO107" s="252"/>
      <c r="CP107" s="252"/>
      <c r="CQ107" s="251">
        <f ca="1">MIN(6,TblMili[[#This Row],[Mystic]]+Races!$F$19)*1.8 +  IF(TblMili[[#This Row],[Mystic]]+Races!$F$19&gt;6,(TblMili[[#This Row],[Mystic]]+Races!$F$19-6)*0.2,0) - Races!$I$19</f>
        <v>1</v>
      </c>
      <c r="CR10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7" s="94">
        <f ca="1">TblMili[[#This Row],[Mystic bonus]]*TblMili[[#This Row],[Unit 3]]+TblMili[[#This Row],[Druid bonus]]*TblMili[[#This Row],[Unit 4]]</f>
        <v>0</v>
      </c>
      <c r="CT107" s="155">
        <f ca="1">MIN(6,TblMili[[#This Row],[Dryad]]+Races!$F$35)*1.8 +  IF(TblMili[[#This Row],[Dryad]]+Races!$F$35&gt;6,(TblMili[[#This Row],[Dryad]]+Races!$F$35-6)*0.2,0) - Races!$I$19</f>
        <v>1</v>
      </c>
      <c r="CU107" s="94">
        <f ca="1">sylvan*(TblMili[[#This Row],[Mystic bonus]]*TblMili[[#This Row],[Unit 3]])</f>
        <v>0</v>
      </c>
      <c r="CV107" s="155">
        <f ca="1">1.8 * MIN(MAX(Races!$E$27,TblMili[[#This Row],[Rockapult]]+Races!$F$27),6)  +  0.45 * MIN(MIN(Races!$E$27,TblMili[[#This Row],[Rockapult]]+Races!$F$27),6)  +  0.2 * ( MAX(Races!$E$27-6,0) + MAX(TblMili[[#This Row],[Rockapult]]+Races!$F$27-6,0) )  -  Races!$I$20</f>
        <v>3.7000000000000011</v>
      </c>
      <c r="CW107" s="94">
        <f ca="1">gnome*(TblMili[[#This Row],[Rockapult bonus]]*TblMili[[#This Row],[Unit 3]])</f>
        <v>0</v>
      </c>
      <c r="CX10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7" s="94">
        <f ca="1">dark_elf*(TblMili[[#This Row],[Adept bonus]]*TblMili[[#This Row],[Unit 3]])</f>
        <v>0</v>
      </c>
      <c r="CZ107" s="155">
        <f ca="1">1.8 * MIN(MAX(TblMili[[#This Row],[Frost Mage]]+Races!$F$71,Races!$E$71),6)  +  0.45 * MIN(MIN(TblMili[[#This Row],[Frost Mage]]+Races!$F$71,Races!$E$71),6)  +  0.2 * ( MAX(TblMili[[#This Row],[Frost Mage]]+Races!$F$71-6,0) + MAX(Races!$E$71-6,0) )  -  Races!$I$71</f>
        <v>6.15</v>
      </c>
      <c r="DA107" s="155">
        <f ca="1">1.8 * MIN(MAX(TblMili[[#This Row],[Ice Elemental]]+Races!$E$71,Races!$F$71),6)  +  0.45 * MIN(MIN(TblMili[[#This Row],[Ice Elemental]]+Races!$E$71,Races!$F$71),6)  +  0.2 * ( MAX(TblMili[[#This Row],[Ice Elemental]]+Races!$E$71-6,0) + MAX(Races!$F$71-6,0) )  -  Races!$I$71</f>
        <v>0.75</v>
      </c>
      <c r="DB107" s="94">
        <f ca="1">TblMili[[#This Row],[Frost Mage bonus]]*TblMili[[#This Row],[Unit 3]]+TblMili[[#This Row],[Ice Elemental bonus]]*TblMili[[#This Row],[Unit 4]]</f>
        <v>0</v>
      </c>
      <c r="DC107" s="253"/>
      <c r="DD107" s="143">
        <f ca="1">MIN(SUM(TblConstr[[#This Row],[Plain]:[Water]])/TblMili[[#This Row],[Land]]/favorable_terrain_bonus/100,favorable_terrain_max)</f>
        <v>0.1</v>
      </c>
      <c r="DE107" s="253"/>
      <c r="DF10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7" s="142"/>
      <c r="DH107" s="254">
        <f ca="1">(TblMili[[#This Row],[Wizards]]+2*TblMili[[#This Row],[Archmages]])/TblConstr[[#This Row],[Land]]</f>
        <v>0</v>
      </c>
      <c r="DI107" s="254">
        <f ca="1">TblMili[[#This Row],[Raw (2)]]*(1+race_wizard_strength+IF(TblMili[[#This Row],[Hour]]&gt;72,tech_magical_weaponry_wiz*TblTech[[#This Row],[3-5]],0))</f>
        <v>0</v>
      </c>
    </row>
    <row r="108" spans="1:113" x14ac:dyDescent="0.2">
      <c r="A108" s="137">
        <f>TblRezone[[#This Row],[Hour]]</f>
        <v>105</v>
      </c>
      <c r="B108" s="246">
        <f ca="1">SUM(TblMili[[#This Row],[Unit 1]:[Archmages]])+SUM(OFFSET(TblMili[[#This Row],[Train Unit 1]],-8,0):TblMili[[#This Row],[Train Unit 2]]) + SUM(OFFSET(TblMili[[#This Row],[Train Unit 3]],-11,0):TblMili[[#This Row],[Train AM]]) + TblMili[[#This Row],[Draftees]]</f>
        <v>725</v>
      </c>
      <c r="C108" s="157">
        <f ca="1">TblPop[[#This Row],[Military%]]</f>
        <v>0.67379182156133832</v>
      </c>
      <c r="D108" s="142"/>
      <c r="E108" s="45">
        <f ca="1">OFFSET(TblMili[[#This Row],[Unit 1]],-1,0) + OFFSET(TblMili[[#This Row],[Train Unit 1]],-9,0) - TblMili[[#This Row],[Release Unit 1]] + OFFSET(TblMili[[#This Row],[DnD_Zombies]],-12,0)</f>
        <v>0</v>
      </c>
      <c r="F108" s="45">
        <f ca="1">OFFSET(TblMili[[#This Row],[Unit 2]],-1,0) + OFFSET(TblMili[[#This Row],[Train Unit 2]],-9,0)-TblMili[[#This Row],[Release Unit 2]]</f>
        <v>0</v>
      </c>
      <c r="G108" s="45">
        <f ca="1">OFFSET(TblMili[[#This Row],[Unit 3]],-1,0) + OFFSET(TblMili[[#This Row],[Train Unit 3]],-12,0)-TblMili[[#This Row],[Release Unit 3]]</f>
        <v>0</v>
      </c>
      <c r="H108" s="45">
        <f ca="1">OFFSET(TblMili[[#This Row],[Unit 4]],-1,0) + OFFSET(TblMili[[#This Row],[Train Unit 4]],-12,0)-TblMili[[#This Row],[Release Unit 4]]</f>
        <v>0</v>
      </c>
      <c r="I108" s="45">
        <f ca="1">OFFSET(TblMili[[#This Row],[Spies]],-1,0) + OFFSET(TblMili[[#This Row],[Train Spies]],-12,0) - TblMili[[#This Row],[Release Spies]]-TblMili[[#This Row],[Train AS]]</f>
        <v>0</v>
      </c>
      <c r="J108" s="45">
        <f ca="1">OFFSET(TblMili[[#This Row],[Archspies]],-1,0) + OFFSET(TblMili[[#This Row],[Train AS]],-12,0) - TblMili[[#This Row],[Release AS]]</f>
        <v>0</v>
      </c>
      <c r="K108" s="45">
        <f ca="1">OFFSET(TblMili[[#This Row],[Wizards]],-1,0) + OFFSET(TblMili[[#This Row],[Train Wiz]],-12,0) - TblMili[[#This Row],[Release Wizards]]-TblMili[[#This Row],[Train AM]]</f>
        <v>0</v>
      </c>
      <c r="L108" s="45">
        <f ca="1">OFFSET(TblMili[[#This Row],[Archmages]],-1,0) + OFFSET(TblMili[[#This Row],[Train AM]],-12,0) - TblMili[[#This Row],[Release AM]]</f>
        <v>0</v>
      </c>
      <c r="M108" s="142"/>
      <c r="N108" s="94">
        <f ca="1">TblProd[[#This Row],[Networth]]</f>
        <v>2450</v>
      </c>
      <c r="O108" s="142"/>
      <c r="P10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8" s="247">
        <f ca="1">TblMili[[#This Row],[Raw]]*(1+TblMili[[#This Row],[Mods_Off]])</f>
        <v>0</v>
      </c>
      <c r="S10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8" s="247">
        <f ca="1">TblMili[[#This Row],[Non Draft]]+TblMili[[#This Row],[Draftees]]</f>
        <v>725</v>
      </c>
      <c r="U108" s="248">
        <f ca="1">race_defense + TblImps[[#This Row],[Walls]] + ROUND( MIN(gt_bonus*TblConstr[[#This Row],[Tot GT]]/TblConstr[[#This Row],[Land]],gt_bonus_cap), 4) + IF(TblMagic[[#This Row],[Active Howling]]&gt;0,howling_dp_bonus,IF(TblMagic[[#This Row],[Active Ares Call]]&gt;0,ares_call_bonus))</f>
        <v>0</v>
      </c>
      <c r="V108" s="249">
        <f ca="1">TblMili[[#This Row],[Non Draft]] * (1 + TblMili[[#This Row],[Mods_Def]])</f>
        <v>0</v>
      </c>
      <c r="W108" s="247">
        <f ca="1">TblMili[[#This Row],[Draft]] * (1 + TblMili[[#This Row],[Mods_Def]])</f>
        <v>725</v>
      </c>
      <c r="X108" s="247">
        <f ca="1">TblConstr[[#This Row],[Land]]</f>
        <v>110</v>
      </c>
      <c r="Y108" s="250"/>
      <c r="Z108" s="255">
        <f ca="1">IF(TblMili[[#This Row],[Set]]&lt;&gt;"",TblMili[[#This Row],[Set]],OFFSET(TblMili[[#This Row],[Draftrate]],-1,0))</f>
        <v>0.9</v>
      </c>
      <c r="AA108" s="94">
        <f ca="1">OFFSET(TblMili[[#This Row],[Draftees]],-1,0)+OFFSET(TblPop[[#This Row],[Draft Growth]],-1,0) - SUM(TblMili[[#This Row],[Train Unit 1]:[Train Spies]],TblMili[[#This Row],[Train Wiz]],TblMili[[#This Row],[DnD_Zombies]]) - TblMili[[#This Row],[Release Draft]] + SUM(TblMili[[#This Row],[Release Unit 1]:[Release AM]]) - TblExplore[[#This Row],[Draftees (2)]]</f>
        <v>725</v>
      </c>
      <c r="AB108" s="154"/>
      <c r="AC108" s="180">
        <f ca="1">(TblConstr[[#This Row],[Tot Smi]]+TblConstr[[#This Row],[Dest Smi]])/(TblConstr[[#This Row],[Land]]-TblExplore[[#This Row],[Land Bonus]]*20)</f>
        <v>0</v>
      </c>
      <c r="AD108" s="137"/>
      <c r="AE108" s="246">
        <f>TblMili[[#This Row],[Hour]]</f>
        <v>105</v>
      </c>
      <c r="AF108" s="138">
        <f ca="1">TblExplore[[#This Row],[Time]]</f>
        <v>46051.333333333081</v>
      </c>
      <c r="AG108" s="179"/>
      <c r="AH108" s="179"/>
      <c r="AI108" s="179"/>
      <c r="AJ108" s="179"/>
      <c r="AK108" s="179"/>
      <c r="AL108" s="179"/>
      <c r="AM108" s="179"/>
      <c r="AN108" s="179"/>
      <c r="AO108" s="420">
        <f ca="1">ROUND(IF(AND(TblMagic[[#This Row],[Active DnD]]&lt;12,TblMagic[[#This Row],[Active DnD]]&gt;5),OFFSET(TblPop[[#This Row],[Draft Growth]],-1,0)*0.375,0),0)</f>
        <v>0</v>
      </c>
      <c r="AP108" s="142"/>
      <c r="AQ108" s="94">
        <f ca="1">TblProd[[#This Row],[Platinum]]</f>
        <v>204724</v>
      </c>
      <c r="AR108" s="94">
        <f ca="1">INDEX(TblProd[[#Headers],[Lumber]]:TblProd[[#This Row],[Ore]],COUNTA(TblProd[[#Headers],[Lumber]]:TblProd[[#This Row],[Lumber]]),MATCH(Military!$AR$2,TblProd[[#Headers],[Lumber]:[Ore]],0))</f>
        <v>0</v>
      </c>
      <c r="AS10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8" s="94">
        <f ca="1">TblMili[[#This Row],[Train Unit 1]]*TblMili[[#This Row],[OP Ore]]+TblMili[[#This Row],[Train Unit 2]]*TblMili[[#This Row],[DP Ore]]+TblMili[[#This Row],[Train Unit 3]]*TblMili[[#This Row],[E1 Ore]]+TblMili[[#This Row],[Train Unit 4]]*TblMili[[#This Row],[E2 Ore]]</f>
        <v>0</v>
      </c>
      <c r="AU108" s="142">
        <f>TblMili[[#This Row],[Hour]]</f>
        <v>105</v>
      </c>
      <c r="AV108" s="152">
        <f ca="1">TblMili[[#This Row],[Time]]</f>
        <v>46051.333333333081</v>
      </c>
      <c r="AW108" s="94">
        <f ca="1">TblMili[[#This Row],[Draftees]]</f>
        <v>725</v>
      </c>
      <c r="AX108" s="179"/>
      <c r="AY108" s="179"/>
      <c r="AZ108" s="179"/>
      <c r="BA108" s="179"/>
      <c r="BB108" s="179"/>
      <c r="BC108" s="179"/>
      <c r="BD108" s="179"/>
      <c r="BE108" s="179"/>
      <c r="BF108" s="179"/>
      <c r="BG108" s="142"/>
      <c r="BH108" s="157">
        <f ca="1">TblConstr[[#This Row],[Tot WG]]/TblConstr[[#This Row],[Land]]</f>
        <v>0</v>
      </c>
      <c r="BI108" s="157">
        <f ca="1">TblConstr[[#This Row],[Tot Hav]]/TblConstr[[#This Row],[Land]]</f>
        <v>0</v>
      </c>
      <c r="BJ108" s="94">
        <f ca="1">ROUNDUP((1-MIN(TblMili[[#This Row],[Smithies]]*smithy_bonus,smithy_bonus_cap) + tech_3_5*TblTech[[#This Row],[3-5]] + tech_5_3*TblTech[[#This Row],[5-3]] + tech_5_5*TblTech[[#This Row],[5-5]])*spec_op_plat,0)</f>
        <v>275</v>
      </c>
      <c r="BK108" s="94">
        <f ca="1">ROUNDUP(IF(race="Gnome",1,(1-MIN(TblMili[[#This Row],[Smithies]]*smithy_bonus,smithy_bonus_cap) + tech_3_5*TblTech[[#This Row],[3-5]] + tech_5_3*TblTech[[#This Row],[5-3]] + tech_5_5*TblTech[[#This Row],[5-5]]))*spec_op_ore,0)</f>
        <v>25</v>
      </c>
      <c r="BL108" s="94">
        <f ca="1">ROUNDUP((1-MIN(TblMili[[#This Row],[Smithies]]*smithy_bonus,smithy_bonus_cap) + tech_3_5*TblTech[[#This Row],[3-5]] + tech_5_3*TblTech[[#This Row],[5-3]] + tech_5_5*TblTech[[#This Row],[5-5]])*spec_dp_plat,0)</f>
        <v>275</v>
      </c>
      <c r="BM108" s="94">
        <f ca="1">ROUNDUP(IF(race="Gnome",1,(1-MIN(TblMili[[#This Row],[Smithies]]*smithy_bonus,smithy_bonus_cap) + tech_3_5*TblTech[[#This Row],[3-5]] + tech_5_3*TblTech[[#This Row],[5-3]] + tech_5_5*TblTech[[#This Row],[5-5]]))*spec_dp_ore,0)</f>
        <v>15</v>
      </c>
      <c r="BN108" s="94">
        <f ca="1">ROUNDUP((1-MIN(TblMili[[#This Row],[Smithies]]*smithy_bonus,smithy_bonus_cap) + tech_3_5*TblTech[[#This Row],[3-5]] + tech_5_3*TblTech[[#This Row],[5-3]] + tech_5_5*TblTech[[#This Row],[5-5]])*elite1_plat,0)</f>
        <v>1040</v>
      </c>
      <c r="BO108" s="94">
        <f ca="1">ROUNDUP(IF(race="Gnome",1,(1-MIN(TblMili[[#This Row],[Smithies]]*smithy_bonus,smithy_bonus_cap) + tech_3_5*TblTech[[#This Row],[3-5]] + tech_5_3*TblTech[[#This Row],[5-3]] + tech_5_5*TblTech[[#This Row],[5-5]]))*elite1_ore,0)</f>
        <v>75</v>
      </c>
      <c r="BP108" s="94">
        <f ca="1">ROUNDUP((1-MIN(TblMili[[#This Row],[Smithies]]*smithy_bonus,smithy_bonus_cap) + tech_3_5*TblTech[[#This Row],[3-5]] + tech_5_3*TblTech[[#This Row],[5-3]] + tech_5_5*TblTech[[#This Row],[5-5]])*elite2_plat,0)</f>
        <v>1280</v>
      </c>
      <c r="BQ108" s="94">
        <f ca="1">ROUNDUP(IF(race="Gnome",1,(1-MIN(TblMili[[#This Row],[Smithies]]*smithy_bonus,smithy_bonus_cap) + tech_3_5*TblTech[[#This Row],[3-5]] + tech_5_3*TblTech[[#This Row],[5-3]] + tech_5_5*TblTech[[#This Row],[5-5]]))*elite2_ore,0)</f>
        <v>100</v>
      </c>
      <c r="BR108" s="94">
        <f ca="1">ROUNDUP((1-MIN(ROUND(fh_spy_cost_red*TblMili[[#This Row],[FH''s]],4),fh_spy_cost_cap)+ tech_1_9*TblTech[[#This Row],[1-9]] + tech_9_1*TblTech[[#This Row],[9-1]])*spy_plat,0)</f>
        <v>500</v>
      </c>
      <c r="BS108" s="94">
        <f ca="1">ROUNDUP((1-MIN(ROUND(fh_spy_cost_red*TblMili[[#This Row],[FH''s]],4),fh_spy_cost_cap)+ tech_1_9*TblTech[[#This Row],[1-9]] + tech_9_1*TblTech[[#This Row],[9-1]])*archspy_plat,0)</f>
        <v>1000</v>
      </c>
      <c r="BT108" s="94">
        <f ca="1">ROUNDUP((1-MIN(ROUND(wg_wiz_cost_bonus*TblMili[[#This Row],[WG''s]],4),wg_wiz_cost_cap) + tech_1_9_2*TblTech[[#This Row],[1-9]] + tech_9_1_2*TblTech[[#This Row],[9-1]])*wizard_plat,0)</f>
        <v>500</v>
      </c>
      <c r="BU108" s="94">
        <f ca="1">ROUNDUP((1-MIN(ROUND(wg_wiz_cost_bonus*TblMili[[#This Row],[WG''s]],4),wg_wiz_cost_cap) + tech_1_9_2*TblTech[[#This Row],[1-9]] + tech_9_1_2*TblTech[[#This Row],[9-1]])*archmage_plat,0)</f>
        <v>1000</v>
      </c>
      <c r="BV108" s="142"/>
      <c r="BW108" s="157">
        <f ca="1">TblConstr[[#This Row],[Homeland]]/TblConstr[[#This Row],[Land]]</f>
        <v>0.81818181818181823</v>
      </c>
      <c r="BX108" s="157">
        <f ca="1">TblMili[[#This Row],[WG''s]]</f>
        <v>0</v>
      </c>
      <c r="BY108" s="251">
        <f ca="1">IF(mystic_cap="none",TblMili[[#This Row],[Homeland%]]/mystic_bonus,MIN(mystic_cap,TblMili[[#This Row],[Homeland%]]/mystic_bonus))</f>
        <v>2</v>
      </c>
      <c r="BZ108" s="251">
        <f ca="1">IF(druid_op_cap="none",TblMili[[#This Row],[Homeland%]]/druid_op_bonus,MIN(druid_op_cap,TblMili[[#This Row],[Homeland%]]/druid_op_bonus))</f>
        <v>2</v>
      </c>
      <c r="CA108" s="251">
        <f ca="1">IF(druid_dp_cap="none",TblMili[[#This Row],[Homeland%]]/druid_dp_bonus,MIN(druid_dp_cap,TblMili[[#This Row],[Homeland%]]/druid_dp_bonus))</f>
        <v>2</v>
      </c>
      <c r="CB108" s="251">
        <f ca="1">MIN(dryad_cap,TblMili[[#This Row],[Homeland%]]/dryad_bonus)</f>
        <v>4</v>
      </c>
      <c r="CC108" s="251">
        <f ca="1">MIN(rocka_cap,TblMili[[#This Row],[Homeland%]]/rocka_bonus)</f>
        <v>2</v>
      </c>
      <c r="CD108" s="251">
        <f ca="1">MIN(adept_op_cap,TblMili[[#This Row],[WG]]/adept_op_bonus)</f>
        <v>0</v>
      </c>
      <c r="CE108" s="251">
        <f ca="1">MIN(adept_dp_cap,TblMili[[#This Row],[WG]]/adept_dp_bonus)</f>
        <v>0</v>
      </c>
      <c r="CF108" s="94">
        <f ca="1">MIN(TblMili[[#This Row],[Unit 3]],TblMili[[#This Row],[Unit 2]])*2</f>
        <v>0</v>
      </c>
      <c r="CG108" s="94">
        <f ca="1">MIN(TblMili[[#This Row],[Unit 1]],TblMili[[#This Row],[Unit 4]])*2</f>
        <v>0</v>
      </c>
      <c r="CH108" s="251">
        <f ca="1">MIN(frost_mage_cap,TblMili[[#This Row],[Homeland%]]/frost_mage_bonus)</f>
        <v>3</v>
      </c>
      <c r="CI108" s="45">
        <f ca="1">MIN(ice_elem_cap,TblMili[[#This Row],[Raw (2)]]*ice_elem_bonus)</f>
        <v>0</v>
      </c>
      <c r="CJ108" s="251">
        <f t="shared" si="4"/>
        <v>0.83333333333333337</v>
      </c>
      <c r="CK108" s="251">
        <f ca="1">MIN(nox_nightshade_cap,TblConstr[[#This Row],[Homeland]]/TblConstr[[#This Row],[Land]]/nox_nightshade_swamp_bonus)</f>
        <v>4</v>
      </c>
      <c r="CL108" s="251">
        <f ca="1">MIN(TblConstr[[#This Row],[Total Swamp]]/TblConstr[[#This Row],[Land]]/abyss_enforce_bonus,abyss_enforcer_cap)</f>
        <v>0</v>
      </c>
      <c r="CM108" s="251">
        <f ca="1">IF(TblMagic[[#This Row],[Active Infernal Command]]&gt;0,TblMili[[#This Row],[Unit 1]]*infernal_cmd_op,0)</f>
        <v>0</v>
      </c>
      <c r="CN108" s="252"/>
      <c r="CO108" s="252"/>
      <c r="CP108" s="252"/>
      <c r="CQ108" s="251">
        <f ca="1">MIN(6,TblMili[[#This Row],[Mystic]]+Races!$F$19)*1.8 +  IF(TblMili[[#This Row],[Mystic]]+Races!$F$19&gt;6,(TblMili[[#This Row],[Mystic]]+Races!$F$19-6)*0.2,0) - Races!$I$19</f>
        <v>1</v>
      </c>
      <c r="CR10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8" s="94">
        <f ca="1">TblMili[[#This Row],[Mystic bonus]]*TblMili[[#This Row],[Unit 3]]+TblMili[[#This Row],[Druid bonus]]*TblMili[[#This Row],[Unit 4]]</f>
        <v>0</v>
      </c>
      <c r="CT108" s="155">
        <f ca="1">MIN(6,TblMili[[#This Row],[Dryad]]+Races!$F$35)*1.8 +  IF(TblMili[[#This Row],[Dryad]]+Races!$F$35&gt;6,(TblMili[[#This Row],[Dryad]]+Races!$F$35-6)*0.2,0) - Races!$I$19</f>
        <v>1</v>
      </c>
      <c r="CU108" s="94">
        <f ca="1">sylvan*(TblMili[[#This Row],[Mystic bonus]]*TblMili[[#This Row],[Unit 3]])</f>
        <v>0</v>
      </c>
      <c r="CV108" s="155">
        <f ca="1">1.8 * MIN(MAX(Races!$E$27,TblMili[[#This Row],[Rockapult]]+Races!$F$27),6)  +  0.45 * MIN(MIN(Races!$E$27,TblMili[[#This Row],[Rockapult]]+Races!$F$27),6)  +  0.2 * ( MAX(Races!$E$27-6,0) + MAX(TblMili[[#This Row],[Rockapult]]+Races!$F$27-6,0) )  -  Races!$I$20</f>
        <v>3.7000000000000011</v>
      </c>
      <c r="CW108" s="94">
        <f ca="1">gnome*(TblMili[[#This Row],[Rockapult bonus]]*TblMili[[#This Row],[Unit 3]])</f>
        <v>0</v>
      </c>
      <c r="CX10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8" s="94">
        <f ca="1">dark_elf*(TblMili[[#This Row],[Adept bonus]]*TblMili[[#This Row],[Unit 3]])</f>
        <v>0</v>
      </c>
      <c r="CZ108" s="155">
        <f ca="1">1.8 * MIN(MAX(TblMili[[#This Row],[Frost Mage]]+Races!$F$71,Races!$E$71),6)  +  0.45 * MIN(MIN(TblMili[[#This Row],[Frost Mage]]+Races!$F$71,Races!$E$71),6)  +  0.2 * ( MAX(TblMili[[#This Row],[Frost Mage]]+Races!$F$71-6,0) + MAX(Races!$E$71-6,0) )  -  Races!$I$71</f>
        <v>6.15</v>
      </c>
      <c r="DA108" s="155">
        <f ca="1">1.8 * MIN(MAX(TblMili[[#This Row],[Ice Elemental]]+Races!$E$71,Races!$F$71),6)  +  0.45 * MIN(MIN(TblMili[[#This Row],[Ice Elemental]]+Races!$E$71,Races!$F$71),6)  +  0.2 * ( MAX(TblMili[[#This Row],[Ice Elemental]]+Races!$E$71-6,0) + MAX(Races!$F$71-6,0) )  -  Races!$I$71</f>
        <v>0.75</v>
      </c>
      <c r="DB108" s="94">
        <f ca="1">TblMili[[#This Row],[Frost Mage bonus]]*TblMili[[#This Row],[Unit 3]]+TblMili[[#This Row],[Ice Elemental bonus]]*TblMili[[#This Row],[Unit 4]]</f>
        <v>0</v>
      </c>
      <c r="DC108" s="253"/>
      <c r="DD108" s="143">
        <f ca="1">MIN(SUM(TblConstr[[#This Row],[Plain]:[Water]])/TblMili[[#This Row],[Land]]/favorable_terrain_bonus/100,favorable_terrain_max)</f>
        <v>0.1</v>
      </c>
      <c r="DE108" s="253"/>
      <c r="DF10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8" s="142"/>
      <c r="DH108" s="254">
        <f ca="1">(TblMili[[#This Row],[Wizards]]+2*TblMili[[#This Row],[Archmages]])/TblConstr[[#This Row],[Land]]</f>
        <v>0</v>
      </c>
      <c r="DI108" s="254">
        <f ca="1">TblMili[[#This Row],[Raw (2)]]*(1+race_wizard_strength+IF(TblMili[[#This Row],[Hour]]&gt;72,tech_magical_weaponry_wiz*TblTech[[#This Row],[3-5]],0))</f>
        <v>0</v>
      </c>
    </row>
    <row r="109" spans="1:113" x14ac:dyDescent="0.2">
      <c r="A109" s="137">
        <f>TblRezone[[#This Row],[Hour]]</f>
        <v>106</v>
      </c>
      <c r="B109" s="246">
        <f ca="1">SUM(TblMili[[#This Row],[Unit 1]:[Archmages]])+SUM(OFFSET(TblMili[[#This Row],[Train Unit 1]],-8,0):TblMili[[#This Row],[Train Unit 2]]) + SUM(OFFSET(TblMili[[#This Row],[Train Unit 3]],-11,0):TblMili[[#This Row],[Train AM]]) + TblMili[[#This Row],[Draftees]]</f>
        <v>729</v>
      </c>
      <c r="C109" s="157">
        <f ca="1">TblPop[[#This Row],[Military%]]</f>
        <v>0.67750929368029744</v>
      </c>
      <c r="D109" s="142"/>
      <c r="E109" s="45">
        <f ca="1">OFFSET(TblMili[[#This Row],[Unit 1]],-1,0) + OFFSET(TblMili[[#This Row],[Train Unit 1]],-9,0) - TblMili[[#This Row],[Release Unit 1]] + OFFSET(TblMili[[#This Row],[DnD_Zombies]],-12,0)</f>
        <v>0</v>
      </c>
      <c r="F109" s="45">
        <f ca="1">OFFSET(TblMili[[#This Row],[Unit 2]],-1,0) + OFFSET(TblMili[[#This Row],[Train Unit 2]],-9,0)-TblMili[[#This Row],[Release Unit 2]]</f>
        <v>0</v>
      </c>
      <c r="G109" s="45">
        <f ca="1">OFFSET(TblMili[[#This Row],[Unit 3]],-1,0) + OFFSET(TblMili[[#This Row],[Train Unit 3]],-12,0)-TblMili[[#This Row],[Release Unit 3]]</f>
        <v>0</v>
      </c>
      <c r="H109" s="45">
        <f ca="1">OFFSET(TblMili[[#This Row],[Unit 4]],-1,0) + OFFSET(TblMili[[#This Row],[Train Unit 4]],-12,0)-TblMili[[#This Row],[Release Unit 4]]</f>
        <v>0</v>
      </c>
      <c r="I109" s="45">
        <f ca="1">OFFSET(TblMili[[#This Row],[Spies]],-1,0) + OFFSET(TblMili[[#This Row],[Train Spies]],-12,0) - TblMili[[#This Row],[Release Spies]]-TblMili[[#This Row],[Train AS]]</f>
        <v>0</v>
      </c>
      <c r="J109" s="45">
        <f ca="1">OFFSET(TblMili[[#This Row],[Archspies]],-1,0) + OFFSET(TblMili[[#This Row],[Train AS]],-12,0) - TblMili[[#This Row],[Release AS]]</f>
        <v>0</v>
      </c>
      <c r="K109" s="45">
        <f ca="1">OFFSET(TblMili[[#This Row],[Wizards]],-1,0) + OFFSET(TblMili[[#This Row],[Train Wiz]],-12,0) - TblMili[[#This Row],[Release Wizards]]-TblMili[[#This Row],[Train AM]]</f>
        <v>0</v>
      </c>
      <c r="L109" s="45">
        <f ca="1">OFFSET(TblMili[[#This Row],[Archmages]],-1,0) + OFFSET(TblMili[[#This Row],[Train AM]],-12,0) - TblMili[[#This Row],[Release AM]]</f>
        <v>0</v>
      </c>
      <c r="M109" s="142"/>
      <c r="N109" s="94">
        <f ca="1">TblProd[[#This Row],[Networth]]</f>
        <v>2450</v>
      </c>
      <c r="O109" s="142"/>
      <c r="P10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0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09" s="247">
        <f ca="1">TblMili[[#This Row],[Raw]]*(1+TblMili[[#This Row],[Mods_Off]])</f>
        <v>0</v>
      </c>
      <c r="S10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09" s="247">
        <f ca="1">TblMili[[#This Row],[Non Draft]]+TblMili[[#This Row],[Draftees]]</f>
        <v>729</v>
      </c>
      <c r="U109" s="248">
        <f ca="1">race_defense + TblImps[[#This Row],[Walls]] + ROUND( MIN(gt_bonus*TblConstr[[#This Row],[Tot GT]]/TblConstr[[#This Row],[Land]],gt_bonus_cap), 4) + IF(TblMagic[[#This Row],[Active Howling]]&gt;0,howling_dp_bonus,IF(TblMagic[[#This Row],[Active Ares Call]]&gt;0,ares_call_bonus))</f>
        <v>0</v>
      </c>
      <c r="V109" s="249">
        <f ca="1">TblMili[[#This Row],[Non Draft]] * (1 + TblMili[[#This Row],[Mods_Def]])</f>
        <v>0</v>
      </c>
      <c r="W109" s="247">
        <f ca="1">TblMili[[#This Row],[Draft]] * (1 + TblMili[[#This Row],[Mods_Def]])</f>
        <v>729</v>
      </c>
      <c r="X109" s="247">
        <f ca="1">TblConstr[[#This Row],[Land]]</f>
        <v>110</v>
      </c>
      <c r="Y109" s="250"/>
      <c r="Z109" s="255">
        <f ca="1">IF(TblMili[[#This Row],[Set]]&lt;&gt;"",TblMili[[#This Row],[Set]],OFFSET(TblMili[[#This Row],[Draftrate]],-1,0))</f>
        <v>0.9</v>
      </c>
      <c r="AA109" s="94">
        <f ca="1">OFFSET(TblMili[[#This Row],[Draftees]],-1,0)+OFFSET(TblPop[[#This Row],[Draft Growth]],-1,0) - SUM(TblMili[[#This Row],[Train Unit 1]:[Train Spies]],TblMili[[#This Row],[Train Wiz]],TblMili[[#This Row],[DnD_Zombies]]) - TblMili[[#This Row],[Release Draft]] + SUM(TblMili[[#This Row],[Release Unit 1]:[Release AM]]) - TblExplore[[#This Row],[Draftees (2)]]</f>
        <v>729</v>
      </c>
      <c r="AB109" s="154"/>
      <c r="AC109" s="180">
        <f ca="1">(TblConstr[[#This Row],[Tot Smi]]+TblConstr[[#This Row],[Dest Smi]])/(TblConstr[[#This Row],[Land]]-TblExplore[[#This Row],[Land Bonus]]*20)</f>
        <v>0</v>
      </c>
      <c r="AD109" s="137"/>
      <c r="AE109" s="246">
        <f>TblMili[[#This Row],[Hour]]</f>
        <v>106</v>
      </c>
      <c r="AF109" s="138">
        <f ca="1">TblExplore[[#This Row],[Time]]</f>
        <v>46051.374999999745</v>
      </c>
      <c r="AG109" s="179"/>
      <c r="AH109" s="179"/>
      <c r="AI109" s="179"/>
      <c r="AJ109" s="179"/>
      <c r="AK109" s="179"/>
      <c r="AL109" s="179"/>
      <c r="AM109" s="179"/>
      <c r="AN109" s="179"/>
      <c r="AO109" s="420">
        <f ca="1">ROUND(IF(AND(TblMagic[[#This Row],[Active DnD]]&lt;12,TblMagic[[#This Row],[Active DnD]]&gt;5),OFFSET(TblPop[[#This Row],[Draft Growth]],-1,0)*0.375,0),0)</f>
        <v>0</v>
      </c>
      <c r="AP109" s="142"/>
      <c r="AQ109" s="94">
        <f ca="1">TblProd[[#This Row],[Platinum]]</f>
        <v>205671</v>
      </c>
      <c r="AR109" s="94">
        <f ca="1">INDEX(TblProd[[#Headers],[Lumber]]:TblProd[[#This Row],[Ore]],COUNTA(TblProd[[#Headers],[Lumber]]:TblProd[[#This Row],[Lumber]]),MATCH(Military!$AR$2,TblProd[[#Headers],[Lumber]:[Ore]],0))</f>
        <v>0</v>
      </c>
      <c r="AS10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09" s="94">
        <f ca="1">TblMili[[#This Row],[Train Unit 1]]*TblMili[[#This Row],[OP Ore]]+TblMili[[#This Row],[Train Unit 2]]*TblMili[[#This Row],[DP Ore]]+TblMili[[#This Row],[Train Unit 3]]*TblMili[[#This Row],[E1 Ore]]+TblMili[[#This Row],[Train Unit 4]]*TblMili[[#This Row],[E2 Ore]]</f>
        <v>0</v>
      </c>
      <c r="AU109" s="142">
        <f>TblMili[[#This Row],[Hour]]</f>
        <v>106</v>
      </c>
      <c r="AV109" s="152">
        <f ca="1">TblMili[[#This Row],[Time]]</f>
        <v>46051.374999999745</v>
      </c>
      <c r="AW109" s="94">
        <f ca="1">TblMili[[#This Row],[Draftees]]</f>
        <v>729</v>
      </c>
      <c r="AX109" s="179"/>
      <c r="AY109" s="179"/>
      <c r="AZ109" s="179"/>
      <c r="BA109" s="179"/>
      <c r="BB109" s="179"/>
      <c r="BC109" s="179"/>
      <c r="BD109" s="179"/>
      <c r="BE109" s="179"/>
      <c r="BF109" s="179"/>
      <c r="BG109" s="142"/>
      <c r="BH109" s="157">
        <f ca="1">TblConstr[[#This Row],[Tot WG]]/TblConstr[[#This Row],[Land]]</f>
        <v>0</v>
      </c>
      <c r="BI109" s="157">
        <f ca="1">TblConstr[[#This Row],[Tot Hav]]/TblConstr[[#This Row],[Land]]</f>
        <v>0</v>
      </c>
      <c r="BJ109" s="94">
        <f ca="1">ROUNDUP((1-MIN(TblMili[[#This Row],[Smithies]]*smithy_bonus,smithy_bonus_cap) + tech_3_5*TblTech[[#This Row],[3-5]] + tech_5_3*TblTech[[#This Row],[5-3]] + tech_5_5*TblTech[[#This Row],[5-5]])*spec_op_plat,0)</f>
        <v>275</v>
      </c>
      <c r="BK109" s="94">
        <f ca="1">ROUNDUP(IF(race="Gnome",1,(1-MIN(TblMili[[#This Row],[Smithies]]*smithy_bonus,smithy_bonus_cap) + tech_3_5*TblTech[[#This Row],[3-5]] + tech_5_3*TblTech[[#This Row],[5-3]] + tech_5_5*TblTech[[#This Row],[5-5]]))*spec_op_ore,0)</f>
        <v>25</v>
      </c>
      <c r="BL109" s="94">
        <f ca="1">ROUNDUP((1-MIN(TblMili[[#This Row],[Smithies]]*smithy_bonus,smithy_bonus_cap) + tech_3_5*TblTech[[#This Row],[3-5]] + tech_5_3*TblTech[[#This Row],[5-3]] + tech_5_5*TblTech[[#This Row],[5-5]])*spec_dp_plat,0)</f>
        <v>275</v>
      </c>
      <c r="BM109" s="94">
        <f ca="1">ROUNDUP(IF(race="Gnome",1,(1-MIN(TblMili[[#This Row],[Smithies]]*smithy_bonus,smithy_bonus_cap) + tech_3_5*TblTech[[#This Row],[3-5]] + tech_5_3*TblTech[[#This Row],[5-3]] + tech_5_5*TblTech[[#This Row],[5-5]]))*spec_dp_ore,0)</f>
        <v>15</v>
      </c>
      <c r="BN109" s="94">
        <f ca="1">ROUNDUP((1-MIN(TblMili[[#This Row],[Smithies]]*smithy_bonus,smithy_bonus_cap) + tech_3_5*TblTech[[#This Row],[3-5]] + tech_5_3*TblTech[[#This Row],[5-3]] + tech_5_5*TblTech[[#This Row],[5-5]])*elite1_plat,0)</f>
        <v>1040</v>
      </c>
      <c r="BO109" s="94">
        <f ca="1">ROUNDUP(IF(race="Gnome",1,(1-MIN(TblMili[[#This Row],[Smithies]]*smithy_bonus,smithy_bonus_cap) + tech_3_5*TblTech[[#This Row],[3-5]] + tech_5_3*TblTech[[#This Row],[5-3]] + tech_5_5*TblTech[[#This Row],[5-5]]))*elite1_ore,0)</f>
        <v>75</v>
      </c>
      <c r="BP109" s="94">
        <f ca="1">ROUNDUP((1-MIN(TblMili[[#This Row],[Smithies]]*smithy_bonus,smithy_bonus_cap) + tech_3_5*TblTech[[#This Row],[3-5]] + tech_5_3*TblTech[[#This Row],[5-3]] + tech_5_5*TblTech[[#This Row],[5-5]])*elite2_plat,0)</f>
        <v>1280</v>
      </c>
      <c r="BQ109" s="94">
        <f ca="1">ROUNDUP(IF(race="Gnome",1,(1-MIN(TblMili[[#This Row],[Smithies]]*smithy_bonus,smithy_bonus_cap) + tech_3_5*TblTech[[#This Row],[3-5]] + tech_5_3*TblTech[[#This Row],[5-3]] + tech_5_5*TblTech[[#This Row],[5-5]]))*elite2_ore,0)</f>
        <v>100</v>
      </c>
      <c r="BR109" s="94">
        <f ca="1">ROUNDUP((1-MIN(ROUND(fh_spy_cost_red*TblMili[[#This Row],[FH''s]],4),fh_spy_cost_cap)+ tech_1_9*TblTech[[#This Row],[1-9]] + tech_9_1*TblTech[[#This Row],[9-1]])*spy_plat,0)</f>
        <v>500</v>
      </c>
      <c r="BS109" s="94">
        <f ca="1">ROUNDUP((1-MIN(ROUND(fh_spy_cost_red*TblMili[[#This Row],[FH''s]],4),fh_spy_cost_cap)+ tech_1_9*TblTech[[#This Row],[1-9]] + tech_9_1*TblTech[[#This Row],[9-1]])*archspy_plat,0)</f>
        <v>1000</v>
      </c>
      <c r="BT109" s="94">
        <f ca="1">ROUNDUP((1-MIN(ROUND(wg_wiz_cost_bonus*TblMili[[#This Row],[WG''s]],4),wg_wiz_cost_cap) + tech_1_9_2*TblTech[[#This Row],[1-9]] + tech_9_1_2*TblTech[[#This Row],[9-1]])*wizard_plat,0)</f>
        <v>500</v>
      </c>
      <c r="BU109" s="94">
        <f ca="1">ROUNDUP((1-MIN(ROUND(wg_wiz_cost_bonus*TblMili[[#This Row],[WG''s]],4),wg_wiz_cost_cap) + tech_1_9_2*TblTech[[#This Row],[1-9]] + tech_9_1_2*TblTech[[#This Row],[9-1]])*archmage_plat,0)</f>
        <v>1000</v>
      </c>
      <c r="BV109" s="142"/>
      <c r="BW109" s="157">
        <f ca="1">TblConstr[[#This Row],[Homeland]]/TblConstr[[#This Row],[Land]]</f>
        <v>0.81818181818181823</v>
      </c>
      <c r="BX109" s="157">
        <f ca="1">TblMili[[#This Row],[WG''s]]</f>
        <v>0</v>
      </c>
      <c r="BY109" s="251">
        <f ca="1">IF(mystic_cap="none",TblMili[[#This Row],[Homeland%]]/mystic_bonus,MIN(mystic_cap,TblMili[[#This Row],[Homeland%]]/mystic_bonus))</f>
        <v>2</v>
      </c>
      <c r="BZ109" s="251">
        <f ca="1">IF(druid_op_cap="none",TblMili[[#This Row],[Homeland%]]/druid_op_bonus,MIN(druid_op_cap,TblMili[[#This Row],[Homeland%]]/druid_op_bonus))</f>
        <v>2</v>
      </c>
      <c r="CA109" s="251">
        <f ca="1">IF(druid_dp_cap="none",TblMili[[#This Row],[Homeland%]]/druid_dp_bonus,MIN(druid_dp_cap,TblMili[[#This Row],[Homeland%]]/druid_dp_bonus))</f>
        <v>2</v>
      </c>
      <c r="CB109" s="251">
        <f ca="1">MIN(dryad_cap,TblMili[[#This Row],[Homeland%]]/dryad_bonus)</f>
        <v>4</v>
      </c>
      <c r="CC109" s="251">
        <f ca="1">MIN(rocka_cap,TblMili[[#This Row],[Homeland%]]/rocka_bonus)</f>
        <v>2</v>
      </c>
      <c r="CD109" s="251">
        <f ca="1">MIN(adept_op_cap,TblMili[[#This Row],[WG]]/adept_op_bonus)</f>
        <v>0</v>
      </c>
      <c r="CE109" s="251">
        <f ca="1">MIN(adept_dp_cap,TblMili[[#This Row],[WG]]/adept_dp_bonus)</f>
        <v>0</v>
      </c>
      <c r="CF109" s="94">
        <f ca="1">MIN(TblMili[[#This Row],[Unit 3]],TblMili[[#This Row],[Unit 2]])*2</f>
        <v>0</v>
      </c>
      <c r="CG109" s="94">
        <f ca="1">MIN(TblMili[[#This Row],[Unit 1]],TblMili[[#This Row],[Unit 4]])*2</f>
        <v>0</v>
      </c>
      <c r="CH109" s="251">
        <f ca="1">MIN(frost_mage_cap,TblMili[[#This Row],[Homeland%]]/frost_mage_bonus)</f>
        <v>3</v>
      </c>
      <c r="CI109" s="45">
        <f ca="1">MIN(ice_elem_cap,TblMili[[#This Row],[Raw (2)]]*ice_elem_bonus)</f>
        <v>0</v>
      </c>
      <c r="CJ109" s="251">
        <f t="shared" si="4"/>
        <v>0.83333333333333337</v>
      </c>
      <c r="CK109" s="251">
        <f ca="1">MIN(nox_nightshade_cap,TblConstr[[#This Row],[Homeland]]/TblConstr[[#This Row],[Land]]/nox_nightshade_swamp_bonus)</f>
        <v>4</v>
      </c>
      <c r="CL109" s="251">
        <f ca="1">MIN(TblConstr[[#This Row],[Total Swamp]]/TblConstr[[#This Row],[Land]]/abyss_enforce_bonus,abyss_enforcer_cap)</f>
        <v>0</v>
      </c>
      <c r="CM109" s="251">
        <f ca="1">IF(TblMagic[[#This Row],[Active Infernal Command]]&gt;0,TblMili[[#This Row],[Unit 1]]*infernal_cmd_op,0)</f>
        <v>0</v>
      </c>
      <c r="CN109" s="252"/>
      <c r="CO109" s="252"/>
      <c r="CP109" s="252"/>
      <c r="CQ109" s="251">
        <f ca="1">MIN(6,TblMili[[#This Row],[Mystic]]+Races!$F$19)*1.8 +  IF(TblMili[[#This Row],[Mystic]]+Races!$F$19&gt;6,(TblMili[[#This Row],[Mystic]]+Races!$F$19-6)*0.2,0) - Races!$I$19</f>
        <v>1</v>
      </c>
      <c r="CR10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09" s="94">
        <f ca="1">TblMili[[#This Row],[Mystic bonus]]*TblMili[[#This Row],[Unit 3]]+TblMili[[#This Row],[Druid bonus]]*TblMili[[#This Row],[Unit 4]]</f>
        <v>0</v>
      </c>
      <c r="CT109" s="155">
        <f ca="1">MIN(6,TblMili[[#This Row],[Dryad]]+Races!$F$35)*1.8 +  IF(TblMili[[#This Row],[Dryad]]+Races!$F$35&gt;6,(TblMili[[#This Row],[Dryad]]+Races!$F$35-6)*0.2,0) - Races!$I$19</f>
        <v>1</v>
      </c>
      <c r="CU109" s="94">
        <f ca="1">sylvan*(TblMili[[#This Row],[Mystic bonus]]*TblMili[[#This Row],[Unit 3]])</f>
        <v>0</v>
      </c>
      <c r="CV109" s="155">
        <f ca="1">1.8 * MIN(MAX(Races!$E$27,TblMili[[#This Row],[Rockapult]]+Races!$F$27),6)  +  0.45 * MIN(MIN(Races!$E$27,TblMili[[#This Row],[Rockapult]]+Races!$F$27),6)  +  0.2 * ( MAX(Races!$E$27-6,0) + MAX(TblMili[[#This Row],[Rockapult]]+Races!$F$27-6,0) )  -  Races!$I$20</f>
        <v>3.7000000000000011</v>
      </c>
      <c r="CW109" s="94">
        <f ca="1">gnome*(TblMili[[#This Row],[Rockapult bonus]]*TblMili[[#This Row],[Unit 3]])</f>
        <v>0</v>
      </c>
      <c r="CX10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09" s="94">
        <f ca="1">dark_elf*(TblMili[[#This Row],[Adept bonus]]*TblMili[[#This Row],[Unit 3]])</f>
        <v>0</v>
      </c>
      <c r="CZ109" s="155">
        <f ca="1">1.8 * MIN(MAX(TblMili[[#This Row],[Frost Mage]]+Races!$F$71,Races!$E$71),6)  +  0.45 * MIN(MIN(TblMili[[#This Row],[Frost Mage]]+Races!$F$71,Races!$E$71),6)  +  0.2 * ( MAX(TblMili[[#This Row],[Frost Mage]]+Races!$F$71-6,0) + MAX(Races!$E$71-6,0) )  -  Races!$I$71</f>
        <v>6.15</v>
      </c>
      <c r="DA109" s="155">
        <f ca="1">1.8 * MIN(MAX(TblMili[[#This Row],[Ice Elemental]]+Races!$E$71,Races!$F$71),6)  +  0.45 * MIN(MIN(TblMili[[#This Row],[Ice Elemental]]+Races!$E$71,Races!$F$71),6)  +  0.2 * ( MAX(TblMili[[#This Row],[Ice Elemental]]+Races!$E$71-6,0) + MAX(Races!$F$71-6,0) )  -  Races!$I$71</f>
        <v>0.75</v>
      </c>
      <c r="DB109" s="94">
        <f ca="1">TblMili[[#This Row],[Frost Mage bonus]]*TblMili[[#This Row],[Unit 3]]+TblMili[[#This Row],[Ice Elemental bonus]]*TblMili[[#This Row],[Unit 4]]</f>
        <v>0</v>
      </c>
      <c r="DC109" s="253"/>
      <c r="DD109" s="143">
        <f ca="1">MIN(SUM(TblConstr[[#This Row],[Plain]:[Water]])/TblMili[[#This Row],[Land]]/favorable_terrain_bonus/100,favorable_terrain_max)</f>
        <v>0.1</v>
      </c>
      <c r="DE109" s="253"/>
      <c r="DF10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09" s="142"/>
      <c r="DH109" s="254">
        <f ca="1">(TblMili[[#This Row],[Wizards]]+2*TblMili[[#This Row],[Archmages]])/TblConstr[[#This Row],[Land]]</f>
        <v>0</v>
      </c>
      <c r="DI109" s="254">
        <f ca="1">TblMili[[#This Row],[Raw (2)]]*(1+race_wizard_strength+IF(TblMili[[#This Row],[Hour]]&gt;72,tech_magical_weaponry_wiz*TblTech[[#This Row],[3-5]],0))</f>
        <v>0</v>
      </c>
    </row>
    <row r="110" spans="1:113" x14ac:dyDescent="0.2">
      <c r="A110" s="137">
        <f>TblRezone[[#This Row],[Hour]]</f>
        <v>107</v>
      </c>
      <c r="B110" s="246">
        <f ca="1">SUM(TblMili[[#This Row],[Unit 1]:[Archmages]])+SUM(OFFSET(TblMili[[#This Row],[Train Unit 1]],-8,0):TblMili[[#This Row],[Train Unit 2]]) + SUM(OFFSET(TblMili[[#This Row],[Train Unit 3]],-11,0):TblMili[[#This Row],[Train AM]]) + TblMili[[#This Row],[Draftees]]</f>
        <v>732</v>
      </c>
      <c r="C110" s="157">
        <f ca="1">TblPop[[#This Row],[Military%]]</f>
        <v>0.6802973977695167</v>
      </c>
      <c r="D110" s="142"/>
      <c r="E110" s="45">
        <f ca="1">OFFSET(TblMili[[#This Row],[Unit 1]],-1,0) + OFFSET(TblMili[[#This Row],[Train Unit 1]],-9,0) - TblMili[[#This Row],[Release Unit 1]] + OFFSET(TblMili[[#This Row],[DnD_Zombies]],-12,0)</f>
        <v>0</v>
      </c>
      <c r="F110" s="45">
        <f ca="1">OFFSET(TblMili[[#This Row],[Unit 2]],-1,0) + OFFSET(TblMili[[#This Row],[Train Unit 2]],-9,0)-TblMili[[#This Row],[Release Unit 2]]</f>
        <v>0</v>
      </c>
      <c r="G110" s="45">
        <f ca="1">OFFSET(TblMili[[#This Row],[Unit 3]],-1,0) + OFFSET(TblMili[[#This Row],[Train Unit 3]],-12,0)-TblMili[[#This Row],[Release Unit 3]]</f>
        <v>0</v>
      </c>
      <c r="H110" s="45">
        <f ca="1">OFFSET(TblMili[[#This Row],[Unit 4]],-1,0) + OFFSET(TblMili[[#This Row],[Train Unit 4]],-12,0)-TblMili[[#This Row],[Release Unit 4]]</f>
        <v>0</v>
      </c>
      <c r="I110" s="45">
        <f ca="1">OFFSET(TblMili[[#This Row],[Spies]],-1,0) + OFFSET(TblMili[[#This Row],[Train Spies]],-12,0) - TblMili[[#This Row],[Release Spies]]-TblMili[[#This Row],[Train AS]]</f>
        <v>0</v>
      </c>
      <c r="J110" s="45">
        <f ca="1">OFFSET(TblMili[[#This Row],[Archspies]],-1,0) + OFFSET(TblMili[[#This Row],[Train AS]],-12,0) - TblMili[[#This Row],[Release AS]]</f>
        <v>0</v>
      </c>
      <c r="K110" s="45">
        <f ca="1">OFFSET(TblMili[[#This Row],[Wizards]],-1,0) + OFFSET(TblMili[[#This Row],[Train Wiz]],-12,0) - TblMili[[#This Row],[Release Wizards]]-TblMili[[#This Row],[Train AM]]</f>
        <v>0</v>
      </c>
      <c r="L110" s="45">
        <f ca="1">OFFSET(TblMili[[#This Row],[Archmages]],-1,0) + OFFSET(TblMili[[#This Row],[Train AM]],-12,0) - TblMili[[#This Row],[Release AM]]</f>
        <v>0</v>
      </c>
      <c r="M110" s="142"/>
      <c r="N110" s="94">
        <f ca="1">TblProd[[#This Row],[Networth]]</f>
        <v>2450</v>
      </c>
      <c r="O110" s="142"/>
      <c r="P11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0" s="247">
        <f ca="1">TblMili[[#This Row],[Raw]]*(1+TblMili[[#This Row],[Mods_Off]])</f>
        <v>0</v>
      </c>
      <c r="S11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0" s="247">
        <f ca="1">TblMili[[#This Row],[Non Draft]]+TblMili[[#This Row],[Draftees]]</f>
        <v>732</v>
      </c>
      <c r="U110" s="248">
        <f ca="1">race_defense + TblImps[[#This Row],[Walls]] + ROUND( MIN(gt_bonus*TblConstr[[#This Row],[Tot GT]]/TblConstr[[#This Row],[Land]],gt_bonus_cap), 4) + IF(TblMagic[[#This Row],[Active Howling]]&gt;0,howling_dp_bonus,IF(TblMagic[[#This Row],[Active Ares Call]]&gt;0,ares_call_bonus))</f>
        <v>0</v>
      </c>
      <c r="V110" s="249">
        <f ca="1">TblMili[[#This Row],[Non Draft]] * (1 + TblMili[[#This Row],[Mods_Def]])</f>
        <v>0</v>
      </c>
      <c r="W110" s="247">
        <f ca="1">TblMili[[#This Row],[Draft]] * (1 + TblMili[[#This Row],[Mods_Def]])</f>
        <v>732</v>
      </c>
      <c r="X110" s="247">
        <f ca="1">TblConstr[[#This Row],[Land]]</f>
        <v>110</v>
      </c>
      <c r="Y110" s="250"/>
      <c r="Z110" s="255">
        <f ca="1">IF(TblMili[[#This Row],[Set]]&lt;&gt;"",TblMili[[#This Row],[Set]],OFFSET(TblMili[[#This Row],[Draftrate]],-1,0))</f>
        <v>0.9</v>
      </c>
      <c r="AA110" s="94">
        <f ca="1">OFFSET(TblMili[[#This Row],[Draftees]],-1,0)+OFFSET(TblPop[[#This Row],[Draft Growth]],-1,0) - SUM(TblMili[[#This Row],[Train Unit 1]:[Train Spies]],TblMili[[#This Row],[Train Wiz]],TblMili[[#This Row],[DnD_Zombies]]) - TblMili[[#This Row],[Release Draft]] + SUM(TblMili[[#This Row],[Release Unit 1]:[Release AM]]) - TblExplore[[#This Row],[Draftees (2)]]</f>
        <v>732</v>
      </c>
      <c r="AB110" s="154"/>
      <c r="AC110" s="180">
        <f ca="1">(TblConstr[[#This Row],[Tot Smi]]+TblConstr[[#This Row],[Dest Smi]])/(TblConstr[[#This Row],[Land]]-TblExplore[[#This Row],[Land Bonus]]*20)</f>
        <v>0</v>
      </c>
      <c r="AD110" s="137"/>
      <c r="AE110" s="246">
        <f>TblMili[[#This Row],[Hour]]</f>
        <v>107</v>
      </c>
      <c r="AF110" s="138">
        <f ca="1">TblExplore[[#This Row],[Time]]</f>
        <v>46051.41666666641</v>
      </c>
      <c r="AG110" s="179"/>
      <c r="AH110" s="179"/>
      <c r="AI110" s="179"/>
      <c r="AJ110" s="179"/>
      <c r="AK110" s="179"/>
      <c r="AL110" s="179"/>
      <c r="AM110" s="179"/>
      <c r="AN110" s="179"/>
      <c r="AO110" s="420">
        <f ca="1">ROUND(IF(AND(TblMagic[[#This Row],[Active DnD]]&lt;12,TblMagic[[#This Row],[Active DnD]]&gt;5),OFFSET(TblPop[[#This Row],[Draft Growth]],-1,0)*0.375,0),0)</f>
        <v>0</v>
      </c>
      <c r="AP110" s="142"/>
      <c r="AQ110" s="94">
        <f ca="1">TblProd[[#This Row],[Platinum]]</f>
        <v>206607</v>
      </c>
      <c r="AR110" s="94">
        <f ca="1">INDEX(TblProd[[#Headers],[Lumber]]:TblProd[[#This Row],[Ore]],COUNTA(TblProd[[#Headers],[Lumber]]:TblProd[[#This Row],[Lumber]]),MATCH(Military!$AR$2,TblProd[[#Headers],[Lumber]:[Ore]],0))</f>
        <v>0</v>
      </c>
      <c r="AS11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0" s="94">
        <f ca="1">TblMili[[#This Row],[Train Unit 1]]*TblMili[[#This Row],[OP Ore]]+TblMili[[#This Row],[Train Unit 2]]*TblMili[[#This Row],[DP Ore]]+TblMili[[#This Row],[Train Unit 3]]*TblMili[[#This Row],[E1 Ore]]+TblMili[[#This Row],[Train Unit 4]]*TblMili[[#This Row],[E2 Ore]]</f>
        <v>0</v>
      </c>
      <c r="AU110" s="142">
        <f>TblMili[[#This Row],[Hour]]</f>
        <v>107</v>
      </c>
      <c r="AV110" s="152">
        <f ca="1">TblMili[[#This Row],[Time]]</f>
        <v>46051.41666666641</v>
      </c>
      <c r="AW110" s="94">
        <f ca="1">TblMili[[#This Row],[Draftees]]</f>
        <v>732</v>
      </c>
      <c r="AX110" s="179"/>
      <c r="AY110" s="179"/>
      <c r="AZ110" s="179"/>
      <c r="BA110" s="179"/>
      <c r="BB110" s="179"/>
      <c r="BC110" s="179"/>
      <c r="BD110" s="179"/>
      <c r="BE110" s="179"/>
      <c r="BF110" s="179"/>
      <c r="BG110" s="142"/>
      <c r="BH110" s="157">
        <f ca="1">TblConstr[[#This Row],[Tot WG]]/TblConstr[[#This Row],[Land]]</f>
        <v>0</v>
      </c>
      <c r="BI110" s="157">
        <f ca="1">TblConstr[[#This Row],[Tot Hav]]/TblConstr[[#This Row],[Land]]</f>
        <v>0</v>
      </c>
      <c r="BJ110" s="94">
        <f ca="1">ROUNDUP((1-MIN(TblMili[[#This Row],[Smithies]]*smithy_bonus,smithy_bonus_cap) + tech_3_5*TblTech[[#This Row],[3-5]] + tech_5_3*TblTech[[#This Row],[5-3]] + tech_5_5*TblTech[[#This Row],[5-5]])*spec_op_plat,0)</f>
        <v>275</v>
      </c>
      <c r="BK110" s="94">
        <f ca="1">ROUNDUP(IF(race="Gnome",1,(1-MIN(TblMili[[#This Row],[Smithies]]*smithy_bonus,smithy_bonus_cap) + tech_3_5*TblTech[[#This Row],[3-5]] + tech_5_3*TblTech[[#This Row],[5-3]] + tech_5_5*TblTech[[#This Row],[5-5]]))*spec_op_ore,0)</f>
        <v>25</v>
      </c>
      <c r="BL110" s="94">
        <f ca="1">ROUNDUP((1-MIN(TblMili[[#This Row],[Smithies]]*smithy_bonus,smithy_bonus_cap) + tech_3_5*TblTech[[#This Row],[3-5]] + tech_5_3*TblTech[[#This Row],[5-3]] + tech_5_5*TblTech[[#This Row],[5-5]])*spec_dp_plat,0)</f>
        <v>275</v>
      </c>
      <c r="BM110" s="94">
        <f ca="1">ROUNDUP(IF(race="Gnome",1,(1-MIN(TblMili[[#This Row],[Smithies]]*smithy_bonus,smithy_bonus_cap) + tech_3_5*TblTech[[#This Row],[3-5]] + tech_5_3*TblTech[[#This Row],[5-3]] + tech_5_5*TblTech[[#This Row],[5-5]]))*spec_dp_ore,0)</f>
        <v>15</v>
      </c>
      <c r="BN110" s="94">
        <f ca="1">ROUNDUP((1-MIN(TblMili[[#This Row],[Smithies]]*smithy_bonus,smithy_bonus_cap) + tech_3_5*TblTech[[#This Row],[3-5]] + tech_5_3*TblTech[[#This Row],[5-3]] + tech_5_5*TblTech[[#This Row],[5-5]])*elite1_plat,0)</f>
        <v>1040</v>
      </c>
      <c r="BO110" s="94">
        <f ca="1">ROUNDUP(IF(race="Gnome",1,(1-MIN(TblMili[[#This Row],[Smithies]]*smithy_bonus,smithy_bonus_cap) + tech_3_5*TblTech[[#This Row],[3-5]] + tech_5_3*TblTech[[#This Row],[5-3]] + tech_5_5*TblTech[[#This Row],[5-5]]))*elite1_ore,0)</f>
        <v>75</v>
      </c>
      <c r="BP110" s="94">
        <f ca="1">ROUNDUP((1-MIN(TblMili[[#This Row],[Smithies]]*smithy_bonus,smithy_bonus_cap) + tech_3_5*TblTech[[#This Row],[3-5]] + tech_5_3*TblTech[[#This Row],[5-3]] + tech_5_5*TblTech[[#This Row],[5-5]])*elite2_plat,0)</f>
        <v>1280</v>
      </c>
      <c r="BQ110" s="94">
        <f ca="1">ROUNDUP(IF(race="Gnome",1,(1-MIN(TblMili[[#This Row],[Smithies]]*smithy_bonus,smithy_bonus_cap) + tech_3_5*TblTech[[#This Row],[3-5]] + tech_5_3*TblTech[[#This Row],[5-3]] + tech_5_5*TblTech[[#This Row],[5-5]]))*elite2_ore,0)</f>
        <v>100</v>
      </c>
      <c r="BR110" s="94">
        <f ca="1">ROUNDUP((1-MIN(ROUND(fh_spy_cost_red*TblMili[[#This Row],[FH''s]],4),fh_spy_cost_cap)+ tech_1_9*TblTech[[#This Row],[1-9]] + tech_9_1*TblTech[[#This Row],[9-1]])*spy_plat,0)</f>
        <v>500</v>
      </c>
      <c r="BS110" s="94">
        <f ca="1">ROUNDUP((1-MIN(ROUND(fh_spy_cost_red*TblMili[[#This Row],[FH''s]],4),fh_spy_cost_cap)+ tech_1_9*TblTech[[#This Row],[1-9]] + tech_9_1*TblTech[[#This Row],[9-1]])*archspy_plat,0)</f>
        <v>1000</v>
      </c>
      <c r="BT110" s="94">
        <f ca="1">ROUNDUP((1-MIN(ROUND(wg_wiz_cost_bonus*TblMili[[#This Row],[WG''s]],4),wg_wiz_cost_cap) + tech_1_9_2*TblTech[[#This Row],[1-9]] + tech_9_1_2*TblTech[[#This Row],[9-1]])*wizard_plat,0)</f>
        <v>500</v>
      </c>
      <c r="BU110" s="94">
        <f ca="1">ROUNDUP((1-MIN(ROUND(wg_wiz_cost_bonus*TblMili[[#This Row],[WG''s]],4),wg_wiz_cost_cap) + tech_1_9_2*TblTech[[#This Row],[1-9]] + tech_9_1_2*TblTech[[#This Row],[9-1]])*archmage_plat,0)</f>
        <v>1000</v>
      </c>
      <c r="BV110" s="142"/>
      <c r="BW110" s="157">
        <f ca="1">TblConstr[[#This Row],[Homeland]]/TblConstr[[#This Row],[Land]]</f>
        <v>0.81818181818181823</v>
      </c>
      <c r="BX110" s="157">
        <f ca="1">TblMili[[#This Row],[WG''s]]</f>
        <v>0</v>
      </c>
      <c r="BY110" s="251">
        <f ca="1">IF(mystic_cap="none",TblMili[[#This Row],[Homeland%]]/mystic_bonus,MIN(mystic_cap,TblMili[[#This Row],[Homeland%]]/mystic_bonus))</f>
        <v>2</v>
      </c>
      <c r="BZ110" s="251">
        <f ca="1">IF(druid_op_cap="none",TblMili[[#This Row],[Homeland%]]/druid_op_bonus,MIN(druid_op_cap,TblMili[[#This Row],[Homeland%]]/druid_op_bonus))</f>
        <v>2</v>
      </c>
      <c r="CA110" s="251">
        <f ca="1">IF(druid_dp_cap="none",TblMili[[#This Row],[Homeland%]]/druid_dp_bonus,MIN(druid_dp_cap,TblMili[[#This Row],[Homeland%]]/druid_dp_bonus))</f>
        <v>2</v>
      </c>
      <c r="CB110" s="251">
        <f ca="1">MIN(dryad_cap,TblMili[[#This Row],[Homeland%]]/dryad_bonus)</f>
        <v>4</v>
      </c>
      <c r="CC110" s="251">
        <f ca="1">MIN(rocka_cap,TblMili[[#This Row],[Homeland%]]/rocka_bonus)</f>
        <v>2</v>
      </c>
      <c r="CD110" s="251">
        <f ca="1">MIN(adept_op_cap,TblMili[[#This Row],[WG]]/adept_op_bonus)</f>
        <v>0</v>
      </c>
      <c r="CE110" s="251">
        <f ca="1">MIN(adept_dp_cap,TblMili[[#This Row],[WG]]/adept_dp_bonus)</f>
        <v>0</v>
      </c>
      <c r="CF110" s="94">
        <f ca="1">MIN(TblMili[[#This Row],[Unit 3]],TblMili[[#This Row],[Unit 2]])*2</f>
        <v>0</v>
      </c>
      <c r="CG110" s="94">
        <f ca="1">MIN(TblMili[[#This Row],[Unit 1]],TblMili[[#This Row],[Unit 4]])*2</f>
        <v>0</v>
      </c>
      <c r="CH110" s="251">
        <f ca="1">MIN(frost_mage_cap,TblMili[[#This Row],[Homeland%]]/frost_mage_bonus)</f>
        <v>3</v>
      </c>
      <c r="CI110" s="45">
        <f ca="1">MIN(ice_elem_cap,TblMili[[#This Row],[Raw (2)]]*ice_elem_bonus)</f>
        <v>0</v>
      </c>
      <c r="CJ110" s="251">
        <f t="shared" si="4"/>
        <v>0.83333333333333337</v>
      </c>
      <c r="CK110" s="251">
        <f ca="1">MIN(nox_nightshade_cap,TblConstr[[#This Row],[Homeland]]/TblConstr[[#This Row],[Land]]/nox_nightshade_swamp_bonus)</f>
        <v>4</v>
      </c>
      <c r="CL110" s="251">
        <f ca="1">MIN(TblConstr[[#This Row],[Total Swamp]]/TblConstr[[#This Row],[Land]]/abyss_enforce_bonus,abyss_enforcer_cap)</f>
        <v>0</v>
      </c>
      <c r="CM110" s="251">
        <f ca="1">IF(TblMagic[[#This Row],[Active Infernal Command]]&gt;0,TblMili[[#This Row],[Unit 1]]*infernal_cmd_op,0)</f>
        <v>0</v>
      </c>
      <c r="CN110" s="252"/>
      <c r="CO110" s="252"/>
      <c r="CP110" s="252"/>
      <c r="CQ110" s="251">
        <f ca="1">MIN(6,TblMili[[#This Row],[Mystic]]+Races!$F$19)*1.8 +  IF(TblMili[[#This Row],[Mystic]]+Races!$F$19&gt;6,(TblMili[[#This Row],[Mystic]]+Races!$F$19-6)*0.2,0) - Races!$I$19</f>
        <v>1</v>
      </c>
      <c r="CR11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0" s="94">
        <f ca="1">TblMili[[#This Row],[Mystic bonus]]*TblMili[[#This Row],[Unit 3]]+TblMili[[#This Row],[Druid bonus]]*TblMili[[#This Row],[Unit 4]]</f>
        <v>0</v>
      </c>
      <c r="CT110" s="155">
        <f ca="1">MIN(6,TblMili[[#This Row],[Dryad]]+Races!$F$35)*1.8 +  IF(TblMili[[#This Row],[Dryad]]+Races!$F$35&gt;6,(TblMili[[#This Row],[Dryad]]+Races!$F$35-6)*0.2,0) - Races!$I$19</f>
        <v>1</v>
      </c>
      <c r="CU110" s="94">
        <f ca="1">sylvan*(TblMili[[#This Row],[Mystic bonus]]*TblMili[[#This Row],[Unit 3]])</f>
        <v>0</v>
      </c>
      <c r="CV110" s="155">
        <f ca="1">1.8 * MIN(MAX(Races!$E$27,TblMili[[#This Row],[Rockapult]]+Races!$F$27),6)  +  0.45 * MIN(MIN(Races!$E$27,TblMili[[#This Row],[Rockapult]]+Races!$F$27),6)  +  0.2 * ( MAX(Races!$E$27-6,0) + MAX(TblMili[[#This Row],[Rockapult]]+Races!$F$27-6,0) )  -  Races!$I$20</f>
        <v>3.7000000000000011</v>
      </c>
      <c r="CW110" s="94">
        <f ca="1">gnome*(TblMili[[#This Row],[Rockapult bonus]]*TblMili[[#This Row],[Unit 3]])</f>
        <v>0</v>
      </c>
      <c r="CX11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0" s="94">
        <f ca="1">dark_elf*(TblMili[[#This Row],[Adept bonus]]*TblMili[[#This Row],[Unit 3]])</f>
        <v>0</v>
      </c>
      <c r="CZ110" s="155">
        <f ca="1">1.8 * MIN(MAX(TblMili[[#This Row],[Frost Mage]]+Races!$F$71,Races!$E$71),6)  +  0.45 * MIN(MIN(TblMili[[#This Row],[Frost Mage]]+Races!$F$71,Races!$E$71),6)  +  0.2 * ( MAX(TblMili[[#This Row],[Frost Mage]]+Races!$F$71-6,0) + MAX(Races!$E$71-6,0) )  -  Races!$I$71</f>
        <v>6.15</v>
      </c>
      <c r="DA110" s="155">
        <f ca="1">1.8 * MIN(MAX(TblMili[[#This Row],[Ice Elemental]]+Races!$E$71,Races!$F$71),6)  +  0.45 * MIN(MIN(TblMili[[#This Row],[Ice Elemental]]+Races!$E$71,Races!$F$71),6)  +  0.2 * ( MAX(TblMili[[#This Row],[Ice Elemental]]+Races!$E$71-6,0) + MAX(Races!$F$71-6,0) )  -  Races!$I$71</f>
        <v>0.75</v>
      </c>
      <c r="DB110" s="94">
        <f ca="1">TblMili[[#This Row],[Frost Mage bonus]]*TblMili[[#This Row],[Unit 3]]+TblMili[[#This Row],[Ice Elemental bonus]]*TblMili[[#This Row],[Unit 4]]</f>
        <v>0</v>
      </c>
      <c r="DC110" s="253"/>
      <c r="DD110" s="143">
        <f ca="1">MIN(SUM(TblConstr[[#This Row],[Plain]:[Water]])/TblMili[[#This Row],[Land]]/favorable_terrain_bonus/100,favorable_terrain_max)</f>
        <v>0.1</v>
      </c>
      <c r="DE110" s="253"/>
      <c r="DF11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0" s="142"/>
      <c r="DH110" s="254">
        <f ca="1">(TblMili[[#This Row],[Wizards]]+2*TblMili[[#This Row],[Archmages]])/TblConstr[[#This Row],[Land]]</f>
        <v>0</v>
      </c>
      <c r="DI110" s="254">
        <f ca="1">TblMili[[#This Row],[Raw (2)]]*(1+race_wizard_strength+IF(TblMili[[#This Row],[Hour]]&gt;72,tech_magical_weaponry_wiz*TblTech[[#This Row],[3-5]],0))</f>
        <v>0</v>
      </c>
    </row>
    <row r="111" spans="1:113" x14ac:dyDescent="0.2">
      <c r="A111" s="137">
        <f>TblRezone[[#This Row],[Hour]]</f>
        <v>108</v>
      </c>
      <c r="B111" s="246">
        <f ca="1">SUM(TblMili[[#This Row],[Unit 1]:[Archmages]])+SUM(OFFSET(TblMili[[#This Row],[Train Unit 1]],-8,0):TblMili[[#This Row],[Train Unit 2]]) + SUM(OFFSET(TblMili[[#This Row],[Train Unit 3]],-11,0):TblMili[[#This Row],[Train AM]]) + TblMili[[#This Row],[Draftees]]</f>
        <v>735</v>
      </c>
      <c r="C111" s="157">
        <f ca="1">TblPop[[#This Row],[Military%]]</f>
        <v>0.68308550185873607</v>
      </c>
      <c r="D111" s="142"/>
      <c r="E111" s="45">
        <f ca="1">OFFSET(TblMili[[#This Row],[Unit 1]],-1,0) + OFFSET(TblMili[[#This Row],[Train Unit 1]],-9,0) - TblMili[[#This Row],[Release Unit 1]] + OFFSET(TblMili[[#This Row],[DnD_Zombies]],-12,0)</f>
        <v>0</v>
      </c>
      <c r="F111" s="45">
        <f ca="1">OFFSET(TblMili[[#This Row],[Unit 2]],-1,0) + OFFSET(TblMili[[#This Row],[Train Unit 2]],-9,0)-TblMili[[#This Row],[Release Unit 2]]</f>
        <v>0</v>
      </c>
      <c r="G111" s="45">
        <f ca="1">OFFSET(TblMili[[#This Row],[Unit 3]],-1,0) + OFFSET(TblMili[[#This Row],[Train Unit 3]],-12,0)-TblMili[[#This Row],[Release Unit 3]]</f>
        <v>0</v>
      </c>
      <c r="H111" s="45">
        <f ca="1">OFFSET(TblMili[[#This Row],[Unit 4]],-1,0) + OFFSET(TblMili[[#This Row],[Train Unit 4]],-12,0)-TblMili[[#This Row],[Release Unit 4]]</f>
        <v>0</v>
      </c>
      <c r="I111" s="45">
        <f ca="1">OFFSET(TblMili[[#This Row],[Spies]],-1,0) + OFFSET(TblMili[[#This Row],[Train Spies]],-12,0) - TblMili[[#This Row],[Release Spies]]-TblMili[[#This Row],[Train AS]]</f>
        <v>0</v>
      </c>
      <c r="J111" s="45">
        <f ca="1">OFFSET(TblMili[[#This Row],[Archspies]],-1,0) + OFFSET(TblMili[[#This Row],[Train AS]],-12,0) - TblMili[[#This Row],[Release AS]]</f>
        <v>0</v>
      </c>
      <c r="K111" s="45">
        <f ca="1">OFFSET(TblMili[[#This Row],[Wizards]],-1,0) + OFFSET(TblMili[[#This Row],[Train Wiz]],-12,0) - TblMili[[#This Row],[Release Wizards]]-TblMili[[#This Row],[Train AM]]</f>
        <v>0</v>
      </c>
      <c r="L111" s="45">
        <f ca="1">OFFSET(TblMili[[#This Row],[Archmages]],-1,0) + OFFSET(TblMili[[#This Row],[Train AM]],-12,0) - TblMili[[#This Row],[Release AM]]</f>
        <v>0</v>
      </c>
      <c r="M111" s="142"/>
      <c r="N111" s="94">
        <f ca="1">TblProd[[#This Row],[Networth]]</f>
        <v>2450</v>
      </c>
      <c r="O111" s="142"/>
      <c r="P11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1" s="247">
        <f ca="1">TblMili[[#This Row],[Raw]]*(1+TblMili[[#This Row],[Mods_Off]])</f>
        <v>0</v>
      </c>
      <c r="S11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1" s="247">
        <f ca="1">TblMili[[#This Row],[Non Draft]]+TblMili[[#This Row],[Draftees]]</f>
        <v>735</v>
      </c>
      <c r="U111" s="248">
        <f ca="1">race_defense + TblImps[[#This Row],[Walls]] + ROUND( MIN(gt_bonus*TblConstr[[#This Row],[Tot GT]]/TblConstr[[#This Row],[Land]],gt_bonus_cap), 4) + IF(TblMagic[[#This Row],[Active Howling]]&gt;0,howling_dp_bonus,IF(TblMagic[[#This Row],[Active Ares Call]]&gt;0,ares_call_bonus))</f>
        <v>0</v>
      </c>
      <c r="V111" s="249">
        <f ca="1">TblMili[[#This Row],[Non Draft]] * (1 + TblMili[[#This Row],[Mods_Def]])</f>
        <v>0</v>
      </c>
      <c r="W111" s="247">
        <f ca="1">TblMili[[#This Row],[Draft]] * (1 + TblMili[[#This Row],[Mods_Def]])</f>
        <v>735</v>
      </c>
      <c r="X111" s="247">
        <f ca="1">TblConstr[[#This Row],[Land]]</f>
        <v>110</v>
      </c>
      <c r="Y111" s="250"/>
      <c r="Z111" s="255">
        <f ca="1">IF(TblMili[[#This Row],[Set]]&lt;&gt;"",TblMili[[#This Row],[Set]],OFFSET(TblMili[[#This Row],[Draftrate]],-1,0))</f>
        <v>0.9</v>
      </c>
      <c r="AA111" s="94">
        <f ca="1">OFFSET(TblMili[[#This Row],[Draftees]],-1,0)+OFFSET(TblPop[[#This Row],[Draft Growth]],-1,0) - SUM(TblMili[[#This Row],[Train Unit 1]:[Train Spies]],TblMili[[#This Row],[Train Wiz]],TblMili[[#This Row],[DnD_Zombies]]) - TblMili[[#This Row],[Release Draft]] + SUM(TblMili[[#This Row],[Release Unit 1]:[Release AM]]) - TblExplore[[#This Row],[Draftees (2)]]</f>
        <v>735</v>
      </c>
      <c r="AB111" s="154"/>
      <c r="AC111" s="180">
        <f ca="1">(TblConstr[[#This Row],[Tot Smi]]+TblConstr[[#This Row],[Dest Smi]])/(TblConstr[[#This Row],[Land]]-TblExplore[[#This Row],[Land Bonus]]*20)</f>
        <v>0</v>
      </c>
      <c r="AD111" s="137"/>
      <c r="AE111" s="246">
        <f>TblMili[[#This Row],[Hour]]</f>
        <v>108</v>
      </c>
      <c r="AF111" s="138">
        <f ca="1">TblExplore[[#This Row],[Time]]</f>
        <v>46051.458333333074</v>
      </c>
      <c r="AG111" s="179"/>
      <c r="AH111" s="179"/>
      <c r="AI111" s="179"/>
      <c r="AJ111" s="179"/>
      <c r="AK111" s="179"/>
      <c r="AL111" s="179"/>
      <c r="AM111" s="179"/>
      <c r="AN111" s="179"/>
      <c r="AO111" s="420">
        <f ca="1">ROUND(IF(AND(TblMagic[[#This Row],[Active DnD]]&lt;12,TblMagic[[#This Row],[Active DnD]]&gt;5),OFFSET(TblPop[[#This Row],[Draft Growth]],-1,0)*0.375,0),0)</f>
        <v>0</v>
      </c>
      <c r="AP111" s="142"/>
      <c r="AQ111" s="94">
        <f ca="1">TblProd[[#This Row],[Platinum]]</f>
        <v>207535</v>
      </c>
      <c r="AR111" s="94">
        <f ca="1">INDEX(TblProd[[#Headers],[Lumber]]:TblProd[[#This Row],[Ore]],COUNTA(TblProd[[#Headers],[Lumber]]:TblProd[[#This Row],[Lumber]]),MATCH(Military!$AR$2,TblProd[[#Headers],[Lumber]:[Ore]],0))</f>
        <v>0</v>
      </c>
      <c r="AS11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1" s="94">
        <f ca="1">TblMili[[#This Row],[Train Unit 1]]*TblMili[[#This Row],[OP Ore]]+TblMili[[#This Row],[Train Unit 2]]*TblMili[[#This Row],[DP Ore]]+TblMili[[#This Row],[Train Unit 3]]*TblMili[[#This Row],[E1 Ore]]+TblMili[[#This Row],[Train Unit 4]]*TblMili[[#This Row],[E2 Ore]]</f>
        <v>0</v>
      </c>
      <c r="AU111" s="142">
        <f>TblMili[[#This Row],[Hour]]</f>
        <v>108</v>
      </c>
      <c r="AV111" s="152">
        <f ca="1">TblMili[[#This Row],[Time]]</f>
        <v>46051.458333333074</v>
      </c>
      <c r="AW111" s="94">
        <f ca="1">TblMili[[#This Row],[Draftees]]</f>
        <v>735</v>
      </c>
      <c r="AX111" s="179"/>
      <c r="AY111" s="179"/>
      <c r="AZ111" s="179"/>
      <c r="BA111" s="179"/>
      <c r="BB111" s="179"/>
      <c r="BC111" s="179"/>
      <c r="BD111" s="179"/>
      <c r="BE111" s="179"/>
      <c r="BF111" s="179"/>
      <c r="BG111" s="142"/>
      <c r="BH111" s="157">
        <f ca="1">TblConstr[[#This Row],[Tot WG]]/TblConstr[[#This Row],[Land]]</f>
        <v>0</v>
      </c>
      <c r="BI111" s="157">
        <f ca="1">TblConstr[[#This Row],[Tot Hav]]/TblConstr[[#This Row],[Land]]</f>
        <v>0</v>
      </c>
      <c r="BJ111" s="94">
        <f ca="1">ROUNDUP((1-MIN(TblMili[[#This Row],[Smithies]]*smithy_bonus,smithy_bonus_cap) + tech_3_5*TblTech[[#This Row],[3-5]] + tech_5_3*TblTech[[#This Row],[5-3]] + tech_5_5*TblTech[[#This Row],[5-5]])*spec_op_plat,0)</f>
        <v>275</v>
      </c>
      <c r="BK111" s="94">
        <f ca="1">ROUNDUP(IF(race="Gnome",1,(1-MIN(TblMili[[#This Row],[Smithies]]*smithy_bonus,smithy_bonus_cap) + tech_3_5*TblTech[[#This Row],[3-5]] + tech_5_3*TblTech[[#This Row],[5-3]] + tech_5_5*TblTech[[#This Row],[5-5]]))*spec_op_ore,0)</f>
        <v>25</v>
      </c>
      <c r="BL111" s="94">
        <f ca="1">ROUNDUP((1-MIN(TblMili[[#This Row],[Smithies]]*smithy_bonus,smithy_bonus_cap) + tech_3_5*TblTech[[#This Row],[3-5]] + tech_5_3*TblTech[[#This Row],[5-3]] + tech_5_5*TblTech[[#This Row],[5-5]])*spec_dp_plat,0)</f>
        <v>275</v>
      </c>
      <c r="BM111" s="94">
        <f ca="1">ROUNDUP(IF(race="Gnome",1,(1-MIN(TblMili[[#This Row],[Smithies]]*smithy_bonus,smithy_bonus_cap) + tech_3_5*TblTech[[#This Row],[3-5]] + tech_5_3*TblTech[[#This Row],[5-3]] + tech_5_5*TblTech[[#This Row],[5-5]]))*spec_dp_ore,0)</f>
        <v>15</v>
      </c>
      <c r="BN111" s="94">
        <f ca="1">ROUNDUP((1-MIN(TblMili[[#This Row],[Smithies]]*smithy_bonus,smithy_bonus_cap) + tech_3_5*TblTech[[#This Row],[3-5]] + tech_5_3*TblTech[[#This Row],[5-3]] + tech_5_5*TblTech[[#This Row],[5-5]])*elite1_plat,0)</f>
        <v>1040</v>
      </c>
      <c r="BO111" s="94">
        <f ca="1">ROUNDUP(IF(race="Gnome",1,(1-MIN(TblMili[[#This Row],[Smithies]]*smithy_bonus,smithy_bonus_cap) + tech_3_5*TblTech[[#This Row],[3-5]] + tech_5_3*TblTech[[#This Row],[5-3]] + tech_5_5*TblTech[[#This Row],[5-5]]))*elite1_ore,0)</f>
        <v>75</v>
      </c>
      <c r="BP111" s="94">
        <f ca="1">ROUNDUP((1-MIN(TblMili[[#This Row],[Smithies]]*smithy_bonus,smithy_bonus_cap) + tech_3_5*TblTech[[#This Row],[3-5]] + tech_5_3*TblTech[[#This Row],[5-3]] + tech_5_5*TblTech[[#This Row],[5-5]])*elite2_plat,0)</f>
        <v>1280</v>
      </c>
      <c r="BQ111" s="94">
        <f ca="1">ROUNDUP(IF(race="Gnome",1,(1-MIN(TblMili[[#This Row],[Smithies]]*smithy_bonus,smithy_bonus_cap) + tech_3_5*TblTech[[#This Row],[3-5]] + tech_5_3*TblTech[[#This Row],[5-3]] + tech_5_5*TblTech[[#This Row],[5-5]]))*elite2_ore,0)</f>
        <v>100</v>
      </c>
      <c r="BR111" s="94">
        <f ca="1">ROUNDUP((1-MIN(ROUND(fh_spy_cost_red*TblMili[[#This Row],[FH''s]],4),fh_spy_cost_cap)+ tech_1_9*TblTech[[#This Row],[1-9]] + tech_9_1*TblTech[[#This Row],[9-1]])*spy_plat,0)</f>
        <v>500</v>
      </c>
      <c r="BS111" s="94">
        <f ca="1">ROUNDUP((1-MIN(ROUND(fh_spy_cost_red*TblMili[[#This Row],[FH''s]],4),fh_spy_cost_cap)+ tech_1_9*TblTech[[#This Row],[1-9]] + tech_9_1*TblTech[[#This Row],[9-1]])*archspy_plat,0)</f>
        <v>1000</v>
      </c>
      <c r="BT111" s="94">
        <f ca="1">ROUNDUP((1-MIN(ROUND(wg_wiz_cost_bonus*TblMili[[#This Row],[WG''s]],4),wg_wiz_cost_cap) + tech_1_9_2*TblTech[[#This Row],[1-9]] + tech_9_1_2*TblTech[[#This Row],[9-1]])*wizard_plat,0)</f>
        <v>500</v>
      </c>
      <c r="BU111" s="94">
        <f ca="1">ROUNDUP((1-MIN(ROUND(wg_wiz_cost_bonus*TblMili[[#This Row],[WG''s]],4),wg_wiz_cost_cap) + tech_1_9_2*TblTech[[#This Row],[1-9]] + tech_9_1_2*TblTech[[#This Row],[9-1]])*archmage_plat,0)</f>
        <v>1000</v>
      </c>
      <c r="BV111" s="142"/>
      <c r="BW111" s="157">
        <f ca="1">TblConstr[[#This Row],[Homeland]]/TblConstr[[#This Row],[Land]]</f>
        <v>0.81818181818181823</v>
      </c>
      <c r="BX111" s="157">
        <f ca="1">TblMili[[#This Row],[WG''s]]</f>
        <v>0</v>
      </c>
      <c r="BY111" s="251">
        <f ca="1">IF(mystic_cap="none",TblMili[[#This Row],[Homeland%]]/mystic_bonus,MIN(mystic_cap,TblMili[[#This Row],[Homeland%]]/mystic_bonus))</f>
        <v>2</v>
      </c>
      <c r="BZ111" s="251">
        <f ca="1">IF(druid_op_cap="none",TblMili[[#This Row],[Homeland%]]/druid_op_bonus,MIN(druid_op_cap,TblMili[[#This Row],[Homeland%]]/druid_op_bonus))</f>
        <v>2</v>
      </c>
      <c r="CA111" s="251">
        <f ca="1">IF(druid_dp_cap="none",TblMili[[#This Row],[Homeland%]]/druid_dp_bonus,MIN(druid_dp_cap,TblMili[[#This Row],[Homeland%]]/druid_dp_bonus))</f>
        <v>2</v>
      </c>
      <c r="CB111" s="251">
        <f ca="1">MIN(dryad_cap,TblMili[[#This Row],[Homeland%]]/dryad_bonus)</f>
        <v>4</v>
      </c>
      <c r="CC111" s="251">
        <f ca="1">MIN(rocka_cap,TblMili[[#This Row],[Homeland%]]/rocka_bonus)</f>
        <v>2</v>
      </c>
      <c r="CD111" s="251">
        <f ca="1">MIN(adept_op_cap,TblMili[[#This Row],[WG]]/adept_op_bonus)</f>
        <v>0</v>
      </c>
      <c r="CE111" s="251">
        <f ca="1">MIN(adept_dp_cap,TblMili[[#This Row],[WG]]/adept_dp_bonus)</f>
        <v>0</v>
      </c>
      <c r="CF111" s="94">
        <f ca="1">MIN(TblMili[[#This Row],[Unit 3]],TblMili[[#This Row],[Unit 2]])*2</f>
        <v>0</v>
      </c>
      <c r="CG111" s="94">
        <f ca="1">MIN(TblMili[[#This Row],[Unit 1]],TblMili[[#This Row],[Unit 4]])*2</f>
        <v>0</v>
      </c>
      <c r="CH111" s="251">
        <f ca="1">MIN(frost_mage_cap,TblMili[[#This Row],[Homeland%]]/frost_mage_bonus)</f>
        <v>3</v>
      </c>
      <c r="CI111" s="45">
        <f ca="1">MIN(ice_elem_cap,TblMili[[#This Row],[Raw (2)]]*ice_elem_bonus)</f>
        <v>0</v>
      </c>
      <c r="CJ111" s="251">
        <f t="shared" si="4"/>
        <v>0.83333333333333337</v>
      </c>
      <c r="CK111" s="251">
        <f ca="1">MIN(nox_nightshade_cap,TblConstr[[#This Row],[Homeland]]/TblConstr[[#This Row],[Land]]/nox_nightshade_swamp_bonus)</f>
        <v>4</v>
      </c>
      <c r="CL111" s="251">
        <f ca="1">MIN(TblConstr[[#This Row],[Total Swamp]]/TblConstr[[#This Row],[Land]]/abyss_enforce_bonus,abyss_enforcer_cap)</f>
        <v>0</v>
      </c>
      <c r="CM111" s="251">
        <f ca="1">IF(TblMagic[[#This Row],[Active Infernal Command]]&gt;0,TblMili[[#This Row],[Unit 1]]*infernal_cmd_op,0)</f>
        <v>0</v>
      </c>
      <c r="CN111" s="252"/>
      <c r="CO111" s="252"/>
      <c r="CP111" s="252"/>
      <c r="CQ111" s="251">
        <f ca="1">MIN(6,TblMili[[#This Row],[Mystic]]+Races!$F$19)*1.8 +  IF(TblMili[[#This Row],[Mystic]]+Races!$F$19&gt;6,(TblMili[[#This Row],[Mystic]]+Races!$F$19-6)*0.2,0) - Races!$I$19</f>
        <v>1</v>
      </c>
      <c r="CR11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1" s="94">
        <f ca="1">TblMili[[#This Row],[Mystic bonus]]*TblMili[[#This Row],[Unit 3]]+TblMili[[#This Row],[Druid bonus]]*TblMili[[#This Row],[Unit 4]]</f>
        <v>0</v>
      </c>
      <c r="CT111" s="155">
        <f ca="1">MIN(6,TblMili[[#This Row],[Dryad]]+Races!$F$35)*1.8 +  IF(TblMili[[#This Row],[Dryad]]+Races!$F$35&gt;6,(TblMili[[#This Row],[Dryad]]+Races!$F$35-6)*0.2,0) - Races!$I$19</f>
        <v>1</v>
      </c>
      <c r="CU111" s="94">
        <f ca="1">sylvan*(TblMili[[#This Row],[Mystic bonus]]*TblMili[[#This Row],[Unit 3]])</f>
        <v>0</v>
      </c>
      <c r="CV111" s="155">
        <f ca="1">1.8 * MIN(MAX(Races!$E$27,TblMili[[#This Row],[Rockapult]]+Races!$F$27),6)  +  0.45 * MIN(MIN(Races!$E$27,TblMili[[#This Row],[Rockapult]]+Races!$F$27),6)  +  0.2 * ( MAX(Races!$E$27-6,0) + MAX(TblMili[[#This Row],[Rockapult]]+Races!$F$27-6,0) )  -  Races!$I$20</f>
        <v>3.7000000000000011</v>
      </c>
      <c r="CW111" s="94">
        <f ca="1">gnome*(TblMili[[#This Row],[Rockapult bonus]]*TblMili[[#This Row],[Unit 3]])</f>
        <v>0</v>
      </c>
      <c r="CX11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1" s="94">
        <f ca="1">dark_elf*(TblMili[[#This Row],[Adept bonus]]*TblMili[[#This Row],[Unit 3]])</f>
        <v>0</v>
      </c>
      <c r="CZ111" s="155">
        <f ca="1">1.8 * MIN(MAX(TblMili[[#This Row],[Frost Mage]]+Races!$F$71,Races!$E$71),6)  +  0.45 * MIN(MIN(TblMili[[#This Row],[Frost Mage]]+Races!$F$71,Races!$E$71),6)  +  0.2 * ( MAX(TblMili[[#This Row],[Frost Mage]]+Races!$F$71-6,0) + MAX(Races!$E$71-6,0) )  -  Races!$I$71</f>
        <v>6.15</v>
      </c>
      <c r="DA111" s="155">
        <f ca="1">1.8 * MIN(MAX(TblMili[[#This Row],[Ice Elemental]]+Races!$E$71,Races!$F$71),6)  +  0.45 * MIN(MIN(TblMili[[#This Row],[Ice Elemental]]+Races!$E$71,Races!$F$71),6)  +  0.2 * ( MAX(TblMili[[#This Row],[Ice Elemental]]+Races!$E$71-6,0) + MAX(Races!$F$71-6,0) )  -  Races!$I$71</f>
        <v>0.75</v>
      </c>
      <c r="DB111" s="94">
        <f ca="1">TblMili[[#This Row],[Frost Mage bonus]]*TblMili[[#This Row],[Unit 3]]+TblMili[[#This Row],[Ice Elemental bonus]]*TblMili[[#This Row],[Unit 4]]</f>
        <v>0</v>
      </c>
      <c r="DC111" s="253"/>
      <c r="DD111" s="143">
        <f ca="1">MIN(SUM(TblConstr[[#This Row],[Plain]:[Water]])/TblMili[[#This Row],[Land]]/favorable_terrain_bonus/100,favorable_terrain_max)</f>
        <v>0.1</v>
      </c>
      <c r="DE111" s="253"/>
      <c r="DF11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1" s="142"/>
      <c r="DH111" s="254">
        <f ca="1">(TblMili[[#This Row],[Wizards]]+2*TblMili[[#This Row],[Archmages]])/TblConstr[[#This Row],[Land]]</f>
        <v>0</v>
      </c>
      <c r="DI111" s="254">
        <f ca="1">TblMili[[#This Row],[Raw (2)]]*(1+race_wizard_strength+IF(TblMili[[#This Row],[Hour]]&gt;72,tech_magical_weaponry_wiz*TblTech[[#This Row],[3-5]],0))</f>
        <v>0</v>
      </c>
    </row>
    <row r="112" spans="1:113" x14ac:dyDescent="0.2">
      <c r="A112" s="137">
        <f>TblRezone[[#This Row],[Hour]]</f>
        <v>109</v>
      </c>
      <c r="B112" s="246">
        <f ca="1">SUM(TblMili[[#This Row],[Unit 1]:[Archmages]])+SUM(OFFSET(TblMili[[#This Row],[Train Unit 1]],-8,0):TblMili[[#This Row],[Train Unit 2]]) + SUM(OFFSET(TblMili[[#This Row],[Train Unit 3]],-11,0):TblMili[[#This Row],[Train AM]]) + TblMili[[#This Row],[Draftees]]</f>
        <v>738</v>
      </c>
      <c r="C112" s="157">
        <f ca="1">TblPop[[#This Row],[Military%]]</f>
        <v>0.68587360594795543</v>
      </c>
      <c r="D112" s="142"/>
      <c r="E112" s="45">
        <f ca="1">OFFSET(TblMili[[#This Row],[Unit 1]],-1,0) + OFFSET(TblMili[[#This Row],[Train Unit 1]],-9,0) - TblMili[[#This Row],[Release Unit 1]] + OFFSET(TblMili[[#This Row],[DnD_Zombies]],-12,0)</f>
        <v>0</v>
      </c>
      <c r="F112" s="45">
        <f ca="1">OFFSET(TblMili[[#This Row],[Unit 2]],-1,0) + OFFSET(TblMili[[#This Row],[Train Unit 2]],-9,0)-TblMili[[#This Row],[Release Unit 2]]</f>
        <v>0</v>
      </c>
      <c r="G112" s="45">
        <f ca="1">OFFSET(TblMili[[#This Row],[Unit 3]],-1,0) + OFFSET(TblMili[[#This Row],[Train Unit 3]],-12,0)-TblMili[[#This Row],[Release Unit 3]]</f>
        <v>0</v>
      </c>
      <c r="H112" s="45">
        <f ca="1">OFFSET(TblMili[[#This Row],[Unit 4]],-1,0) + OFFSET(TblMili[[#This Row],[Train Unit 4]],-12,0)-TblMili[[#This Row],[Release Unit 4]]</f>
        <v>0</v>
      </c>
      <c r="I112" s="45">
        <f ca="1">OFFSET(TblMili[[#This Row],[Spies]],-1,0) + OFFSET(TblMili[[#This Row],[Train Spies]],-12,0) - TblMili[[#This Row],[Release Spies]]-TblMili[[#This Row],[Train AS]]</f>
        <v>0</v>
      </c>
      <c r="J112" s="45">
        <f ca="1">OFFSET(TblMili[[#This Row],[Archspies]],-1,0) + OFFSET(TblMili[[#This Row],[Train AS]],-12,0) - TblMili[[#This Row],[Release AS]]</f>
        <v>0</v>
      </c>
      <c r="K112" s="45">
        <f ca="1">OFFSET(TblMili[[#This Row],[Wizards]],-1,0) + OFFSET(TblMili[[#This Row],[Train Wiz]],-12,0) - TblMili[[#This Row],[Release Wizards]]-TblMili[[#This Row],[Train AM]]</f>
        <v>0</v>
      </c>
      <c r="L112" s="45">
        <f ca="1">OFFSET(TblMili[[#This Row],[Archmages]],-1,0) + OFFSET(TblMili[[#This Row],[Train AM]],-12,0) - TblMili[[#This Row],[Release AM]]</f>
        <v>0</v>
      </c>
      <c r="M112" s="142"/>
      <c r="N112" s="94">
        <f ca="1">TblProd[[#This Row],[Networth]]</f>
        <v>2450</v>
      </c>
      <c r="O112" s="142"/>
      <c r="P11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2" s="247">
        <f ca="1">TblMili[[#This Row],[Raw]]*(1+TblMili[[#This Row],[Mods_Off]])</f>
        <v>0</v>
      </c>
      <c r="S11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2" s="247">
        <f ca="1">TblMili[[#This Row],[Non Draft]]+TblMili[[#This Row],[Draftees]]</f>
        <v>738</v>
      </c>
      <c r="U112" s="248">
        <f ca="1">race_defense + TblImps[[#This Row],[Walls]] + ROUND( MIN(gt_bonus*TblConstr[[#This Row],[Tot GT]]/TblConstr[[#This Row],[Land]],gt_bonus_cap), 4) + IF(TblMagic[[#This Row],[Active Howling]]&gt;0,howling_dp_bonus,IF(TblMagic[[#This Row],[Active Ares Call]]&gt;0,ares_call_bonus))</f>
        <v>0</v>
      </c>
      <c r="V112" s="249">
        <f ca="1">TblMili[[#This Row],[Non Draft]] * (1 + TblMili[[#This Row],[Mods_Def]])</f>
        <v>0</v>
      </c>
      <c r="W112" s="247">
        <f ca="1">TblMili[[#This Row],[Draft]] * (1 + TblMili[[#This Row],[Mods_Def]])</f>
        <v>738</v>
      </c>
      <c r="X112" s="247">
        <f ca="1">TblConstr[[#This Row],[Land]]</f>
        <v>110</v>
      </c>
      <c r="Y112" s="250"/>
      <c r="Z112" s="255">
        <f ca="1">IF(TblMili[[#This Row],[Set]]&lt;&gt;"",TblMili[[#This Row],[Set]],OFFSET(TblMili[[#This Row],[Draftrate]],-1,0))</f>
        <v>0.9</v>
      </c>
      <c r="AA112" s="94">
        <f ca="1">OFFSET(TblMili[[#This Row],[Draftees]],-1,0)+OFFSET(TblPop[[#This Row],[Draft Growth]],-1,0) - SUM(TblMili[[#This Row],[Train Unit 1]:[Train Spies]],TblMili[[#This Row],[Train Wiz]],TblMili[[#This Row],[DnD_Zombies]]) - TblMili[[#This Row],[Release Draft]] + SUM(TblMili[[#This Row],[Release Unit 1]:[Release AM]]) - TblExplore[[#This Row],[Draftees (2)]]</f>
        <v>738</v>
      </c>
      <c r="AB112" s="154"/>
      <c r="AC112" s="180">
        <f ca="1">(TblConstr[[#This Row],[Tot Smi]]+TblConstr[[#This Row],[Dest Smi]])/(TblConstr[[#This Row],[Land]]-TblExplore[[#This Row],[Land Bonus]]*20)</f>
        <v>0</v>
      </c>
      <c r="AD112" s="137"/>
      <c r="AE112" s="246">
        <f>TblMili[[#This Row],[Hour]]</f>
        <v>109</v>
      </c>
      <c r="AF112" s="138">
        <f ca="1">TblExplore[[#This Row],[Time]]</f>
        <v>46051.499999999738</v>
      </c>
      <c r="AG112" s="179"/>
      <c r="AH112" s="179"/>
      <c r="AI112" s="179"/>
      <c r="AJ112" s="179"/>
      <c r="AK112" s="179"/>
      <c r="AL112" s="179"/>
      <c r="AM112" s="179"/>
      <c r="AN112" s="179"/>
      <c r="AO112" s="420">
        <f ca="1">ROUND(IF(AND(TblMagic[[#This Row],[Active DnD]]&lt;12,TblMagic[[#This Row],[Active DnD]]&gt;5),OFFSET(TblPop[[#This Row],[Draft Growth]],-1,0)*0.375,0),0)</f>
        <v>0</v>
      </c>
      <c r="AP112" s="142"/>
      <c r="AQ112" s="94">
        <f ca="1">TblProd[[#This Row],[Platinum]]</f>
        <v>208455</v>
      </c>
      <c r="AR112" s="94">
        <f ca="1">INDEX(TblProd[[#Headers],[Lumber]]:TblProd[[#This Row],[Ore]],COUNTA(TblProd[[#Headers],[Lumber]]:TblProd[[#This Row],[Lumber]]),MATCH(Military!$AR$2,TblProd[[#Headers],[Lumber]:[Ore]],0))</f>
        <v>0</v>
      </c>
      <c r="AS11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2" s="94">
        <f ca="1">TblMili[[#This Row],[Train Unit 1]]*TblMili[[#This Row],[OP Ore]]+TblMili[[#This Row],[Train Unit 2]]*TblMili[[#This Row],[DP Ore]]+TblMili[[#This Row],[Train Unit 3]]*TblMili[[#This Row],[E1 Ore]]+TblMili[[#This Row],[Train Unit 4]]*TblMili[[#This Row],[E2 Ore]]</f>
        <v>0</v>
      </c>
      <c r="AU112" s="142">
        <f>TblMili[[#This Row],[Hour]]</f>
        <v>109</v>
      </c>
      <c r="AV112" s="152">
        <f ca="1">TblMili[[#This Row],[Time]]</f>
        <v>46051.499999999738</v>
      </c>
      <c r="AW112" s="94">
        <f ca="1">TblMili[[#This Row],[Draftees]]</f>
        <v>738</v>
      </c>
      <c r="AX112" s="179"/>
      <c r="AY112" s="179"/>
      <c r="AZ112" s="179"/>
      <c r="BA112" s="179"/>
      <c r="BB112" s="179"/>
      <c r="BC112" s="179"/>
      <c r="BD112" s="179"/>
      <c r="BE112" s="179"/>
      <c r="BF112" s="179"/>
      <c r="BG112" s="142"/>
      <c r="BH112" s="157">
        <f ca="1">TblConstr[[#This Row],[Tot WG]]/TblConstr[[#This Row],[Land]]</f>
        <v>0</v>
      </c>
      <c r="BI112" s="157">
        <f ca="1">TblConstr[[#This Row],[Tot Hav]]/TblConstr[[#This Row],[Land]]</f>
        <v>0</v>
      </c>
      <c r="BJ112" s="94">
        <f ca="1">ROUNDUP((1-MIN(TblMili[[#This Row],[Smithies]]*smithy_bonus,smithy_bonus_cap) + tech_3_5*TblTech[[#This Row],[3-5]] + tech_5_3*TblTech[[#This Row],[5-3]] + tech_5_5*TblTech[[#This Row],[5-5]])*spec_op_plat,0)</f>
        <v>275</v>
      </c>
      <c r="BK112" s="94">
        <f ca="1">ROUNDUP(IF(race="Gnome",1,(1-MIN(TblMili[[#This Row],[Smithies]]*smithy_bonus,smithy_bonus_cap) + tech_3_5*TblTech[[#This Row],[3-5]] + tech_5_3*TblTech[[#This Row],[5-3]] + tech_5_5*TblTech[[#This Row],[5-5]]))*spec_op_ore,0)</f>
        <v>25</v>
      </c>
      <c r="BL112" s="94">
        <f ca="1">ROUNDUP((1-MIN(TblMili[[#This Row],[Smithies]]*smithy_bonus,smithy_bonus_cap) + tech_3_5*TblTech[[#This Row],[3-5]] + tech_5_3*TblTech[[#This Row],[5-3]] + tech_5_5*TblTech[[#This Row],[5-5]])*spec_dp_plat,0)</f>
        <v>275</v>
      </c>
      <c r="BM112" s="94">
        <f ca="1">ROUNDUP(IF(race="Gnome",1,(1-MIN(TblMili[[#This Row],[Smithies]]*smithy_bonus,smithy_bonus_cap) + tech_3_5*TblTech[[#This Row],[3-5]] + tech_5_3*TblTech[[#This Row],[5-3]] + tech_5_5*TblTech[[#This Row],[5-5]]))*spec_dp_ore,0)</f>
        <v>15</v>
      </c>
      <c r="BN112" s="94">
        <f ca="1">ROUNDUP((1-MIN(TblMili[[#This Row],[Smithies]]*smithy_bonus,smithy_bonus_cap) + tech_3_5*TblTech[[#This Row],[3-5]] + tech_5_3*TblTech[[#This Row],[5-3]] + tech_5_5*TblTech[[#This Row],[5-5]])*elite1_plat,0)</f>
        <v>1040</v>
      </c>
      <c r="BO112" s="94">
        <f ca="1">ROUNDUP(IF(race="Gnome",1,(1-MIN(TblMili[[#This Row],[Smithies]]*smithy_bonus,smithy_bonus_cap) + tech_3_5*TblTech[[#This Row],[3-5]] + tech_5_3*TblTech[[#This Row],[5-3]] + tech_5_5*TblTech[[#This Row],[5-5]]))*elite1_ore,0)</f>
        <v>75</v>
      </c>
      <c r="BP112" s="94">
        <f ca="1">ROUNDUP((1-MIN(TblMili[[#This Row],[Smithies]]*smithy_bonus,smithy_bonus_cap) + tech_3_5*TblTech[[#This Row],[3-5]] + tech_5_3*TblTech[[#This Row],[5-3]] + tech_5_5*TblTech[[#This Row],[5-5]])*elite2_plat,0)</f>
        <v>1280</v>
      </c>
      <c r="BQ112" s="94">
        <f ca="1">ROUNDUP(IF(race="Gnome",1,(1-MIN(TblMili[[#This Row],[Smithies]]*smithy_bonus,smithy_bonus_cap) + tech_3_5*TblTech[[#This Row],[3-5]] + tech_5_3*TblTech[[#This Row],[5-3]] + tech_5_5*TblTech[[#This Row],[5-5]]))*elite2_ore,0)</f>
        <v>100</v>
      </c>
      <c r="BR112" s="94">
        <f ca="1">ROUNDUP((1-MIN(ROUND(fh_spy_cost_red*TblMili[[#This Row],[FH''s]],4),fh_spy_cost_cap)+ tech_1_9*TblTech[[#This Row],[1-9]] + tech_9_1*TblTech[[#This Row],[9-1]])*spy_plat,0)</f>
        <v>500</v>
      </c>
      <c r="BS112" s="94">
        <f ca="1">ROUNDUP((1-MIN(ROUND(fh_spy_cost_red*TblMili[[#This Row],[FH''s]],4),fh_spy_cost_cap)+ tech_1_9*TblTech[[#This Row],[1-9]] + tech_9_1*TblTech[[#This Row],[9-1]])*archspy_plat,0)</f>
        <v>1000</v>
      </c>
      <c r="BT112" s="94">
        <f ca="1">ROUNDUP((1-MIN(ROUND(wg_wiz_cost_bonus*TblMili[[#This Row],[WG''s]],4),wg_wiz_cost_cap) + tech_1_9_2*TblTech[[#This Row],[1-9]] + tech_9_1_2*TblTech[[#This Row],[9-1]])*wizard_plat,0)</f>
        <v>500</v>
      </c>
      <c r="BU112" s="94">
        <f ca="1">ROUNDUP((1-MIN(ROUND(wg_wiz_cost_bonus*TblMili[[#This Row],[WG''s]],4),wg_wiz_cost_cap) + tech_1_9_2*TblTech[[#This Row],[1-9]] + tech_9_1_2*TblTech[[#This Row],[9-1]])*archmage_plat,0)</f>
        <v>1000</v>
      </c>
      <c r="BV112" s="142"/>
      <c r="BW112" s="157">
        <f ca="1">TblConstr[[#This Row],[Homeland]]/TblConstr[[#This Row],[Land]]</f>
        <v>0.81818181818181823</v>
      </c>
      <c r="BX112" s="157">
        <f ca="1">TblMili[[#This Row],[WG''s]]</f>
        <v>0</v>
      </c>
      <c r="BY112" s="251">
        <f ca="1">IF(mystic_cap="none",TblMili[[#This Row],[Homeland%]]/mystic_bonus,MIN(mystic_cap,TblMili[[#This Row],[Homeland%]]/mystic_bonus))</f>
        <v>2</v>
      </c>
      <c r="BZ112" s="251">
        <f ca="1">IF(druid_op_cap="none",TblMili[[#This Row],[Homeland%]]/druid_op_bonus,MIN(druid_op_cap,TblMili[[#This Row],[Homeland%]]/druid_op_bonus))</f>
        <v>2</v>
      </c>
      <c r="CA112" s="251">
        <f ca="1">IF(druid_dp_cap="none",TblMili[[#This Row],[Homeland%]]/druid_dp_bonus,MIN(druid_dp_cap,TblMili[[#This Row],[Homeland%]]/druid_dp_bonus))</f>
        <v>2</v>
      </c>
      <c r="CB112" s="251">
        <f ca="1">MIN(dryad_cap,TblMili[[#This Row],[Homeland%]]/dryad_bonus)</f>
        <v>4</v>
      </c>
      <c r="CC112" s="251">
        <f ca="1">MIN(rocka_cap,TblMili[[#This Row],[Homeland%]]/rocka_bonus)</f>
        <v>2</v>
      </c>
      <c r="CD112" s="251">
        <f ca="1">MIN(adept_op_cap,TblMili[[#This Row],[WG]]/adept_op_bonus)</f>
        <v>0</v>
      </c>
      <c r="CE112" s="251">
        <f ca="1">MIN(adept_dp_cap,TblMili[[#This Row],[WG]]/adept_dp_bonus)</f>
        <v>0</v>
      </c>
      <c r="CF112" s="94">
        <f ca="1">MIN(TblMili[[#This Row],[Unit 3]],TblMili[[#This Row],[Unit 2]])*2</f>
        <v>0</v>
      </c>
      <c r="CG112" s="94">
        <f ca="1">MIN(TblMili[[#This Row],[Unit 1]],TblMili[[#This Row],[Unit 4]])*2</f>
        <v>0</v>
      </c>
      <c r="CH112" s="251">
        <f ca="1">MIN(frost_mage_cap,TblMili[[#This Row],[Homeland%]]/frost_mage_bonus)</f>
        <v>3</v>
      </c>
      <c r="CI112" s="45">
        <f ca="1">MIN(ice_elem_cap,TblMili[[#This Row],[Raw (2)]]*ice_elem_bonus)</f>
        <v>0</v>
      </c>
      <c r="CJ112" s="251">
        <f t="shared" si="4"/>
        <v>0.83333333333333337</v>
      </c>
      <c r="CK112" s="251">
        <f ca="1">MIN(nox_nightshade_cap,TblConstr[[#This Row],[Homeland]]/TblConstr[[#This Row],[Land]]/nox_nightshade_swamp_bonus)</f>
        <v>4</v>
      </c>
      <c r="CL112" s="251">
        <f ca="1">MIN(TblConstr[[#This Row],[Total Swamp]]/TblConstr[[#This Row],[Land]]/abyss_enforce_bonus,abyss_enforcer_cap)</f>
        <v>0</v>
      </c>
      <c r="CM112" s="251">
        <f ca="1">IF(TblMagic[[#This Row],[Active Infernal Command]]&gt;0,TblMili[[#This Row],[Unit 1]]*infernal_cmd_op,0)</f>
        <v>0</v>
      </c>
      <c r="CN112" s="252"/>
      <c r="CO112" s="252"/>
      <c r="CP112" s="252"/>
      <c r="CQ112" s="251">
        <f ca="1">MIN(6,TblMili[[#This Row],[Mystic]]+Races!$F$19)*1.8 +  IF(TblMili[[#This Row],[Mystic]]+Races!$F$19&gt;6,(TblMili[[#This Row],[Mystic]]+Races!$F$19-6)*0.2,0) - Races!$I$19</f>
        <v>1</v>
      </c>
      <c r="CR11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2" s="94">
        <f ca="1">TblMili[[#This Row],[Mystic bonus]]*TblMili[[#This Row],[Unit 3]]+TblMili[[#This Row],[Druid bonus]]*TblMili[[#This Row],[Unit 4]]</f>
        <v>0</v>
      </c>
      <c r="CT112" s="155">
        <f ca="1">MIN(6,TblMili[[#This Row],[Dryad]]+Races!$F$35)*1.8 +  IF(TblMili[[#This Row],[Dryad]]+Races!$F$35&gt;6,(TblMili[[#This Row],[Dryad]]+Races!$F$35-6)*0.2,0) - Races!$I$19</f>
        <v>1</v>
      </c>
      <c r="CU112" s="94">
        <f ca="1">sylvan*(TblMili[[#This Row],[Mystic bonus]]*TblMili[[#This Row],[Unit 3]])</f>
        <v>0</v>
      </c>
      <c r="CV112" s="155">
        <f ca="1">1.8 * MIN(MAX(Races!$E$27,TblMili[[#This Row],[Rockapult]]+Races!$F$27),6)  +  0.45 * MIN(MIN(Races!$E$27,TblMili[[#This Row],[Rockapult]]+Races!$F$27),6)  +  0.2 * ( MAX(Races!$E$27-6,0) + MAX(TblMili[[#This Row],[Rockapult]]+Races!$F$27-6,0) )  -  Races!$I$20</f>
        <v>3.7000000000000011</v>
      </c>
      <c r="CW112" s="94">
        <f ca="1">gnome*(TblMili[[#This Row],[Rockapult bonus]]*TblMili[[#This Row],[Unit 3]])</f>
        <v>0</v>
      </c>
      <c r="CX11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2" s="94">
        <f ca="1">dark_elf*(TblMili[[#This Row],[Adept bonus]]*TblMili[[#This Row],[Unit 3]])</f>
        <v>0</v>
      </c>
      <c r="CZ112" s="155">
        <f ca="1">1.8 * MIN(MAX(TblMili[[#This Row],[Frost Mage]]+Races!$F$71,Races!$E$71),6)  +  0.45 * MIN(MIN(TblMili[[#This Row],[Frost Mage]]+Races!$F$71,Races!$E$71),6)  +  0.2 * ( MAX(TblMili[[#This Row],[Frost Mage]]+Races!$F$71-6,0) + MAX(Races!$E$71-6,0) )  -  Races!$I$71</f>
        <v>6.15</v>
      </c>
      <c r="DA112" s="155">
        <f ca="1">1.8 * MIN(MAX(TblMili[[#This Row],[Ice Elemental]]+Races!$E$71,Races!$F$71),6)  +  0.45 * MIN(MIN(TblMili[[#This Row],[Ice Elemental]]+Races!$E$71,Races!$F$71),6)  +  0.2 * ( MAX(TblMili[[#This Row],[Ice Elemental]]+Races!$E$71-6,0) + MAX(Races!$F$71-6,0) )  -  Races!$I$71</f>
        <v>0.75</v>
      </c>
      <c r="DB112" s="94">
        <f ca="1">TblMili[[#This Row],[Frost Mage bonus]]*TblMili[[#This Row],[Unit 3]]+TblMili[[#This Row],[Ice Elemental bonus]]*TblMili[[#This Row],[Unit 4]]</f>
        <v>0</v>
      </c>
      <c r="DC112" s="253"/>
      <c r="DD112" s="143">
        <f ca="1">MIN(SUM(TblConstr[[#This Row],[Plain]:[Water]])/TblMili[[#This Row],[Land]]/favorable_terrain_bonus/100,favorable_terrain_max)</f>
        <v>0.1</v>
      </c>
      <c r="DE112" s="253"/>
      <c r="DF11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2" s="142"/>
      <c r="DH112" s="254">
        <f ca="1">(TblMili[[#This Row],[Wizards]]+2*TblMili[[#This Row],[Archmages]])/TblConstr[[#This Row],[Land]]</f>
        <v>0</v>
      </c>
      <c r="DI112" s="254">
        <f ca="1">TblMili[[#This Row],[Raw (2)]]*(1+race_wizard_strength+IF(TblMili[[#This Row],[Hour]]&gt;72,tech_magical_weaponry_wiz*TblTech[[#This Row],[3-5]],0))</f>
        <v>0</v>
      </c>
    </row>
    <row r="113" spans="1:113" x14ac:dyDescent="0.2">
      <c r="A113" s="137">
        <f>TblRezone[[#This Row],[Hour]]</f>
        <v>110</v>
      </c>
      <c r="B113" s="246">
        <f ca="1">SUM(TblMili[[#This Row],[Unit 1]:[Archmages]])+SUM(OFFSET(TblMili[[#This Row],[Train Unit 1]],-8,0):TblMili[[#This Row],[Train Unit 2]]) + SUM(OFFSET(TblMili[[#This Row],[Train Unit 3]],-11,0):TblMili[[#This Row],[Train AM]]) + TblMili[[#This Row],[Draftees]]</f>
        <v>741</v>
      </c>
      <c r="C113" s="157">
        <f ca="1">TblPop[[#This Row],[Military%]]</f>
        <v>0.68866171003717469</v>
      </c>
      <c r="D113" s="142"/>
      <c r="E113" s="45">
        <f ca="1">OFFSET(TblMili[[#This Row],[Unit 1]],-1,0) + OFFSET(TblMili[[#This Row],[Train Unit 1]],-9,0) - TblMili[[#This Row],[Release Unit 1]] + OFFSET(TblMili[[#This Row],[DnD_Zombies]],-12,0)</f>
        <v>0</v>
      </c>
      <c r="F113" s="45">
        <f ca="1">OFFSET(TblMili[[#This Row],[Unit 2]],-1,0) + OFFSET(TblMili[[#This Row],[Train Unit 2]],-9,0)-TblMili[[#This Row],[Release Unit 2]]</f>
        <v>0</v>
      </c>
      <c r="G113" s="45">
        <f ca="1">OFFSET(TblMili[[#This Row],[Unit 3]],-1,0) + OFFSET(TblMili[[#This Row],[Train Unit 3]],-12,0)-TblMili[[#This Row],[Release Unit 3]]</f>
        <v>0</v>
      </c>
      <c r="H113" s="45">
        <f ca="1">OFFSET(TblMili[[#This Row],[Unit 4]],-1,0) + OFFSET(TblMili[[#This Row],[Train Unit 4]],-12,0)-TblMili[[#This Row],[Release Unit 4]]</f>
        <v>0</v>
      </c>
      <c r="I113" s="45">
        <f ca="1">OFFSET(TblMili[[#This Row],[Spies]],-1,0) + OFFSET(TblMili[[#This Row],[Train Spies]],-12,0) - TblMili[[#This Row],[Release Spies]]-TblMili[[#This Row],[Train AS]]</f>
        <v>0</v>
      </c>
      <c r="J113" s="45">
        <f ca="1">OFFSET(TblMili[[#This Row],[Archspies]],-1,0) + OFFSET(TblMili[[#This Row],[Train AS]],-12,0) - TblMili[[#This Row],[Release AS]]</f>
        <v>0</v>
      </c>
      <c r="K113" s="45">
        <f ca="1">OFFSET(TblMili[[#This Row],[Wizards]],-1,0) + OFFSET(TblMili[[#This Row],[Train Wiz]],-12,0) - TblMili[[#This Row],[Release Wizards]]-TblMili[[#This Row],[Train AM]]</f>
        <v>0</v>
      </c>
      <c r="L113" s="45">
        <f ca="1">OFFSET(TblMili[[#This Row],[Archmages]],-1,0) + OFFSET(TblMili[[#This Row],[Train AM]],-12,0) - TblMili[[#This Row],[Release AM]]</f>
        <v>0</v>
      </c>
      <c r="M113" s="142"/>
      <c r="N113" s="94">
        <f ca="1">TblProd[[#This Row],[Networth]]</f>
        <v>2450</v>
      </c>
      <c r="O113" s="142"/>
      <c r="P11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3" s="247">
        <f ca="1">TblMili[[#This Row],[Raw]]*(1+TblMili[[#This Row],[Mods_Off]])</f>
        <v>0</v>
      </c>
      <c r="S11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3" s="247">
        <f ca="1">TblMili[[#This Row],[Non Draft]]+TblMili[[#This Row],[Draftees]]</f>
        <v>741</v>
      </c>
      <c r="U113" s="248">
        <f ca="1">race_defense + TblImps[[#This Row],[Walls]] + ROUND( MIN(gt_bonus*TblConstr[[#This Row],[Tot GT]]/TblConstr[[#This Row],[Land]],gt_bonus_cap), 4) + IF(TblMagic[[#This Row],[Active Howling]]&gt;0,howling_dp_bonus,IF(TblMagic[[#This Row],[Active Ares Call]]&gt;0,ares_call_bonus))</f>
        <v>0</v>
      </c>
      <c r="V113" s="249">
        <f ca="1">TblMili[[#This Row],[Non Draft]] * (1 + TblMili[[#This Row],[Mods_Def]])</f>
        <v>0</v>
      </c>
      <c r="W113" s="247">
        <f ca="1">TblMili[[#This Row],[Draft]] * (1 + TblMili[[#This Row],[Mods_Def]])</f>
        <v>741</v>
      </c>
      <c r="X113" s="247">
        <f ca="1">TblConstr[[#This Row],[Land]]</f>
        <v>110</v>
      </c>
      <c r="Y113" s="250"/>
      <c r="Z113" s="255">
        <f ca="1">IF(TblMili[[#This Row],[Set]]&lt;&gt;"",TblMili[[#This Row],[Set]],OFFSET(TblMili[[#This Row],[Draftrate]],-1,0))</f>
        <v>0.9</v>
      </c>
      <c r="AA113" s="94">
        <f ca="1">OFFSET(TblMili[[#This Row],[Draftees]],-1,0)+OFFSET(TblPop[[#This Row],[Draft Growth]],-1,0) - SUM(TblMili[[#This Row],[Train Unit 1]:[Train Spies]],TblMili[[#This Row],[Train Wiz]],TblMili[[#This Row],[DnD_Zombies]]) - TblMili[[#This Row],[Release Draft]] + SUM(TblMili[[#This Row],[Release Unit 1]:[Release AM]]) - TblExplore[[#This Row],[Draftees (2)]]</f>
        <v>741</v>
      </c>
      <c r="AB113" s="154"/>
      <c r="AC113" s="180">
        <f ca="1">(TblConstr[[#This Row],[Tot Smi]]+TblConstr[[#This Row],[Dest Smi]])/(TblConstr[[#This Row],[Land]]-TblExplore[[#This Row],[Land Bonus]]*20)</f>
        <v>0</v>
      </c>
      <c r="AD113" s="137"/>
      <c r="AE113" s="246">
        <f>TblMili[[#This Row],[Hour]]</f>
        <v>110</v>
      </c>
      <c r="AF113" s="138">
        <f ca="1">TblExplore[[#This Row],[Time]]</f>
        <v>46051.541666666402</v>
      </c>
      <c r="AG113" s="179"/>
      <c r="AH113" s="179"/>
      <c r="AI113" s="179"/>
      <c r="AJ113" s="179"/>
      <c r="AK113" s="179"/>
      <c r="AL113" s="179"/>
      <c r="AM113" s="179"/>
      <c r="AN113" s="179"/>
      <c r="AO113" s="420">
        <f ca="1">ROUND(IF(AND(TblMagic[[#This Row],[Active DnD]]&lt;12,TblMagic[[#This Row],[Active DnD]]&gt;5),OFFSET(TblPop[[#This Row],[Draft Growth]],-1,0)*0.375,0),0)</f>
        <v>0</v>
      </c>
      <c r="AP113" s="142"/>
      <c r="AQ113" s="94">
        <f ca="1">TblProd[[#This Row],[Platinum]]</f>
        <v>209367</v>
      </c>
      <c r="AR113" s="94">
        <f ca="1">INDEX(TblProd[[#Headers],[Lumber]]:TblProd[[#This Row],[Ore]],COUNTA(TblProd[[#Headers],[Lumber]]:TblProd[[#This Row],[Lumber]]),MATCH(Military!$AR$2,TblProd[[#Headers],[Lumber]:[Ore]],0))</f>
        <v>0</v>
      </c>
      <c r="AS11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3" s="94">
        <f ca="1">TblMili[[#This Row],[Train Unit 1]]*TblMili[[#This Row],[OP Ore]]+TblMili[[#This Row],[Train Unit 2]]*TblMili[[#This Row],[DP Ore]]+TblMili[[#This Row],[Train Unit 3]]*TblMili[[#This Row],[E1 Ore]]+TblMili[[#This Row],[Train Unit 4]]*TblMili[[#This Row],[E2 Ore]]</f>
        <v>0</v>
      </c>
      <c r="AU113" s="142">
        <f>TblMili[[#This Row],[Hour]]</f>
        <v>110</v>
      </c>
      <c r="AV113" s="152">
        <f ca="1">TblMili[[#This Row],[Time]]</f>
        <v>46051.541666666402</v>
      </c>
      <c r="AW113" s="94">
        <f ca="1">TblMili[[#This Row],[Draftees]]</f>
        <v>741</v>
      </c>
      <c r="AX113" s="179"/>
      <c r="AY113" s="179"/>
      <c r="AZ113" s="179"/>
      <c r="BA113" s="179"/>
      <c r="BB113" s="179"/>
      <c r="BC113" s="179"/>
      <c r="BD113" s="179"/>
      <c r="BE113" s="179"/>
      <c r="BF113" s="179"/>
      <c r="BG113" s="142"/>
      <c r="BH113" s="157">
        <f ca="1">TblConstr[[#This Row],[Tot WG]]/TblConstr[[#This Row],[Land]]</f>
        <v>0</v>
      </c>
      <c r="BI113" s="157">
        <f ca="1">TblConstr[[#This Row],[Tot Hav]]/TblConstr[[#This Row],[Land]]</f>
        <v>0</v>
      </c>
      <c r="BJ113" s="94">
        <f ca="1">ROUNDUP((1-MIN(TblMili[[#This Row],[Smithies]]*smithy_bonus,smithy_bonus_cap) + tech_3_5*TblTech[[#This Row],[3-5]] + tech_5_3*TblTech[[#This Row],[5-3]] + tech_5_5*TblTech[[#This Row],[5-5]])*spec_op_plat,0)</f>
        <v>275</v>
      </c>
      <c r="BK113" s="94">
        <f ca="1">ROUNDUP(IF(race="Gnome",1,(1-MIN(TblMili[[#This Row],[Smithies]]*smithy_bonus,smithy_bonus_cap) + tech_3_5*TblTech[[#This Row],[3-5]] + tech_5_3*TblTech[[#This Row],[5-3]] + tech_5_5*TblTech[[#This Row],[5-5]]))*spec_op_ore,0)</f>
        <v>25</v>
      </c>
      <c r="BL113" s="94">
        <f ca="1">ROUNDUP((1-MIN(TblMili[[#This Row],[Smithies]]*smithy_bonus,smithy_bonus_cap) + tech_3_5*TblTech[[#This Row],[3-5]] + tech_5_3*TblTech[[#This Row],[5-3]] + tech_5_5*TblTech[[#This Row],[5-5]])*spec_dp_plat,0)</f>
        <v>275</v>
      </c>
      <c r="BM113" s="94">
        <f ca="1">ROUNDUP(IF(race="Gnome",1,(1-MIN(TblMili[[#This Row],[Smithies]]*smithy_bonus,smithy_bonus_cap) + tech_3_5*TblTech[[#This Row],[3-5]] + tech_5_3*TblTech[[#This Row],[5-3]] + tech_5_5*TblTech[[#This Row],[5-5]]))*spec_dp_ore,0)</f>
        <v>15</v>
      </c>
      <c r="BN113" s="94">
        <f ca="1">ROUNDUP((1-MIN(TblMili[[#This Row],[Smithies]]*smithy_bonus,smithy_bonus_cap) + tech_3_5*TblTech[[#This Row],[3-5]] + tech_5_3*TblTech[[#This Row],[5-3]] + tech_5_5*TblTech[[#This Row],[5-5]])*elite1_plat,0)</f>
        <v>1040</v>
      </c>
      <c r="BO113" s="94">
        <f ca="1">ROUNDUP(IF(race="Gnome",1,(1-MIN(TblMili[[#This Row],[Smithies]]*smithy_bonus,smithy_bonus_cap) + tech_3_5*TblTech[[#This Row],[3-5]] + tech_5_3*TblTech[[#This Row],[5-3]] + tech_5_5*TblTech[[#This Row],[5-5]]))*elite1_ore,0)</f>
        <v>75</v>
      </c>
      <c r="BP113" s="94">
        <f ca="1">ROUNDUP((1-MIN(TblMili[[#This Row],[Smithies]]*smithy_bonus,smithy_bonus_cap) + tech_3_5*TblTech[[#This Row],[3-5]] + tech_5_3*TblTech[[#This Row],[5-3]] + tech_5_5*TblTech[[#This Row],[5-5]])*elite2_plat,0)</f>
        <v>1280</v>
      </c>
      <c r="BQ113" s="94">
        <f ca="1">ROUNDUP(IF(race="Gnome",1,(1-MIN(TblMili[[#This Row],[Smithies]]*smithy_bonus,smithy_bonus_cap) + tech_3_5*TblTech[[#This Row],[3-5]] + tech_5_3*TblTech[[#This Row],[5-3]] + tech_5_5*TblTech[[#This Row],[5-5]]))*elite2_ore,0)</f>
        <v>100</v>
      </c>
      <c r="BR113" s="94">
        <f ca="1">ROUNDUP((1-MIN(ROUND(fh_spy_cost_red*TblMili[[#This Row],[FH''s]],4),fh_spy_cost_cap)+ tech_1_9*TblTech[[#This Row],[1-9]] + tech_9_1*TblTech[[#This Row],[9-1]])*spy_plat,0)</f>
        <v>500</v>
      </c>
      <c r="BS113" s="94">
        <f ca="1">ROUNDUP((1-MIN(ROUND(fh_spy_cost_red*TblMili[[#This Row],[FH''s]],4),fh_spy_cost_cap)+ tech_1_9*TblTech[[#This Row],[1-9]] + tech_9_1*TblTech[[#This Row],[9-1]])*archspy_plat,0)</f>
        <v>1000</v>
      </c>
      <c r="BT113" s="94">
        <f ca="1">ROUNDUP((1-MIN(ROUND(wg_wiz_cost_bonus*TblMili[[#This Row],[WG''s]],4),wg_wiz_cost_cap) + tech_1_9_2*TblTech[[#This Row],[1-9]] + tech_9_1_2*TblTech[[#This Row],[9-1]])*wizard_plat,0)</f>
        <v>500</v>
      </c>
      <c r="BU113" s="94">
        <f ca="1">ROUNDUP((1-MIN(ROUND(wg_wiz_cost_bonus*TblMili[[#This Row],[WG''s]],4),wg_wiz_cost_cap) + tech_1_9_2*TblTech[[#This Row],[1-9]] + tech_9_1_2*TblTech[[#This Row],[9-1]])*archmage_plat,0)</f>
        <v>1000</v>
      </c>
      <c r="BV113" s="142"/>
      <c r="BW113" s="157">
        <f ca="1">TblConstr[[#This Row],[Homeland]]/TblConstr[[#This Row],[Land]]</f>
        <v>0.81818181818181823</v>
      </c>
      <c r="BX113" s="157">
        <f ca="1">TblMili[[#This Row],[WG''s]]</f>
        <v>0</v>
      </c>
      <c r="BY113" s="251">
        <f ca="1">IF(mystic_cap="none",TblMili[[#This Row],[Homeland%]]/mystic_bonus,MIN(mystic_cap,TblMili[[#This Row],[Homeland%]]/mystic_bonus))</f>
        <v>2</v>
      </c>
      <c r="BZ113" s="251">
        <f ca="1">IF(druid_op_cap="none",TblMili[[#This Row],[Homeland%]]/druid_op_bonus,MIN(druid_op_cap,TblMili[[#This Row],[Homeland%]]/druid_op_bonus))</f>
        <v>2</v>
      </c>
      <c r="CA113" s="251">
        <f ca="1">IF(druid_dp_cap="none",TblMili[[#This Row],[Homeland%]]/druid_dp_bonus,MIN(druid_dp_cap,TblMili[[#This Row],[Homeland%]]/druid_dp_bonus))</f>
        <v>2</v>
      </c>
      <c r="CB113" s="251">
        <f ca="1">MIN(dryad_cap,TblMili[[#This Row],[Homeland%]]/dryad_bonus)</f>
        <v>4</v>
      </c>
      <c r="CC113" s="251">
        <f ca="1">MIN(rocka_cap,TblMili[[#This Row],[Homeland%]]/rocka_bonus)</f>
        <v>2</v>
      </c>
      <c r="CD113" s="251">
        <f ca="1">MIN(adept_op_cap,TblMili[[#This Row],[WG]]/adept_op_bonus)</f>
        <v>0</v>
      </c>
      <c r="CE113" s="251">
        <f ca="1">MIN(adept_dp_cap,TblMili[[#This Row],[WG]]/adept_dp_bonus)</f>
        <v>0</v>
      </c>
      <c r="CF113" s="94">
        <f ca="1">MIN(TblMili[[#This Row],[Unit 3]],TblMili[[#This Row],[Unit 2]])*2</f>
        <v>0</v>
      </c>
      <c r="CG113" s="94">
        <f ca="1">MIN(TblMili[[#This Row],[Unit 1]],TblMili[[#This Row],[Unit 4]])*2</f>
        <v>0</v>
      </c>
      <c r="CH113" s="251">
        <f ca="1">MIN(frost_mage_cap,TblMili[[#This Row],[Homeland%]]/frost_mage_bonus)</f>
        <v>3</v>
      </c>
      <c r="CI113" s="45">
        <f ca="1">MIN(ice_elem_cap,TblMili[[#This Row],[Raw (2)]]*ice_elem_bonus)</f>
        <v>0</v>
      </c>
      <c r="CJ113" s="251">
        <f t="shared" si="4"/>
        <v>0.83333333333333337</v>
      </c>
      <c r="CK113" s="251">
        <f ca="1">MIN(nox_nightshade_cap,TblConstr[[#This Row],[Homeland]]/TblConstr[[#This Row],[Land]]/nox_nightshade_swamp_bonus)</f>
        <v>4</v>
      </c>
      <c r="CL113" s="251">
        <f ca="1">MIN(TblConstr[[#This Row],[Total Swamp]]/TblConstr[[#This Row],[Land]]/abyss_enforce_bonus,abyss_enforcer_cap)</f>
        <v>0</v>
      </c>
      <c r="CM113" s="251">
        <f ca="1">IF(TblMagic[[#This Row],[Active Infernal Command]]&gt;0,TblMili[[#This Row],[Unit 1]]*infernal_cmd_op,0)</f>
        <v>0</v>
      </c>
      <c r="CN113" s="252"/>
      <c r="CO113" s="252"/>
      <c r="CP113" s="252"/>
      <c r="CQ113" s="251">
        <f ca="1">MIN(6,TblMili[[#This Row],[Mystic]]+Races!$F$19)*1.8 +  IF(TblMili[[#This Row],[Mystic]]+Races!$F$19&gt;6,(TblMili[[#This Row],[Mystic]]+Races!$F$19-6)*0.2,0) - Races!$I$19</f>
        <v>1</v>
      </c>
      <c r="CR11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3" s="94">
        <f ca="1">TblMili[[#This Row],[Mystic bonus]]*TblMili[[#This Row],[Unit 3]]+TblMili[[#This Row],[Druid bonus]]*TblMili[[#This Row],[Unit 4]]</f>
        <v>0</v>
      </c>
      <c r="CT113" s="155">
        <f ca="1">MIN(6,TblMili[[#This Row],[Dryad]]+Races!$F$35)*1.8 +  IF(TblMili[[#This Row],[Dryad]]+Races!$F$35&gt;6,(TblMili[[#This Row],[Dryad]]+Races!$F$35-6)*0.2,0) - Races!$I$19</f>
        <v>1</v>
      </c>
      <c r="CU113" s="94">
        <f ca="1">sylvan*(TblMili[[#This Row],[Mystic bonus]]*TblMili[[#This Row],[Unit 3]])</f>
        <v>0</v>
      </c>
      <c r="CV113" s="155">
        <f ca="1">1.8 * MIN(MAX(Races!$E$27,TblMili[[#This Row],[Rockapult]]+Races!$F$27),6)  +  0.45 * MIN(MIN(Races!$E$27,TblMili[[#This Row],[Rockapult]]+Races!$F$27),6)  +  0.2 * ( MAX(Races!$E$27-6,0) + MAX(TblMili[[#This Row],[Rockapult]]+Races!$F$27-6,0) )  -  Races!$I$20</f>
        <v>3.7000000000000011</v>
      </c>
      <c r="CW113" s="94">
        <f ca="1">gnome*(TblMili[[#This Row],[Rockapult bonus]]*TblMili[[#This Row],[Unit 3]])</f>
        <v>0</v>
      </c>
      <c r="CX11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3" s="94">
        <f ca="1">dark_elf*(TblMili[[#This Row],[Adept bonus]]*TblMili[[#This Row],[Unit 3]])</f>
        <v>0</v>
      </c>
      <c r="CZ113" s="155">
        <f ca="1">1.8 * MIN(MAX(TblMili[[#This Row],[Frost Mage]]+Races!$F$71,Races!$E$71),6)  +  0.45 * MIN(MIN(TblMili[[#This Row],[Frost Mage]]+Races!$F$71,Races!$E$71),6)  +  0.2 * ( MAX(TblMili[[#This Row],[Frost Mage]]+Races!$F$71-6,0) + MAX(Races!$E$71-6,0) )  -  Races!$I$71</f>
        <v>6.15</v>
      </c>
      <c r="DA113" s="155">
        <f ca="1">1.8 * MIN(MAX(TblMili[[#This Row],[Ice Elemental]]+Races!$E$71,Races!$F$71),6)  +  0.45 * MIN(MIN(TblMili[[#This Row],[Ice Elemental]]+Races!$E$71,Races!$F$71),6)  +  0.2 * ( MAX(TblMili[[#This Row],[Ice Elemental]]+Races!$E$71-6,0) + MAX(Races!$F$71-6,0) )  -  Races!$I$71</f>
        <v>0.75</v>
      </c>
      <c r="DB113" s="94">
        <f ca="1">TblMili[[#This Row],[Frost Mage bonus]]*TblMili[[#This Row],[Unit 3]]+TblMili[[#This Row],[Ice Elemental bonus]]*TblMili[[#This Row],[Unit 4]]</f>
        <v>0</v>
      </c>
      <c r="DC113" s="253"/>
      <c r="DD113" s="143">
        <f ca="1">MIN(SUM(TblConstr[[#This Row],[Plain]:[Water]])/TblMili[[#This Row],[Land]]/favorable_terrain_bonus/100,favorable_terrain_max)</f>
        <v>0.1</v>
      </c>
      <c r="DE113" s="253"/>
      <c r="DF11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3" s="142"/>
      <c r="DH113" s="254">
        <f ca="1">(TblMili[[#This Row],[Wizards]]+2*TblMili[[#This Row],[Archmages]])/TblConstr[[#This Row],[Land]]</f>
        <v>0</v>
      </c>
      <c r="DI113" s="254">
        <f ca="1">TblMili[[#This Row],[Raw (2)]]*(1+race_wizard_strength+IF(TblMili[[#This Row],[Hour]]&gt;72,tech_magical_weaponry_wiz*TblTech[[#This Row],[3-5]],0))</f>
        <v>0</v>
      </c>
    </row>
    <row r="114" spans="1:113" x14ac:dyDescent="0.2">
      <c r="A114" s="137">
        <f>TblRezone[[#This Row],[Hour]]</f>
        <v>111</v>
      </c>
      <c r="B114" s="246">
        <f ca="1">SUM(TblMili[[#This Row],[Unit 1]:[Archmages]])+SUM(OFFSET(TblMili[[#This Row],[Train Unit 1]],-8,0):TblMili[[#This Row],[Train Unit 2]]) + SUM(OFFSET(TblMili[[#This Row],[Train Unit 3]],-11,0):TblMili[[#This Row],[Train AM]]) + TblMili[[#This Row],[Draftees]]</f>
        <v>744</v>
      </c>
      <c r="C114" s="157">
        <f ca="1">TblPop[[#This Row],[Military%]]</f>
        <v>0.69144981412639406</v>
      </c>
      <c r="D114" s="142"/>
      <c r="E114" s="45">
        <f ca="1">OFFSET(TblMili[[#This Row],[Unit 1]],-1,0) + OFFSET(TblMili[[#This Row],[Train Unit 1]],-9,0) - TblMili[[#This Row],[Release Unit 1]] + OFFSET(TblMili[[#This Row],[DnD_Zombies]],-12,0)</f>
        <v>0</v>
      </c>
      <c r="F114" s="45">
        <f ca="1">OFFSET(TblMili[[#This Row],[Unit 2]],-1,0) + OFFSET(TblMili[[#This Row],[Train Unit 2]],-9,0)-TblMili[[#This Row],[Release Unit 2]]</f>
        <v>0</v>
      </c>
      <c r="G114" s="45">
        <f ca="1">OFFSET(TblMili[[#This Row],[Unit 3]],-1,0) + OFFSET(TblMili[[#This Row],[Train Unit 3]],-12,0)-TblMili[[#This Row],[Release Unit 3]]</f>
        <v>0</v>
      </c>
      <c r="H114" s="45">
        <f ca="1">OFFSET(TblMili[[#This Row],[Unit 4]],-1,0) + OFFSET(TblMili[[#This Row],[Train Unit 4]],-12,0)-TblMili[[#This Row],[Release Unit 4]]</f>
        <v>0</v>
      </c>
      <c r="I114" s="45">
        <f ca="1">OFFSET(TblMili[[#This Row],[Spies]],-1,0) + OFFSET(TblMili[[#This Row],[Train Spies]],-12,0) - TblMili[[#This Row],[Release Spies]]-TblMili[[#This Row],[Train AS]]</f>
        <v>0</v>
      </c>
      <c r="J114" s="45">
        <f ca="1">OFFSET(TblMili[[#This Row],[Archspies]],-1,0) + OFFSET(TblMili[[#This Row],[Train AS]],-12,0) - TblMili[[#This Row],[Release AS]]</f>
        <v>0</v>
      </c>
      <c r="K114" s="45">
        <f ca="1">OFFSET(TblMili[[#This Row],[Wizards]],-1,0) + OFFSET(TblMili[[#This Row],[Train Wiz]],-12,0) - TblMili[[#This Row],[Release Wizards]]-TblMili[[#This Row],[Train AM]]</f>
        <v>0</v>
      </c>
      <c r="L114" s="45">
        <f ca="1">OFFSET(TblMili[[#This Row],[Archmages]],-1,0) + OFFSET(TblMili[[#This Row],[Train AM]],-12,0) - TblMili[[#This Row],[Release AM]]</f>
        <v>0</v>
      </c>
      <c r="M114" s="142"/>
      <c r="N114" s="94">
        <f ca="1">TblProd[[#This Row],[Networth]]</f>
        <v>2450</v>
      </c>
      <c r="O114" s="142"/>
      <c r="P11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4" s="247">
        <f ca="1">TblMili[[#This Row],[Raw]]*(1+TblMili[[#This Row],[Mods_Off]])</f>
        <v>0</v>
      </c>
      <c r="S11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4" s="247">
        <f ca="1">TblMili[[#This Row],[Non Draft]]+TblMili[[#This Row],[Draftees]]</f>
        <v>744</v>
      </c>
      <c r="U114" s="248">
        <f ca="1">race_defense + TblImps[[#This Row],[Walls]] + ROUND( MIN(gt_bonus*TblConstr[[#This Row],[Tot GT]]/TblConstr[[#This Row],[Land]],gt_bonus_cap), 4) + IF(TblMagic[[#This Row],[Active Howling]]&gt;0,howling_dp_bonus,IF(TblMagic[[#This Row],[Active Ares Call]]&gt;0,ares_call_bonus))</f>
        <v>0</v>
      </c>
      <c r="V114" s="249">
        <f ca="1">TblMili[[#This Row],[Non Draft]] * (1 + TblMili[[#This Row],[Mods_Def]])</f>
        <v>0</v>
      </c>
      <c r="W114" s="247">
        <f ca="1">TblMili[[#This Row],[Draft]] * (1 + TblMili[[#This Row],[Mods_Def]])</f>
        <v>744</v>
      </c>
      <c r="X114" s="247">
        <f ca="1">TblConstr[[#This Row],[Land]]</f>
        <v>110</v>
      </c>
      <c r="Y114" s="250"/>
      <c r="Z114" s="255">
        <f ca="1">IF(TblMili[[#This Row],[Set]]&lt;&gt;"",TblMili[[#This Row],[Set]],OFFSET(TblMili[[#This Row],[Draftrate]],-1,0))</f>
        <v>0.9</v>
      </c>
      <c r="AA114" s="94">
        <f ca="1">OFFSET(TblMili[[#This Row],[Draftees]],-1,0)+OFFSET(TblPop[[#This Row],[Draft Growth]],-1,0) - SUM(TblMili[[#This Row],[Train Unit 1]:[Train Spies]],TblMili[[#This Row],[Train Wiz]],TblMili[[#This Row],[DnD_Zombies]]) - TblMili[[#This Row],[Release Draft]] + SUM(TblMili[[#This Row],[Release Unit 1]:[Release AM]]) - TblExplore[[#This Row],[Draftees (2)]]</f>
        <v>744</v>
      </c>
      <c r="AB114" s="154"/>
      <c r="AC114" s="180">
        <f ca="1">(TblConstr[[#This Row],[Tot Smi]]+TblConstr[[#This Row],[Dest Smi]])/(TblConstr[[#This Row],[Land]]-TblExplore[[#This Row],[Land Bonus]]*20)</f>
        <v>0</v>
      </c>
      <c r="AD114" s="137"/>
      <c r="AE114" s="246">
        <f>TblMili[[#This Row],[Hour]]</f>
        <v>111</v>
      </c>
      <c r="AF114" s="138">
        <f ca="1">TblExplore[[#This Row],[Time]]</f>
        <v>46051.583333333067</v>
      </c>
      <c r="AG114" s="179"/>
      <c r="AH114" s="179"/>
      <c r="AI114" s="179"/>
      <c r="AJ114" s="179"/>
      <c r="AK114" s="179"/>
      <c r="AL114" s="179"/>
      <c r="AM114" s="179"/>
      <c r="AN114" s="179"/>
      <c r="AO114" s="420">
        <f ca="1">ROUND(IF(AND(TblMagic[[#This Row],[Active DnD]]&lt;12,TblMagic[[#This Row],[Active DnD]]&gt;5),OFFSET(TblPop[[#This Row],[Draft Growth]],-1,0)*0.375,0),0)</f>
        <v>0</v>
      </c>
      <c r="AP114" s="142"/>
      <c r="AQ114" s="94">
        <f ca="1">TblProd[[#This Row],[Platinum]]</f>
        <v>210271</v>
      </c>
      <c r="AR114" s="94">
        <f ca="1">INDEX(TblProd[[#Headers],[Lumber]]:TblProd[[#This Row],[Ore]],COUNTA(TblProd[[#Headers],[Lumber]]:TblProd[[#This Row],[Lumber]]),MATCH(Military!$AR$2,TblProd[[#Headers],[Lumber]:[Ore]],0))</f>
        <v>0</v>
      </c>
      <c r="AS11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4" s="94">
        <f ca="1">TblMili[[#This Row],[Train Unit 1]]*TblMili[[#This Row],[OP Ore]]+TblMili[[#This Row],[Train Unit 2]]*TblMili[[#This Row],[DP Ore]]+TblMili[[#This Row],[Train Unit 3]]*TblMili[[#This Row],[E1 Ore]]+TblMili[[#This Row],[Train Unit 4]]*TblMili[[#This Row],[E2 Ore]]</f>
        <v>0</v>
      </c>
      <c r="AU114" s="142">
        <f>TblMili[[#This Row],[Hour]]</f>
        <v>111</v>
      </c>
      <c r="AV114" s="152">
        <f ca="1">TblMili[[#This Row],[Time]]</f>
        <v>46051.583333333067</v>
      </c>
      <c r="AW114" s="94">
        <f ca="1">TblMili[[#This Row],[Draftees]]</f>
        <v>744</v>
      </c>
      <c r="AX114" s="179"/>
      <c r="AY114" s="179"/>
      <c r="AZ114" s="179"/>
      <c r="BA114" s="179"/>
      <c r="BB114" s="179"/>
      <c r="BC114" s="179"/>
      <c r="BD114" s="179"/>
      <c r="BE114" s="179"/>
      <c r="BF114" s="179"/>
      <c r="BG114" s="142"/>
      <c r="BH114" s="157">
        <f ca="1">TblConstr[[#This Row],[Tot WG]]/TblConstr[[#This Row],[Land]]</f>
        <v>0</v>
      </c>
      <c r="BI114" s="157">
        <f ca="1">TblConstr[[#This Row],[Tot Hav]]/TblConstr[[#This Row],[Land]]</f>
        <v>0</v>
      </c>
      <c r="BJ114" s="94">
        <f ca="1">ROUNDUP((1-MIN(TblMili[[#This Row],[Smithies]]*smithy_bonus,smithy_bonus_cap) + tech_3_5*TblTech[[#This Row],[3-5]] + tech_5_3*TblTech[[#This Row],[5-3]] + tech_5_5*TblTech[[#This Row],[5-5]])*spec_op_plat,0)</f>
        <v>275</v>
      </c>
      <c r="BK114" s="94">
        <f ca="1">ROUNDUP(IF(race="Gnome",1,(1-MIN(TblMili[[#This Row],[Smithies]]*smithy_bonus,smithy_bonus_cap) + tech_3_5*TblTech[[#This Row],[3-5]] + tech_5_3*TblTech[[#This Row],[5-3]] + tech_5_5*TblTech[[#This Row],[5-5]]))*spec_op_ore,0)</f>
        <v>25</v>
      </c>
      <c r="BL114" s="94">
        <f ca="1">ROUNDUP((1-MIN(TblMili[[#This Row],[Smithies]]*smithy_bonus,smithy_bonus_cap) + tech_3_5*TblTech[[#This Row],[3-5]] + tech_5_3*TblTech[[#This Row],[5-3]] + tech_5_5*TblTech[[#This Row],[5-5]])*spec_dp_plat,0)</f>
        <v>275</v>
      </c>
      <c r="BM114" s="94">
        <f ca="1">ROUNDUP(IF(race="Gnome",1,(1-MIN(TblMili[[#This Row],[Smithies]]*smithy_bonus,smithy_bonus_cap) + tech_3_5*TblTech[[#This Row],[3-5]] + tech_5_3*TblTech[[#This Row],[5-3]] + tech_5_5*TblTech[[#This Row],[5-5]]))*spec_dp_ore,0)</f>
        <v>15</v>
      </c>
      <c r="BN114" s="94">
        <f ca="1">ROUNDUP((1-MIN(TblMili[[#This Row],[Smithies]]*smithy_bonus,smithy_bonus_cap) + tech_3_5*TblTech[[#This Row],[3-5]] + tech_5_3*TblTech[[#This Row],[5-3]] + tech_5_5*TblTech[[#This Row],[5-5]])*elite1_plat,0)</f>
        <v>1040</v>
      </c>
      <c r="BO114" s="94">
        <f ca="1">ROUNDUP(IF(race="Gnome",1,(1-MIN(TblMili[[#This Row],[Smithies]]*smithy_bonus,smithy_bonus_cap) + tech_3_5*TblTech[[#This Row],[3-5]] + tech_5_3*TblTech[[#This Row],[5-3]] + tech_5_5*TblTech[[#This Row],[5-5]]))*elite1_ore,0)</f>
        <v>75</v>
      </c>
      <c r="BP114" s="94">
        <f ca="1">ROUNDUP((1-MIN(TblMili[[#This Row],[Smithies]]*smithy_bonus,smithy_bonus_cap) + tech_3_5*TblTech[[#This Row],[3-5]] + tech_5_3*TblTech[[#This Row],[5-3]] + tech_5_5*TblTech[[#This Row],[5-5]])*elite2_plat,0)</f>
        <v>1280</v>
      </c>
      <c r="BQ114" s="94">
        <f ca="1">ROUNDUP(IF(race="Gnome",1,(1-MIN(TblMili[[#This Row],[Smithies]]*smithy_bonus,smithy_bonus_cap) + tech_3_5*TblTech[[#This Row],[3-5]] + tech_5_3*TblTech[[#This Row],[5-3]] + tech_5_5*TblTech[[#This Row],[5-5]]))*elite2_ore,0)</f>
        <v>100</v>
      </c>
      <c r="BR114" s="94">
        <f ca="1">ROUNDUP((1-MIN(ROUND(fh_spy_cost_red*TblMili[[#This Row],[FH''s]],4),fh_spy_cost_cap)+ tech_1_9*TblTech[[#This Row],[1-9]] + tech_9_1*TblTech[[#This Row],[9-1]])*spy_plat,0)</f>
        <v>500</v>
      </c>
      <c r="BS114" s="94">
        <f ca="1">ROUNDUP((1-MIN(ROUND(fh_spy_cost_red*TblMili[[#This Row],[FH''s]],4),fh_spy_cost_cap)+ tech_1_9*TblTech[[#This Row],[1-9]] + tech_9_1*TblTech[[#This Row],[9-1]])*archspy_plat,0)</f>
        <v>1000</v>
      </c>
      <c r="BT114" s="94">
        <f ca="1">ROUNDUP((1-MIN(ROUND(wg_wiz_cost_bonus*TblMili[[#This Row],[WG''s]],4),wg_wiz_cost_cap) + tech_1_9_2*TblTech[[#This Row],[1-9]] + tech_9_1_2*TblTech[[#This Row],[9-1]])*wizard_plat,0)</f>
        <v>500</v>
      </c>
      <c r="BU114" s="94">
        <f ca="1">ROUNDUP((1-MIN(ROUND(wg_wiz_cost_bonus*TblMili[[#This Row],[WG''s]],4),wg_wiz_cost_cap) + tech_1_9_2*TblTech[[#This Row],[1-9]] + tech_9_1_2*TblTech[[#This Row],[9-1]])*archmage_plat,0)</f>
        <v>1000</v>
      </c>
      <c r="BV114" s="142"/>
      <c r="BW114" s="157">
        <f ca="1">TblConstr[[#This Row],[Homeland]]/TblConstr[[#This Row],[Land]]</f>
        <v>0.81818181818181823</v>
      </c>
      <c r="BX114" s="157">
        <f ca="1">TblMili[[#This Row],[WG''s]]</f>
        <v>0</v>
      </c>
      <c r="BY114" s="251">
        <f ca="1">IF(mystic_cap="none",TblMili[[#This Row],[Homeland%]]/mystic_bonus,MIN(mystic_cap,TblMili[[#This Row],[Homeland%]]/mystic_bonus))</f>
        <v>2</v>
      </c>
      <c r="BZ114" s="251">
        <f ca="1">IF(druid_op_cap="none",TblMili[[#This Row],[Homeland%]]/druid_op_bonus,MIN(druid_op_cap,TblMili[[#This Row],[Homeland%]]/druid_op_bonus))</f>
        <v>2</v>
      </c>
      <c r="CA114" s="251">
        <f ca="1">IF(druid_dp_cap="none",TblMili[[#This Row],[Homeland%]]/druid_dp_bonus,MIN(druid_dp_cap,TblMili[[#This Row],[Homeland%]]/druid_dp_bonus))</f>
        <v>2</v>
      </c>
      <c r="CB114" s="251">
        <f ca="1">MIN(dryad_cap,TblMili[[#This Row],[Homeland%]]/dryad_bonus)</f>
        <v>4</v>
      </c>
      <c r="CC114" s="251">
        <f ca="1">MIN(rocka_cap,TblMili[[#This Row],[Homeland%]]/rocka_bonus)</f>
        <v>2</v>
      </c>
      <c r="CD114" s="251">
        <f ca="1">MIN(adept_op_cap,TblMili[[#This Row],[WG]]/adept_op_bonus)</f>
        <v>0</v>
      </c>
      <c r="CE114" s="251">
        <f ca="1">MIN(adept_dp_cap,TblMili[[#This Row],[WG]]/adept_dp_bonus)</f>
        <v>0</v>
      </c>
      <c r="CF114" s="94">
        <f ca="1">MIN(TblMili[[#This Row],[Unit 3]],TblMili[[#This Row],[Unit 2]])*2</f>
        <v>0</v>
      </c>
      <c r="CG114" s="94">
        <f ca="1">MIN(TblMili[[#This Row],[Unit 1]],TblMili[[#This Row],[Unit 4]])*2</f>
        <v>0</v>
      </c>
      <c r="CH114" s="251">
        <f ca="1">MIN(frost_mage_cap,TblMili[[#This Row],[Homeland%]]/frost_mage_bonus)</f>
        <v>3</v>
      </c>
      <c r="CI114" s="45">
        <f ca="1">MIN(ice_elem_cap,TblMili[[#This Row],[Raw (2)]]*ice_elem_bonus)</f>
        <v>0</v>
      </c>
      <c r="CJ114" s="251">
        <f t="shared" si="4"/>
        <v>0.83333333333333337</v>
      </c>
      <c r="CK114" s="251">
        <f ca="1">MIN(nox_nightshade_cap,TblConstr[[#This Row],[Homeland]]/TblConstr[[#This Row],[Land]]/nox_nightshade_swamp_bonus)</f>
        <v>4</v>
      </c>
      <c r="CL114" s="251">
        <f ca="1">MIN(TblConstr[[#This Row],[Total Swamp]]/TblConstr[[#This Row],[Land]]/abyss_enforce_bonus,abyss_enforcer_cap)</f>
        <v>0</v>
      </c>
      <c r="CM114" s="251">
        <f ca="1">IF(TblMagic[[#This Row],[Active Infernal Command]]&gt;0,TblMili[[#This Row],[Unit 1]]*infernal_cmd_op,0)</f>
        <v>0</v>
      </c>
      <c r="CN114" s="252"/>
      <c r="CO114" s="252"/>
      <c r="CP114" s="252"/>
      <c r="CQ114" s="251">
        <f ca="1">MIN(6,TblMili[[#This Row],[Mystic]]+Races!$F$19)*1.8 +  IF(TblMili[[#This Row],[Mystic]]+Races!$F$19&gt;6,(TblMili[[#This Row],[Mystic]]+Races!$F$19-6)*0.2,0) - Races!$I$19</f>
        <v>1</v>
      </c>
      <c r="CR11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4" s="94">
        <f ca="1">TblMili[[#This Row],[Mystic bonus]]*TblMili[[#This Row],[Unit 3]]+TblMili[[#This Row],[Druid bonus]]*TblMili[[#This Row],[Unit 4]]</f>
        <v>0</v>
      </c>
      <c r="CT114" s="155">
        <f ca="1">MIN(6,TblMili[[#This Row],[Dryad]]+Races!$F$35)*1.8 +  IF(TblMili[[#This Row],[Dryad]]+Races!$F$35&gt;6,(TblMili[[#This Row],[Dryad]]+Races!$F$35-6)*0.2,0) - Races!$I$19</f>
        <v>1</v>
      </c>
      <c r="CU114" s="94">
        <f ca="1">sylvan*(TblMili[[#This Row],[Mystic bonus]]*TblMili[[#This Row],[Unit 3]])</f>
        <v>0</v>
      </c>
      <c r="CV114" s="155">
        <f ca="1">1.8 * MIN(MAX(Races!$E$27,TblMili[[#This Row],[Rockapult]]+Races!$F$27),6)  +  0.45 * MIN(MIN(Races!$E$27,TblMili[[#This Row],[Rockapult]]+Races!$F$27),6)  +  0.2 * ( MAX(Races!$E$27-6,0) + MAX(TblMili[[#This Row],[Rockapult]]+Races!$F$27-6,0) )  -  Races!$I$20</f>
        <v>3.7000000000000011</v>
      </c>
      <c r="CW114" s="94">
        <f ca="1">gnome*(TblMili[[#This Row],[Rockapult bonus]]*TblMili[[#This Row],[Unit 3]])</f>
        <v>0</v>
      </c>
      <c r="CX11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4" s="94">
        <f ca="1">dark_elf*(TblMili[[#This Row],[Adept bonus]]*TblMili[[#This Row],[Unit 3]])</f>
        <v>0</v>
      </c>
      <c r="CZ114" s="155">
        <f ca="1">1.8 * MIN(MAX(TblMili[[#This Row],[Frost Mage]]+Races!$F$71,Races!$E$71),6)  +  0.45 * MIN(MIN(TblMili[[#This Row],[Frost Mage]]+Races!$F$71,Races!$E$71),6)  +  0.2 * ( MAX(TblMili[[#This Row],[Frost Mage]]+Races!$F$71-6,0) + MAX(Races!$E$71-6,0) )  -  Races!$I$71</f>
        <v>6.15</v>
      </c>
      <c r="DA114" s="155">
        <f ca="1">1.8 * MIN(MAX(TblMili[[#This Row],[Ice Elemental]]+Races!$E$71,Races!$F$71),6)  +  0.45 * MIN(MIN(TblMili[[#This Row],[Ice Elemental]]+Races!$E$71,Races!$F$71),6)  +  0.2 * ( MAX(TblMili[[#This Row],[Ice Elemental]]+Races!$E$71-6,0) + MAX(Races!$F$71-6,0) )  -  Races!$I$71</f>
        <v>0.75</v>
      </c>
      <c r="DB114" s="94">
        <f ca="1">TblMili[[#This Row],[Frost Mage bonus]]*TblMili[[#This Row],[Unit 3]]+TblMili[[#This Row],[Ice Elemental bonus]]*TblMili[[#This Row],[Unit 4]]</f>
        <v>0</v>
      </c>
      <c r="DC114" s="253"/>
      <c r="DD114" s="143">
        <f ca="1">MIN(SUM(TblConstr[[#This Row],[Plain]:[Water]])/TblMili[[#This Row],[Land]]/favorable_terrain_bonus/100,favorable_terrain_max)</f>
        <v>0.1</v>
      </c>
      <c r="DE114" s="253"/>
      <c r="DF11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4" s="142"/>
      <c r="DH114" s="254">
        <f ca="1">(TblMili[[#This Row],[Wizards]]+2*TblMili[[#This Row],[Archmages]])/TblConstr[[#This Row],[Land]]</f>
        <v>0</v>
      </c>
      <c r="DI114" s="254">
        <f ca="1">TblMili[[#This Row],[Raw (2)]]*(1+race_wizard_strength+IF(TblMili[[#This Row],[Hour]]&gt;72,tech_magical_weaponry_wiz*TblTech[[#This Row],[3-5]],0))</f>
        <v>0</v>
      </c>
    </row>
    <row r="115" spans="1:113" x14ac:dyDescent="0.2">
      <c r="A115" s="137">
        <f>TblRezone[[#This Row],[Hour]]</f>
        <v>112</v>
      </c>
      <c r="B115" s="246">
        <f ca="1">SUM(TblMili[[#This Row],[Unit 1]:[Archmages]])+SUM(OFFSET(TblMili[[#This Row],[Train Unit 1]],-8,0):TblMili[[#This Row],[Train Unit 2]]) + SUM(OFFSET(TblMili[[#This Row],[Train Unit 3]],-11,0):TblMili[[#This Row],[Train AM]]) + TblMili[[#This Row],[Draftees]]</f>
        <v>747</v>
      </c>
      <c r="C115" s="157">
        <f ca="1">TblPop[[#This Row],[Military%]]</f>
        <v>0.69423791821561343</v>
      </c>
      <c r="D115" s="142"/>
      <c r="E115" s="45">
        <f ca="1">OFFSET(TblMili[[#This Row],[Unit 1]],-1,0) + OFFSET(TblMili[[#This Row],[Train Unit 1]],-9,0) - TblMili[[#This Row],[Release Unit 1]] + OFFSET(TblMili[[#This Row],[DnD_Zombies]],-12,0)</f>
        <v>0</v>
      </c>
      <c r="F115" s="45">
        <f ca="1">OFFSET(TblMili[[#This Row],[Unit 2]],-1,0) + OFFSET(TblMili[[#This Row],[Train Unit 2]],-9,0)-TblMili[[#This Row],[Release Unit 2]]</f>
        <v>0</v>
      </c>
      <c r="G115" s="45">
        <f ca="1">OFFSET(TblMili[[#This Row],[Unit 3]],-1,0) + OFFSET(TblMili[[#This Row],[Train Unit 3]],-12,0)-TblMili[[#This Row],[Release Unit 3]]</f>
        <v>0</v>
      </c>
      <c r="H115" s="45">
        <f ca="1">OFFSET(TblMili[[#This Row],[Unit 4]],-1,0) + OFFSET(TblMili[[#This Row],[Train Unit 4]],-12,0)-TblMili[[#This Row],[Release Unit 4]]</f>
        <v>0</v>
      </c>
      <c r="I115" s="45">
        <f ca="1">OFFSET(TblMili[[#This Row],[Spies]],-1,0) + OFFSET(TblMili[[#This Row],[Train Spies]],-12,0) - TblMili[[#This Row],[Release Spies]]-TblMili[[#This Row],[Train AS]]</f>
        <v>0</v>
      </c>
      <c r="J115" s="45">
        <f ca="1">OFFSET(TblMili[[#This Row],[Archspies]],-1,0) + OFFSET(TblMili[[#This Row],[Train AS]],-12,0) - TblMili[[#This Row],[Release AS]]</f>
        <v>0</v>
      </c>
      <c r="K115" s="45">
        <f ca="1">OFFSET(TblMili[[#This Row],[Wizards]],-1,0) + OFFSET(TblMili[[#This Row],[Train Wiz]],-12,0) - TblMili[[#This Row],[Release Wizards]]-TblMili[[#This Row],[Train AM]]</f>
        <v>0</v>
      </c>
      <c r="L115" s="45">
        <f ca="1">OFFSET(TblMili[[#This Row],[Archmages]],-1,0) + OFFSET(TblMili[[#This Row],[Train AM]],-12,0) - TblMili[[#This Row],[Release AM]]</f>
        <v>0</v>
      </c>
      <c r="M115" s="142"/>
      <c r="N115" s="94">
        <f ca="1">TblProd[[#This Row],[Networth]]</f>
        <v>2450</v>
      </c>
      <c r="O115" s="142"/>
      <c r="P11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5" s="247">
        <f ca="1">TblMili[[#This Row],[Raw]]*(1+TblMili[[#This Row],[Mods_Off]])</f>
        <v>0</v>
      </c>
      <c r="S11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5" s="247">
        <f ca="1">TblMili[[#This Row],[Non Draft]]+TblMili[[#This Row],[Draftees]]</f>
        <v>747</v>
      </c>
      <c r="U115" s="248">
        <f ca="1">race_defense + TblImps[[#This Row],[Walls]] + ROUND( MIN(gt_bonus*TblConstr[[#This Row],[Tot GT]]/TblConstr[[#This Row],[Land]],gt_bonus_cap), 4) + IF(TblMagic[[#This Row],[Active Howling]]&gt;0,howling_dp_bonus,IF(TblMagic[[#This Row],[Active Ares Call]]&gt;0,ares_call_bonus))</f>
        <v>0</v>
      </c>
      <c r="V115" s="249">
        <f ca="1">TblMili[[#This Row],[Non Draft]] * (1 + TblMili[[#This Row],[Mods_Def]])</f>
        <v>0</v>
      </c>
      <c r="W115" s="247">
        <f ca="1">TblMili[[#This Row],[Draft]] * (1 + TblMili[[#This Row],[Mods_Def]])</f>
        <v>747</v>
      </c>
      <c r="X115" s="247">
        <f ca="1">TblConstr[[#This Row],[Land]]</f>
        <v>110</v>
      </c>
      <c r="Y115" s="250"/>
      <c r="Z115" s="255">
        <f ca="1">IF(TblMili[[#This Row],[Set]]&lt;&gt;"",TblMili[[#This Row],[Set]],OFFSET(TblMili[[#This Row],[Draftrate]],-1,0))</f>
        <v>0.9</v>
      </c>
      <c r="AA115" s="94">
        <f ca="1">OFFSET(TblMili[[#This Row],[Draftees]],-1,0)+OFFSET(TblPop[[#This Row],[Draft Growth]],-1,0) - SUM(TblMili[[#This Row],[Train Unit 1]:[Train Spies]],TblMili[[#This Row],[Train Wiz]],TblMili[[#This Row],[DnD_Zombies]]) - TblMili[[#This Row],[Release Draft]] + SUM(TblMili[[#This Row],[Release Unit 1]:[Release AM]]) - TblExplore[[#This Row],[Draftees (2)]]</f>
        <v>747</v>
      </c>
      <c r="AB115" s="154"/>
      <c r="AC115" s="180">
        <f ca="1">(TblConstr[[#This Row],[Tot Smi]]+TblConstr[[#This Row],[Dest Smi]])/(TblConstr[[#This Row],[Land]]-TblExplore[[#This Row],[Land Bonus]]*20)</f>
        <v>0</v>
      </c>
      <c r="AD115" s="137"/>
      <c r="AE115" s="246">
        <f>TblMili[[#This Row],[Hour]]</f>
        <v>112</v>
      </c>
      <c r="AF115" s="138">
        <f ca="1">TblExplore[[#This Row],[Time]]</f>
        <v>46051.624999999731</v>
      </c>
      <c r="AG115" s="179"/>
      <c r="AH115" s="179"/>
      <c r="AI115" s="179"/>
      <c r="AJ115" s="179"/>
      <c r="AK115" s="179"/>
      <c r="AL115" s="179"/>
      <c r="AM115" s="179"/>
      <c r="AN115" s="179"/>
      <c r="AO115" s="420">
        <f ca="1">ROUND(IF(AND(TblMagic[[#This Row],[Active DnD]]&lt;12,TblMagic[[#This Row],[Active DnD]]&gt;5),OFFSET(TblPop[[#This Row],[Draft Growth]],-1,0)*0.375,0),0)</f>
        <v>0</v>
      </c>
      <c r="AP115" s="142"/>
      <c r="AQ115" s="94">
        <f ca="1">TblProd[[#This Row],[Platinum]]</f>
        <v>211167</v>
      </c>
      <c r="AR115" s="94">
        <f ca="1">INDEX(TblProd[[#Headers],[Lumber]]:TblProd[[#This Row],[Ore]],COUNTA(TblProd[[#Headers],[Lumber]]:TblProd[[#This Row],[Lumber]]),MATCH(Military!$AR$2,TblProd[[#Headers],[Lumber]:[Ore]],0))</f>
        <v>0</v>
      </c>
      <c r="AS11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5" s="94">
        <f ca="1">TblMili[[#This Row],[Train Unit 1]]*TblMili[[#This Row],[OP Ore]]+TblMili[[#This Row],[Train Unit 2]]*TblMili[[#This Row],[DP Ore]]+TblMili[[#This Row],[Train Unit 3]]*TblMili[[#This Row],[E1 Ore]]+TblMili[[#This Row],[Train Unit 4]]*TblMili[[#This Row],[E2 Ore]]</f>
        <v>0</v>
      </c>
      <c r="AU115" s="142">
        <f>TblMili[[#This Row],[Hour]]</f>
        <v>112</v>
      </c>
      <c r="AV115" s="152">
        <f ca="1">TblMili[[#This Row],[Time]]</f>
        <v>46051.624999999731</v>
      </c>
      <c r="AW115" s="94">
        <f ca="1">TblMili[[#This Row],[Draftees]]</f>
        <v>747</v>
      </c>
      <c r="AX115" s="179"/>
      <c r="AY115" s="179"/>
      <c r="AZ115" s="179"/>
      <c r="BA115" s="179"/>
      <c r="BB115" s="179"/>
      <c r="BC115" s="179"/>
      <c r="BD115" s="179"/>
      <c r="BE115" s="179"/>
      <c r="BF115" s="179"/>
      <c r="BG115" s="142"/>
      <c r="BH115" s="157">
        <f ca="1">TblConstr[[#This Row],[Tot WG]]/TblConstr[[#This Row],[Land]]</f>
        <v>0</v>
      </c>
      <c r="BI115" s="157">
        <f ca="1">TblConstr[[#This Row],[Tot Hav]]/TblConstr[[#This Row],[Land]]</f>
        <v>0</v>
      </c>
      <c r="BJ115" s="94">
        <f ca="1">ROUNDUP((1-MIN(TblMili[[#This Row],[Smithies]]*smithy_bonus,smithy_bonus_cap) + tech_3_5*TblTech[[#This Row],[3-5]] + tech_5_3*TblTech[[#This Row],[5-3]] + tech_5_5*TblTech[[#This Row],[5-5]])*spec_op_plat,0)</f>
        <v>275</v>
      </c>
      <c r="BK115" s="94">
        <f ca="1">ROUNDUP(IF(race="Gnome",1,(1-MIN(TblMili[[#This Row],[Smithies]]*smithy_bonus,smithy_bonus_cap) + tech_3_5*TblTech[[#This Row],[3-5]] + tech_5_3*TblTech[[#This Row],[5-3]] + tech_5_5*TblTech[[#This Row],[5-5]]))*spec_op_ore,0)</f>
        <v>25</v>
      </c>
      <c r="BL115" s="94">
        <f ca="1">ROUNDUP((1-MIN(TblMili[[#This Row],[Smithies]]*smithy_bonus,smithy_bonus_cap) + tech_3_5*TblTech[[#This Row],[3-5]] + tech_5_3*TblTech[[#This Row],[5-3]] + tech_5_5*TblTech[[#This Row],[5-5]])*spec_dp_plat,0)</f>
        <v>275</v>
      </c>
      <c r="BM115" s="94">
        <f ca="1">ROUNDUP(IF(race="Gnome",1,(1-MIN(TblMili[[#This Row],[Smithies]]*smithy_bonus,smithy_bonus_cap) + tech_3_5*TblTech[[#This Row],[3-5]] + tech_5_3*TblTech[[#This Row],[5-3]] + tech_5_5*TblTech[[#This Row],[5-5]]))*spec_dp_ore,0)</f>
        <v>15</v>
      </c>
      <c r="BN115" s="94">
        <f ca="1">ROUNDUP((1-MIN(TblMili[[#This Row],[Smithies]]*smithy_bonus,smithy_bonus_cap) + tech_3_5*TblTech[[#This Row],[3-5]] + tech_5_3*TblTech[[#This Row],[5-3]] + tech_5_5*TblTech[[#This Row],[5-5]])*elite1_plat,0)</f>
        <v>1040</v>
      </c>
      <c r="BO115" s="94">
        <f ca="1">ROUNDUP(IF(race="Gnome",1,(1-MIN(TblMili[[#This Row],[Smithies]]*smithy_bonus,smithy_bonus_cap) + tech_3_5*TblTech[[#This Row],[3-5]] + tech_5_3*TblTech[[#This Row],[5-3]] + tech_5_5*TblTech[[#This Row],[5-5]]))*elite1_ore,0)</f>
        <v>75</v>
      </c>
      <c r="BP115" s="94">
        <f ca="1">ROUNDUP((1-MIN(TblMili[[#This Row],[Smithies]]*smithy_bonus,smithy_bonus_cap) + tech_3_5*TblTech[[#This Row],[3-5]] + tech_5_3*TblTech[[#This Row],[5-3]] + tech_5_5*TblTech[[#This Row],[5-5]])*elite2_plat,0)</f>
        <v>1280</v>
      </c>
      <c r="BQ115" s="94">
        <f ca="1">ROUNDUP(IF(race="Gnome",1,(1-MIN(TblMili[[#This Row],[Smithies]]*smithy_bonus,smithy_bonus_cap) + tech_3_5*TblTech[[#This Row],[3-5]] + tech_5_3*TblTech[[#This Row],[5-3]] + tech_5_5*TblTech[[#This Row],[5-5]]))*elite2_ore,0)</f>
        <v>100</v>
      </c>
      <c r="BR115" s="94">
        <f ca="1">ROUNDUP((1-MIN(ROUND(fh_spy_cost_red*TblMili[[#This Row],[FH''s]],4),fh_spy_cost_cap)+ tech_1_9*TblTech[[#This Row],[1-9]] + tech_9_1*TblTech[[#This Row],[9-1]])*spy_plat,0)</f>
        <v>500</v>
      </c>
      <c r="BS115" s="94">
        <f ca="1">ROUNDUP((1-MIN(ROUND(fh_spy_cost_red*TblMili[[#This Row],[FH''s]],4),fh_spy_cost_cap)+ tech_1_9*TblTech[[#This Row],[1-9]] + tech_9_1*TblTech[[#This Row],[9-1]])*archspy_plat,0)</f>
        <v>1000</v>
      </c>
      <c r="BT115" s="94">
        <f ca="1">ROUNDUP((1-MIN(ROUND(wg_wiz_cost_bonus*TblMili[[#This Row],[WG''s]],4),wg_wiz_cost_cap) + tech_1_9_2*TblTech[[#This Row],[1-9]] + tech_9_1_2*TblTech[[#This Row],[9-1]])*wizard_plat,0)</f>
        <v>500</v>
      </c>
      <c r="BU115" s="94">
        <f ca="1">ROUNDUP((1-MIN(ROUND(wg_wiz_cost_bonus*TblMili[[#This Row],[WG''s]],4),wg_wiz_cost_cap) + tech_1_9_2*TblTech[[#This Row],[1-9]] + tech_9_1_2*TblTech[[#This Row],[9-1]])*archmage_plat,0)</f>
        <v>1000</v>
      </c>
      <c r="BV115" s="142"/>
      <c r="BW115" s="157">
        <f ca="1">TblConstr[[#This Row],[Homeland]]/TblConstr[[#This Row],[Land]]</f>
        <v>0.81818181818181823</v>
      </c>
      <c r="BX115" s="157">
        <f ca="1">TblMili[[#This Row],[WG''s]]</f>
        <v>0</v>
      </c>
      <c r="BY115" s="251">
        <f ca="1">IF(mystic_cap="none",TblMili[[#This Row],[Homeland%]]/mystic_bonus,MIN(mystic_cap,TblMili[[#This Row],[Homeland%]]/mystic_bonus))</f>
        <v>2</v>
      </c>
      <c r="BZ115" s="251">
        <f ca="1">IF(druid_op_cap="none",TblMili[[#This Row],[Homeland%]]/druid_op_bonus,MIN(druid_op_cap,TblMili[[#This Row],[Homeland%]]/druid_op_bonus))</f>
        <v>2</v>
      </c>
      <c r="CA115" s="251">
        <f ca="1">IF(druid_dp_cap="none",TblMili[[#This Row],[Homeland%]]/druid_dp_bonus,MIN(druid_dp_cap,TblMili[[#This Row],[Homeland%]]/druid_dp_bonus))</f>
        <v>2</v>
      </c>
      <c r="CB115" s="251">
        <f ca="1">MIN(dryad_cap,TblMili[[#This Row],[Homeland%]]/dryad_bonus)</f>
        <v>4</v>
      </c>
      <c r="CC115" s="251">
        <f ca="1">MIN(rocka_cap,TblMili[[#This Row],[Homeland%]]/rocka_bonus)</f>
        <v>2</v>
      </c>
      <c r="CD115" s="251">
        <f ca="1">MIN(adept_op_cap,TblMili[[#This Row],[WG]]/adept_op_bonus)</f>
        <v>0</v>
      </c>
      <c r="CE115" s="251">
        <f ca="1">MIN(adept_dp_cap,TblMili[[#This Row],[WG]]/adept_dp_bonus)</f>
        <v>0</v>
      </c>
      <c r="CF115" s="94">
        <f ca="1">MIN(TblMili[[#This Row],[Unit 3]],TblMili[[#This Row],[Unit 2]])*2</f>
        <v>0</v>
      </c>
      <c r="CG115" s="94">
        <f ca="1">MIN(TblMili[[#This Row],[Unit 1]],TblMili[[#This Row],[Unit 4]])*2</f>
        <v>0</v>
      </c>
      <c r="CH115" s="251">
        <f ca="1">MIN(frost_mage_cap,TblMili[[#This Row],[Homeland%]]/frost_mage_bonus)</f>
        <v>3</v>
      </c>
      <c r="CI115" s="45">
        <f ca="1">MIN(ice_elem_cap,TblMili[[#This Row],[Raw (2)]]*ice_elem_bonus)</f>
        <v>0</v>
      </c>
      <c r="CJ115" s="251">
        <f t="shared" si="4"/>
        <v>0.83333333333333337</v>
      </c>
      <c r="CK115" s="251">
        <f ca="1">MIN(nox_nightshade_cap,TblConstr[[#This Row],[Homeland]]/TblConstr[[#This Row],[Land]]/nox_nightshade_swamp_bonus)</f>
        <v>4</v>
      </c>
      <c r="CL115" s="251">
        <f ca="1">MIN(TblConstr[[#This Row],[Total Swamp]]/TblConstr[[#This Row],[Land]]/abyss_enforce_bonus,abyss_enforcer_cap)</f>
        <v>0</v>
      </c>
      <c r="CM115" s="251">
        <f ca="1">IF(TblMagic[[#This Row],[Active Infernal Command]]&gt;0,TblMili[[#This Row],[Unit 1]]*infernal_cmd_op,0)</f>
        <v>0</v>
      </c>
      <c r="CN115" s="252"/>
      <c r="CO115" s="252"/>
      <c r="CP115" s="252"/>
      <c r="CQ115" s="251">
        <f ca="1">MIN(6,TblMili[[#This Row],[Mystic]]+Races!$F$19)*1.8 +  IF(TblMili[[#This Row],[Mystic]]+Races!$F$19&gt;6,(TblMili[[#This Row],[Mystic]]+Races!$F$19-6)*0.2,0) - Races!$I$19</f>
        <v>1</v>
      </c>
      <c r="CR11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5" s="94">
        <f ca="1">TblMili[[#This Row],[Mystic bonus]]*TblMili[[#This Row],[Unit 3]]+TblMili[[#This Row],[Druid bonus]]*TblMili[[#This Row],[Unit 4]]</f>
        <v>0</v>
      </c>
      <c r="CT115" s="155">
        <f ca="1">MIN(6,TblMili[[#This Row],[Dryad]]+Races!$F$35)*1.8 +  IF(TblMili[[#This Row],[Dryad]]+Races!$F$35&gt;6,(TblMili[[#This Row],[Dryad]]+Races!$F$35-6)*0.2,0) - Races!$I$19</f>
        <v>1</v>
      </c>
      <c r="CU115" s="94">
        <f ca="1">sylvan*(TblMili[[#This Row],[Mystic bonus]]*TblMili[[#This Row],[Unit 3]])</f>
        <v>0</v>
      </c>
      <c r="CV115" s="155">
        <f ca="1">1.8 * MIN(MAX(Races!$E$27,TblMili[[#This Row],[Rockapult]]+Races!$F$27),6)  +  0.45 * MIN(MIN(Races!$E$27,TblMili[[#This Row],[Rockapult]]+Races!$F$27),6)  +  0.2 * ( MAX(Races!$E$27-6,0) + MAX(TblMili[[#This Row],[Rockapult]]+Races!$F$27-6,0) )  -  Races!$I$20</f>
        <v>3.7000000000000011</v>
      </c>
      <c r="CW115" s="94">
        <f ca="1">gnome*(TblMili[[#This Row],[Rockapult bonus]]*TblMili[[#This Row],[Unit 3]])</f>
        <v>0</v>
      </c>
      <c r="CX11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5" s="94">
        <f ca="1">dark_elf*(TblMili[[#This Row],[Adept bonus]]*TblMili[[#This Row],[Unit 3]])</f>
        <v>0</v>
      </c>
      <c r="CZ115" s="155">
        <f ca="1">1.8 * MIN(MAX(TblMili[[#This Row],[Frost Mage]]+Races!$F$71,Races!$E$71),6)  +  0.45 * MIN(MIN(TblMili[[#This Row],[Frost Mage]]+Races!$F$71,Races!$E$71),6)  +  0.2 * ( MAX(TblMili[[#This Row],[Frost Mage]]+Races!$F$71-6,0) + MAX(Races!$E$71-6,0) )  -  Races!$I$71</f>
        <v>6.15</v>
      </c>
      <c r="DA115" s="155">
        <f ca="1">1.8 * MIN(MAX(TblMili[[#This Row],[Ice Elemental]]+Races!$E$71,Races!$F$71),6)  +  0.45 * MIN(MIN(TblMili[[#This Row],[Ice Elemental]]+Races!$E$71,Races!$F$71),6)  +  0.2 * ( MAX(TblMili[[#This Row],[Ice Elemental]]+Races!$E$71-6,0) + MAX(Races!$F$71-6,0) )  -  Races!$I$71</f>
        <v>0.75</v>
      </c>
      <c r="DB115" s="94">
        <f ca="1">TblMili[[#This Row],[Frost Mage bonus]]*TblMili[[#This Row],[Unit 3]]+TblMili[[#This Row],[Ice Elemental bonus]]*TblMili[[#This Row],[Unit 4]]</f>
        <v>0</v>
      </c>
      <c r="DC115" s="253"/>
      <c r="DD115" s="143">
        <f ca="1">MIN(SUM(TblConstr[[#This Row],[Plain]:[Water]])/TblMili[[#This Row],[Land]]/favorable_terrain_bonus/100,favorable_terrain_max)</f>
        <v>0.1</v>
      </c>
      <c r="DE115" s="253"/>
      <c r="DF11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5" s="142"/>
      <c r="DH115" s="254">
        <f ca="1">(TblMili[[#This Row],[Wizards]]+2*TblMili[[#This Row],[Archmages]])/TblConstr[[#This Row],[Land]]</f>
        <v>0</v>
      </c>
      <c r="DI115" s="254">
        <f ca="1">TblMili[[#This Row],[Raw (2)]]*(1+race_wizard_strength+IF(TblMili[[#This Row],[Hour]]&gt;72,tech_magical_weaponry_wiz*TblTech[[#This Row],[3-5]],0))</f>
        <v>0</v>
      </c>
    </row>
    <row r="116" spans="1:113" x14ac:dyDescent="0.2">
      <c r="A116" s="137">
        <f>TblRezone[[#This Row],[Hour]]</f>
        <v>113</v>
      </c>
      <c r="B116" s="246">
        <f ca="1">SUM(TblMili[[#This Row],[Unit 1]:[Archmages]])+SUM(OFFSET(TblMili[[#This Row],[Train Unit 1]],-8,0):TblMili[[#This Row],[Train Unit 2]]) + SUM(OFFSET(TblMili[[#This Row],[Train Unit 3]],-11,0):TblMili[[#This Row],[Train AM]]) + TblMili[[#This Row],[Draftees]]</f>
        <v>750</v>
      </c>
      <c r="C116" s="157">
        <f ca="1">TblPop[[#This Row],[Military%]]</f>
        <v>0.69702602230483268</v>
      </c>
      <c r="D116" s="142"/>
      <c r="E116" s="45">
        <f ca="1">OFFSET(TblMili[[#This Row],[Unit 1]],-1,0) + OFFSET(TblMili[[#This Row],[Train Unit 1]],-9,0) - TblMili[[#This Row],[Release Unit 1]] + OFFSET(TblMili[[#This Row],[DnD_Zombies]],-12,0)</f>
        <v>0</v>
      </c>
      <c r="F116" s="45">
        <f ca="1">OFFSET(TblMili[[#This Row],[Unit 2]],-1,0) + OFFSET(TblMili[[#This Row],[Train Unit 2]],-9,0)-TblMili[[#This Row],[Release Unit 2]]</f>
        <v>0</v>
      </c>
      <c r="G116" s="45">
        <f ca="1">OFFSET(TblMili[[#This Row],[Unit 3]],-1,0) + OFFSET(TblMili[[#This Row],[Train Unit 3]],-12,0)-TblMili[[#This Row],[Release Unit 3]]</f>
        <v>0</v>
      </c>
      <c r="H116" s="45">
        <f ca="1">OFFSET(TblMili[[#This Row],[Unit 4]],-1,0) + OFFSET(TblMili[[#This Row],[Train Unit 4]],-12,0)-TblMili[[#This Row],[Release Unit 4]]</f>
        <v>0</v>
      </c>
      <c r="I116" s="45">
        <f ca="1">OFFSET(TblMili[[#This Row],[Spies]],-1,0) + OFFSET(TblMili[[#This Row],[Train Spies]],-12,0) - TblMili[[#This Row],[Release Spies]]-TblMili[[#This Row],[Train AS]]</f>
        <v>0</v>
      </c>
      <c r="J116" s="45">
        <f ca="1">OFFSET(TblMili[[#This Row],[Archspies]],-1,0) + OFFSET(TblMili[[#This Row],[Train AS]],-12,0) - TblMili[[#This Row],[Release AS]]</f>
        <v>0</v>
      </c>
      <c r="K116" s="45">
        <f ca="1">OFFSET(TblMili[[#This Row],[Wizards]],-1,0) + OFFSET(TblMili[[#This Row],[Train Wiz]],-12,0) - TblMili[[#This Row],[Release Wizards]]-TblMili[[#This Row],[Train AM]]</f>
        <v>0</v>
      </c>
      <c r="L116" s="45">
        <f ca="1">OFFSET(TblMili[[#This Row],[Archmages]],-1,0) + OFFSET(TblMili[[#This Row],[Train AM]],-12,0) - TblMili[[#This Row],[Release AM]]</f>
        <v>0</v>
      </c>
      <c r="M116" s="142"/>
      <c r="N116" s="94">
        <f ca="1">TblProd[[#This Row],[Networth]]</f>
        <v>2450</v>
      </c>
      <c r="O116" s="142"/>
      <c r="P11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6" s="247">
        <f ca="1">TblMili[[#This Row],[Raw]]*(1+TblMili[[#This Row],[Mods_Off]])</f>
        <v>0</v>
      </c>
      <c r="S11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6" s="247">
        <f ca="1">TblMili[[#This Row],[Non Draft]]+TblMili[[#This Row],[Draftees]]</f>
        <v>750</v>
      </c>
      <c r="U116" s="248">
        <f ca="1">race_defense + TblImps[[#This Row],[Walls]] + ROUND( MIN(gt_bonus*TblConstr[[#This Row],[Tot GT]]/TblConstr[[#This Row],[Land]],gt_bonus_cap), 4) + IF(TblMagic[[#This Row],[Active Howling]]&gt;0,howling_dp_bonus,IF(TblMagic[[#This Row],[Active Ares Call]]&gt;0,ares_call_bonus))</f>
        <v>0</v>
      </c>
      <c r="V116" s="249">
        <f ca="1">TblMili[[#This Row],[Non Draft]] * (1 + TblMili[[#This Row],[Mods_Def]])</f>
        <v>0</v>
      </c>
      <c r="W116" s="247">
        <f ca="1">TblMili[[#This Row],[Draft]] * (1 + TblMili[[#This Row],[Mods_Def]])</f>
        <v>750</v>
      </c>
      <c r="X116" s="247">
        <f ca="1">TblConstr[[#This Row],[Land]]</f>
        <v>110</v>
      </c>
      <c r="Y116" s="250"/>
      <c r="Z116" s="255">
        <f ca="1">IF(TblMili[[#This Row],[Set]]&lt;&gt;"",TblMili[[#This Row],[Set]],OFFSET(TblMili[[#This Row],[Draftrate]],-1,0))</f>
        <v>0.9</v>
      </c>
      <c r="AA116" s="94">
        <f ca="1">OFFSET(TblMili[[#This Row],[Draftees]],-1,0)+OFFSET(TblPop[[#This Row],[Draft Growth]],-1,0) - SUM(TblMili[[#This Row],[Train Unit 1]:[Train Spies]],TblMili[[#This Row],[Train Wiz]],TblMili[[#This Row],[DnD_Zombies]]) - TblMili[[#This Row],[Release Draft]] + SUM(TblMili[[#This Row],[Release Unit 1]:[Release AM]]) - TblExplore[[#This Row],[Draftees (2)]]</f>
        <v>750</v>
      </c>
      <c r="AB116" s="154"/>
      <c r="AC116" s="180">
        <f ca="1">(TblConstr[[#This Row],[Tot Smi]]+TblConstr[[#This Row],[Dest Smi]])/(TblConstr[[#This Row],[Land]]-TblExplore[[#This Row],[Land Bonus]]*20)</f>
        <v>0</v>
      </c>
      <c r="AD116" s="137"/>
      <c r="AE116" s="246">
        <f>TblMili[[#This Row],[Hour]]</f>
        <v>113</v>
      </c>
      <c r="AF116" s="138">
        <f ca="1">TblExplore[[#This Row],[Time]]</f>
        <v>46051.666666666395</v>
      </c>
      <c r="AG116" s="179"/>
      <c r="AH116" s="179"/>
      <c r="AI116" s="179"/>
      <c r="AJ116" s="179"/>
      <c r="AK116" s="179"/>
      <c r="AL116" s="179"/>
      <c r="AM116" s="179"/>
      <c r="AN116" s="179"/>
      <c r="AO116" s="420">
        <f ca="1">ROUND(IF(AND(TblMagic[[#This Row],[Active DnD]]&lt;12,TblMagic[[#This Row],[Active DnD]]&gt;5),OFFSET(TblPop[[#This Row],[Draft Growth]],-1,0)*0.375,0),0)</f>
        <v>0</v>
      </c>
      <c r="AP116" s="142"/>
      <c r="AQ116" s="94">
        <f ca="1">TblProd[[#This Row],[Platinum]]</f>
        <v>212055</v>
      </c>
      <c r="AR116" s="94">
        <f ca="1">INDEX(TblProd[[#Headers],[Lumber]]:TblProd[[#This Row],[Ore]],COUNTA(TblProd[[#Headers],[Lumber]]:TblProd[[#This Row],[Lumber]]),MATCH(Military!$AR$2,TblProd[[#Headers],[Lumber]:[Ore]],0))</f>
        <v>0</v>
      </c>
      <c r="AS11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6" s="94">
        <f ca="1">TblMili[[#This Row],[Train Unit 1]]*TblMili[[#This Row],[OP Ore]]+TblMili[[#This Row],[Train Unit 2]]*TblMili[[#This Row],[DP Ore]]+TblMili[[#This Row],[Train Unit 3]]*TblMili[[#This Row],[E1 Ore]]+TblMili[[#This Row],[Train Unit 4]]*TblMili[[#This Row],[E2 Ore]]</f>
        <v>0</v>
      </c>
      <c r="AU116" s="142">
        <f>TblMili[[#This Row],[Hour]]</f>
        <v>113</v>
      </c>
      <c r="AV116" s="152">
        <f ca="1">TblMili[[#This Row],[Time]]</f>
        <v>46051.666666666395</v>
      </c>
      <c r="AW116" s="94">
        <f ca="1">TblMili[[#This Row],[Draftees]]</f>
        <v>750</v>
      </c>
      <c r="AX116" s="179"/>
      <c r="AY116" s="179"/>
      <c r="AZ116" s="179"/>
      <c r="BA116" s="179"/>
      <c r="BB116" s="179"/>
      <c r="BC116" s="179"/>
      <c r="BD116" s="179"/>
      <c r="BE116" s="179"/>
      <c r="BF116" s="179"/>
      <c r="BG116" s="142"/>
      <c r="BH116" s="157">
        <f ca="1">TblConstr[[#This Row],[Tot WG]]/TblConstr[[#This Row],[Land]]</f>
        <v>0</v>
      </c>
      <c r="BI116" s="157">
        <f ca="1">TblConstr[[#This Row],[Tot Hav]]/TblConstr[[#This Row],[Land]]</f>
        <v>0</v>
      </c>
      <c r="BJ116" s="94">
        <f ca="1">ROUNDUP((1-MIN(TblMili[[#This Row],[Smithies]]*smithy_bonus,smithy_bonus_cap) + tech_3_5*TblTech[[#This Row],[3-5]] + tech_5_3*TblTech[[#This Row],[5-3]] + tech_5_5*TblTech[[#This Row],[5-5]])*spec_op_plat,0)</f>
        <v>275</v>
      </c>
      <c r="BK116" s="94">
        <f ca="1">ROUNDUP(IF(race="Gnome",1,(1-MIN(TblMili[[#This Row],[Smithies]]*smithy_bonus,smithy_bonus_cap) + tech_3_5*TblTech[[#This Row],[3-5]] + tech_5_3*TblTech[[#This Row],[5-3]] + tech_5_5*TblTech[[#This Row],[5-5]]))*spec_op_ore,0)</f>
        <v>25</v>
      </c>
      <c r="BL116" s="94">
        <f ca="1">ROUNDUP((1-MIN(TblMili[[#This Row],[Smithies]]*smithy_bonus,smithy_bonus_cap) + tech_3_5*TblTech[[#This Row],[3-5]] + tech_5_3*TblTech[[#This Row],[5-3]] + tech_5_5*TblTech[[#This Row],[5-5]])*spec_dp_plat,0)</f>
        <v>275</v>
      </c>
      <c r="BM116" s="94">
        <f ca="1">ROUNDUP(IF(race="Gnome",1,(1-MIN(TblMili[[#This Row],[Smithies]]*smithy_bonus,smithy_bonus_cap) + tech_3_5*TblTech[[#This Row],[3-5]] + tech_5_3*TblTech[[#This Row],[5-3]] + tech_5_5*TblTech[[#This Row],[5-5]]))*spec_dp_ore,0)</f>
        <v>15</v>
      </c>
      <c r="BN116" s="94">
        <f ca="1">ROUNDUP((1-MIN(TblMili[[#This Row],[Smithies]]*smithy_bonus,smithy_bonus_cap) + tech_3_5*TblTech[[#This Row],[3-5]] + tech_5_3*TblTech[[#This Row],[5-3]] + tech_5_5*TblTech[[#This Row],[5-5]])*elite1_plat,0)</f>
        <v>1040</v>
      </c>
      <c r="BO116" s="94">
        <f ca="1">ROUNDUP(IF(race="Gnome",1,(1-MIN(TblMili[[#This Row],[Smithies]]*smithy_bonus,smithy_bonus_cap) + tech_3_5*TblTech[[#This Row],[3-5]] + tech_5_3*TblTech[[#This Row],[5-3]] + tech_5_5*TblTech[[#This Row],[5-5]]))*elite1_ore,0)</f>
        <v>75</v>
      </c>
      <c r="BP116" s="94">
        <f ca="1">ROUNDUP((1-MIN(TblMili[[#This Row],[Smithies]]*smithy_bonus,smithy_bonus_cap) + tech_3_5*TblTech[[#This Row],[3-5]] + tech_5_3*TblTech[[#This Row],[5-3]] + tech_5_5*TblTech[[#This Row],[5-5]])*elite2_plat,0)</f>
        <v>1280</v>
      </c>
      <c r="BQ116" s="94">
        <f ca="1">ROUNDUP(IF(race="Gnome",1,(1-MIN(TblMili[[#This Row],[Smithies]]*smithy_bonus,smithy_bonus_cap) + tech_3_5*TblTech[[#This Row],[3-5]] + tech_5_3*TblTech[[#This Row],[5-3]] + tech_5_5*TblTech[[#This Row],[5-5]]))*elite2_ore,0)</f>
        <v>100</v>
      </c>
      <c r="BR116" s="94">
        <f ca="1">ROUNDUP((1-MIN(ROUND(fh_spy_cost_red*TblMili[[#This Row],[FH''s]],4),fh_spy_cost_cap)+ tech_1_9*TblTech[[#This Row],[1-9]] + tech_9_1*TblTech[[#This Row],[9-1]])*spy_plat,0)</f>
        <v>500</v>
      </c>
      <c r="BS116" s="94">
        <f ca="1">ROUNDUP((1-MIN(ROUND(fh_spy_cost_red*TblMili[[#This Row],[FH''s]],4),fh_spy_cost_cap)+ tech_1_9*TblTech[[#This Row],[1-9]] + tech_9_1*TblTech[[#This Row],[9-1]])*archspy_plat,0)</f>
        <v>1000</v>
      </c>
      <c r="BT116" s="94">
        <f ca="1">ROUNDUP((1-MIN(ROUND(wg_wiz_cost_bonus*TblMili[[#This Row],[WG''s]],4),wg_wiz_cost_cap) + tech_1_9_2*TblTech[[#This Row],[1-9]] + tech_9_1_2*TblTech[[#This Row],[9-1]])*wizard_plat,0)</f>
        <v>500</v>
      </c>
      <c r="BU116" s="94">
        <f ca="1">ROUNDUP((1-MIN(ROUND(wg_wiz_cost_bonus*TblMili[[#This Row],[WG''s]],4),wg_wiz_cost_cap) + tech_1_9_2*TblTech[[#This Row],[1-9]] + tech_9_1_2*TblTech[[#This Row],[9-1]])*archmage_plat,0)</f>
        <v>1000</v>
      </c>
      <c r="BV116" s="142"/>
      <c r="BW116" s="157">
        <f ca="1">TblConstr[[#This Row],[Homeland]]/TblConstr[[#This Row],[Land]]</f>
        <v>0.81818181818181823</v>
      </c>
      <c r="BX116" s="157">
        <f ca="1">TblMili[[#This Row],[WG''s]]</f>
        <v>0</v>
      </c>
      <c r="BY116" s="251">
        <f ca="1">IF(mystic_cap="none",TblMili[[#This Row],[Homeland%]]/mystic_bonus,MIN(mystic_cap,TblMili[[#This Row],[Homeland%]]/mystic_bonus))</f>
        <v>2</v>
      </c>
      <c r="BZ116" s="251">
        <f ca="1">IF(druid_op_cap="none",TblMili[[#This Row],[Homeland%]]/druid_op_bonus,MIN(druid_op_cap,TblMili[[#This Row],[Homeland%]]/druid_op_bonus))</f>
        <v>2</v>
      </c>
      <c r="CA116" s="251">
        <f ca="1">IF(druid_dp_cap="none",TblMili[[#This Row],[Homeland%]]/druid_dp_bonus,MIN(druid_dp_cap,TblMili[[#This Row],[Homeland%]]/druid_dp_bonus))</f>
        <v>2</v>
      </c>
      <c r="CB116" s="251">
        <f ca="1">MIN(dryad_cap,TblMili[[#This Row],[Homeland%]]/dryad_bonus)</f>
        <v>4</v>
      </c>
      <c r="CC116" s="251">
        <f ca="1">MIN(rocka_cap,TblMili[[#This Row],[Homeland%]]/rocka_bonus)</f>
        <v>2</v>
      </c>
      <c r="CD116" s="251">
        <f ca="1">MIN(adept_op_cap,TblMili[[#This Row],[WG]]/adept_op_bonus)</f>
        <v>0</v>
      </c>
      <c r="CE116" s="251">
        <f ca="1">MIN(adept_dp_cap,TblMili[[#This Row],[WG]]/adept_dp_bonus)</f>
        <v>0</v>
      </c>
      <c r="CF116" s="94">
        <f ca="1">MIN(TblMili[[#This Row],[Unit 3]],TblMili[[#This Row],[Unit 2]])*2</f>
        <v>0</v>
      </c>
      <c r="CG116" s="94">
        <f ca="1">MIN(TblMili[[#This Row],[Unit 1]],TblMili[[#This Row],[Unit 4]])*2</f>
        <v>0</v>
      </c>
      <c r="CH116" s="251">
        <f ca="1">MIN(frost_mage_cap,TblMili[[#This Row],[Homeland%]]/frost_mage_bonus)</f>
        <v>3</v>
      </c>
      <c r="CI116" s="45">
        <f ca="1">MIN(ice_elem_cap,TblMili[[#This Row],[Raw (2)]]*ice_elem_bonus)</f>
        <v>0</v>
      </c>
      <c r="CJ116" s="251">
        <f t="shared" si="4"/>
        <v>0.83333333333333337</v>
      </c>
      <c r="CK116" s="251">
        <f ca="1">MIN(nox_nightshade_cap,TblConstr[[#This Row],[Homeland]]/TblConstr[[#This Row],[Land]]/nox_nightshade_swamp_bonus)</f>
        <v>4</v>
      </c>
      <c r="CL116" s="251">
        <f ca="1">MIN(TblConstr[[#This Row],[Total Swamp]]/TblConstr[[#This Row],[Land]]/abyss_enforce_bonus,abyss_enforcer_cap)</f>
        <v>0</v>
      </c>
      <c r="CM116" s="251">
        <f ca="1">IF(TblMagic[[#This Row],[Active Infernal Command]]&gt;0,TblMili[[#This Row],[Unit 1]]*infernal_cmd_op,0)</f>
        <v>0</v>
      </c>
      <c r="CN116" s="252"/>
      <c r="CO116" s="252"/>
      <c r="CP116" s="252"/>
      <c r="CQ116" s="251">
        <f ca="1">MIN(6,TblMili[[#This Row],[Mystic]]+Races!$F$19)*1.8 +  IF(TblMili[[#This Row],[Mystic]]+Races!$F$19&gt;6,(TblMili[[#This Row],[Mystic]]+Races!$F$19-6)*0.2,0) - Races!$I$19</f>
        <v>1</v>
      </c>
      <c r="CR11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6" s="94">
        <f ca="1">TblMili[[#This Row],[Mystic bonus]]*TblMili[[#This Row],[Unit 3]]+TblMili[[#This Row],[Druid bonus]]*TblMili[[#This Row],[Unit 4]]</f>
        <v>0</v>
      </c>
      <c r="CT116" s="155">
        <f ca="1">MIN(6,TblMili[[#This Row],[Dryad]]+Races!$F$35)*1.8 +  IF(TblMili[[#This Row],[Dryad]]+Races!$F$35&gt;6,(TblMili[[#This Row],[Dryad]]+Races!$F$35-6)*0.2,0) - Races!$I$19</f>
        <v>1</v>
      </c>
      <c r="CU116" s="94">
        <f ca="1">sylvan*(TblMili[[#This Row],[Mystic bonus]]*TblMili[[#This Row],[Unit 3]])</f>
        <v>0</v>
      </c>
      <c r="CV116" s="155">
        <f ca="1">1.8 * MIN(MAX(Races!$E$27,TblMili[[#This Row],[Rockapult]]+Races!$F$27),6)  +  0.45 * MIN(MIN(Races!$E$27,TblMili[[#This Row],[Rockapult]]+Races!$F$27),6)  +  0.2 * ( MAX(Races!$E$27-6,0) + MAX(TblMili[[#This Row],[Rockapult]]+Races!$F$27-6,0) )  -  Races!$I$20</f>
        <v>3.7000000000000011</v>
      </c>
      <c r="CW116" s="94">
        <f ca="1">gnome*(TblMili[[#This Row],[Rockapult bonus]]*TblMili[[#This Row],[Unit 3]])</f>
        <v>0</v>
      </c>
      <c r="CX11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6" s="94">
        <f ca="1">dark_elf*(TblMili[[#This Row],[Adept bonus]]*TblMili[[#This Row],[Unit 3]])</f>
        <v>0</v>
      </c>
      <c r="CZ116" s="155">
        <f ca="1">1.8 * MIN(MAX(TblMili[[#This Row],[Frost Mage]]+Races!$F$71,Races!$E$71),6)  +  0.45 * MIN(MIN(TblMili[[#This Row],[Frost Mage]]+Races!$F$71,Races!$E$71),6)  +  0.2 * ( MAX(TblMili[[#This Row],[Frost Mage]]+Races!$F$71-6,0) + MAX(Races!$E$71-6,0) )  -  Races!$I$71</f>
        <v>6.15</v>
      </c>
      <c r="DA116" s="155">
        <f ca="1">1.8 * MIN(MAX(TblMili[[#This Row],[Ice Elemental]]+Races!$E$71,Races!$F$71),6)  +  0.45 * MIN(MIN(TblMili[[#This Row],[Ice Elemental]]+Races!$E$71,Races!$F$71),6)  +  0.2 * ( MAX(TblMili[[#This Row],[Ice Elemental]]+Races!$E$71-6,0) + MAX(Races!$F$71-6,0) )  -  Races!$I$71</f>
        <v>0.75</v>
      </c>
      <c r="DB116" s="94">
        <f ca="1">TblMili[[#This Row],[Frost Mage bonus]]*TblMili[[#This Row],[Unit 3]]+TblMili[[#This Row],[Ice Elemental bonus]]*TblMili[[#This Row],[Unit 4]]</f>
        <v>0</v>
      </c>
      <c r="DC116" s="253"/>
      <c r="DD116" s="143">
        <f ca="1">MIN(SUM(TblConstr[[#This Row],[Plain]:[Water]])/TblMili[[#This Row],[Land]]/favorable_terrain_bonus/100,favorable_terrain_max)</f>
        <v>0.1</v>
      </c>
      <c r="DE116" s="253"/>
      <c r="DF11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6" s="142"/>
      <c r="DH116" s="254">
        <f ca="1">(TblMili[[#This Row],[Wizards]]+2*TblMili[[#This Row],[Archmages]])/TblConstr[[#This Row],[Land]]</f>
        <v>0</v>
      </c>
      <c r="DI116" s="254">
        <f ca="1">TblMili[[#This Row],[Raw (2)]]*(1+race_wizard_strength+IF(TblMili[[#This Row],[Hour]]&gt;72,tech_magical_weaponry_wiz*TblTech[[#This Row],[3-5]],0))</f>
        <v>0</v>
      </c>
    </row>
    <row r="117" spans="1:113" x14ac:dyDescent="0.2">
      <c r="A117" s="137">
        <f>TblRezone[[#This Row],[Hour]]</f>
        <v>114</v>
      </c>
      <c r="B117" s="246">
        <f ca="1">SUM(TblMili[[#This Row],[Unit 1]:[Archmages]])+SUM(OFFSET(TblMili[[#This Row],[Train Unit 1]],-8,0):TblMili[[#This Row],[Train Unit 2]]) + SUM(OFFSET(TblMili[[#This Row],[Train Unit 3]],-11,0):TblMili[[#This Row],[Train AM]]) + TblMili[[#This Row],[Draftees]]</f>
        <v>753</v>
      </c>
      <c r="C117" s="157">
        <f ca="1">TblPop[[#This Row],[Military%]]</f>
        <v>0.69981412639405205</v>
      </c>
      <c r="D117" s="142"/>
      <c r="E117" s="45">
        <f ca="1">OFFSET(TblMili[[#This Row],[Unit 1]],-1,0) + OFFSET(TblMili[[#This Row],[Train Unit 1]],-9,0) - TblMili[[#This Row],[Release Unit 1]] + OFFSET(TblMili[[#This Row],[DnD_Zombies]],-12,0)</f>
        <v>0</v>
      </c>
      <c r="F117" s="45">
        <f ca="1">OFFSET(TblMili[[#This Row],[Unit 2]],-1,0) + OFFSET(TblMili[[#This Row],[Train Unit 2]],-9,0)-TblMili[[#This Row],[Release Unit 2]]</f>
        <v>0</v>
      </c>
      <c r="G117" s="45">
        <f ca="1">OFFSET(TblMili[[#This Row],[Unit 3]],-1,0) + OFFSET(TblMili[[#This Row],[Train Unit 3]],-12,0)-TblMili[[#This Row],[Release Unit 3]]</f>
        <v>0</v>
      </c>
      <c r="H117" s="45">
        <f ca="1">OFFSET(TblMili[[#This Row],[Unit 4]],-1,0) + OFFSET(TblMili[[#This Row],[Train Unit 4]],-12,0)-TblMili[[#This Row],[Release Unit 4]]</f>
        <v>0</v>
      </c>
      <c r="I117" s="45">
        <f ca="1">OFFSET(TblMili[[#This Row],[Spies]],-1,0) + OFFSET(TblMili[[#This Row],[Train Spies]],-12,0) - TblMili[[#This Row],[Release Spies]]-TblMili[[#This Row],[Train AS]]</f>
        <v>0</v>
      </c>
      <c r="J117" s="45">
        <f ca="1">OFFSET(TblMili[[#This Row],[Archspies]],-1,0) + OFFSET(TblMili[[#This Row],[Train AS]],-12,0) - TblMili[[#This Row],[Release AS]]</f>
        <v>0</v>
      </c>
      <c r="K117" s="45">
        <f ca="1">OFFSET(TblMili[[#This Row],[Wizards]],-1,0) + OFFSET(TblMili[[#This Row],[Train Wiz]],-12,0) - TblMili[[#This Row],[Release Wizards]]-TblMili[[#This Row],[Train AM]]</f>
        <v>0</v>
      </c>
      <c r="L117" s="45">
        <f ca="1">OFFSET(TblMili[[#This Row],[Archmages]],-1,0) + OFFSET(TblMili[[#This Row],[Train AM]],-12,0) - TblMili[[#This Row],[Release AM]]</f>
        <v>0</v>
      </c>
      <c r="M117" s="142"/>
      <c r="N117" s="94">
        <f ca="1">TblProd[[#This Row],[Networth]]</f>
        <v>2450</v>
      </c>
      <c r="O117" s="142"/>
      <c r="P11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7" s="247">
        <f ca="1">TblMili[[#This Row],[Raw]]*(1+TblMili[[#This Row],[Mods_Off]])</f>
        <v>0</v>
      </c>
      <c r="S11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7" s="247">
        <f ca="1">TblMili[[#This Row],[Non Draft]]+TblMili[[#This Row],[Draftees]]</f>
        <v>753</v>
      </c>
      <c r="U117" s="248">
        <f ca="1">race_defense + TblImps[[#This Row],[Walls]] + ROUND( MIN(gt_bonus*TblConstr[[#This Row],[Tot GT]]/TblConstr[[#This Row],[Land]],gt_bonus_cap), 4) + IF(TblMagic[[#This Row],[Active Howling]]&gt;0,howling_dp_bonus,IF(TblMagic[[#This Row],[Active Ares Call]]&gt;0,ares_call_bonus))</f>
        <v>0</v>
      </c>
      <c r="V117" s="249">
        <f ca="1">TblMili[[#This Row],[Non Draft]] * (1 + TblMili[[#This Row],[Mods_Def]])</f>
        <v>0</v>
      </c>
      <c r="W117" s="247">
        <f ca="1">TblMili[[#This Row],[Draft]] * (1 + TblMili[[#This Row],[Mods_Def]])</f>
        <v>753</v>
      </c>
      <c r="X117" s="247">
        <f ca="1">TblConstr[[#This Row],[Land]]</f>
        <v>110</v>
      </c>
      <c r="Y117" s="250"/>
      <c r="Z117" s="255">
        <f ca="1">IF(TblMili[[#This Row],[Set]]&lt;&gt;"",TblMili[[#This Row],[Set]],OFFSET(TblMili[[#This Row],[Draftrate]],-1,0))</f>
        <v>0.9</v>
      </c>
      <c r="AA117" s="94">
        <f ca="1">OFFSET(TblMili[[#This Row],[Draftees]],-1,0)+OFFSET(TblPop[[#This Row],[Draft Growth]],-1,0) - SUM(TblMili[[#This Row],[Train Unit 1]:[Train Spies]],TblMili[[#This Row],[Train Wiz]],TblMili[[#This Row],[DnD_Zombies]]) - TblMili[[#This Row],[Release Draft]] + SUM(TblMili[[#This Row],[Release Unit 1]:[Release AM]]) - TblExplore[[#This Row],[Draftees (2)]]</f>
        <v>753</v>
      </c>
      <c r="AB117" s="154"/>
      <c r="AC117" s="180">
        <f ca="1">(TblConstr[[#This Row],[Tot Smi]]+TblConstr[[#This Row],[Dest Smi]])/(TblConstr[[#This Row],[Land]]-TblExplore[[#This Row],[Land Bonus]]*20)</f>
        <v>0</v>
      </c>
      <c r="AD117" s="137"/>
      <c r="AE117" s="246">
        <f>TblMili[[#This Row],[Hour]]</f>
        <v>114</v>
      </c>
      <c r="AF117" s="138">
        <f ca="1">TblExplore[[#This Row],[Time]]</f>
        <v>46051.708333333059</v>
      </c>
      <c r="AG117" s="179"/>
      <c r="AH117" s="179"/>
      <c r="AI117" s="179"/>
      <c r="AJ117" s="179"/>
      <c r="AK117" s="179"/>
      <c r="AL117" s="179"/>
      <c r="AM117" s="179"/>
      <c r="AN117" s="179"/>
      <c r="AO117" s="420">
        <f ca="1">ROUND(IF(AND(TblMagic[[#This Row],[Active DnD]]&lt;12,TblMagic[[#This Row],[Active DnD]]&gt;5),OFFSET(TblPop[[#This Row],[Draft Growth]],-1,0)*0.375,0),0)</f>
        <v>0</v>
      </c>
      <c r="AP117" s="142"/>
      <c r="AQ117" s="94">
        <f ca="1">TblProd[[#This Row],[Platinum]]</f>
        <v>212935</v>
      </c>
      <c r="AR117" s="94">
        <f ca="1">INDEX(TblProd[[#Headers],[Lumber]]:TblProd[[#This Row],[Ore]],COUNTA(TblProd[[#Headers],[Lumber]]:TblProd[[#This Row],[Lumber]]),MATCH(Military!$AR$2,TblProd[[#Headers],[Lumber]:[Ore]],0))</f>
        <v>0</v>
      </c>
      <c r="AS11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7" s="94">
        <f ca="1">TblMili[[#This Row],[Train Unit 1]]*TblMili[[#This Row],[OP Ore]]+TblMili[[#This Row],[Train Unit 2]]*TblMili[[#This Row],[DP Ore]]+TblMili[[#This Row],[Train Unit 3]]*TblMili[[#This Row],[E1 Ore]]+TblMili[[#This Row],[Train Unit 4]]*TblMili[[#This Row],[E2 Ore]]</f>
        <v>0</v>
      </c>
      <c r="AU117" s="142">
        <f>TblMili[[#This Row],[Hour]]</f>
        <v>114</v>
      </c>
      <c r="AV117" s="152">
        <f ca="1">TblMili[[#This Row],[Time]]</f>
        <v>46051.708333333059</v>
      </c>
      <c r="AW117" s="94">
        <f ca="1">TblMili[[#This Row],[Draftees]]</f>
        <v>753</v>
      </c>
      <c r="AX117" s="179"/>
      <c r="AY117" s="179"/>
      <c r="AZ117" s="179"/>
      <c r="BA117" s="179"/>
      <c r="BB117" s="179"/>
      <c r="BC117" s="179"/>
      <c r="BD117" s="179"/>
      <c r="BE117" s="179"/>
      <c r="BF117" s="179"/>
      <c r="BG117" s="142"/>
      <c r="BH117" s="157">
        <f ca="1">TblConstr[[#This Row],[Tot WG]]/TblConstr[[#This Row],[Land]]</f>
        <v>0</v>
      </c>
      <c r="BI117" s="157">
        <f ca="1">TblConstr[[#This Row],[Tot Hav]]/TblConstr[[#This Row],[Land]]</f>
        <v>0</v>
      </c>
      <c r="BJ117" s="94">
        <f ca="1">ROUNDUP((1-MIN(TblMili[[#This Row],[Smithies]]*smithy_bonus,smithy_bonus_cap) + tech_3_5*TblTech[[#This Row],[3-5]] + tech_5_3*TblTech[[#This Row],[5-3]] + tech_5_5*TblTech[[#This Row],[5-5]])*spec_op_plat,0)</f>
        <v>275</v>
      </c>
      <c r="BK117" s="94">
        <f ca="1">ROUNDUP(IF(race="Gnome",1,(1-MIN(TblMili[[#This Row],[Smithies]]*smithy_bonus,smithy_bonus_cap) + tech_3_5*TblTech[[#This Row],[3-5]] + tech_5_3*TblTech[[#This Row],[5-3]] + tech_5_5*TblTech[[#This Row],[5-5]]))*spec_op_ore,0)</f>
        <v>25</v>
      </c>
      <c r="BL117" s="94">
        <f ca="1">ROUNDUP((1-MIN(TblMili[[#This Row],[Smithies]]*smithy_bonus,smithy_bonus_cap) + tech_3_5*TblTech[[#This Row],[3-5]] + tech_5_3*TblTech[[#This Row],[5-3]] + tech_5_5*TblTech[[#This Row],[5-5]])*spec_dp_plat,0)</f>
        <v>275</v>
      </c>
      <c r="BM117" s="94">
        <f ca="1">ROUNDUP(IF(race="Gnome",1,(1-MIN(TblMili[[#This Row],[Smithies]]*smithy_bonus,smithy_bonus_cap) + tech_3_5*TblTech[[#This Row],[3-5]] + tech_5_3*TblTech[[#This Row],[5-3]] + tech_5_5*TblTech[[#This Row],[5-5]]))*spec_dp_ore,0)</f>
        <v>15</v>
      </c>
      <c r="BN117" s="94">
        <f ca="1">ROUNDUP((1-MIN(TblMili[[#This Row],[Smithies]]*smithy_bonus,smithy_bonus_cap) + tech_3_5*TblTech[[#This Row],[3-5]] + tech_5_3*TblTech[[#This Row],[5-3]] + tech_5_5*TblTech[[#This Row],[5-5]])*elite1_plat,0)</f>
        <v>1040</v>
      </c>
      <c r="BO117" s="94">
        <f ca="1">ROUNDUP(IF(race="Gnome",1,(1-MIN(TblMili[[#This Row],[Smithies]]*smithy_bonus,smithy_bonus_cap) + tech_3_5*TblTech[[#This Row],[3-5]] + tech_5_3*TblTech[[#This Row],[5-3]] + tech_5_5*TblTech[[#This Row],[5-5]]))*elite1_ore,0)</f>
        <v>75</v>
      </c>
      <c r="BP117" s="94">
        <f ca="1">ROUNDUP((1-MIN(TblMili[[#This Row],[Smithies]]*smithy_bonus,smithy_bonus_cap) + tech_3_5*TblTech[[#This Row],[3-5]] + tech_5_3*TblTech[[#This Row],[5-3]] + tech_5_5*TblTech[[#This Row],[5-5]])*elite2_plat,0)</f>
        <v>1280</v>
      </c>
      <c r="BQ117" s="94">
        <f ca="1">ROUNDUP(IF(race="Gnome",1,(1-MIN(TblMili[[#This Row],[Smithies]]*smithy_bonus,smithy_bonus_cap) + tech_3_5*TblTech[[#This Row],[3-5]] + tech_5_3*TblTech[[#This Row],[5-3]] + tech_5_5*TblTech[[#This Row],[5-5]]))*elite2_ore,0)</f>
        <v>100</v>
      </c>
      <c r="BR117" s="94">
        <f ca="1">ROUNDUP((1-MIN(ROUND(fh_spy_cost_red*TblMili[[#This Row],[FH''s]],4),fh_spy_cost_cap)+ tech_1_9*TblTech[[#This Row],[1-9]] + tech_9_1*TblTech[[#This Row],[9-1]])*spy_plat,0)</f>
        <v>500</v>
      </c>
      <c r="BS117" s="94">
        <f ca="1">ROUNDUP((1-MIN(ROUND(fh_spy_cost_red*TblMili[[#This Row],[FH''s]],4),fh_spy_cost_cap)+ tech_1_9*TblTech[[#This Row],[1-9]] + tech_9_1*TblTech[[#This Row],[9-1]])*archspy_plat,0)</f>
        <v>1000</v>
      </c>
      <c r="BT117" s="94">
        <f ca="1">ROUNDUP((1-MIN(ROUND(wg_wiz_cost_bonus*TblMili[[#This Row],[WG''s]],4),wg_wiz_cost_cap) + tech_1_9_2*TblTech[[#This Row],[1-9]] + tech_9_1_2*TblTech[[#This Row],[9-1]])*wizard_plat,0)</f>
        <v>500</v>
      </c>
      <c r="BU117" s="94">
        <f ca="1">ROUNDUP((1-MIN(ROUND(wg_wiz_cost_bonus*TblMili[[#This Row],[WG''s]],4),wg_wiz_cost_cap) + tech_1_9_2*TblTech[[#This Row],[1-9]] + tech_9_1_2*TblTech[[#This Row],[9-1]])*archmage_plat,0)</f>
        <v>1000</v>
      </c>
      <c r="BV117" s="142"/>
      <c r="BW117" s="157">
        <f ca="1">TblConstr[[#This Row],[Homeland]]/TblConstr[[#This Row],[Land]]</f>
        <v>0.81818181818181823</v>
      </c>
      <c r="BX117" s="157">
        <f ca="1">TblMili[[#This Row],[WG''s]]</f>
        <v>0</v>
      </c>
      <c r="BY117" s="251">
        <f ca="1">IF(mystic_cap="none",TblMili[[#This Row],[Homeland%]]/mystic_bonus,MIN(mystic_cap,TblMili[[#This Row],[Homeland%]]/mystic_bonus))</f>
        <v>2</v>
      </c>
      <c r="BZ117" s="251">
        <f ca="1">IF(druid_op_cap="none",TblMili[[#This Row],[Homeland%]]/druid_op_bonus,MIN(druid_op_cap,TblMili[[#This Row],[Homeland%]]/druid_op_bonus))</f>
        <v>2</v>
      </c>
      <c r="CA117" s="251">
        <f ca="1">IF(druid_dp_cap="none",TblMili[[#This Row],[Homeland%]]/druid_dp_bonus,MIN(druid_dp_cap,TblMili[[#This Row],[Homeland%]]/druid_dp_bonus))</f>
        <v>2</v>
      </c>
      <c r="CB117" s="251">
        <f ca="1">MIN(dryad_cap,TblMili[[#This Row],[Homeland%]]/dryad_bonus)</f>
        <v>4</v>
      </c>
      <c r="CC117" s="251">
        <f ca="1">MIN(rocka_cap,TblMili[[#This Row],[Homeland%]]/rocka_bonus)</f>
        <v>2</v>
      </c>
      <c r="CD117" s="251">
        <f ca="1">MIN(adept_op_cap,TblMili[[#This Row],[WG]]/adept_op_bonus)</f>
        <v>0</v>
      </c>
      <c r="CE117" s="251">
        <f ca="1">MIN(adept_dp_cap,TblMili[[#This Row],[WG]]/adept_dp_bonus)</f>
        <v>0</v>
      </c>
      <c r="CF117" s="94">
        <f ca="1">MIN(TblMili[[#This Row],[Unit 3]],TblMili[[#This Row],[Unit 2]])*2</f>
        <v>0</v>
      </c>
      <c r="CG117" s="94">
        <f ca="1">MIN(TblMili[[#This Row],[Unit 1]],TblMili[[#This Row],[Unit 4]])*2</f>
        <v>0</v>
      </c>
      <c r="CH117" s="251">
        <f ca="1">MIN(frost_mage_cap,TblMili[[#This Row],[Homeland%]]/frost_mage_bonus)</f>
        <v>3</v>
      </c>
      <c r="CI117" s="45">
        <f ca="1">MIN(ice_elem_cap,TblMili[[#This Row],[Raw (2)]]*ice_elem_bonus)</f>
        <v>0</v>
      </c>
      <c r="CJ117" s="251">
        <f t="shared" si="4"/>
        <v>0.83333333333333337</v>
      </c>
      <c r="CK117" s="251">
        <f ca="1">MIN(nox_nightshade_cap,TblConstr[[#This Row],[Homeland]]/TblConstr[[#This Row],[Land]]/nox_nightshade_swamp_bonus)</f>
        <v>4</v>
      </c>
      <c r="CL117" s="251">
        <f ca="1">MIN(TblConstr[[#This Row],[Total Swamp]]/TblConstr[[#This Row],[Land]]/abyss_enforce_bonus,abyss_enforcer_cap)</f>
        <v>0</v>
      </c>
      <c r="CM117" s="251">
        <f ca="1">IF(TblMagic[[#This Row],[Active Infernal Command]]&gt;0,TblMili[[#This Row],[Unit 1]]*infernal_cmd_op,0)</f>
        <v>0</v>
      </c>
      <c r="CN117" s="252"/>
      <c r="CO117" s="252"/>
      <c r="CP117" s="252"/>
      <c r="CQ117" s="251">
        <f ca="1">MIN(6,TblMili[[#This Row],[Mystic]]+Races!$F$19)*1.8 +  IF(TblMili[[#This Row],[Mystic]]+Races!$F$19&gt;6,(TblMili[[#This Row],[Mystic]]+Races!$F$19-6)*0.2,0) - Races!$I$19</f>
        <v>1</v>
      </c>
      <c r="CR11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7" s="94">
        <f ca="1">TblMili[[#This Row],[Mystic bonus]]*TblMili[[#This Row],[Unit 3]]+TblMili[[#This Row],[Druid bonus]]*TblMili[[#This Row],[Unit 4]]</f>
        <v>0</v>
      </c>
      <c r="CT117" s="155">
        <f ca="1">MIN(6,TblMili[[#This Row],[Dryad]]+Races!$F$35)*1.8 +  IF(TblMili[[#This Row],[Dryad]]+Races!$F$35&gt;6,(TblMili[[#This Row],[Dryad]]+Races!$F$35-6)*0.2,0) - Races!$I$19</f>
        <v>1</v>
      </c>
      <c r="CU117" s="94">
        <f ca="1">sylvan*(TblMili[[#This Row],[Mystic bonus]]*TblMili[[#This Row],[Unit 3]])</f>
        <v>0</v>
      </c>
      <c r="CV117" s="155">
        <f ca="1">1.8 * MIN(MAX(Races!$E$27,TblMili[[#This Row],[Rockapult]]+Races!$F$27),6)  +  0.45 * MIN(MIN(Races!$E$27,TblMili[[#This Row],[Rockapult]]+Races!$F$27),6)  +  0.2 * ( MAX(Races!$E$27-6,0) + MAX(TblMili[[#This Row],[Rockapult]]+Races!$F$27-6,0) )  -  Races!$I$20</f>
        <v>3.7000000000000011</v>
      </c>
      <c r="CW117" s="94">
        <f ca="1">gnome*(TblMili[[#This Row],[Rockapult bonus]]*TblMili[[#This Row],[Unit 3]])</f>
        <v>0</v>
      </c>
      <c r="CX11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7" s="94">
        <f ca="1">dark_elf*(TblMili[[#This Row],[Adept bonus]]*TblMili[[#This Row],[Unit 3]])</f>
        <v>0</v>
      </c>
      <c r="CZ117" s="155">
        <f ca="1">1.8 * MIN(MAX(TblMili[[#This Row],[Frost Mage]]+Races!$F$71,Races!$E$71),6)  +  0.45 * MIN(MIN(TblMili[[#This Row],[Frost Mage]]+Races!$F$71,Races!$E$71),6)  +  0.2 * ( MAX(TblMili[[#This Row],[Frost Mage]]+Races!$F$71-6,0) + MAX(Races!$E$71-6,0) )  -  Races!$I$71</f>
        <v>6.15</v>
      </c>
      <c r="DA117" s="155">
        <f ca="1">1.8 * MIN(MAX(TblMili[[#This Row],[Ice Elemental]]+Races!$E$71,Races!$F$71),6)  +  0.45 * MIN(MIN(TblMili[[#This Row],[Ice Elemental]]+Races!$E$71,Races!$F$71),6)  +  0.2 * ( MAX(TblMili[[#This Row],[Ice Elemental]]+Races!$E$71-6,0) + MAX(Races!$F$71-6,0) )  -  Races!$I$71</f>
        <v>0.75</v>
      </c>
      <c r="DB117" s="94">
        <f ca="1">TblMili[[#This Row],[Frost Mage bonus]]*TblMili[[#This Row],[Unit 3]]+TblMili[[#This Row],[Ice Elemental bonus]]*TblMili[[#This Row],[Unit 4]]</f>
        <v>0</v>
      </c>
      <c r="DC117" s="253"/>
      <c r="DD117" s="143">
        <f ca="1">MIN(SUM(TblConstr[[#This Row],[Plain]:[Water]])/TblMili[[#This Row],[Land]]/favorable_terrain_bonus/100,favorable_terrain_max)</f>
        <v>0.1</v>
      </c>
      <c r="DE117" s="253"/>
      <c r="DF11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7" s="142"/>
      <c r="DH117" s="254">
        <f ca="1">(TblMili[[#This Row],[Wizards]]+2*TblMili[[#This Row],[Archmages]])/TblConstr[[#This Row],[Land]]</f>
        <v>0</v>
      </c>
      <c r="DI117" s="254">
        <f ca="1">TblMili[[#This Row],[Raw (2)]]*(1+race_wizard_strength+IF(TblMili[[#This Row],[Hour]]&gt;72,tech_magical_weaponry_wiz*TblTech[[#This Row],[3-5]],0))</f>
        <v>0</v>
      </c>
    </row>
    <row r="118" spans="1:113" x14ac:dyDescent="0.2">
      <c r="A118" s="137">
        <f>TblRezone[[#This Row],[Hour]]</f>
        <v>115</v>
      </c>
      <c r="B118" s="246">
        <f ca="1">SUM(TblMili[[#This Row],[Unit 1]:[Archmages]])+SUM(OFFSET(TblMili[[#This Row],[Train Unit 1]],-8,0):TblMili[[#This Row],[Train Unit 2]]) + SUM(OFFSET(TblMili[[#This Row],[Train Unit 3]],-11,0):TblMili[[#This Row],[Train AM]]) + TblMili[[#This Row],[Draftees]]</f>
        <v>756</v>
      </c>
      <c r="C118" s="157">
        <f ca="1">TblPop[[#This Row],[Military%]]</f>
        <v>0.70260223048327142</v>
      </c>
      <c r="D118" s="142"/>
      <c r="E118" s="45">
        <f ca="1">OFFSET(TblMili[[#This Row],[Unit 1]],-1,0) + OFFSET(TblMili[[#This Row],[Train Unit 1]],-9,0) - TblMili[[#This Row],[Release Unit 1]] + OFFSET(TblMili[[#This Row],[DnD_Zombies]],-12,0)</f>
        <v>0</v>
      </c>
      <c r="F118" s="45">
        <f ca="1">OFFSET(TblMili[[#This Row],[Unit 2]],-1,0) + OFFSET(TblMili[[#This Row],[Train Unit 2]],-9,0)-TblMili[[#This Row],[Release Unit 2]]</f>
        <v>0</v>
      </c>
      <c r="G118" s="45">
        <f ca="1">OFFSET(TblMili[[#This Row],[Unit 3]],-1,0) + OFFSET(TblMili[[#This Row],[Train Unit 3]],-12,0)-TblMili[[#This Row],[Release Unit 3]]</f>
        <v>0</v>
      </c>
      <c r="H118" s="45">
        <f ca="1">OFFSET(TblMili[[#This Row],[Unit 4]],-1,0) + OFFSET(TblMili[[#This Row],[Train Unit 4]],-12,0)-TblMili[[#This Row],[Release Unit 4]]</f>
        <v>0</v>
      </c>
      <c r="I118" s="45">
        <f ca="1">OFFSET(TblMili[[#This Row],[Spies]],-1,0) + OFFSET(TblMili[[#This Row],[Train Spies]],-12,0) - TblMili[[#This Row],[Release Spies]]-TblMili[[#This Row],[Train AS]]</f>
        <v>0</v>
      </c>
      <c r="J118" s="45">
        <f ca="1">OFFSET(TblMili[[#This Row],[Archspies]],-1,0) + OFFSET(TblMili[[#This Row],[Train AS]],-12,0) - TblMili[[#This Row],[Release AS]]</f>
        <v>0</v>
      </c>
      <c r="K118" s="45">
        <f ca="1">OFFSET(TblMili[[#This Row],[Wizards]],-1,0) + OFFSET(TblMili[[#This Row],[Train Wiz]],-12,0) - TblMili[[#This Row],[Release Wizards]]-TblMili[[#This Row],[Train AM]]</f>
        <v>0</v>
      </c>
      <c r="L118" s="45">
        <f ca="1">OFFSET(TblMili[[#This Row],[Archmages]],-1,0) + OFFSET(TblMili[[#This Row],[Train AM]],-12,0) - TblMili[[#This Row],[Release AM]]</f>
        <v>0</v>
      </c>
      <c r="M118" s="142"/>
      <c r="N118" s="94">
        <f ca="1">TblProd[[#This Row],[Networth]]</f>
        <v>2450</v>
      </c>
      <c r="O118" s="142"/>
      <c r="P11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8" s="247">
        <f ca="1">TblMili[[#This Row],[Raw]]*(1+TblMili[[#This Row],[Mods_Off]])</f>
        <v>0</v>
      </c>
      <c r="S11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8" s="247">
        <f ca="1">TblMili[[#This Row],[Non Draft]]+TblMili[[#This Row],[Draftees]]</f>
        <v>756</v>
      </c>
      <c r="U118" s="248">
        <f ca="1">race_defense + TblImps[[#This Row],[Walls]] + ROUND( MIN(gt_bonus*TblConstr[[#This Row],[Tot GT]]/TblConstr[[#This Row],[Land]],gt_bonus_cap), 4) + IF(TblMagic[[#This Row],[Active Howling]]&gt;0,howling_dp_bonus,IF(TblMagic[[#This Row],[Active Ares Call]]&gt;0,ares_call_bonus))</f>
        <v>0</v>
      </c>
      <c r="V118" s="249">
        <f ca="1">TblMili[[#This Row],[Non Draft]] * (1 + TblMili[[#This Row],[Mods_Def]])</f>
        <v>0</v>
      </c>
      <c r="W118" s="247">
        <f ca="1">TblMili[[#This Row],[Draft]] * (1 + TblMili[[#This Row],[Mods_Def]])</f>
        <v>756</v>
      </c>
      <c r="X118" s="247">
        <f ca="1">TblConstr[[#This Row],[Land]]</f>
        <v>110</v>
      </c>
      <c r="Y118" s="250"/>
      <c r="Z118" s="255">
        <f ca="1">IF(TblMili[[#This Row],[Set]]&lt;&gt;"",TblMili[[#This Row],[Set]],OFFSET(TblMili[[#This Row],[Draftrate]],-1,0))</f>
        <v>0.9</v>
      </c>
      <c r="AA118" s="94">
        <f ca="1">OFFSET(TblMili[[#This Row],[Draftees]],-1,0)+OFFSET(TblPop[[#This Row],[Draft Growth]],-1,0) - SUM(TblMili[[#This Row],[Train Unit 1]:[Train Spies]],TblMili[[#This Row],[Train Wiz]],TblMili[[#This Row],[DnD_Zombies]]) - TblMili[[#This Row],[Release Draft]] + SUM(TblMili[[#This Row],[Release Unit 1]:[Release AM]]) - TblExplore[[#This Row],[Draftees (2)]]</f>
        <v>756</v>
      </c>
      <c r="AB118" s="154"/>
      <c r="AC118" s="180">
        <f ca="1">(TblConstr[[#This Row],[Tot Smi]]+TblConstr[[#This Row],[Dest Smi]])/(TblConstr[[#This Row],[Land]]-TblExplore[[#This Row],[Land Bonus]]*20)</f>
        <v>0</v>
      </c>
      <c r="AD118" s="137"/>
      <c r="AE118" s="246">
        <f>TblMili[[#This Row],[Hour]]</f>
        <v>115</v>
      </c>
      <c r="AF118" s="138">
        <f ca="1">TblExplore[[#This Row],[Time]]</f>
        <v>46051.749999999724</v>
      </c>
      <c r="AG118" s="179"/>
      <c r="AH118" s="179"/>
      <c r="AI118" s="179"/>
      <c r="AJ118" s="179"/>
      <c r="AK118" s="179"/>
      <c r="AL118" s="179"/>
      <c r="AM118" s="179"/>
      <c r="AN118" s="179"/>
      <c r="AO118" s="420">
        <f ca="1">ROUND(IF(AND(TblMagic[[#This Row],[Active DnD]]&lt;12,TblMagic[[#This Row],[Active DnD]]&gt;5),OFFSET(TblPop[[#This Row],[Draft Growth]],-1,0)*0.375,0),0)</f>
        <v>0</v>
      </c>
      <c r="AP118" s="142"/>
      <c r="AQ118" s="94">
        <f ca="1">TblProd[[#This Row],[Platinum]]</f>
        <v>213807</v>
      </c>
      <c r="AR118" s="94">
        <f ca="1">INDEX(TblProd[[#Headers],[Lumber]]:TblProd[[#This Row],[Ore]],COUNTA(TblProd[[#Headers],[Lumber]]:TblProd[[#This Row],[Lumber]]),MATCH(Military!$AR$2,TblProd[[#Headers],[Lumber]:[Ore]],0))</f>
        <v>0</v>
      </c>
      <c r="AS11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8" s="94">
        <f ca="1">TblMili[[#This Row],[Train Unit 1]]*TblMili[[#This Row],[OP Ore]]+TblMili[[#This Row],[Train Unit 2]]*TblMili[[#This Row],[DP Ore]]+TblMili[[#This Row],[Train Unit 3]]*TblMili[[#This Row],[E1 Ore]]+TblMili[[#This Row],[Train Unit 4]]*TblMili[[#This Row],[E2 Ore]]</f>
        <v>0</v>
      </c>
      <c r="AU118" s="142">
        <f>TblMili[[#This Row],[Hour]]</f>
        <v>115</v>
      </c>
      <c r="AV118" s="152">
        <f ca="1">TblMili[[#This Row],[Time]]</f>
        <v>46051.749999999724</v>
      </c>
      <c r="AW118" s="94">
        <f ca="1">TblMili[[#This Row],[Draftees]]</f>
        <v>756</v>
      </c>
      <c r="AX118" s="179"/>
      <c r="AY118" s="179"/>
      <c r="AZ118" s="179"/>
      <c r="BA118" s="179"/>
      <c r="BB118" s="179"/>
      <c r="BC118" s="179"/>
      <c r="BD118" s="179"/>
      <c r="BE118" s="179"/>
      <c r="BF118" s="179"/>
      <c r="BG118" s="142"/>
      <c r="BH118" s="157">
        <f ca="1">TblConstr[[#This Row],[Tot WG]]/TblConstr[[#This Row],[Land]]</f>
        <v>0</v>
      </c>
      <c r="BI118" s="157">
        <f ca="1">TblConstr[[#This Row],[Tot Hav]]/TblConstr[[#This Row],[Land]]</f>
        <v>0</v>
      </c>
      <c r="BJ118" s="94">
        <f ca="1">ROUNDUP((1-MIN(TblMili[[#This Row],[Smithies]]*smithy_bonus,smithy_bonus_cap) + tech_3_5*TblTech[[#This Row],[3-5]] + tech_5_3*TblTech[[#This Row],[5-3]] + tech_5_5*TblTech[[#This Row],[5-5]])*spec_op_plat,0)</f>
        <v>275</v>
      </c>
      <c r="BK118" s="94">
        <f ca="1">ROUNDUP(IF(race="Gnome",1,(1-MIN(TblMili[[#This Row],[Smithies]]*smithy_bonus,smithy_bonus_cap) + tech_3_5*TblTech[[#This Row],[3-5]] + tech_5_3*TblTech[[#This Row],[5-3]] + tech_5_5*TblTech[[#This Row],[5-5]]))*spec_op_ore,0)</f>
        <v>25</v>
      </c>
      <c r="BL118" s="94">
        <f ca="1">ROUNDUP((1-MIN(TblMili[[#This Row],[Smithies]]*smithy_bonus,smithy_bonus_cap) + tech_3_5*TblTech[[#This Row],[3-5]] + tech_5_3*TblTech[[#This Row],[5-3]] + tech_5_5*TblTech[[#This Row],[5-5]])*spec_dp_plat,0)</f>
        <v>275</v>
      </c>
      <c r="BM118" s="94">
        <f ca="1">ROUNDUP(IF(race="Gnome",1,(1-MIN(TblMili[[#This Row],[Smithies]]*smithy_bonus,smithy_bonus_cap) + tech_3_5*TblTech[[#This Row],[3-5]] + tech_5_3*TblTech[[#This Row],[5-3]] + tech_5_5*TblTech[[#This Row],[5-5]]))*spec_dp_ore,0)</f>
        <v>15</v>
      </c>
      <c r="BN118" s="94">
        <f ca="1">ROUNDUP((1-MIN(TblMili[[#This Row],[Smithies]]*smithy_bonus,smithy_bonus_cap) + tech_3_5*TblTech[[#This Row],[3-5]] + tech_5_3*TblTech[[#This Row],[5-3]] + tech_5_5*TblTech[[#This Row],[5-5]])*elite1_plat,0)</f>
        <v>1040</v>
      </c>
      <c r="BO118" s="94">
        <f ca="1">ROUNDUP(IF(race="Gnome",1,(1-MIN(TblMili[[#This Row],[Smithies]]*smithy_bonus,smithy_bonus_cap) + tech_3_5*TblTech[[#This Row],[3-5]] + tech_5_3*TblTech[[#This Row],[5-3]] + tech_5_5*TblTech[[#This Row],[5-5]]))*elite1_ore,0)</f>
        <v>75</v>
      </c>
      <c r="BP118" s="94">
        <f ca="1">ROUNDUP((1-MIN(TblMili[[#This Row],[Smithies]]*smithy_bonus,smithy_bonus_cap) + tech_3_5*TblTech[[#This Row],[3-5]] + tech_5_3*TblTech[[#This Row],[5-3]] + tech_5_5*TblTech[[#This Row],[5-5]])*elite2_plat,0)</f>
        <v>1280</v>
      </c>
      <c r="BQ118" s="94">
        <f ca="1">ROUNDUP(IF(race="Gnome",1,(1-MIN(TblMili[[#This Row],[Smithies]]*smithy_bonus,smithy_bonus_cap) + tech_3_5*TblTech[[#This Row],[3-5]] + tech_5_3*TblTech[[#This Row],[5-3]] + tech_5_5*TblTech[[#This Row],[5-5]]))*elite2_ore,0)</f>
        <v>100</v>
      </c>
      <c r="BR118" s="94">
        <f ca="1">ROUNDUP((1-MIN(ROUND(fh_spy_cost_red*TblMili[[#This Row],[FH''s]],4),fh_spy_cost_cap)+ tech_1_9*TblTech[[#This Row],[1-9]] + tech_9_1*TblTech[[#This Row],[9-1]])*spy_plat,0)</f>
        <v>500</v>
      </c>
      <c r="BS118" s="94">
        <f ca="1">ROUNDUP((1-MIN(ROUND(fh_spy_cost_red*TblMili[[#This Row],[FH''s]],4),fh_spy_cost_cap)+ tech_1_9*TblTech[[#This Row],[1-9]] + tech_9_1*TblTech[[#This Row],[9-1]])*archspy_plat,0)</f>
        <v>1000</v>
      </c>
      <c r="BT118" s="94">
        <f ca="1">ROUNDUP((1-MIN(ROUND(wg_wiz_cost_bonus*TblMili[[#This Row],[WG''s]],4),wg_wiz_cost_cap) + tech_1_9_2*TblTech[[#This Row],[1-9]] + tech_9_1_2*TblTech[[#This Row],[9-1]])*wizard_plat,0)</f>
        <v>500</v>
      </c>
      <c r="BU118" s="94">
        <f ca="1">ROUNDUP((1-MIN(ROUND(wg_wiz_cost_bonus*TblMili[[#This Row],[WG''s]],4),wg_wiz_cost_cap) + tech_1_9_2*TblTech[[#This Row],[1-9]] + tech_9_1_2*TblTech[[#This Row],[9-1]])*archmage_plat,0)</f>
        <v>1000</v>
      </c>
      <c r="BV118" s="142"/>
      <c r="BW118" s="157">
        <f ca="1">TblConstr[[#This Row],[Homeland]]/TblConstr[[#This Row],[Land]]</f>
        <v>0.81818181818181823</v>
      </c>
      <c r="BX118" s="157">
        <f ca="1">TblMili[[#This Row],[WG''s]]</f>
        <v>0</v>
      </c>
      <c r="BY118" s="251">
        <f ca="1">IF(mystic_cap="none",TblMili[[#This Row],[Homeland%]]/mystic_bonus,MIN(mystic_cap,TblMili[[#This Row],[Homeland%]]/mystic_bonus))</f>
        <v>2</v>
      </c>
      <c r="BZ118" s="251">
        <f ca="1">IF(druid_op_cap="none",TblMili[[#This Row],[Homeland%]]/druid_op_bonus,MIN(druid_op_cap,TblMili[[#This Row],[Homeland%]]/druid_op_bonus))</f>
        <v>2</v>
      </c>
      <c r="CA118" s="251">
        <f ca="1">IF(druid_dp_cap="none",TblMili[[#This Row],[Homeland%]]/druid_dp_bonus,MIN(druid_dp_cap,TblMili[[#This Row],[Homeland%]]/druid_dp_bonus))</f>
        <v>2</v>
      </c>
      <c r="CB118" s="251">
        <f ca="1">MIN(dryad_cap,TblMili[[#This Row],[Homeland%]]/dryad_bonus)</f>
        <v>4</v>
      </c>
      <c r="CC118" s="251">
        <f ca="1">MIN(rocka_cap,TblMili[[#This Row],[Homeland%]]/rocka_bonus)</f>
        <v>2</v>
      </c>
      <c r="CD118" s="251">
        <f ca="1">MIN(adept_op_cap,TblMili[[#This Row],[WG]]/adept_op_bonus)</f>
        <v>0</v>
      </c>
      <c r="CE118" s="251">
        <f ca="1">MIN(adept_dp_cap,TblMili[[#This Row],[WG]]/adept_dp_bonus)</f>
        <v>0</v>
      </c>
      <c r="CF118" s="94">
        <f ca="1">MIN(TblMili[[#This Row],[Unit 3]],TblMili[[#This Row],[Unit 2]])*2</f>
        <v>0</v>
      </c>
      <c r="CG118" s="94">
        <f ca="1">MIN(TblMili[[#This Row],[Unit 1]],TblMili[[#This Row],[Unit 4]])*2</f>
        <v>0</v>
      </c>
      <c r="CH118" s="251">
        <f ca="1">MIN(frost_mage_cap,TblMili[[#This Row],[Homeland%]]/frost_mage_bonus)</f>
        <v>3</v>
      </c>
      <c r="CI118" s="45">
        <f ca="1">MIN(ice_elem_cap,TblMili[[#This Row],[Raw (2)]]*ice_elem_bonus)</f>
        <v>0</v>
      </c>
      <c r="CJ118" s="251">
        <f t="shared" si="4"/>
        <v>0.83333333333333337</v>
      </c>
      <c r="CK118" s="251">
        <f ca="1">MIN(nox_nightshade_cap,TblConstr[[#This Row],[Homeland]]/TblConstr[[#This Row],[Land]]/nox_nightshade_swamp_bonus)</f>
        <v>4</v>
      </c>
      <c r="CL118" s="251">
        <f ca="1">MIN(TblConstr[[#This Row],[Total Swamp]]/TblConstr[[#This Row],[Land]]/abyss_enforce_bonus,abyss_enforcer_cap)</f>
        <v>0</v>
      </c>
      <c r="CM118" s="251">
        <f ca="1">IF(TblMagic[[#This Row],[Active Infernal Command]]&gt;0,TblMili[[#This Row],[Unit 1]]*infernal_cmd_op,0)</f>
        <v>0</v>
      </c>
      <c r="CN118" s="252"/>
      <c r="CO118" s="252"/>
      <c r="CP118" s="252"/>
      <c r="CQ118" s="251">
        <f ca="1">MIN(6,TblMili[[#This Row],[Mystic]]+Races!$F$19)*1.8 +  IF(TblMili[[#This Row],[Mystic]]+Races!$F$19&gt;6,(TblMili[[#This Row],[Mystic]]+Races!$F$19-6)*0.2,0) - Races!$I$19</f>
        <v>1</v>
      </c>
      <c r="CR11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8" s="94">
        <f ca="1">TblMili[[#This Row],[Mystic bonus]]*TblMili[[#This Row],[Unit 3]]+TblMili[[#This Row],[Druid bonus]]*TblMili[[#This Row],[Unit 4]]</f>
        <v>0</v>
      </c>
      <c r="CT118" s="155">
        <f ca="1">MIN(6,TblMili[[#This Row],[Dryad]]+Races!$F$35)*1.8 +  IF(TblMili[[#This Row],[Dryad]]+Races!$F$35&gt;6,(TblMili[[#This Row],[Dryad]]+Races!$F$35-6)*0.2,0) - Races!$I$19</f>
        <v>1</v>
      </c>
      <c r="CU118" s="94">
        <f ca="1">sylvan*(TblMili[[#This Row],[Mystic bonus]]*TblMili[[#This Row],[Unit 3]])</f>
        <v>0</v>
      </c>
      <c r="CV118" s="155">
        <f ca="1">1.8 * MIN(MAX(Races!$E$27,TblMili[[#This Row],[Rockapult]]+Races!$F$27),6)  +  0.45 * MIN(MIN(Races!$E$27,TblMili[[#This Row],[Rockapult]]+Races!$F$27),6)  +  0.2 * ( MAX(Races!$E$27-6,0) + MAX(TblMili[[#This Row],[Rockapult]]+Races!$F$27-6,0) )  -  Races!$I$20</f>
        <v>3.7000000000000011</v>
      </c>
      <c r="CW118" s="94">
        <f ca="1">gnome*(TblMili[[#This Row],[Rockapult bonus]]*TblMili[[#This Row],[Unit 3]])</f>
        <v>0</v>
      </c>
      <c r="CX11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8" s="94">
        <f ca="1">dark_elf*(TblMili[[#This Row],[Adept bonus]]*TblMili[[#This Row],[Unit 3]])</f>
        <v>0</v>
      </c>
      <c r="CZ118" s="155">
        <f ca="1">1.8 * MIN(MAX(TblMili[[#This Row],[Frost Mage]]+Races!$F$71,Races!$E$71),6)  +  0.45 * MIN(MIN(TblMili[[#This Row],[Frost Mage]]+Races!$F$71,Races!$E$71),6)  +  0.2 * ( MAX(TblMili[[#This Row],[Frost Mage]]+Races!$F$71-6,0) + MAX(Races!$E$71-6,0) )  -  Races!$I$71</f>
        <v>6.15</v>
      </c>
      <c r="DA118" s="155">
        <f ca="1">1.8 * MIN(MAX(TblMili[[#This Row],[Ice Elemental]]+Races!$E$71,Races!$F$71),6)  +  0.45 * MIN(MIN(TblMili[[#This Row],[Ice Elemental]]+Races!$E$71,Races!$F$71),6)  +  0.2 * ( MAX(TblMili[[#This Row],[Ice Elemental]]+Races!$E$71-6,0) + MAX(Races!$F$71-6,0) )  -  Races!$I$71</f>
        <v>0.75</v>
      </c>
      <c r="DB118" s="94">
        <f ca="1">TblMili[[#This Row],[Frost Mage bonus]]*TblMili[[#This Row],[Unit 3]]+TblMili[[#This Row],[Ice Elemental bonus]]*TblMili[[#This Row],[Unit 4]]</f>
        <v>0</v>
      </c>
      <c r="DC118" s="253"/>
      <c r="DD118" s="143">
        <f ca="1">MIN(SUM(TblConstr[[#This Row],[Plain]:[Water]])/TblMili[[#This Row],[Land]]/favorable_terrain_bonus/100,favorable_terrain_max)</f>
        <v>0.1</v>
      </c>
      <c r="DE118" s="253"/>
      <c r="DF11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8" s="142"/>
      <c r="DH118" s="254">
        <f ca="1">(TblMili[[#This Row],[Wizards]]+2*TblMili[[#This Row],[Archmages]])/TblConstr[[#This Row],[Land]]</f>
        <v>0</v>
      </c>
      <c r="DI118" s="254">
        <f ca="1">TblMili[[#This Row],[Raw (2)]]*(1+race_wizard_strength+IF(TblMili[[#This Row],[Hour]]&gt;72,tech_magical_weaponry_wiz*TblTech[[#This Row],[3-5]],0))</f>
        <v>0</v>
      </c>
    </row>
    <row r="119" spans="1:113" x14ac:dyDescent="0.2">
      <c r="A119" s="137">
        <f>TblRezone[[#This Row],[Hour]]</f>
        <v>116</v>
      </c>
      <c r="B119" s="246">
        <f ca="1">SUM(TblMili[[#This Row],[Unit 1]:[Archmages]])+SUM(OFFSET(TblMili[[#This Row],[Train Unit 1]],-8,0):TblMili[[#This Row],[Train Unit 2]]) + SUM(OFFSET(TblMili[[#This Row],[Train Unit 3]],-11,0):TblMili[[#This Row],[Train AM]]) + TblMili[[#This Row],[Draftees]]</f>
        <v>759</v>
      </c>
      <c r="C119" s="157">
        <f ca="1">TblPop[[#This Row],[Military%]]</f>
        <v>0.70539033457249067</v>
      </c>
      <c r="D119" s="142"/>
      <c r="E119" s="45">
        <f ca="1">OFFSET(TblMili[[#This Row],[Unit 1]],-1,0) + OFFSET(TblMili[[#This Row],[Train Unit 1]],-9,0) - TblMili[[#This Row],[Release Unit 1]] + OFFSET(TblMili[[#This Row],[DnD_Zombies]],-12,0)</f>
        <v>0</v>
      </c>
      <c r="F119" s="45">
        <f ca="1">OFFSET(TblMili[[#This Row],[Unit 2]],-1,0) + OFFSET(TblMili[[#This Row],[Train Unit 2]],-9,0)-TblMili[[#This Row],[Release Unit 2]]</f>
        <v>0</v>
      </c>
      <c r="G119" s="45">
        <f ca="1">OFFSET(TblMili[[#This Row],[Unit 3]],-1,0) + OFFSET(TblMili[[#This Row],[Train Unit 3]],-12,0)-TblMili[[#This Row],[Release Unit 3]]</f>
        <v>0</v>
      </c>
      <c r="H119" s="45">
        <f ca="1">OFFSET(TblMili[[#This Row],[Unit 4]],-1,0) + OFFSET(TblMili[[#This Row],[Train Unit 4]],-12,0)-TblMili[[#This Row],[Release Unit 4]]</f>
        <v>0</v>
      </c>
      <c r="I119" s="45">
        <f ca="1">OFFSET(TblMili[[#This Row],[Spies]],-1,0) + OFFSET(TblMili[[#This Row],[Train Spies]],-12,0) - TblMili[[#This Row],[Release Spies]]-TblMili[[#This Row],[Train AS]]</f>
        <v>0</v>
      </c>
      <c r="J119" s="45">
        <f ca="1">OFFSET(TblMili[[#This Row],[Archspies]],-1,0) + OFFSET(TblMili[[#This Row],[Train AS]],-12,0) - TblMili[[#This Row],[Release AS]]</f>
        <v>0</v>
      </c>
      <c r="K119" s="45">
        <f ca="1">OFFSET(TblMili[[#This Row],[Wizards]],-1,0) + OFFSET(TblMili[[#This Row],[Train Wiz]],-12,0) - TblMili[[#This Row],[Release Wizards]]-TblMili[[#This Row],[Train AM]]</f>
        <v>0</v>
      </c>
      <c r="L119" s="45">
        <f ca="1">OFFSET(TblMili[[#This Row],[Archmages]],-1,0) + OFFSET(TblMili[[#This Row],[Train AM]],-12,0) - TblMili[[#This Row],[Release AM]]</f>
        <v>0</v>
      </c>
      <c r="M119" s="142"/>
      <c r="N119" s="94">
        <f ca="1">TblProd[[#This Row],[Networth]]</f>
        <v>2450</v>
      </c>
      <c r="O119" s="142"/>
      <c r="P11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1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19" s="247">
        <f ca="1">TblMili[[#This Row],[Raw]]*(1+TblMili[[#This Row],[Mods_Off]])</f>
        <v>0</v>
      </c>
      <c r="S11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19" s="247">
        <f ca="1">TblMili[[#This Row],[Non Draft]]+TblMili[[#This Row],[Draftees]]</f>
        <v>759</v>
      </c>
      <c r="U119" s="248">
        <f ca="1">race_defense + TblImps[[#This Row],[Walls]] + ROUND( MIN(gt_bonus*TblConstr[[#This Row],[Tot GT]]/TblConstr[[#This Row],[Land]],gt_bonus_cap), 4) + IF(TblMagic[[#This Row],[Active Howling]]&gt;0,howling_dp_bonus,IF(TblMagic[[#This Row],[Active Ares Call]]&gt;0,ares_call_bonus))</f>
        <v>0</v>
      </c>
      <c r="V119" s="249">
        <f ca="1">TblMili[[#This Row],[Non Draft]] * (1 + TblMili[[#This Row],[Mods_Def]])</f>
        <v>0</v>
      </c>
      <c r="W119" s="247">
        <f ca="1">TblMili[[#This Row],[Draft]] * (1 + TblMili[[#This Row],[Mods_Def]])</f>
        <v>759</v>
      </c>
      <c r="X119" s="247">
        <f ca="1">TblConstr[[#This Row],[Land]]</f>
        <v>110</v>
      </c>
      <c r="Y119" s="250"/>
      <c r="Z119" s="255">
        <f ca="1">IF(TblMili[[#This Row],[Set]]&lt;&gt;"",TblMili[[#This Row],[Set]],OFFSET(TblMili[[#This Row],[Draftrate]],-1,0))</f>
        <v>0.9</v>
      </c>
      <c r="AA119" s="94">
        <f ca="1">OFFSET(TblMili[[#This Row],[Draftees]],-1,0)+OFFSET(TblPop[[#This Row],[Draft Growth]],-1,0) - SUM(TblMili[[#This Row],[Train Unit 1]:[Train Spies]],TblMili[[#This Row],[Train Wiz]],TblMili[[#This Row],[DnD_Zombies]]) - TblMili[[#This Row],[Release Draft]] + SUM(TblMili[[#This Row],[Release Unit 1]:[Release AM]]) - TblExplore[[#This Row],[Draftees (2)]]</f>
        <v>759</v>
      </c>
      <c r="AB119" s="154"/>
      <c r="AC119" s="180">
        <f ca="1">(TblConstr[[#This Row],[Tot Smi]]+TblConstr[[#This Row],[Dest Smi]])/(TblConstr[[#This Row],[Land]]-TblExplore[[#This Row],[Land Bonus]]*20)</f>
        <v>0</v>
      </c>
      <c r="AD119" s="137"/>
      <c r="AE119" s="246">
        <f>TblMili[[#This Row],[Hour]]</f>
        <v>116</v>
      </c>
      <c r="AF119" s="138">
        <f ca="1">TblExplore[[#This Row],[Time]]</f>
        <v>46051.791666666388</v>
      </c>
      <c r="AG119" s="179"/>
      <c r="AH119" s="179"/>
      <c r="AI119" s="179"/>
      <c r="AJ119" s="179"/>
      <c r="AK119" s="179"/>
      <c r="AL119" s="179"/>
      <c r="AM119" s="179"/>
      <c r="AN119" s="179"/>
      <c r="AO119" s="420">
        <f ca="1">ROUND(IF(AND(TblMagic[[#This Row],[Active DnD]]&lt;12,TblMagic[[#This Row],[Active DnD]]&gt;5),OFFSET(TblPop[[#This Row],[Draft Growth]],-1,0)*0.375,0),0)</f>
        <v>0</v>
      </c>
      <c r="AP119" s="142"/>
      <c r="AQ119" s="94">
        <f ca="1">TblProd[[#This Row],[Platinum]]</f>
        <v>214671</v>
      </c>
      <c r="AR119" s="94">
        <f ca="1">INDEX(TblProd[[#Headers],[Lumber]]:TblProd[[#This Row],[Ore]],COUNTA(TblProd[[#Headers],[Lumber]]:TblProd[[#This Row],[Lumber]]),MATCH(Military!$AR$2,TblProd[[#Headers],[Lumber]:[Ore]],0))</f>
        <v>0</v>
      </c>
      <c r="AS11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19" s="94">
        <f ca="1">TblMili[[#This Row],[Train Unit 1]]*TblMili[[#This Row],[OP Ore]]+TblMili[[#This Row],[Train Unit 2]]*TblMili[[#This Row],[DP Ore]]+TblMili[[#This Row],[Train Unit 3]]*TblMili[[#This Row],[E1 Ore]]+TblMili[[#This Row],[Train Unit 4]]*TblMili[[#This Row],[E2 Ore]]</f>
        <v>0</v>
      </c>
      <c r="AU119" s="142">
        <f>TblMili[[#This Row],[Hour]]</f>
        <v>116</v>
      </c>
      <c r="AV119" s="152">
        <f ca="1">TblMili[[#This Row],[Time]]</f>
        <v>46051.791666666388</v>
      </c>
      <c r="AW119" s="94">
        <f ca="1">TblMili[[#This Row],[Draftees]]</f>
        <v>759</v>
      </c>
      <c r="AX119" s="179"/>
      <c r="AY119" s="179"/>
      <c r="AZ119" s="179"/>
      <c r="BA119" s="179"/>
      <c r="BB119" s="179"/>
      <c r="BC119" s="179"/>
      <c r="BD119" s="179"/>
      <c r="BE119" s="179"/>
      <c r="BF119" s="179"/>
      <c r="BG119" s="142"/>
      <c r="BH119" s="157">
        <f ca="1">TblConstr[[#This Row],[Tot WG]]/TblConstr[[#This Row],[Land]]</f>
        <v>0</v>
      </c>
      <c r="BI119" s="157">
        <f ca="1">TblConstr[[#This Row],[Tot Hav]]/TblConstr[[#This Row],[Land]]</f>
        <v>0</v>
      </c>
      <c r="BJ119" s="94">
        <f ca="1">ROUNDUP((1-MIN(TblMili[[#This Row],[Smithies]]*smithy_bonus,smithy_bonus_cap) + tech_3_5*TblTech[[#This Row],[3-5]] + tech_5_3*TblTech[[#This Row],[5-3]] + tech_5_5*TblTech[[#This Row],[5-5]])*spec_op_plat,0)</f>
        <v>275</v>
      </c>
      <c r="BK119" s="94">
        <f ca="1">ROUNDUP(IF(race="Gnome",1,(1-MIN(TblMili[[#This Row],[Smithies]]*smithy_bonus,smithy_bonus_cap) + tech_3_5*TblTech[[#This Row],[3-5]] + tech_5_3*TblTech[[#This Row],[5-3]] + tech_5_5*TblTech[[#This Row],[5-5]]))*spec_op_ore,0)</f>
        <v>25</v>
      </c>
      <c r="BL119" s="94">
        <f ca="1">ROUNDUP((1-MIN(TblMili[[#This Row],[Smithies]]*smithy_bonus,smithy_bonus_cap) + tech_3_5*TblTech[[#This Row],[3-5]] + tech_5_3*TblTech[[#This Row],[5-3]] + tech_5_5*TblTech[[#This Row],[5-5]])*spec_dp_plat,0)</f>
        <v>275</v>
      </c>
      <c r="BM119" s="94">
        <f ca="1">ROUNDUP(IF(race="Gnome",1,(1-MIN(TblMili[[#This Row],[Smithies]]*smithy_bonus,smithy_bonus_cap) + tech_3_5*TblTech[[#This Row],[3-5]] + tech_5_3*TblTech[[#This Row],[5-3]] + tech_5_5*TblTech[[#This Row],[5-5]]))*spec_dp_ore,0)</f>
        <v>15</v>
      </c>
      <c r="BN119" s="94">
        <f ca="1">ROUNDUP((1-MIN(TblMili[[#This Row],[Smithies]]*smithy_bonus,smithy_bonus_cap) + tech_3_5*TblTech[[#This Row],[3-5]] + tech_5_3*TblTech[[#This Row],[5-3]] + tech_5_5*TblTech[[#This Row],[5-5]])*elite1_plat,0)</f>
        <v>1040</v>
      </c>
      <c r="BO119" s="94">
        <f ca="1">ROUNDUP(IF(race="Gnome",1,(1-MIN(TblMili[[#This Row],[Smithies]]*smithy_bonus,smithy_bonus_cap) + tech_3_5*TblTech[[#This Row],[3-5]] + tech_5_3*TblTech[[#This Row],[5-3]] + tech_5_5*TblTech[[#This Row],[5-5]]))*elite1_ore,0)</f>
        <v>75</v>
      </c>
      <c r="BP119" s="94">
        <f ca="1">ROUNDUP((1-MIN(TblMili[[#This Row],[Smithies]]*smithy_bonus,smithy_bonus_cap) + tech_3_5*TblTech[[#This Row],[3-5]] + tech_5_3*TblTech[[#This Row],[5-3]] + tech_5_5*TblTech[[#This Row],[5-5]])*elite2_plat,0)</f>
        <v>1280</v>
      </c>
      <c r="BQ119" s="94">
        <f ca="1">ROUNDUP(IF(race="Gnome",1,(1-MIN(TblMili[[#This Row],[Smithies]]*smithy_bonus,smithy_bonus_cap) + tech_3_5*TblTech[[#This Row],[3-5]] + tech_5_3*TblTech[[#This Row],[5-3]] + tech_5_5*TblTech[[#This Row],[5-5]]))*elite2_ore,0)</f>
        <v>100</v>
      </c>
      <c r="BR119" s="94">
        <f ca="1">ROUNDUP((1-MIN(ROUND(fh_spy_cost_red*TblMili[[#This Row],[FH''s]],4),fh_spy_cost_cap)+ tech_1_9*TblTech[[#This Row],[1-9]] + tech_9_1*TblTech[[#This Row],[9-1]])*spy_plat,0)</f>
        <v>500</v>
      </c>
      <c r="BS119" s="94">
        <f ca="1">ROUNDUP((1-MIN(ROUND(fh_spy_cost_red*TblMili[[#This Row],[FH''s]],4),fh_spy_cost_cap)+ tech_1_9*TblTech[[#This Row],[1-9]] + tech_9_1*TblTech[[#This Row],[9-1]])*archspy_plat,0)</f>
        <v>1000</v>
      </c>
      <c r="BT119" s="94">
        <f ca="1">ROUNDUP((1-MIN(ROUND(wg_wiz_cost_bonus*TblMili[[#This Row],[WG''s]],4),wg_wiz_cost_cap) + tech_1_9_2*TblTech[[#This Row],[1-9]] + tech_9_1_2*TblTech[[#This Row],[9-1]])*wizard_plat,0)</f>
        <v>500</v>
      </c>
      <c r="BU119" s="94">
        <f ca="1">ROUNDUP((1-MIN(ROUND(wg_wiz_cost_bonus*TblMili[[#This Row],[WG''s]],4),wg_wiz_cost_cap) + tech_1_9_2*TblTech[[#This Row],[1-9]] + tech_9_1_2*TblTech[[#This Row],[9-1]])*archmage_plat,0)</f>
        <v>1000</v>
      </c>
      <c r="BV119" s="142"/>
      <c r="BW119" s="157">
        <f ca="1">TblConstr[[#This Row],[Homeland]]/TblConstr[[#This Row],[Land]]</f>
        <v>0.81818181818181823</v>
      </c>
      <c r="BX119" s="157">
        <f ca="1">TblMili[[#This Row],[WG''s]]</f>
        <v>0</v>
      </c>
      <c r="BY119" s="251">
        <f ca="1">IF(mystic_cap="none",TblMili[[#This Row],[Homeland%]]/mystic_bonus,MIN(mystic_cap,TblMili[[#This Row],[Homeland%]]/mystic_bonus))</f>
        <v>2</v>
      </c>
      <c r="BZ119" s="251">
        <f ca="1">IF(druid_op_cap="none",TblMili[[#This Row],[Homeland%]]/druid_op_bonus,MIN(druid_op_cap,TblMili[[#This Row],[Homeland%]]/druid_op_bonus))</f>
        <v>2</v>
      </c>
      <c r="CA119" s="251">
        <f ca="1">IF(druid_dp_cap="none",TblMili[[#This Row],[Homeland%]]/druid_dp_bonus,MIN(druid_dp_cap,TblMili[[#This Row],[Homeland%]]/druid_dp_bonus))</f>
        <v>2</v>
      </c>
      <c r="CB119" s="251">
        <f ca="1">MIN(dryad_cap,TblMili[[#This Row],[Homeland%]]/dryad_bonus)</f>
        <v>4</v>
      </c>
      <c r="CC119" s="251">
        <f ca="1">MIN(rocka_cap,TblMili[[#This Row],[Homeland%]]/rocka_bonus)</f>
        <v>2</v>
      </c>
      <c r="CD119" s="251">
        <f ca="1">MIN(adept_op_cap,TblMili[[#This Row],[WG]]/adept_op_bonus)</f>
        <v>0</v>
      </c>
      <c r="CE119" s="251">
        <f ca="1">MIN(adept_dp_cap,TblMili[[#This Row],[WG]]/adept_dp_bonus)</f>
        <v>0</v>
      </c>
      <c r="CF119" s="94">
        <f ca="1">MIN(TblMili[[#This Row],[Unit 3]],TblMili[[#This Row],[Unit 2]])*2</f>
        <v>0</v>
      </c>
      <c r="CG119" s="94">
        <f ca="1">MIN(TblMili[[#This Row],[Unit 1]],TblMili[[#This Row],[Unit 4]])*2</f>
        <v>0</v>
      </c>
      <c r="CH119" s="251">
        <f ca="1">MIN(frost_mage_cap,TblMili[[#This Row],[Homeland%]]/frost_mage_bonus)</f>
        <v>3</v>
      </c>
      <c r="CI119" s="45">
        <f ca="1">MIN(ice_elem_cap,TblMili[[#This Row],[Raw (2)]]*ice_elem_bonus)</f>
        <v>0</v>
      </c>
      <c r="CJ119" s="251">
        <f t="shared" si="4"/>
        <v>0.83333333333333337</v>
      </c>
      <c r="CK119" s="251">
        <f ca="1">MIN(nox_nightshade_cap,TblConstr[[#This Row],[Homeland]]/TblConstr[[#This Row],[Land]]/nox_nightshade_swamp_bonus)</f>
        <v>4</v>
      </c>
      <c r="CL119" s="251">
        <f ca="1">MIN(TblConstr[[#This Row],[Total Swamp]]/TblConstr[[#This Row],[Land]]/abyss_enforce_bonus,abyss_enforcer_cap)</f>
        <v>0</v>
      </c>
      <c r="CM119" s="251">
        <f ca="1">IF(TblMagic[[#This Row],[Active Infernal Command]]&gt;0,TblMili[[#This Row],[Unit 1]]*infernal_cmd_op,0)</f>
        <v>0</v>
      </c>
      <c r="CN119" s="252"/>
      <c r="CO119" s="252"/>
      <c r="CP119" s="252"/>
      <c r="CQ119" s="251">
        <f ca="1">MIN(6,TblMili[[#This Row],[Mystic]]+Races!$F$19)*1.8 +  IF(TblMili[[#This Row],[Mystic]]+Races!$F$19&gt;6,(TblMili[[#This Row],[Mystic]]+Races!$F$19-6)*0.2,0) - Races!$I$19</f>
        <v>1</v>
      </c>
      <c r="CR11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19" s="94">
        <f ca="1">TblMili[[#This Row],[Mystic bonus]]*TblMili[[#This Row],[Unit 3]]+TblMili[[#This Row],[Druid bonus]]*TblMili[[#This Row],[Unit 4]]</f>
        <v>0</v>
      </c>
      <c r="CT119" s="155">
        <f ca="1">MIN(6,TblMili[[#This Row],[Dryad]]+Races!$F$35)*1.8 +  IF(TblMili[[#This Row],[Dryad]]+Races!$F$35&gt;6,(TblMili[[#This Row],[Dryad]]+Races!$F$35-6)*0.2,0) - Races!$I$19</f>
        <v>1</v>
      </c>
      <c r="CU119" s="94">
        <f ca="1">sylvan*(TblMili[[#This Row],[Mystic bonus]]*TblMili[[#This Row],[Unit 3]])</f>
        <v>0</v>
      </c>
      <c r="CV119" s="155">
        <f ca="1">1.8 * MIN(MAX(Races!$E$27,TblMili[[#This Row],[Rockapult]]+Races!$F$27),6)  +  0.45 * MIN(MIN(Races!$E$27,TblMili[[#This Row],[Rockapult]]+Races!$F$27),6)  +  0.2 * ( MAX(Races!$E$27-6,0) + MAX(TblMili[[#This Row],[Rockapult]]+Races!$F$27-6,0) )  -  Races!$I$20</f>
        <v>3.7000000000000011</v>
      </c>
      <c r="CW119" s="94">
        <f ca="1">gnome*(TblMili[[#This Row],[Rockapult bonus]]*TblMili[[#This Row],[Unit 3]])</f>
        <v>0</v>
      </c>
      <c r="CX11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19" s="94">
        <f ca="1">dark_elf*(TblMili[[#This Row],[Adept bonus]]*TblMili[[#This Row],[Unit 3]])</f>
        <v>0</v>
      </c>
      <c r="CZ119" s="155">
        <f ca="1">1.8 * MIN(MAX(TblMili[[#This Row],[Frost Mage]]+Races!$F$71,Races!$E$71),6)  +  0.45 * MIN(MIN(TblMili[[#This Row],[Frost Mage]]+Races!$F$71,Races!$E$71),6)  +  0.2 * ( MAX(TblMili[[#This Row],[Frost Mage]]+Races!$F$71-6,0) + MAX(Races!$E$71-6,0) )  -  Races!$I$71</f>
        <v>6.15</v>
      </c>
      <c r="DA119" s="155">
        <f ca="1">1.8 * MIN(MAX(TblMili[[#This Row],[Ice Elemental]]+Races!$E$71,Races!$F$71),6)  +  0.45 * MIN(MIN(TblMili[[#This Row],[Ice Elemental]]+Races!$E$71,Races!$F$71),6)  +  0.2 * ( MAX(TblMili[[#This Row],[Ice Elemental]]+Races!$E$71-6,0) + MAX(Races!$F$71-6,0) )  -  Races!$I$71</f>
        <v>0.75</v>
      </c>
      <c r="DB119" s="94">
        <f ca="1">TblMili[[#This Row],[Frost Mage bonus]]*TblMili[[#This Row],[Unit 3]]+TblMili[[#This Row],[Ice Elemental bonus]]*TblMili[[#This Row],[Unit 4]]</f>
        <v>0</v>
      </c>
      <c r="DC119" s="253"/>
      <c r="DD119" s="143">
        <f ca="1">MIN(SUM(TblConstr[[#This Row],[Plain]:[Water]])/TblMili[[#This Row],[Land]]/favorable_terrain_bonus/100,favorable_terrain_max)</f>
        <v>0.1</v>
      </c>
      <c r="DE119" s="253"/>
      <c r="DF11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19" s="142"/>
      <c r="DH119" s="254">
        <f ca="1">(TblMili[[#This Row],[Wizards]]+2*TblMili[[#This Row],[Archmages]])/TblConstr[[#This Row],[Land]]</f>
        <v>0</v>
      </c>
      <c r="DI119" s="254">
        <f ca="1">TblMili[[#This Row],[Raw (2)]]*(1+race_wizard_strength+IF(TblMili[[#This Row],[Hour]]&gt;72,tech_magical_weaponry_wiz*TblTech[[#This Row],[3-5]],0))</f>
        <v>0</v>
      </c>
    </row>
    <row r="120" spans="1:113" x14ac:dyDescent="0.2">
      <c r="A120" s="137">
        <f>TblRezone[[#This Row],[Hour]]</f>
        <v>117</v>
      </c>
      <c r="B120" s="246">
        <f ca="1">SUM(TblMili[[#This Row],[Unit 1]:[Archmages]])+SUM(OFFSET(TblMili[[#This Row],[Train Unit 1]],-8,0):TblMili[[#This Row],[Train Unit 2]]) + SUM(OFFSET(TblMili[[#This Row],[Train Unit 3]],-11,0):TblMili[[#This Row],[Train AM]]) + TblMili[[#This Row],[Draftees]]</f>
        <v>762</v>
      </c>
      <c r="C120" s="157">
        <f ca="1">TblPop[[#This Row],[Military%]]</f>
        <v>0.70817843866171004</v>
      </c>
      <c r="D120" s="142"/>
      <c r="E120" s="45">
        <f ca="1">OFFSET(TblMili[[#This Row],[Unit 1]],-1,0) + OFFSET(TblMili[[#This Row],[Train Unit 1]],-9,0) - TblMili[[#This Row],[Release Unit 1]] + OFFSET(TblMili[[#This Row],[DnD_Zombies]],-12,0)</f>
        <v>0</v>
      </c>
      <c r="F120" s="45">
        <f ca="1">OFFSET(TblMili[[#This Row],[Unit 2]],-1,0) + OFFSET(TblMili[[#This Row],[Train Unit 2]],-9,0)-TblMili[[#This Row],[Release Unit 2]]</f>
        <v>0</v>
      </c>
      <c r="G120" s="45">
        <f ca="1">OFFSET(TblMili[[#This Row],[Unit 3]],-1,0) + OFFSET(TblMili[[#This Row],[Train Unit 3]],-12,0)-TblMili[[#This Row],[Release Unit 3]]</f>
        <v>0</v>
      </c>
      <c r="H120" s="45">
        <f ca="1">OFFSET(TblMili[[#This Row],[Unit 4]],-1,0) + OFFSET(TblMili[[#This Row],[Train Unit 4]],-12,0)-TblMili[[#This Row],[Release Unit 4]]</f>
        <v>0</v>
      </c>
      <c r="I120" s="45">
        <f ca="1">OFFSET(TblMili[[#This Row],[Spies]],-1,0) + OFFSET(TblMili[[#This Row],[Train Spies]],-12,0) - TblMili[[#This Row],[Release Spies]]-TblMili[[#This Row],[Train AS]]</f>
        <v>0</v>
      </c>
      <c r="J120" s="45">
        <f ca="1">OFFSET(TblMili[[#This Row],[Archspies]],-1,0) + OFFSET(TblMili[[#This Row],[Train AS]],-12,0) - TblMili[[#This Row],[Release AS]]</f>
        <v>0</v>
      </c>
      <c r="K120" s="45">
        <f ca="1">OFFSET(TblMili[[#This Row],[Wizards]],-1,0) + OFFSET(TblMili[[#This Row],[Train Wiz]],-12,0) - TblMili[[#This Row],[Release Wizards]]-TblMili[[#This Row],[Train AM]]</f>
        <v>0</v>
      </c>
      <c r="L120" s="45">
        <f ca="1">OFFSET(TblMili[[#This Row],[Archmages]],-1,0) + OFFSET(TblMili[[#This Row],[Train AM]],-12,0) - TblMili[[#This Row],[Release AM]]</f>
        <v>0</v>
      </c>
      <c r="M120" s="142"/>
      <c r="N120" s="94">
        <f ca="1">TblProd[[#This Row],[Networth]]</f>
        <v>2450</v>
      </c>
      <c r="O120" s="142"/>
      <c r="P12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0" s="247">
        <f ca="1">TblMili[[#This Row],[Raw]]*(1+TblMili[[#This Row],[Mods_Off]])</f>
        <v>0</v>
      </c>
      <c r="S12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0" s="247">
        <f ca="1">TblMili[[#This Row],[Non Draft]]+TblMili[[#This Row],[Draftees]]</f>
        <v>762</v>
      </c>
      <c r="U120" s="248">
        <f ca="1">race_defense + TblImps[[#This Row],[Walls]] + ROUND( MIN(gt_bonus*TblConstr[[#This Row],[Tot GT]]/TblConstr[[#This Row],[Land]],gt_bonus_cap), 4) + IF(TblMagic[[#This Row],[Active Howling]]&gt;0,howling_dp_bonus,IF(TblMagic[[#This Row],[Active Ares Call]]&gt;0,ares_call_bonus))</f>
        <v>0</v>
      </c>
      <c r="V120" s="249">
        <f ca="1">TblMili[[#This Row],[Non Draft]] * (1 + TblMili[[#This Row],[Mods_Def]])</f>
        <v>0</v>
      </c>
      <c r="W120" s="247">
        <f ca="1">TblMili[[#This Row],[Draft]] * (1 + TblMili[[#This Row],[Mods_Def]])</f>
        <v>762</v>
      </c>
      <c r="X120" s="247">
        <f ca="1">TblConstr[[#This Row],[Land]]</f>
        <v>110</v>
      </c>
      <c r="Y120" s="250"/>
      <c r="Z120" s="255">
        <f ca="1">IF(TblMili[[#This Row],[Set]]&lt;&gt;"",TblMili[[#This Row],[Set]],OFFSET(TblMili[[#This Row],[Draftrate]],-1,0))</f>
        <v>0.9</v>
      </c>
      <c r="AA120" s="94">
        <f ca="1">OFFSET(TblMili[[#This Row],[Draftees]],-1,0)+OFFSET(TblPop[[#This Row],[Draft Growth]],-1,0) - SUM(TblMili[[#This Row],[Train Unit 1]:[Train Spies]],TblMili[[#This Row],[Train Wiz]],TblMili[[#This Row],[DnD_Zombies]]) - TblMili[[#This Row],[Release Draft]] + SUM(TblMili[[#This Row],[Release Unit 1]:[Release AM]]) - TblExplore[[#This Row],[Draftees (2)]]</f>
        <v>762</v>
      </c>
      <c r="AB120" s="154"/>
      <c r="AC120" s="180">
        <f ca="1">(TblConstr[[#This Row],[Tot Smi]]+TblConstr[[#This Row],[Dest Smi]])/(TblConstr[[#This Row],[Land]]-TblExplore[[#This Row],[Land Bonus]]*20)</f>
        <v>0</v>
      </c>
      <c r="AD120" s="137"/>
      <c r="AE120" s="246">
        <f>TblMili[[#This Row],[Hour]]</f>
        <v>117</v>
      </c>
      <c r="AF120" s="138">
        <f ca="1">TblExplore[[#This Row],[Time]]</f>
        <v>46051.833333333052</v>
      </c>
      <c r="AG120" s="179"/>
      <c r="AH120" s="179"/>
      <c r="AI120" s="179"/>
      <c r="AJ120" s="179"/>
      <c r="AK120" s="179"/>
      <c r="AL120" s="179"/>
      <c r="AM120" s="179"/>
      <c r="AN120" s="179"/>
      <c r="AO120" s="420">
        <f ca="1">ROUND(IF(AND(TblMagic[[#This Row],[Active DnD]]&lt;12,TblMagic[[#This Row],[Active DnD]]&gt;5),OFFSET(TblPop[[#This Row],[Draft Growth]],-1,0)*0.375,0),0)</f>
        <v>0</v>
      </c>
      <c r="AP120" s="142"/>
      <c r="AQ120" s="94">
        <f ca="1">TblProd[[#This Row],[Platinum]]</f>
        <v>215526</v>
      </c>
      <c r="AR120" s="94">
        <f ca="1">INDEX(TblProd[[#Headers],[Lumber]]:TblProd[[#This Row],[Ore]],COUNTA(TblProd[[#Headers],[Lumber]]:TblProd[[#This Row],[Lumber]]),MATCH(Military!$AR$2,TblProd[[#Headers],[Lumber]:[Ore]],0))</f>
        <v>0</v>
      </c>
      <c r="AS12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0" s="94">
        <f ca="1">TblMili[[#This Row],[Train Unit 1]]*TblMili[[#This Row],[OP Ore]]+TblMili[[#This Row],[Train Unit 2]]*TblMili[[#This Row],[DP Ore]]+TblMili[[#This Row],[Train Unit 3]]*TblMili[[#This Row],[E1 Ore]]+TblMili[[#This Row],[Train Unit 4]]*TblMili[[#This Row],[E2 Ore]]</f>
        <v>0</v>
      </c>
      <c r="AU120" s="142">
        <f>TblMili[[#This Row],[Hour]]</f>
        <v>117</v>
      </c>
      <c r="AV120" s="152">
        <f ca="1">TblMili[[#This Row],[Time]]</f>
        <v>46051.833333333052</v>
      </c>
      <c r="AW120" s="94">
        <f ca="1">TblMili[[#This Row],[Draftees]]</f>
        <v>762</v>
      </c>
      <c r="AX120" s="179"/>
      <c r="AY120" s="179"/>
      <c r="AZ120" s="179"/>
      <c r="BA120" s="179"/>
      <c r="BB120" s="179"/>
      <c r="BC120" s="179"/>
      <c r="BD120" s="179"/>
      <c r="BE120" s="179"/>
      <c r="BF120" s="179"/>
      <c r="BG120" s="142"/>
      <c r="BH120" s="157">
        <f ca="1">TblConstr[[#This Row],[Tot WG]]/TblConstr[[#This Row],[Land]]</f>
        <v>0</v>
      </c>
      <c r="BI120" s="157">
        <f ca="1">TblConstr[[#This Row],[Tot Hav]]/TblConstr[[#This Row],[Land]]</f>
        <v>0</v>
      </c>
      <c r="BJ120" s="94">
        <f ca="1">ROUNDUP((1-MIN(TblMili[[#This Row],[Smithies]]*smithy_bonus,smithy_bonus_cap) + tech_3_5*TblTech[[#This Row],[3-5]] + tech_5_3*TblTech[[#This Row],[5-3]] + tech_5_5*TblTech[[#This Row],[5-5]])*spec_op_plat,0)</f>
        <v>275</v>
      </c>
      <c r="BK120" s="94">
        <f ca="1">ROUNDUP(IF(race="Gnome",1,(1-MIN(TblMili[[#This Row],[Smithies]]*smithy_bonus,smithy_bonus_cap) + tech_3_5*TblTech[[#This Row],[3-5]] + tech_5_3*TblTech[[#This Row],[5-3]] + tech_5_5*TblTech[[#This Row],[5-5]]))*spec_op_ore,0)</f>
        <v>25</v>
      </c>
      <c r="BL120" s="94">
        <f ca="1">ROUNDUP((1-MIN(TblMili[[#This Row],[Smithies]]*smithy_bonus,smithy_bonus_cap) + tech_3_5*TblTech[[#This Row],[3-5]] + tech_5_3*TblTech[[#This Row],[5-3]] + tech_5_5*TblTech[[#This Row],[5-5]])*spec_dp_plat,0)</f>
        <v>275</v>
      </c>
      <c r="BM120" s="94">
        <f ca="1">ROUNDUP(IF(race="Gnome",1,(1-MIN(TblMili[[#This Row],[Smithies]]*smithy_bonus,smithy_bonus_cap) + tech_3_5*TblTech[[#This Row],[3-5]] + tech_5_3*TblTech[[#This Row],[5-3]] + tech_5_5*TblTech[[#This Row],[5-5]]))*spec_dp_ore,0)</f>
        <v>15</v>
      </c>
      <c r="BN120" s="94">
        <f ca="1">ROUNDUP((1-MIN(TblMili[[#This Row],[Smithies]]*smithy_bonus,smithy_bonus_cap) + tech_3_5*TblTech[[#This Row],[3-5]] + tech_5_3*TblTech[[#This Row],[5-3]] + tech_5_5*TblTech[[#This Row],[5-5]])*elite1_plat,0)</f>
        <v>1040</v>
      </c>
      <c r="BO120" s="94">
        <f ca="1">ROUNDUP(IF(race="Gnome",1,(1-MIN(TblMili[[#This Row],[Smithies]]*smithy_bonus,smithy_bonus_cap) + tech_3_5*TblTech[[#This Row],[3-5]] + tech_5_3*TblTech[[#This Row],[5-3]] + tech_5_5*TblTech[[#This Row],[5-5]]))*elite1_ore,0)</f>
        <v>75</v>
      </c>
      <c r="BP120" s="94">
        <f ca="1">ROUNDUP((1-MIN(TblMili[[#This Row],[Smithies]]*smithy_bonus,smithy_bonus_cap) + tech_3_5*TblTech[[#This Row],[3-5]] + tech_5_3*TblTech[[#This Row],[5-3]] + tech_5_5*TblTech[[#This Row],[5-5]])*elite2_plat,0)</f>
        <v>1280</v>
      </c>
      <c r="BQ120" s="94">
        <f ca="1">ROUNDUP(IF(race="Gnome",1,(1-MIN(TblMili[[#This Row],[Smithies]]*smithy_bonus,smithy_bonus_cap) + tech_3_5*TblTech[[#This Row],[3-5]] + tech_5_3*TblTech[[#This Row],[5-3]] + tech_5_5*TblTech[[#This Row],[5-5]]))*elite2_ore,0)</f>
        <v>100</v>
      </c>
      <c r="BR120" s="94">
        <f ca="1">ROUNDUP((1-MIN(ROUND(fh_spy_cost_red*TblMili[[#This Row],[FH''s]],4),fh_spy_cost_cap)+ tech_1_9*TblTech[[#This Row],[1-9]] + tech_9_1*TblTech[[#This Row],[9-1]])*spy_plat,0)</f>
        <v>500</v>
      </c>
      <c r="BS120" s="94">
        <f ca="1">ROUNDUP((1-MIN(ROUND(fh_spy_cost_red*TblMili[[#This Row],[FH''s]],4),fh_spy_cost_cap)+ tech_1_9*TblTech[[#This Row],[1-9]] + tech_9_1*TblTech[[#This Row],[9-1]])*archspy_plat,0)</f>
        <v>1000</v>
      </c>
      <c r="BT120" s="94">
        <f ca="1">ROUNDUP((1-MIN(ROUND(wg_wiz_cost_bonus*TblMili[[#This Row],[WG''s]],4),wg_wiz_cost_cap) + tech_1_9_2*TblTech[[#This Row],[1-9]] + tech_9_1_2*TblTech[[#This Row],[9-1]])*wizard_plat,0)</f>
        <v>500</v>
      </c>
      <c r="BU120" s="94">
        <f ca="1">ROUNDUP((1-MIN(ROUND(wg_wiz_cost_bonus*TblMili[[#This Row],[WG''s]],4),wg_wiz_cost_cap) + tech_1_9_2*TblTech[[#This Row],[1-9]] + tech_9_1_2*TblTech[[#This Row],[9-1]])*archmage_plat,0)</f>
        <v>1000</v>
      </c>
      <c r="BV120" s="142"/>
      <c r="BW120" s="157">
        <f ca="1">TblConstr[[#This Row],[Homeland]]/TblConstr[[#This Row],[Land]]</f>
        <v>0.81818181818181823</v>
      </c>
      <c r="BX120" s="157">
        <f ca="1">TblMili[[#This Row],[WG''s]]</f>
        <v>0</v>
      </c>
      <c r="BY120" s="251">
        <f ca="1">IF(mystic_cap="none",TblMili[[#This Row],[Homeland%]]/mystic_bonus,MIN(mystic_cap,TblMili[[#This Row],[Homeland%]]/mystic_bonus))</f>
        <v>2</v>
      </c>
      <c r="BZ120" s="251">
        <f ca="1">IF(druid_op_cap="none",TblMili[[#This Row],[Homeland%]]/druid_op_bonus,MIN(druid_op_cap,TblMili[[#This Row],[Homeland%]]/druid_op_bonus))</f>
        <v>2</v>
      </c>
      <c r="CA120" s="251">
        <f ca="1">IF(druid_dp_cap="none",TblMili[[#This Row],[Homeland%]]/druid_dp_bonus,MIN(druid_dp_cap,TblMili[[#This Row],[Homeland%]]/druid_dp_bonus))</f>
        <v>2</v>
      </c>
      <c r="CB120" s="251">
        <f ca="1">MIN(dryad_cap,TblMili[[#This Row],[Homeland%]]/dryad_bonus)</f>
        <v>4</v>
      </c>
      <c r="CC120" s="251">
        <f ca="1">MIN(rocka_cap,TblMili[[#This Row],[Homeland%]]/rocka_bonus)</f>
        <v>2</v>
      </c>
      <c r="CD120" s="251">
        <f ca="1">MIN(adept_op_cap,TblMili[[#This Row],[WG]]/adept_op_bonus)</f>
        <v>0</v>
      </c>
      <c r="CE120" s="251">
        <f ca="1">MIN(adept_dp_cap,TblMili[[#This Row],[WG]]/adept_dp_bonus)</f>
        <v>0</v>
      </c>
      <c r="CF120" s="94">
        <f ca="1">MIN(TblMili[[#This Row],[Unit 3]],TblMili[[#This Row],[Unit 2]])*2</f>
        <v>0</v>
      </c>
      <c r="CG120" s="94">
        <f ca="1">MIN(TblMili[[#This Row],[Unit 1]],TblMili[[#This Row],[Unit 4]])*2</f>
        <v>0</v>
      </c>
      <c r="CH120" s="251">
        <f ca="1">MIN(frost_mage_cap,TblMili[[#This Row],[Homeland%]]/frost_mage_bonus)</f>
        <v>3</v>
      </c>
      <c r="CI120" s="45">
        <f ca="1">MIN(ice_elem_cap,TblMili[[#This Row],[Raw (2)]]*ice_elem_bonus)</f>
        <v>0</v>
      </c>
      <c r="CJ120" s="251">
        <f t="shared" si="4"/>
        <v>0.83333333333333337</v>
      </c>
      <c r="CK120" s="251">
        <f ca="1">MIN(nox_nightshade_cap,TblConstr[[#This Row],[Homeland]]/TblConstr[[#This Row],[Land]]/nox_nightshade_swamp_bonus)</f>
        <v>4</v>
      </c>
      <c r="CL120" s="251">
        <f ca="1">MIN(TblConstr[[#This Row],[Total Swamp]]/TblConstr[[#This Row],[Land]]/abyss_enforce_bonus,abyss_enforcer_cap)</f>
        <v>0</v>
      </c>
      <c r="CM120" s="251">
        <f ca="1">IF(TblMagic[[#This Row],[Active Infernal Command]]&gt;0,TblMili[[#This Row],[Unit 1]]*infernal_cmd_op,0)</f>
        <v>0</v>
      </c>
      <c r="CN120" s="252"/>
      <c r="CO120" s="252"/>
      <c r="CP120" s="252"/>
      <c r="CQ120" s="251">
        <f ca="1">MIN(6,TblMili[[#This Row],[Mystic]]+Races!$F$19)*1.8 +  IF(TblMili[[#This Row],[Mystic]]+Races!$F$19&gt;6,(TblMili[[#This Row],[Mystic]]+Races!$F$19-6)*0.2,0) - Races!$I$19</f>
        <v>1</v>
      </c>
      <c r="CR12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0" s="94">
        <f ca="1">TblMili[[#This Row],[Mystic bonus]]*TblMili[[#This Row],[Unit 3]]+TblMili[[#This Row],[Druid bonus]]*TblMili[[#This Row],[Unit 4]]</f>
        <v>0</v>
      </c>
      <c r="CT120" s="155">
        <f ca="1">MIN(6,TblMili[[#This Row],[Dryad]]+Races!$F$35)*1.8 +  IF(TblMili[[#This Row],[Dryad]]+Races!$F$35&gt;6,(TblMili[[#This Row],[Dryad]]+Races!$F$35-6)*0.2,0) - Races!$I$19</f>
        <v>1</v>
      </c>
      <c r="CU120" s="94">
        <f ca="1">sylvan*(TblMili[[#This Row],[Mystic bonus]]*TblMili[[#This Row],[Unit 3]])</f>
        <v>0</v>
      </c>
      <c r="CV120" s="155">
        <f ca="1">1.8 * MIN(MAX(Races!$E$27,TblMili[[#This Row],[Rockapult]]+Races!$F$27),6)  +  0.45 * MIN(MIN(Races!$E$27,TblMili[[#This Row],[Rockapult]]+Races!$F$27),6)  +  0.2 * ( MAX(Races!$E$27-6,0) + MAX(TblMili[[#This Row],[Rockapult]]+Races!$F$27-6,0) )  -  Races!$I$20</f>
        <v>3.7000000000000011</v>
      </c>
      <c r="CW120" s="94">
        <f ca="1">gnome*(TblMili[[#This Row],[Rockapult bonus]]*TblMili[[#This Row],[Unit 3]])</f>
        <v>0</v>
      </c>
      <c r="CX12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0" s="94">
        <f ca="1">dark_elf*(TblMili[[#This Row],[Adept bonus]]*TblMili[[#This Row],[Unit 3]])</f>
        <v>0</v>
      </c>
      <c r="CZ120" s="155">
        <f ca="1">1.8 * MIN(MAX(TblMili[[#This Row],[Frost Mage]]+Races!$F$71,Races!$E$71),6)  +  0.45 * MIN(MIN(TblMili[[#This Row],[Frost Mage]]+Races!$F$71,Races!$E$71),6)  +  0.2 * ( MAX(TblMili[[#This Row],[Frost Mage]]+Races!$F$71-6,0) + MAX(Races!$E$71-6,0) )  -  Races!$I$71</f>
        <v>6.15</v>
      </c>
      <c r="DA120" s="155">
        <f ca="1">1.8 * MIN(MAX(TblMili[[#This Row],[Ice Elemental]]+Races!$E$71,Races!$F$71),6)  +  0.45 * MIN(MIN(TblMili[[#This Row],[Ice Elemental]]+Races!$E$71,Races!$F$71),6)  +  0.2 * ( MAX(TblMili[[#This Row],[Ice Elemental]]+Races!$E$71-6,0) + MAX(Races!$F$71-6,0) )  -  Races!$I$71</f>
        <v>0.75</v>
      </c>
      <c r="DB120" s="94">
        <f ca="1">TblMili[[#This Row],[Frost Mage bonus]]*TblMili[[#This Row],[Unit 3]]+TblMili[[#This Row],[Ice Elemental bonus]]*TblMili[[#This Row],[Unit 4]]</f>
        <v>0</v>
      </c>
      <c r="DC120" s="253"/>
      <c r="DD120" s="143">
        <f ca="1">MIN(SUM(TblConstr[[#This Row],[Plain]:[Water]])/TblMili[[#This Row],[Land]]/favorable_terrain_bonus/100,favorable_terrain_max)</f>
        <v>0.1</v>
      </c>
      <c r="DE120" s="253"/>
      <c r="DF12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0" s="142"/>
      <c r="DH120" s="254">
        <f ca="1">(TblMili[[#This Row],[Wizards]]+2*TblMili[[#This Row],[Archmages]])/TblConstr[[#This Row],[Land]]</f>
        <v>0</v>
      </c>
      <c r="DI120" s="254">
        <f ca="1">TblMili[[#This Row],[Raw (2)]]*(1+race_wizard_strength+IF(TblMili[[#This Row],[Hour]]&gt;72,tech_magical_weaponry_wiz*TblTech[[#This Row],[3-5]],0))</f>
        <v>0</v>
      </c>
    </row>
    <row r="121" spans="1:113" x14ac:dyDescent="0.2">
      <c r="A121" s="137">
        <f>TblRezone[[#This Row],[Hour]]</f>
        <v>118</v>
      </c>
      <c r="B121" s="246">
        <f ca="1">SUM(TblMili[[#This Row],[Unit 1]:[Archmages]])+SUM(OFFSET(TblMili[[#This Row],[Train Unit 1]],-8,0):TblMili[[#This Row],[Train Unit 2]]) + SUM(OFFSET(TblMili[[#This Row],[Train Unit 3]],-11,0):TblMili[[#This Row],[Train AM]]) + TblMili[[#This Row],[Draftees]]</f>
        <v>765</v>
      </c>
      <c r="C121" s="157">
        <f ca="1">TblPop[[#This Row],[Military%]]</f>
        <v>0.71096654275092941</v>
      </c>
      <c r="D121" s="142"/>
      <c r="E121" s="45">
        <f ca="1">OFFSET(TblMili[[#This Row],[Unit 1]],-1,0) + OFFSET(TblMili[[#This Row],[Train Unit 1]],-9,0) - TblMili[[#This Row],[Release Unit 1]] + OFFSET(TblMili[[#This Row],[DnD_Zombies]],-12,0)</f>
        <v>0</v>
      </c>
      <c r="F121" s="45">
        <f ca="1">OFFSET(TblMili[[#This Row],[Unit 2]],-1,0) + OFFSET(TblMili[[#This Row],[Train Unit 2]],-9,0)-TblMili[[#This Row],[Release Unit 2]]</f>
        <v>0</v>
      </c>
      <c r="G121" s="45">
        <f ca="1">OFFSET(TblMili[[#This Row],[Unit 3]],-1,0) + OFFSET(TblMili[[#This Row],[Train Unit 3]],-12,0)-TblMili[[#This Row],[Release Unit 3]]</f>
        <v>0</v>
      </c>
      <c r="H121" s="45">
        <f ca="1">OFFSET(TblMili[[#This Row],[Unit 4]],-1,0) + OFFSET(TblMili[[#This Row],[Train Unit 4]],-12,0)-TblMili[[#This Row],[Release Unit 4]]</f>
        <v>0</v>
      </c>
      <c r="I121" s="45">
        <f ca="1">OFFSET(TblMili[[#This Row],[Spies]],-1,0) + OFFSET(TblMili[[#This Row],[Train Spies]],-12,0) - TblMili[[#This Row],[Release Spies]]-TblMili[[#This Row],[Train AS]]</f>
        <v>0</v>
      </c>
      <c r="J121" s="45">
        <f ca="1">OFFSET(TblMili[[#This Row],[Archspies]],-1,0) + OFFSET(TblMili[[#This Row],[Train AS]],-12,0) - TblMili[[#This Row],[Release AS]]</f>
        <v>0</v>
      </c>
      <c r="K121" s="45">
        <f ca="1">OFFSET(TblMili[[#This Row],[Wizards]],-1,0) + OFFSET(TblMili[[#This Row],[Train Wiz]],-12,0) - TblMili[[#This Row],[Release Wizards]]-TblMili[[#This Row],[Train AM]]</f>
        <v>0</v>
      </c>
      <c r="L121" s="45">
        <f ca="1">OFFSET(TblMili[[#This Row],[Archmages]],-1,0) + OFFSET(TblMili[[#This Row],[Train AM]],-12,0) - TblMili[[#This Row],[Release AM]]</f>
        <v>0</v>
      </c>
      <c r="M121" s="142"/>
      <c r="N121" s="94">
        <f ca="1">TblProd[[#This Row],[Networth]]</f>
        <v>2450</v>
      </c>
      <c r="O121" s="142"/>
      <c r="P12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1" s="247">
        <f ca="1">TblMili[[#This Row],[Raw]]*(1+TblMili[[#This Row],[Mods_Off]])</f>
        <v>0</v>
      </c>
      <c r="S12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1" s="247">
        <f ca="1">TblMili[[#This Row],[Non Draft]]+TblMili[[#This Row],[Draftees]]</f>
        <v>765</v>
      </c>
      <c r="U121" s="248">
        <f ca="1">race_defense + TblImps[[#This Row],[Walls]] + ROUND( MIN(gt_bonus*TblConstr[[#This Row],[Tot GT]]/TblConstr[[#This Row],[Land]],gt_bonus_cap), 4) + IF(TblMagic[[#This Row],[Active Howling]]&gt;0,howling_dp_bonus,IF(TblMagic[[#This Row],[Active Ares Call]]&gt;0,ares_call_bonus))</f>
        <v>0</v>
      </c>
      <c r="V121" s="249">
        <f ca="1">TblMili[[#This Row],[Non Draft]] * (1 + TblMili[[#This Row],[Mods_Def]])</f>
        <v>0</v>
      </c>
      <c r="W121" s="247">
        <f ca="1">TblMili[[#This Row],[Draft]] * (1 + TblMili[[#This Row],[Mods_Def]])</f>
        <v>765</v>
      </c>
      <c r="X121" s="247">
        <f ca="1">TblConstr[[#This Row],[Land]]</f>
        <v>110</v>
      </c>
      <c r="Y121" s="250"/>
      <c r="Z121" s="255">
        <f ca="1">IF(TblMili[[#This Row],[Set]]&lt;&gt;"",TblMili[[#This Row],[Set]],OFFSET(TblMili[[#This Row],[Draftrate]],-1,0))</f>
        <v>0.9</v>
      </c>
      <c r="AA121" s="94">
        <f ca="1">OFFSET(TblMili[[#This Row],[Draftees]],-1,0)+OFFSET(TblPop[[#This Row],[Draft Growth]],-1,0) - SUM(TblMili[[#This Row],[Train Unit 1]:[Train Spies]],TblMili[[#This Row],[Train Wiz]],TblMili[[#This Row],[DnD_Zombies]]) - TblMili[[#This Row],[Release Draft]] + SUM(TblMili[[#This Row],[Release Unit 1]:[Release AM]]) - TblExplore[[#This Row],[Draftees (2)]]</f>
        <v>765</v>
      </c>
      <c r="AB121" s="154"/>
      <c r="AC121" s="180">
        <f ca="1">(TblConstr[[#This Row],[Tot Smi]]+TblConstr[[#This Row],[Dest Smi]])/(TblConstr[[#This Row],[Land]]-TblExplore[[#This Row],[Land Bonus]]*20)</f>
        <v>0</v>
      </c>
      <c r="AD121" s="137"/>
      <c r="AE121" s="246">
        <f>TblMili[[#This Row],[Hour]]</f>
        <v>118</v>
      </c>
      <c r="AF121" s="138">
        <f ca="1">TblExplore[[#This Row],[Time]]</f>
        <v>46051.874999999716</v>
      </c>
      <c r="AG121" s="179"/>
      <c r="AH121" s="179"/>
      <c r="AI121" s="179"/>
      <c r="AJ121" s="179"/>
      <c r="AK121" s="179"/>
      <c r="AL121" s="179"/>
      <c r="AM121" s="179"/>
      <c r="AN121" s="179"/>
      <c r="AO121" s="420">
        <f ca="1">ROUND(IF(AND(TblMagic[[#This Row],[Active DnD]]&lt;12,TblMagic[[#This Row],[Active DnD]]&gt;5),OFFSET(TblPop[[#This Row],[Draft Growth]],-1,0)*0.375,0),0)</f>
        <v>0</v>
      </c>
      <c r="AP121" s="142"/>
      <c r="AQ121" s="94">
        <f ca="1">TblProd[[#This Row],[Platinum]]</f>
        <v>216373</v>
      </c>
      <c r="AR121" s="94">
        <f ca="1">INDEX(TblProd[[#Headers],[Lumber]]:TblProd[[#This Row],[Ore]],COUNTA(TblProd[[#Headers],[Lumber]]:TblProd[[#This Row],[Lumber]]),MATCH(Military!$AR$2,TblProd[[#Headers],[Lumber]:[Ore]],0))</f>
        <v>0</v>
      </c>
      <c r="AS12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1" s="94">
        <f ca="1">TblMili[[#This Row],[Train Unit 1]]*TblMili[[#This Row],[OP Ore]]+TblMili[[#This Row],[Train Unit 2]]*TblMili[[#This Row],[DP Ore]]+TblMili[[#This Row],[Train Unit 3]]*TblMili[[#This Row],[E1 Ore]]+TblMili[[#This Row],[Train Unit 4]]*TblMili[[#This Row],[E2 Ore]]</f>
        <v>0</v>
      </c>
      <c r="AU121" s="142">
        <f>TblMili[[#This Row],[Hour]]</f>
        <v>118</v>
      </c>
      <c r="AV121" s="152">
        <f ca="1">TblMili[[#This Row],[Time]]</f>
        <v>46051.874999999716</v>
      </c>
      <c r="AW121" s="94">
        <f ca="1">TblMili[[#This Row],[Draftees]]</f>
        <v>765</v>
      </c>
      <c r="AX121" s="179"/>
      <c r="AY121" s="179"/>
      <c r="AZ121" s="179"/>
      <c r="BA121" s="179"/>
      <c r="BB121" s="179"/>
      <c r="BC121" s="179"/>
      <c r="BD121" s="179"/>
      <c r="BE121" s="179"/>
      <c r="BF121" s="179"/>
      <c r="BG121" s="142"/>
      <c r="BH121" s="157">
        <f ca="1">TblConstr[[#This Row],[Tot WG]]/TblConstr[[#This Row],[Land]]</f>
        <v>0</v>
      </c>
      <c r="BI121" s="157">
        <f ca="1">TblConstr[[#This Row],[Tot Hav]]/TblConstr[[#This Row],[Land]]</f>
        <v>0</v>
      </c>
      <c r="BJ121" s="94">
        <f ca="1">ROUNDUP((1-MIN(TblMili[[#This Row],[Smithies]]*smithy_bonus,smithy_bonus_cap) + tech_3_5*TblTech[[#This Row],[3-5]] + tech_5_3*TblTech[[#This Row],[5-3]] + tech_5_5*TblTech[[#This Row],[5-5]])*spec_op_plat,0)</f>
        <v>275</v>
      </c>
      <c r="BK121" s="94">
        <f ca="1">ROUNDUP(IF(race="Gnome",1,(1-MIN(TblMili[[#This Row],[Smithies]]*smithy_bonus,smithy_bonus_cap) + tech_3_5*TblTech[[#This Row],[3-5]] + tech_5_3*TblTech[[#This Row],[5-3]] + tech_5_5*TblTech[[#This Row],[5-5]]))*spec_op_ore,0)</f>
        <v>25</v>
      </c>
      <c r="BL121" s="94">
        <f ca="1">ROUNDUP((1-MIN(TblMili[[#This Row],[Smithies]]*smithy_bonus,smithy_bonus_cap) + tech_3_5*TblTech[[#This Row],[3-5]] + tech_5_3*TblTech[[#This Row],[5-3]] + tech_5_5*TblTech[[#This Row],[5-5]])*spec_dp_plat,0)</f>
        <v>275</v>
      </c>
      <c r="BM121" s="94">
        <f ca="1">ROUNDUP(IF(race="Gnome",1,(1-MIN(TblMili[[#This Row],[Smithies]]*smithy_bonus,smithy_bonus_cap) + tech_3_5*TblTech[[#This Row],[3-5]] + tech_5_3*TblTech[[#This Row],[5-3]] + tech_5_5*TblTech[[#This Row],[5-5]]))*spec_dp_ore,0)</f>
        <v>15</v>
      </c>
      <c r="BN121" s="94">
        <f ca="1">ROUNDUP((1-MIN(TblMili[[#This Row],[Smithies]]*smithy_bonus,smithy_bonus_cap) + tech_3_5*TblTech[[#This Row],[3-5]] + tech_5_3*TblTech[[#This Row],[5-3]] + tech_5_5*TblTech[[#This Row],[5-5]])*elite1_plat,0)</f>
        <v>1040</v>
      </c>
      <c r="BO121" s="94">
        <f ca="1">ROUNDUP(IF(race="Gnome",1,(1-MIN(TblMili[[#This Row],[Smithies]]*smithy_bonus,smithy_bonus_cap) + tech_3_5*TblTech[[#This Row],[3-5]] + tech_5_3*TblTech[[#This Row],[5-3]] + tech_5_5*TblTech[[#This Row],[5-5]]))*elite1_ore,0)</f>
        <v>75</v>
      </c>
      <c r="BP121" s="94">
        <f ca="1">ROUNDUP((1-MIN(TblMili[[#This Row],[Smithies]]*smithy_bonus,smithy_bonus_cap) + tech_3_5*TblTech[[#This Row],[3-5]] + tech_5_3*TblTech[[#This Row],[5-3]] + tech_5_5*TblTech[[#This Row],[5-5]])*elite2_plat,0)</f>
        <v>1280</v>
      </c>
      <c r="BQ121" s="94">
        <f ca="1">ROUNDUP(IF(race="Gnome",1,(1-MIN(TblMili[[#This Row],[Smithies]]*smithy_bonus,smithy_bonus_cap) + tech_3_5*TblTech[[#This Row],[3-5]] + tech_5_3*TblTech[[#This Row],[5-3]] + tech_5_5*TblTech[[#This Row],[5-5]]))*elite2_ore,0)</f>
        <v>100</v>
      </c>
      <c r="BR121" s="94">
        <f ca="1">ROUNDUP((1-MIN(ROUND(fh_spy_cost_red*TblMili[[#This Row],[FH''s]],4),fh_spy_cost_cap)+ tech_1_9*TblTech[[#This Row],[1-9]] + tech_9_1*TblTech[[#This Row],[9-1]])*spy_plat,0)</f>
        <v>500</v>
      </c>
      <c r="BS121" s="94">
        <f ca="1">ROUNDUP((1-MIN(ROUND(fh_spy_cost_red*TblMili[[#This Row],[FH''s]],4),fh_spy_cost_cap)+ tech_1_9*TblTech[[#This Row],[1-9]] + tech_9_1*TblTech[[#This Row],[9-1]])*archspy_plat,0)</f>
        <v>1000</v>
      </c>
      <c r="BT121" s="94">
        <f ca="1">ROUNDUP((1-MIN(ROUND(wg_wiz_cost_bonus*TblMili[[#This Row],[WG''s]],4),wg_wiz_cost_cap) + tech_1_9_2*TblTech[[#This Row],[1-9]] + tech_9_1_2*TblTech[[#This Row],[9-1]])*wizard_plat,0)</f>
        <v>500</v>
      </c>
      <c r="BU121" s="94">
        <f ca="1">ROUNDUP((1-MIN(ROUND(wg_wiz_cost_bonus*TblMili[[#This Row],[WG''s]],4),wg_wiz_cost_cap) + tech_1_9_2*TblTech[[#This Row],[1-9]] + tech_9_1_2*TblTech[[#This Row],[9-1]])*archmage_plat,0)</f>
        <v>1000</v>
      </c>
      <c r="BV121" s="142"/>
      <c r="BW121" s="157">
        <f ca="1">TblConstr[[#This Row],[Homeland]]/TblConstr[[#This Row],[Land]]</f>
        <v>0.81818181818181823</v>
      </c>
      <c r="BX121" s="157">
        <f ca="1">TblMili[[#This Row],[WG''s]]</f>
        <v>0</v>
      </c>
      <c r="BY121" s="251">
        <f ca="1">IF(mystic_cap="none",TblMili[[#This Row],[Homeland%]]/mystic_bonus,MIN(mystic_cap,TblMili[[#This Row],[Homeland%]]/mystic_bonus))</f>
        <v>2</v>
      </c>
      <c r="BZ121" s="251">
        <f ca="1">IF(druid_op_cap="none",TblMili[[#This Row],[Homeland%]]/druid_op_bonus,MIN(druid_op_cap,TblMili[[#This Row],[Homeland%]]/druid_op_bonus))</f>
        <v>2</v>
      </c>
      <c r="CA121" s="251">
        <f ca="1">IF(druid_dp_cap="none",TblMili[[#This Row],[Homeland%]]/druid_dp_bonus,MIN(druid_dp_cap,TblMili[[#This Row],[Homeland%]]/druid_dp_bonus))</f>
        <v>2</v>
      </c>
      <c r="CB121" s="251">
        <f ca="1">MIN(dryad_cap,TblMili[[#This Row],[Homeland%]]/dryad_bonus)</f>
        <v>4</v>
      </c>
      <c r="CC121" s="251">
        <f ca="1">MIN(rocka_cap,TblMili[[#This Row],[Homeland%]]/rocka_bonus)</f>
        <v>2</v>
      </c>
      <c r="CD121" s="251">
        <f ca="1">MIN(adept_op_cap,TblMili[[#This Row],[WG]]/adept_op_bonus)</f>
        <v>0</v>
      </c>
      <c r="CE121" s="251">
        <f ca="1">MIN(adept_dp_cap,TblMili[[#This Row],[WG]]/adept_dp_bonus)</f>
        <v>0</v>
      </c>
      <c r="CF121" s="94">
        <f ca="1">MIN(TblMili[[#This Row],[Unit 3]],TblMili[[#This Row],[Unit 2]])*2</f>
        <v>0</v>
      </c>
      <c r="CG121" s="94">
        <f ca="1">MIN(TblMili[[#This Row],[Unit 1]],TblMili[[#This Row],[Unit 4]])*2</f>
        <v>0</v>
      </c>
      <c r="CH121" s="251">
        <f ca="1">MIN(frost_mage_cap,TblMili[[#This Row],[Homeland%]]/frost_mage_bonus)</f>
        <v>3</v>
      </c>
      <c r="CI121" s="45">
        <f ca="1">MIN(ice_elem_cap,TblMili[[#This Row],[Raw (2)]]*ice_elem_bonus)</f>
        <v>0</v>
      </c>
      <c r="CJ121" s="251">
        <f t="shared" si="4"/>
        <v>0.83333333333333337</v>
      </c>
      <c r="CK121" s="251">
        <f ca="1">MIN(nox_nightshade_cap,TblConstr[[#This Row],[Homeland]]/TblConstr[[#This Row],[Land]]/nox_nightshade_swamp_bonus)</f>
        <v>4</v>
      </c>
      <c r="CL121" s="251">
        <f ca="1">MIN(TblConstr[[#This Row],[Total Swamp]]/TblConstr[[#This Row],[Land]]/abyss_enforce_bonus,abyss_enforcer_cap)</f>
        <v>0</v>
      </c>
      <c r="CM121" s="251">
        <f ca="1">IF(TblMagic[[#This Row],[Active Infernal Command]]&gt;0,TblMili[[#This Row],[Unit 1]]*infernal_cmd_op,0)</f>
        <v>0</v>
      </c>
      <c r="CN121" s="252"/>
      <c r="CO121" s="252"/>
      <c r="CP121" s="252"/>
      <c r="CQ121" s="251">
        <f ca="1">MIN(6,TblMili[[#This Row],[Mystic]]+Races!$F$19)*1.8 +  IF(TblMili[[#This Row],[Mystic]]+Races!$F$19&gt;6,(TblMili[[#This Row],[Mystic]]+Races!$F$19-6)*0.2,0) - Races!$I$19</f>
        <v>1</v>
      </c>
      <c r="CR12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1" s="94">
        <f ca="1">TblMili[[#This Row],[Mystic bonus]]*TblMili[[#This Row],[Unit 3]]+TblMili[[#This Row],[Druid bonus]]*TblMili[[#This Row],[Unit 4]]</f>
        <v>0</v>
      </c>
      <c r="CT121" s="155">
        <f ca="1">MIN(6,TblMili[[#This Row],[Dryad]]+Races!$F$35)*1.8 +  IF(TblMili[[#This Row],[Dryad]]+Races!$F$35&gt;6,(TblMili[[#This Row],[Dryad]]+Races!$F$35-6)*0.2,0) - Races!$I$19</f>
        <v>1</v>
      </c>
      <c r="CU121" s="94">
        <f ca="1">sylvan*(TblMili[[#This Row],[Mystic bonus]]*TblMili[[#This Row],[Unit 3]])</f>
        <v>0</v>
      </c>
      <c r="CV121" s="155">
        <f ca="1">1.8 * MIN(MAX(Races!$E$27,TblMili[[#This Row],[Rockapult]]+Races!$F$27),6)  +  0.45 * MIN(MIN(Races!$E$27,TblMili[[#This Row],[Rockapult]]+Races!$F$27),6)  +  0.2 * ( MAX(Races!$E$27-6,0) + MAX(TblMili[[#This Row],[Rockapult]]+Races!$F$27-6,0) )  -  Races!$I$20</f>
        <v>3.7000000000000011</v>
      </c>
      <c r="CW121" s="94">
        <f ca="1">gnome*(TblMili[[#This Row],[Rockapult bonus]]*TblMili[[#This Row],[Unit 3]])</f>
        <v>0</v>
      </c>
      <c r="CX12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1" s="94">
        <f ca="1">dark_elf*(TblMili[[#This Row],[Adept bonus]]*TblMili[[#This Row],[Unit 3]])</f>
        <v>0</v>
      </c>
      <c r="CZ121" s="155">
        <f ca="1">1.8 * MIN(MAX(TblMili[[#This Row],[Frost Mage]]+Races!$F$71,Races!$E$71),6)  +  0.45 * MIN(MIN(TblMili[[#This Row],[Frost Mage]]+Races!$F$71,Races!$E$71),6)  +  0.2 * ( MAX(TblMili[[#This Row],[Frost Mage]]+Races!$F$71-6,0) + MAX(Races!$E$71-6,0) )  -  Races!$I$71</f>
        <v>6.15</v>
      </c>
      <c r="DA121" s="155">
        <f ca="1">1.8 * MIN(MAX(TblMili[[#This Row],[Ice Elemental]]+Races!$E$71,Races!$F$71),6)  +  0.45 * MIN(MIN(TblMili[[#This Row],[Ice Elemental]]+Races!$E$71,Races!$F$71),6)  +  0.2 * ( MAX(TblMili[[#This Row],[Ice Elemental]]+Races!$E$71-6,0) + MAX(Races!$F$71-6,0) )  -  Races!$I$71</f>
        <v>0.75</v>
      </c>
      <c r="DB121" s="94">
        <f ca="1">TblMili[[#This Row],[Frost Mage bonus]]*TblMili[[#This Row],[Unit 3]]+TblMili[[#This Row],[Ice Elemental bonus]]*TblMili[[#This Row],[Unit 4]]</f>
        <v>0</v>
      </c>
      <c r="DC121" s="253"/>
      <c r="DD121" s="143">
        <f ca="1">MIN(SUM(TblConstr[[#This Row],[Plain]:[Water]])/TblMili[[#This Row],[Land]]/favorable_terrain_bonus/100,favorable_terrain_max)</f>
        <v>0.1</v>
      </c>
      <c r="DE121" s="253"/>
      <c r="DF12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1" s="142"/>
      <c r="DH121" s="254">
        <f ca="1">(TblMili[[#This Row],[Wizards]]+2*TblMili[[#This Row],[Archmages]])/TblConstr[[#This Row],[Land]]</f>
        <v>0</v>
      </c>
      <c r="DI121" s="254">
        <f ca="1">TblMili[[#This Row],[Raw (2)]]*(1+race_wizard_strength+IF(TblMili[[#This Row],[Hour]]&gt;72,tech_magical_weaponry_wiz*TblTech[[#This Row],[3-5]],0))</f>
        <v>0</v>
      </c>
    </row>
    <row r="122" spans="1:113" x14ac:dyDescent="0.2">
      <c r="A122" s="137">
        <f>TblRezone[[#This Row],[Hour]]</f>
        <v>119</v>
      </c>
      <c r="B122" s="246">
        <f ca="1">SUM(TblMili[[#This Row],[Unit 1]:[Archmages]])+SUM(OFFSET(TblMili[[#This Row],[Train Unit 1]],-8,0):TblMili[[#This Row],[Train Unit 2]]) + SUM(OFFSET(TblMili[[#This Row],[Train Unit 3]],-11,0):TblMili[[#This Row],[Train AM]]) + TblMili[[#This Row],[Draftees]]</f>
        <v>768</v>
      </c>
      <c r="C122" s="157">
        <f ca="1">TblPop[[#This Row],[Military%]]</f>
        <v>0.71375464684014867</v>
      </c>
      <c r="D122" s="142"/>
      <c r="E122" s="45">
        <f ca="1">OFFSET(TblMili[[#This Row],[Unit 1]],-1,0) + OFFSET(TblMili[[#This Row],[Train Unit 1]],-9,0) - TblMili[[#This Row],[Release Unit 1]] + OFFSET(TblMili[[#This Row],[DnD_Zombies]],-12,0)</f>
        <v>0</v>
      </c>
      <c r="F122" s="45">
        <f ca="1">OFFSET(TblMili[[#This Row],[Unit 2]],-1,0) + OFFSET(TblMili[[#This Row],[Train Unit 2]],-9,0)-TblMili[[#This Row],[Release Unit 2]]</f>
        <v>0</v>
      </c>
      <c r="G122" s="45">
        <f ca="1">OFFSET(TblMili[[#This Row],[Unit 3]],-1,0) + OFFSET(TblMili[[#This Row],[Train Unit 3]],-12,0)-TblMili[[#This Row],[Release Unit 3]]</f>
        <v>0</v>
      </c>
      <c r="H122" s="45">
        <f ca="1">OFFSET(TblMili[[#This Row],[Unit 4]],-1,0) + OFFSET(TblMili[[#This Row],[Train Unit 4]],-12,0)-TblMili[[#This Row],[Release Unit 4]]</f>
        <v>0</v>
      </c>
      <c r="I122" s="45">
        <f ca="1">OFFSET(TblMili[[#This Row],[Spies]],-1,0) + OFFSET(TblMili[[#This Row],[Train Spies]],-12,0) - TblMili[[#This Row],[Release Spies]]-TblMili[[#This Row],[Train AS]]</f>
        <v>0</v>
      </c>
      <c r="J122" s="45">
        <f ca="1">OFFSET(TblMili[[#This Row],[Archspies]],-1,0) + OFFSET(TblMili[[#This Row],[Train AS]],-12,0) - TblMili[[#This Row],[Release AS]]</f>
        <v>0</v>
      </c>
      <c r="K122" s="45">
        <f ca="1">OFFSET(TblMili[[#This Row],[Wizards]],-1,0) + OFFSET(TblMili[[#This Row],[Train Wiz]],-12,0) - TblMili[[#This Row],[Release Wizards]]-TblMili[[#This Row],[Train AM]]</f>
        <v>0</v>
      </c>
      <c r="L122" s="45">
        <f ca="1">OFFSET(TblMili[[#This Row],[Archmages]],-1,0) + OFFSET(TblMili[[#This Row],[Train AM]],-12,0) - TblMili[[#This Row],[Release AM]]</f>
        <v>0</v>
      </c>
      <c r="M122" s="142"/>
      <c r="N122" s="94">
        <f ca="1">TblProd[[#This Row],[Networth]]</f>
        <v>2450</v>
      </c>
      <c r="O122" s="142"/>
      <c r="P12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2" s="247">
        <f ca="1">TblMili[[#This Row],[Raw]]*(1+TblMili[[#This Row],[Mods_Off]])</f>
        <v>0</v>
      </c>
      <c r="S12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2" s="247">
        <f ca="1">TblMili[[#This Row],[Non Draft]]+TblMili[[#This Row],[Draftees]]</f>
        <v>768</v>
      </c>
      <c r="U122" s="248">
        <f ca="1">race_defense + TblImps[[#This Row],[Walls]] + ROUND( MIN(gt_bonus*TblConstr[[#This Row],[Tot GT]]/TblConstr[[#This Row],[Land]],gt_bonus_cap), 4) + IF(TblMagic[[#This Row],[Active Howling]]&gt;0,howling_dp_bonus,IF(TblMagic[[#This Row],[Active Ares Call]]&gt;0,ares_call_bonus))</f>
        <v>0</v>
      </c>
      <c r="V122" s="249">
        <f ca="1">TblMili[[#This Row],[Non Draft]] * (1 + TblMili[[#This Row],[Mods_Def]])</f>
        <v>0</v>
      </c>
      <c r="W122" s="247">
        <f ca="1">TblMili[[#This Row],[Draft]] * (1 + TblMili[[#This Row],[Mods_Def]])</f>
        <v>768</v>
      </c>
      <c r="X122" s="247">
        <f ca="1">TblConstr[[#This Row],[Land]]</f>
        <v>110</v>
      </c>
      <c r="Y122" s="250"/>
      <c r="Z122" s="255">
        <f ca="1">IF(TblMili[[#This Row],[Set]]&lt;&gt;"",TblMili[[#This Row],[Set]],OFFSET(TblMili[[#This Row],[Draftrate]],-1,0))</f>
        <v>0.9</v>
      </c>
      <c r="AA122" s="94">
        <f ca="1">OFFSET(TblMili[[#This Row],[Draftees]],-1,0)+OFFSET(TblPop[[#This Row],[Draft Growth]],-1,0) - SUM(TblMili[[#This Row],[Train Unit 1]:[Train Spies]],TblMili[[#This Row],[Train Wiz]],TblMili[[#This Row],[DnD_Zombies]]) - TblMili[[#This Row],[Release Draft]] + SUM(TblMili[[#This Row],[Release Unit 1]:[Release AM]]) - TblExplore[[#This Row],[Draftees (2)]]</f>
        <v>768</v>
      </c>
      <c r="AB122" s="154"/>
      <c r="AC122" s="180">
        <f ca="1">(TblConstr[[#This Row],[Tot Smi]]+TblConstr[[#This Row],[Dest Smi]])/(TblConstr[[#This Row],[Land]]-TblExplore[[#This Row],[Land Bonus]]*20)</f>
        <v>0</v>
      </c>
      <c r="AD122" s="137"/>
      <c r="AE122" s="246">
        <f>TblMili[[#This Row],[Hour]]</f>
        <v>119</v>
      </c>
      <c r="AF122" s="138">
        <f ca="1">TblExplore[[#This Row],[Time]]</f>
        <v>46051.91666666638</v>
      </c>
      <c r="AG122" s="179"/>
      <c r="AH122" s="179"/>
      <c r="AI122" s="179"/>
      <c r="AJ122" s="179"/>
      <c r="AK122" s="179"/>
      <c r="AL122" s="179"/>
      <c r="AM122" s="179"/>
      <c r="AN122" s="179"/>
      <c r="AO122" s="420">
        <f ca="1">ROUND(IF(AND(TblMagic[[#This Row],[Active DnD]]&lt;12,TblMagic[[#This Row],[Active DnD]]&gt;5),OFFSET(TblPop[[#This Row],[Draft Growth]],-1,0)*0.375,0),0)</f>
        <v>0</v>
      </c>
      <c r="AP122" s="142"/>
      <c r="AQ122" s="94">
        <f ca="1">TblProd[[#This Row],[Platinum]]</f>
        <v>217212</v>
      </c>
      <c r="AR122" s="94">
        <f ca="1">INDEX(TblProd[[#Headers],[Lumber]]:TblProd[[#This Row],[Ore]],COUNTA(TblProd[[#Headers],[Lumber]]:TblProd[[#This Row],[Lumber]]),MATCH(Military!$AR$2,TblProd[[#Headers],[Lumber]:[Ore]],0))</f>
        <v>0</v>
      </c>
      <c r="AS12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2" s="94">
        <f ca="1">TblMili[[#This Row],[Train Unit 1]]*TblMili[[#This Row],[OP Ore]]+TblMili[[#This Row],[Train Unit 2]]*TblMili[[#This Row],[DP Ore]]+TblMili[[#This Row],[Train Unit 3]]*TblMili[[#This Row],[E1 Ore]]+TblMili[[#This Row],[Train Unit 4]]*TblMili[[#This Row],[E2 Ore]]</f>
        <v>0</v>
      </c>
      <c r="AU122" s="142">
        <f>TblMili[[#This Row],[Hour]]</f>
        <v>119</v>
      </c>
      <c r="AV122" s="152">
        <f ca="1">TblMili[[#This Row],[Time]]</f>
        <v>46051.91666666638</v>
      </c>
      <c r="AW122" s="94">
        <f ca="1">TblMili[[#This Row],[Draftees]]</f>
        <v>768</v>
      </c>
      <c r="AX122" s="179"/>
      <c r="AY122" s="179"/>
      <c r="AZ122" s="179"/>
      <c r="BA122" s="179"/>
      <c r="BB122" s="179"/>
      <c r="BC122" s="179"/>
      <c r="BD122" s="179"/>
      <c r="BE122" s="179"/>
      <c r="BF122" s="179"/>
      <c r="BG122" s="142"/>
      <c r="BH122" s="157">
        <f ca="1">TblConstr[[#This Row],[Tot WG]]/TblConstr[[#This Row],[Land]]</f>
        <v>0</v>
      </c>
      <c r="BI122" s="157">
        <f ca="1">TblConstr[[#This Row],[Tot Hav]]/TblConstr[[#This Row],[Land]]</f>
        <v>0</v>
      </c>
      <c r="BJ122" s="94">
        <f ca="1">ROUNDUP((1-MIN(TblMili[[#This Row],[Smithies]]*smithy_bonus,smithy_bonus_cap) + tech_3_5*TblTech[[#This Row],[3-5]] + tech_5_3*TblTech[[#This Row],[5-3]] + tech_5_5*TblTech[[#This Row],[5-5]])*spec_op_plat,0)</f>
        <v>275</v>
      </c>
      <c r="BK122" s="94">
        <f ca="1">ROUNDUP(IF(race="Gnome",1,(1-MIN(TblMili[[#This Row],[Smithies]]*smithy_bonus,smithy_bonus_cap) + tech_3_5*TblTech[[#This Row],[3-5]] + tech_5_3*TblTech[[#This Row],[5-3]] + tech_5_5*TblTech[[#This Row],[5-5]]))*spec_op_ore,0)</f>
        <v>25</v>
      </c>
      <c r="BL122" s="94">
        <f ca="1">ROUNDUP((1-MIN(TblMili[[#This Row],[Smithies]]*smithy_bonus,smithy_bonus_cap) + tech_3_5*TblTech[[#This Row],[3-5]] + tech_5_3*TblTech[[#This Row],[5-3]] + tech_5_5*TblTech[[#This Row],[5-5]])*spec_dp_plat,0)</f>
        <v>275</v>
      </c>
      <c r="BM122" s="94">
        <f ca="1">ROUNDUP(IF(race="Gnome",1,(1-MIN(TblMili[[#This Row],[Smithies]]*smithy_bonus,smithy_bonus_cap) + tech_3_5*TblTech[[#This Row],[3-5]] + tech_5_3*TblTech[[#This Row],[5-3]] + tech_5_5*TblTech[[#This Row],[5-5]]))*spec_dp_ore,0)</f>
        <v>15</v>
      </c>
      <c r="BN122" s="94">
        <f ca="1">ROUNDUP((1-MIN(TblMili[[#This Row],[Smithies]]*smithy_bonus,smithy_bonus_cap) + tech_3_5*TblTech[[#This Row],[3-5]] + tech_5_3*TblTech[[#This Row],[5-3]] + tech_5_5*TblTech[[#This Row],[5-5]])*elite1_plat,0)</f>
        <v>1040</v>
      </c>
      <c r="BO122" s="94">
        <f ca="1">ROUNDUP(IF(race="Gnome",1,(1-MIN(TblMili[[#This Row],[Smithies]]*smithy_bonus,smithy_bonus_cap) + tech_3_5*TblTech[[#This Row],[3-5]] + tech_5_3*TblTech[[#This Row],[5-3]] + tech_5_5*TblTech[[#This Row],[5-5]]))*elite1_ore,0)</f>
        <v>75</v>
      </c>
      <c r="BP122" s="94">
        <f ca="1">ROUNDUP((1-MIN(TblMili[[#This Row],[Smithies]]*smithy_bonus,smithy_bonus_cap) + tech_3_5*TblTech[[#This Row],[3-5]] + tech_5_3*TblTech[[#This Row],[5-3]] + tech_5_5*TblTech[[#This Row],[5-5]])*elite2_plat,0)</f>
        <v>1280</v>
      </c>
      <c r="BQ122" s="94">
        <f ca="1">ROUNDUP(IF(race="Gnome",1,(1-MIN(TblMili[[#This Row],[Smithies]]*smithy_bonus,smithy_bonus_cap) + tech_3_5*TblTech[[#This Row],[3-5]] + tech_5_3*TblTech[[#This Row],[5-3]] + tech_5_5*TblTech[[#This Row],[5-5]]))*elite2_ore,0)</f>
        <v>100</v>
      </c>
      <c r="BR122" s="94">
        <f ca="1">ROUNDUP((1-MIN(ROUND(fh_spy_cost_red*TblMili[[#This Row],[FH''s]],4),fh_spy_cost_cap)+ tech_1_9*TblTech[[#This Row],[1-9]] + tech_9_1*TblTech[[#This Row],[9-1]])*spy_plat,0)</f>
        <v>500</v>
      </c>
      <c r="BS122" s="94">
        <f ca="1">ROUNDUP((1-MIN(ROUND(fh_spy_cost_red*TblMili[[#This Row],[FH''s]],4),fh_spy_cost_cap)+ tech_1_9*TblTech[[#This Row],[1-9]] + tech_9_1*TblTech[[#This Row],[9-1]])*archspy_plat,0)</f>
        <v>1000</v>
      </c>
      <c r="BT122" s="94">
        <f ca="1">ROUNDUP((1-MIN(ROUND(wg_wiz_cost_bonus*TblMili[[#This Row],[WG''s]],4),wg_wiz_cost_cap) + tech_1_9_2*TblTech[[#This Row],[1-9]] + tech_9_1_2*TblTech[[#This Row],[9-1]])*wizard_plat,0)</f>
        <v>500</v>
      </c>
      <c r="BU122" s="94">
        <f ca="1">ROUNDUP((1-MIN(ROUND(wg_wiz_cost_bonus*TblMili[[#This Row],[WG''s]],4),wg_wiz_cost_cap) + tech_1_9_2*TblTech[[#This Row],[1-9]] + tech_9_1_2*TblTech[[#This Row],[9-1]])*archmage_plat,0)</f>
        <v>1000</v>
      </c>
      <c r="BV122" s="142"/>
      <c r="BW122" s="157">
        <f ca="1">TblConstr[[#This Row],[Homeland]]/TblConstr[[#This Row],[Land]]</f>
        <v>0.81818181818181823</v>
      </c>
      <c r="BX122" s="157">
        <f ca="1">TblMili[[#This Row],[WG''s]]</f>
        <v>0</v>
      </c>
      <c r="BY122" s="251">
        <f ca="1">IF(mystic_cap="none",TblMili[[#This Row],[Homeland%]]/mystic_bonus,MIN(mystic_cap,TblMili[[#This Row],[Homeland%]]/mystic_bonus))</f>
        <v>2</v>
      </c>
      <c r="BZ122" s="251">
        <f ca="1">IF(druid_op_cap="none",TblMili[[#This Row],[Homeland%]]/druid_op_bonus,MIN(druid_op_cap,TblMili[[#This Row],[Homeland%]]/druid_op_bonus))</f>
        <v>2</v>
      </c>
      <c r="CA122" s="251">
        <f ca="1">IF(druid_dp_cap="none",TblMili[[#This Row],[Homeland%]]/druid_dp_bonus,MIN(druid_dp_cap,TblMili[[#This Row],[Homeland%]]/druid_dp_bonus))</f>
        <v>2</v>
      </c>
      <c r="CB122" s="251">
        <f ca="1">MIN(dryad_cap,TblMili[[#This Row],[Homeland%]]/dryad_bonus)</f>
        <v>4</v>
      </c>
      <c r="CC122" s="251">
        <f ca="1">MIN(rocka_cap,TblMili[[#This Row],[Homeland%]]/rocka_bonus)</f>
        <v>2</v>
      </c>
      <c r="CD122" s="251">
        <f ca="1">MIN(adept_op_cap,TblMili[[#This Row],[WG]]/adept_op_bonus)</f>
        <v>0</v>
      </c>
      <c r="CE122" s="251">
        <f ca="1">MIN(adept_dp_cap,TblMili[[#This Row],[WG]]/adept_dp_bonus)</f>
        <v>0</v>
      </c>
      <c r="CF122" s="94">
        <f ca="1">MIN(TblMili[[#This Row],[Unit 3]],TblMili[[#This Row],[Unit 2]])*2</f>
        <v>0</v>
      </c>
      <c r="CG122" s="94">
        <f ca="1">MIN(TblMili[[#This Row],[Unit 1]],TblMili[[#This Row],[Unit 4]])*2</f>
        <v>0</v>
      </c>
      <c r="CH122" s="251">
        <f ca="1">MIN(frost_mage_cap,TblMili[[#This Row],[Homeland%]]/frost_mage_bonus)</f>
        <v>3</v>
      </c>
      <c r="CI122" s="45">
        <f ca="1">MIN(ice_elem_cap,TblMili[[#This Row],[Raw (2)]]*ice_elem_bonus)</f>
        <v>0</v>
      </c>
      <c r="CJ122" s="251">
        <f t="shared" si="4"/>
        <v>0.83333333333333337</v>
      </c>
      <c r="CK122" s="251">
        <f ca="1">MIN(nox_nightshade_cap,TblConstr[[#This Row],[Homeland]]/TblConstr[[#This Row],[Land]]/nox_nightshade_swamp_bonus)</f>
        <v>4</v>
      </c>
      <c r="CL122" s="251">
        <f ca="1">MIN(TblConstr[[#This Row],[Total Swamp]]/TblConstr[[#This Row],[Land]]/abyss_enforce_bonus,abyss_enforcer_cap)</f>
        <v>0</v>
      </c>
      <c r="CM122" s="251">
        <f ca="1">IF(TblMagic[[#This Row],[Active Infernal Command]]&gt;0,TblMili[[#This Row],[Unit 1]]*infernal_cmd_op,0)</f>
        <v>0</v>
      </c>
      <c r="CN122" s="252"/>
      <c r="CO122" s="252"/>
      <c r="CP122" s="252"/>
      <c r="CQ122" s="251">
        <f ca="1">MIN(6,TblMili[[#This Row],[Mystic]]+Races!$F$19)*1.8 +  IF(TblMili[[#This Row],[Mystic]]+Races!$F$19&gt;6,(TblMili[[#This Row],[Mystic]]+Races!$F$19-6)*0.2,0) - Races!$I$19</f>
        <v>1</v>
      </c>
      <c r="CR12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2" s="94">
        <f ca="1">TblMili[[#This Row],[Mystic bonus]]*TblMili[[#This Row],[Unit 3]]+TblMili[[#This Row],[Druid bonus]]*TblMili[[#This Row],[Unit 4]]</f>
        <v>0</v>
      </c>
      <c r="CT122" s="155">
        <f ca="1">MIN(6,TblMili[[#This Row],[Dryad]]+Races!$F$35)*1.8 +  IF(TblMili[[#This Row],[Dryad]]+Races!$F$35&gt;6,(TblMili[[#This Row],[Dryad]]+Races!$F$35-6)*0.2,0) - Races!$I$19</f>
        <v>1</v>
      </c>
      <c r="CU122" s="94">
        <f ca="1">sylvan*(TblMili[[#This Row],[Mystic bonus]]*TblMili[[#This Row],[Unit 3]])</f>
        <v>0</v>
      </c>
      <c r="CV122" s="155">
        <f ca="1">1.8 * MIN(MAX(Races!$E$27,TblMili[[#This Row],[Rockapult]]+Races!$F$27),6)  +  0.45 * MIN(MIN(Races!$E$27,TblMili[[#This Row],[Rockapult]]+Races!$F$27),6)  +  0.2 * ( MAX(Races!$E$27-6,0) + MAX(TblMili[[#This Row],[Rockapult]]+Races!$F$27-6,0) )  -  Races!$I$20</f>
        <v>3.7000000000000011</v>
      </c>
      <c r="CW122" s="94">
        <f ca="1">gnome*(TblMili[[#This Row],[Rockapult bonus]]*TblMili[[#This Row],[Unit 3]])</f>
        <v>0</v>
      </c>
      <c r="CX12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2" s="94">
        <f ca="1">dark_elf*(TblMili[[#This Row],[Adept bonus]]*TblMili[[#This Row],[Unit 3]])</f>
        <v>0</v>
      </c>
      <c r="CZ122" s="155">
        <f ca="1">1.8 * MIN(MAX(TblMili[[#This Row],[Frost Mage]]+Races!$F$71,Races!$E$71),6)  +  0.45 * MIN(MIN(TblMili[[#This Row],[Frost Mage]]+Races!$F$71,Races!$E$71),6)  +  0.2 * ( MAX(TblMili[[#This Row],[Frost Mage]]+Races!$F$71-6,0) + MAX(Races!$E$71-6,0) )  -  Races!$I$71</f>
        <v>6.15</v>
      </c>
      <c r="DA122" s="155">
        <f ca="1">1.8 * MIN(MAX(TblMili[[#This Row],[Ice Elemental]]+Races!$E$71,Races!$F$71),6)  +  0.45 * MIN(MIN(TblMili[[#This Row],[Ice Elemental]]+Races!$E$71,Races!$F$71),6)  +  0.2 * ( MAX(TblMili[[#This Row],[Ice Elemental]]+Races!$E$71-6,0) + MAX(Races!$F$71-6,0) )  -  Races!$I$71</f>
        <v>0.75</v>
      </c>
      <c r="DB122" s="94">
        <f ca="1">TblMili[[#This Row],[Frost Mage bonus]]*TblMili[[#This Row],[Unit 3]]+TblMili[[#This Row],[Ice Elemental bonus]]*TblMili[[#This Row],[Unit 4]]</f>
        <v>0</v>
      </c>
      <c r="DC122" s="253"/>
      <c r="DD122" s="143">
        <f ca="1">MIN(SUM(TblConstr[[#This Row],[Plain]:[Water]])/TblMili[[#This Row],[Land]]/favorable_terrain_bonus/100,favorable_terrain_max)</f>
        <v>0.1</v>
      </c>
      <c r="DE122" s="253"/>
      <c r="DF12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2" s="142"/>
      <c r="DH122" s="254">
        <f ca="1">(TblMili[[#This Row],[Wizards]]+2*TblMili[[#This Row],[Archmages]])/TblConstr[[#This Row],[Land]]</f>
        <v>0</v>
      </c>
      <c r="DI122" s="254">
        <f ca="1">TblMili[[#This Row],[Raw (2)]]*(1+race_wizard_strength+IF(TblMili[[#This Row],[Hour]]&gt;72,tech_magical_weaponry_wiz*TblTech[[#This Row],[3-5]],0))</f>
        <v>0</v>
      </c>
    </row>
    <row r="123" spans="1:113" x14ac:dyDescent="0.2">
      <c r="A123" s="137">
        <f>TblRezone[[#This Row],[Hour]]</f>
        <v>120</v>
      </c>
      <c r="B123" s="246">
        <f ca="1">SUM(TblMili[[#This Row],[Unit 1]:[Archmages]])+SUM(OFFSET(TblMili[[#This Row],[Train Unit 1]],-8,0):TblMili[[#This Row],[Train Unit 2]]) + SUM(OFFSET(TblMili[[#This Row],[Train Unit 3]],-11,0):TblMili[[#This Row],[Train AM]]) + TblMili[[#This Row],[Draftees]]</f>
        <v>771</v>
      </c>
      <c r="C123" s="157">
        <f ca="1">TblPop[[#This Row],[Military%]]</f>
        <v>0.71654275092936803</v>
      </c>
      <c r="D123" s="142"/>
      <c r="E123" s="45">
        <f ca="1">OFFSET(TblMili[[#This Row],[Unit 1]],-1,0) + OFFSET(TblMili[[#This Row],[Train Unit 1]],-9,0) - TblMili[[#This Row],[Release Unit 1]] + OFFSET(TblMili[[#This Row],[DnD_Zombies]],-12,0)</f>
        <v>0</v>
      </c>
      <c r="F123" s="45">
        <f ca="1">OFFSET(TblMili[[#This Row],[Unit 2]],-1,0) + OFFSET(TblMili[[#This Row],[Train Unit 2]],-9,0)-TblMili[[#This Row],[Release Unit 2]]</f>
        <v>0</v>
      </c>
      <c r="G123" s="45">
        <f ca="1">OFFSET(TblMili[[#This Row],[Unit 3]],-1,0) + OFFSET(TblMili[[#This Row],[Train Unit 3]],-12,0)-TblMili[[#This Row],[Release Unit 3]]</f>
        <v>0</v>
      </c>
      <c r="H123" s="45">
        <f ca="1">OFFSET(TblMili[[#This Row],[Unit 4]],-1,0) + OFFSET(TblMili[[#This Row],[Train Unit 4]],-12,0)-TblMili[[#This Row],[Release Unit 4]]</f>
        <v>0</v>
      </c>
      <c r="I123" s="45">
        <f ca="1">OFFSET(TblMili[[#This Row],[Spies]],-1,0) + OFFSET(TblMili[[#This Row],[Train Spies]],-12,0) - TblMili[[#This Row],[Release Spies]]-TblMili[[#This Row],[Train AS]]</f>
        <v>0</v>
      </c>
      <c r="J123" s="45">
        <f ca="1">OFFSET(TblMili[[#This Row],[Archspies]],-1,0) + OFFSET(TblMili[[#This Row],[Train AS]],-12,0) - TblMili[[#This Row],[Release AS]]</f>
        <v>0</v>
      </c>
      <c r="K123" s="45">
        <f ca="1">OFFSET(TblMili[[#This Row],[Wizards]],-1,0) + OFFSET(TblMili[[#This Row],[Train Wiz]],-12,0) - TblMili[[#This Row],[Release Wizards]]-TblMili[[#This Row],[Train AM]]</f>
        <v>0</v>
      </c>
      <c r="L123" s="45">
        <f ca="1">OFFSET(TblMili[[#This Row],[Archmages]],-1,0) + OFFSET(TblMili[[#This Row],[Train AM]],-12,0) - TblMili[[#This Row],[Release AM]]</f>
        <v>0</v>
      </c>
      <c r="M123" s="142"/>
      <c r="N123" s="94">
        <f ca="1">TblProd[[#This Row],[Networth]]</f>
        <v>2450</v>
      </c>
      <c r="O123" s="142"/>
      <c r="P12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3" s="247">
        <f ca="1">TblMili[[#This Row],[Raw]]*(1+TblMili[[#This Row],[Mods_Off]])</f>
        <v>0</v>
      </c>
      <c r="S12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3" s="247">
        <f ca="1">TblMili[[#This Row],[Non Draft]]+TblMili[[#This Row],[Draftees]]</f>
        <v>771</v>
      </c>
      <c r="U123" s="248">
        <f ca="1">race_defense + TblImps[[#This Row],[Walls]] + ROUND( MIN(gt_bonus*TblConstr[[#This Row],[Tot GT]]/TblConstr[[#This Row],[Land]],gt_bonus_cap), 4) + IF(TblMagic[[#This Row],[Active Howling]]&gt;0,howling_dp_bonus,IF(TblMagic[[#This Row],[Active Ares Call]]&gt;0,ares_call_bonus))</f>
        <v>0</v>
      </c>
      <c r="V123" s="249">
        <f ca="1">TblMili[[#This Row],[Non Draft]] * (1 + TblMili[[#This Row],[Mods_Def]])</f>
        <v>0</v>
      </c>
      <c r="W123" s="247">
        <f ca="1">TblMili[[#This Row],[Draft]] * (1 + TblMili[[#This Row],[Mods_Def]])</f>
        <v>771</v>
      </c>
      <c r="X123" s="247">
        <f ca="1">TblConstr[[#This Row],[Land]]</f>
        <v>110</v>
      </c>
      <c r="Y123" s="250"/>
      <c r="Z123" s="255">
        <f ca="1">IF(TblMili[[#This Row],[Set]]&lt;&gt;"",TblMili[[#This Row],[Set]],OFFSET(TblMili[[#This Row],[Draftrate]],-1,0))</f>
        <v>0.9</v>
      </c>
      <c r="AA123" s="94">
        <f ca="1">OFFSET(TblMili[[#This Row],[Draftees]],-1,0)+OFFSET(TblPop[[#This Row],[Draft Growth]],-1,0) - SUM(TblMili[[#This Row],[Train Unit 1]:[Train Spies]],TblMili[[#This Row],[Train Wiz]],TblMili[[#This Row],[DnD_Zombies]]) - TblMili[[#This Row],[Release Draft]] + SUM(TblMili[[#This Row],[Release Unit 1]:[Release AM]]) - TblExplore[[#This Row],[Draftees (2)]]</f>
        <v>771</v>
      </c>
      <c r="AB123" s="154"/>
      <c r="AC123" s="180">
        <f ca="1">(TblConstr[[#This Row],[Tot Smi]]+TblConstr[[#This Row],[Dest Smi]])/(TblConstr[[#This Row],[Land]]-TblExplore[[#This Row],[Land Bonus]]*20)</f>
        <v>0</v>
      </c>
      <c r="AD123" s="137"/>
      <c r="AE123" s="246">
        <f>TblMili[[#This Row],[Hour]]</f>
        <v>120</v>
      </c>
      <c r="AF123" s="138">
        <f ca="1">TblExplore[[#This Row],[Time]]</f>
        <v>46051.958333333045</v>
      </c>
      <c r="AG123" s="179"/>
      <c r="AH123" s="179"/>
      <c r="AI123" s="179"/>
      <c r="AJ123" s="179"/>
      <c r="AK123" s="179"/>
      <c r="AL123" s="179"/>
      <c r="AM123" s="179"/>
      <c r="AN123" s="179"/>
      <c r="AO123" s="420">
        <f ca="1">ROUND(IF(AND(TblMagic[[#This Row],[Active DnD]]&lt;12,TblMagic[[#This Row],[Active DnD]]&gt;5),OFFSET(TblPop[[#This Row],[Draft Growth]],-1,0)*0.375,0),0)</f>
        <v>0</v>
      </c>
      <c r="AP123" s="142"/>
      <c r="AQ123" s="94">
        <f ca="1">TblProd[[#This Row],[Platinum]]</f>
        <v>218043</v>
      </c>
      <c r="AR123" s="94">
        <f ca="1">INDEX(TblProd[[#Headers],[Lumber]]:TblProd[[#This Row],[Ore]],COUNTA(TblProd[[#Headers],[Lumber]]:TblProd[[#This Row],[Lumber]]),MATCH(Military!$AR$2,TblProd[[#Headers],[Lumber]:[Ore]],0))</f>
        <v>0</v>
      </c>
      <c r="AS12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3" s="94">
        <f ca="1">TblMili[[#This Row],[Train Unit 1]]*TblMili[[#This Row],[OP Ore]]+TblMili[[#This Row],[Train Unit 2]]*TblMili[[#This Row],[DP Ore]]+TblMili[[#This Row],[Train Unit 3]]*TblMili[[#This Row],[E1 Ore]]+TblMili[[#This Row],[Train Unit 4]]*TblMili[[#This Row],[E2 Ore]]</f>
        <v>0</v>
      </c>
      <c r="AU123" s="142">
        <f>TblMili[[#This Row],[Hour]]</f>
        <v>120</v>
      </c>
      <c r="AV123" s="152">
        <f ca="1">TblMili[[#This Row],[Time]]</f>
        <v>46051.958333333045</v>
      </c>
      <c r="AW123" s="94">
        <f ca="1">TblMili[[#This Row],[Draftees]]</f>
        <v>771</v>
      </c>
      <c r="AX123" s="179"/>
      <c r="AY123" s="179"/>
      <c r="AZ123" s="179"/>
      <c r="BA123" s="179"/>
      <c r="BB123" s="179"/>
      <c r="BC123" s="179"/>
      <c r="BD123" s="179"/>
      <c r="BE123" s="179"/>
      <c r="BF123" s="179"/>
      <c r="BG123" s="142"/>
      <c r="BH123" s="157">
        <f ca="1">TblConstr[[#This Row],[Tot WG]]/TblConstr[[#This Row],[Land]]</f>
        <v>0</v>
      </c>
      <c r="BI123" s="157">
        <f ca="1">TblConstr[[#This Row],[Tot Hav]]/TblConstr[[#This Row],[Land]]</f>
        <v>0</v>
      </c>
      <c r="BJ123" s="94">
        <f ca="1">ROUNDUP((1-MIN(TblMili[[#This Row],[Smithies]]*smithy_bonus,smithy_bonus_cap) + tech_3_5*TblTech[[#This Row],[3-5]] + tech_5_3*TblTech[[#This Row],[5-3]] + tech_5_5*TblTech[[#This Row],[5-5]])*spec_op_plat,0)</f>
        <v>275</v>
      </c>
      <c r="BK123" s="94">
        <f ca="1">ROUNDUP(IF(race="Gnome",1,(1-MIN(TblMili[[#This Row],[Smithies]]*smithy_bonus,smithy_bonus_cap) + tech_3_5*TblTech[[#This Row],[3-5]] + tech_5_3*TblTech[[#This Row],[5-3]] + tech_5_5*TblTech[[#This Row],[5-5]]))*spec_op_ore,0)</f>
        <v>25</v>
      </c>
      <c r="BL123" s="94">
        <f ca="1">ROUNDUP((1-MIN(TblMili[[#This Row],[Smithies]]*smithy_bonus,smithy_bonus_cap) + tech_3_5*TblTech[[#This Row],[3-5]] + tech_5_3*TblTech[[#This Row],[5-3]] + tech_5_5*TblTech[[#This Row],[5-5]])*spec_dp_plat,0)</f>
        <v>275</v>
      </c>
      <c r="BM123" s="94">
        <f ca="1">ROUNDUP(IF(race="Gnome",1,(1-MIN(TblMili[[#This Row],[Smithies]]*smithy_bonus,smithy_bonus_cap) + tech_3_5*TblTech[[#This Row],[3-5]] + tech_5_3*TblTech[[#This Row],[5-3]] + tech_5_5*TblTech[[#This Row],[5-5]]))*spec_dp_ore,0)</f>
        <v>15</v>
      </c>
      <c r="BN123" s="94">
        <f ca="1">ROUNDUP((1-MIN(TblMili[[#This Row],[Smithies]]*smithy_bonus,smithy_bonus_cap) + tech_3_5*TblTech[[#This Row],[3-5]] + tech_5_3*TblTech[[#This Row],[5-3]] + tech_5_5*TblTech[[#This Row],[5-5]])*elite1_plat,0)</f>
        <v>1040</v>
      </c>
      <c r="BO123" s="94">
        <f ca="1">ROUNDUP(IF(race="Gnome",1,(1-MIN(TblMili[[#This Row],[Smithies]]*smithy_bonus,smithy_bonus_cap) + tech_3_5*TblTech[[#This Row],[3-5]] + tech_5_3*TblTech[[#This Row],[5-3]] + tech_5_5*TblTech[[#This Row],[5-5]]))*elite1_ore,0)</f>
        <v>75</v>
      </c>
      <c r="BP123" s="94">
        <f ca="1">ROUNDUP((1-MIN(TblMili[[#This Row],[Smithies]]*smithy_bonus,smithy_bonus_cap) + tech_3_5*TblTech[[#This Row],[3-5]] + tech_5_3*TblTech[[#This Row],[5-3]] + tech_5_5*TblTech[[#This Row],[5-5]])*elite2_plat,0)</f>
        <v>1280</v>
      </c>
      <c r="BQ123" s="94">
        <f ca="1">ROUNDUP(IF(race="Gnome",1,(1-MIN(TblMili[[#This Row],[Smithies]]*smithy_bonus,smithy_bonus_cap) + tech_3_5*TblTech[[#This Row],[3-5]] + tech_5_3*TblTech[[#This Row],[5-3]] + tech_5_5*TblTech[[#This Row],[5-5]]))*elite2_ore,0)</f>
        <v>100</v>
      </c>
      <c r="BR123" s="94">
        <f ca="1">ROUNDUP((1-MIN(ROUND(fh_spy_cost_red*TblMili[[#This Row],[FH''s]],4),fh_spy_cost_cap)+ tech_1_9*TblTech[[#This Row],[1-9]] + tech_9_1*TblTech[[#This Row],[9-1]])*spy_plat,0)</f>
        <v>500</v>
      </c>
      <c r="BS123" s="94">
        <f ca="1">ROUNDUP((1-MIN(ROUND(fh_spy_cost_red*TblMili[[#This Row],[FH''s]],4),fh_spy_cost_cap)+ tech_1_9*TblTech[[#This Row],[1-9]] + tech_9_1*TblTech[[#This Row],[9-1]])*archspy_plat,0)</f>
        <v>1000</v>
      </c>
      <c r="BT123" s="94">
        <f ca="1">ROUNDUP((1-MIN(ROUND(wg_wiz_cost_bonus*TblMili[[#This Row],[WG''s]],4),wg_wiz_cost_cap) + tech_1_9_2*TblTech[[#This Row],[1-9]] + tech_9_1_2*TblTech[[#This Row],[9-1]])*wizard_plat,0)</f>
        <v>500</v>
      </c>
      <c r="BU123" s="94">
        <f ca="1">ROUNDUP((1-MIN(ROUND(wg_wiz_cost_bonus*TblMili[[#This Row],[WG''s]],4),wg_wiz_cost_cap) + tech_1_9_2*TblTech[[#This Row],[1-9]] + tech_9_1_2*TblTech[[#This Row],[9-1]])*archmage_plat,0)</f>
        <v>1000</v>
      </c>
      <c r="BV123" s="142"/>
      <c r="BW123" s="157">
        <f ca="1">TblConstr[[#This Row],[Homeland]]/TblConstr[[#This Row],[Land]]</f>
        <v>0.81818181818181823</v>
      </c>
      <c r="BX123" s="157">
        <f ca="1">TblMili[[#This Row],[WG''s]]</f>
        <v>0</v>
      </c>
      <c r="BY123" s="251">
        <f ca="1">IF(mystic_cap="none",TblMili[[#This Row],[Homeland%]]/mystic_bonus,MIN(mystic_cap,TblMili[[#This Row],[Homeland%]]/mystic_bonus))</f>
        <v>2</v>
      </c>
      <c r="BZ123" s="251">
        <f ca="1">IF(druid_op_cap="none",TblMili[[#This Row],[Homeland%]]/druid_op_bonus,MIN(druid_op_cap,TblMili[[#This Row],[Homeland%]]/druid_op_bonus))</f>
        <v>2</v>
      </c>
      <c r="CA123" s="251">
        <f ca="1">IF(druid_dp_cap="none",TblMili[[#This Row],[Homeland%]]/druid_dp_bonus,MIN(druid_dp_cap,TblMili[[#This Row],[Homeland%]]/druid_dp_bonus))</f>
        <v>2</v>
      </c>
      <c r="CB123" s="251">
        <f ca="1">MIN(dryad_cap,TblMili[[#This Row],[Homeland%]]/dryad_bonus)</f>
        <v>4</v>
      </c>
      <c r="CC123" s="251">
        <f ca="1">MIN(rocka_cap,TblMili[[#This Row],[Homeland%]]/rocka_bonus)</f>
        <v>2</v>
      </c>
      <c r="CD123" s="251">
        <f ca="1">MIN(adept_op_cap,TblMili[[#This Row],[WG]]/adept_op_bonus)</f>
        <v>0</v>
      </c>
      <c r="CE123" s="251">
        <f ca="1">MIN(adept_dp_cap,TblMili[[#This Row],[WG]]/adept_dp_bonus)</f>
        <v>0</v>
      </c>
      <c r="CF123" s="94">
        <f ca="1">MIN(TblMili[[#This Row],[Unit 3]],TblMili[[#This Row],[Unit 2]])*2</f>
        <v>0</v>
      </c>
      <c r="CG123" s="94">
        <f ca="1">MIN(TblMili[[#This Row],[Unit 1]],TblMili[[#This Row],[Unit 4]])*2</f>
        <v>0</v>
      </c>
      <c r="CH123" s="251">
        <f ca="1">MIN(frost_mage_cap,TblMili[[#This Row],[Homeland%]]/frost_mage_bonus)</f>
        <v>3</v>
      </c>
      <c r="CI123" s="45">
        <f ca="1">MIN(ice_elem_cap,TblMili[[#This Row],[Raw (2)]]*ice_elem_bonus)</f>
        <v>0</v>
      </c>
      <c r="CJ123" s="251">
        <f t="shared" si="4"/>
        <v>0.83333333333333337</v>
      </c>
      <c r="CK123" s="251">
        <f ca="1">MIN(nox_nightshade_cap,TblConstr[[#This Row],[Homeland]]/TblConstr[[#This Row],[Land]]/nox_nightshade_swamp_bonus)</f>
        <v>4</v>
      </c>
      <c r="CL123" s="251">
        <f ca="1">MIN(TblConstr[[#This Row],[Total Swamp]]/TblConstr[[#This Row],[Land]]/abyss_enforce_bonus,abyss_enforcer_cap)</f>
        <v>0</v>
      </c>
      <c r="CM123" s="251">
        <f ca="1">IF(TblMagic[[#This Row],[Active Infernal Command]]&gt;0,TblMili[[#This Row],[Unit 1]]*infernal_cmd_op,0)</f>
        <v>0</v>
      </c>
      <c r="CN123" s="252"/>
      <c r="CO123" s="252"/>
      <c r="CP123" s="252"/>
      <c r="CQ123" s="251">
        <f ca="1">MIN(6,TblMili[[#This Row],[Mystic]]+Races!$F$19)*1.8 +  IF(TblMili[[#This Row],[Mystic]]+Races!$F$19&gt;6,(TblMili[[#This Row],[Mystic]]+Races!$F$19-6)*0.2,0) - Races!$I$19</f>
        <v>1</v>
      </c>
      <c r="CR12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3" s="94">
        <f ca="1">TblMili[[#This Row],[Mystic bonus]]*TblMili[[#This Row],[Unit 3]]+TblMili[[#This Row],[Druid bonus]]*TblMili[[#This Row],[Unit 4]]</f>
        <v>0</v>
      </c>
      <c r="CT123" s="155">
        <f ca="1">MIN(6,TblMili[[#This Row],[Dryad]]+Races!$F$35)*1.8 +  IF(TblMili[[#This Row],[Dryad]]+Races!$F$35&gt;6,(TblMili[[#This Row],[Dryad]]+Races!$F$35-6)*0.2,0) - Races!$I$19</f>
        <v>1</v>
      </c>
      <c r="CU123" s="94">
        <f ca="1">sylvan*(TblMili[[#This Row],[Mystic bonus]]*TblMili[[#This Row],[Unit 3]])</f>
        <v>0</v>
      </c>
      <c r="CV123" s="155">
        <f ca="1">1.8 * MIN(MAX(Races!$E$27,TblMili[[#This Row],[Rockapult]]+Races!$F$27),6)  +  0.45 * MIN(MIN(Races!$E$27,TblMili[[#This Row],[Rockapult]]+Races!$F$27),6)  +  0.2 * ( MAX(Races!$E$27-6,0) + MAX(TblMili[[#This Row],[Rockapult]]+Races!$F$27-6,0) )  -  Races!$I$20</f>
        <v>3.7000000000000011</v>
      </c>
      <c r="CW123" s="94">
        <f ca="1">gnome*(TblMili[[#This Row],[Rockapult bonus]]*TblMili[[#This Row],[Unit 3]])</f>
        <v>0</v>
      </c>
      <c r="CX12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3" s="94">
        <f ca="1">dark_elf*(TblMili[[#This Row],[Adept bonus]]*TblMili[[#This Row],[Unit 3]])</f>
        <v>0</v>
      </c>
      <c r="CZ123" s="155">
        <f ca="1">1.8 * MIN(MAX(TblMili[[#This Row],[Frost Mage]]+Races!$F$71,Races!$E$71),6)  +  0.45 * MIN(MIN(TblMili[[#This Row],[Frost Mage]]+Races!$F$71,Races!$E$71),6)  +  0.2 * ( MAX(TblMili[[#This Row],[Frost Mage]]+Races!$F$71-6,0) + MAX(Races!$E$71-6,0) )  -  Races!$I$71</f>
        <v>6.15</v>
      </c>
      <c r="DA123" s="155">
        <f ca="1">1.8 * MIN(MAX(TblMili[[#This Row],[Ice Elemental]]+Races!$E$71,Races!$F$71),6)  +  0.45 * MIN(MIN(TblMili[[#This Row],[Ice Elemental]]+Races!$E$71,Races!$F$71),6)  +  0.2 * ( MAX(TblMili[[#This Row],[Ice Elemental]]+Races!$E$71-6,0) + MAX(Races!$F$71-6,0) )  -  Races!$I$71</f>
        <v>0.75</v>
      </c>
      <c r="DB123" s="94">
        <f ca="1">TblMili[[#This Row],[Frost Mage bonus]]*TblMili[[#This Row],[Unit 3]]+TblMili[[#This Row],[Ice Elemental bonus]]*TblMili[[#This Row],[Unit 4]]</f>
        <v>0</v>
      </c>
      <c r="DC123" s="253"/>
      <c r="DD123" s="143">
        <f ca="1">MIN(SUM(TblConstr[[#This Row],[Plain]:[Water]])/TblMili[[#This Row],[Land]]/favorable_terrain_bonus/100,favorable_terrain_max)</f>
        <v>0.1</v>
      </c>
      <c r="DE123" s="253"/>
      <c r="DF12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3" s="142"/>
      <c r="DH123" s="254">
        <f ca="1">(TblMili[[#This Row],[Wizards]]+2*TblMili[[#This Row],[Archmages]])/TblConstr[[#This Row],[Land]]</f>
        <v>0</v>
      </c>
      <c r="DI123" s="254">
        <f ca="1">TblMili[[#This Row],[Raw (2)]]*(1+race_wizard_strength+IF(TblMili[[#This Row],[Hour]]&gt;72,tech_magical_weaponry_wiz*TblTech[[#This Row],[3-5]],0))</f>
        <v>0</v>
      </c>
    </row>
    <row r="124" spans="1:113" x14ac:dyDescent="0.2">
      <c r="A124" s="137">
        <f>TblRezone[[#This Row],[Hour]]</f>
        <v>121</v>
      </c>
      <c r="B124" s="246">
        <f ca="1">SUM(TblMili[[#This Row],[Unit 1]:[Archmages]])+SUM(OFFSET(TblMili[[#This Row],[Train Unit 1]],-8,0):TblMili[[#This Row],[Train Unit 2]]) + SUM(OFFSET(TblMili[[#This Row],[Train Unit 3]],-11,0):TblMili[[#This Row],[Train AM]]) + TblMili[[#This Row],[Draftees]]</f>
        <v>774</v>
      </c>
      <c r="C124" s="157">
        <f ca="1">TblPop[[#This Row],[Military%]]</f>
        <v>0.7193308550185874</v>
      </c>
      <c r="D124" s="142"/>
      <c r="E124" s="45">
        <f ca="1">OFFSET(TblMili[[#This Row],[Unit 1]],-1,0) + OFFSET(TblMili[[#This Row],[Train Unit 1]],-9,0) - TblMili[[#This Row],[Release Unit 1]] + OFFSET(TblMili[[#This Row],[DnD_Zombies]],-12,0)</f>
        <v>0</v>
      </c>
      <c r="F124" s="45">
        <f ca="1">OFFSET(TblMili[[#This Row],[Unit 2]],-1,0) + OFFSET(TblMili[[#This Row],[Train Unit 2]],-9,0)-TblMili[[#This Row],[Release Unit 2]]</f>
        <v>0</v>
      </c>
      <c r="G124" s="45">
        <f ca="1">OFFSET(TblMili[[#This Row],[Unit 3]],-1,0) + OFFSET(TblMili[[#This Row],[Train Unit 3]],-12,0)-TblMili[[#This Row],[Release Unit 3]]</f>
        <v>0</v>
      </c>
      <c r="H124" s="45">
        <f ca="1">OFFSET(TblMili[[#This Row],[Unit 4]],-1,0) + OFFSET(TblMili[[#This Row],[Train Unit 4]],-12,0)-TblMili[[#This Row],[Release Unit 4]]</f>
        <v>0</v>
      </c>
      <c r="I124" s="45">
        <f ca="1">OFFSET(TblMili[[#This Row],[Spies]],-1,0) + OFFSET(TblMili[[#This Row],[Train Spies]],-12,0) - TblMili[[#This Row],[Release Spies]]-TblMili[[#This Row],[Train AS]]</f>
        <v>0</v>
      </c>
      <c r="J124" s="45">
        <f ca="1">OFFSET(TblMili[[#This Row],[Archspies]],-1,0) + OFFSET(TblMili[[#This Row],[Train AS]],-12,0) - TblMili[[#This Row],[Release AS]]</f>
        <v>0</v>
      </c>
      <c r="K124" s="45">
        <f ca="1">OFFSET(TblMili[[#This Row],[Wizards]],-1,0) + OFFSET(TblMili[[#This Row],[Train Wiz]],-12,0) - TblMili[[#This Row],[Release Wizards]]-TblMili[[#This Row],[Train AM]]</f>
        <v>0</v>
      </c>
      <c r="L124" s="45">
        <f ca="1">OFFSET(TblMili[[#This Row],[Archmages]],-1,0) + OFFSET(TblMili[[#This Row],[Train AM]],-12,0) - TblMili[[#This Row],[Release AM]]</f>
        <v>0</v>
      </c>
      <c r="M124" s="142"/>
      <c r="N124" s="94">
        <f ca="1">TblProd[[#This Row],[Networth]]</f>
        <v>2450</v>
      </c>
      <c r="O124" s="142"/>
      <c r="P12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4" s="247">
        <f ca="1">TblMili[[#This Row],[Raw]]*(1+TblMili[[#This Row],[Mods_Off]])</f>
        <v>0</v>
      </c>
      <c r="S12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4" s="247">
        <f ca="1">TblMili[[#This Row],[Non Draft]]+TblMili[[#This Row],[Draftees]]</f>
        <v>774</v>
      </c>
      <c r="U124" s="248">
        <f ca="1">race_defense + TblImps[[#This Row],[Walls]] + ROUND( MIN(gt_bonus*TblConstr[[#This Row],[Tot GT]]/TblConstr[[#This Row],[Land]],gt_bonus_cap), 4) + IF(TblMagic[[#This Row],[Active Howling]]&gt;0,howling_dp_bonus,IF(TblMagic[[#This Row],[Active Ares Call]]&gt;0,ares_call_bonus))</f>
        <v>0</v>
      </c>
      <c r="V124" s="249">
        <f ca="1">TblMili[[#This Row],[Non Draft]] * (1 + TblMili[[#This Row],[Mods_Def]])</f>
        <v>0</v>
      </c>
      <c r="W124" s="247">
        <f ca="1">TblMili[[#This Row],[Draft]] * (1 + TblMili[[#This Row],[Mods_Def]])</f>
        <v>774</v>
      </c>
      <c r="X124" s="247">
        <f ca="1">TblConstr[[#This Row],[Land]]</f>
        <v>110</v>
      </c>
      <c r="Y124" s="250"/>
      <c r="Z124" s="255">
        <f ca="1">IF(TblMili[[#This Row],[Set]]&lt;&gt;"",TblMili[[#This Row],[Set]],OFFSET(TblMili[[#This Row],[Draftrate]],-1,0))</f>
        <v>0.9</v>
      </c>
      <c r="AA124" s="94">
        <f ca="1">OFFSET(TblMili[[#This Row],[Draftees]],-1,0)+OFFSET(TblPop[[#This Row],[Draft Growth]],-1,0) - SUM(TblMili[[#This Row],[Train Unit 1]:[Train Spies]],TblMili[[#This Row],[Train Wiz]],TblMili[[#This Row],[DnD_Zombies]]) - TblMili[[#This Row],[Release Draft]] + SUM(TblMili[[#This Row],[Release Unit 1]:[Release AM]]) - TblExplore[[#This Row],[Draftees (2)]]</f>
        <v>774</v>
      </c>
      <c r="AB124" s="154"/>
      <c r="AC124" s="180">
        <f ca="1">(TblConstr[[#This Row],[Tot Smi]]+TblConstr[[#This Row],[Dest Smi]])/(TblConstr[[#This Row],[Land]]-TblExplore[[#This Row],[Land Bonus]]*20)</f>
        <v>0</v>
      </c>
      <c r="AD124" s="256"/>
      <c r="AE124" s="257">
        <f>TblMili[[#This Row],[Hour]]</f>
        <v>121</v>
      </c>
      <c r="AF124" s="138">
        <f ca="1">TblExplore[[#This Row],[Time]]</f>
        <v>46051.999999999709</v>
      </c>
      <c r="AG124" s="179"/>
      <c r="AH124" s="179"/>
      <c r="AI124" s="179"/>
      <c r="AJ124" s="179"/>
      <c r="AK124" s="179"/>
      <c r="AL124" s="179"/>
      <c r="AM124" s="179"/>
      <c r="AN124" s="179"/>
      <c r="AO124" s="420">
        <f ca="1">ROUND(IF(AND(TblMagic[[#This Row],[Active DnD]]&lt;12,TblMagic[[#This Row],[Active DnD]]&gt;5),OFFSET(TblPop[[#This Row],[Draft Growth]],-1,0)*0.375,0),0)</f>
        <v>0</v>
      </c>
      <c r="AP124" s="142"/>
      <c r="AQ124" s="94">
        <f ca="1">TblProd[[#This Row],[Platinum]]</f>
        <v>218866</v>
      </c>
      <c r="AR124" s="94">
        <f ca="1">INDEX(TblProd[[#Headers],[Lumber]]:TblProd[[#This Row],[Ore]],COUNTA(TblProd[[#Headers],[Lumber]]:TblProd[[#This Row],[Lumber]]),MATCH(Military!$AR$2,TblProd[[#Headers],[Lumber]:[Ore]],0))</f>
        <v>0</v>
      </c>
      <c r="AS12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4" s="94">
        <f ca="1">TblMili[[#This Row],[Train Unit 1]]*TblMili[[#This Row],[OP Ore]]+TblMili[[#This Row],[Train Unit 2]]*TblMili[[#This Row],[DP Ore]]+TblMili[[#This Row],[Train Unit 3]]*TblMili[[#This Row],[E1 Ore]]+TblMili[[#This Row],[Train Unit 4]]*TblMili[[#This Row],[E2 Ore]]</f>
        <v>0</v>
      </c>
      <c r="AU124" s="142">
        <f>TblMili[[#This Row],[Hour]]</f>
        <v>121</v>
      </c>
      <c r="AV124" s="152">
        <f ca="1">TblMili[[#This Row],[Time]]</f>
        <v>46051.999999999709</v>
      </c>
      <c r="AW124" s="94">
        <f ca="1">TblMili[[#This Row],[Draftees]]</f>
        <v>774</v>
      </c>
      <c r="AX124" s="179"/>
      <c r="AY124" s="179"/>
      <c r="AZ124" s="179"/>
      <c r="BA124" s="179"/>
      <c r="BB124" s="179"/>
      <c r="BC124" s="179"/>
      <c r="BD124" s="179"/>
      <c r="BE124" s="179"/>
      <c r="BF124" s="179"/>
      <c r="BG124" s="142"/>
      <c r="BH124" s="157">
        <f ca="1">TblConstr[[#This Row],[Tot WG]]/TblConstr[[#This Row],[Land]]</f>
        <v>0</v>
      </c>
      <c r="BI124" s="157">
        <f ca="1">TblConstr[[#This Row],[Tot Hav]]/TblConstr[[#This Row],[Land]]</f>
        <v>0</v>
      </c>
      <c r="BJ124" s="94">
        <f ca="1">ROUNDUP((1-MIN(TblMili[[#This Row],[Smithies]]*smithy_bonus,smithy_bonus_cap) + tech_3_5*TblTech[[#This Row],[3-5]] + tech_5_3*TblTech[[#This Row],[5-3]] + tech_5_5*TblTech[[#This Row],[5-5]])*spec_op_plat,0)</f>
        <v>275</v>
      </c>
      <c r="BK124" s="94">
        <f ca="1">ROUNDUP(IF(race="Gnome",1,(1-MIN(TblMili[[#This Row],[Smithies]]*smithy_bonus,smithy_bonus_cap) + tech_3_5*TblTech[[#This Row],[3-5]] + tech_5_3*TblTech[[#This Row],[5-3]] + tech_5_5*TblTech[[#This Row],[5-5]]))*spec_op_ore,0)</f>
        <v>25</v>
      </c>
      <c r="BL124" s="94">
        <f ca="1">ROUNDUP((1-MIN(TblMili[[#This Row],[Smithies]]*smithy_bonus,smithy_bonus_cap) + tech_3_5*TblTech[[#This Row],[3-5]] + tech_5_3*TblTech[[#This Row],[5-3]] + tech_5_5*TblTech[[#This Row],[5-5]])*spec_dp_plat,0)</f>
        <v>275</v>
      </c>
      <c r="BM124" s="94">
        <f ca="1">ROUNDUP(IF(race="Gnome",1,(1-MIN(TblMili[[#This Row],[Smithies]]*smithy_bonus,smithy_bonus_cap) + tech_3_5*TblTech[[#This Row],[3-5]] + tech_5_3*TblTech[[#This Row],[5-3]] + tech_5_5*TblTech[[#This Row],[5-5]]))*spec_dp_ore,0)</f>
        <v>15</v>
      </c>
      <c r="BN124" s="94">
        <f ca="1">ROUNDUP((1-MIN(TblMili[[#This Row],[Smithies]]*smithy_bonus,smithy_bonus_cap) + tech_3_5*TblTech[[#This Row],[3-5]] + tech_5_3*TblTech[[#This Row],[5-3]] + tech_5_5*TblTech[[#This Row],[5-5]])*elite1_plat,0)</f>
        <v>1040</v>
      </c>
      <c r="BO124" s="94">
        <f ca="1">ROUNDUP(IF(race="Gnome",1,(1-MIN(TblMili[[#This Row],[Smithies]]*smithy_bonus,smithy_bonus_cap) + tech_3_5*TblTech[[#This Row],[3-5]] + tech_5_3*TblTech[[#This Row],[5-3]] + tech_5_5*TblTech[[#This Row],[5-5]]))*elite1_ore,0)</f>
        <v>75</v>
      </c>
      <c r="BP124" s="94">
        <f ca="1">ROUNDUP((1-MIN(TblMili[[#This Row],[Smithies]]*smithy_bonus,smithy_bonus_cap) + tech_3_5*TblTech[[#This Row],[3-5]] + tech_5_3*TblTech[[#This Row],[5-3]] + tech_5_5*TblTech[[#This Row],[5-5]])*elite2_plat,0)</f>
        <v>1280</v>
      </c>
      <c r="BQ124" s="94">
        <f ca="1">ROUNDUP(IF(race="Gnome",1,(1-MIN(TblMili[[#This Row],[Smithies]]*smithy_bonus,smithy_bonus_cap) + tech_3_5*TblTech[[#This Row],[3-5]] + tech_5_3*TblTech[[#This Row],[5-3]] + tech_5_5*TblTech[[#This Row],[5-5]]))*elite2_ore,0)</f>
        <v>100</v>
      </c>
      <c r="BR124" s="94">
        <f ca="1">ROUNDUP((1-MIN(ROUND(fh_spy_cost_red*TblMili[[#This Row],[FH''s]],4),fh_spy_cost_cap)+ tech_1_9*TblTech[[#This Row],[1-9]] + tech_9_1*TblTech[[#This Row],[9-1]])*spy_plat,0)</f>
        <v>500</v>
      </c>
      <c r="BS124" s="94">
        <f ca="1">ROUNDUP((1-MIN(ROUND(fh_spy_cost_red*TblMili[[#This Row],[FH''s]],4),fh_spy_cost_cap)+ tech_1_9*TblTech[[#This Row],[1-9]] + tech_9_1*TblTech[[#This Row],[9-1]])*archspy_plat,0)</f>
        <v>1000</v>
      </c>
      <c r="BT124" s="94">
        <f ca="1">ROUNDUP((1-MIN(ROUND(wg_wiz_cost_bonus*TblMili[[#This Row],[WG''s]],4),wg_wiz_cost_cap) + tech_1_9_2*TblTech[[#This Row],[1-9]] + tech_9_1_2*TblTech[[#This Row],[9-1]])*wizard_plat,0)</f>
        <v>500</v>
      </c>
      <c r="BU124" s="94">
        <f ca="1">ROUNDUP((1-MIN(ROUND(wg_wiz_cost_bonus*TblMili[[#This Row],[WG''s]],4),wg_wiz_cost_cap) + tech_1_9_2*TblTech[[#This Row],[1-9]] + tech_9_1_2*TblTech[[#This Row],[9-1]])*archmage_plat,0)</f>
        <v>1000</v>
      </c>
      <c r="BV124" s="142"/>
      <c r="BW124" s="157">
        <f ca="1">TblConstr[[#This Row],[Homeland]]/TblConstr[[#This Row],[Land]]</f>
        <v>0.81818181818181823</v>
      </c>
      <c r="BX124" s="157">
        <f ca="1">TblMili[[#This Row],[WG''s]]</f>
        <v>0</v>
      </c>
      <c r="BY124" s="251">
        <f ca="1">IF(mystic_cap="none",TblMili[[#This Row],[Homeland%]]/mystic_bonus,MIN(mystic_cap,TblMili[[#This Row],[Homeland%]]/mystic_bonus))</f>
        <v>2</v>
      </c>
      <c r="BZ124" s="251">
        <f ca="1">IF(druid_op_cap="none",TblMili[[#This Row],[Homeland%]]/druid_op_bonus,MIN(druid_op_cap,TblMili[[#This Row],[Homeland%]]/druid_op_bonus))</f>
        <v>2</v>
      </c>
      <c r="CA124" s="251">
        <f ca="1">IF(druid_dp_cap="none",TblMili[[#This Row],[Homeland%]]/druid_dp_bonus,MIN(druid_dp_cap,TblMili[[#This Row],[Homeland%]]/druid_dp_bonus))</f>
        <v>2</v>
      </c>
      <c r="CB124" s="251">
        <f ca="1">MIN(dryad_cap,TblMili[[#This Row],[Homeland%]]/dryad_bonus)</f>
        <v>4</v>
      </c>
      <c r="CC124" s="251">
        <f ca="1">MIN(rocka_cap,TblMili[[#This Row],[Homeland%]]/rocka_bonus)</f>
        <v>2</v>
      </c>
      <c r="CD124" s="251">
        <f ca="1">MIN(adept_op_cap,TblMili[[#This Row],[WG]]/adept_op_bonus)</f>
        <v>0</v>
      </c>
      <c r="CE124" s="251">
        <f ca="1">MIN(adept_dp_cap,TblMili[[#This Row],[WG]]/adept_dp_bonus)</f>
        <v>0</v>
      </c>
      <c r="CF124" s="94">
        <f ca="1">MIN(TblMili[[#This Row],[Unit 3]],TblMili[[#This Row],[Unit 2]])*2</f>
        <v>0</v>
      </c>
      <c r="CG124" s="94">
        <f ca="1">MIN(TblMili[[#This Row],[Unit 1]],TblMili[[#This Row],[Unit 4]])*2</f>
        <v>0</v>
      </c>
      <c r="CH124" s="251">
        <f ca="1">MIN(frost_mage_cap,TblMili[[#This Row],[Homeland%]]/frost_mage_bonus)</f>
        <v>3</v>
      </c>
      <c r="CI124" s="45">
        <f ca="1">MIN(ice_elem_cap,TblMili[[#This Row],[Raw (2)]]*ice_elem_bonus)</f>
        <v>0</v>
      </c>
      <c r="CJ124" s="251">
        <f t="shared" si="4"/>
        <v>0.83333333333333337</v>
      </c>
      <c r="CK124" s="251">
        <f ca="1">MIN(nox_nightshade_cap,TblConstr[[#This Row],[Homeland]]/TblConstr[[#This Row],[Land]]/nox_nightshade_swamp_bonus)</f>
        <v>4</v>
      </c>
      <c r="CL124" s="251">
        <f ca="1">MIN(TblConstr[[#This Row],[Total Swamp]]/TblConstr[[#This Row],[Land]]/abyss_enforce_bonus,abyss_enforcer_cap)</f>
        <v>0</v>
      </c>
      <c r="CM124" s="251">
        <f ca="1">IF(TblMagic[[#This Row],[Active Infernal Command]]&gt;0,TblMili[[#This Row],[Unit 1]]*infernal_cmd_op,0)</f>
        <v>0</v>
      </c>
      <c r="CN124" s="252"/>
      <c r="CO124" s="252"/>
      <c r="CP124" s="252"/>
      <c r="CQ124" s="251">
        <f ca="1">MIN(6,TblMili[[#This Row],[Mystic]]+Races!$F$19)*1.8 +  IF(TblMili[[#This Row],[Mystic]]+Races!$F$19&gt;6,(TblMili[[#This Row],[Mystic]]+Races!$F$19-6)*0.2,0) - Races!$I$19</f>
        <v>1</v>
      </c>
      <c r="CR12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4" s="94">
        <f ca="1">TblMili[[#This Row],[Mystic bonus]]*TblMili[[#This Row],[Unit 3]]+TblMili[[#This Row],[Druid bonus]]*TblMili[[#This Row],[Unit 4]]</f>
        <v>0</v>
      </c>
      <c r="CT124" s="155">
        <f ca="1">MIN(6,TblMili[[#This Row],[Dryad]]+Races!$F$35)*1.8 +  IF(TblMili[[#This Row],[Dryad]]+Races!$F$35&gt;6,(TblMili[[#This Row],[Dryad]]+Races!$F$35-6)*0.2,0) - Races!$I$19</f>
        <v>1</v>
      </c>
      <c r="CU124" s="94">
        <f ca="1">sylvan*(TblMili[[#This Row],[Mystic bonus]]*TblMili[[#This Row],[Unit 3]])</f>
        <v>0</v>
      </c>
      <c r="CV124" s="155">
        <f ca="1">1.8 * MIN(MAX(Races!$E$27,TblMili[[#This Row],[Rockapult]]+Races!$F$27),6)  +  0.45 * MIN(MIN(Races!$E$27,TblMili[[#This Row],[Rockapult]]+Races!$F$27),6)  +  0.2 * ( MAX(Races!$E$27-6,0) + MAX(TblMili[[#This Row],[Rockapult]]+Races!$F$27-6,0) )  -  Races!$I$20</f>
        <v>3.7000000000000011</v>
      </c>
      <c r="CW124" s="94">
        <f ca="1">gnome*(TblMili[[#This Row],[Rockapult bonus]]*TblMili[[#This Row],[Unit 3]])</f>
        <v>0</v>
      </c>
      <c r="CX12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4" s="94">
        <f ca="1">dark_elf*(TblMili[[#This Row],[Adept bonus]]*TblMili[[#This Row],[Unit 3]])</f>
        <v>0</v>
      </c>
      <c r="CZ124" s="155">
        <f ca="1">1.8 * MIN(MAX(TblMili[[#This Row],[Frost Mage]]+Races!$F$71,Races!$E$71),6)  +  0.45 * MIN(MIN(TblMili[[#This Row],[Frost Mage]]+Races!$F$71,Races!$E$71),6)  +  0.2 * ( MAX(TblMili[[#This Row],[Frost Mage]]+Races!$F$71-6,0) + MAX(Races!$E$71-6,0) )  -  Races!$I$71</f>
        <v>6.15</v>
      </c>
      <c r="DA124" s="155">
        <f ca="1">1.8 * MIN(MAX(TblMili[[#This Row],[Ice Elemental]]+Races!$E$71,Races!$F$71),6)  +  0.45 * MIN(MIN(TblMili[[#This Row],[Ice Elemental]]+Races!$E$71,Races!$F$71),6)  +  0.2 * ( MAX(TblMili[[#This Row],[Ice Elemental]]+Races!$E$71-6,0) + MAX(Races!$F$71-6,0) )  -  Races!$I$71</f>
        <v>0.75</v>
      </c>
      <c r="DB124" s="94">
        <f ca="1">TblMili[[#This Row],[Frost Mage bonus]]*TblMili[[#This Row],[Unit 3]]+TblMili[[#This Row],[Ice Elemental bonus]]*TblMili[[#This Row],[Unit 4]]</f>
        <v>0</v>
      </c>
      <c r="DC124" s="253"/>
      <c r="DD124" s="143">
        <f ca="1">MIN(SUM(TblConstr[[#This Row],[Plain]:[Water]])/TblMili[[#This Row],[Land]]/favorable_terrain_bonus/100,favorable_terrain_max)</f>
        <v>0.1</v>
      </c>
      <c r="DE124" s="253"/>
      <c r="DF12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4" s="142"/>
      <c r="DH124" s="254">
        <f ca="1">(TblMili[[#This Row],[Wizards]]+2*TblMili[[#This Row],[Archmages]])/TblConstr[[#This Row],[Land]]</f>
        <v>0</v>
      </c>
      <c r="DI124" s="254">
        <f ca="1">TblMili[[#This Row],[Raw (2)]]*(1+race_wizard_strength+IF(TblMili[[#This Row],[Hour]]&gt;72,tech_magical_weaponry_wiz*TblTech[[#This Row],[3-5]],0))</f>
        <v>0</v>
      </c>
    </row>
    <row r="125" spans="1:113" x14ac:dyDescent="0.2">
      <c r="A125" s="137">
        <f>TblRezone[[#This Row],[Hour]]</f>
        <v>122</v>
      </c>
      <c r="B125" s="246">
        <f ca="1">SUM(TblMili[[#This Row],[Unit 1]:[Archmages]])+SUM(OFFSET(TblMili[[#This Row],[Train Unit 1]],-8,0):TblMili[[#This Row],[Train Unit 2]]) + SUM(OFFSET(TblMili[[#This Row],[Train Unit 3]],-11,0):TblMili[[#This Row],[Train AM]]) + TblMili[[#This Row],[Draftees]]</f>
        <v>777</v>
      </c>
      <c r="C125" s="157">
        <f ca="1">TblPop[[#This Row],[Military%]]</f>
        <v>0.72211895910780666</v>
      </c>
      <c r="D125" s="142"/>
      <c r="E125" s="45">
        <f ca="1">OFFSET(TblMili[[#This Row],[Unit 1]],-1,0) + OFFSET(TblMili[[#This Row],[Train Unit 1]],-9,0) - TblMili[[#This Row],[Release Unit 1]] + OFFSET(TblMili[[#This Row],[DnD_Zombies]],-12,0)</f>
        <v>0</v>
      </c>
      <c r="F125" s="45">
        <f ca="1">OFFSET(TblMili[[#This Row],[Unit 2]],-1,0) + OFFSET(TblMili[[#This Row],[Train Unit 2]],-9,0)-TblMili[[#This Row],[Release Unit 2]]</f>
        <v>0</v>
      </c>
      <c r="G125" s="45">
        <f ca="1">OFFSET(TblMili[[#This Row],[Unit 3]],-1,0) + OFFSET(TblMili[[#This Row],[Train Unit 3]],-12,0)-TblMili[[#This Row],[Release Unit 3]]</f>
        <v>0</v>
      </c>
      <c r="H125" s="45">
        <f ca="1">OFFSET(TblMili[[#This Row],[Unit 4]],-1,0) + OFFSET(TblMili[[#This Row],[Train Unit 4]],-12,0)-TblMili[[#This Row],[Release Unit 4]]</f>
        <v>0</v>
      </c>
      <c r="I125" s="45">
        <f ca="1">OFFSET(TblMili[[#This Row],[Spies]],-1,0) + OFFSET(TblMili[[#This Row],[Train Spies]],-12,0) - TblMili[[#This Row],[Release Spies]]-TblMili[[#This Row],[Train AS]]</f>
        <v>0</v>
      </c>
      <c r="J125" s="45">
        <f ca="1">OFFSET(TblMili[[#This Row],[Archspies]],-1,0) + OFFSET(TblMili[[#This Row],[Train AS]],-12,0) - TblMili[[#This Row],[Release AS]]</f>
        <v>0</v>
      </c>
      <c r="K125" s="45">
        <f ca="1">OFFSET(TblMili[[#This Row],[Wizards]],-1,0) + OFFSET(TblMili[[#This Row],[Train Wiz]],-12,0) - TblMili[[#This Row],[Release Wizards]]-TblMili[[#This Row],[Train AM]]</f>
        <v>0</v>
      </c>
      <c r="L125" s="45">
        <f ca="1">OFFSET(TblMili[[#This Row],[Archmages]],-1,0) + OFFSET(TblMili[[#This Row],[Train AM]],-12,0) - TblMili[[#This Row],[Release AM]]</f>
        <v>0</v>
      </c>
      <c r="M125" s="142"/>
      <c r="N125" s="94">
        <f ca="1">TblProd[[#This Row],[Networth]]</f>
        <v>2450</v>
      </c>
      <c r="O125" s="142"/>
      <c r="P12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5" s="247">
        <f ca="1">TblMili[[#This Row],[Raw]]*(1+TblMili[[#This Row],[Mods_Off]])</f>
        <v>0</v>
      </c>
      <c r="S12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5" s="247">
        <f ca="1">TblMili[[#This Row],[Non Draft]]+TblMili[[#This Row],[Draftees]]</f>
        <v>777</v>
      </c>
      <c r="U125" s="248">
        <f ca="1">race_defense + TblImps[[#This Row],[Walls]] + ROUND( MIN(gt_bonus*TblConstr[[#This Row],[Tot GT]]/TblConstr[[#This Row],[Land]],gt_bonus_cap), 4) + IF(TblMagic[[#This Row],[Active Howling]]&gt;0,howling_dp_bonus,IF(TblMagic[[#This Row],[Active Ares Call]]&gt;0,ares_call_bonus))</f>
        <v>0</v>
      </c>
      <c r="V125" s="249">
        <f ca="1">TblMili[[#This Row],[Non Draft]] * (1 + TblMili[[#This Row],[Mods_Def]])</f>
        <v>0</v>
      </c>
      <c r="W125" s="247">
        <f ca="1">TblMili[[#This Row],[Draft]] * (1 + TblMili[[#This Row],[Mods_Def]])</f>
        <v>777</v>
      </c>
      <c r="X125" s="247">
        <f ca="1">TblConstr[[#This Row],[Land]]</f>
        <v>110</v>
      </c>
      <c r="Y125" s="250"/>
      <c r="Z125" s="255">
        <f ca="1">IF(TblMili[[#This Row],[Set]]&lt;&gt;"",TblMili[[#This Row],[Set]],OFFSET(TblMili[[#This Row],[Draftrate]],-1,0))</f>
        <v>0.9</v>
      </c>
      <c r="AA125" s="94">
        <f ca="1">OFFSET(TblMili[[#This Row],[Draftees]],-1,0)+OFFSET(TblPop[[#This Row],[Draft Growth]],-1,0) - SUM(TblMili[[#This Row],[Train Unit 1]:[Train Spies]],TblMili[[#This Row],[Train Wiz]],TblMili[[#This Row],[DnD_Zombies]]) - TblMili[[#This Row],[Release Draft]] + SUM(TblMili[[#This Row],[Release Unit 1]:[Release AM]]) - TblExplore[[#This Row],[Draftees (2)]]</f>
        <v>777</v>
      </c>
      <c r="AB125" s="154"/>
      <c r="AC125" s="180">
        <f ca="1">(TblConstr[[#This Row],[Tot Smi]]+TblConstr[[#This Row],[Dest Smi]])/(TblConstr[[#This Row],[Land]]-TblExplore[[#This Row],[Land Bonus]]*20)</f>
        <v>0</v>
      </c>
      <c r="AD125" s="137"/>
      <c r="AE125" s="246">
        <f>TblMili[[#This Row],[Hour]]</f>
        <v>122</v>
      </c>
      <c r="AF125" s="138">
        <f ca="1">TblExplore[[#This Row],[Time]]</f>
        <v>46052.041666666373</v>
      </c>
      <c r="AG125" s="158"/>
      <c r="AH125" s="179"/>
      <c r="AI125" s="158"/>
      <c r="AJ125" s="179"/>
      <c r="AK125" s="179"/>
      <c r="AL125" s="179"/>
      <c r="AM125" s="179"/>
      <c r="AN125" s="179"/>
      <c r="AO125" s="420">
        <f ca="1">ROUND(IF(AND(TblMagic[[#This Row],[Active DnD]]&lt;12,TblMagic[[#This Row],[Active DnD]]&gt;5),OFFSET(TblPop[[#This Row],[Draft Growth]],-1,0)*0.375,0),0)</f>
        <v>0</v>
      </c>
      <c r="AP125" s="142"/>
      <c r="AQ125" s="94">
        <f ca="1">TblProd[[#This Row],[Platinum]]</f>
        <v>219681</v>
      </c>
      <c r="AR125" s="94">
        <f ca="1">INDEX(TblProd[[#Headers],[Lumber]]:TblProd[[#This Row],[Ore]],COUNTA(TblProd[[#Headers],[Lumber]]:TblProd[[#This Row],[Lumber]]),MATCH(Military!$AR$2,TblProd[[#Headers],[Lumber]:[Ore]],0))</f>
        <v>0</v>
      </c>
      <c r="AS12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5" s="94">
        <f ca="1">TblMili[[#This Row],[Train Unit 1]]*TblMili[[#This Row],[OP Ore]]+TblMili[[#This Row],[Train Unit 2]]*TblMili[[#This Row],[DP Ore]]+TblMili[[#This Row],[Train Unit 3]]*TblMili[[#This Row],[E1 Ore]]+TblMili[[#This Row],[Train Unit 4]]*TblMili[[#This Row],[E2 Ore]]</f>
        <v>0</v>
      </c>
      <c r="AU125" s="142">
        <f>TblMili[[#This Row],[Hour]]</f>
        <v>122</v>
      </c>
      <c r="AV125" s="152">
        <f ca="1">TblMili[[#This Row],[Time]]</f>
        <v>46052.041666666373</v>
      </c>
      <c r="AW125" s="94">
        <f ca="1">TblMili[[#This Row],[Draftees]]</f>
        <v>777</v>
      </c>
      <c r="AX125" s="179"/>
      <c r="AY125" s="179"/>
      <c r="AZ125" s="179"/>
      <c r="BA125" s="179"/>
      <c r="BB125" s="179"/>
      <c r="BC125" s="179"/>
      <c r="BD125" s="179"/>
      <c r="BE125" s="179"/>
      <c r="BF125" s="179"/>
      <c r="BG125" s="142"/>
      <c r="BH125" s="157">
        <f ca="1">TblConstr[[#This Row],[Tot WG]]/TblConstr[[#This Row],[Land]]</f>
        <v>0</v>
      </c>
      <c r="BI125" s="157">
        <f ca="1">TblConstr[[#This Row],[Tot Hav]]/TblConstr[[#This Row],[Land]]</f>
        <v>0</v>
      </c>
      <c r="BJ125" s="94">
        <f ca="1">ROUNDUP((1-MIN(TblMili[[#This Row],[Smithies]]*smithy_bonus,smithy_bonus_cap) + tech_3_5*TblTech[[#This Row],[3-5]] + tech_5_3*TblTech[[#This Row],[5-3]] + tech_5_5*TblTech[[#This Row],[5-5]])*spec_op_plat,0)</f>
        <v>275</v>
      </c>
      <c r="BK125" s="94">
        <f ca="1">ROUNDUP(IF(race="Gnome",1,(1-MIN(TblMili[[#This Row],[Smithies]]*smithy_bonus,smithy_bonus_cap) + tech_3_5*TblTech[[#This Row],[3-5]] + tech_5_3*TblTech[[#This Row],[5-3]] + tech_5_5*TblTech[[#This Row],[5-5]]))*spec_op_ore,0)</f>
        <v>25</v>
      </c>
      <c r="BL125" s="94">
        <f ca="1">ROUNDUP((1-MIN(TblMili[[#This Row],[Smithies]]*smithy_bonus,smithy_bonus_cap) + tech_3_5*TblTech[[#This Row],[3-5]] + tech_5_3*TblTech[[#This Row],[5-3]] + tech_5_5*TblTech[[#This Row],[5-5]])*spec_dp_plat,0)</f>
        <v>275</v>
      </c>
      <c r="BM125" s="94">
        <f ca="1">ROUNDUP(IF(race="Gnome",1,(1-MIN(TblMili[[#This Row],[Smithies]]*smithy_bonus,smithy_bonus_cap) + tech_3_5*TblTech[[#This Row],[3-5]] + tech_5_3*TblTech[[#This Row],[5-3]] + tech_5_5*TblTech[[#This Row],[5-5]]))*spec_dp_ore,0)</f>
        <v>15</v>
      </c>
      <c r="BN125" s="94">
        <f ca="1">ROUNDUP((1-MIN(TblMili[[#This Row],[Smithies]]*smithy_bonus,smithy_bonus_cap) + tech_3_5*TblTech[[#This Row],[3-5]] + tech_5_3*TblTech[[#This Row],[5-3]] + tech_5_5*TblTech[[#This Row],[5-5]])*elite1_plat,0)</f>
        <v>1040</v>
      </c>
      <c r="BO125" s="94">
        <f ca="1">ROUNDUP(IF(race="Gnome",1,(1-MIN(TblMili[[#This Row],[Smithies]]*smithy_bonus,smithy_bonus_cap) + tech_3_5*TblTech[[#This Row],[3-5]] + tech_5_3*TblTech[[#This Row],[5-3]] + tech_5_5*TblTech[[#This Row],[5-5]]))*elite1_ore,0)</f>
        <v>75</v>
      </c>
      <c r="BP125" s="94">
        <f ca="1">ROUNDUP((1-MIN(TblMili[[#This Row],[Smithies]]*smithy_bonus,smithy_bonus_cap) + tech_3_5*TblTech[[#This Row],[3-5]] + tech_5_3*TblTech[[#This Row],[5-3]] + tech_5_5*TblTech[[#This Row],[5-5]])*elite2_plat,0)</f>
        <v>1280</v>
      </c>
      <c r="BQ125" s="94">
        <f ca="1">ROUNDUP(IF(race="Gnome",1,(1-MIN(TblMili[[#This Row],[Smithies]]*smithy_bonus,smithy_bonus_cap) + tech_3_5*TblTech[[#This Row],[3-5]] + tech_5_3*TblTech[[#This Row],[5-3]] + tech_5_5*TblTech[[#This Row],[5-5]]))*elite2_ore,0)</f>
        <v>100</v>
      </c>
      <c r="BR125" s="94">
        <f ca="1">ROUNDUP((1-MIN(ROUND(fh_spy_cost_red*TblMili[[#This Row],[FH''s]],4),fh_spy_cost_cap)+ tech_1_9*TblTech[[#This Row],[1-9]] + tech_9_1*TblTech[[#This Row],[9-1]])*spy_plat,0)</f>
        <v>500</v>
      </c>
      <c r="BS125" s="94">
        <f ca="1">ROUNDUP((1-MIN(ROUND(fh_spy_cost_red*TblMili[[#This Row],[FH''s]],4),fh_spy_cost_cap)+ tech_1_9*TblTech[[#This Row],[1-9]] + tech_9_1*TblTech[[#This Row],[9-1]])*archspy_plat,0)</f>
        <v>1000</v>
      </c>
      <c r="BT125" s="94">
        <f ca="1">ROUNDUP((1-MIN(ROUND(wg_wiz_cost_bonus*TblMili[[#This Row],[WG''s]],4),wg_wiz_cost_cap) + tech_1_9_2*TblTech[[#This Row],[1-9]] + tech_9_1_2*TblTech[[#This Row],[9-1]])*wizard_plat,0)</f>
        <v>500</v>
      </c>
      <c r="BU125" s="94">
        <f ca="1">ROUNDUP((1-MIN(ROUND(wg_wiz_cost_bonus*TblMili[[#This Row],[WG''s]],4),wg_wiz_cost_cap) + tech_1_9_2*TblTech[[#This Row],[1-9]] + tech_9_1_2*TblTech[[#This Row],[9-1]])*archmage_plat,0)</f>
        <v>1000</v>
      </c>
      <c r="BV125" s="142"/>
      <c r="BW125" s="157">
        <f ca="1">TblConstr[[#This Row],[Homeland]]/TblConstr[[#This Row],[Land]]</f>
        <v>0.81818181818181823</v>
      </c>
      <c r="BX125" s="157">
        <f ca="1">TblMili[[#This Row],[WG''s]]</f>
        <v>0</v>
      </c>
      <c r="BY125" s="251">
        <f ca="1">IF(mystic_cap="none",TblMili[[#This Row],[Homeland%]]/mystic_bonus,MIN(mystic_cap,TblMili[[#This Row],[Homeland%]]/mystic_bonus))</f>
        <v>2</v>
      </c>
      <c r="BZ125" s="251">
        <f ca="1">IF(druid_op_cap="none",TblMili[[#This Row],[Homeland%]]/druid_op_bonus,MIN(druid_op_cap,TblMili[[#This Row],[Homeland%]]/druid_op_bonus))</f>
        <v>2</v>
      </c>
      <c r="CA125" s="251">
        <f ca="1">IF(druid_dp_cap="none",TblMili[[#This Row],[Homeland%]]/druid_dp_bonus,MIN(druid_dp_cap,TblMili[[#This Row],[Homeland%]]/druid_dp_bonus))</f>
        <v>2</v>
      </c>
      <c r="CB125" s="251">
        <f ca="1">MIN(dryad_cap,TblMili[[#This Row],[Homeland%]]/dryad_bonus)</f>
        <v>4</v>
      </c>
      <c r="CC125" s="251">
        <f ca="1">MIN(rocka_cap,TblMili[[#This Row],[Homeland%]]/rocka_bonus)</f>
        <v>2</v>
      </c>
      <c r="CD125" s="251">
        <f ca="1">MIN(adept_op_cap,TblMili[[#This Row],[WG]]/adept_op_bonus)</f>
        <v>0</v>
      </c>
      <c r="CE125" s="251">
        <f ca="1">MIN(adept_dp_cap,TblMili[[#This Row],[WG]]/adept_dp_bonus)</f>
        <v>0</v>
      </c>
      <c r="CF125" s="94">
        <f ca="1">MIN(TblMili[[#This Row],[Unit 3]],TblMili[[#This Row],[Unit 2]])*2</f>
        <v>0</v>
      </c>
      <c r="CG125" s="94">
        <f ca="1">MIN(TblMili[[#This Row],[Unit 1]],TblMili[[#This Row],[Unit 4]])*2</f>
        <v>0</v>
      </c>
      <c r="CH125" s="251">
        <f ca="1">MIN(frost_mage_cap,TblMili[[#This Row],[Homeland%]]/frost_mage_bonus)</f>
        <v>3</v>
      </c>
      <c r="CI125" s="45">
        <f ca="1">MIN(ice_elem_cap,TblMili[[#This Row],[Raw (2)]]*ice_elem_bonus)</f>
        <v>0</v>
      </c>
      <c r="CJ125" s="251">
        <f t="shared" si="4"/>
        <v>0.83333333333333337</v>
      </c>
      <c r="CK125" s="251">
        <f ca="1">MIN(nox_nightshade_cap,TblConstr[[#This Row],[Homeland]]/TblConstr[[#This Row],[Land]]/nox_nightshade_swamp_bonus)</f>
        <v>4</v>
      </c>
      <c r="CL125" s="251">
        <f ca="1">MIN(TblConstr[[#This Row],[Total Swamp]]/TblConstr[[#This Row],[Land]]/abyss_enforce_bonus,abyss_enforcer_cap)</f>
        <v>0</v>
      </c>
      <c r="CM125" s="251">
        <f ca="1">IF(TblMagic[[#This Row],[Active Infernal Command]]&gt;0,TblMili[[#This Row],[Unit 1]]*infernal_cmd_op,0)</f>
        <v>0</v>
      </c>
      <c r="CN125" s="252"/>
      <c r="CO125" s="252"/>
      <c r="CP125" s="252"/>
      <c r="CQ125" s="251">
        <f ca="1">MIN(6,TblMili[[#This Row],[Mystic]]+Races!$F$19)*1.8 +  IF(TblMili[[#This Row],[Mystic]]+Races!$F$19&gt;6,(TblMili[[#This Row],[Mystic]]+Races!$F$19-6)*0.2,0) - Races!$I$19</f>
        <v>1</v>
      </c>
      <c r="CR12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5" s="94">
        <f ca="1">TblMili[[#This Row],[Mystic bonus]]*TblMili[[#This Row],[Unit 3]]+TblMili[[#This Row],[Druid bonus]]*TblMili[[#This Row],[Unit 4]]</f>
        <v>0</v>
      </c>
      <c r="CT125" s="155">
        <f ca="1">MIN(6,TblMili[[#This Row],[Dryad]]+Races!$F$35)*1.8 +  IF(TblMili[[#This Row],[Dryad]]+Races!$F$35&gt;6,(TblMili[[#This Row],[Dryad]]+Races!$F$35-6)*0.2,0) - Races!$I$19</f>
        <v>1</v>
      </c>
      <c r="CU125" s="94">
        <f ca="1">sylvan*(TblMili[[#This Row],[Mystic bonus]]*TblMili[[#This Row],[Unit 3]])</f>
        <v>0</v>
      </c>
      <c r="CV125" s="155">
        <f ca="1">1.8 * MIN(MAX(Races!$E$27,TblMili[[#This Row],[Rockapult]]+Races!$F$27),6)  +  0.45 * MIN(MIN(Races!$E$27,TblMili[[#This Row],[Rockapult]]+Races!$F$27),6)  +  0.2 * ( MAX(Races!$E$27-6,0) + MAX(TblMili[[#This Row],[Rockapult]]+Races!$F$27-6,0) )  -  Races!$I$20</f>
        <v>3.7000000000000011</v>
      </c>
      <c r="CW125" s="94">
        <f ca="1">gnome*(TblMili[[#This Row],[Rockapult bonus]]*TblMili[[#This Row],[Unit 3]])</f>
        <v>0</v>
      </c>
      <c r="CX12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5" s="94">
        <f ca="1">dark_elf*(TblMili[[#This Row],[Adept bonus]]*TblMili[[#This Row],[Unit 3]])</f>
        <v>0</v>
      </c>
      <c r="CZ125" s="155">
        <f ca="1">1.8 * MIN(MAX(TblMili[[#This Row],[Frost Mage]]+Races!$F$71,Races!$E$71),6)  +  0.45 * MIN(MIN(TblMili[[#This Row],[Frost Mage]]+Races!$F$71,Races!$E$71),6)  +  0.2 * ( MAX(TblMili[[#This Row],[Frost Mage]]+Races!$F$71-6,0) + MAX(Races!$E$71-6,0) )  -  Races!$I$71</f>
        <v>6.15</v>
      </c>
      <c r="DA125" s="155">
        <f ca="1">1.8 * MIN(MAX(TblMili[[#This Row],[Ice Elemental]]+Races!$E$71,Races!$F$71),6)  +  0.45 * MIN(MIN(TblMili[[#This Row],[Ice Elemental]]+Races!$E$71,Races!$F$71),6)  +  0.2 * ( MAX(TblMili[[#This Row],[Ice Elemental]]+Races!$E$71-6,0) + MAX(Races!$F$71-6,0) )  -  Races!$I$71</f>
        <v>0.75</v>
      </c>
      <c r="DB125" s="94">
        <f ca="1">TblMili[[#This Row],[Frost Mage bonus]]*TblMili[[#This Row],[Unit 3]]+TblMili[[#This Row],[Ice Elemental bonus]]*TblMili[[#This Row],[Unit 4]]</f>
        <v>0</v>
      </c>
      <c r="DC125" s="253"/>
      <c r="DD125" s="143">
        <f ca="1">MIN(SUM(TblConstr[[#This Row],[Plain]:[Water]])/TblMili[[#This Row],[Land]]/favorable_terrain_bonus/100,favorable_terrain_max)</f>
        <v>0.1</v>
      </c>
      <c r="DE125" s="253"/>
      <c r="DF12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5" s="142"/>
      <c r="DH125" s="254">
        <f ca="1">(TblMili[[#This Row],[Wizards]]+2*TblMili[[#This Row],[Archmages]])/TblConstr[[#This Row],[Land]]</f>
        <v>0</v>
      </c>
      <c r="DI125" s="254">
        <f ca="1">TblMili[[#This Row],[Raw (2)]]*(1+race_wizard_strength+IF(TblMili[[#This Row],[Hour]]&gt;72,tech_magical_weaponry_wiz*TblTech[[#This Row],[3-5]],0))</f>
        <v>0</v>
      </c>
    </row>
    <row r="126" spans="1:113" x14ac:dyDescent="0.2">
      <c r="A126" s="137">
        <f>TblRezone[[#This Row],[Hour]]</f>
        <v>123</v>
      </c>
      <c r="B126" s="246">
        <f ca="1">SUM(TblMili[[#This Row],[Unit 1]:[Archmages]])+SUM(OFFSET(TblMili[[#This Row],[Train Unit 1]],-8,0):TblMili[[#This Row],[Train Unit 2]]) + SUM(OFFSET(TblMili[[#This Row],[Train Unit 3]],-11,0):TblMili[[#This Row],[Train AM]]) + TblMili[[#This Row],[Draftees]]</f>
        <v>780</v>
      </c>
      <c r="C126" s="157">
        <f ca="1">TblPop[[#This Row],[Military%]]</f>
        <v>0.72490706319702602</v>
      </c>
      <c r="D126" s="142"/>
      <c r="E126" s="45">
        <f ca="1">OFFSET(TblMili[[#This Row],[Unit 1]],-1,0) + OFFSET(TblMili[[#This Row],[Train Unit 1]],-9,0) - TblMili[[#This Row],[Release Unit 1]] + OFFSET(TblMili[[#This Row],[DnD_Zombies]],-12,0)</f>
        <v>0</v>
      </c>
      <c r="F126" s="45">
        <f ca="1">OFFSET(TblMili[[#This Row],[Unit 2]],-1,0) + OFFSET(TblMili[[#This Row],[Train Unit 2]],-9,0)-TblMili[[#This Row],[Release Unit 2]]</f>
        <v>0</v>
      </c>
      <c r="G126" s="45">
        <f ca="1">OFFSET(TblMili[[#This Row],[Unit 3]],-1,0) + OFFSET(TblMili[[#This Row],[Train Unit 3]],-12,0)-TblMili[[#This Row],[Release Unit 3]]</f>
        <v>0</v>
      </c>
      <c r="H126" s="45">
        <f ca="1">OFFSET(TblMili[[#This Row],[Unit 4]],-1,0) + OFFSET(TblMili[[#This Row],[Train Unit 4]],-12,0)-TblMili[[#This Row],[Release Unit 4]]</f>
        <v>0</v>
      </c>
      <c r="I126" s="45">
        <f ca="1">OFFSET(TblMili[[#This Row],[Spies]],-1,0) + OFFSET(TblMili[[#This Row],[Train Spies]],-12,0) - TblMili[[#This Row],[Release Spies]]-TblMili[[#This Row],[Train AS]]</f>
        <v>0</v>
      </c>
      <c r="J126" s="45">
        <f ca="1">OFFSET(TblMili[[#This Row],[Archspies]],-1,0) + OFFSET(TblMili[[#This Row],[Train AS]],-12,0) - TblMili[[#This Row],[Release AS]]</f>
        <v>0</v>
      </c>
      <c r="K126" s="45">
        <f ca="1">OFFSET(TblMili[[#This Row],[Wizards]],-1,0) + OFFSET(TblMili[[#This Row],[Train Wiz]],-12,0) - TblMili[[#This Row],[Release Wizards]]-TblMili[[#This Row],[Train AM]]</f>
        <v>0</v>
      </c>
      <c r="L126" s="45">
        <f ca="1">OFFSET(TblMili[[#This Row],[Archmages]],-1,0) + OFFSET(TblMili[[#This Row],[Train AM]],-12,0) - TblMili[[#This Row],[Release AM]]</f>
        <v>0</v>
      </c>
      <c r="M126" s="142"/>
      <c r="N126" s="94">
        <f ca="1">TblProd[[#This Row],[Networth]]</f>
        <v>2450</v>
      </c>
      <c r="O126" s="142"/>
      <c r="P12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6" s="247">
        <f ca="1">TblMili[[#This Row],[Raw]]*(1+TblMili[[#This Row],[Mods_Off]])</f>
        <v>0</v>
      </c>
      <c r="S12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6" s="247">
        <f ca="1">TblMili[[#This Row],[Non Draft]]+TblMili[[#This Row],[Draftees]]</f>
        <v>780</v>
      </c>
      <c r="U126" s="248">
        <f ca="1">race_defense + TblImps[[#This Row],[Walls]] + ROUND( MIN(gt_bonus*TblConstr[[#This Row],[Tot GT]]/TblConstr[[#This Row],[Land]],gt_bonus_cap), 4) + IF(TblMagic[[#This Row],[Active Howling]]&gt;0,howling_dp_bonus,IF(TblMagic[[#This Row],[Active Ares Call]]&gt;0,ares_call_bonus))</f>
        <v>0</v>
      </c>
      <c r="V126" s="249">
        <f ca="1">TblMili[[#This Row],[Non Draft]] * (1 + TblMili[[#This Row],[Mods_Def]])</f>
        <v>0</v>
      </c>
      <c r="W126" s="247">
        <f ca="1">TblMili[[#This Row],[Draft]] * (1 + TblMili[[#This Row],[Mods_Def]])</f>
        <v>780</v>
      </c>
      <c r="X126" s="247">
        <f ca="1">TblConstr[[#This Row],[Land]]</f>
        <v>110</v>
      </c>
      <c r="Y126" s="250"/>
      <c r="Z126" s="255">
        <f ca="1">IF(TblMili[[#This Row],[Set]]&lt;&gt;"",TblMili[[#This Row],[Set]],OFFSET(TblMili[[#This Row],[Draftrate]],-1,0))</f>
        <v>0.9</v>
      </c>
      <c r="AA126" s="94">
        <f ca="1">OFFSET(TblMili[[#This Row],[Draftees]],-1,0)+OFFSET(TblPop[[#This Row],[Draft Growth]],-1,0) - SUM(TblMili[[#This Row],[Train Unit 1]:[Train Spies]],TblMili[[#This Row],[Train Wiz]],TblMili[[#This Row],[DnD_Zombies]]) - TblMili[[#This Row],[Release Draft]] + SUM(TblMili[[#This Row],[Release Unit 1]:[Release AM]]) - TblExplore[[#This Row],[Draftees (2)]]</f>
        <v>780</v>
      </c>
      <c r="AB126" s="154"/>
      <c r="AC126" s="180">
        <f ca="1">(TblConstr[[#This Row],[Tot Smi]]+TblConstr[[#This Row],[Dest Smi]])/(TblConstr[[#This Row],[Land]]-TblExplore[[#This Row],[Land Bonus]]*20)</f>
        <v>0</v>
      </c>
      <c r="AD126" s="137"/>
      <c r="AE126" s="246">
        <f>TblMili[[#This Row],[Hour]]</f>
        <v>123</v>
      </c>
      <c r="AF126" s="138">
        <f ca="1">TblExplore[[#This Row],[Time]]</f>
        <v>46052.083333333037</v>
      </c>
      <c r="AG126" s="179"/>
      <c r="AH126" s="179"/>
      <c r="AI126" s="179"/>
      <c r="AJ126" s="179"/>
      <c r="AK126" s="179"/>
      <c r="AL126" s="179"/>
      <c r="AM126" s="179"/>
      <c r="AN126" s="179"/>
      <c r="AO126" s="420">
        <f ca="1">ROUND(IF(AND(TblMagic[[#This Row],[Active DnD]]&lt;12,TblMagic[[#This Row],[Active DnD]]&gt;5),OFFSET(TblPop[[#This Row],[Draft Growth]],-1,0)*0.375,0),0)</f>
        <v>0</v>
      </c>
      <c r="AP126" s="142"/>
      <c r="AQ126" s="94">
        <f ca="1">TblProd[[#This Row],[Platinum]]</f>
        <v>220488</v>
      </c>
      <c r="AR126" s="94">
        <f ca="1">INDEX(TblProd[[#Headers],[Lumber]]:TblProd[[#This Row],[Ore]],COUNTA(TblProd[[#Headers],[Lumber]]:TblProd[[#This Row],[Lumber]]),MATCH(Military!$AR$2,TblProd[[#Headers],[Lumber]:[Ore]],0))</f>
        <v>0</v>
      </c>
      <c r="AS12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6" s="94">
        <f ca="1">TblMili[[#This Row],[Train Unit 1]]*TblMili[[#This Row],[OP Ore]]+TblMili[[#This Row],[Train Unit 2]]*TblMili[[#This Row],[DP Ore]]+TblMili[[#This Row],[Train Unit 3]]*TblMili[[#This Row],[E1 Ore]]+TblMili[[#This Row],[Train Unit 4]]*TblMili[[#This Row],[E2 Ore]]</f>
        <v>0</v>
      </c>
      <c r="AU126" s="142">
        <f>TblMili[[#This Row],[Hour]]</f>
        <v>123</v>
      </c>
      <c r="AV126" s="152">
        <f ca="1">TblMili[[#This Row],[Time]]</f>
        <v>46052.083333333037</v>
      </c>
      <c r="AW126" s="94">
        <f ca="1">TblMili[[#This Row],[Draftees]]</f>
        <v>780</v>
      </c>
      <c r="AX126" s="179"/>
      <c r="AY126" s="179"/>
      <c r="AZ126" s="179"/>
      <c r="BA126" s="179"/>
      <c r="BB126" s="179"/>
      <c r="BC126" s="179"/>
      <c r="BD126" s="179"/>
      <c r="BE126" s="179"/>
      <c r="BF126" s="179"/>
      <c r="BG126" s="142"/>
      <c r="BH126" s="157">
        <f ca="1">TblConstr[[#This Row],[Tot WG]]/TblConstr[[#This Row],[Land]]</f>
        <v>0</v>
      </c>
      <c r="BI126" s="157">
        <f ca="1">TblConstr[[#This Row],[Tot Hav]]/TblConstr[[#This Row],[Land]]</f>
        <v>0</v>
      </c>
      <c r="BJ126" s="94">
        <f ca="1">ROUNDUP((1-MIN(TblMili[[#This Row],[Smithies]]*smithy_bonus,smithy_bonus_cap) + tech_3_5*TblTech[[#This Row],[3-5]] + tech_5_3*TblTech[[#This Row],[5-3]] + tech_5_5*TblTech[[#This Row],[5-5]])*spec_op_plat,0)</f>
        <v>275</v>
      </c>
      <c r="BK126" s="94">
        <f ca="1">ROUNDUP(IF(race="Gnome",1,(1-MIN(TblMili[[#This Row],[Smithies]]*smithy_bonus,smithy_bonus_cap) + tech_3_5*TblTech[[#This Row],[3-5]] + tech_5_3*TblTech[[#This Row],[5-3]] + tech_5_5*TblTech[[#This Row],[5-5]]))*spec_op_ore,0)</f>
        <v>25</v>
      </c>
      <c r="BL126" s="94">
        <f ca="1">ROUNDUP((1-MIN(TblMili[[#This Row],[Smithies]]*smithy_bonus,smithy_bonus_cap) + tech_3_5*TblTech[[#This Row],[3-5]] + tech_5_3*TblTech[[#This Row],[5-3]] + tech_5_5*TblTech[[#This Row],[5-5]])*spec_dp_plat,0)</f>
        <v>275</v>
      </c>
      <c r="BM126" s="94">
        <f ca="1">ROUNDUP(IF(race="Gnome",1,(1-MIN(TblMili[[#This Row],[Smithies]]*smithy_bonus,smithy_bonus_cap) + tech_3_5*TblTech[[#This Row],[3-5]] + tech_5_3*TblTech[[#This Row],[5-3]] + tech_5_5*TblTech[[#This Row],[5-5]]))*spec_dp_ore,0)</f>
        <v>15</v>
      </c>
      <c r="BN126" s="94">
        <f ca="1">ROUNDUP((1-MIN(TblMili[[#This Row],[Smithies]]*smithy_bonus,smithy_bonus_cap) + tech_3_5*TblTech[[#This Row],[3-5]] + tech_5_3*TblTech[[#This Row],[5-3]] + tech_5_5*TblTech[[#This Row],[5-5]])*elite1_plat,0)</f>
        <v>1040</v>
      </c>
      <c r="BO126" s="94">
        <f ca="1">ROUNDUP(IF(race="Gnome",1,(1-MIN(TblMili[[#This Row],[Smithies]]*smithy_bonus,smithy_bonus_cap) + tech_3_5*TblTech[[#This Row],[3-5]] + tech_5_3*TblTech[[#This Row],[5-3]] + tech_5_5*TblTech[[#This Row],[5-5]]))*elite1_ore,0)</f>
        <v>75</v>
      </c>
      <c r="BP126" s="94">
        <f ca="1">ROUNDUP((1-MIN(TblMili[[#This Row],[Smithies]]*smithy_bonus,smithy_bonus_cap) + tech_3_5*TblTech[[#This Row],[3-5]] + tech_5_3*TblTech[[#This Row],[5-3]] + tech_5_5*TblTech[[#This Row],[5-5]])*elite2_plat,0)</f>
        <v>1280</v>
      </c>
      <c r="BQ126" s="94">
        <f ca="1">ROUNDUP(IF(race="Gnome",1,(1-MIN(TblMili[[#This Row],[Smithies]]*smithy_bonus,smithy_bonus_cap) + tech_3_5*TblTech[[#This Row],[3-5]] + tech_5_3*TblTech[[#This Row],[5-3]] + tech_5_5*TblTech[[#This Row],[5-5]]))*elite2_ore,0)</f>
        <v>100</v>
      </c>
      <c r="BR126" s="94">
        <f ca="1">ROUNDUP((1-MIN(ROUND(fh_spy_cost_red*TblMili[[#This Row],[FH''s]],4),fh_spy_cost_cap)+ tech_1_9*TblTech[[#This Row],[1-9]] + tech_9_1*TblTech[[#This Row],[9-1]])*spy_plat,0)</f>
        <v>500</v>
      </c>
      <c r="BS126" s="94">
        <f ca="1">ROUNDUP((1-MIN(ROUND(fh_spy_cost_red*TblMili[[#This Row],[FH''s]],4),fh_spy_cost_cap)+ tech_1_9*TblTech[[#This Row],[1-9]] + tech_9_1*TblTech[[#This Row],[9-1]])*archspy_plat,0)</f>
        <v>1000</v>
      </c>
      <c r="BT126" s="94">
        <f ca="1">ROUNDUP((1-MIN(ROUND(wg_wiz_cost_bonus*TblMili[[#This Row],[WG''s]],4),wg_wiz_cost_cap) + tech_1_9_2*TblTech[[#This Row],[1-9]] + tech_9_1_2*TblTech[[#This Row],[9-1]])*wizard_plat,0)</f>
        <v>500</v>
      </c>
      <c r="BU126" s="94">
        <f ca="1">ROUNDUP((1-MIN(ROUND(wg_wiz_cost_bonus*TblMili[[#This Row],[WG''s]],4),wg_wiz_cost_cap) + tech_1_9_2*TblTech[[#This Row],[1-9]] + tech_9_1_2*TblTech[[#This Row],[9-1]])*archmage_plat,0)</f>
        <v>1000</v>
      </c>
      <c r="BV126" s="142"/>
      <c r="BW126" s="157">
        <f ca="1">TblConstr[[#This Row],[Homeland]]/TblConstr[[#This Row],[Land]]</f>
        <v>0.81818181818181823</v>
      </c>
      <c r="BX126" s="157">
        <f ca="1">TblMili[[#This Row],[WG''s]]</f>
        <v>0</v>
      </c>
      <c r="BY126" s="251">
        <f ca="1">IF(mystic_cap="none",TblMili[[#This Row],[Homeland%]]/mystic_bonus,MIN(mystic_cap,TblMili[[#This Row],[Homeland%]]/mystic_bonus))</f>
        <v>2</v>
      </c>
      <c r="BZ126" s="251">
        <f ca="1">IF(druid_op_cap="none",TblMili[[#This Row],[Homeland%]]/druid_op_bonus,MIN(druid_op_cap,TblMili[[#This Row],[Homeland%]]/druid_op_bonus))</f>
        <v>2</v>
      </c>
      <c r="CA126" s="251">
        <f ca="1">IF(druid_dp_cap="none",TblMili[[#This Row],[Homeland%]]/druid_dp_bonus,MIN(druid_dp_cap,TblMili[[#This Row],[Homeland%]]/druid_dp_bonus))</f>
        <v>2</v>
      </c>
      <c r="CB126" s="251">
        <f ca="1">MIN(dryad_cap,TblMili[[#This Row],[Homeland%]]/dryad_bonus)</f>
        <v>4</v>
      </c>
      <c r="CC126" s="251">
        <f ca="1">MIN(rocka_cap,TblMili[[#This Row],[Homeland%]]/rocka_bonus)</f>
        <v>2</v>
      </c>
      <c r="CD126" s="251">
        <f ca="1">MIN(adept_op_cap,TblMili[[#This Row],[WG]]/adept_op_bonus)</f>
        <v>0</v>
      </c>
      <c r="CE126" s="251">
        <f ca="1">MIN(adept_dp_cap,TblMili[[#This Row],[WG]]/adept_dp_bonus)</f>
        <v>0</v>
      </c>
      <c r="CF126" s="94">
        <f ca="1">MIN(TblMili[[#This Row],[Unit 3]],TblMili[[#This Row],[Unit 2]])*2</f>
        <v>0</v>
      </c>
      <c r="CG126" s="94">
        <f ca="1">MIN(TblMili[[#This Row],[Unit 1]],TblMili[[#This Row],[Unit 4]])*2</f>
        <v>0</v>
      </c>
      <c r="CH126" s="251">
        <f ca="1">MIN(frost_mage_cap,TblMili[[#This Row],[Homeland%]]/frost_mage_bonus)</f>
        <v>3</v>
      </c>
      <c r="CI126" s="45">
        <f ca="1">MIN(ice_elem_cap,TblMili[[#This Row],[Raw (2)]]*ice_elem_bonus)</f>
        <v>0</v>
      </c>
      <c r="CJ126" s="251">
        <f t="shared" si="4"/>
        <v>0.83333333333333337</v>
      </c>
      <c r="CK126" s="251">
        <f ca="1">MIN(nox_nightshade_cap,TblConstr[[#This Row],[Homeland]]/TblConstr[[#This Row],[Land]]/nox_nightshade_swamp_bonus)</f>
        <v>4</v>
      </c>
      <c r="CL126" s="251">
        <f ca="1">MIN(TblConstr[[#This Row],[Total Swamp]]/TblConstr[[#This Row],[Land]]/abyss_enforce_bonus,abyss_enforcer_cap)</f>
        <v>0</v>
      </c>
      <c r="CM126" s="251">
        <f ca="1">IF(TblMagic[[#This Row],[Active Infernal Command]]&gt;0,TblMili[[#This Row],[Unit 1]]*infernal_cmd_op,0)</f>
        <v>0</v>
      </c>
      <c r="CN126" s="252"/>
      <c r="CO126" s="252"/>
      <c r="CP126" s="252"/>
      <c r="CQ126" s="251">
        <f ca="1">MIN(6,TblMili[[#This Row],[Mystic]]+Races!$F$19)*1.8 +  IF(TblMili[[#This Row],[Mystic]]+Races!$F$19&gt;6,(TblMili[[#This Row],[Mystic]]+Races!$F$19-6)*0.2,0) - Races!$I$19</f>
        <v>1</v>
      </c>
      <c r="CR12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6" s="94">
        <f ca="1">TblMili[[#This Row],[Mystic bonus]]*TblMili[[#This Row],[Unit 3]]+TblMili[[#This Row],[Druid bonus]]*TblMili[[#This Row],[Unit 4]]</f>
        <v>0</v>
      </c>
      <c r="CT126" s="155">
        <f ca="1">MIN(6,TblMili[[#This Row],[Dryad]]+Races!$F$35)*1.8 +  IF(TblMili[[#This Row],[Dryad]]+Races!$F$35&gt;6,(TblMili[[#This Row],[Dryad]]+Races!$F$35-6)*0.2,0) - Races!$I$19</f>
        <v>1</v>
      </c>
      <c r="CU126" s="94">
        <f ca="1">sylvan*(TblMili[[#This Row],[Mystic bonus]]*TblMili[[#This Row],[Unit 3]])</f>
        <v>0</v>
      </c>
      <c r="CV126" s="155">
        <f ca="1">1.8 * MIN(MAX(Races!$E$27,TblMili[[#This Row],[Rockapult]]+Races!$F$27),6)  +  0.45 * MIN(MIN(Races!$E$27,TblMili[[#This Row],[Rockapult]]+Races!$F$27),6)  +  0.2 * ( MAX(Races!$E$27-6,0) + MAX(TblMili[[#This Row],[Rockapult]]+Races!$F$27-6,0) )  -  Races!$I$20</f>
        <v>3.7000000000000011</v>
      </c>
      <c r="CW126" s="94">
        <f ca="1">gnome*(TblMili[[#This Row],[Rockapult bonus]]*TblMili[[#This Row],[Unit 3]])</f>
        <v>0</v>
      </c>
      <c r="CX12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6" s="94">
        <f ca="1">dark_elf*(TblMili[[#This Row],[Adept bonus]]*TblMili[[#This Row],[Unit 3]])</f>
        <v>0</v>
      </c>
      <c r="CZ126" s="155">
        <f ca="1">1.8 * MIN(MAX(TblMili[[#This Row],[Frost Mage]]+Races!$F$71,Races!$E$71),6)  +  0.45 * MIN(MIN(TblMili[[#This Row],[Frost Mage]]+Races!$F$71,Races!$E$71),6)  +  0.2 * ( MAX(TblMili[[#This Row],[Frost Mage]]+Races!$F$71-6,0) + MAX(Races!$E$71-6,0) )  -  Races!$I$71</f>
        <v>6.15</v>
      </c>
      <c r="DA126" s="155">
        <f ca="1">1.8 * MIN(MAX(TblMili[[#This Row],[Ice Elemental]]+Races!$E$71,Races!$F$71),6)  +  0.45 * MIN(MIN(TblMili[[#This Row],[Ice Elemental]]+Races!$E$71,Races!$F$71),6)  +  0.2 * ( MAX(TblMili[[#This Row],[Ice Elemental]]+Races!$E$71-6,0) + MAX(Races!$F$71-6,0) )  -  Races!$I$71</f>
        <v>0.75</v>
      </c>
      <c r="DB126" s="94">
        <f ca="1">TblMili[[#This Row],[Frost Mage bonus]]*TblMili[[#This Row],[Unit 3]]+TblMili[[#This Row],[Ice Elemental bonus]]*TblMili[[#This Row],[Unit 4]]</f>
        <v>0</v>
      </c>
      <c r="DC126" s="253"/>
      <c r="DD126" s="143">
        <f ca="1">MIN(SUM(TblConstr[[#This Row],[Plain]:[Water]])/TblMili[[#This Row],[Land]]/favorable_terrain_bonus/100,favorable_terrain_max)</f>
        <v>0.1</v>
      </c>
      <c r="DE126" s="253"/>
      <c r="DF12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6" s="142"/>
      <c r="DH126" s="254">
        <f ca="1">(TblMili[[#This Row],[Wizards]]+2*TblMili[[#This Row],[Archmages]])/TblConstr[[#This Row],[Land]]</f>
        <v>0</v>
      </c>
      <c r="DI126" s="254">
        <f ca="1">TblMili[[#This Row],[Raw (2)]]*(1+race_wizard_strength+IF(TblMili[[#This Row],[Hour]]&gt;72,tech_magical_weaponry_wiz*TblTech[[#This Row],[3-5]],0))</f>
        <v>0</v>
      </c>
    </row>
    <row r="127" spans="1:113" x14ac:dyDescent="0.2">
      <c r="A127" s="137">
        <f>TblRezone[[#This Row],[Hour]]</f>
        <v>124</v>
      </c>
      <c r="B127" s="246">
        <f ca="1">SUM(TblMili[[#This Row],[Unit 1]:[Archmages]])+SUM(OFFSET(TblMili[[#This Row],[Train Unit 1]],-8,0):TblMili[[#This Row],[Train Unit 2]]) + SUM(OFFSET(TblMili[[#This Row],[Train Unit 3]],-11,0):TblMili[[#This Row],[Train AM]]) + TblMili[[#This Row],[Draftees]]</f>
        <v>783</v>
      </c>
      <c r="C127" s="157">
        <f ca="1">TblPop[[#This Row],[Military%]]</f>
        <v>0.72769516728624539</v>
      </c>
      <c r="D127" s="142"/>
      <c r="E127" s="45">
        <f ca="1">OFFSET(TblMili[[#This Row],[Unit 1]],-1,0) + OFFSET(TblMili[[#This Row],[Train Unit 1]],-9,0) - TblMili[[#This Row],[Release Unit 1]] + OFFSET(TblMili[[#This Row],[DnD_Zombies]],-12,0)</f>
        <v>0</v>
      </c>
      <c r="F127" s="45">
        <f ca="1">OFFSET(TblMili[[#This Row],[Unit 2]],-1,0) + OFFSET(TblMili[[#This Row],[Train Unit 2]],-9,0)-TblMili[[#This Row],[Release Unit 2]]</f>
        <v>0</v>
      </c>
      <c r="G127" s="45">
        <f ca="1">OFFSET(TblMili[[#This Row],[Unit 3]],-1,0) + OFFSET(TblMili[[#This Row],[Train Unit 3]],-12,0)-TblMili[[#This Row],[Release Unit 3]]</f>
        <v>0</v>
      </c>
      <c r="H127" s="45">
        <f ca="1">OFFSET(TblMili[[#This Row],[Unit 4]],-1,0) + OFFSET(TblMili[[#This Row],[Train Unit 4]],-12,0)-TblMili[[#This Row],[Release Unit 4]]</f>
        <v>0</v>
      </c>
      <c r="I127" s="45">
        <f ca="1">OFFSET(TblMili[[#This Row],[Spies]],-1,0) + OFFSET(TblMili[[#This Row],[Train Spies]],-12,0) - TblMili[[#This Row],[Release Spies]]-TblMili[[#This Row],[Train AS]]</f>
        <v>0</v>
      </c>
      <c r="J127" s="45">
        <f ca="1">OFFSET(TblMili[[#This Row],[Archspies]],-1,0) + OFFSET(TblMili[[#This Row],[Train AS]],-12,0) - TblMili[[#This Row],[Release AS]]</f>
        <v>0</v>
      </c>
      <c r="K127" s="45">
        <f ca="1">OFFSET(TblMili[[#This Row],[Wizards]],-1,0) + OFFSET(TblMili[[#This Row],[Train Wiz]],-12,0) - TblMili[[#This Row],[Release Wizards]]-TblMili[[#This Row],[Train AM]]</f>
        <v>0</v>
      </c>
      <c r="L127" s="45">
        <f ca="1">OFFSET(TblMili[[#This Row],[Archmages]],-1,0) + OFFSET(TblMili[[#This Row],[Train AM]],-12,0) - TblMili[[#This Row],[Release AM]]</f>
        <v>0</v>
      </c>
      <c r="M127" s="142"/>
      <c r="N127" s="94">
        <f ca="1">TblProd[[#This Row],[Networth]]</f>
        <v>2450</v>
      </c>
      <c r="O127" s="142"/>
      <c r="P127"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7"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7" s="247">
        <f ca="1">TblMili[[#This Row],[Raw]]*(1+TblMili[[#This Row],[Mods_Off]])</f>
        <v>0</v>
      </c>
      <c r="S127"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7" s="247">
        <f ca="1">TblMili[[#This Row],[Non Draft]]+TblMili[[#This Row],[Draftees]]</f>
        <v>783</v>
      </c>
      <c r="U127" s="248">
        <f ca="1">race_defense + TblImps[[#This Row],[Walls]] + ROUND( MIN(gt_bonus*TblConstr[[#This Row],[Tot GT]]/TblConstr[[#This Row],[Land]],gt_bonus_cap), 4) + IF(TblMagic[[#This Row],[Active Howling]]&gt;0,howling_dp_bonus,IF(TblMagic[[#This Row],[Active Ares Call]]&gt;0,ares_call_bonus))</f>
        <v>0</v>
      </c>
      <c r="V127" s="249">
        <f ca="1">TblMili[[#This Row],[Non Draft]] * (1 + TblMili[[#This Row],[Mods_Def]])</f>
        <v>0</v>
      </c>
      <c r="W127" s="247">
        <f ca="1">TblMili[[#This Row],[Draft]] * (1 + TblMili[[#This Row],[Mods_Def]])</f>
        <v>783</v>
      </c>
      <c r="X127" s="247">
        <f ca="1">TblConstr[[#This Row],[Land]]</f>
        <v>110</v>
      </c>
      <c r="Y127" s="250"/>
      <c r="Z127" s="255">
        <f ca="1">IF(TblMili[[#This Row],[Set]]&lt;&gt;"",TblMili[[#This Row],[Set]],OFFSET(TblMili[[#This Row],[Draftrate]],-1,0))</f>
        <v>0.9</v>
      </c>
      <c r="AA127" s="94">
        <f ca="1">OFFSET(TblMili[[#This Row],[Draftees]],-1,0)+OFFSET(TblPop[[#This Row],[Draft Growth]],-1,0) - SUM(TblMili[[#This Row],[Train Unit 1]:[Train Spies]],TblMili[[#This Row],[Train Wiz]],TblMili[[#This Row],[DnD_Zombies]]) - TblMili[[#This Row],[Release Draft]] + SUM(TblMili[[#This Row],[Release Unit 1]:[Release AM]]) - TblExplore[[#This Row],[Draftees (2)]]</f>
        <v>783</v>
      </c>
      <c r="AB127" s="154"/>
      <c r="AC127" s="180">
        <f ca="1">(TblConstr[[#This Row],[Tot Smi]]+TblConstr[[#This Row],[Dest Smi]])/(TblConstr[[#This Row],[Land]]-TblExplore[[#This Row],[Land Bonus]]*20)</f>
        <v>0</v>
      </c>
      <c r="AD127" s="137"/>
      <c r="AE127" s="246">
        <f>TblMili[[#This Row],[Hour]]</f>
        <v>124</v>
      </c>
      <c r="AF127" s="138">
        <f ca="1">TblExplore[[#This Row],[Time]]</f>
        <v>46052.124999999702</v>
      </c>
      <c r="AG127" s="179"/>
      <c r="AH127" s="179"/>
      <c r="AI127" s="179"/>
      <c r="AJ127" s="179"/>
      <c r="AK127" s="179"/>
      <c r="AL127" s="179"/>
      <c r="AM127" s="179"/>
      <c r="AN127" s="179"/>
      <c r="AO127" s="420">
        <f ca="1">ROUND(IF(AND(TblMagic[[#This Row],[Active DnD]]&lt;12,TblMagic[[#This Row],[Active DnD]]&gt;5),OFFSET(TblPop[[#This Row],[Draft Growth]],-1,0)*0.375,0),0)</f>
        <v>0</v>
      </c>
      <c r="AP127" s="142"/>
      <c r="AQ127" s="94">
        <f ca="1">TblProd[[#This Row],[Platinum]]</f>
        <v>221287</v>
      </c>
      <c r="AR127" s="94">
        <f ca="1">INDEX(TblProd[[#Headers],[Lumber]]:TblProd[[#This Row],[Ore]],COUNTA(TblProd[[#Headers],[Lumber]]:TblProd[[#This Row],[Lumber]]),MATCH(Military!$AR$2,TblProd[[#Headers],[Lumber]:[Ore]],0))</f>
        <v>0</v>
      </c>
      <c r="AS127"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7" s="94">
        <f ca="1">TblMili[[#This Row],[Train Unit 1]]*TblMili[[#This Row],[OP Ore]]+TblMili[[#This Row],[Train Unit 2]]*TblMili[[#This Row],[DP Ore]]+TblMili[[#This Row],[Train Unit 3]]*TblMili[[#This Row],[E1 Ore]]+TblMili[[#This Row],[Train Unit 4]]*TblMili[[#This Row],[E2 Ore]]</f>
        <v>0</v>
      </c>
      <c r="AU127" s="142">
        <f>TblMili[[#This Row],[Hour]]</f>
        <v>124</v>
      </c>
      <c r="AV127" s="152">
        <f ca="1">TblMili[[#This Row],[Time]]</f>
        <v>46052.124999999702</v>
      </c>
      <c r="AW127" s="94">
        <f ca="1">TblMili[[#This Row],[Draftees]]</f>
        <v>783</v>
      </c>
      <c r="AX127" s="179"/>
      <c r="AY127" s="179"/>
      <c r="AZ127" s="179"/>
      <c r="BA127" s="179"/>
      <c r="BB127" s="179"/>
      <c r="BC127" s="179"/>
      <c r="BD127" s="179"/>
      <c r="BE127" s="179"/>
      <c r="BF127" s="179"/>
      <c r="BG127" s="142"/>
      <c r="BH127" s="157">
        <f ca="1">TblConstr[[#This Row],[Tot WG]]/TblConstr[[#This Row],[Land]]</f>
        <v>0</v>
      </c>
      <c r="BI127" s="157">
        <f ca="1">TblConstr[[#This Row],[Tot Hav]]/TblConstr[[#This Row],[Land]]</f>
        <v>0</v>
      </c>
      <c r="BJ127" s="94">
        <f ca="1">ROUNDUP((1-MIN(TblMili[[#This Row],[Smithies]]*smithy_bonus,smithy_bonus_cap) + tech_3_5*TblTech[[#This Row],[3-5]] + tech_5_3*TblTech[[#This Row],[5-3]] + tech_5_5*TblTech[[#This Row],[5-5]])*spec_op_plat,0)</f>
        <v>275</v>
      </c>
      <c r="BK127" s="94">
        <f ca="1">ROUNDUP(IF(race="Gnome",1,(1-MIN(TblMili[[#This Row],[Smithies]]*smithy_bonus,smithy_bonus_cap) + tech_3_5*TblTech[[#This Row],[3-5]] + tech_5_3*TblTech[[#This Row],[5-3]] + tech_5_5*TblTech[[#This Row],[5-5]]))*spec_op_ore,0)</f>
        <v>25</v>
      </c>
      <c r="BL127" s="94">
        <f ca="1">ROUNDUP((1-MIN(TblMili[[#This Row],[Smithies]]*smithy_bonus,smithy_bonus_cap) + tech_3_5*TblTech[[#This Row],[3-5]] + tech_5_3*TblTech[[#This Row],[5-3]] + tech_5_5*TblTech[[#This Row],[5-5]])*spec_dp_plat,0)</f>
        <v>275</v>
      </c>
      <c r="BM127" s="94">
        <f ca="1">ROUNDUP(IF(race="Gnome",1,(1-MIN(TblMili[[#This Row],[Smithies]]*smithy_bonus,smithy_bonus_cap) + tech_3_5*TblTech[[#This Row],[3-5]] + tech_5_3*TblTech[[#This Row],[5-3]] + tech_5_5*TblTech[[#This Row],[5-5]]))*spec_dp_ore,0)</f>
        <v>15</v>
      </c>
      <c r="BN127" s="94">
        <f ca="1">ROUNDUP((1-MIN(TblMili[[#This Row],[Smithies]]*smithy_bonus,smithy_bonus_cap) + tech_3_5*TblTech[[#This Row],[3-5]] + tech_5_3*TblTech[[#This Row],[5-3]] + tech_5_5*TblTech[[#This Row],[5-5]])*elite1_plat,0)</f>
        <v>1040</v>
      </c>
      <c r="BO127" s="94">
        <f ca="1">ROUNDUP(IF(race="Gnome",1,(1-MIN(TblMili[[#This Row],[Smithies]]*smithy_bonus,smithy_bonus_cap) + tech_3_5*TblTech[[#This Row],[3-5]] + tech_5_3*TblTech[[#This Row],[5-3]] + tech_5_5*TblTech[[#This Row],[5-5]]))*elite1_ore,0)</f>
        <v>75</v>
      </c>
      <c r="BP127" s="94">
        <f ca="1">ROUNDUP((1-MIN(TblMili[[#This Row],[Smithies]]*smithy_bonus,smithy_bonus_cap) + tech_3_5*TblTech[[#This Row],[3-5]] + tech_5_3*TblTech[[#This Row],[5-3]] + tech_5_5*TblTech[[#This Row],[5-5]])*elite2_plat,0)</f>
        <v>1280</v>
      </c>
      <c r="BQ127" s="94">
        <f ca="1">ROUNDUP(IF(race="Gnome",1,(1-MIN(TblMili[[#This Row],[Smithies]]*smithy_bonus,smithy_bonus_cap) + tech_3_5*TblTech[[#This Row],[3-5]] + tech_5_3*TblTech[[#This Row],[5-3]] + tech_5_5*TblTech[[#This Row],[5-5]]))*elite2_ore,0)</f>
        <v>100</v>
      </c>
      <c r="BR127" s="94">
        <f ca="1">ROUNDUP((1-MIN(ROUND(fh_spy_cost_red*TblMili[[#This Row],[FH''s]],4),fh_spy_cost_cap)+ tech_1_9*TblTech[[#This Row],[1-9]] + tech_9_1*TblTech[[#This Row],[9-1]])*spy_plat,0)</f>
        <v>500</v>
      </c>
      <c r="BS127" s="94">
        <f ca="1">ROUNDUP((1-MIN(ROUND(fh_spy_cost_red*TblMili[[#This Row],[FH''s]],4),fh_spy_cost_cap)+ tech_1_9*TblTech[[#This Row],[1-9]] + tech_9_1*TblTech[[#This Row],[9-1]])*archspy_plat,0)</f>
        <v>1000</v>
      </c>
      <c r="BT127" s="94">
        <f ca="1">ROUNDUP((1-MIN(ROUND(wg_wiz_cost_bonus*TblMili[[#This Row],[WG''s]],4),wg_wiz_cost_cap) + tech_1_9_2*TblTech[[#This Row],[1-9]] + tech_9_1_2*TblTech[[#This Row],[9-1]])*wizard_plat,0)</f>
        <v>500</v>
      </c>
      <c r="BU127" s="94">
        <f ca="1">ROUNDUP((1-MIN(ROUND(wg_wiz_cost_bonus*TblMili[[#This Row],[WG''s]],4),wg_wiz_cost_cap) + tech_1_9_2*TblTech[[#This Row],[1-9]] + tech_9_1_2*TblTech[[#This Row],[9-1]])*archmage_plat,0)</f>
        <v>1000</v>
      </c>
      <c r="BV127" s="142"/>
      <c r="BW127" s="157">
        <f ca="1">TblConstr[[#This Row],[Homeland]]/TblConstr[[#This Row],[Land]]</f>
        <v>0.81818181818181823</v>
      </c>
      <c r="BX127" s="157">
        <f ca="1">TblMili[[#This Row],[WG''s]]</f>
        <v>0</v>
      </c>
      <c r="BY127" s="251">
        <f ca="1">IF(mystic_cap="none",TblMili[[#This Row],[Homeland%]]/mystic_bonus,MIN(mystic_cap,TblMili[[#This Row],[Homeland%]]/mystic_bonus))</f>
        <v>2</v>
      </c>
      <c r="BZ127" s="251">
        <f ca="1">IF(druid_op_cap="none",TblMili[[#This Row],[Homeland%]]/druid_op_bonus,MIN(druid_op_cap,TblMili[[#This Row],[Homeland%]]/druid_op_bonus))</f>
        <v>2</v>
      </c>
      <c r="CA127" s="251">
        <f ca="1">IF(druid_dp_cap="none",TblMili[[#This Row],[Homeland%]]/druid_dp_bonus,MIN(druid_dp_cap,TblMili[[#This Row],[Homeland%]]/druid_dp_bonus))</f>
        <v>2</v>
      </c>
      <c r="CB127" s="251">
        <f ca="1">MIN(dryad_cap,TblMili[[#This Row],[Homeland%]]/dryad_bonus)</f>
        <v>4</v>
      </c>
      <c r="CC127" s="251">
        <f ca="1">MIN(rocka_cap,TblMili[[#This Row],[Homeland%]]/rocka_bonus)</f>
        <v>2</v>
      </c>
      <c r="CD127" s="251">
        <f ca="1">MIN(adept_op_cap,TblMili[[#This Row],[WG]]/adept_op_bonus)</f>
        <v>0</v>
      </c>
      <c r="CE127" s="251">
        <f ca="1">MIN(adept_dp_cap,TblMili[[#This Row],[WG]]/adept_dp_bonus)</f>
        <v>0</v>
      </c>
      <c r="CF127" s="94">
        <f ca="1">MIN(TblMili[[#This Row],[Unit 3]],TblMili[[#This Row],[Unit 2]])*2</f>
        <v>0</v>
      </c>
      <c r="CG127" s="94">
        <f ca="1">MIN(TblMili[[#This Row],[Unit 1]],TblMili[[#This Row],[Unit 4]])*2</f>
        <v>0</v>
      </c>
      <c r="CH127" s="251">
        <f ca="1">MIN(frost_mage_cap,TblMili[[#This Row],[Homeland%]]/frost_mage_bonus)</f>
        <v>3</v>
      </c>
      <c r="CI127" s="45">
        <f ca="1">MIN(ice_elem_cap,TblMili[[#This Row],[Raw (2)]]*ice_elem_bonus)</f>
        <v>0</v>
      </c>
      <c r="CJ127" s="251">
        <f t="shared" si="4"/>
        <v>0.83333333333333337</v>
      </c>
      <c r="CK127" s="251">
        <f ca="1">MIN(nox_nightshade_cap,TblConstr[[#This Row],[Homeland]]/TblConstr[[#This Row],[Land]]/nox_nightshade_swamp_bonus)</f>
        <v>4</v>
      </c>
      <c r="CL127" s="251">
        <f ca="1">MIN(TblConstr[[#This Row],[Total Swamp]]/TblConstr[[#This Row],[Land]]/abyss_enforce_bonus,abyss_enforcer_cap)</f>
        <v>0</v>
      </c>
      <c r="CM127" s="251">
        <f ca="1">IF(TblMagic[[#This Row],[Active Infernal Command]]&gt;0,TblMili[[#This Row],[Unit 1]]*infernal_cmd_op,0)</f>
        <v>0</v>
      </c>
      <c r="CN127" s="252"/>
      <c r="CO127" s="252"/>
      <c r="CP127" s="252"/>
      <c r="CQ127" s="251">
        <f ca="1">MIN(6,TblMili[[#This Row],[Mystic]]+Races!$F$19)*1.8 +  IF(TblMili[[#This Row],[Mystic]]+Races!$F$19&gt;6,(TblMili[[#This Row],[Mystic]]+Races!$F$19-6)*0.2,0) - Races!$I$19</f>
        <v>1</v>
      </c>
      <c r="CR127"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7" s="94">
        <f ca="1">TblMili[[#This Row],[Mystic bonus]]*TblMili[[#This Row],[Unit 3]]+TblMili[[#This Row],[Druid bonus]]*TblMili[[#This Row],[Unit 4]]</f>
        <v>0</v>
      </c>
      <c r="CT127" s="155">
        <f ca="1">MIN(6,TblMili[[#This Row],[Dryad]]+Races!$F$35)*1.8 +  IF(TblMili[[#This Row],[Dryad]]+Races!$F$35&gt;6,(TblMili[[#This Row],[Dryad]]+Races!$F$35-6)*0.2,0) - Races!$I$19</f>
        <v>1</v>
      </c>
      <c r="CU127" s="94">
        <f ca="1">sylvan*(TblMili[[#This Row],[Mystic bonus]]*TblMili[[#This Row],[Unit 3]])</f>
        <v>0</v>
      </c>
      <c r="CV127" s="155">
        <f ca="1">1.8 * MIN(MAX(Races!$E$27,TblMili[[#This Row],[Rockapult]]+Races!$F$27),6)  +  0.45 * MIN(MIN(Races!$E$27,TblMili[[#This Row],[Rockapult]]+Races!$F$27),6)  +  0.2 * ( MAX(Races!$E$27-6,0) + MAX(TblMili[[#This Row],[Rockapult]]+Races!$F$27-6,0) )  -  Races!$I$20</f>
        <v>3.7000000000000011</v>
      </c>
      <c r="CW127" s="94">
        <f ca="1">gnome*(TblMili[[#This Row],[Rockapult bonus]]*TblMili[[#This Row],[Unit 3]])</f>
        <v>0</v>
      </c>
      <c r="CX127"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7" s="94">
        <f ca="1">dark_elf*(TblMili[[#This Row],[Adept bonus]]*TblMili[[#This Row],[Unit 3]])</f>
        <v>0</v>
      </c>
      <c r="CZ127" s="155">
        <f ca="1">1.8 * MIN(MAX(TblMili[[#This Row],[Frost Mage]]+Races!$F$71,Races!$E$71),6)  +  0.45 * MIN(MIN(TblMili[[#This Row],[Frost Mage]]+Races!$F$71,Races!$E$71),6)  +  0.2 * ( MAX(TblMili[[#This Row],[Frost Mage]]+Races!$F$71-6,0) + MAX(Races!$E$71-6,0) )  -  Races!$I$71</f>
        <v>6.15</v>
      </c>
      <c r="DA127" s="155">
        <f ca="1">1.8 * MIN(MAX(TblMili[[#This Row],[Ice Elemental]]+Races!$E$71,Races!$F$71),6)  +  0.45 * MIN(MIN(TblMili[[#This Row],[Ice Elemental]]+Races!$E$71,Races!$F$71),6)  +  0.2 * ( MAX(TblMili[[#This Row],[Ice Elemental]]+Races!$E$71-6,0) + MAX(Races!$F$71-6,0) )  -  Races!$I$71</f>
        <v>0.75</v>
      </c>
      <c r="DB127" s="94">
        <f ca="1">TblMili[[#This Row],[Frost Mage bonus]]*TblMili[[#This Row],[Unit 3]]+TblMili[[#This Row],[Ice Elemental bonus]]*TblMili[[#This Row],[Unit 4]]</f>
        <v>0</v>
      </c>
      <c r="DC127" s="253"/>
      <c r="DD127" s="143">
        <f ca="1">MIN(SUM(TblConstr[[#This Row],[Plain]:[Water]])/TblMili[[#This Row],[Land]]/favorable_terrain_bonus/100,favorable_terrain_max)</f>
        <v>0.1</v>
      </c>
      <c r="DE127" s="253"/>
      <c r="DF127"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7" s="142"/>
      <c r="DH127" s="254">
        <f ca="1">(TblMili[[#This Row],[Wizards]]+2*TblMili[[#This Row],[Archmages]])/TblConstr[[#This Row],[Land]]</f>
        <v>0</v>
      </c>
      <c r="DI127" s="254">
        <f ca="1">TblMili[[#This Row],[Raw (2)]]*(1+race_wizard_strength+IF(TblMili[[#This Row],[Hour]]&gt;72,tech_magical_weaponry_wiz*TblTech[[#This Row],[3-5]],0))</f>
        <v>0</v>
      </c>
    </row>
    <row r="128" spans="1:113" x14ac:dyDescent="0.2">
      <c r="A128" s="137">
        <f>TblRezone[[#This Row],[Hour]]</f>
        <v>125</v>
      </c>
      <c r="B128" s="246">
        <f ca="1">SUM(TblMili[[#This Row],[Unit 1]:[Archmages]])+SUM(OFFSET(TblMili[[#This Row],[Train Unit 1]],-8,0):TblMili[[#This Row],[Train Unit 2]]) + SUM(OFFSET(TblMili[[#This Row],[Train Unit 3]],-11,0):TblMili[[#This Row],[Train AM]]) + TblMili[[#This Row],[Draftees]]</f>
        <v>786</v>
      </c>
      <c r="C128" s="157">
        <f ca="1">TblPop[[#This Row],[Military%]]</f>
        <v>0.73048327137546465</v>
      </c>
      <c r="D128" s="142"/>
      <c r="E128" s="45">
        <f ca="1">OFFSET(TblMili[[#This Row],[Unit 1]],-1,0) + OFFSET(TblMili[[#This Row],[Train Unit 1]],-9,0) - TblMili[[#This Row],[Release Unit 1]] + OFFSET(TblMili[[#This Row],[DnD_Zombies]],-12,0)</f>
        <v>0</v>
      </c>
      <c r="F128" s="45">
        <f ca="1">OFFSET(TblMili[[#This Row],[Unit 2]],-1,0) + OFFSET(TblMili[[#This Row],[Train Unit 2]],-9,0)-TblMili[[#This Row],[Release Unit 2]]</f>
        <v>0</v>
      </c>
      <c r="G128" s="45">
        <f ca="1">OFFSET(TblMili[[#This Row],[Unit 3]],-1,0) + OFFSET(TblMili[[#This Row],[Train Unit 3]],-12,0)-TblMili[[#This Row],[Release Unit 3]]</f>
        <v>0</v>
      </c>
      <c r="H128" s="45">
        <f ca="1">OFFSET(TblMili[[#This Row],[Unit 4]],-1,0) + OFFSET(TblMili[[#This Row],[Train Unit 4]],-12,0)-TblMili[[#This Row],[Release Unit 4]]</f>
        <v>0</v>
      </c>
      <c r="I128" s="45">
        <f ca="1">OFFSET(TblMili[[#This Row],[Spies]],-1,0) + OFFSET(TblMili[[#This Row],[Train Spies]],-12,0) - TblMili[[#This Row],[Release Spies]]-TblMili[[#This Row],[Train AS]]</f>
        <v>0</v>
      </c>
      <c r="J128" s="45">
        <f ca="1">OFFSET(TblMili[[#This Row],[Archspies]],-1,0) + OFFSET(TblMili[[#This Row],[Train AS]],-12,0) - TblMili[[#This Row],[Release AS]]</f>
        <v>0</v>
      </c>
      <c r="K128" s="45">
        <f ca="1">OFFSET(TblMili[[#This Row],[Wizards]],-1,0) + OFFSET(TblMili[[#This Row],[Train Wiz]],-12,0) - TblMili[[#This Row],[Release Wizards]]-TblMili[[#This Row],[Train AM]]</f>
        <v>0</v>
      </c>
      <c r="L128" s="45">
        <f ca="1">OFFSET(TblMili[[#This Row],[Archmages]],-1,0) + OFFSET(TblMili[[#This Row],[Train AM]],-12,0) - TblMili[[#This Row],[Release AM]]</f>
        <v>0</v>
      </c>
      <c r="M128" s="142"/>
      <c r="N128" s="94">
        <f ca="1">TblProd[[#This Row],[Networth]]</f>
        <v>2450</v>
      </c>
      <c r="O128" s="142"/>
      <c r="P128"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8"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8" s="247">
        <f ca="1">TblMili[[#This Row],[Raw]]*(1+TblMili[[#This Row],[Mods_Off]])</f>
        <v>0</v>
      </c>
      <c r="S128"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8" s="247">
        <f ca="1">TblMili[[#This Row],[Non Draft]]+TblMili[[#This Row],[Draftees]]</f>
        <v>786</v>
      </c>
      <c r="U128" s="248">
        <f ca="1">race_defense + TblImps[[#This Row],[Walls]] + ROUND( MIN(gt_bonus*TblConstr[[#This Row],[Tot GT]]/TblConstr[[#This Row],[Land]],gt_bonus_cap), 4) + IF(TblMagic[[#This Row],[Active Howling]]&gt;0,howling_dp_bonus,IF(TblMagic[[#This Row],[Active Ares Call]]&gt;0,ares_call_bonus))</f>
        <v>0</v>
      </c>
      <c r="V128" s="249">
        <f ca="1">TblMili[[#This Row],[Non Draft]] * (1 + TblMili[[#This Row],[Mods_Def]])</f>
        <v>0</v>
      </c>
      <c r="W128" s="247">
        <f ca="1">TblMili[[#This Row],[Draft]] * (1 + TblMili[[#This Row],[Mods_Def]])</f>
        <v>786</v>
      </c>
      <c r="X128" s="247">
        <f ca="1">TblConstr[[#This Row],[Land]]</f>
        <v>110</v>
      </c>
      <c r="Y128" s="250"/>
      <c r="Z128" s="255">
        <f ca="1">IF(TblMili[[#This Row],[Set]]&lt;&gt;"",TblMili[[#This Row],[Set]],OFFSET(TblMili[[#This Row],[Draftrate]],-1,0))</f>
        <v>0.9</v>
      </c>
      <c r="AA128" s="94">
        <f ca="1">OFFSET(TblMili[[#This Row],[Draftees]],-1,0)+OFFSET(TblPop[[#This Row],[Draft Growth]],-1,0) - SUM(TblMili[[#This Row],[Train Unit 1]:[Train Spies]],TblMili[[#This Row],[Train Wiz]],TblMili[[#This Row],[DnD_Zombies]]) - TblMili[[#This Row],[Release Draft]] + SUM(TblMili[[#This Row],[Release Unit 1]:[Release AM]]) - TblExplore[[#This Row],[Draftees (2)]]</f>
        <v>786</v>
      </c>
      <c r="AB128" s="154"/>
      <c r="AC128" s="180">
        <f ca="1">(TblConstr[[#This Row],[Tot Smi]]+TblConstr[[#This Row],[Dest Smi]])/(TblConstr[[#This Row],[Land]]-TblExplore[[#This Row],[Land Bonus]]*20)</f>
        <v>0</v>
      </c>
      <c r="AD128" s="137"/>
      <c r="AE128" s="246">
        <f>TblMili[[#This Row],[Hour]]</f>
        <v>125</v>
      </c>
      <c r="AF128" s="138">
        <f ca="1">TblExplore[[#This Row],[Time]]</f>
        <v>46052.166666666366</v>
      </c>
      <c r="AG128" s="179"/>
      <c r="AH128" s="179"/>
      <c r="AI128" s="179"/>
      <c r="AJ128" s="179"/>
      <c r="AK128" s="179"/>
      <c r="AL128" s="179"/>
      <c r="AM128" s="179"/>
      <c r="AN128" s="179"/>
      <c r="AO128" s="420">
        <f ca="1">ROUND(IF(AND(TblMagic[[#This Row],[Active DnD]]&lt;12,TblMagic[[#This Row],[Active DnD]]&gt;5),OFFSET(TblPop[[#This Row],[Draft Growth]],-1,0)*0.375,0),0)</f>
        <v>0</v>
      </c>
      <c r="AP128" s="142"/>
      <c r="AQ128" s="94">
        <f ca="1">TblProd[[#This Row],[Platinum]]</f>
        <v>222078</v>
      </c>
      <c r="AR128" s="94">
        <f ca="1">INDEX(TblProd[[#Headers],[Lumber]]:TblProd[[#This Row],[Ore]],COUNTA(TblProd[[#Headers],[Lumber]]:TblProd[[#This Row],[Lumber]]),MATCH(Military!$AR$2,TblProd[[#Headers],[Lumber]:[Ore]],0))</f>
        <v>0</v>
      </c>
      <c r="AS128"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8" s="94">
        <f ca="1">TblMili[[#This Row],[Train Unit 1]]*TblMili[[#This Row],[OP Ore]]+TblMili[[#This Row],[Train Unit 2]]*TblMili[[#This Row],[DP Ore]]+TblMili[[#This Row],[Train Unit 3]]*TblMili[[#This Row],[E1 Ore]]+TblMili[[#This Row],[Train Unit 4]]*TblMili[[#This Row],[E2 Ore]]</f>
        <v>0</v>
      </c>
      <c r="AU128" s="142">
        <f>TblMili[[#This Row],[Hour]]</f>
        <v>125</v>
      </c>
      <c r="AV128" s="152">
        <f ca="1">TblMili[[#This Row],[Time]]</f>
        <v>46052.166666666366</v>
      </c>
      <c r="AW128" s="94">
        <f ca="1">TblMili[[#This Row],[Draftees]]</f>
        <v>786</v>
      </c>
      <c r="AX128" s="179"/>
      <c r="AY128" s="179"/>
      <c r="AZ128" s="179"/>
      <c r="BA128" s="179"/>
      <c r="BB128" s="179"/>
      <c r="BC128" s="179"/>
      <c r="BD128" s="179"/>
      <c r="BE128" s="179"/>
      <c r="BF128" s="179"/>
      <c r="BG128" s="142"/>
      <c r="BH128" s="157">
        <f ca="1">TblConstr[[#This Row],[Tot WG]]/TblConstr[[#This Row],[Land]]</f>
        <v>0</v>
      </c>
      <c r="BI128" s="157">
        <f ca="1">TblConstr[[#This Row],[Tot Hav]]/TblConstr[[#This Row],[Land]]</f>
        <v>0</v>
      </c>
      <c r="BJ128" s="94">
        <f ca="1">ROUNDUP((1-MIN(TblMili[[#This Row],[Smithies]]*smithy_bonus,smithy_bonus_cap) + tech_3_5*TblTech[[#This Row],[3-5]] + tech_5_3*TblTech[[#This Row],[5-3]] + tech_5_5*TblTech[[#This Row],[5-5]])*spec_op_plat,0)</f>
        <v>275</v>
      </c>
      <c r="BK128" s="94">
        <f ca="1">ROUNDUP(IF(race="Gnome",1,(1-MIN(TblMili[[#This Row],[Smithies]]*smithy_bonus,smithy_bonus_cap) + tech_3_5*TblTech[[#This Row],[3-5]] + tech_5_3*TblTech[[#This Row],[5-3]] + tech_5_5*TblTech[[#This Row],[5-5]]))*spec_op_ore,0)</f>
        <v>25</v>
      </c>
      <c r="BL128" s="94">
        <f ca="1">ROUNDUP((1-MIN(TblMili[[#This Row],[Smithies]]*smithy_bonus,smithy_bonus_cap) + tech_3_5*TblTech[[#This Row],[3-5]] + tech_5_3*TblTech[[#This Row],[5-3]] + tech_5_5*TblTech[[#This Row],[5-5]])*spec_dp_plat,0)</f>
        <v>275</v>
      </c>
      <c r="BM128" s="94">
        <f ca="1">ROUNDUP(IF(race="Gnome",1,(1-MIN(TblMili[[#This Row],[Smithies]]*smithy_bonus,smithy_bonus_cap) + tech_3_5*TblTech[[#This Row],[3-5]] + tech_5_3*TblTech[[#This Row],[5-3]] + tech_5_5*TblTech[[#This Row],[5-5]]))*spec_dp_ore,0)</f>
        <v>15</v>
      </c>
      <c r="BN128" s="94">
        <f ca="1">ROUNDUP((1-MIN(TblMili[[#This Row],[Smithies]]*smithy_bonus,smithy_bonus_cap) + tech_3_5*TblTech[[#This Row],[3-5]] + tech_5_3*TblTech[[#This Row],[5-3]] + tech_5_5*TblTech[[#This Row],[5-5]])*elite1_plat,0)</f>
        <v>1040</v>
      </c>
      <c r="BO128" s="94">
        <f ca="1">ROUNDUP(IF(race="Gnome",1,(1-MIN(TblMili[[#This Row],[Smithies]]*smithy_bonus,smithy_bonus_cap) + tech_3_5*TblTech[[#This Row],[3-5]] + tech_5_3*TblTech[[#This Row],[5-3]] + tech_5_5*TblTech[[#This Row],[5-5]]))*elite1_ore,0)</f>
        <v>75</v>
      </c>
      <c r="BP128" s="94">
        <f ca="1">ROUNDUP((1-MIN(TblMili[[#This Row],[Smithies]]*smithy_bonus,smithy_bonus_cap) + tech_3_5*TblTech[[#This Row],[3-5]] + tech_5_3*TblTech[[#This Row],[5-3]] + tech_5_5*TblTech[[#This Row],[5-5]])*elite2_plat,0)</f>
        <v>1280</v>
      </c>
      <c r="BQ128" s="94">
        <f ca="1">ROUNDUP(IF(race="Gnome",1,(1-MIN(TblMili[[#This Row],[Smithies]]*smithy_bonus,smithy_bonus_cap) + tech_3_5*TblTech[[#This Row],[3-5]] + tech_5_3*TblTech[[#This Row],[5-3]] + tech_5_5*TblTech[[#This Row],[5-5]]))*elite2_ore,0)</f>
        <v>100</v>
      </c>
      <c r="BR128" s="94">
        <f ca="1">ROUNDUP((1-MIN(ROUND(fh_spy_cost_red*TblMili[[#This Row],[FH''s]],4),fh_spy_cost_cap)+ tech_1_9*TblTech[[#This Row],[1-9]] + tech_9_1*TblTech[[#This Row],[9-1]])*spy_plat,0)</f>
        <v>500</v>
      </c>
      <c r="BS128" s="94">
        <f ca="1">ROUNDUP((1-MIN(ROUND(fh_spy_cost_red*TblMili[[#This Row],[FH''s]],4),fh_spy_cost_cap)+ tech_1_9*TblTech[[#This Row],[1-9]] + tech_9_1*TblTech[[#This Row],[9-1]])*archspy_plat,0)</f>
        <v>1000</v>
      </c>
      <c r="BT128" s="94">
        <f ca="1">ROUNDUP((1-MIN(ROUND(wg_wiz_cost_bonus*TblMili[[#This Row],[WG''s]],4),wg_wiz_cost_cap) + tech_1_9_2*TblTech[[#This Row],[1-9]] + tech_9_1_2*TblTech[[#This Row],[9-1]])*wizard_plat,0)</f>
        <v>500</v>
      </c>
      <c r="BU128" s="94">
        <f ca="1">ROUNDUP((1-MIN(ROUND(wg_wiz_cost_bonus*TblMili[[#This Row],[WG''s]],4),wg_wiz_cost_cap) + tech_1_9_2*TblTech[[#This Row],[1-9]] + tech_9_1_2*TblTech[[#This Row],[9-1]])*archmage_plat,0)</f>
        <v>1000</v>
      </c>
      <c r="BV128" s="142"/>
      <c r="BW128" s="157">
        <f ca="1">TblConstr[[#This Row],[Homeland]]/TblConstr[[#This Row],[Land]]</f>
        <v>0.81818181818181823</v>
      </c>
      <c r="BX128" s="157">
        <f ca="1">TblMili[[#This Row],[WG''s]]</f>
        <v>0</v>
      </c>
      <c r="BY128" s="251">
        <f ca="1">IF(mystic_cap="none",TblMili[[#This Row],[Homeland%]]/mystic_bonus,MIN(mystic_cap,TblMili[[#This Row],[Homeland%]]/mystic_bonus))</f>
        <v>2</v>
      </c>
      <c r="BZ128" s="251">
        <f ca="1">IF(druid_op_cap="none",TblMili[[#This Row],[Homeland%]]/druid_op_bonus,MIN(druid_op_cap,TblMili[[#This Row],[Homeland%]]/druid_op_bonus))</f>
        <v>2</v>
      </c>
      <c r="CA128" s="251">
        <f ca="1">IF(druid_dp_cap="none",TblMili[[#This Row],[Homeland%]]/druid_dp_bonus,MIN(druid_dp_cap,TblMili[[#This Row],[Homeland%]]/druid_dp_bonus))</f>
        <v>2</v>
      </c>
      <c r="CB128" s="251">
        <f ca="1">MIN(dryad_cap,TblMili[[#This Row],[Homeland%]]/dryad_bonus)</f>
        <v>4</v>
      </c>
      <c r="CC128" s="251">
        <f ca="1">MIN(rocka_cap,TblMili[[#This Row],[Homeland%]]/rocka_bonus)</f>
        <v>2</v>
      </c>
      <c r="CD128" s="251">
        <f ca="1">MIN(adept_op_cap,TblMili[[#This Row],[WG]]/adept_op_bonus)</f>
        <v>0</v>
      </c>
      <c r="CE128" s="251">
        <f ca="1">MIN(adept_dp_cap,TblMili[[#This Row],[WG]]/adept_dp_bonus)</f>
        <v>0</v>
      </c>
      <c r="CF128" s="94">
        <f ca="1">MIN(TblMili[[#This Row],[Unit 3]],TblMili[[#This Row],[Unit 2]])*2</f>
        <v>0</v>
      </c>
      <c r="CG128" s="94">
        <f ca="1">MIN(TblMili[[#This Row],[Unit 1]],TblMili[[#This Row],[Unit 4]])*2</f>
        <v>0</v>
      </c>
      <c r="CH128" s="251">
        <f ca="1">MIN(frost_mage_cap,TblMili[[#This Row],[Homeland%]]/frost_mage_bonus)</f>
        <v>3</v>
      </c>
      <c r="CI128" s="45">
        <f ca="1">MIN(ice_elem_cap,TblMili[[#This Row],[Raw (2)]]*ice_elem_bonus)</f>
        <v>0</v>
      </c>
      <c r="CJ128" s="251">
        <f t="shared" si="4"/>
        <v>0.83333333333333337</v>
      </c>
      <c r="CK128" s="251">
        <f ca="1">MIN(nox_nightshade_cap,TblConstr[[#This Row],[Homeland]]/TblConstr[[#This Row],[Land]]/nox_nightshade_swamp_bonus)</f>
        <v>4</v>
      </c>
      <c r="CL128" s="251">
        <f ca="1">MIN(TblConstr[[#This Row],[Total Swamp]]/TblConstr[[#This Row],[Land]]/abyss_enforce_bonus,abyss_enforcer_cap)</f>
        <v>0</v>
      </c>
      <c r="CM128" s="251">
        <f ca="1">IF(TblMagic[[#This Row],[Active Infernal Command]]&gt;0,TblMili[[#This Row],[Unit 1]]*infernal_cmd_op,0)</f>
        <v>0</v>
      </c>
      <c r="CN128" s="252"/>
      <c r="CO128" s="252"/>
      <c r="CP128" s="252"/>
      <c r="CQ128" s="251">
        <f ca="1">MIN(6,TblMili[[#This Row],[Mystic]]+Races!$F$19)*1.8 +  IF(TblMili[[#This Row],[Mystic]]+Races!$F$19&gt;6,(TblMili[[#This Row],[Mystic]]+Races!$F$19-6)*0.2,0) - Races!$I$19</f>
        <v>1</v>
      </c>
      <c r="CR128"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8" s="94">
        <f ca="1">TblMili[[#This Row],[Mystic bonus]]*TblMili[[#This Row],[Unit 3]]+TblMili[[#This Row],[Druid bonus]]*TblMili[[#This Row],[Unit 4]]</f>
        <v>0</v>
      </c>
      <c r="CT128" s="155">
        <f ca="1">MIN(6,TblMili[[#This Row],[Dryad]]+Races!$F$35)*1.8 +  IF(TblMili[[#This Row],[Dryad]]+Races!$F$35&gt;6,(TblMili[[#This Row],[Dryad]]+Races!$F$35-6)*0.2,0) - Races!$I$19</f>
        <v>1</v>
      </c>
      <c r="CU128" s="94">
        <f ca="1">sylvan*(TblMili[[#This Row],[Mystic bonus]]*TblMili[[#This Row],[Unit 3]])</f>
        <v>0</v>
      </c>
      <c r="CV128" s="155">
        <f ca="1">1.8 * MIN(MAX(Races!$E$27,TblMili[[#This Row],[Rockapult]]+Races!$F$27),6)  +  0.45 * MIN(MIN(Races!$E$27,TblMili[[#This Row],[Rockapult]]+Races!$F$27),6)  +  0.2 * ( MAX(Races!$E$27-6,0) + MAX(TblMili[[#This Row],[Rockapult]]+Races!$F$27-6,0) )  -  Races!$I$20</f>
        <v>3.7000000000000011</v>
      </c>
      <c r="CW128" s="94">
        <f ca="1">gnome*(TblMili[[#This Row],[Rockapult bonus]]*TblMili[[#This Row],[Unit 3]])</f>
        <v>0</v>
      </c>
      <c r="CX128"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8" s="94">
        <f ca="1">dark_elf*(TblMili[[#This Row],[Adept bonus]]*TblMili[[#This Row],[Unit 3]])</f>
        <v>0</v>
      </c>
      <c r="CZ128" s="155">
        <f ca="1">1.8 * MIN(MAX(TblMili[[#This Row],[Frost Mage]]+Races!$F$71,Races!$E$71),6)  +  0.45 * MIN(MIN(TblMili[[#This Row],[Frost Mage]]+Races!$F$71,Races!$E$71),6)  +  0.2 * ( MAX(TblMili[[#This Row],[Frost Mage]]+Races!$F$71-6,0) + MAX(Races!$E$71-6,0) )  -  Races!$I$71</f>
        <v>6.15</v>
      </c>
      <c r="DA128" s="155">
        <f ca="1">1.8 * MIN(MAX(TblMili[[#This Row],[Ice Elemental]]+Races!$E$71,Races!$F$71),6)  +  0.45 * MIN(MIN(TblMili[[#This Row],[Ice Elemental]]+Races!$E$71,Races!$F$71),6)  +  0.2 * ( MAX(TblMili[[#This Row],[Ice Elemental]]+Races!$E$71-6,0) + MAX(Races!$F$71-6,0) )  -  Races!$I$71</f>
        <v>0.75</v>
      </c>
      <c r="DB128" s="94">
        <f ca="1">TblMili[[#This Row],[Frost Mage bonus]]*TblMili[[#This Row],[Unit 3]]+TblMili[[#This Row],[Ice Elemental bonus]]*TblMili[[#This Row],[Unit 4]]</f>
        <v>0</v>
      </c>
      <c r="DC128" s="253"/>
      <c r="DD128" s="143">
        <f ca="1">MIN(SUM(TblConstr[[#This Row],[Plain]:[Water]])/TblMili[[#This Row],[Land]]/favorable_terrain_bonus/100,favorable_terrain_max)</f>
        <v>0.1</v>
      </c>
      <c r="DE128" s="253"/>
      <c r="DF128"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8" s="142"/>
      <c r="DH128" s="254">
        <f ca="1">(TblMili[[#This Row],[Wizards]]+2*TblMili[[#This Row],[Archmages]])/TblConstr[[#This Row],[Land]]</f>
        <v>0</v>
      </c>
      <c r="DI128" s="254">
        <f ca="1">TblMili[[#This Row],[Raw (2)]]*(1+race_wizard_strength+IF(TblMili[[#This Row],[Hour]]&gt;72,tech_magical_weaponry_wiz*TblTech[[#This Row],[3-5]],0))</f>
        <v>0</v>
      </c>
    </row>
    <row r="129" spans="1:113" x14ac:dyDescent="0.2">
      <c r="A129" s="137">
        <f>TblRezone[[#This Row],[Hour]]</f>
        <v>126</v>
      </c>
      <c r="B129" s="246">
        <f ca="1">SUM(TblMili[[#This Row],[Unit 1]:[Archmages]])+SUM(OFFSET(TblMili[[#This Row],[Train Unit 1]],-8,0):TblMili[[#This Row],[Train Unit 2]]) + SUM(OFFSET(TblMili[[#This Row],[Train Unit 3]],-11,0):TblMili[[#This Row],[Train AM]]) + TblMili[[#This Row],[Draftees]]</f>
        <v>789</v>
      </c>
      <c r="C129" s="157">
        <f ca="1">TblPop[[#This Row],[Military%]]</f>
        <v>0.73327137546468402</v>
      </c>
      <c r="D129" s="142"/>
      <c r="E129" s="45">
        <f ca="1">OFFSET(TblMili[[#This Row],[Unit 1]],-1,0) + OFFSET(TblMili[[#This Row],[Train Unit 1]],-9,0) - TblMili[[#This Row],[Release Unit 1]] + OFFSET(TblMili[[#This Row],[DnD_Zombies]],-12,0)</f>
        <v>0</v>
      </c>
      <c r="F129" s="45">
        <f ca="1">OFFSET(TblMili[[#This Row],[Unit 2]],-1,0) + OFFSET(TblMili[[#This Row],[Train Unit 2]],-9,0)-TblMili[[#This Row],[Release Unit 2]]</f>
        <v>0</v>
      </c>
      <c r="G129" s="45">
        <f ca="1">OFFSET(TblMili[[#This Row],[Unit 3]],-1,0) + OFFSET(TblMili[[#This Row],[Train Unit 3]],-12,0)-TblMili[[#This Row],[Release Unit 3]]</f>
        <v>0</v>
      </c>
      <c r="H129" s="45">
        <f ca="1">OFFSET(TblMili[[#This Row],[Unit 4]],-1,0) + OFFSET(TblMili[[#This Row],[Train Unit 4]],-12,0)-TblMili[[#This Row],[Release Unit 4]]</f>
        <v>0</v>
      </c>
      <c r="I129" s="45">
        <f ca="1">OFFSET(TblMili[[#This Row],[Spies]],-1,0) + OFFSET(TblMili[[#This Row],[Train Spies]],-12,0) - TblMili[[#This Row],[Release Spies]]-TblMili[[#This Row],[Train AS]]</f>
        <v>0</v>
      </c>
      <c r="J129" s="45">
        <f ca="1">OFFSET(TblMili[[#This Row],[Archspies]],-1,0) + OFFSET(TblMili[[#This Row],[Train AS]],-12,0) - TblMili[[#This Row],[Release AS]]</f>
        <v>0</v>
      </c>
      <c r="K129" s="45">
        <f ca="1">OFFSET(TblMili[[#This Row],[Wizards]],-1,0) + OFFSET(TblMili[[#This Row],[Train Wiz]],-12,0) - TblMili[[#This Row],[Release Wizards]]-TblMili[[#This Row],[Train AM]]</f>
        <v>0</v>
      </c>
      <c r="L129" s="45">
        <f ca="1">OFFSET(TblMili[[#This Row],[Archmages]],-1,0) + OFFSET(TblMili[[#This Row],[Train AM]],-12,0) - TblMili[[#This Row],[Release AM]]</f>
        <v>0</v>
      </c>
      <c r="M129" s="142"/>
      <c r="N129" s="94">
        <f ca="1">TblProd[[#This Row],[Networth]]</f>
        <v>2450</v>
      </c>
      <c r="O129" s="142"/>
      <c r="P129"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29"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29" s="247">
        <f ca="1">TblMili[[#This Row],[Raw]]*(1+TblMili[[#This Row],[Mods_Off]])</f>
        <v>0</v>
      </c>
      <c r="S129"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29" s="247">
        <f ca="1">TblMili[[#This Row],[Non Draft]]+TblMili[[#This Row],[Draftees]]</f>
        <v>789</v>
      </c>
      <c r="U129" s="248">
        <f ca="1">race_defense + TblImps[[#This Row],[Walls]] + ROUND( MIN(gt_bonus*TblConstr[[#This Row],[Tot GT]]/TblConstr[[#This Row],[Land]],gt_bonus_cap), 4) + IF(TblMagic[[#This Row],[Active Howling]]&gt;0,howling_dp_bonus,IF(TblMagic[[#This Row],[Active Ares Call]]&gt;0,ares_call_bonus))</f>
        <v>0</v>
      </c>
      <c r="V129" s="249">
        <f ca="1">TblMili[[#This Row],[Non Draft]] * (1 + TblMili[[#This Row],[Mods_Def]])</f>
        <v>0</v>
      </c>
      <c r="W129" s="247">
        <f ca="1">TblMili[[#This Row],[Draft]] * (1 + TblMili[[#This Row],[Mods_Def]])</f>
        <v>789</v>
      </c>
      <c r="X129" s="247">
        <f ca="1">TblConstr[[#This Row],[Land]]</f>
        <v>110</v>
      </c>
      <c r="Y129" s="250"/>
      <c r="Z129" s="255">
        <f ca="1">IF(TblMili[[#This Row],[Set]]&lt;&gt;"",TblMili[[#This Row],[Set]],OFFSET(TblMili[[#This Row],[Draftrate]],-1,0))</f>
        <v>0.9</v>
      </c>
      <c r="AA129" s="94">
        <f ca="1">OFFSET(TblMili[[#This Row],[Draftees]],-1,0)+OFFSET(TblPop[[#This Row],[Draft Growth]],-1,0) - SUM(TblMili[[#This Row],[Train Unit 1]:[Train Spies]],TblMili[[#This Row],[Train Wiz]],TblMili[[#This Row],[DnD_Zombies]]) - TblMili[[#This Row],[Release Draft]] + SUM(TblMili[[#This Row],[Release Unit 1]:[Release AM]]) - TblExplore[[#This Row],[Draftees (2)]]</f>
        <v>789</v>
      </c>
      <c r="AB129" s="154"/>
      <c r="AC129" s="180">
        <f ca="1">(TblConstr[[#This Row],[Tot Smi]]+TblConstr[[#This Row],[Dest Smi]])/(TblConstr[[#This Row],[Land]]-TblExplore[[#This Row],[Land Bonus]]*20)</f>
        <v>0</v>
      </c>
      <c r="AD129" s="137"/>
      <c r="AE129" s="246">
        <f>TblMili[[#This Row],[Hour]]</f>
        <v>126</v>
      </c>
      <c r="AF129" s="138">
        <f ca="1">TblExplore[[#This Row],[Time]]</f>
        <v>46052.20833333303</v>
      </c>
      <c r="AG129" s="179"/>
      <c r="AH129" s="179"/>
      <c r="AI129" s="179"/>
      <c r="AJ129" s="179"/>
      <c r="AK129" s="179"/>
      <c r="AL129" s="179"/>
      <c r="AM129" s="179"/>
      <c r="AN129" s="179"/>
      <c r="AO129" s="420">
        <f ca="1">ROUND(IF(AND(TblMagic[[#This Row],[Active DnD]]&lt;12,TblMagic[[#This Row],[Active DnD]]&gt;5),OFFSET(TblPop[[#This Row],[Draft Growth]],-1,0)*0.375,0),0)</f>
        <v>0</v>
      </c>
      <c r="AP129" s="142"/>
      <c r="AQ129" s="94">
        <f ca="1">TblProd[[#This Row],[Platinum]]</f>
        <v>222861</v>
      </c>
      <c r="AR129" s="94">
        <f ca="1">INDEX(TblProd[[#Headers],[Lumber]]:TblProd[[#This Row],[Ore]],COUNTA(TblProd[[#Headers],[Lumber]]:TblProd[[#This Row],[Lumber]]),MATCH(Military!$AR$2,TblProd[[#Headers],[Lumber]:[Ore]],0))</f>
        <v>0</v>
      </c>
      <c r="AS129"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29" s="94">
        <f ca="1">TblMili[[#This Row],[Train Unit 1]]*TblMili[[#This Row],[OP Ore]]+TblMili[[#This Row],[Train Unit 2]]*TblMili[[#This Row],[DP Ore]]+TblMili[[#This Row],[Train Unit 3]]*TblMili[[#This Row],[E1 Ore]]+TblMili[[#This Row],[Train Unit 4]]*TblMili[[#This Row],[E2 Ore]]</f>
        <v>0</v>
      </c>
      <c r="AU129" s="142">
        <f>TblMili[[#This Row],[Hour]]</f>
        <v>126</v>
      </c>
      <c r="AV129" s="152">
        <f ca="1">TblMili[[#This Row],[Time]]</f>
        <v>46052.20833333303</v>
      </c>
      <c r="AW129" s="94">
        <f ca="1">TblMili[[#This Row],[Draftees]]</f>
        <v>789</v>
      </c>
      <c r="AX129" s="179"/>
      <c r="AY129" s="179"/>
      <c r="AZ129" s="179"/>
      <c r="BA129" s="179"/>
      <c r="BB129" s="179"/>
      <c r="BC129" s="179"/>
      <c r="BD129" s="179"/>
      <c r="BE129" s="179"/>
      <c r="BF129" s="179"/>
      <c r="BG129" s="142"/>
      <c r="BH129" s="157">
        <f ca="1">TblConstr[[#This Row],[Tot WG]]/TblConstr[[#This Row],[Land]]</f>
        <v>0</v>
      </c>
      <c r="BI129" s="157">
        <f ca="1">TblConstr[[#This Row],[Tot Hav]]/TblConstr[[#This Row],[Land]]</f>
        <v>0</v>
      </c>
      <c r="BJ129" s="94">
        <f ca="1">ROUNDUP((1-MIN(TblMili[[#This Row],[Smithies]]*smithy_bonus,smithy_bonus_cap) + tech_3_5*TblTech[[#This Row],[3-5]] + tech_5_3*TblTech[[#This Row],[5-3]] + tech_5_5*TblTech[[#This Row],[5-5]])*spec_op_plat,0)</f>
        <v>275</v>
      </c>
      <c r="BK129" s="94">
        <f ca="1">ROUNDUP(IF(race="Gnome",1,(1-MIN(TblMili[[#This Row],[Smithies]]*smithy_bonus,smithy_bonus_cap) + tech_3_5*TblTech[[#This Row],[3-5]] + tech_5_3*TblTech[[#This Row],[5-3]] + tech_5_5*TblTech[[#This Row],[5-5]]))*spec_op_ore,0)</f>
        <v>25</v>
      </c>
      <c r="BL129" s="94">
        <f ca="1">ROUNDUP((1-MIN(TblMili[[#This Row],[Smithies]]*smithy_bonus,smithy_bonus_cap) + tech_3_5*TblTech[[#This Row],[3-5]] + tech_5_3*TblTech[[#This Row],[5-3]] + tech_5_5*TblTech[[#This Row],[5-5]])*spec_dp_plat,0)</f>
        <v>275</v>
      </c>
      <c r="BM129" s="94">
        <f ca="1">ROUNDUP(IF(race="Gnome",1,(1-MIN(TblMili[[#This Row],[Smithies]]*smithy_bonus,smithy_bonus_cap) + tech_3_5*TblTech[[#This Row],[3-5]] + tech_5_3*TblTech[[#This Row],[5-3]] + tech_5_5*TblTech[[#This Row],[5-5]]))*spec_dp_ore,0)</f>
        <v>15</v>
      </c>
      <c r="BN129" s="94">
        <f ca="1">ROUNDUP((1-MIN(TblMili[[#This Row],[Smithies]]*smithy_bonus,smithy_bonus_cap) + tech_3_5*TblTech[[#This Row],[3-5]] + tech_5_3*TblTech[[#This Row],[5-3]] + tech_5_5*TblTech[[#This Row],[5-5]])*elite1_plat,0)</f>
        <v>1040</v>
      </c>
      <c r="BO129" s="94">
        <f ca="1">ROUNDUP(IF(race="Gnome",1,(1-MIN(TblMili[[#This Row],[Smithies]]*smithy_bonus,smithy_bonus_cap) + tech_3_5*TblTech[[#This Row],[3-5]] + tech_5_3*TblTech[[#This Row],[5-3]] + tech_5_5*TblTech[[#This Row],[5-5]]))*elite1_ore,0)</f>
        <v>75</v>
      </c>
      <c r="BP129" s="94">
        <f ca="1">ROUNDUP((1-MIN(TblMili[[#This Row],[Smithies]]*smithy_bonus,smithy_bonus_cap) + tech_3_5*TblTech[[#This Row],[3-5]] + tech_5_3*TblTech[[#This Row],[5-3]] + tech_5_5*TblTech[[#This Row],[5-5]])*elite2_plat,0)</f>
        <v>1280</v>
      </c>
      <c r="BQ129" s="94">
        <f ca="1">ROUNDUP(IF(race="Gnome",1,(1-MIN(TblMili[[#This Row],[Smithies]]*smithy_bonus,smithy_bonus_cap) + tech_3_5*TblTech[[#This Row],[3-5]] + tech_5_3*TblTech[[#This Row],[5-3]] + tech_5_5*TblTech[[#This Row],[5-5]]))*elite2_ore,0)</f>
        <v>100</v>
      </c>
      <c r="BR129" s="94">
        <f ca="1">ROUNDUP((1-MIN(ROUND(fh_spy_cost_red*TblMili[[#This Row],[FH''s]],4),fh_spy_cost_cap)+ tech_1_9*TblTech[[#This Row],[1-9]] + tech_9_1*TblTech[[#This Row],[9-1]])*spy_plat,0)</f>
        <v>500</v>
      </c>
      <c r="BS129" s="94">
        <f ca="1">ROUNDUP((1-MIN(ROUND(fh_spy_cost_red*TblMili[[#This Row],[FH''s]],4),fh_spy_cost_cap)+ tech_1_9*TblTech[[#This Row],[1-9]] + tech_9_1*TblTech[[#This Row],[9-1]])*archspy_plat,0)</f>
        <v>1000</v>
      </c>
      <c r="BT129" s="94">
        <f ca="1">ROUNDUP((1-MIN(ROUND(wg_wiz_cost_bonus*TblMili[[#This Row],[WG''s]],4),wg_wiz_cost_cap) + tech_1_9_2*TblTech[[#This Row],[1-9]] + tech_9_1_2*TblTech[[#This Row],[9-1]])*wizard_plat,0)</f>
        <v>500</v>
      </c>
      <c r="BU129" s="94">
        <f ca="1">ROUNDUP((1-MIN(ROUND(wg_wiz_cost_bonus*TblMili[[#This Row],[WG''s]],4),wg_wiz_cost_cap) + tech_1_9_2*TblTech[[#This Row],[1-9]] + tech_9_1_2*TblTech[[#This Row],[9-1]])*archmage_plat,0)</f>
        <v>1000</v>
      </c>
      <c r="BV129" s="142"/>
      <c r="BW129" s="157">
        <f ca="1">TblConstr[[#This Row],[Homeland]]/TblConstr[[#This Row],[Land]]</f>
        <v>0.81818181818181823</v>
      </c>
      <c r="BX129" s="157">
        <f ca="1">TblMili[[#This Row],[WG''s]]</f>
        <v>0</v>
      </c>
      <c r="BY129" s="251">
        <f ca="1">IF(mystic_cap="none",TblMili[[#This Row],[Homeland%]]/mystic_bonus,MIN(mystic_cap,TblMili[[#This Row],[Homeland%]]/mystic_bonus))</f>
        <v>2</v>
      </c>
      <c r="BZ129" s="251">
        <f ca="1">IF(druid_op_cap="none",TblMili[[#This Row],[Homeland%]]/druid_op_bonus,MIN(druid_op_cap,TblMili[[#This Row],[Homeland%]]/druid_op_bonus))</f>
        <v>2</v>
      </c>
      <c r="CA129" s="251">
        <f ca="1">IF(druid_dp_cap="none",TblMili[[#This Row],[Homeland%]]/druid_dp_bonus,MIN(druid_dp_cap,TblMili[[#This Row],[Homeland%]]/druid_dp_bonus))</f>
        <v>2</v>
      </c>
      <c r="CB129" s="251">
        <f ca="1">MIN(dryad_cap,TblMili[[#This Row],[Homeland%]]/dryad_bonus)</f>
        <v>4</v>
      </c>
      <c r="CC129" s="251">
        <f ca="1">MIN(rocka_cap,TblMili[[#This Row],[Homeland%]]/rocka_bonus)</f>
        <v>2</v>
      </c>
      <c r="CD129" s="251">
        <f ca="1">MIN(adept_op_cap,TblMili[[#This Row],[WG]]/adept_op_bonus)</f>
        <v>0</v>
      </c>
      <c r="CE129" s="251">
        <f ca="1">MIN(adept_dp_cap,TblMili[[#This Row],[WG]]/adept_dp_bonus)</f>
        <v>0</v>
      </c>
      <c r="CF129" s="94">
        <f ca="1">MIN(TblMili[[#This Row],[Unit 3]],TblMili[[#This Row],[Unit 2]])*2</f>
        <v>0</v>
      </c>
      <c r="CG129" s="94">
        <f ca="1">MIN(TblMili[[#This Row],[Unit 1]],TblMili[[#This Row],[Unit 4]])*2</f>
        <v>0</v>
      </c>
      <c r="CH129" s="251">
        <f ca="1">MIN(frost_mage_cap,TblMili[[#This Row],[Homeland%]]/frost_mage_bonus)</f>
        <v>3</v>
      </c>
      <c r="CI129" s="45">
        <f ca="1">MIN(ice_elem_cap,TblMili[[#This Row],[Raw (2)]]*ice_elem_bonus)</f>
        <v>0</v>
      </c>
      <c r="CJ129" s="251">
        <f t="shared" si="4"/>
        <v>0.83333333333333337</v>
      </c>
      <c r="CK129" s="251">
        <f ca="1">MIN(nox_nightshade_cap,TblConstr[[#This Row],[Homeland]]/TblConstr[[#This Row],[Land]]/nox_nightshade_swamp_bonus)</f>
        <v>4</v>
      </c>
      <c r="CL129" s="251">
        <f ca="1">MIN(TblConstr[[#This Row],[Total Swamp]]/TblConstr[[#This Row],[Land]]/abyss_enforce_bonus,abyss_enforcer_cap)</f>
        <v>0</v>
      </c>
      <c r="CM129" s="251">
        <f ca="1">IF(TblMagic[[#This Row],[Active Infernal Command]]&gt;0,TblMili[[#This Row],[Unit 1]]*infernal_cmd_op,0)</f>
        <v>0</v>
      </c>
      <c r="CN129" s="252"/>
      <c r="CO129" s="252"/>
      <c r="CP129" s="252"/>
      <c r="CQ129" s="251">
        <f ca="1">MIN(6,TblMili[[#This Row],[Mystic]]+Races!$F$19)*1.8 +  IF(TblMili[[#This Row],[Mystic]]+Races!$F$19&gt;6,(TblMili[[#This Row],[Mystic]]+Races!$F$19-6)*0.2,0) - Races!$I$19</f>
        <v>1</v>
      </c>
      <c r="CR129"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29" s="94">
        <f ca="1">TblMili[[#This Row],[Mystic bonus]]*TblMili[[#This Row],[Unit 3]]+TblMili[[#This Row],[Druid bonus]]*TblMili[[#This Row],[Unit 4]]</f>
        <v>0</v>
      </c>
      <c r="CT129" s="155">
        <f ca="1">MIN(6,TblMili[[#This Row],[Dryad]]+Races!$F$35)*1.8 +  IF(TblMili[[#This Row],[Dryad]]+Races!$F$35&gt;6,(TblMili[[#This Row],[Dryad]]+Races!$F$35-6)*0.2,0) - Races!$I$19</f>
        <v>1</v>
      </c>
      <c r="CU129" s="94">
        <f ca="1">sylvan*(TblMili[[#This Row],[Mystic bonus]]*TblMili[[#This Row],[Unit 3]])</f>
        <v>0</v>
      </c>
      <c r="CV129" s="155">
        <f ca="1">1.8 * MIN(MAX(Races!$E$27,TblMili[[#This Row],[Rockapult]]+Races!$F$27),6)  +  0.45 * MIN(MIN(Races!$E$27,TblMili[[#This Row],[Rockapult]]+Races!$F$27),6)  +  0.2 * ( MAX(Races!$E$27-6,0) + MAX(TblMili[[#This Row],[Rockapult]]+Races!$F$27-6,0) )  -  Races!$I$20</f>
        <v>3.7000000000000011</v>
      </c>
      <c r="CW129" s="94">
        <f ca="1">gnome*(TblMili[[#This Row],[Rockapult bonus]]*TblMili[[#This Row],[Unit 3]])</f>
        <v>0</v>
      </c>
      <c r="CX129"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29" s="94">
        <f ca="1">dark_elf*(TblMili[[#This Row],[Adept bonus]]*TblMili[[#This Row],[Unit 3]])</f>
        <v>0</v>
      </c>
      <c r="CZ129" s="155">
        <f ca="1">1.8 * MIN(MAX(TblMili[[#This Row],[Frost Mage]]+Races!$F$71,Races!$E$71),6)  +  0.45 * MIN(MIN(TblMili[[#This Row],[Frost Mage]]+Races!$F$71,Races!$E$71),6)  +  0.2 * ( MAX(TblMili[[#This Row],[Frost Mage]]+Races!$F$71-6,0) + MAX(Races!$E$71-6,0) )  -  Races!$I$71</f>
        <v>6.15</v>
      </c>
      <c r="DA129" s="155">
        <f ca="1">1.8 * MIN(MAX(TblMili[[#This Row],[Ice Elemental]]+Races!$E$71,Races!$F$71),6)  +  0.45 * MIN(MIN(TblMili[[#This Row],[Ice Elemental]]+Races!$E$71,Races!$F$71),6)  +  0.2 * ( MAX(TblMili[[#This Row],[Ice Elemental]]+Races!$E$71-6,0) + MAX(Races!$F$71-6,0) )  -  Races!$I$71</f>
        <v>0.75</v>
      </c>
      <c r="DB129" s="94">
        <f ca="1">TblMili[[#This Row],[Frost Mage bonus]]*TblMili[[#This Row],[Unit 3]]+TblMili[[#This Row],[Ice Elemental bonus]]*TblMili[[#This Row],[Unit 4]]</f>
        <v>0</v>
      </c>
      <c r="DC129" s="253"/>
      <c r="DD129" s="143">
        <f ca="1">MIN(SUM(TblConstr[[#This Row],[Plain]:[Water]])/TblMili[[#This Row],[Land]]/favorable_terrain_bonus/100,favorable_terrain_max)</f>
        <v>0.1</v>
      </c>
      <c r="DE129" s="253"/>
      <c r="DF129"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29" s="142"/>
      <c r="DH129" s="254">
        <f ca="1">(TblMili[[#This Row],[Wizards]]+2*TblMili[[#This Row],[Archmages]])/TblConstr[[#This Row],[Land]]</f>
        <v>0</v>
      </c>
      <c r="DI129" s="254">
        <f ca="1">TblMili[[#This Row],[Raw (2)]]*(1+race_wizard_strength+IF(TblMili[[#This Row],[Hour]]&gt;72,tech_magical_weaponry_wiz*TblTech[[#This Row],[3-5]],0))</f>
        <v>0</v>
      </c>
    </row>
    <row r="130" spans="1:113" x14ac:dyDescent="0.2">
      <c r="A130" s="137">
        <f>TblRezone[[#This Row],[Hour]]</f>
        <v>127</v>
      </c>
      <c r="B130" s="246">
        <f ca="1">SUM(TblMili[[#This Row],[Unit 1]:[Archmages]])+SUM(OFFSET(TblMili[[#This Row],[Train Unit 1]],-8,0):TblMili[[#This Row],[Train Unit 2]]) + SUM(OFFSET(TblMili[[#This Row],[Train Unit 3]],-11,0):TblMili[[#This Row],[Train AM]]) + TblMili[[#This Row],[Draftees]]</f>
        <v>792</v>
      </c>
      <c r="C130" s="157">
        <f ca="1">TblPop[[#This Row],[Military%]]</f>
        <v>0.73605947955390338</v>
      </c>
      <c r="D130" s="142"/>
      <c r="E130" s="45">
        <f ca="1">OFFSET(TblMili[[#This Row],[Unit 1]],-1,0) + OFFSET(TblMili[[#This Row],[Train Unit 1]],-9,0) - TblMili[[#This Row],[Release Unit 1]] + OFFSET(TblMili[[#This Row],[DnD_Zombies]],-12,0)</f>
        <v>0</v>
      </c>
      <c r="F130" s="45">
        <f ca="1">OFFSET(TblMili[[#This Row],[Unit 2]],-1,0) + OFFSET(TblMili[[#This Row],[Train Unit 2]],-9,0)-TblMili[[#This Row],[Release Unit 2]]</f>
        <v>0</v>
      </c>
      <c r="G130" s="45">
        <f ca="1">OFFSET(TblMili[[#This Row],[Unit 3]],-1,0) + OFFSET(TblMili[[#This Row],[Train Unit 3]],-12,0)-TblMili[[#This Row],[Release Unit 3]]</f>
        <v>0</v>
      </c>
      <c r="H130" s="45">
        <f ca="1">OFFSET(TblMili[[#This Row],[Unit 4]],-1,0) + OFFSET(TblMili[[#This Row],[Train Unit 4]],-12,0)-TblMili[[#This Row],[Release Unit 4]]</f>
        <v>0</v>
      </c>
      <c r="I130" s="45">
        <f ca="1">OFFSET(TblMili[[#This Row],[Spies]],-1,0) + OFFSET(TblMili[[#This Row],[Train Spies]],-12,0) - TblMili[[#This Row],[Release Spies]]-TblMili[[#This Row],[Train AS]]</f>
        <v>0</v>
      </c>
      <c r="J130" s="45">
        <f ca="1">OFFSET(TblMili[[#This Row],[Archspies]],-1,0) + OFFSET(TblMili[[#This Row],[Train AS]],-12,0) - TblMili[[#This Row],[Release AS]]</f>
        <v>0</v>
      </c>
      <c r="K130" s="45">
        <f ca="1">OFFSET(TblMili[[#This Row],[Wizards]],-1,0) + OFFSET(TblMili[[#This Row],[Train Wiz]],-12,0) - TblMili[[#This Row],[Release Wizards]]-TblMili[[#This Row],[Train AM]]</f>
        <v>0</v>
      </c>
      <c r="L130" s="45">
        <f ca="1">OFFSET(TblMili[[#This Row],[Archmages]],-1,0) + OFFSET(TblMili[[#This Row],[Train AM]],-12,0) - TblMili[[#This Row],[Release AM]]</f>
        <v>0</v>
      </c>
      <c r="M130" s="142"/>
      <c r="N130" s="94">
        <f ca="1">TblProd[[#This Row],[Networth]]</f>
        <v>2450</v>
      </c>
      <c r="O130" s="142"/>
      <c r="P130"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0"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0" s="247">
        <f ca="1">TblMili[[#This Row],[Raw]]*(1+TblMili[[#This Row],[Mods_Off]])</f>
        <v>0</v>
      </c>
      <c r="S130"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0" s="247">
        <f ca="1">TblMili[[#This Row],[Non Draft]]+TblMili[[#This Row],[Draftees]]</f>
        <v>792</v>
      </c>
      <c r="U130" s="248">
        <f ca="1">race_defense + TblImps[[#This Row],[Walls]] + ROUND( MIN(gt_bonus*TblConstr[[#This Row],[Tot GT]]/TblConstr[[#This Row],[Land]],gt_bonus_cap), 4) + IF(TblMagic[[#This Row],[Active Howling]]&gt;0,howling_dp_bonus,IF(TblMagic[[#This Row],[Active Ares Call]]&gt;0,ares_call_bonus))</f>
        <v>0</v>
      </c>
      <c r="V130" s="249">
        <f ca="1">TblMili[[#This Row],[Non Draft]] * (1 + TblMili[[#This Row],[Mods_Def]])</f>
        <v>0</v>
      </c>
      <c r="W130" s="247">
        <f ca="1">TblMili[[#This Row],[Draft]] * (1 + TblMili[[#This Row],[Mods_Def]])</f>
        <v>792</v>
      </c>
      <c r="X130" s="247">
        <f ca="1">TblConstr[[#This Row],[Land]]</f>
        <v>110</v>
      </c>
      <c r="Y130" s="250"/>
      <c r="Z130" s="255">
        <f ca="1">IF(TblMili[[#This Row],[Set]]&lt;&gt;"",TblMili[[#This Row],[Set]],OFFSET(TblMili[[#This Row],[Draftrate]],-1,0))</f>
        <v>0.9</v>
      </c>
      <c r="AA130" s="94">
        <f ca="1">OFFSET(TblMili[[#This Row],[Draftees]],-1,0)+OFFSET(TblPop[[#This Row],[Draft Growth]],-1,0) - SUM(TblMili[[#This Row],[Train Unit 1]:[Train Spies]],TblMili[[#This Row],[Train Wiz]],TblMili[[#This Row],[DnD_Zombies]]) - TblMili[[#This Row],[Release Draft]] + SUM(TblMili[[#This Row],[Release Unit 1]:[Release AM]]) - TblExplore[[#This Row],[Draftees (2)]]</f>
        <v>792</v>
      </c>
      <c r="AB130" s="154"/>
      <c r="AC130" s="180">
        <f ca="1">(TblConstr[[#This Row],[Tot Smi]]+TblConstr[[#This Row],[Dest Smi]])/(TblConstr[[#This Row],[Land]]-TblExplore[[#This Row],[Land Bonus]]*20)</f>
        <v>0</v>
      </c>
      <c r="AD130" s="137"/>
      <c r="AE130" s="246">
        <f>TblMili[[#This Row],[Hour]]</f>
        <v>127</v>
      </c>
      <c r="AF130" s="138">
        <f ca="1">TblExplore[[#This Row],[Time]]</f>
        <v>46052.249999999694</v>
      </c>
      <c r="AG130" s="179"/>
      <c r="AH130" s="179"/>
      <c r="AI130" s="179"/>
      <c r="AJ130" s="179"/>
      <c r="AK130" s="179"/>
      <c r="AL130" s="179"/>
      <c r="AM130" s="179"/>
      <c r="AN130" s="179"/>
      <c r="AO130" s="420">
        <f ca="1">ROUND(IF(AND(TblMagic[[#This Row],[Active DnD]]&lt;12,TblMagic[[#This Row],[Active DnD]]&gt;5),OFFSET(TblPop[[#This Row],[Draft Growth]],-1,0)*0.375,0),0)</f>
        <v>0</v>
      </c>
      <c r="AP130" s="142"/>
      <c r="AQ130" s="94">
        <f ca="1">TblProd[[#This Row],[Platinum]]</f>
        <v>223635</v>
      </c>
      <c r="AR130" s="94">
        <f ca="1">INDEX(TblProd[[#Headers],[Lumber]]:TblProd[[#This Row],[Ore]],COUNTA(TblProd[[#Headers],[Lumber]]:TblProd[[#This Row],[Lumber]]),MATCH(Military!$AR$2,TblProd[[#Headers],[Lumber]:[Ore]],0))</f>
        <v>0</v>
      </c>
      <c r="AS130"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0" s="94">
        <f ca="1">TblMili[[#This Row],[Train Unit 1]]*TblMili[[#This Row],[OP Ore]]+TblMili[[#This Row],[Train Unit 2]]*TblMili[[#This Row],[DP Ore]]+TblMili[[#This Row],[Train Unit 3]]*TblMili[[#This Row],[E1 Ore]]+TblMili[[#This Row],[Train Unit 4]]*TblMili[[#This Row],[E2 Ore]]</f>
        <v>0</v>
      </c>
      <c r="AU130" s="142">
        <f>TblMili[[#This Row],[Hour]]</f>
        <v>127</v>
      </c>
      <c r="AV130" s="152">
        <f ca="1">TblMili[[#This Row],[Time]]</f>
        <v>46052.249999999694</v>
      </c>
      <c r="AW130" s="94">
        <f ca="1">TblMili[[#This Row],[Draftees]]</f>
        <v>792</v>
      </c>
      <c r="AX130" s="179"/>
      <c r="AY130" s="179"/>
      <c r="AZ130" s="179"/>
      <c r="BA130" s="179"/>
      <c r="BB130" s="179"/>
      <c r="BC130" s="179"/>
      <c r="BD130" s="179"/>
      <c r="BE130" s="179"/>
      <c r="BF130" s="179"/>
      <c r="BG130" s="142"/>
      <c r="BH130" s="157">
        <f ca="1">TblConstr[[#This Row],[Tot WG]]/TblConstr[[#This Row],[Land]]</f>
        <v>0</v>
      </c>
      <c r="BI130" s="157">
        <f ca="1">TblConstr[[#This Row],[Tot Hav]]/TblConstr[[#This Row],[Land]]</f>
        <v>0</v>
      </c>
      <c r="BJ130" s="94">
        <f ca="1">ROUNDUP((1-MIN(TblMili[[#This Row],[Smithies]]*smithy_bonus,smithy_bonus_cap) + tech_3_5*TblTech[[#This Row],[3-5]] + tech_5_3*TblTech[[#This Row],[5-3]] + tech_5_5*TblTech[[#This Row],[5-5]])*spec_op_plat,0)</f>
        <v>275</v>
      </c>
      <c r="BK130" s="94">
        <f ca="1">ROUNDUP(IF(race="Gnome",1,(1-MIN(TblMili[[#This Row],[Smithies]]*smithy_bonus,smithy_bonus_cap) + tech_3_5*TblTech[[#This Row],[3-5]] + tech_5_3*TblTech[[#This Row],[5-3]] + tech_5_5*TblTech[[#This Row],[5-5]]))*spec_op_ore,0)</f>
        <v>25</v>
      </c>
      <c r="BL130" s="94">
        <f ca="1">ROUNDUP((1-MIN(TblMili[[#This Row],[Smithies]]*smithy_bonus,smithy_bonus_cap) + tech_3_5*TblTech[[#This Row],[3-5]] + tech_5_3*TblTech[[#This Row],[5-3]] + tech_5_5*TblTech[[#This Row],[5-5]])*spec_dp_plat,0)</f>
        <v>275</v>
      </c>
      <c r="BM130" s="94">
        <f ca="1">ROUNDUP(IF(race="Gnome",1,(1-MIN(TblMili[[#This Row],[Smithies]]*smithy_bonus,smithy_bonus_cap) + tech_3_5*TblTech[[#This Row],[3-5]] + tech_5_3*TblTech[[#This Row],[5-3]] + tech_5_5*TblTech[[#This Row],[5-5]]))*spec_dp_ore,0)</f>
        <v>15</v>
      </c>
      <c r="BN130" s="94">
        <f ca="1">ROUNDUP((1-MIN(TblMili[[#This Row],[Smithies]]*smithy_bonus,smithy_bonus_cap) + tech_3_5*TblTech[[#This Row],[3-5]] + tech_5_3*TblTech[[#This Row],[5-3]] + tech_5_5*TblTech[[#This Row],[5-5]])*elite1_plat,0)</f>
        <v>1040</v>
      </c>
      <c r="BO130" s="94">
        <f ca="1">ROUNDUP(IF(race="Gnome",1,(1-MIN(TblMili[[#This Row],[Smithies]]*smithy_bonus,smithy_bonus_cap) + tech_3_5*TblTech[[#This Row],[3-5]] + tech_5_3*TblTech[[#This Row],[5-3]] + tech_5_5*TblTech[[#This Row],[5-5]]))*elite1_ore,0)</f>
        <v>75</v>
      </c>
      <c r="BP130" s="94">
        <f ca="1">ROUNDUP((1-MIN(TblMili[[#This Row],[Smithies]]*smithy_bonus,smithy_bonus_cap) + tech_3_5*TblTech[[#This Row],[3-5]] + tech_5_3*TblTech[[#This Row],[5-3]] + tech_5_5*TblTech[[#This Row],[5-5]])*elite2_plat,0)</f>
        <v>1280</v>
      </c>
      <c r="BQ130" s="94">
        <f ca="1">ROUNDUP(IF(race="Gnome",1,(1-MIN(TblMili[[#This Row],[Smithies]]*smithy_bonus,smithy_bonus_cap) + tech_3_5*TblTech[[#This Row],[3-5]] + tech_5_3*TblTech[[#This Row],[5-3]] + tech_5_5*TblTech[[#This Row],[5-5]]))*elite2_ore,0)</f>
        <v>100</v>
      </c>
      <c r="BR130" s="94">
        <f ca="1">ROUNDUP((1-MIN(ROUND(fh_spy_cost_red*TblMili[[#This Row],[FH''s]],4),fh_spy_cost_cap)+ tech_1_9*TblTech[[#This Row],[1-9]] + tech_9_1*TblTech[[#This Row],[9-1]])*spy_plat,0)</f>
        <v>500</v>
      </c>
      <c r="BS130" s="94">
        <f ca="1">ROUNDUP((1-MIN(ROUND(fh_spy_cost_red*TblMili[[#This Row],[FH''s]],4),fh_spy_cost_cap)+ tech_1_9*TblTech[[#This Row],[1-9]] + tech_9_1*TblTech[[#This Row],[9-1]])*archspy_plat,0)</f>
        <v>1000</v>
      </c>
      <c r="BT130" s="94">
        <f ca="1">ROUNDUP((1-MIN(ROUND(wg_wiz_cost_bonus*TblMili[[#This Row],[WG''s]],4),wg_wiz_cost_cap) + tech_1_9_2*TblTech[[#This Row],[1-9]] + tech_9_1_2*TblTech[[#This Row],[9-1]])*wizard_plat,0)</f>
        <v>500</v>
      </c>
      <c r="BU130" s="94">
        <f ca="1">ROUNDUP((1-MIN(ROUND(wg_wiz_cost_bonus*TblMili[[#This Row],[WG''s]],4),wg_wiz_cost_cap) + tech_1_9_2*TblTech[[#This Row],[1-9]] + tech_9_1_2*TblTech[[#This Row],[9-1]])*archmage_plat,0)</f>
        <v>1000</v>
      </c>
      <c r="BV130" s="142"/>
      <c r="BW130" s="157">
        <f ca="1">TblConstr[[#This Row],[Homeland]]/TblConstr[[#This Row],[Land]]</f>
        <v>0.81818181818181823</v>
      </c>
      <c r="BX130" s="157">
        <f ca="1">TblMili[[#This Row],[WG''s]]</f>
        <v>0</v>
      </c>
      <c r="BY130" s="251">
        <f ca="1">IF(mystic_cap="none",TblMili[[#This Row],[Homeland%]]/mystic_bonus,MIN(mystic_cap,TblMili[[#This Row],[Homeland%]]/mystic_bonus))</f>
        <v>2</v>
      </c>
      <c r="BZ130" s="251">
        <f ca="1">IF(druid_op_cap="none",TblMili[[#This Row],[Homeland%]]/druid_op_bonus,MIN(druid_op_cap,TblMili[[#This Row],[Homeland%]]/druid_op_bonus))</f>
        <v>2</v>
      </c>
      <c r="CA130" s="251">
        <f ca="1">IF(druid_dp_cap="none",TblMili[[#This Row],[Homeland%]]/druid_dp_bonus,MIN(druid_dp_cap,TblMili[[#This Row],[Homeland%]]/druid_dp_bonus))</f>
        <v>2</v>
      </c>
      <c r="CB130" s="251">
        <f ca="1">MIN(dryad_cap,TblMili[[#This Row],[Homeland%]]/dryad_bonus)</f>
        <v>4</v>
      </c>
      <c r="CC130" s="251">
        <f ca="1">MIN(rocka_cap,TblMili[[#This Row],[Homeland%]]/rocka_bonus)</f>
        <v>2</v>
      </c>
      <c r="CD130" s="251">
        <f ca="1">MIN(adept_op_cap,TblMili[[#This Row],[WG]]/adept_op_bonus)</f>
        <v>0</v>
      </c>
      <c r="CE130" s="251">
        <f ca="1">MIN(adept_dp_cap,TblMili[[#This Row],[WG]]/adept_dp_bonus)</f>
        <v>0</v>
      </c>
      <c r="CF130" s="94">
        <f ca="1">MIN(TblMili[[#This Row],[Unit 3]],TblMili[[#This Row],[Unit 2]])*2</f>
        <v>0</v>
      </c>
      <c r="CG130" s="94">
        <f ca="1">MIN(TblMili[[#This Row],[Unit 1]],TblMili[[#This Row],[Unit 4]])*2</f>
        <v>0</v>
      </c>
      <c r="CH130" s="251">
        <f ca="1">MIN(frost_mage_cap,TblMili[[#This Row],[Homeland%]]/frost_mage_bonus)</f>
        <v>3</v>
      </c>
      <c r="CI130" s="45">
        <f ca="1">MIN(ice_elem_cap,TblMili[[#This Row],[Raw (2)]]*ice_elem_bonus)</f>
        <v>0</v>
      </c>
      <c r="CJ130" s="251">
        <f t="shared" si="4"/>
        <v>0.83333333333333337</v>
      </c>
      <c r="CK130" s="251">
        <f ca="1">MIN(nox_nightshade_cap,TblConstr[[#This Row],[Homeland]]/TblConstr[[#This Row],[Land]]/nox_nightshade_swamp_bonus)</f>
        <v>4</v>
      </c>
      <c r="CL130" s="251">
        <f ca="1">MIN(TblConstr[[#This Row],[Total Swamp]]/TblConstr[[#This Row],[Land]]/abyss_enforce_bonus,abyss_enforcer_cap)</f>
        <v>0</v>
      </c>
      <c r="CM130" s="251">
        <f ca="1">IF(TblMagic[[#This Row],[Active Infernal Command]]&gt;0,TblMili[[#This Row],[Unit 1]]*infernal_cmd_op,0)</f>
        <v>0</v>
      </c>
      <c r="CN130" s="252"/>
      <c r="CO130" s="252"/>
      <c r="CP130" s="252"/>
      <c r="CQ130" s="251">
        <f ca="1">MIN(6,TblMili[[#This Row],[Mystic]]+Races!$F$19)*1.8 +  IF(TblMili[[#This Row],[Mystic]]+Races!$F$19&gt;6,(TblMili[[#This Row],[Mystic]]+Races!$F$19-6)*0.2,0) - Races!$I$19</f>
        <v>1</v>
      </c>
      <c r="CR130"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0" s="94">
        <f ca="1">TblMili[[#This Row],[Mystic bonus]]*TblMili[[#This Row],[Unit 3]]+TblMili[[#This Row],[Druid bonus]]*TblMili[[#This Row],[Unit 4]]</f>
        <v>0</v>
      </c>
      <c r="CT130" s="155">
        <f ca="1">MIN(6,TblMili[[#This Row],[Dryad]]+Races!$F$35)*1.8 +  IF(TblMili[[#This Row],[Dryad]]+Races!$F$35&gt;6,(TblMili[[#This Row],[Dryad]]+Races!$F$35-6)*0.2,0) - Races!$I$19</f>
        <v>1</v>
      </c>
      <c r="CU130" s="94">
        <f ca="1">sylvan*(TblMili[[#This Row],[Mystic bonus]]*TblMili[[#This Row],[Unit 3]])</f>
        <v>0</v>
      </c>
      <c r="CV130" s="155">
        <f ca="1">1.8 * MIN(MAX(Races!$E$27,TblMili[[#This Row],[Rockapult]]+Races!$F$27),6)  +  0.45 * MIN(MIN(Races!$E$27,TblMili[[#This Row],[Rockapult]]+Races!$F$27),6)  +  0.2 * ( MAX(Races!$E$27-6,0) + MAX(TblMili[[#This Row],[Rockapult]]+Races!$F$27-6,0) )  -  Races!$I$20</f>
        <v>3.7000000000000011</v>
      </c>
      <c r="CW130" s="94">
        <f ca="1">gnome*(TblMili[[#This Row],[Rockapult bonus]]*TblMili[[#This Row],[Unit 3]])</f>
        <v>0</v>
      </c>
      <c r="CX130"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0" s="94">
        <f ca="1">dark_elf*(TblMili[[#This Row],[Adept bonus]]*TblMili[[#This Row],[Unit 3]])</f>
        <v>0</v>
      </c>
      <c r="CZ130" s="155">
        <f ca="1">1.8 * MIN(MAX(TblMili[[#This Row],[Frost Mage]]+Races!$F$71,Races!$E$71),6)  +  0.45 * MIN(MIN(TblMili[[#This Row],[Frost Mage]]+Races!$F$71,Races!$E$71),6)  +  0.2 * ( MAX(TblMili[[#This Row],[Frost Mage]]+Races!$F$71-6,0) + MAX(Races!$E$71-6,0) )  -  Races!$I$71</f>
        <v>6.15</v>
      </c>
      <c r="DA130" s="155">
        <f ca="1">1.8 * MIN(MAX(TblMili[[#This Row],[Ice Elemental]]+Races!$E$71,Races!$F$71),6)  +  0.45 * MIN(MIN(TblMili[[#This Row],[Ice Elemental]]+Races!$E$71,Races!$F$71),6)  +  0.2 * ( MAX(TblMili[[#This Row],[Ice Elemental]]+Races!$E$71-6,0) + MAX(Races!$F$71-6,0) )  -  Races!$I$71</f>
        <v>0.75</v>
      </c>
      <c r="DB130" s="94">
        <f ca="1">TblMili[[#This Row],[Frost Mage bonus]]*TblMili[[#This Row],[Unit 3]]+TblMili[[#This Row],[Ice Elemental bonus]]*TblMili[[#This Row],[Unit 4]]</f>
        <v>0</v>
      </c>
      <c r="DC130" s="253"/>
      <c r="DD130" s="143">
        <f ca="1">MIN(SUM(TblConstr[[#This Row],[Plain]:[Water]])/TblMili[[#This Row],[Land]]/favorable_terrain_bonus/100,favorable_terrain_max)</f>
        <v>0.1</v>
      </c>
      <c r="DE130" s="253"/>
      <c r="DF130"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0" s="142"/>
      <c r="DH130" s="254">
        <f ca="1">(TblMili[[#This Row],[Wizards]]+2*TblMili[[#This Row],[Archmages]])/TblConstr[[#This Row],[Land]]</f>
        <v>0</v>
      </c>
      <c r="DI130" s="254">
        <f ca="1">TblMili[[#This Row],[Raw (2)]]*(1+race_wizard_strength+IF(TblMili[[#This Row],[Hour]]&gt;72,tech_magical_weaponry_wiz*TblTech[[#This Row],[3-5]],0))</f>
        <v>0</v>
      </c>
    </row>
    <row r="131" spans="1:113" x14ac:dyDescent="0.2">
      <c r="A131" s="137">
        <f>TblRezone[[#This Row],[Hour]]</f>
        <v>128</v>
      </c>
      <c r="B131" s="246">
        <f ca="1">SUM(TblMili[[#This Row],[Unit 1]:[Archmages]])+SUM(OFFSET(TblMili[[#This Row],[Train Unit 1]],-8,0):TblMili[[#This Row],[Train Unit 2]]) + SUM(OFFSET(TblMili[[#This Row],[Train Unit 3]],-11,0):TblMili[[#This Row],[Train AM]]) + TblMili[[#This Row],[Draftees]]</f>
        <v>795</v>
      </c>
      <c r="C131" s="157">
        <f ca="1">TblPop[[#This Row],[Military%]]</f>
        <v>0.73884758364312264</v>
      </c>
      <c r="D131" s="142"/>
      <c r="E131" s="45">
        <f ca="1">OFFSET(TblMili[[#This Row],[Unit 1]],-1,0) + OFFSET(TblMili[[#This Row],[Train Unit 1]],-9,0) - TblMili[[#This Row],[Release Unit 1]] + OFFSET(TblMili[[#This Row],[DnD_Zombies]],-12,0)</f>
        <v>0</v>
      </c>
      <c r="F131" s="45">
        <f ca="1">OFFSET(TblMili[[#This Row],[Unit 2]],-1,0) + OFFSET(TblMili[[#This Row],[Train Unit 2]],-9,0)-TblMili[[#This Row],[Release Unit 2]]</f>
        <v>0</v>
      </c>
      <c r="G131" s="45">
        <f ca="1">OFFSET(TblMili[[#This Row],[Unit 3]],-1,0) + OFFSET(TblMili[[#This Row],[Train Unit 3]],-12,0)-TblMili[[#This Row],[Release Unit 3]]</f>
        <v>0</v>
      </c>
      <c r="H131" s="45">
        <f ca="1">OFFSET(TblMili[[#This Row],[Unit 4]],-1,0) + OFFSET(TblMili[[#This Row],[Train Unit 4]],-12,0)-TblMili[[#This Row],[Release Unit 4]]</f>
        <v>0</v>
      </c>
      <c r="I131" s="45">
        <f ca="1">OFFSET(TblMili[[#This Row],[Spies]],-1,0) + OFFSET(TblMili[[#This Row],[Train Spies]],-12,0) - TblMili[[#This Row],[Release Spies]]-TblMili[[#This Row],[Train AS]]</f>
        <v>0</v>
      </c>
      <c r="J131" s="45">
        <f ca="1">OFFSET(TblMili[[#This Row],[Archspies]],-1,0) + OFFSET(TblMili[[#This Row],[Train AS]],-12,0) - TblMili[[#This Row],[Release AS]]</f>
        <v>0</v>
      </c>
      <c r="K131" s="45">
        <f ca="1">OFFSET(TblMili[[#This Row],[Wizards]],-1,0) + OFFSET(TblMili[[#This Row],[Train Wiz]],-12,0) - TblMili[[#This Row],[Release Wizards]]-TblMili[[#This Row],[Train AM]]</f>
        <v>0</v>
      </c>
      <c r="L131" s="45">
        <f ca="1">OFFSET(TblMili[[#This Row],[Archmages]],-1,0) + OFFSET(TblMili[[#This Row],[Train AM]],-12,0) - TblMili[[#This Row],[Release AM]]</f>
        <v>0</v>
      </c>
      <c r="M131" s="142"/>
      <c r="N131" s="94">
        <f ca="1">TblProd[[#This Row],[Networth]]</f>
        <v>2450</v>
      </c>
      <c r="O131" s="142"/>
      <c r="P131"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1"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1" s="247">
        <f ca="1">TblMili[[#This Row],[Raw]]*(1+TblMili[[#This Row],[Mods_Off]])</f>
        <v>0</v>
      </c>
      <c r="S131"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1" s="247">
        <f ca="1">TblMili[[#This Row],[Non Draft]]+TblMili[[#This Row],[Draftees]]</f>
        <v>795</v>
      </c>
      <c r="U131" s="248">
        <f ca="1">race_defense + TblImps[[#This Row],[Walls]] + ROUND( MIN(gt_bonus*TblConstr[[#This Row],[Tot GT]]/TblConstr[[#This Row],[Land]],gt_bonus_cap), 4) + IF(TblMagic[[#This Row],[Active Howling]]&gt;0,howling_dp_bonus,IF(TblMagic[[#This Row],[Active Ares Call]]&gt;0,ares_call_bonus))</f>
        <v>0</v>
      </c>
      <c r="V131" s="249">
        <f ca="1">TblMili[[#This Row],[Non Draft]] * (1 + TblMili[[#This Row],[Mods_Def]])</f>
        <v>0</v>
      </c>
      <c r="W131" s="247">
        <f ca="1">TblMili[[#This Row],[Draft]] * (1 + TblMili[[#This Row],[Mods_Def]])</f>
        <v>795</v>
      </c>
      <c r="X131" s="247">
        <f ca="1">TblConstr[[#This Row],[Land]]</f>
        <v>110</v>
      </c>
      <c r="Y131" s="250"/>
      <c r="Z131" s="255">
        <f ca="1">IF(TblMili[[#This Row],[Set]]&lt;&gt;"",TblMili[[#This Row],[Set]],OFFSET(TblMili[[#This Row],[Draftrate]],-1,0))</f>
        <v>0.9</v>
      </c>
      <c r="AA131" s="94">
        <f ca="1">OFFSET(TblMili[[#This Row],[Draftees]],-1,0)+OFFSET(TblPop[[#This Row],[Draft Growth]],-1,0) - SUM(TblMili[[#This Row],[Train Unit 1]:[Train Spies]],TblMili[[#This Row],[Train Wiz]],TblMili[[#This Row],[DnD_Zombies]]) - TblMili[[#This Row],[Release Draft]] + SUM(TblMili[[#This Row],[Release Unit 1]:[Release AM]]) - TblExplore[[#This Row],[Draftees (2)]]</f>
        <v>795</v>
      </c>
      <c r="AB131" s="154"/>
      <c r="AC131" s="180">
        <f ca="1">(TblConstr[[#This Row],[Tot Smi]]+TblConstr[[#This Row],[Dest Smi]])/(TblConstr[[#This Row],[Land]]-TblExplore[[#This Row],[Land Bonus]]*20)</f>
        <v>0</v>
      </c>
      <c r="AD131" s="137"/>
      <c r="AE131" s="246">
        <f>TblMili[[#This Row],[Hour]]</f>
        <v>128</v>
      </c>
      <c r="AF131" s="138">
        <f ca="1">TblExplore[[#This Row],[Time]]</f>
        <v>46052.291666666359</v>
      </c>
      <c r="AG131" s="179"/>
      <c r="AH131" s="179"/>
      <c r="AI131" s="179"/>
      <c r="AJ131" s="179"/>
      <c r="AK131" s="179"/>
      <c r="AL131" s="179"/>
      <c r="AM131" s="179"/>
      <c r="AN131" s="179"/>
      <c r="AO131" s="420">
        <f ca="1">ROUND(IF(AND(TblMagic[[#This Row],[Active DnD]]&lt;12,TblMagic[[#This Row],[Active DnD]]&gt;5),OFFSET(TblPop[[#This Row],[Draft Growth]],-1,0)*0.375,0),0)</f>
        <v>0</v>
      </c>
      <c r="AP131" s="142"/>
      <c r="AQ131" s="94">
        <f ca="1">TblProd[[#This Row],[Platinum]]</f>
        <v>224401</v>
      </c>
      <c r="AR131" s="94">
        <f ca="1">INDEX(TblProd[[#Headers],[Lumber]]:TblProd[[#This Row],[Ore]],COUNTA(TblProd[[#Headers],[Lumber]]:TblProd[[#This Row],[Lumber]]),MATCH(Military!$AR$2,TblProd[[#Headers],[Lumber]:[Ore]],0))</f>
        <v>0</v>
      </c>
      <c r="AS131"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1" s="94">
        <f ca="1">TblMili[[#This Row],[Train Unit 1]]*TblMili[[#This Row],[OP Ore]]+TblMili[[#This Row],[Train Unit 2]]*TblMili[[#This Row],[DP Ore]]+TblMili[[#This Row],[Train Unit 3]]*TblMili[[#This Row],[E1 Ore]]+TblMili[[#This Row],[Train Unit 4]]*TblMili[[#This Row],[E2 Ore]]</f>
        <v>0</v>
      </c>
      <c r="AU131" s="142">
        <f>TblMili[[#This Row],[Hour]]</f>
        <v>128</v>
      </c>
      <c r="AV131" s="152">
        <f ca="1">TblMili[[#This Row],[Time]]</f>
        <v>46052.291666666359</v>
      </c>
      <c r="AW131" s="94">
        <f ca="1">TblMili[[#This Row],[Draftees]]</f>
        <v>795</v>
      </c>
      <c r="AX131" s="179"/>
      <c r="AY131" s="179"/>
      <c r="AZ131" s="179"/>
      <c r="BA131" s="179"/>
      <c r="BB131" s="179"/>
      <c r="BC131" s="179"/>
      <c r="BD131" s="179"/>
      <c r="BE131" s="179"/>
      <c r="BF131" s="179"/>
      <c r="BG131" s="142"/>
      <c r="BH131" s="157">
        <f ca="1">TblConstr[[#This Row],[Tot WG]]/TblConstr[[#This Row],[Land]]</f>
        <v>0</v>
      </c>
      <c r="BI131" s="157">
        <f ca="1">TblConstr[[#This Row],[Tot Hav]]/TblConstr[[#This Row],[Land]]</f>
        <v>0</v>
      </c>
      <c r="BJ131" s="94">
        <f ca="1">ROUNDUP((1-MIN(TblMili[[#This Row],[Smithies]]*smithy_bonus,smithy_bonus_cap) + tech_3_5*TblTech[[#This Row],[3-5]] + tech_5_3*TblTech[[#This Row],[5-3]] + tech_5_5*TblTech[[#This Row],[5-5]])*spec_op_plat,0)</f>
        <v>275</v>
      </c>
      <c r="BK131" s="94">
        <f ca="1">ROUNDUP(IF(race="Gnome",1,(1-MIN(TblMili[[#This Row],[Smithies]]*smithy_bonus,smithy_bonus_cap) + tech_3_5*TblTech[[#This Row],[3-5]] + tech_5_3*TblTech[[#This Row],[5-3]] + tech_5_5*TblTech[[#This Row],[5-5]]))*spec_op_ore,0)</f>
        <v>25</v>
      </c>
      <c r="BL131" s="94">
        <f ca="1">ROUNDUP((1-MIN(TblMili[[#This Row],[Smithies]]*smithy_bonus,smithy_bonus_cap) + tech_3_5*TblTech[[#This Row],[3-5]] + tech_5_3*TblTech[[#This Row],[5-3]] + tech_5_5*TblTech[[#This Row],[5-5]])*spec_dp_plat,0)</f>
        <v>275</v>
      </c>
      <c r="BM131" s="94">
        <f ca="1">ROUNDUP(IF(race="Gnome",1,(1-MIN(TblMili[[#This Row],[Smithies]]*smithy_bonus,smithy_bonus_cap) + tech_3_5*TblTech[[#This Row],[3-5]] + tech_5_3*TblTech[[#This Row],[5-3]] + tech_5_5*TblTech[[#This Row],[5-5]]))*spec_dp_ore,0)</f>
        <v>15</v>
      </c>
      <c r="BN131" s="94">
        <f ca="1">ROUNDUP((1-MIN(TblMili[[#This Row],[Smithies]]*smithy_bonus,smithy_bonus_cap) + tech_3_5*TblTech[[#This Row],[3-5]] + tech_5_3*TblTech[[#This Row],[5-3]] + tech_5_5*TblTech[[#This Row],[5-5]])*elite1_plat,0)</f>
        <v>1040</v>
      </c>
      <c r="BO131" s="94">
        <f ca="1">ROUNDUP(IF(race="Gnome",1,(1-MIN(TblMili[[#This Row],[Smithies]]*smithy_bonus,smithy_bonus_cap) + tech_3_5*TblTech[[#This Row],[3-5]] + tech_5_3*TblTech[[#This Row],[5-3]] + tech_5_5*TblTech[[#This Row],[5-5]]))*elite1_ore,0)</f>
        <v>75</v>
      </c>
      <c r="BP131" s="94">
        <f ca="1">ROUNDUP((1-MIN(TblMili[[#This Row],[Smithies]]*smithy_bonus,smithy_bonus_cap) + tech_3_5*TblTech[[#This Row],[3-5]] + tech_5_3*TblTech[[#This Row],[5-3]] + tech_5_5*TblTech[[#This Row],[5-5]])*elite2_plat,0)</f>
        <v>1280</v>
      </c>
      <c r="BQ131" s="94">
        <f ca="1">ROUNDUP(IF(race="Gnome",1,(1-MIN(TblMili[[#This Row],[Smithies]]*smithy_bonus,smithy_bonus_cap) + tech_3_5*TblTech[[#This Row],[3-5]] + tech_5_3*TblTech[[#This Row],[5-3]] + tech_5_5*TblTech[[#This Row],[5-5]]))*elite2_ore,0)</f>
        <v>100</v>
      </c>
      <c r="BR131" s="94">
        <f ca="1">ROUNDUP((1-MIN(ROUND(fh_spy_cost_red*TblMili[[#This Row],[FH''s]],4),fh_spy_cost_cap)+ tech_1_9*TblTech[[#This Row],[1-9]] + tech_9_1*TblTech[[#This Row],[9-1]])*spy_plat,0)</f>
        <v>500</v>
      </c>
      <c r="BS131" s="94">
        <f ca="1">ROUNDUP((1-MIN(ROUND(fh_spy_cost_red*TblMili[[#This Row],[FH''s]],4),fh_spy_cost_cap)+ tech_1_9*TblTech[[#This Row],[1-9]] + tech_9_1*TblTech[[#This Row],[9-1]])*archspy_plat,0)</f>
        <v>1000</v>
      </c>
      <c r="BT131" s="94">
        <f ca="1">ROUNDUP((1-MIN(ROUND(wg_wiz_cost_bonus*TblMili[[#This Row],[WG''s]],4),wg_wiz_cost_cap) + tech_1_9_2*TblTech[[#This Row],[1-9]] + tech_9_1_2*TblTech[[#This Row],[9-1]])*wizard_plat,0)</f>
        <v>500</v>
      </c>
      <c r="BU131" s="94">
        <f ca="1">ROUNDUP((1-MIN(ROUND(wg_wiz_cost_bonus*TblMili[[#This Row],[WG''s]],4),wg_wiz_cost_cap) + tech_1_9_2*TblTech[[#This Row],[1-9]] + tech_9_1_2*TblTech[[#This Row],[9-1]])*archmage_plat,0)</f>
        <v>1000</v>
      </c>
      <c r="BV131" s="142"/>
      <c r="BW131" s="157">
        <f ca="1">TblConstr[[#This Row],[Homeland]]/TblConstr[[#This Row],[Land]]</f>
        <v>0.81818181818181823</v>
      </c>
      <c r="BX131" s="157">
        <f ca="1">TblMili[[#This Row],[WG''s]]</f>
        <v>0</v>
      </c>
      <c r="BY131" s="251">
        <f ca="1">IF(mystic_cap="none",TblMili[[#This Row],[Homeland%]]/mystic_bonus,MIN(mystic_cap,TblMili[[#This Row],[Homeland%]]/mystic_bonus))</f>
        <v>2</v>
      </c>
      <c r="BZ131" s="251">
        <f ca="1">IF(druid_op_cap="none",TblMili[[#This Row],[Homeland%]]/druid_op_bonus,MIN(druid_op_cap,TblMili[[#This Row],[Homeland%]]/druid_op_bonus))</f>
        <v>2</v>
      </c>
      <c r="CA131" s="251">
        <f ca="1">IF(druid_dp_cap="none",TblMili[[#This Row],[Homeland%]]/druid_dp_bonus,MIN(druid_dp_cap,TblMili[[#This Row],[Homeland%]]/druid_dp_bonus))</f>
        <v>2</v>
      </c>
      <c r="CB131" s="251">
        <f ca="1">MIN(dryad_cap,TblMili[[#This Row],[Homeland%]]/dryad_bonus)</f>
        <v>4</v>
      </c>
      <c r="CC131" s="251">
        <f ca="1">MIN(rocka_cap,TblMili[[#This Row],[Homeland%]]/rocka_bonus)</f>
        <v>2</v>
      </c>
      <c r="CD131" s="251">
        <f ca="1">MIN(adept_op_cap,TblMili[[#This Row],[WG]]/adept_op_bonus)</f>
        <v>0</v>
      </c>
      <c r="CE131" s="251">
        <f ca="1">MIN(adept_dp_cap,TblMili[[#This Row],[WG]]/adept_dp_bonus)</f>
        <v>0</v>
      </c>
      <c r="CF131" s="94">
        <f ca="1">MIN(TblMili[[#This Row],[Unit 3]],TblMili[[#This Row],[Unit 2]])*2</f>
        <v>0</v>
      </c>
      <c r="CG131" s="94">
        <f ca="1">MIN(TblMili[[#This Row],[Unit 1]],TblMili[[#This Row],[Unit 4]])*2</f>
        <v>0</v>
      </c>
      <c r="CH131" s="251">
        <f ca="1">MIN(frost_mage_cap,TblMili[[#This Row],[Homeland%]]/frost_mage_bonus)</f>
        <v>3</v>
      </c>
      <c r="CI131" s="45">
        <f ca="1">MIN(ice_elem_cap,TblMili[[#This Row],[Raw (2)]]*ice_elem_bonus)</f>
        <v>0</v>
      </c>
      <c r="CJ131" s="251">
        <f t="shared" si="4"/>
        <v>0.83333333333333337</v>
      </c>
      <c r="CK131" s="251">
        <f ca="1">MIN(nox_nightshade_cap,TblConstr[[#This Row],[Homeland]]/TblConstr[[#This Row],[Land]]/nox_nightshade_swamp_bonus)</f>
        <v>4</v>
      </c>
      <c r="CL131" s="251">
        <f ca="1">MIN(TblConstr[[#This Row],[Total Swamp]]/TblConstr[[#This Row],[Land]]/abyss_enforce_bonus,abyss_enforcer_cap)</f>
        <v>0</v>
      </c>
      <c r="CM131" s="251">
        <f ca="1">IF(TblMagic[[#This Row],[Active Infernal Command]]&gt;0,TblMili[[#This Row],[Unit 1]]*infernal_cmd_op,0)</f>
        <v>0</v>
      </c>
      <c r="CN131" s="252"/>
      <c r="CO131" s="252"/>
      <c r="CP131" s="252"/>
      <c r="CQ131" s="251">
        <f ca="1">MIN(6,TblMili[[#This Row],[Mystic]]+Races!$F$19)*1.8 +  IF(TblMili[[#This Row],[Mystic]]+Races!$F$19&gt;6,(TblMili[[#This Row],[Mystic]]+Races!$F$19-6)*0.2,0) - Races!$I$19</f>
        <v>1</v>
      </c>
      <c r="CR131"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1" s="94">
        <f ca="1">TblMili[[#This Row],[Mystic bonus]]*TblMili[[#This Row],[Unit 3]]+TblMili[[#This Row],[Druid bonus]]*TblMili[[#This Row],[Unit 4]]</f>
        <v>0</v>
      </c>
      <c r="CT131" s="155">
        <f ca="1">MIN(6,TblMili[[#This Row],[Dryad]]+Races!$F$35)*1.8 +  IF(TblMili[[#This Row],[Dryad]]+Races!$F$35&gt;6,(TblMili[[#This Row],[Dryad]]+Races!$F$35-6)*0.2,0) - Races!$I$19</f>
        <v>1</v>
      </c>
      <c r="CU131" s="94">
        <f ca="1">sylvan*(TblMili[[#This Row],[Mystic bonus]]*TblMili[[#This Row],[Unit 3]])</f>
        <v>0</v>
      </c>
      <c r="CV131" s="155">
        <f ca="1">1.8 * MIN(MAX(Races!$E$27,TblMili[[#This Row],[Rockapult]]+Races!$F$27),6)  +  0.45 * MIN(MIN(Races!$E$27,TblMili[[#This Row],[Rockapult]]+Races!$F$27),6)  +  0.2 * ( MAX(Races!$E$27-6,0) + MAX(TblMili[[#This Row],[Rockapult]]+Races!$F$27-6,0) )  -  Races!$I$20</f>
        <v>3.7000000000000011</v>
      </c>
      <c r="CW131" s="94">
        <f ca="1">gnome*(TblMili[[#This Row],[Rockapult bonus]]*TblMili[[#This Row],[Unit 3]])</f>
        <v>0</v>
      </c>
      <c r="CX131"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1" s="94">
        <f ca="1">dark_elf*(TblMili[[#This Row],[Adept bonus]]*TblMili[[#This Row],[Unit 3]])</f>
        <v>0</v>
      </c>
      <c r="CZ131" s="155">
        <f ca="1">1.8 * MIN(MAX(TblMili[[#This Row],[Frost Mage]]+Races!$F$71,Races!$E$71),6)  +  0.45 * MIN(MIN(TblMili[[#This Row],[Frost Mage]]+Races!$F$71,Races!$E$71),6)  +  0.2 * ( MAX(TblMili[[#This Row],[Frost Mage]]+Races!$F$71-6,0) + MAX(Races!$E$71-6,0) )  -  Races!$I$71</f>
        <v>6.15</v>
      </c>
      <c r="DA131" s="155">
        <f ca="1">1.8 * MIN(MAX(TblMili[[#This Row],[Ice Elemental]]+Races!$E$71,Races!$F$71),6)  +  0.45 * MIN(MIN(TblMili[[#This Row],[Ice Elemental]]+Races!$E$71,Races!$F$71),6)  +  0.2 * ( MAX(TblMili[[#This Row],[Ice Elemental]]+Races!$E$71-6,0) + MAX(Races!$F$71-6,0) )  -  Races!$I$71</f>
        <v>0.75</v>
      </c>
      <c r="DB131" s="94">
        <f ca="1">TblMili[[#This Row],[Frost Mage bonus]]*TblMili[[#This Row],[Unit 3]]+TblMili[[#This Row],[Ice Elemental bonus]]*TblMili[[#This Row],[Unit 4]]</f>
        <v>0</v>
      </c>
      <c r="DC131" s="253"/>
      <c r="DD131" s="143">
        <f ca="1">MIN(SUM(TblConstr[[#This Row],[Plain]:[Water]])/TblMili[[#This Row],[Land]]/favorable_terrain_bonus/100,favorable_terrain_max)</f>
        <v>0.1</v>
      </c>
      <c r="DE131" s="253"/>
      <c r="DF131"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1" s="142"/>
      <c r="DH131" s="254">
        <f ca="1">(TblMili[[#This Row],[Wizards]]+2*TblMili[[#This Row],[Archmages]])/TblConstr[[#This Row],[Land]]</f>
        <v>0</v>
      </c>
      <c r="DI131" s="254">
        <f ca="1">TblMili[[#This Row],[Raw (2)]]*(1+race_wizard_strength+IF(TblMili[[#This Row],[Hour]]&gt;72,tech_magical_weaponry_wiz*TblTech[[#This Row],[3-5]],0))</f>
        <v>0</v>
      </c>
    </row>
    <row r="132" spans="1:113" x14ac:dyDescent="0.2">
      <c r="A132" s="137">
        <f>TblRezone[[#This Row],[Hour]]</f>
        <v>129</v>
      </c>
      <c r="B132" s="246">
        <f ca="1">SUM(TblMili[[#This Row],[Unit 1]:[Archmages]])+SUM(OFFSET(TblMili[[#This Row],[Train Unit 1]],-8,0):TblMili[[#This Row],[Train Unit 2]]) + SUM(OFFSET(TblMili[[#This Row],[Train Unit 3]],-11,0):TblMili[[#This Row],[Train AM]]) + TblMili[[#This Row],[Draftees]]</f>
        <v>798</v>
      </c>
      <c r="C132" s="157">
        <f ca="1">TblPop[[#This Row],[Military%]]</f>
        <v>0.74163568773234201</v>
      </c>
      <c r="D132" s="142"/>
      <c r="E132" s="45">
        <f ca="1">OFFSET(TblMili[[#This Row],[Unit 1]],-1,0) + OFFSET(TblMili[[#This Row],[Train Unit 1]],-9,0) - TblMili[[#This Row],[Release Unit 1]] + OFFSET(TblMili[[#This Row],[DnD_Zombies]],-12,0)</f>
        <v>0</v>
      </c>
      <c r="F132" s="45">
        <f ca="1">OFFSET(TblMili[[#This Row],[Unit 2]],-1,0) + OFFSET(TblMili[[#This Row],[Train Unit 2]],-9,0)-TblMili[[#This Row],[Release Unit 2]]</f>
        <v>0</v>
      </c>
      <c r="G132" s="45">
        <f ca="1">OFFSET(TblMili[[#This Row],[Unit 3]],-1,0) + OFFSET(TblMili[[#This Row],[Train Unit 3]],-12,0)-TblMili[[#This Row],[Release Unit 3]]</f>
        <v>0</v>
      </c>
      <c r="H132" s="45">
        <f ca="1">OFFSET(TblMili[[#This Row],[Unit 4]],-1,0) + OFFSET(TblMili[[#This Row],[Train Unit 4]],-12,0)-TblMili[[#This Row],[Release Unit 4]]</f>
        <v>0</v>
      </c>
      <c r="I132" s="45">
        <f ca="1">OFFSET(TblMili[[#This Row],[Spies]],-1,0) + OFFSET(TblMili[[#This Row],[Train Spies]],-12,0) - TblMili[[#This Row],[Release Spies]]-TblMili[[#This Row],[Train AS]]</f>
        <v>0</v>
      </c>
      <c r="J132" s="45">
        <f ca="1">OFFSET(TblMili[[#This Row],[Archspies]],-1,0) + OFFSET(TblMili[[#This Row],[Train AS]],-12,0) - TblMili[[#This Row],[Release AS]]</f>
        <v>0</v>
      </c>
      <c r="K132" s="45">
        <f ca="1">OFFSET(TblMili[[#This Row],[Wizards]],-1,0) + OFFSET(TblMili[[#This Row],[Train Wiz]],-12,0) - TblMili[[#This Row],[Release Wizards]]-TblMili[[#This Row],[Train AM]]</f>
        <v>0</v>
      </c>
      <c r="L132" s="45">
        <f ca="1">OFFSET(TblMili[[#This Row],[Archmages]],-1,0) + OFFSET(TblMili[[#This Row],[Train AM]],-12,0) - TblMili[[#This Row],[Release AM]]</f>
        <v>0</v>
      </c>
      <c r="M132" s="142"/>
      <c r="N132" s="94">
        <f ca="1">TblProd[[#This Row],[Networth]]</f>
        <v>2450</v>
      </c>
      <c r="O132" s="142"/>
      <c r="P132"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2"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2" s="247">
        <f ca="1">TblMili[[#This Row],[Raw]]*(1+TblMili[[#This Row],[Mods_Off]])</f>
        <v>0</v>
      </c>
      <c r="S132"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2" s="247">
        <f ca="1">TblMili[[#This Row],[Non Draft]]+TblMili[[#This Row],[Draftees]]</f>
        <v>798</v>
      </c>
      <c r="U132" s="248">
        <f ca="1">race_defense + TblImps[[#This Row],[Walls]] + ROUND( MIN(gt_bonus*TblConstr[[#This Row],[Tot GT]]/TblConstr[[#This Row],[Land]],gt_bonus_cap), 4) + IF(TblMagic[[#This Row],[Active Howling]]&gt;0,howling_dp_bonus,IF(TblMagic[[#This Row],[Active Ares Call]]&gt;0,ares_call_bonus))</f>
        <v>0</v>
      </c>
      <c r="V132" s="249">
        <f ca="1">TblMili[[#This Row],[Non Draft]] * (1 + TblMili[[#This Row],[Mods_Def]])</f>
        <v>0</v>
      </c>
      <c r="W132" s="247">
        <f ca="1">TblMili[[#This Row],[Draft]] * (1 + TblMili[[#This Row],[Mods_Def]])</f>
        <v>798</v>
      </c>
      <c r="X132" s="247">
        <f ca="1">TblConstr[[#This Row],[Land]]</f>
        <v>110</v>
      </c>
      <c r="Y132" s="250"/>
      <c r="Z132" s="255">
        <f ca="1">IF(TblMili[[#This Row],[Set]]&lt;&gt;"",TblMili[[#This Row],[Set]],OFFSET(TblMili[[#This Row],[Draftrate]],-1,0))</f>
        <v>0.9</v>
      </c>
      <c r="AA132" s="94">
        <f ca="1">OFFSET(TblMili[[#This Row],[Draftees]],-1,0)+OFFSET(TblPop[[#This Row],[Draft Growth]],-1,0) - SUM(TblMili[[#This Row],[Train Unit 1]:[Train Spies]],TblMili[[#This Row],[Train Wiz]],TblMili[[#This Row],[DnD_Zombies]]) - TblMili[[#This Row],[Release Draft]] + SUM(TblMili[[#This Row],[Release Unit 1]:[Release AM]]) - TblExplore[[#This Row],[Draftees (2)]]</f>
        <v>798</v>
      </c>
      <c r="AB132" s="154"/>
      <c r="AC132" s="180">
        <f ca="1">(TblConstr[[#This Row],[Tot Smi]]+TblConstr[[#This Row],[Dest Smi]])/(TblConstr[[#This Row],[Land]]-TblExplore[[#This Row],[Land Bonus]]*20)</f>
        <v>0</v>
      </c>
      <c r="AD132" s="137"/>
      <c r="AE132" s="246">
        <f>TblMili[[#This Row],[Hour]]</f>
        <v>129</v>
      </c>
      <c r="AF132" s="138">
        <f ca="1">TblExplore[[#This Row],[Time]]</f>
        <v>46052.333333333023</v>
      </c>
      <c r="AG132" s="179"/>
      <c r="AH132" s="179"/>
      <c r="AI132" s="179"/>
      <c r="AJ132" s="179"/>
      <c r="AK132" s="179"/>
      <c r="AL132" s="179"/>
      <c r="AM132" s="179"/>
      <c r="AN132" s="179"/>
      <c r="AO132" s="420">
        <f ca="1">ROUND(IF(AND(TblMagic[[#This Row],[Active DnD]]&lt;12,TblMagic[[#This Row],[Active DnD]]&gt;5),OFFSET(TblPop[[#This Row],[Draft Growth]],-1,0)*0.375,0),0)</f>
        <v>0</v>
      </c>
      <c r="AP132" s="142"/>
      <c r="AQ132" s="94">
        <f ca="1">TblProd[[#This Row],[Platinum]]</f>
        <v>225159</v>
      </c>
      <c r="AR132" s="94">
        <f ca="1">INDEX(TblProd[[#Headers],[Lumber]]:TblProd[[#This Row],[Ore]],COUNTA(TblProd[[#Headers],[Lumber]]:TblProd[[#This Row],[Lumber]]),MATCH(Military!$AR$2,TblProd[[#Headers],[Lumber]:[Ore]],0))</f>
        <v>0</v>
      </c>
      <c r="AS132"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2" s="94">
        <f ca="1">TblMili[[#This Row],[Train Unit 1]]*TblMili[[#This Row],[OP Ore]]+TblMili[[#This Row],[Train Unit 2]]*TblMili[[#This Row],[DP Ore]]+TblMili[[#This Row],[Train Unit 3]]*TblMili[[#This Row],[E1 Ore]]+TblMili[[#This Row],[Train Unit 4]]*TblMili[[#This Row],[E2 Ore]]</f>
        <v>0</v>
      </c>
      <c r="AU132" s="142">
        <f>TblMili[[#This Row],[Hour]]</f>
        <v>129</v>
      </c>
      <c r="AV132" s="152">
        <f ca="1">TblMili[[#This Row],[Time]]</f>
        <v>46052.333333333023</v>
      </c>
      <c r="AW132" s="94">
        <f ca="1">TblMili[[#This Row],[Draftees]]</f>
        <v>798</v>
      </c>
      <c r="AX132" s="179"/>
      <c r="AY132" s="179"/>
      <c r="AZ132" s="179"/>
      <c r="BA132" s="179"/>
      <c r="BB132" s="179"/>
      <c r="BC132" s="179"/>
      <c r="BD132" s="179"/>
      <c r="BE132" s="179"/>
      <c r="BF132" s="179"/>
      <c r="BG132" s="142"/>
      <c r="BH132" s="157">
        <f ca="1">TblConstr[[#This Row],[Tot WG]]/TblConstr[[#This Row],[Land]]</f>
        <v>0</v>
      </c>
      <c r="BI132" s="157">
        <f ca="1">TblConstr[[#This Row],[Tot Hav]]/TblConstr[[#This Row],[Land]]</f>
        <v>0</v>
      </c>
      <c r="BJ132" s="94">
        <f ca="1">ROUNDUP((1-MIN(TblMili[[#This Row],[Smithies]]*smithy_bonus,smithy_bonus_cap) + tech_3_5*TblTech[[#This Row],[3-5]] + tech_5_3*TblTech[[#This Row],[5-3]] + tech_5_5*TblTech[[#This Row],[5-5]])*spec_op_plat,0)</f>
        <v>275</v>
      </c>
      <c r="BK132" s="94">
        <f ca="1">ROUNDUP(IF(race="Gnome",1,(1-MIN(TblMili[[#This Row],[Smithies]]*smithy_bonus,smithy_bonus_cap) + tech_3_5*TblTech[[#This Row],[3-5]] + tech_5_3*TblTech[[#This Row],[5-3]] + tech_5_5*TblTech[[#This Row],[5-5]]))*spec_op_ore,0)</f>
        <v>25</v>
      </c>
      <c r="BL132" s="94">
        <f ca="1">ROUNDUP((1-MIN(TblMili[[#This Row],[Smithies]]*smithy_bonus,smithy_bonus_cap) + tech_3_5*TblTech[[#This Row],[3-5]] + tech_5_3*TblTech[[#This Row],[5-3]] + tech_5_5*TblTech[[#This Row],[5-5]])*spec_dp_plat,0)</f>
        <v>275</v>
      </c>
      <c r="BM132" s="94">
        <f ca="1">ROUNDUP(IF(race="Gnome",1,(1-MIN(TblMili[[#This Row],[Smithies]]*smithy_bonus,smithy_bonus_cap) + tech_3_5*TblTech[[#This Row],[3-5]] + tech_5_3*TblTech[[#This Row],[5-3]] + tech_5_5*TblTech[[#This Row],[5-5]]))*spec_dp_ore,0)</f>
        <v>15</v>
      </c>
      <c r="BN132" s="94">
        <f ca="1">ROUNDUP((1-MIN(TblMili[[#This Row],[Smithies]]*smithy_bonus,smithy_bonus_cap) + tech_3_5*TblTech[[#This Row],[3-5]] + tech_5_3*TblTech[[#This Row],[5-3]] + tech_5_5*TblTech[[#This Row],[5-5]])*elite1_plat,0)</f>
        <v>1040</v>
      </c>
      <c r="BO132" s="94">
        <f ca="1">ROUNDUP(IF(race="Gnome",1,(1-MIN(TblMili[[#This Row],[Smithies]]*smithy_bonus,smithy_bonus_cap) + tech_3_5*TblTech[[#This Row],[3-5]] + tech_5_3*TblTech[[#This Row],[5-3]] + tech_5_5*TblTech[[#This Row],[5-5]]))*elite1_ore,0)</f>
        <v>75</v>
      </c>
      <c r="BP132" s="94">
        <f ca="1">ROUNDUP((1-MIN(TblMili[[#This Row],[Smithies]]*smithy_bonus,smithy_bonus_cap) + tech_3_5*TblTech[[#This Row],[3-5]] + tech_5_3*TblTech[[#This Row],[5-3]] + tech_5_5*TblTech[[#This Row],[5-5]])*elite2_plat,0)</f>
        <v>1280</v>
      </c>
      <c r="BQ132" s="94">
        <f ca="1">ROUNDUP(IF(race="Gnome",1,(1-MIN(TblMili[[#This Row],[Smithies]]*smithy_bonus,smithy_bonus_cap) + tech_3_5*TblTech[[#This Row],[3-5]] + tech_5_3*TblTech[[#This Row],[5-3]] + tech_5_5*TblTech[[#This Row],[5-5]]))*elite2_ore,0)</f>
        <v>100</v>
      </c>
      <c r="BR132" s="94">
        <f ca="1">ROUNDUP((1-MIN(ROUND(fh_spy_cost_red*TblMili[[#This Row],[FH''s]],4),fh_spy_cost_cap)+ tech_1_9*TblTech[[#This Row],[1-9]] + tech_9_1*TblTech[[#This Row],[9-1]])*spy_plat,0)</f>
        <v>500</v>
      </c>
      <c r="BS132" s="94">
        <f ca="1">ROUNDUP((1-MIN(ROUND(fh_spy_cost_red*TblMili[[#This Row],[FH''s]],4),fh_spy_cost_cap)+ tech_1_9*TblTech[[#This Row],[1-9]] + tech_9_1*TblTech[[#This Row],[9-1]])*archspy_plat,0)</f>
        <v>1000</v>
      </c>
      <c r="BT132" s="94">
        <f ca="1">ROUNDUP((1-MIN(ROUND(wg_wiz_cost_bonus*TblMili[[#This Row],[WG''s]],4),wg_wiz_cost_cap) + tech_1_9_2*TblTech[[#This Row],[1-9]] + tech_9_1_2*TblTech[[#This Row],[9-1]])*wizard_plat,0)</f>
        <v>500</v>
      </c>
      <c r="BU132" s="94">
        <f ca="1">ROUNDUP((1-MIN(ROUND(wg_wiz_cost_bonus*TblMili[[#This Row],[WG''s]],4),wg_wiz_cost_cap) + tech_1_9_2*TblTech[[#This Row],[1-9]] + tech_9_1_2*TblTech[[#This Row],[9-1]])*archmage_plat,0)</f>
        <v>1000</v>
      </c>
      <c r="BV132" s="142"/>
      <c r="BW132" s="157">
        <f ca="1">TblConstr[[#This Row],[Homeland]]/TblConstr[[#This Row],[Land]]</f>
        <v>0.81818181818181823</v>
      </c>
      <c r="BX132" s="157">
        <f ca="1">TblMili[[#This Row],[WG''s]]</f>
        <v>0</v>
      </c>
      <c r="BY132" s="251">
        <f ca="1">IF(mystic_cap="none",TblMili[[#This Row],[Homeland%]]/mystic_bonus,MIN(mystic_cap,TblMili[[#This Row],[Homeland%]]/mystic_bonus))</f>
        <v>2</v>
      </c>
      <c r="BZ132" s="251">
        <f ca="1">IF(druid_op_cap="none",TblMili[[#This Row],[Homeland%]]/druid_op_bonus,MIN(druid_op_cap,TblMili[[#This Row],[Homeland%]]/druid_op_bonus))</f>
        <v>2</v>
      </c>
      <c r="CA132" s="251">
        <f ca="1">IF(druid_dp_cap="none",TblMili[[#This Row],[Homeland%]]/druid_dp_bonus,MIN(druid_dp_cap,TblMili[[#This Row],[Homeland%]]/druid_dp_bonus))</f>
        <v>2</v>
      </c>
      <c r="CB132" s="251">
        <f ca="1">MIN(dryad_cap,TblMili[[#This Row],[Homeland%]]/dryad_bonus)</f>
        <v>4</v>
      </c>
      <c r="CC132" s="251">
        <f ca="1">MIN(rocka_cap,TblMili[[#This Row],[Homeland%]]/rocka_bonus)</f>
        <v>2</v>
      </c>
      <c r="CD132" s="251">
        <f ca="1">MIN(adept_op_cap,TblMili[[#This Row],[WG]]/adept_op_bonus)</f>
        <v>0</v>
      </c>
      <c r="CE132" s="251">
        <f ca="1">MIN(adept_dp_cap,TblMili[[#This Row],[WG]]/adept_dp_bonus)</f>
        <v>0</v>
      </c>
      <c r="CF132" s="94">
        <f ca="1">MIN(TblMili[[#This Row],[Unit 3]],TblMili[[#This Row],[Unit 2]])*2</f>
        <v>0</v>
      </c>
      <c r="CG132" s="94">
        <f ca="1">MIN(TblMili[[#This Row],[Unit 1]],TblMili[[#This Row],[Unit 4]])*2</f>
        <v>0</v>
      </c>
      <c r="CH132" s="251">
        <f ca="1">MIN(frost_mage_cap,TblMili[[#This Row],[Homeland%]]/frost_mage_bonus)</f>
        <v>3</v>
      </c>
      <c r="CI132" s="45">
        <f ca="1">MIN(ice_elem_cap,TblMili[[#This Row],[Raw (2)]]*ice_elem_bonus)</f>
        <v>0</v>
      </c>
      <c r="CJ132" s="251">
        <f t="shared" si="4"/>
        <v>0.83333333333333337</v>
      </c>
      <c r="CK132" s="251">
        <f ca="1">MIN(nox_nightshade_cap,TblConstr[[#This Row],[Homeland]]/TblConstr[[#This Row],[Land]]/nox_nightshade_swamp_bonus)</f>
        <v>4</v>
      </c>
      <c r="CL132" s="251">
        <f ca="1">MIN(TblConstr[[#This Row],[Total Swamp]]/TblConstr[[#This Row],[Land]]/abyss_enforce_bonus,abyss_enforcer_cap)</f>
        <v>0</v>
      </c>
      <c r="CM132" s="251">
        <f ca="1">IF(TblMagic[[#This Row],[Active Infernal Command]]&gt;0,TblMili[[#This Row],[Unit 1]]*infernal_cmd_op,0)</f>
        <v>0</v>
      </c>
      <c r="CN132" s="252"/>
      <c r="CO132" s="252"/>
      <c r="CP132" s="252"/>
      <c r="CQ132" s="251">
        <f ca="1">MIN(6,TblMili[[#This Row],[Mystic]]+Races!$F$19)*1.8 +  IF(TblMili[[#This Row],[Mystic]]+Races!$F$19&gt;6,(TblMili[[#This Row],[Mystic]]+Races!$F$19-6)*0.2,0) - Races!$I$19</f>
        <v>1</v>
      </c>
      <c r="CR132"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2" s="94">
        <f ca="1">TblMili[[#This Row],[Mystic bonus]]*TblMili[[#This Row],[Unit 3]]+TblMili[[#This Row],[Druid bonus]]*TblMili[[#This Row],[Unit 4]]</f>
        <v>0</v>
      </c>
      <c r="CT132" s="155">
        <f ca="1">MIN(6,TblMili[[#This Row],[Dryad]]+Races!$F$35)*1.8 +  IF(TblMili[[#This Row],[Dryad]]+Races!$F$35&gt;6,(TblMili[[#This Row],[Dryad]]+Races!$F$35-6)*0.2,0) - Races!$I$19</f>
        <v>1</v>
      </c>
      <c r="CU132" s="94">
        <f ca="1">sylvan*(TblMili[[#This Row],[Mystic bonus]]*TblMili[[#This Row],[Unit 3]])</f>
        <v>0</v>
      </c>
      <c r="CV132" s="155">
        <f ca="1">1.8 * MIN(MAX(Races!$E$27,TblMili[[#This Row],[Rockapult]]+Races!$F$27),6)  +  0.45 * MIN(MIN(Races!$E$27,TblMili[[#This Row],[Rockapult]]+Races!$F$27),6)  +  0.2 * ( MAX(Races!$E$27-6,0) + MAX(TblMili[[#This Row],[Rockapult]]+Races!$F$27-6,0) )  -  Races!$I$20</f>
        <v>3.7000000000000011</v>
      </c>
      <c r="CW132" s="94">
        <f ca="1">gnome*(TblMili[[#This Row],[Rockapult bonus]]*TblMili[[#This Row],[Unit 3]])</f>
        <v>0</v>
      </c>
      <c r="CX132"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2" s="94">
        <f ca="1">dark_elf*(TblMili[[#This Row],[Adept bonus]]*TblMili[[#This Row],[Unit 3]])</f>
        <v>0</v>
      </c>
      <c r="CZ132" s="155">
        <f ca="1">1.8 * MIN(MAX(TblMili[[#This Row],[Frost Mage]]+Races!$F$71,Races!$E$71),6)  +  0.45 * MIN(MIN(TblMili[[#This Row],[Frost Mage]]+Races!$F$71,Races!$E$71),6)  +  0.2 * ( MAX(TblMili[[#This Row],[Frost Mage]]+Races!$F$71-6,0) + MAX(Races!$E$71-6,0) )  -  Races!$I$71</f>
        <v>6.15</v>
      </c>
      <c r="DA132" s="155">
        <f ca="1">1.8 * MIN(MAX(TblMili[[#This Row],[Ice Elemental]]+Races!$E$71,Races!$F$71),6)  +  0.45 * MIN(MIN(TblMili[[#This Row],[Ice Elemental]]+Races!$E$71,Races!$F$71),6)  +  0.2 * ( MAX(TblMili[[#This Row],[Ice Elemental]]+Races!$E$71-6,0) + MAX(Races!$F$71-6,0) )  -  Races!$I$71</f>
        <v>0.75</v>
      </c>
      <c r="DB132" s="94">
        <f ca="1">TblMili[[#This Row],[Frost Mage bonus]]*TblMili[[#This Row],[Unit 3]]+TblMili[[#This Row],[Ice Elemental bonus]]*TblMili[[#This Row],[Unit 4]]</f>
        <v>0</v>
      </c>
      <c r="DC132" s="253"/>
      <c r="DD132" s="143">
        <f ca="1">MIN(SUM(TblConstr[[#This Row],[Plain]:[Water]])/TblMili[[#This Row],[Land]]/favorable_terrain_bonus/100,favorable_terrain_max)</f>
        <v>0.1</v>
      </c>
      <c r="DE132" s="253"/>
      <c r="DF132"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2" s="142"/>
      <c r="DH132" s="254">
        <f ca="1">(TblMili[[#This Row],[Wizards]]+2*TblMili[[#This Row],[Archmages]])/TblConstr[[#This Row],[Land]]</f>
        <v>0</v>
      </c>
      <c r="DI132" s="254">
        <f ca="1">TblMili[[#This Row],[Raw (2)]]*(1+race_wizard_strength+IF(TblMili[[#This Row],[Hour]]&gt;72,tech_magical_weaponry_wiz*TblTech[[#This Row],[3-5]],0))</f>
        <v>0</v>
      </c>
    </row>
    <row r="133" spans="1:113" x14ac:dyDescent="0.2">
      <c r="A133" s="137">
        <f>TblRezone[[#This Row],[Hour]]</f>
        <v>130</v>
      </c>
      <c r="B133" s="246">
        <f ca="1">SUM(TblMili[[#This Row],[Unit 1]:[Archmages]])+SUM(OFFSET(TblMili[[#This Row],[Train Unit 1]],-8,0):TblMili[[#This Row],[Train Unit 2]]) + SUM(OFFSET(TblMili[[#This Row],[Train Unit 3]],-11,0):TblMili[[#This Row],[Train AM]]) + TblMili[[#This Row],[Draftees]]</f>
        <v>801</v>
      </c>
      <c r="C133" s="157">
        <f ca="1">TblPop[[#This Row],[Military%]]</f>
        <v>0.74442379182156138</v>
      </c>
      <c r="D133" s="142"/>
      <c r="E133" s="45">
        <f ca="1">OFFSET(TblMili[[#This Row],[Unit 1]],-1,0) + OFFSET(TblMili[[#This Row],[Train Unit 1]],-9,0) - TblMili[[#This Row],[Release Unit 1]] + OFFSET(TblMili[[#This Row],[DnD_Zombies]],-12,0)</f>
        <v>0</v>
      </c>
      <c r="F133" s="45">
        <f ca="1">OFFSET(TblMili[[#This Row],[Unit 2]],-1,0) + OFFSET(TblMili[[#This Row],[Train Unit 2]],-9,0)-TblMili[[#This Row],[Release Unit 2]]</f>
        <v>0</v>
      </c>
      <c r="G133" s="45">
        <f ca="1">OFFSET(TblMili[[#This Row],[Unit 3]],-1,0) + OFFSET(TblMili[[#This Row],[Train Unit 3]],-12,0)-TblMili[[#This Row],[Release Unit 3]]</f>
        <v>0</v>
      </c>
      <c r="H133" s="45">
        <f ca="1">OFFSET(TblMili[[#This Row],[Unit 4]],-1,0) + OFFSET(TblMili[[#This Row],[Train Unit 4]],-12,0)-TblMili[[#This Row],[Release Unit 4]]</f>
        <v>0</v>
      </c>
      <c r="I133" s="45">
        <f ca="1">OFFSET(TblMili[[#This Row],[Spies]],-1,0) + OFFSET(TblMili[[#This Row],[Train Spies]],-12,0) - TblMili[[#This Row],[Release Spies]]-TblMili[[#This Row],[Train AS]]</f>
        <v>0</v>
      </c>
      <c r="J133" s="45">
        <f ca="1">OFFSET(TblMili[[#This Row],[Archspies]],-1,0) + OFFSET(TblMili[[#This Row],[Train AS]],-12,0) - TblMili[[#This Row],[Release AS]]</f>
        <v>0</v>
      </c>
      <c r="K133" s="45">
        <f ca="1">OFFSET(TblMili[[#This Row],[Wizards]],-1,0) + OFFSET(TblMili[[#This Row],[Train Wiz]],-12,0) - TblMili[[#This Row],[Release Wizards]]-TblMili[[#This Row],[Train AM]]</f>
        <v>0</v>
      </c>
      <c r="L133" s="45">
        <f ca="1">OFFSET(TblMili[[#This Row],[Archmages]],-1,0) + OFFSET(TblMili[[#This Row],[Train AM]],-12,0) - TblMili[[#This Row],[Release AM]]</f>
        <v>0</v>
      </c>
      <c r="M133" s="142"/>
      <c r="N133" s="94">
        <f ca="1">TblProd[[#This Row],[Networth]]</f>
        <v>2450</v>
      </c>
      <c r="O133" s="142"/>
      <c r="P133"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3"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3" s="247">
        <f ca="1">TblMili[[#This Row],[Raw]]*(1+TblMili[[#This Row],[Mods_Off]])</f>
        <v>0</v>
      </c>
      <c r="S133"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3" s="247">
        <f ca="1">TblMili[[#This Row],[Non Draft]]+TblMili[[#This Row],[Draftees]]</f>
        <v>801</v>
      </c>
      <c r="U133" s="248">
        <f ca="1">race_defense + TblImps[[#This Row],[Walls]] + ROUND( MIN(gt_bonus*TblConstr[[#This Row],[Tot GT]]/TblConstr[[#This Row],[Land]],gt_bonus_cap), 4) + IF(TblMagic[[#This Row],[Active Howling]]&gt;0,howling_dp_bonus,IF(TblMagic[[#This Row],[Active Ares Call]]&gt;0,ares_call_bonus))</f>
        <v>0</v>
      </c>
      <c r="V133" s="249">
        <f ca="1">TblMili[[#This Row],[Non Draft]] * (1 + TblMili[[#This Row],[Mods_Def]])</f>
        <v>0</v>
      </c>
      <c r="W133" s="247">
        <f ca="1">TblMili[[#This Row],[Draft]] * (1 + TblMili[[#This Row],[Mods_Def]])</f>
        <v>801</v>
      </c>
      <c r="X133" s="247">
        <f ca="1">TblConstr[[#This Row],[Land]]</f>
        <v>110</v>
      </c>
      <c r="Y133" s="250"/>
      <c r="Z133" s="255">
        <f ca="1">IF(TblMili[[#This Row],[Set]]&lt;&gt;"",TblMili[[#This Row],[Set]],OFFSET(TblMili[[#This Row],[Draftrate]],-1,0))</f>
        <v>0.9</v>
      </c>
      <c r="AA133" s="94">
        <f ca="1">OFFSET(TblMili[[#This Row],[Draftees]],-1,0)+OFFSET(TblPop[[#This Row],[Draft Growth]],-1,0) - SUM(TblMili[[#This Row],[Train Unit 1]:[Train Spies]],TblMili[[#This Row],[Train Wiz]],TblMili[[#This Row],[DnD_Zombies]]) - TblMili[[#This Row],[Release Draft]] + SUM(TblMili[[#This Row],[Release Unit 1]:[Release AM]]) - TblExplore[[#This Row],[Draftees (2)]]</f>
        <v>801</v>
      </c>
      <c r="AB133" s="154"/>
      <c r="AC133" s="180">
        <f ca="1">(TblConstr[[#This Row],[Tot Smi]]+TblConstr[[#This Row],[Dest Smi]])/(TblConstr[[#This Row],[Land]]-TblExplore[[#This Row],[Land Bonus]]*20)</f>
        <v>0</v>
      </c>
      <c r="AD133" s="137"/>
      <c r="AE133" s="246">
        <f>TblMili[[#This Row],[Hour]]</f>
        <v>130</v>
      </c>
      <c r="AF133" s="138">
        <f ca="1">TblExplore[[#This Row],[Time]]</f>
        <v>46052.374999999687</v>
      </c>
      <c r="AG133" s="179"/>
      <c r="AH133" s="179"/>
      <c r="AI133" s="179"/>
      <c r="AJ133" s="179"/>
      <c r="AK133" s="179"/>
      <c r="AL133" s="179"/>
      <c r="AM133" s="179"/>
      <c r="AN133" s="179"/>
      <c r="AO133" s="420">
        <f ca="1">ROUND(IF(AND(TblMagic[[#This Row],[Active DnD]]&lt;12,TblMagic[[#This Row],[Active DnD]]&gt;5),OFFSET(TblPop[[#This Row],[Draft Growth]],-1,0)*0.375,0),0)</f>
        <v>0</v>
      </c>
      <c r="AP133" s="142"/>
      <c r="AQ133" s="94">
        <f ca="1">TblProd[[#This Row],[Platinum]]</f>
        <v>225909</v>
      </c>
      <c r="AR133" s="94">
        <f ca="1">INDEX(TblProd[[#Headers],[Lumber]]:TblProd[[#This Row],[Ore]],COUNTA(TblProd[[#Headers],[Lumber]]:TblProd[[#This Row],[Lumber]]),MATCH(Military!$AR$2,TblProd[[#Headers],[Lumber]:[Ore]],0))</f>
        <v>0</v>
      </c>
      <c r="AS133"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3" s="94">
        <f ca="1">TblMili[[#This Row],[Train Unit 1]]*TblMili[[#This Row],[OP Ore]]+TblMili[[#This Row],[Train Unit 2]]*TblMili[[#This Row],[DP Ore]]+TblMili[[#This Row],[Train Unit 3]]*TblMili[[#This Row],[E1 Ore]]+TblMili[[#This Row],[Train Unit 4]]*TblMili[[#This Row],[E2 Ore]]</f>
        <v>0</v>
      </c>
      <c r="AU133" s="142">
        <f>TblMili[[#This Row],[Hour]]</f>
        <v>130</v>
      </c>
      <c r="AV133" s="152">
        <f ca="1">TblMili[[#This Row],[Time]]</f>
        <v>46052.374999999687</v>
      </c>
      <c r="AW133" s="94">
        <f ca="1">TblMili[[#This Row],[Draftees]]</f>
        <v>801</v>
      </c>
      <c r="AX133" s="179"/>
      <c r="AY133" s="179"/>
      <c r="AZ133" s="179"/>
      <c r="BA133" s="179"/>
      <c r="BB133" s="179"/>
      <c r="BC133" s="179"/>
      <c r="BD133" s="179"/>
      <c r="BE133" s="179"/>
      <c r="BF133" s="179"/>
      <c r="BG133" s="142"/>
      <c r="BH133" s="157">
        <f ca="1">TblConstr[[#This Row],[Tot WG]]/TblConstr[[#This Row],[Land]]</f>
        <v>0</v>
      </c>
      <c r="BI133" s="157">
        <f ca="1">TblConstr[[#This Row],[Tot Hav]]/TblConstr[[#This Row],[Land]]</f>
        <v>0</v>
      </c>
      <c r="BJ133" s="94">
        <f ca="1">ROUNDUP((1-MIN(TblMili[[#This Row],[Smithies]]*smithy_bonus,smithy_bonus_cap) + tech_3_5*TblTech[[#This Row],[3-5]] + tech_5_3*TblTech[[#This Row],[5-3]] + tech_5_5*TblTech[[#This Row],[5-5]])*spec_op_plat,0)</f>
        <v>275</v>
      </c>
      <c r="BK133" s="94">
        <f ca="1">ROUNDUP(IF(race="Gnome",1,(1-MIN(TblMili[[#This Row],[Smithies]]*smithy_bonus,smithy_bonus_cap) + tech_3_5*TblTech[[#This Row],[3-5]] + tech_5_3*TblTech[[#This Row],[5-3]] + tech_5_5*TblTech[[#This Row],[5-5]]))*spec_op_ore,0)</f>
        <v>25</v>
      </c>
      <c r="BL133" s="94">
        <f ca="1">ROUNDUP((1-MIN(TblMili[[#This Row],[Smithies]]*smithy_bonus,smithy_bonus_cap) + tech_3_5*TblTech[[#This Row],[3-5]] + tech_5_3*TblTech[[#This Row],[5-3]] + tech_5_5*TblTech[[#This Row],[5-5]])*spec_dp_plat,0)</f>
        <v>275</v>
      </c>
      <c r="BM133" s="94">
        <f ca="1">ROUNDUP(IF(race="Gnome",1,(1-MIN(TblMili[[#This Row],[Smithies]]*smithy_bonus,smithy_bonus_cap) + tech_3_5*TblTech[[#This Row],[3-5]] + tech_5_3*TblTech[[#This Row],[5-3]] + tech_5_5*TblTech[[#This Row],[5-5]]))*spec_dp_ore,0)</f>
        <v>15</v>
      </c>
      <c r="BN133" s="94">
        <f ca="1">ROUNDUP((1-MIN(TblMili[[#This Row],[Smithies]]*smithy_bonus,smithy_bonus_cap) + tech_3_5*TblTech[[#This Row],[3-5]] + tech_5_3*TblTech[[#This Row],[5-3]] + tech_5_5*TblTech[[#This Row],[5-5]])*elite1_plat,0)</f>
        <v>1040</v>
      </c>
      <c r="BO133" s="94">
        <f ca="1">ROUNDUP(IF(race="Gnome",1,(1-MIN(TblMili[[#This Row],[Smithies]]*smithy_bonus,smithy_bonus_cap) + tech_3_5*TblTech[[#This Row],[3-5]] + tech_5_3*TblTech[[#This Row],[5-3]] + tech_5_5*TblTech[[#This Row],[5-5]]))*elite1_ore,0)</f>
        <v>75</v>
      </c>
      <c r="BP133" s="94">
        <f ca="1">ROUNDUP((1-MIN(TblMili[[#This Row],[Smithies]]*smithy_bonus,smithy_bonus_cap) + tech_3_5*TblTech[[#This Row],[3-5]] + tech_5_3*TblTech[[#This Row],[5-3]] + tech_5_5*TblTech[[#This Row],[5-5]])*elite2_plat,0)</f>
        <v>1280</v>
      </c>
      <c r="BQ133" s="94">
        <f ca="1">ROUNDUP(IF(race="Gnome",1,(1-MIN(TblMili[[#This Row],[Smithies]]*smithy_bonus,smithy_bonus_cap) + tech_3_5*TblTech[[#This Row],[3-5]] + tech_5_3*TblTech[[#This Row],[5-3]] + tech_5_5*TblTech[[#This Row],[5-5]]))*elite2_ore,0)</f>
        <v>100</v>
      </c>
      <c r="BR133" s="94">
        <f ca="1">ROUNDUP((1-MIN(ROUND(fh_spy_cost_red*TblMili[[#This Row],[FH''s]],4),fh_spy_cost_cap)+ tech_1_9*TblTech[[#This Row],[1-9]] + tech_9_1*TblTech[[#This Row],[9-1]])*spy_plat,0)</f>
        <v>500</v>
      </c>
      <c r="BS133" s="94">
        <f ca="1">ROUNDUP((1-MIN(ROUND(fh_spy_cost_red*TblMili[[#This Row],[FH''s]],4),fh_spy_cost_cap)+ tech_1_9*TblTech[[#This Row],[1-9]] + tech_9_1*TblTech[[#This Row],[9-1]])*archspy_plat,0)</f>
        <v>1000</v>
      </c>
      <c r="BT133" s="94">
        <f ca="1">ROUNDUP((1-MIN(ROUND(wg_wiz_cost_bonus*TblMili[[#This Row],[WG''s]],4),wg_wiz_cost_cap) + tech_1_9_2*TblTech[[#This Row],[1-9]] + tech_9_1_2*TblTech[[#This Row],[9-1]])*wizard_plat,0)</f>
        <v>500</v>
      </c>
      <c r="BU133" s="94">
        <f ca="1">ROUNDUP((1-MIN(ROUND(wg_wiz_cost_bonus*TblMili[[#This Row],[WG''s]],4),wg_wiz_cost_cap) + tech_1_9_2*TblTech[[#This Row],[1-9]] + tech_9_1_2*TblTech[[#This Row],[9-1]])*archmage_plat,0)</f>
        <v>1000</v>
      </c>
      <c r="BV133" s="142"/>
      <c r="BW133" s="157">
        <f ca="1">TblConstr[[#This Row],[Homeland]]/TblConstr[[#This Row],[Land]]</f>
        <v>0.81818181818181823</v>
      </c>
      <c r="BX133" s="157">
        <f ca="1">TblMili[[#This Row],[WG''s]]</f>
        <v>0</v>
      </c>
      <c r="BY133" s="251">
        <f ca="1">IF(mystic_cap="none",TblMili[[#This Row],[Homeland%]]/mystic_bonus,MIN(mystic_cap,TblMili[[#This Row],[Homeland%]]/mystic_bonus))</f>
        <v>2</v>
      </c>
      <c r="BZ133" s="251">
        <f ca="1">IF(druid_op_cap="none",TblMili[[#This Row],[Homeland%]]/druid_op_bonus,MIN(druid_op_cap,TblMili[[#This Row],[Homeland%]]/druid_op_bonus))</f>
        <v>2</v>
      </c>
      <c r="CA133" s="251">
        <f ca="1">IF(druid_dp_cap="none",TblMili[[#This Row],[Homeland%]]/druid_dp_bonus,MIN(druid_dp_cap,TblMili[[#This Row],[Homeland%]]/druid_dp_bonus))</f>
        <v>2</v>
      </c>
      <c r="CB133" s="251">
        <f ca="1">MIN(dryad_cap,TblMili[[#This Row],[Homeland%]]/dryad_bonus)</f>
        <v>4</v>
      </c>
      <c r="CC133" s="251">
        <f ca="1">MIN(rocka_cap,TblMili[[#This Row],[Homeland%]]/rocka_bonus)</f>
        <v>2</v>
      </c>
      <c r="CD133" s="251">
        <f ca="1">MIN(adept_op_cap,TblMili[[#This Row],[WG]]/adept_op_bonus)</f>
        <v>0</v>
      </c>
      <c r="CE133" s="251">
        <f ca="1">MIN(adept_dp_cap,TblMili[[#This Row],[WG]]/adept_dp_bonus)</f>
        <v>0</v>
      </c>
      <c r="CF133" s="94">
        <f ca="1">MIN(TblMili[[#This Row],[Unit 3]],TblMili[[#This Row],[Unit 2]])*2</f>
        <v>0</v>
      </c>
      <c r="CG133" s="94">
        <f ca="1">MIN(TblMili[[#This Row],[Unit 1]],TblMili[[#This Row],[Unit 4]])*2</f>
        <v>0</v>
      </c>
      <c r="CH133" s="251">
        <f ca="1">MIN(frost_mage_cap,TblMili[[#This Row],[Homeland%]]/frost_mage_bonus)</f>
        <v>3</v>
      </c>
      <c r="CI133" s="45">
        <f ca="1">MIN(ice_elem_cap,TblMili[[#This Row],[Raw (2)]]*ice_elem_bonus)</f>
        <v>0</v>
      </c>
      <c r="CJ133" s="251">
        <f t="shared" si="4"/>
        <v>0.83333333333333337</v>
      </c>
      <c r="CK133" s="251">
        <f ca="1">MIN(nox_nightshade_cap,TblConstr[[#This Row],[Homeland]]/TblConstr[[#This Row],[Land]]/nox_nightshade_swamp_bonus)</f>
        <v>4</v>
      </c>
      <c r="CL133" s="251">
        <f ca="1">MIN(TblConstr[[#This Row],[Total Swamp]]/TblConstr[[#This Row],[Land]]/abyss_enforce_bonus,abyss_enforcer_cap)</f>
        <v>0</v>
      </c>
      <c r="CM133" s="251">
        <f ca="1">IF(TblMagic[[#This Row],[Active Infernal Command]]&gt;0,TblMili[[#This Row],[Unit 1]]*infernal_cmd_op,0)</f>
        <v>0</v>
      </c>
      <c r="CN133" s="252"/>
      <c r="CO133" s="252"/>
      <c r="CP133" s="252"/>
      <c r="CQ133" s="251">
        <f ca="1">MIN(6,TblMili[[#This Row],[Mystic]]+Races!$F$19)*1.8 +  IF(TblMili[[#This Row],[Mystic]]+Races!$F$19&gt;6,(TblMili[[#This Row],[Mystic]]+Races!$F$19-6)*0.2,0) - Races!$I$19</f>
        <v>1</v>
      </c>
      <c r="CR133"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3" s="94">
        <f ca="1">TblMili[[#This Row],[Mystic bonus]]*TblMili[[#This Row],[Unit 3]]+TblMili[[#This Row],[Druid bonus]]*TblMili[[#This Row],[Unit 4]]</f>
        <v>0</v>
      </c>
      <c r="CT133" s="155">
        <f ca="1">MIN(6,TblMili[[#This Row],[Dryad]]+Races!$F$35)*1.8 +  IF(TblMili[[#This Row],[Dryad]]+Races!$F$35&gt;6,(TblMili[[#This Row],[Dryad]]+Races!$F$35-6)*0.2,0) - Races!$I$19</f>
        <v>1</v>
      </c>
      <c r="CU133" s="94">
        <f ca="1">sylvan*(TblMili[[#This Row],[Mystic bonus]]*TblMili[[#This Row],[Unit 3]])</f>
        <v>0</v>
      </c>
      <c r="CV133" s="155">
        <f ca="1">1.8 * MIN(MAX(Races!$E$27,TblMili[[#This Row],[Rockapult]]+Races!$F$27),6)  +  0.45 * MIN(MIN(Races!$E$27,TblMili[[#This Row],[Rockapult]]+Races!$F$27),6)  +  0.2 * ( MAX(Races!$E$27-6,0) + MAX(TblMili[[#This Row],[Rockapult]]+Races!$F$27-6,0) )  -  Races!$I$20</f>
        <v>3.7000000000000011</v>
      </c>
      <c r="CW133" s="94">
        <f ca="1">gnome*(TblMili[[#This Row],[Rockapult bonus]]*TblMili[[#This Row],[Unit 3]])</f>
        <v>0</v>
      </c>
      <c r="CX133"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3" s="94">
        <f ca="1">dark_elf*(TblMili[[#This Row],[Adept bonus]]*TblMili[[#This Row],[Unit 3]])</f>
        <v>0</v>
      </c>
      <c r="CZ133" s="155">
        <f ca="1">1.8 * MIN(MAX(TblMili[[#This Row],[Frost Mage]]+Races!$F$71,Races!$E$71),6)  +  0.45 * MIN(MIN(TblMili[[#This Row],[Frost Mage]]+Races!$F$71,Races!$E$71),6)  +  0.2 * ( MAX(TblMili[[#This Row],[Frost Mage]]+Races!$F$71-6,0) + MAX(Races!$E$71-6,0) )  -  Races!$I$71</f>
        <v>6.15</v>
      </c>
      <c r="DA133" s="155">
        <f ca="1">1.8 * MIN(MAX(TblMili[[#This Row],[Ice Elemental]]+Races!$E$71,Races!$F$71),6)  +  0.45 * MIN(MIN(TblMili[[#This Row],[Ice Elemental]]+Races!$E$71,Races!$F$71),6)  +  0.2 * ( MAX(TblMili[[#This Row],[Ice Elemental]]+Races!$E$71-6,0) + MAX(Races!$F$71-6,0) )  -  Races!$I$71</f>
        <v>0.75</v>
      </c>
      <c r="DB133" s="94">
        <f ca="1">TblMili[[#This Row],[Frost Mage bonus]]*TblMili[[#This Row],[Unit 3]]+TblMili[[#This Row],[Ice Elemental bonus]]*TblMili[[#This Row],[Unit 4]]</f>
        <v>0</v>
      </c>
      <c r="DC133" s="253"/>
      <c r="DD133" s="143">
        <f ca="1">MIN(SUM(TblConstr[[#This Row],[Plain]:[Water]])/TblMili[[#This Row],[Land]]/favorable_terrain_bonus/100,favorable_terrain_max)</f>
        <v>0.1</v>
      </c>
      <c r="DE133" s="253"/>
      <c r="DF133"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3" s="142"/>
      <c r="DH133" s="254">
        <f ca="1">(TblMili[[#This Row],[Wizards]]+2*TblMili[[#This Row],[Archmages]])/TblConstr[[#This Row],[Land]]</f>
        <v>0</v>
      </c>
      <c r="DI133" s="254">
        <f ca="1">TblMili[[#This Row],[Raw (2)]]*(1+race_wizard_strength+IF(TblMili[[#This Row],[Hour]]&gt;72,tech_magical_weaponry_wiz*TblTech[[#This Row],[3-5]],0))</f>
        <v>0</v>
      </c>
    </row>
    <row r="134" spans="1:113" x14ac:dyDescent="0.2">
      <c r="A134" s="137">
        <f>TblRezone[[#This Row],[Hour]]</f>
        <v>131</v>
      </c>
      <c r="B134" s="246">
        <f ca="1">SUM(TblMili[[#This Row],[Unit 1]:[Archmages]])+SUM(OFFSET(TblMili[[#This Row],[Train Unit 1]],-8,0):TblMili[[#This Row],[Train Unit 2]]) + SUM(OFFSET(TblMili[[#This Row],[Train Unit 3]],-11,0):TblMili[[#This Row],[Train AM]]) + TblMili[[#This Row],[Draftees]]</f>
        <v>804</v>
      </c>
      <c r="C134" s="157">
        <f ca="1">TblPop[[#This Row],[Military%]]</f>
        <v>0.74721189591078063</v>
      </c>
      <c r="D134" s="142"/>
      <c r="E134" s="45">
        <f ca="1">OFFSET(TblMili[[#This Row],[Unit 1]],-1,0) + OFFSET(TblMili[[#This Row],[Train Unit 1]],-9,0) - TblMili[[#This Row],[Release Unit 1]] + OFFSET(TblMili[[#This Row],[DnD_Zombies]],-12,0)</f>
        <v>0</v>
      </c>
      <c r="F134" s="45">
        <f ca="1">OFFSET(TblMili[[#This Row],[Unit 2]],-1,0) + OFFSET(TblMili[[#This Row],[Train Unit 2]],-9,0)-TblMili[[#This Row],[Release Unit 2]]</f>
        <v>0</v>
      </c>
      <c r="G134" s="45">
        <f ca="1">OFFSET(TblMili[[#This Row],[Unit 3]],-1,0) + OFFSET(TblMili[[#This Row],[Train Unit 3]],-12,0)-TblMili[[#This Row],[Release Unit 3]]</f>
        <v>0</v>
      </c>
      <c r="H134" s="45">
        <f ca="1">OFFSET(TblMili[[#This Row],[Unit 4]],-1,0) + OFFSET(TblMili[[#This Row],[Train Unit 4]],-12,0)-TblMili[[#This Row],[Release Unit 4]]</f>
        <v>0</v>
      </c>
      <c r="I134" s="45">
        <f ca="1">OFFSET(TblMili[[#This Row],[Spies]],-1,0) + OFFSET(TblMili[[#This Row],[Train Spies]],-12,0) - TblMili[[#This Row],[Release Spies]]-TblMili[[#This Row],[Train AS]]</f>
        <v>0</v>
      </c>
      <c r="J134" s="45">
        <f ca="1">OFFSET(TblMili[[#This Row],[Archspies]],-1,0) + OFFSET(TblMili[[#This Row],[Train AS]],-12,0) - TblMili[[#This Row],[Release AS]]</f>
        <v>0</v>
      </c>
      <c r="K134" s="45">
        <f ca="1">OFFSET(TblMili[[#This Row],[Wizards]],-1,0) + OFFSET(TblMili[[#This Row],[Train Wiz]],-12,0) - TblMili[[#This Row],[Release Wizards]]-TblMili[[#This Row],[Train AM]]</f>
        <v>0</v>
      </c>
      <c r="L134" s="45">
        <f ca="1">OFFSET(TblMili[[#This Row],[Archmages]],-1,0) + OFFSET(TblMili[[#This Row],[Train AM]],-12,0) - TblMili[[#This Row],[Release AM]]</f>
        <v>0</v>
      </c>
      <c r="M134" s="142"/>
      <c r="N134" s="94">
        <f ca="1">TblProd[[#This Row],[Networth]]</f>
        <v>2450</v>
      </c>
      <c r="O134" s="142"/>
      <c r="P134"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4"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4" s="247">
        <f ca="1">TblMili[[#This Row],[Raw]]*(1+TblMili[[#This Row],[Mods_Off]])</f>
        <v>0</v>
      </c>
      <c r="S134"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4" s="247">
        <f ca="1">TblMili[[#This Row],[Non Draft]]+TblMili[[#This Row],[Draftees]]</f>
        <v>804</v>
      </c>
      <c r="U134" s="248">
        <f ca="1">race_defense + TblImps[[#This Row],[Walls]] + ROUND( MIN(gt_bonus*TblConstr[[#This Row],[Tot GT]]/TblConstr[[#This Row],[Land]],gt_bonus_cap), 4) + IF(TblMagic[[#This Row],[Active Howling]]&gt;0,howling_dp_bonus,IF(TblMagic[[#This Row],[Active Ares Call]]&gt;0,ares_call_bonus))</f>
        <v>0</v>
      </c>
      <c r="V134" s="249">
        <f ca="1">TblMili[[#This Row],[Non Draft]] * (1 + TblMili[[#This Row],[Mods_Def]])</f>
        <v>0</v>
      </c>
      <c r="W134" s="247">
        <f ca="1">TblMili[[#This Row],[Draft]] * (1 + TblMili[[#This Row],[Mods_Def]])</f>
        <v>804</v>
      </c>
      <c r="X134" s="247">
        <f ca="1">TblConstr[[#This Row],[Land]]</f>
        <v>110</v>
      </c>
      <c r="Y134" s="250"/>
      <c r="Z134" s="255">
        <f ca="1">IF(TblMili[[#This Row],[Set]]&lt;&gt;"",TblMili[[#This Row],[Set]],OFFSET(TblMili[[#This Row],[Draftrate]],-1,0))</f>
        <v>0.9</v>
      </c>
      <c r="AA134" s="94">
        <f ca="1">OFFSET(TblMili[[#This Row],[Draftees]],-1,0)+OFFSET(TblPop[[#This Row],[Draft Growth]],-1,0) - SUM(TblMili[[#This Row],[Train Unit 1]:[Train Spies]],TblMili[[#This Row],[Train Wiz]],TblMili[[#This Row],[DnD_Zombies]]) - TblMili[[#This Row],[Release Draft]] + SUM(TblMili[[#This Row],[Release Unit 1]:[Release AM]]) - TblExplore[[#This Row],[Draftees (2)]]</f>
        <v>804</v>
      </c>
      <c r="AB134" s="154"/>
      <c r="AC134" s="180">
        <f ca="1">(TblConstr[[#This Row],[Tot Smi]]+TblConstr[[#This Row],[Dest Smi]])/(TblConstr[[#This Row],[Land]]-TblExplore[[#This Row],[Land Bonus]]*20)</f>
        <v>0</v>
      </c>
      <c r="AD134" s="137"/>
      <c r="AE134" s="246">
        <f>TblMili[[#This Row],[Hour]]</f>
        <v>131</v>
      </c>
      <c r="AF134" s="138">
        <f ca="1">TblExplore[[#This Row],[Time]]</f>
        <v>46052.416666666351</v>
      </c>
      <c r="AG134" s="179"/>
      <c r="AH134" s="179"/>
      <c r="AI134" s="179"/>
      <c r="AJ134" s="179"/>
      <c r="AK134" s="179"/>
      <c r="AL134" s="179"/>
      <c r="AM134" s="179"/>
      <c r="AN134" s="179"/>
      <c r="AO134" s="420">
        <f ca="1">ROUND(IF(AND(TblMagic[[#This Row],[Active DnD]]&lt;12,TblMagic[[#This Row],[Active DnD]]&gt;5),OFFSET(TblPop[[#This Row],[Draft Growth]],-1,0)*0.375,0),0)</f>
        <v>0</v>
      </c>
      <c r="AP134" s="142"/>
      <c r="AQ134" s="94">
        <f ca="1">TblProd[[#This Row],[Platinum]]</f>
        <v>226651</v>
      </c>
      <c r="AR134" s="94">
        <f ca="1">INDEX(TblProd[[#Headers],[Lumber]]:TblProd[[#This Row],[Ore]],COUNTA(TblProd[[#Headers],[Lumber]]:TblProd[[#This Row],[Lumber]]),MATCH(Military!$AR$2,TblProd[[#Headers],[Lumber]:[Ore]],0))</f>
        <v>0</v>
      </c>
      <c r="AS134"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4" s="94">
        <f ca="1">TblMili[[#This Row],[Train Unit 1]]*TblMili[[#This Row],[OP Ore]]+TblMili[[#This Row],[Train Unit 2]]*TblMili[[#This Row],[DP Ore]]+TblMili[[#This Row],[Train Unit 3]]*TblMili[[#This Row],[E1 Ore]]+TblMili[[#This Row],[Train Unit 4]]*TblMili[[#This Row],[E2 Ore]]</f>
        <v>0</v>
      </c>
      <c r="AU134" s="142">
        <f>TblMili[[#This Row],[Hour]]</f>
        <v>131</v>
      </c>
      <c r="AV134" s="152">
        <f ca="1">TblMili[[#This Row],[Time]]</f>
        <v>46052.416666666351</v>
      </c>
      <c r="AW134" s="94">
        <f ca="1">TblMili[[#This Row],[Draftees]]</f>
        <v>804</v>
      </c>
      <c r="AX134" s="179"/>
      <c r="AY134" s="179"/>
      <c r="AZ134" s="179"/>
      <c r="BA134" s="179"/>
      <c r="BB134" s="179"/>
      <c r="BC134" s="179"/>
      <c r="BD134" s="179"/>
      <c r="BE134" s="179"/>
      <c r="BF134" s="179"/>
      <c r="BG134" s="142"/>
      <c r="BH134" s="157">
        <f ca="1">TblConstr[[#This Row],[Tot WG]]/TblConstr[[#This Row],[Land]]</f>
        <v>0</v>
      </c>
      <c r="BI134" s="157">
        <f ca="1">TblConstr[[#This Row],[Tot Hav]]/TblConstr[[#This Row],[Land]]</f>
        <v>0</v>
      </c>
      <c r="BJ134" s="94">
        <f ca="1">ROUNDUP((1-MIN(TblMili[[#This Row],[Smithies]]*smithy_bonus,smithy_bonus_cap) + tech_3_5*TblTech[[#This Row],[3-5]] + tech_5_3*TblTech[[#This Row],[5-3]] + tech_5_5*TblTech[[#This Row],[5-5]])*spec_op_plat,0)</f>
        <v>275</v>
      </c>
      <c r="BK134" s="94">
        <f ca="1">ROUNDUP(IF(race="Gnome",1,(1-MIN(TblMili[[#This Row],[Smithies]]*smithy_bonus,smithy_bonus_cap) + tech_3_5*TblTech[[#This Row],[3-5]] + tech_5_3*TblTech[[#This Row],[5-3]] + tech_5_5*TblTech[[#This Row],[5-5]]))*spec_op_ore,0)</f>
        <v>25</v>
      </c>
      <c r="BL134" s="94">
        <f ca="1">ROUNDUP((1-MIN(TblMili[[#This Row],[Smithies]]*smithy_bonus,smithy_bonus_cap) + tech_3_5*TblTech[[#This Row],[3-5]] + tech_5_3*TblTech[[#This Row],[5-3]] + tech_5_5*TblTech[[#This Row],[5-5]])*spec_dp_plat,0)</f>
        <v>275</v>
      </c>
      <c r="BM134" s="94">
        <f ca="1">ROUNDUP(IF(race="Gnome",1,(1-MIN(TblMili[[#This Row],[Smithies]]*smithy_bonus,smithy_bonus_cap) + tech_3_5*TblTech[[#This Row],[3-5]] + tech_5_3*TblTech[[#This Row],[5-3]] + tech_5_5*TblTech[[#This Row],[5-5]]))*spec_dp_ore,0)</f>
        <v>15</v>
      </c>
      <c r="BN134" s="94">
        <f ca="1">ROUNDUP((1-MIN(TblMili[[#This Row],[Smithies]]*smithy_bonus,smithy_bonus_cap) + tech_3_5*TblTech[[#This Row],[3-5]] + tech_5_3*TblTech[[#This Row],[5-3]] + tech_5_5*TblTech[[#This Row],[5-5]])*elite1_plat,0)</f>
        <v>1040</v>
      </c>
      <c r="BO134" s="94">
        <f ca="1">ROUNDUP(IF(race="Gnome",1,(1-MIN(TblMili[[#This Row],[Smithies]]*smithy_bonus,smithy_bonus_cap) + tech_3_5*TblTech[[#This Row],[3-5]] + tech_5_3*TblTech[[#This Row],[5-3]] + tech_5_5*TblTech[[#This Row],[5-5]]))*elite1_ore,0)</f>
        <v>75</v>
      </c>
      <c r="BP134" s="94">
        <f ca="1">ROUNDUP((1-MIN(TblMili[[#This Row],[Smithies]]*smithy_bonus,smithy_bonus_cap) + tech_3_5*TblTech[[#This Row],[3-5]] + tech_5_3*TblTech[[#This Row],[5-3]] + tech_5_5*TblTech[[#This Row],[5-5]])*elite2_plat,0)</f>
        <v>1280</v>
      </c>
      <c r="BQ134" s="94">
        <f ca="1">ROUNDUP(IF(race="Gnome",1,(1-MIN(TblMili[[#This Row],[Smithies]]*smithy_bonus,smithy_bonus_cap) + tech_3_5*TblTech[[#This Row],[3-5]] + tech_5_3*TblTech[[#This Row],[5-3]] + tech_5_5*TblTech[[#This Row],[5-5]]))*elite2_ore,0)</f>
        <v>100</v>
      </c>
      <c r="BR134" s="94">
        <f ca="1">ROUNDUP((1-MIN(ROUND(fh_spy_cost_red*TblMili[[#This Row],[FH''s]],4),fh_spy_cost_cap)+ tech_1_9*TblTech[[#This Row],[1-9]] + tech_9_1*TblTech[[#This Row],[9-1]])*spy_plat,0)</f>
        <v>500</v>
      </c>
      <c r="BS134" s="94">
        <f ca="1">ROUNDUP((1-MIN(ROUND(fh_spy_cost_red*TblMili[[#This Row],[FH''s]],4),fh_spy_cost_cap)+ tech_1_9*TblTech[[#This Row],[1-9]] + tech_9_1*TblTech[[#This Row],[9-1]])*archspy_plat,0)</f>
        <v>1000</v>
      </c>
      <c r="BT134" s="94">
        <f ca="1">ROUNDUP((1-MIN(ROUND(wg_wiz_cost_bonus*TblMili[[#This Row],[WG''s]],4),wg_wiz_cost_cap) + tech_1_9_2*TblTech[[#This Row],[1-9]] + tech_9_1_2*TblTech[[#This Row],[9-1]])*wizard_plat,0)</f>
        <v>500</v>
      </c>
      <c r="BU134" s="94">
        <f ca="1">ROUNDUP((1-MIN(ROUND(wg_wiz_cost_bonus*TblMili[[#This Row],[WG''s]],4),wg_wiz_cost_cap) + tech_1_9_2*TblTech[[#This Row],[1-9]] + tech_9_1_2*TblTech[[#This Row],[9-1]])*archmage_plat,0)</f>
        <v>1000</v>
      </c>
      <c r="BV134" s="142"/>
      <c r="BW134" s="157">
        <f ca="1">TblConstr[[#This Row],[Homeland]]/TblConstr[[#This Row],[Land]]</f>
        <v>0.81818181818181823</v>
      </c>
      <c r="BX134" s="157">
        <f ca="1">TblMili[[#This Row],[WG''s]]</f>
        <v>0</v>
      </c>
      <c r="BY134" s="251">
        <f ca="1">IF(mystic_cap="none",TblMili[[#This Row],[Homeland%]]/mystic_bonus,MIN(mystic_cap,TblMili[[#This Row],[Homeland%]]/mystic_bonus))</f>
        <v>2</v>
      </c>
      <c r="BZ134" s="251">
        <f ca="1">IF(druid_op_cap="none",TblMili[[#This Row],[Homeland%]]/druid_op_bonus,MIN(druid_op_cap,TblMili[[#This Row],[Homeland%]]/druid_op_bonus))</f>
        <v>2</v>
      </c>
      <c r="CA134" s="251">
        <f ca="1">IF(druid_dp_cap="none",TblMili[[#This Row],[Homeland%]]/druid_dp_bonus,MIN(druid_dp_cap,TblMili[[#This Row],[Homeland%]]/druid_dp_bonus))</f>
        <v>2</v>
      </c>
      <c r="CB134" s="251">
        <f ca="1">MIN(dryad_cap,TblMili[[#This Row],[Homeland%]]/dryad_bonus)</f>
        <v>4</v>
      </c>
      <c r="CC134" s="251">
        <f ca="1">MIN(rocka_cap,TblMili[[#This Row],[Homeland%]]/rocka_bonus)</f>
        <v>2</v>
      </c>
      <c r="CD134" s="251">
        <f ca="1">MIN(adept_op_cap,TblMili[[#This Row],[WG]]/adept_op_bonus)</f>
        <v>0</v>
      </c>
      <c r="CE134" s="251">
        <f ca="1">MIN(adept_dp_cap,TblMili[[#This Row],[WG]]/adept_dp_bonus)</f>
        <v>0</v>
      </c>
      <c r="CF134" s="94">
        <f ca="1">MIN(TblMili[[#This Row],[Unit 3]],TblMili[[#This Row],[Unit 2]])*2</f>
        <v>0</v>
      </c>
      <c r="CG134" s="94">
        <f ca="1">MIN(TblMili[[#This Row],[Unit 1]],TblMili[[#This Row],[Unit 4]])*2</f>
        <v>0</v>
      </c>
      <c r="CH134" s="251">
        <f ca="1">MIN(frost_mage_cap,TblMili[[#This Row],[Homeland%]]/frost_mage_bonus)</f>
        <v>3</v>
      </c>
      <c r="CI134" s="45">
        <f ca="1">MIN(ice_elem_cap,TblMili[[#This Row],[Raw (2)]]*ice_elem_bonus)</f>
        <v>0</v>
      </c>
      <c r="CJ134" s="251">
        <f t="shared" si="4"/>
        <v>0.83333333333333337</v>
      </c>
      <c r="CK134" s="251">
        <f ca="1">MIN(nox_nightshade_cap,TblConstr[[#This Row],[Homeland]]/TblConstr[[#This Row],[Land]]/nox_nightshade_swamp_bonus)</f>
        <v>4</v>
      </c>
      <c r="CL134" s="251">
        <f ca="1">MIN(TblConstr[[#This Row],[Total Swamp]]/TblConstr[[#This Row],[Land]]/abyss_enforce_bonus,abyss_enforcer_cap)</f>
        <v>0</v>
      </c>
      <c r="CM134" s="251">
        <f ca="1">IF(TblMagic[[#This Row],[Active Infernal Command]]&gt;0,TblMili[[#This Row],[Unit 1]]*infernal_cmd_op,0)</f>
        <v>0</v>
      </c>
      <c r="CN134" s="252"/>
      <c r="CO134" s="252"/>
      <c r="CP134" s="252"/>
      <c r="CQ134" s="251">
        <f ca="1">MIN(6,TblMili[[#This Row],[Mystic]]+Races!$F$19)*1.8 +  IF(TblMili[[#This Row],[Mystic]]+Races!$F$19&gt;6,(TblMili[[#This Row],[Mystic]]+Races!$F$19-6)*0.2,0) - Races!$I$19</f>
        <v>1</v>
      </c>
      <c r="CR134"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4" s="94">
        <f ca="1">TblMili[[#This Row],[Mystic bonus]]*TblMili[[#This Row],[Unit 3]]+TblMili[[#This Row],[Druid bonus]]*TblMili[[#This Row],[Unit 4]]</f>
        <v>0</v>
      </c>
      <c r="CT134" s="155">
        <f ca="1">MIN(6,TblMili[[#This Row],[Dryad]]+Races!$F$35)*1.8 +  IF(TblMili[[#This Row],[Dryad]]+Races!$F$35&gt;6,(TblMili[[#This Row],[Dryad]]+Races!$F$35-6)*0.2,0) - Races!$I$19</f>
        <v>1</v>
      </c>
      <c r="CU134" s="94">
        <f ca="1">sylvan*(TblMili[[#This Row],[Mystic bonus]]*TblMili[[#This Row],[Unit 3]])</f>
        <v>0</v>
      </c>
      <c r="CV134" s="155">
        <f ca="1">1.8 * MIN(MAX(Races!$E$27,TblMili[[#This Row],[Rockapult]]+Races!$F$27),6)  +  0.45 * MIN(MIN(Races!$E$27,TblMili[[#This Row],[Rockapult]]+Races!$F$27),6)  +  0.2 * ( MAX(Races!$E$27-6,0) + MAX(TblMili[[#This Row],[Rockapult]]+Races!$F$27-6,0) )  -  Races!$I$20</f>
        <v>3.7000000000000011</v>
      </c>
      <c r="CW134" s="94">
        <f ca="1">gnome*(TblMili[[#This Row],[Rockapult bonus]]*TblMili[[#This Row],[Unit 3]])</f>
        <v>0</v>
      </c>
      <c r="CX134"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4" s="94">
        <f ca="1">dark_elf*(TblMili[[#This Row],[Adept bonus]]*TblMili[[#This Row],[Unit 3]])</f>
        <v>0</v>
      </c>
      <c r="CZ134" s="155">
        <f ca="1">1.8 * MIN(MAX(TblMili[[#This Row],[Frost Mage]]+Races!$F$71,Races!$E$71),6)  +  0.45 * MIN(MIN(TblMili[[#This Row],[Frost Mage]]+Races!$F$71,Races!$E$71),6)  +  0.2 * ( MAX(TblMili[[#This Row],[Frost Mage]]+Races!$F$71-6,0) + MAX(Races!$E$71-6,0) )  -  Races!$I$71</f>
        <v>6.15</v>
      </c>
      <c r="DA134" s="155">
        <f ca="1">1.8 * MIN(MAX(TblMili[[#This Row],[Ice Elemental]]+Races!$E$71,Races!$F$71),6)  +  0.45 * MIN(MIN(TblMili[[#This Row],[Ice Elemental]]+Races!$E$71,Races!$F$71),6)  +  0.2 * ( MAX(TblMili[[#This Row],[Ice Elemental]]+Races!$E$71-6,0) + MAX(Races!$F$71-6,0) )  -  Races!$I$71</f>
        <v>0.75</v>
      </c>
      <c r="DB134" s="94">
        <f ca="1">TblMili[[#This Row],[Frost Mage bonus]]*TblMili[[#This Row],[Unit 3]]+TblMili[[#This Row],[Ice Elemental bonus]]*TblMili[[#This Row],[Unit 4]]</f>
        <v>0</v>
      </c>
      <c r="DC134" s="253"/>
      <c r="DD134" s="143">
        <f ca="1">MIN(SUM(TblConstr[[#This Row],[Plain]:[Water]])/TblMili[[#This Row],[Land]]/favorable_terrain_bonus/100,favorable_terrain_max)</f>
        <v>0.1</v>
      </c>
      <c r="DE134" s="253"/>
      <c r="DF134"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4" s="142"/>
      <c r="DH134" s="254">
        <f ca="1">(TblMili[[#This Row],[Wizards]]+2*TblMili[[#This Row],[Archmages]])/TblConstr[[#This Row],[Land]]</f>
        <v>0</v>
      </c>
      <c r="DI134" s="254">
        <f ca="1">TblMili[[#This Row],[Raw (2)]]*(1+race_wizard_strength+IF(TblMili[[#This Row],[Hour]]&gt;72,tech_magical_weaponry_wiz*TblTech[[#This Row],[3-5]],0))</f>
        <v>0</v>
      </c>
    </row>
    <row r="135" spans="1:113" x14ac:dyDescent="0.2">
      <c r="A135" s="137">
        <f>TblRezone[[#This Row],[Hour]]</f>
        <v>132</v>
      </c>
      <c r="B135" s="246">
        <f ca="1">SUM(TblMili[[#This Row],[Unit 1]:[Archmages]])+SUM(OFFSET(TblMili[[#This Row],[Train Unit 1]],-8,0):TblMili[[#This Row],[Train Unit 2]]) + SUM(OFFSET(TblMili[[#This Row],[Train Unit 3]],-11,0):TblMili[[#This Row],[Train AM]]) + TblMili[[#This Row],[Draftees]]</f>
        <v>807</v>
      </c>
      <c r="C135" s="157">
        <f ca="1">TblPop[[#This Row],[Military%]]</f>
        <v>0.75</v>
      </c>
      <c r="D135" s="142"/>
      <c r="E135" s="45">
        <f ca="1">OFFSET(TblMili[[#This Row],[Unit 1]],-1,0) + OFFSET(TblMili[[#This Row],[Train Unit 1]],-9,0) - TblMili[[#This Row],[Release Unit 1]] + OFFSET(TblMili[[#This Row],[DnD_Zombies]],-12,0)</f>
        <v>0</v>
      </c>
      <c r="F135" s="45">
        <f ca="1">OFFSET(TblMili[[#This Row],[Unit 2]],-1,0) + OFFSET(TblMili[[#This Row],[Train Unit 2]],-9,0)-TblMili[[#This Row],[Release Unit 2]]</f>
        <v>0</v>
      </c>
      <c r="G135" s="45">
        <f ca="1">OFFSET(TblMili[[#This Row],[Unit 3]],-1,0) + OFFSET(TblMili[[#This Row],[Train Unit 3]],-12,0)-TblMili[[#This Row],[Release Unit 3]]</f>
        <v>0</v>
      </c>
      <c r="H135" s="45">
        <f ca="1">OFFSET(TblMili[[#This Row],[Unit 4]],-1,0) + OFFSET(TblMili[[#This Row],[Train Unit 4]],-12,0)-TblMili[[#This Row],[Release Unit 4]]</f>
        <v>0</v>
      </c>
      <c r="I135" s="45">
        <f ca="1">OFFSET(TblMili[[#This Row],[Spies]],-1,0) + OFFSET(TblMili[[#This Row],[Train Spies]],-12,0) - TblMili[[#This Row],[Release Spies]]-TblMili[[#This Row],[Train AS]]</f>
        <v>0</v>
      </c>
      <c r="J135" s="45">
        <f ca="1">OFFSET(TblMili[[#This Row],[Archspies]],-1,0) + OFFSET(TblMili[[#This Row],[Train AS]],-12,0) - TblMili[[#This Row],[Release AS]]</f>
        <v>0</v>
      </c>
      <c r="K135" s="45">
        <f ca="1">OFFSET(TblMili[[#This Row],[Wizards]],-1,0) + OFFSET(TblMili[[#This Row],[Train Wiz]],-12,0) - TblMili[[#This Row],[Release Wizards]]-TblMili[[#This Row],[Train AM]]</f>
        <v>0</v>
      </c>
      <c r="L135" s="45">
        <f ca="1">OFFSET(TblMili[[#This Row],[Archmages]],-1,0) + OFFSET(TblMili[[#This Row],[Train AM]],-12,0) - TblMili[[#This Row],[Release AM]]</f>
        <v>0</v>
      </c>
      <c r="M135" s="142"/>
      <c r="N135" s="94">
        <f ca="1">TblProd[[#This Row],[Networth]]</f>
        <v>2450</v>
      </c>
      <c r="O135" s="142"/>
      <c r="P135"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5"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5" s="247">
        <f ca="1">TblMili[[#This Row],[Raw]]*(1+TblMili[[#This Row],[Mods_Off]])</f>
        <v>0</v>
      </c>
      <c r="S135"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5" s="247">
        <f ca="1">TblMili[[#This Row],[Non Draft]]+TblMili[[#This Row],[Draftees]]</f>
        <v>807</v>
      </c>
      <c r="U135" s="248">
        <f ca="1">race_defense + TblImps[[#This Row],[Walls]] + ROUND( MIN(gt_bonus*TblConstr[[#This Row],[Tot GT]]/TblConstr[[#This Row],[Land]],gt_bonus_cap), 4) + IF(TblMagic[[#This Row],[Active Howling]]&gt;0,howling_dp_bonus,IF(TblMagic[[#This Row],[Active Ares Call]]&gt;0,ares_call_bonus))</f>
        <v>0</v>
      </c>
      <c r="V135" s="249">
        <f ca="1">TblMili[[#This Row],[Non Draft]] * (1 + TblMili[[#This Row],[Mods_Def]])</f>
        <v>0</v>
      </c>
      <c r="W135" s="247">
        <f ca="1">TblMili[[#This Row],[Draft]] * (1 + TblMili[[#This Row],[Mods_Def]])</f>
        <v>807</v>
      </c>
      <c r="X135" s="247">
        <f ca="1">TblConstr[[#This Row],[Land]]</f>
        <v>110</v>
      </c>
      <c r="Y135" s="250"/>
      <c r="Z135" s="255">
        <f ca="1">IF(TblMili[[#This Row],[Set]]&lt;&gt;"",TblMili[[#This Row],[Set]],OFFSET(TblMili[[#This Row],[Draftrate]],-1,0))</f>
        <v>0.9</v>
      </c>
      <c r="AA135" s="94">
        <f ca="1">OFFSET(TblMili[[#This Row],[Draftees]],-1,0)+OFFSET(TblPop[[#This Row],[Draft Growth]],-1,0) - SUM(TblMili[[#This Row],[Train Unit 1]:[Train Spies]],TblMili[[#This Row],[Train Wiz]],TblMili[[#This Row],[DnD_Zombies]]) - TblMili[[#This Row],[Release Draft]] + SUM(TblMili[[#This Row],[Release Unit 1]:[Release AM]]) - TblExplore[[#This Row],[Draftees (2)]]</f>
        <v>807</v>
      </c>
      <c r="AB135" s="154"/>
      <c r="AC135" s="180">
        <f ca="1">(TblConstr[[#This Row],[Tot Smi]]+TblConstr[[#This Row],[Dest Smi]])/(TblConstr[[#This Row],[Land]]-TblExplore[[#This Row],[Land Bonus]]*20)</f>
        <v>0</v>
      </c>
      <c r="AD135" s="137"/>
      <c r="AE135" s="246">
        <f>TblMili[[#This Row],[Hour]]</f>
        <v>132</v>
      </c>
      <c r="AF135" s="138">
        <f ca="1">TblExplore[[#This Row],[Time]]</f>
        <v>46052.458333333016</v>
      </c>
      <c r="AG135" s="179"/>
      <c r="AH135" s="179"/>
      <c r="AI135" s="179"/>
      <c r="AJ135" s="179"/>
      <c r="AK135" s="179"/>
      <c r="AL135" s="179"/>
      <c r="AM135" s="179"/>
      <c r="AN135" s="179"/>
      <c r="AO135" s="420">
        <f ca="1">ROUND(IF(AND(TblMagic[[#This Row],[Active DnD]]&lt;12,TblMagic[[#This Row],[Active DnD]]&gt;5),OFFSET(TblPop[[#This Row],[Draft Growth]],-1,0)*0.375,0),0)</f>
        <v>0</v>
      </c>
      <c r="AP135" s="142"/>
      <c r="AQ135" s="94">
        <f ca="1">TblProd[[#This Row],[Platinum]]</f>
        <v>227385</v>
      </c>
      <c r="AR135" s="94">
        <f ca="1">INDEX(TblProd[[#Headers],[Lumber]]:TblProd[[#This Row],[Ore]],COUNTA(TblProd[[#Headers],[Lumber]]:TblProd[[#This Row],[Lumber]]),MATCH(Military!$AR$2,TblProd[[#Headers],[Lumber]:[Ore]],0))</f>
        <v>0</v>
      </c>
      <c r="AS135"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5" s="94">
        <f ca="1">TblMili[[#This Row],[Train Unit 1]]*TblMili[[#This Row],[OP Ore]]+TblMili[[#This Row],[Train Unit 2]]*TblMili[[#This Row],[DP Ore]]+TblMili[[#This Row],[Train Unit 3]]*TblMili[[#This Row],[E1 Ore]]+TblMili[[#This Row],[Train Unit 4]]*TblMili[[#This Row],[E2 Ore]]</f>
        <v>0</v>
      </c>
      <c r="AU135" s="142">
        <f>TblMili[[#This Row],[Hour]]</f>
        <v>132</v>
      </c>
      <c r="AV135" s="152">
        <f ca="1">TblMili[[#This Row],[Time]]</f>
        <v>46052.458333333016</v>
      </c>
      <c r="AW135" s="94">
        <f ca="1">TblMili[[#This Row],[Draftees]]</f>
        <v>807</v>
      </c>
      <c r="AX135" s="179"/>
      <c r="AY135" s="179"/>
      <c r="AZ135" s="179"/>
      <c r="BA135" s="179"/>
      <c r="BB135" s="179"/>
      <c r="BC135" s="179"/>
      <c r="BD135" s="179"/>
      <c r="BE135" s="179"/>
      <c r="BF135" s="179"/>
      <c r="BG135" s="142"/>
      <c r="BH135" s="157">
        <f ca="1">TblConstr[[#This Row],[Tot WG]]/TblConstr[[#This Row],[Land]]</f>
        <v>0</v>
      </c>
      <c r="BI135" s="157">
        <f ca="1">TblConstr[[#This Row],[Tot Hav]]/TblConstr[[#This Row],[Land]]</f>
        <v>0</v>
      </c>
      <c r="BJ135" s="94">
        <f ca="1">ROUNDUP((1-MIN(TblMili[[#This Row],[Smithies]]*smithy_bonus,smithy_bonus_cap) + tech_3_5*TblTech[[#This Row],[3-5]] + tech_5_3*TblTech[[#This Row],[5-3]] + tech_5_5*TblTech[[#This Row],[5-5]])*spec_op_plat,0)</f>
        <v>275</v>
      </c>
      <c r="BK135" s="94">
        <f ca="1">ROUNDUP(IF(race="Gnome",1,(1-MIN(TblMili[[#This Row],[Smithies]]*smithy_bonus,smithy_bonus_cap) + tech_3_5*TblTech[[#This Row],[3-5]] + tech_5_3*TblTech[[#This Row],[5-3]] + tech_5_5*TblTech[[#This Row],[5-5]]))*spec_op_ore,0)</f>
        <v>25</v>
      </c>
      <c r="BL135" s="94">
        <f ca="1">ROUNDUP((1-MIN(TblMili[[#This Row],[Smithies]]*smithy_bonus,smithy_bonus_cap) + tech_3_5*TblTech[[#This Row],[3-5]] + tech_5_3*TblTech[[#This Row],[5-3]] + tech_5_5*TblTech[[#This Row],[5-5]])*spec_dp_plat,0)</f>
        <v>275</v>
      </c>
      <c r="BM135" s="94">
        <f ca="1">ROUNDUP(IF(race="Gnome",1,(1-MIN(TblMili[[#This Row],[Smithies]]*smithy_bonus,smithy_bonus_cap) + tech_3_5*TblTech[[#This Row],[3-5]] + tech_5_3*TblTech[[#This Row],[5-3]] + tech_5_5*TblTech[[#This Row],[5-5]]))*spec_dp_ore,0)</f>
        <v>15</v>
      </c>
      <c r="BN135" s="94">
        <f ca="1">ROUNDUP((1-MIN(TblMili[[#This Row],[Smithies]]*smithy_bonus,smithy_bonus_cap) + tech_3_5*TblTech[[#This Row],[3-5]] + tech_5_3*TblTech[[#This Row],[5-3]] + tech_5_5*TblTech[[#This Row],[5-5]])*elite1_plat,0)</f>
        <v>1040</v>
      </c>
      <c r="BO135" s="94">
        <f ca="1">ROUNDUP(IF(race="Gnome",1,(1-MIN(TblMili[[#This Row],[Smithies]]*smithy_bonus,smithy_bonus_cap) + tech_3_5*TblTech[[#This Row],[3-5]] + tech_5_3*TblTech[[#This Row],[5-3]] + tech_5_5*TblTech[[#This Row],[5-5]]))*elite1_ore,0)</f>
        <v>75</v>
      </c>
      <c r="BP135" s="94">
        <f ca="1">ROUNDUP((1-MIN(TblMili[[#This Row],[Smithies]]*smithy_bonus,smithy_bonus_cap) + tech_3_5*TblTech[[#This Row],[3-5]] + tech_5_3*TblTech[[#This Row],[5-3]] + tech_5_5*TblTech[[#This Row],[5-5]])*elite2_plat,0)</f>
        <v>1280</v>
      </c>
      <c r="BQ135" s="94">
        <f ca="1">ROUNDUP(IF(race="Gnome",1,(1-MIN(TblMili[[#This Row],[Smithies]]*smithy_bonus,smithy_bonus_cap) + tech_3_5*TblTech[[#This Row],[3-5]] + tech_5_3*TblTech[[#This Row],[5-3]] + tech_5_5*TblTech[[#This Row],[5-5]]))*elite2_ore,0)</f>
        <v>100</v>
      </c>
      <c r="BR135" s="94">
        <f ca="1">ROUNDUP((1-MIN(ROUND(fh_spy_cost_red*TblMili[[#This Row],[FH''s]],4),fh_spy_cost_cap)+ tech_1_9*TblTech[[#This Row],[1-9]] + tech_9_1*TblTech[[#This Row],[9-1]])*spy_plat,0)</f>
        <v>500</v>
      </c>
      <c r="BS135" s="94">
        <f ca="1">ROUNDUP((1-MIN(ROUND(fh_spy_cost_red*TblMili[[#This Row],[FH''s]],4),fh_spy_cost_cap)+ tech_1_9*TblTech[[#This Row],[1-9]] + tech_9_1*TblTech[[#This Row],[9-1]])*archspy_plat,0)</f>
        <v>1000</v>
      </c>
      <c r="BT135" s="94">
        <f ca="1">ROUNDUP((1-MIN(ROUND(wg_wiz_cost_bonus*TblMili[[#This Row],[WG''s]],4),wg_wiz_cost_cap) + tech_1_9_2*TblTech[[#This Row],[1-9]] + tech_9_1_2*TblTech[[#This Row],[9-1]])*wizard_plat,0)</f>
        <v>500</v>
      </c>
      <c r="BU135" s="94">
        <f ca="1">ROUNDUP((1-MIN(ROUND(wg_wiz_cost_bonus*TblMili[[#This Row],[WG''s]],4),wg_wiz_cost_cap) + tech_1_9_2*TblTech[[#This Row],[1-9]] + tech_9_1_2*TblTech[[#This Row],[9-1]])*archmage_plat,0)</f>
        <v>1000</v>
      </c>
      <c r="BV135" s="142"/>
      <c r="BW135" s="157">
        <f ca="1">TblConstr[[#This Row],[Homeland]]/TblConstr[[#This Row],[Land]]</f>
        <v>0.81818181818181823</v>
      </c>
      <c r="BX135" s="157">
        <f ca="1">TblMili[[#This Row],[WG''s]]</f>
        <v>0</v>
      </c>
      <c r="BY135" s="251">
        <f ca="1">IF(mystic_cap="none",TblMili[[#This Row],[Homeland%]]/mystic_bonus,MIN(mystic_cap,TblMili[[#This Row],[Homeland%]]/mystic_bonus))</f>
        <v>2</v>
      </c>
      <c r="BZ135" s="251">
        <f ca="1">IF(druid_op_cap="none",TblMili[[#This Row],[Homeland%]]/druid_op_bonus,MIN(druid_op_cap,TblMili[[#This Row],[Homeland%]]/druid_op_bonus))</f>
        <v>2</v>
      </c>
      <c r="CA135" s="251">
        <f ca="1">IF(druid_dp_cap="none",TblMili[[#This Row],[Homeland%]]/druid_dp_bonus,MIN(druid_dp_cap,TblMili[[#This Row],[Homeland%]]/druid_dp_bonus))</f>
        <v>2</v>
      </c>
      <c r="CB135" s="251">
        <f ca="1">MIN(dryad_cap,TblMili[[#This Row],[Homeland%]]/dryad_bonus)</f>
        <v>4</v>
      </c>
      <c r="CC135" s="251">
        <f ca="1">MIN(rocka_cap,TblMili[[#This Row],[Homeland%]]/rocka_bonus)</f>
        <v>2</v>
      </c>
      <c r="CD135" s="251">
        <f ca="1">MIN(adept_op_cap,TblMili[[#This Row],[WG]]/adept_op_bonus)</f>
        <v>0</v>
      </c>
      <c r="CE135" s="251">
        <f ca="1">MIN(adept_dp_cap,TblMili[[#This Row],[WG]]/adept_dp_bonus)</f>
        <v>0</v>
      </c>
      <c r="CF135" s="94">
        <f ca="1">MIN(TblMili[[#This Row],[Unit 3]],TblMili[[#This Row],[Unit 2]])*2</f>
        <v>0</v>
      </c>
      <c r="CG135" s="94">
        <f ca="1">MIN(TblMili[[#This Row],[Unit 1]],TblMili[[#This Row],[Unit 4]])*2</f>
        <v>0</v>
      </c>
      <c r="CH135" s="251">
        <f ca="1">MIN(frost_mage_cap,TblMili[[#This Row],[Homeland%]]/frost_mage_bonus)</f>
        <v>3</v>
      </c>
      <c r="CI135" s="45">
        <f ca="1">MIN(ice_elem_cap,TblMili[[#This Row],[Raw (2)]]*ice_elem_bonus)</f>
        <v>0</v>
      </c>
      <c r="CJ135" s="251">
        <f t="shared" si="4"/>
        <v>0.83333333333333337</v>
      </c>
      <c r="CK135" s="251">
        <f ca="1">MIN(nox_nightshade_cap,TblConstr[[#This Row],[Homeland]]/TblConstr[[#This Row],[Land]]/nox_nightshade_swamp_bonus)</f>
        <v>4</v>
      </c>
      <c r="CL135" s="251">
        <f ca="1">MIN(TblConstr[[#This Row],[Total Swamp]]/TblConstr[[#This Row],[Land]]/abyss_enforce_bonus,abyss_enforcer_cap)</f>
        <v>0</v>
      </c>
      <c r="CM135" s="251">
        <f ca="1">IF(TblMagic[[#This Row],[Active Infernal Command]]&gt;0,TblMili[[#This Row],[Unit 1]]*infernal_cmd_op,0)</f>
        <v>0</v>
      </c>
      <c r="CN135" s="252"/>
      <c r="CO135" s="252"/>
      <c r="CP135" s="252"/>
      <c r="CQ135" s="251">
        <f ca="1">MIN(6,TblMili[[#This Row],[Mystic]]+Races!$F$19)*1.8 +  IF(TblMili[[#This Row],[Mystic]]+Races!$F$19&gt;6,(TblMili[[#This Row],[Mystic]]+Races!$F$19-6)*0.2,0) - Races!$I$19</f>
        <v>1</v>
      </c>
      <c r="CR135"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5" s="94">
        <f ca="1">TblMili[[#This Row],[Mystic bonus]]*TblMili[[#This Row],[Unit 3]]+TblMili[[#This Row],[Druid bonus]]*TblMili[[#This Row],[Unit 4]]</f>
        <v>0</v>
      </c>
      <c r="CT135" s="155">
        <f ca="1">MIN(6,TblMili[[#This Row],[Dryad]]+Races!$F$35)*1.8 +  IF(TblMili[[#This Row],[Dryad]]+Races!$F$35&gt;6,(TblMili[[#This Row],[Dryad]]+Races!$F$35-6)*0.2,0) - Races!$I$19</f>
        <v>1</v>
      </c>
      <c r="CU135" s="94">
        <f ca="1">sylvan*(TblMili[[#This Row],[Mystic bonus]]*TblMili[[#This Row],[Unit 3]])</f>
        <v>0</v>
      </c>
      <c r="CV135" s="155">
        <f ca="1">1.8 * MIN(MAX(Races!$E$27,TblMili[[#This Row],[Rockapult]]+Races!$F$27),6)  +  0.45 * MIN(MIN(Races!$E$27,TblMili[[#This Row],[Rockapult]]+Races!$F$27),6)  +  0.2 * ( MAX(Races!$E$27-6,0) + MAX(TblMili[[#This Row],[Rockapult]]+Races!$F$27-6,0) )  -  Races!$I$20</f>
        <v>3.7000000000000011</v>
      </c>
      <c r="CW135" s="94">
        <f ca="1">gnome*(TblMili[[#This Row],[Rockapult bonus]]*TblMili[[#This Row],[Unit 3]])</f>
        <v>0</v>
      </c>
      <c r="CX135"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5" s="94">
        <f ca="1">dark_elf*(TblMili[[#This Row],[Adept bonus]]*TblMili[[#This Row],[Unit 3]])</f>
        <v>0</v>
      </c>
      <c r="CZ135" s="155">
        <f ca="1">1.8 * MIN(MAX(TblMili[[#This Row],[Frost Mage]]+Races!$F$71,Races!$E$71),6)  +  0.45 * MIN(MIN(TblMili[[#This Row],[Frost Mage]]+Races!$F$71,Races!$E$71),6)  +  0.2 * ( MAX(TblMili[[#This Row],[Frost Mage]]+Races!$F$71-6,0) + MAX(Races!$E$71-6,0) )  -  Races!$I$71</f>
        <v>6.15</v>
      </c>
      <c r="DA135" s="155">
        <f ca="1">1.8 * MIN(MAX(TblMili[[#This Row],[Ice Elemental]]+Races!$E$71,Races!$F$71),6)  +  0.45 * MIN(MIN(TblMili[[#This Row],[Ice Elemental]]+Races!$E$71,Races!$F$71),6)  +  0.2 * ( MAX(TblMili[[#This Row],[Ice Elemental]]+Races!$E$71-6,0) + MAX(Races!$F$71-6,0) )  -  Races!$I$71</f>
        <v>0.75</v>
      </c>
      <c r="DB135" s="94">
        <f ca="1">TblMili[[#This Row],[Frost Mage bonus]]*TblMili[[#This Row],[Unit 3]]+TblMili[[#This Row],[Ice Elemental bonus]]*TblMili[[#This Row],[Unit 4]]</f>
        <v>0</v>
      </c>
      <c r="DC135" s="253"/>
      <c r="DD135" s="143">
        <f ca="1">MIN(SUM(TblConstr[[#This Row],[Plain]:[Water]])/TblMili[[#This Row],[Land]]/favorable_terrain_bonus/100,favorable_terrain_max)</f>
        <v>0.1</v>
      </c>
      <c r="DE135" s="253"/>
      <c r="DF135"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5" s="142"/>
      <c r="DH135" s="254">
        <f ca="1">(TblMili[[#This Row],[Wizards]]+2*TblMili[[#This Row],[Archmages]])/TblConstr[[#This Row],[Land]]</f>
        <v>0</v>
      </c>
      <c r="DI135" s="254">
        <f ca="1">TblMili[[#This Row],[Raw (2)]]*(1+race_wizard_strength+IF(TblMili[[#This Row],[Hour]]&gt;72,tech_magical_weaponry_wiz*TblTech[[#This Row],[3-5]],0))</f>
        <v>0</v>
      </c>
    </row>
    <row r="136" spans="1:113" x14ac:dyDescent="0.2">
      <c r="A136" s="137">
        <f>TblRezone[[#This Row],[Hour]]</f>
        <v>133</v>
      </c>
      <c r="B136" s="246">
        <f ca="1">SUM(TblMili[[#This Row],[Unit 1]:[Archmages]])+SUM(OFFSET(TblMili[[#This Row],[Train Unit 1]],-8,0):TblMili[[#This Row],[Train Unit 2]]) + SUM(OFFSET(TblMili[[#This Row],[Train Unit 3]],-11,0):TblMili[[#This Row],[Train AM]]) + TblMili[[#This Row],[Draftees]]</f>
        <v>810</v>
      </c>
      <c r="C136" s="157">
        <f ca="1">TblPop[[#This Row],[Military%]]</f>
        <v>0.75278810408921937</v>
      </c>
      <c r="D136" s="142"/>
      <c r="E136" s="45">
        <f ca="1">OFFSET(TblMili[[#This Row],[Unit 1]],-1,0) + OFFSET(TblMili[[#This Row],[Train Unit 1]],-9,0) - TblMili[[#This Row],[Release Unit 1]] + OFFSET(TblMili[[#This Row],[DnD_Zombies]],-12,0)</f>
        <v>0</v>
      </c>
      <c r="F136" s="45">
        <f ca="1">OFFSET(TblMili[[#This Row],[Unit 2]],-1,0) + OFFSET(TblMili[[#This Row],[Train Unit 2]],-9,0)-TblMili[[#This Row],[Release Unit 2]]</f>
        <v>0</v>
      </c>
      <c r="G136" s="45">
        <f ca="1">OFFSET(TblMili[[#This Row],[Unit 3]],-1,0) + OFFSET(TblMili[[#This Row],[Train Unit 3]],-12,0)-TblMili[[#This Row],[Release Unit 3]]</f>
        <v>0</v>
      </c>
      <c r="H136" s="45">
        <f ca="1">OFFSET(TblMili[[#This Row],[Unit 4]],-1,0) + OFFSET(TblMili[[#This Row],[Train Unit 4]],-12,0)-TblMili[[#This Row],[Release Unit 4]]</f>
        <v>0</v>
      </c>
      <c r="I136" s="45">
        <f ca="1">OFFSET(TblMili[[#This Row],[Spies]],-1,0) + OFFSET(TblMili[[#This Row],[Train Spies]],-12,0) - TblMili[[#This Row],[Release Spies]]-TblMili[[#This Row],[Train AS]]</f>
        <v>0</v>
      </c>
      <c r="J136" s="45">
        <f ca="1">OFFSET(TblMili[[#This Row],[Archspies]],-1,0) + OFFSET(TblMili[[#This Row],[Train AS]],-12,0) - TblMili[[#This Row],[Release AS]]</f>
        <v>0</v>
      </c>
      <c r="K136" s="45">
        <f ca="1">OFFSET(TblMili[[#This Row],[Wizards]],-1,0) + OFFSET(TblMili[[#This Row],[Train Wiz]],-12,0) - TblMili[[#This Row],[Release Wizards]]-TblMili[[#This Row],[Train AM]]</f>
        <v>0</v>
      </c>
      <c r="L136" s="45">
        <f ca="1">OFFSET(TblMili[[#This Row],[Archmages]],-1,0) + OFFSET(TblMili[[#This Row],[Train AM]],-12,0) - TblMili[[#This Row],[Release AM]]</f>
        <v>0</v>
      </c>
      <c r="M136" s="142"/>
      <c r="N136" s="94">
        <f ca="1">TblProd[[#This Row],[Networth]]</f>
        <v>2450</v>
      </c>
      <c r="O136" s="142"/>
      <c r="P136" s="247">
        <f ca="1">TblMili[[#This Row],[Unit 1]]*spec_op+TblMili[[#This Row],[Unit 3]]*(elite1_base_op)+TblMili[[#This Row],[Unit 4]]*(elite2_base_op+dark_elf*TblMili[[#This Row],[Spellblade]]+icekin*TblMili[[#This Row],[Ice Elemental]]+woodie*TblMili[[#This Row],[Druid (op)]]+orc*TblMili[[#This Row],[Orc]])+kobold*TblMili[[#This Row],[Overlords]]+TblMili[[#This Row],[Infernal Command OP]]</f>
        <v>0</v>
      </c>
      <c r="Q136" s="157">
        <f ca="1">race_offense+TblImps[[#This Row],[Forges]]+ROUND(MIN(gn_bonus*TblConstr[[#This Row],[Tot GN]]/TblConstr[[#This Row],[Land]],gn_bonus_cap),4)+MAX(IF(TblMagic[[#This Row],[Active Warsong / Killing Rage / Bloodrage]]&gt;0,warsong_bonus),IF(TblMagic[[#This Row],[Active Howling]]&gt;0,howling_op_bonus),IF(TblMagic[[#This Row],[Active Nightfall]]&gt;0,nightfall_bonus),IF(TblMagic[[#This Row],[Active Favorable Terrain]]&gt;0,TblMili[[#This Row],[Favorable Terrain Bonus]])) + TblProd[[#This Row],[Prestige]]/100*prestige_offense_bonus + tech_5_4*TblTech[[#This Row],[5-4]] + tech_7_4*TblTech[[#This Row],[7-4]]</f>
        <v>2.5000000000000001E-2</v>
      </c>
      <c r="R136" s="247">
        <f ca="1">TblMili[[#This Row],[Raw]]*(1+TblMili[[#This Row],[Mods_Off]])</f>
        <v>0</v>
      </c>
      <c r="S136" s="247">
        <f ca="1">TblMili[[#This Row],[Unit 2]]*spec_dp+TblMili[[#This Row],[Unit 3]]*(elite1_base_dp+woodie*TblMili[[#This Row],[Mystic]]+sylvan*TblMili[[#This Row],[Dryad]]+gnome*TblMili[[#This Row],[Rockapult]]+icekin*TblMili[[#This Row],[Frost Mage]]+nox*TblMili[[#This Row],[Nox]]+demon*TblMili[[#This Row],[Abyssal Enforcer]])+TblMili[[#This Row],[Unit 4]]*(elite2_base_dp+woodie*TblMili[[#This Row],[Druid (dp)]]) + fh_peas_dp*MIN(TblPop[[#This Row],[Peasants]],20*TblConstr[[#This Row],[Tot Hav]])+kobold*TblMili[[#This Row],[Beasts]]</f>
        <v>0</v>
      </c>
      <c r="T136" s="247">
        <f ca="1">TblMili[[#This Row],[Non Draft]]+TblMili[[#This Row],[Draftees]]</f>
        <v>810</v>
      </c>
      <c r="U136" s="248">
        <f ca="1">race_defense + TblImps[[#This Row],[Walls]] + ROUND( MIN(gt_bonus*TblConstr[[#This Row],[Tot GT]]/TblConstr[[#This Row],[Land]],gt_bonus_cap), 4) + IF(TblMagic[[#This Row],[Active Howling]]&gt;0,howling_dp_bonus,IF(TblMagic[[#This Row],[Active Ares Call]]&gt;0,ares_call_bonus))</f>
        <v>0</v>
      </c>
      <c r="V136" s="249">
        <f ca="1">TblMili[[#This Row],[Non Draft]] * (1 + TblMili[[#This Row],[Mods_Def]])</f>
        <v>0</v>
      </c>
      <c r="W136" s="247">
        <f ca="1">TblMili[[#This Row],[Draft]] * (1 + TblMili[[#This Row],[Mods_Def]])</f>
        <v>810</v>
      </c>
      <c r="X136" s="247">
        <f ca="1">TblConstr[[#This Row],[Land]]</f>
        <v>110</v>
      </c>
      <c r="Y136" s="250"/>
      <c r="Z136" s="255">
        <f ca="1">IF(TblMili[[#This Row],[Set]]&lt;&gt;"",TblMili[[#This Row],[Set]],OFFSET(TblMili[[#This Row],[Draftrate]],-1,0))</f>
        <v>0.9</v>
      </c>
      <c r="AA136" s="94">
        <f ca="1">OFFSET(TblMili[[#This Row],[Draftees]],-1,0)+OFFSET(TblPop[[#This Row],[Draft Growth]],-1,0) - SUM(TblMili[[#This Row],[Train Unit 1]:[Train Spies]],TblMili[[#This Row],[Train Wiz]],TblMili[[#This Row],[DnD_Zombies]]) - TblMili[[#This Row],[Release Draft]] + SUM(TblMili[[#This Row],[Release Unit 1]:[Release AM]]) - TblExplore[[#This Row],[Draftees (2)]]</f>
        <v>810</v>
      </c>
      <c r="AB136" s="154"/>
      <c r="AC136" s="180">
        <f ca="1">(TblConstr[[#This Row],[Tot Smi]]+TblConstr[[#This Row],[Dest Smi]])/(TblConstr[[#This Row],[Land]]-TblExplore[[#This Row],[Land Bonus]]*20)</f>
        <v>0</v>
      </c>
      <c r="AD136" s="246"/>
      <c r="AE136" s="246">
        <f>TblMili[[#This Row],[Hour]]</f>
        <v>133</v>
      </c>
      <c r="AF136" s="138">
        <f ca="1">TblExplore[[#This Row],[Time]]</f>
        <v>46052.49999999968</v>
      </c>
      <c r="AG136" s="179"/>
      <c r="AH136" s="158"/>
      <c r="AI136" s="179"/>
      <c r="AJ136" s="158"/>
      <c r="AK136" s="158"/>
      <c r="AL136" s="158"/>
      <c r="AM136" s="158"/>
      <c r="AN136" s="179"/>
      <c r="AO136" s="420">
        <f ca="1">ROUND(IF(AND(TblMagic[[#This Row],[Active DnD]]&lt;12,TblMagic[[#This Row],[Active DnD]]&gt;5),OFFSET(TblPop[[#This Row],[Draft Growth]],-1,0)*0.375,0),0)</f>
        <v>0</v>
      </c>
      <c r="AP136" s="142"/>
      <c r="AQ136" s="94">
        <f ca="1">TblProd[[#This Row],[Platinum]]</f>
        <v>228111</v>
      </c>
      <c r="AR136" s="94">
        <f ca="1">INDEX(TblProd[[#Headers],[Lumber]]:TblProd[[#This Row],[Ore]],COUNTA(TblProd[[#Headers],[Lumber]]:TblProd[[#This Row],[Lumber]]),MATCH(Military!$AR$2,TblProd[[#Headers],[Lumber]:[Ore]],0))</f>
        <v>0</v>
      </c>
      <c r="AS136" s="94">
        <f ca="1">TblMili[[#This Row],[Train Unit 1]]*TblMili[[#This Row],[OP Plat]]+TblMili[[#This Row],[Train Unit 2]]*TblMili[[#This Row],[DP Plat]]+TblMili[[#This Row],[Train Unit 3]]*TblMili[[#This Row],[E1 Plat]]+TblMili[[#This Row],[Train Unit 4]]*TblMili[[#This Row],[E2 Plat]]+TblMili[[#This Row],[Train Spies]]*TblMili[[#This Row],[Spie cost]]+TblMili[[#This Row],[Train Wiz]]*TblMili[[#This Row],[Wizzies cost]]+TblMili[[#This Row],[Train AM]]*TblMili[[#This Row],[AMs cost]]</f>
        <v>0</v>
      </c>
      <c r="AT136" s="94">
        <f ca="1">TblMili[[#This Row],[Train Unit 1]]*TblMili[[#This Row],[OP Ore]]+TblMili[[#This Row],[Train Unit 2]]*TblMili[[#This Row],[DP Ore]]+TblMili[[#This Row],[Train Unit 3]]*TblMili[[#This Row],[E1 Ore]]+TblMili[[#This Row],[Train Unit 4]]*TblMili[[#This Row],[E2 Ore]]</f>
        <v>0</v>
      </c>
      <c r="AU136" s="142">
        <f>TblMili[[#This Row],[Hour]]</f>
        <v>133</v>
      </c>
      <c r="AV136" s="152">
        <f ca="1">TblMili[[#This Row],[Time]]</f>
        <v>46052.49999999968</v>
      </c>
      <c r="AW136" s="94">
        <f ca="1">TblMili[[#This Row],[Draftees]]</f>
        <v>810</v>
      </c>
      <c r="AX136" s="179"/>
      <c r="AY136" s="179"/>
      <c r="AZ136" s="179"/>
      <c r="BA136" s="179"/>
      <c r="BB136" s="179"/>
      <c r="BC136" s="179"/>
      <c r="BD136" s="179"/>
      <c r="BE136" s="179"/>
      <c r="BF136" s="179"/>
      <c r="BG136" s="142"/>
      <c r="BH136" s="157">
        <f ca="1">TblConstr[[#This Row],[Tot WG]]/TblConstr[[#This Row],[Land]]</f>
        <v>0</v>
      </c>
      <c r="BI136" s="157">
        <f ca="1">TblConstr[[#This Row],[Tot Hav]]/TblConstr[[#This Row],[Land]]</f>
        <v>0</v>
      </c>
      <c r="BJ136" s="94">
        <f ca="1">ROUNDUP((1-MIN(TblMili[[#This Row],[Smithies]]*smithy_bonus,smithy_bonus_cap) + tech_3_5*TblTech[[#This Row],[3-5]] + tech_5_3*TblTech[[#This Row],[5-3]] + tech_5_5*TblTech[[#This Row],[5-5]])*spec_op_plat,0)</f>
        <v>275</v>
      </c>
      <c r="BK136" s="94">
        <f ca="1">ROUNDUP(IF(race="Gnome",1,(1-MIN(TblMili[[#This Row],[Smithies]]*smithy_bonus,smithy_bonus_cap) + tech_3_5*TblTech[[#This Row],[3-5]] + tech_5_3*TblTech[[#This Row],[5-3]] + tech_5_5*TblTech[[#This Row],[5-5]]))*spec_op_ore,0)</f>
        <v>25</v>
      </c>
      <c r="BL136" s="94">
        <f ca="1">ROUNDUP((1-MIN(TblMili[[#This Row],[Smithies]]*smithy_bonus,smithy_bonus_cap) + tech_3_5*TblTech[[#This Row],[3-5]] + tech_5_3*TblTech[[#This Row],[5-3]] + tech_5_5*TblTech[[#This Row],[5-5]])*spec_dp_plat,0)</f>
        <v>275</v>
      </c>
      <c r="BM136" s="94">
        <f ca="1">ROUNDUP(IF(race="Gnome",1,(1-MIN(TblMili[[#This Row],[Smithies]]*smithy_bonus,smithy_bonus_cap) + tech_3_5*TblTech[[#This Row],[3-5]] + tech_5_3*TblTech[[#This Row],[5-3]] + tech_5_5*TblTech[[#This Row],[5-5]]))*spec_dp_ore,0)</f>
        <v>15</v>
      </c>
      <c r="BN136" s="94">
        <f ca="1">ROUNDUP((1-MIN(TblMili[[#This Row],[Smithies]]*smithy_bonus,smithy_bonus_cap) + tech_3_5*TblTech[[#This Row],[3-5]] + tech_5_3*TblTech[[#This Row],[5-3]] + tech_5_5*TblTech[[#This Row],[5-5]])*elite1_plat,0)</f>
        <v>1040</v>
      </c>
      <c r="BO136" s="94">
        <f ca="1">ROUNDUP(IF(race="Gnome",1,(1-MIN(TblMili[[#This Row],[Smithies]]*smithy_bonus,smithy_bonus_cap) + tech_3_5*TblTech[[#This Row],[3-5]] + tech_5_3*TblTech[[#This Row],[5-3]] + tech_5_5*TblTech[[#This Row],[5-5]]))*elite1_ore,0)</f>
        <v>75</v>
      </c>
      <c r="BP136" s="94">
        <f ca="1">ROUNDUP((1-MIN(TblMili[[#This Row],[Smithies]]*smithy_bonus,smithy_bonus_cap) + tech_3_5*TblTech[[#This Row],[3-5]] + tech_5_3*TblTech[[#This Row],[5-3]] + tech_5_5*TblTech[[#This Row],[5-5]])*elite2_plat,0)</f>
        <v>1280</v>
      </c>
      <c r="BQ136" s="94">
        <f ca="1">ROUNDUP(IF(race="Gnome",1,(1-MIN(TblMili[[#This Row],[Smithies]]*smithy_bonus,smithy_bonus_cap) + tech_3_5*TblTech[[#This Row],[3-5]] + tech_5_3*TblTech[[#This Row],[5-3]] + tech_5_5*TblTech[[#This Row],[5-5]]))*elite2_ore,0)</f>
        <v>100</v>
      </c>
      <c r="BR136" s="94">
        <f ca="1">ROUNDUP((1-MIN(ROUND(fh_spy_cost_red*TblMili[[#This Row],[FH''s]],4),fh_spy_cost_cap)+ tech_1_9*TblTech[[#This Row],[1-9]] + tech_9_1*TblTech[[#This Row],[9-1]])*spy_plat,0)</f>
        <v>500</v>
      </c>
      <c r="BS136" s="94">
        <f ca="1">ROUNDUP((1-MIN(ROUND(fh_spy_cost_red*TblMili[[#This Row],[FH''s]],4),fh_spy_cost_cap)+ tech_1_9*TblTech[[#This Row],[1-9]] + tech_9_1*TblTech[[#This Row],[9-1]])*archspy_plat,0)</f>
        <v>1000</v>
      </c>
      <c r="BT136" s="94">
        <f ca="1">ROUNDUP((1-MIN(ROUND(wg_wiz_cost_bonus*TblMili[[#This Row],[WG''s]],4),wg_wiz_cost_cap) + tech_1_9_2*TblTech[[#This Row],[1-9]] + tech_9_1_2*TblTech[[#This Row],[9-1]])*wizard_plat,0)</f>
        <v>500</v>
      </c>
      <c r="BU136" s="94">
        <f ca="1">ROUNDUP((1-MIN(ROUND(wg_wiz_cost_bonus*TblMili[[#This Row],[WG''s]],4),wg_wiz_cost_cap) + tech_1_9_2*TblTech[[#This Row],[1-9]] + tech_9_1_2*TblTech[[#This Row],[9-1]])*archmage_plat,0)</f>
        <v>1000</v>
      </c>
      <c r="BV136" s="142"/>
      <c r="BW136" s="157">
        <f ca="1">TblConstr[[#This Row],[Homeland]]/TblConstr[[#This Row],[Land]]</f>
        <v>0.81818181818181823</v>
      </c>
      <c r="BX136" s="157">
        <f ca="1">TblMili[[#This Row],[WG''s]]</f>
        <v>0</v>
      </c>
      <c r="BY136" s="251">
        <f ca="1">IF(mystic_cap="none",TblMili[[#This Row],[Homeland%]]/mystic_bonus,MIN(mystic_cap,TblMili[[#This Row],[Homeland%]]/mystic_bonus))</f>
        <v>2</v>
      </c>
      <c r="BZ136" s="251">
        <f ca="1">IF(druid_op_cap="none",TblMili[[#This Row],[Homeland%]]/druid_op_bonus,MIN(druid_op_cap,TblMili[[#This Row],[Homeland%]]/druid_op_bonus))</f>
        <v>2</v>
      </c>
      <c r="CA136" s="251">
        <f ca="1">IF(druid_dp_cap="none",TblMili[[#This Row],[Homeland%]]/druid_dp_bonus,MIN(druid_dp_cap,TblMili[[#This Row],[Homeland%]]/druid_dp_bonus))</f>
        <v>2</v>
      </c>
      <c r="CB136" s="251">
        <f ca="1">MIN(dryad_cap,TblMili[[#This Row],[Homeland%]]/dryad_bonus)</f>
        <v>4</v>
      </c>
      <c r="CC136" s="251">
        <f ca="1">MIN(rocka_cap,TblMili[[#This Row],[Homeland%]]/rocka_bonus)</f>
        <v>2</v>
      </c>
      <c r="CD136" s="251">
        <f ca="1">MIN(adept_op_cap,TblMili[[#This Row],[WG]]/adept_op_bonus)</f>
        <v>0</v>
      </c>
      <c r="CE136" s="251">
        <f ca="1">MIN(adept_dp_cap,TblMili[[#This Row],[WG]]/adept_dp_bonus)</f>
        <v>0</v>
      </c>
      <c r="CF136" s="94">
        <f ca="1">MIN(TblMili[[#This Row],[Unit 3]],TblMili[[#This Row],[Unit 2]])*2</f>
        <v>0</v>
      </c>
      <c r="CG136" s="94">
        <f ca="1">MIN(TblMili[[#This Row],[Unit 1]],TblMili[[#This Row],[Unit 4]])*2</f>
        <v>0</v>
      </c>
      <c r="CH136" s="251">
        <f ca="1">MIN(frost_mage_cap,TblMili[[#This Row],[Homeland%]]/frost_mage_bonus)</f>
        <v>3</v>
      </c>
      <c r="CI136" s="45">
        <f ca="1">MIN(ice_elem_cap,TblMili[[#This Row],[Raw (2)]]*ice_elem_bonus)</f>
        <v>0</v>
      </c>
      <c r="CJ136" s="251">
        <f t="shared" si="4"/>
        <v>0.83333333333333337</v>
      </c>
      <c r="CK136" s="251">
        <f ca="1">MIN(nox_nightshade_cap,TblConstr[[#This Row],[Homeland]]/TblConstr[[#This Row],[Land]]/nox_nightshade_swamp_bonus)</f>
        <v>4</v>
      </c>
      <c r="CL136" s="251">
        <f ca="1">MIN(TblConstr[[#This Row],[Total Swamp]]/TblConstr[[#This Row],[Land]]/abyss_enforce_bonus,abyss_enforcer_cap)</f>
        <v>0</v>
      </c>
      <c r="CM136" s="251">
        <f ca="1">IF(TblMagic[[#This Row],[Active Infernal Command]]&gt;0,TblMili[[#This Row],[Unit 1]]*infernal_cmd_op,0)</f>
        <v>0</v>
      </c>
      <c r="CN136" s="252"/>
      <c r="CO136" s="252"/>
      <c r="CP136" s="252"/>
      <c r="CQ136" s="251">
        <f ca="1">MIN(6,TblMili[[#This Row],[Mystic]]+Races!$F$19)*1.8 +  IF(TblMili[[#This Row],[Mystic]]+Races!$F$19&gt;6,(TblMili[[#This Row],[Mystic]]+Races!$F$19-6)*0.2,0) - Races!$I$19</f>
        <v>1</v>
      </c>
      <c r="CR136" s="251">
        <f ca="1">1.8 * MIN(MAX(TblMili[[#This Row],[Druid (op)]]+Races!$E$20,TblMili[[#This Row],[Druid (dp)]]+Races!$F$20),6)  +  0.45 * MIN(MIN(TblMili[[#This Row],[Druid (op)]]+Races!$E$20,TblMili[[#This Row],[Druid (dp)]]+Races!$F$20),6)  +  0.2 * ( MAX(TblMili[[#This Row],[Druid (op)]]+Races!$E$20-6,0) + MAX(TblMili[[#This Row],[Druid (dp)]]+Races!$F$20-6,0) )  -  Races!$I$20</f>
        <v>4.6000000000000014</v>
      </c>
      <c r="CS136" s="94">
        <f ca="1">TblMili[[#This Row],[Mystic bonus]]*TblMili[[#This Row],[Unit 3]]+TblMili[[#This Row],[Druid bonus]]*TblMili[[#This Row],[Unit 4]]</f>
        <v>0</v>
      </c>
      <c r="CT136" s="155">
        <f ca="1">MIN(6,TblMili[[#This Row],[Dryad]]+Races!$F$35)*1.8 +  IF(TblMili[[#This Row],[Dryad]]+Races!$F$35&gt;6,(TblMili[[#This Row],[Dryad]]+Races!$F$35-6)*0.2,0) - Races!$I$19</f>
        <v>1</v>
      </c>
      <c r="CU136" s="94">
        <f ca="1">sylvan*(TblMili[[#This Row],[Mystic bonus]]*TblMili[[#This Row],[Unit 3]])</f>
        <v>0</v>
      </c>
      <c r="CV136" s="155">
        <f ca="1">1.8 * MIN(MAX(Races!$E$27,TblMili[[#This Row],[Rockapult]]+Races!$F$27),6)  +  0.45 * MIN(MIN(Races!$E$27,TblMili[[#This Row],[Rockapult]]+Races!$F$27),6)  +  0.2 * ( MAX(Races!$E$27-6,0) + MAX(TblMili[[#This Row],[Rockapult]]+Races!$F$27-6,0) )  -  Races!$I$20</f>
        <v>3.7000000000000011</v>
      </c>
      <c r="CW136" s="94">
        <f ca="1">gnome*(TblMili[[#This Row],[Rockapult bonus]]*TblMili[[#This Row],[Unit 3]])</f>
        <v>0</v>
      </c>
      <c r="CX136" s="155">
        <f ca="1">1.8 * MIN(MAX(TblMili[[#This Row],[Spellblade]]+Races!$E$47,TblMili[[#This Row],[Adept-DP]]+Races!$F$47),6)  +  0.45 * MIN(MIN(TblMili[[#This Row],[Spellblade]]+Races!$E$47,TblMili[[#This Row],[Adept-DP]]+Races!$F$47),6)  +  0.2 * ( MAX(TblMili[[#This Row],[Spellblade]]+Races!$E$47-6,0) + MAX(TblMili[[#This Row],[Adept-DP]]+Races!$F$47-6,0) )  -  Races!$I$47</f>
        <v>-1.1999999999999993</v>
      </c>
      <c r="CY136" s="94">
        <f ca="1">dark_elf*(TblMili[[#This Row],[Adept bonus]]*TblMili[[#This Row],[Unit 3]])</f>
        <v>0</v>
      </c>
      <c r="CZ136" s="155">
        <f ca="1">1.8 * MIN(MAX(TblMili[[#This Row],[Frost Mage]]+Races!$F$71,Races!$E$71),6)  +  0.45 * MIN(MIN(TblMili[[#This Row],[Frost Mage]]+Races!$F$71,Races!$E$71),6)  +  0.2 * ( MAX(TblMili[[#This Row],[Frost Mage]]+Races!$F$71-6,0) + MAX(Races!$E$71-6,0) )  -  Races!$I$71</f>
        <v>6.15</v>
      </c>
      <c r="DA136" s="155">
        <f ca="1">1.8 * MIN(MAX(TblMili[[#This Row],[Ice Elemental]]+Races!$E$71,Races!$F$71),6)  +  0.45 * MIN(MIN(TblMili[[#This Row],[Ice Elemental]]+Races!$E$71,Races!$F$71),6)  +  0.2 * ( MAX(TblMili[[#This Row],[Ice Elemental]]+Races!$E$71-6,0) + MAX(Races!$F$71-6,0) )  -  Races!$I$71</f>
        <v>0.75</v>
      </c>
      <c r="DB136" s="94">
        <f ca="1">TblMili[[#This Row],[Frost Mage bonus]]*TblMili[[#This Row],[Unit 3]]+TblMili[[#This Row],[Ice Elemental bonus]]*TblMili[[#This Row],[Unit 4]]</f>
        <v>0</v>
      </c>
      <c r="DC136" s="253"/>
      <c r="DD136" s="143">
        <f ca="1">MIN(SUM(TblConstr[[#This Row],[Plain]:[Water]])/TblMili[[#This Row],[Land]]/favorable_terrain_bonus/100,favorable_terrain_max)</f>
        <v>0.1</v>
      </c>
      <c r="DE136" s="253"/>
      <c r="DF136" s="94">
        <f ca="1">Overview!$F$22*TblMili[[#This Row],[Unit 1]]+Overview!$F$23*TblMili[[#This Row],[Unit 2]]+(1.8 * MIN(MAX(elite1_base_op,elite1_base_dp),6)  +  0.45 * MIN(MIN(elite1_base_op,elite1_base_dp),6)  +  0.2 * ( MAX(elite1_base_op-6,0) + MAX(elite1_base_dp-6,0) ))*TblMili[[#This Row],[Unit 3]]+(1.8 * MIN(MAX(elite2_base_op,elite2_base_dp),6)  +  0.45 * MIN(MIN(elite2_base_op,elite2_base_dp),6)  +  0.2 * ( MAX(elite2_base_op-6,0) + MAX(elite2_base_dp-6,0) ))*TblMili[[#This Row],[Unit 4]]+Overview!$F$26*TblMili[[#This Row],[Spies]]+Overview!$F$28*TblMili[[#This Row],[Wizards]]+Overview!$F$29*TblMili[[#This Row],[Archmages]]+TblConstr[[#This Row],[Land]]*20+TblConstr[[#This Row],[Buildings]]*5 + TblMili[[#This Row],[Wood Elf bonus]]*woodie+TblMili[[#This Row],[Sylvan bonus]]*sylvan+TblMili[[#This Row],[Gnome bonus]]*gnome+TblMili[[#This Row],[Dark Elf bonus]]*dark_elf+TblMili[[#This Row],[Icekin bonus]]*icekin</f>
        <v>2450</v>
      </c>
      <c r="DG136" s="142"/>
      <c r="DH136" s="254">
        <f ca="1">(TblMili[[#This Row],[Wizards]]+2*TblMili[[#This Row],[Archmages]])/TblConstr[[#This Row],[Land]]</f>
        <v>0</v>
      </c>
      <c r="DI136" s="254">
        <f ca="1">TblMili[[#This Row],[Raw (2)]]*(1+race_wizard_strength+IF(TblMili[[#This Row],[Hour]]&gt;72,tech_magical_weaponry_wiz*TblTech[[#This Row],[3-5]],0))</f>
        <v>0</v>
      </c>
    </row>
    <row r="137" spans="1:113" x14ac:dyDescent="0.2">
      <c r="AJ137" s="45">
        <v>100</v>
      </c>
    </row>
    <row r="139" spans="1:113" x14ac:dyDescent="0.2">
      <c r="AF139" s="45">
        <f ca="1">SUM(E136:L136)</f>
        <v>0</v>
      </c>
    </row>
    <row r="1269" spans="2:3" x14ac:dyDescent="0.2">
      <c r="B1269" s="530" t="s">
        <v>314</v>
      </c>
      <c r="C1269" s="530"/>
    </row>
    <row r="1270" spans="2:3" x14ac:dyDescent="0.2">
      <c r="B1270" s="28">
        <f>Overview!E17</f>
        <v>0</v>
      </c>
      <c r="C1270" s="28"/>
    </row>
  </sheetData>
  <dataConsolidate/>
  <mergeCells count="8">
    <mergeCell ref="B1269:C1269"/>
    <mergeCell ref="CO1:CW1"/>
    <mergeCell ref="P1:R1"/>
    <mergeCell ref="Y1:AA1"/>
    <mergeCell ref="BW1:BY1"/>
    <mergeCell ref="BI1:BT1"/>
    <mergeCell ref="S1:T1"/>
    <mergeCell ref="V1:W1"/>
  </mergeCells>
  <phoneticPr fontId="0" type="noConversion"/>
  <conditionalFormatting sqref="A6994:A65053 A1271:DF60143 A137:DF1268">
    <cfRule type="expression" dxfId="394" priority="37" stopIfTrue="1">
      <formula>ROW()-2=#REF!</formula>
    </cfRule>
  </conditionalFormatting>
  <conditionalFormatting sqref="A1269:DF1270">
    <cfRule type="expression" dxfId="393" priority="38" stopIfTrue="1">
      <formula>$B$1270&gt;144</formula>
    </cfRule>
  </conditionalFormatting>
  <conditionalFormatting sqref="A4:DI136">
    <cfRule type="expression" dxfId="392" priority="1" stopIfTrue="1">
      <formula>ROW()-3=$B$1270</formula>
    </cfRule>
    <cfRule type="expression" dxfId="391" priority="2" stopIfTrue="1">
      <formula>OR(ROW()-3=$B$1270,A4&lt;0)</formula>
    </cfRule>
    <cfRule type="expression" dxfId="390" priority="35">
      <formula>$A4=37</formula>
    </cfRule>
  </conditionalFormatting>
  <conditionalFormatting sqref="A3:DI136">
    <cfRule type="expression" dxfId="389" priority="39">
      <formula>ROUND(($A3-1)/12,0)=INT($A3-1)/12</formula>
    </cfRule>
  </conditionalFormatting>
  <conditionalFormatting sqref="A1:AO2 AQ1:AV2 AX1:BU2 BW1:CM1 BY2:CN2 CX2:XFD2 CO1:DD1 DF1:XFD1 A3:XFD3">
    <cfRule type="expression" dxfId="388" priority="40">
      <formula>$B$1270&lt;0</formula>
    </cfRule>
  </conditionalFormatting>
  <pageMargins left="0.75" right="0.75" top="1" bottom="1" header="0.5" footer="0.5"/>
  <pageSetup paperSize="9" orientation="portrait" horizontalDpi="300" verticalDpi="300" r:id="rId1"/>
  <headerFooter alignWithMargins="0"/>
  <ignoredErrors>
    <ignoredError sqref="K13:L15 K33:L136 B17:B75 B5:B16 F33:H136 E13:H14 K17:L32 K16 F17:H32 F16:H16 I17:I136 E15:H15 I4:I16 B76:B136 E16:E136 AA5:AA52 AA54:AA136" calculatedColumn="1"/>
  </ignoredErrors>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tabColor rgb="FF552583"/>
  </sheetPr>
  <dimension ref="A1:AQ1270"/>
  <sheetViews>
    <sheetView zoomScale="85" zoomScaleNormal="85" workbookViewId="0">
      <pane ySplit="3" topLeftCell="A4" activePane="bottomLeft" state="frozenSplit"/>
      <selection activeCell="A3" sqref="A3"/>
      <selection pane="bottomLeft" activeCell="G4" sqref="G4"/>
    </sheetView>
  </sheetViews>
  <sheetFormatPr defaultColWidth="9.140625" defaultRowHeight="12.75" x14ac:dyDescent="0.2"/>
  <cols>
    <col min="1" max="1" width="7.5703125" style="57" customWidth="1"/>
    <col min="2" max="2" width="7.7109375" style="45" customWidth="1"/>
    <col min="3" max="6" width="8.5703125" style="45" customWidth="1"/>
    <col min="7" max="17" width="10.140625" style="45" customWidth="1"/>
    <col min="18" max="18" width="11" style="45" customWidth="1"/>
    <col min="19" max="19" width="11.42578125" style="45" customWidth="1"/>
    <col min="20" max="23" width="10.140625" style="45" customWidth="1"/>
    <col min="24" max="24" width="3.42578125" style="45" customWidth="1"/>
    <col min="25" max="25" width="9.140625" style="45" customWidth="1"/>
    <col min="26" max="26" width="10.5703125" style="45" customWidth="1"/>
    <col min="27" max="27" width="3.85546875" style="45" customWidth="1"/>
    <col min="28" max="41" width="11.42578125" style="45" customWidth="1"/>
    <col min="42" max="42" width="9.140625" style="45" customWidth="1"/>
    <col min="43" max="16384" width="9.140625" style="45"/>
  </cols>
  <sheetData>
    <row r="1" spans="1:43" s="28" customFormat="1" x14ac:dyDescent="0.2">
      <c r="O1" s="537" t="s">
        <v>1074</v>
      </c>
      <c r="U1" s="242"/>
      <c r="V1" s="242"/>
      <c r="Y1" s="28" t="s">
        <v>33</v>
      </c>
      <c r="AB1" s="28" t="s">
        <v>205</v>
      </c>
      <c r="AG1" s="28" t="s">
        <v>91</v>
      </c>
      <c r="AH1" s="28" t="s">
        <v>94</v>
      </c>
      <c r="AI1" s="28" t="s">
        <v>100</v>
      </c>
      <c r="AJ1" s="28" t="s">
        <v>360</v>
      </c>
      <c r="AK1" s="28" t="s">
        <v>92</v>
      </c>
      <c r="AL1" s="28" t="s">
        <v>103</v>
      </c>
      <c r="AM1" s="28" t="s">
        <v>328</v>
      </c>
      <c r="AN1" s="28" t="s">
        <v>342</v>
      </c>
      <c r="AO1" s="28" t="s">
        <v>498</v>
      </c>
    </row>
    <row r="2" spans="1:43" s="28" customFormat="1" x14ac:dyDescent="0.2">
      <c r="G2" s="28" t="s">
        <v>195</v>
      </c>
      <c r="L2" s="242" t="s">
        <v>535</v>
      </c>
      <c r="M2" s="262" t="s">
        <v>94</v>
      </c>
      <c r="N2" s="242" t="s">
        <v>100</v>
      </c>
      <c r="O2" s="537"/>
      <c r="P2" s="242" t="s">
        <v>92</v>
      </c>
      <c r="Q2" s="242" t="s">
        <v>103</v>
      </c>
      <c r="R2" s="242" t="s">
        <v>328</v>
      </c>
      <c r="S2" s="242" t="s">
        <v>342</v>
      </c>
      <c r="T2" s="242" t="s">
        <v>498</v>
      </c>
      <c r="U2" s="242" t="s">
        <v>90</v>
      </c>
      <c r="V2" s="242" t="s">
        <v>1132</v>
      </c>
      <c r="W2" s="242" t="s">
        <v>500</v>
      </c>
    </row>
    <row r="3" spans="1:43" s="264" customFormat="1" ht="29.25" customHeight="1" thickBot="1" x14ac:dyDescent="0.25">
      <c r="A3" s="135" t="s">
        <v>0</v>
      </c>
      <c r="B3" s="135" t="s">
        <v>1</v>
      </c>
      <c r="C3" s="135" t="s">
        <v>12</v>
      </c>
      <c r="D3" s="135" t="s">
        <v>194</v>
      </c>
      <c r="E3" s="135" t="s">
        <v>309</v>
      </c>
      <c r="F3" s="135" t="s">
        <v>323</v>
      </c>
      <c r="G3" s="135" t="s">
        <v>196</v>
      </c>
      <c r="H3" s="135" t="s">
        <v>197</v>
      </c>
      <c r="I3" s="135" t="s">
        <v>198</v>
      </c>
      <c r="J3" s="135" t="s">
        <v>199</v>
      </c>
      <c r="K3" s="404" t="s">
        <v>200</v>
      </c>
      <c r="L3" s="135" t="s">
        <v>262</v>
      </c>
      <c r="M3" s="263" t="s">
        <v>527</v>
      </c>
      <c r="N3" s="135" t="s">
        <v>1113</v>
      </c>
      <c r="O3" s="135" t="s">
        <v>1075</v>
      </c>
      <c r="P3" s="135" t="s">
        <v>297</v>
      </c>
      <c r="Q3" s="135" t="s">
        <v>334</v>
      </c>
      <c r="R3" s="135" t="s">
        <v>1076</v>
      </c>
      <c r="S3" s="135" t="s">
        <v>340</v>
      </c>
      <c r="T3" s="135" t="s">
        <v>424</v>
      </c>
      <c r="U3" s="135" t="s">
        <v>1069</v>
      </c>
      <c r="V3" s="135" t="s">
        <v>1163</v>
      </c>
      <c r="W3" s="135" t="s">
        <v>501</v>
      </c>
      <c r="X3" s="135" t="s">
        <v>769</v>
      </c>
      <c r="Y3" s="135" t="s">
        <v>914</v>
      </c>
      <c r="Z3" s="135" t="s">
        <v>915</v>
      </c>
      <c r="AA3" s="135" t="s">
        <v>770</v>
      </c>
      <c r="AB3" s="135" t="s">
        <v>916</v>
      </c>
      <c r="AC3" s="135" t="s">
        <v>917</v>
      </c>
      <c r="AD3" s="135" t="s">
        <v>918</v>
      </c>
      <c r="AE3" s="135" t="s">
        <v>919</v>
      </c>
      <c r="AF3" s="135" t="s">
        <v>920</v>
      </c>
      <c r="AG3" s="135" t="s">
        <v>923</v>
      </c>
      <c r="AH3" s="135" t="s">
        <v>924</v>
      </c>
      <c r="AI3" s="135" t="s">
        <v>1114</v>
      </c>
      <c r="AJ3" s="135" t="s">
        <v>921</v>
      </c>
      <c r="AK3" s="135" t="s">
        <v>925</v>
      </c>
      <c r="AL3" s="135" t="s">
        <v>926</v>
      </c>
      <c r="AM3" s="135" t="s">
        <v>1085</v>
      </c>
      <c r="AN3" s="135" t="s">
        <v>927</v>
      </c>
      <c r="AO3" s="135" t="s">
        <v>922</v>
      </c>
      <c r="AP3" s="411" t="s">
        <v>1070</v>
      </c>
      <c r="AQ3" s="411" t="s">
        <v>1164</v>
      </c>
    </row>
    <row r="4" spans="1:43" x14ac:dyDescent="0.2">
      <c r="A4" s="137">
        <f>TblRezone[[#This Row],[Hour]]</f>
        <v>1</v>
      </c>
      <c r="B4" s="154">
        <f ca="1">TblConstr[[#This Row],[Land]]</f>
        <v>50</v>
      </c>
      <c r="C4" s="94">
        <f ca="1">TblProd[[#This Row],[Mana]]</f>
        <v>0</v>
      </c>
      <c r="D4" s="397">
        <f>1-TblMagic[[#This Row],[Wiz str cost]]</f>
        <v>1</v>
      </c>
      <c r="E4" s="159">
        <f>Imps!L4</f>
        <v>46047</v>
      </c>
      <c r="F4" s="156">
        <f ca="1">TblImps[[#This Row],[Population]]</f>
        <v>0.8049414824447334</v>
      </c>
      <c r="G4" s="218"/>
      <c r="H4" s="218"/>
      <c r="I4" s="218"/>
      <c r="J4" s="218"/>
      <c r="K4" s="405"/>
      <c r="L4" s="218"/>
      <c r="M4" s="218"/>
      <c r="N4" s="218"/>
      <c r="O4" s="218"/>
      <c r="P4" s="218"/>
      <c r="Q4" s="218"/>
      <c r="R4" s="218"/>
      <c r="S4" s="218"/>
      <c r="T4" s="218"/>
      <c r="U4" s="218"/>
      <c r="V4" s="218"/>
      <c r="W4" s="218"/>
      <c r="X4" s="142"/>
      <c r="Y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 s="156">
        <f>SUMIF(TblMagic[[#This Row],[Gaia''s Watch]:[Useless spell]],1)*0.05</f>
        <v>0</v>
      </c>
      <c r="AA4" s="142"/>
      <c r="AB4" s="398">
        <f>TblMagic[[#This Row],[Gaia''s Watch]]*12</f>
        <v>0</v>
      </c>
      <c r="AC4" s="398">
        <f>TblMagic[[#This Row],[Mining Strength]]*12</f>
        <v>0</v>
      </c>
      <c r="AD4" s="398">
        <f>TblMagic[[#This Row],[Ares Call]]*12</f>
        <v>0</v>
      </c>
      <c r="AE4" s="398">
        <f>TblMagic[[#This Row],[Midas Touch]]*12</f>
        <v>0</v>
      </c>
      <c r="AF4" s="398">
        <f>TblMagic[[#This Row],[Harmony]]*12</f>
        <v>0</v>
      </c>
      <c r="AG4" s="398">
        <f>TblMagic[[#This Row],[Miner''s Sight]]*12</f>
        <v>0</v>
      </c>
      <c r="AH4" s="398">
        <f>TblMagic[[#This Row],[Mechanical Genius]]*12</f>
        <v>0</v>
      </c>
      <c r="AI4" s="398">
        <f>TblMagic[[#This Row],[Death and Decay]]*12</f>
        <v>0</v>
      </c>
      <c r="AJ4" s="398">
        <f>TblMagic[[#This Row],[Killing Rage / Bloodrage / Crusade]]*12</f>
        <v>0</v>
      </c>
      <c r="AK4" s="398">
        <f>TblMagic[[#This Row],[Gaia''s Blessing]]*12</f>
        <v>0</v>
      </c>
      <c r="AL4" s="398">
        <f>TblMagic[[#This Row],[Howling]]*12</f>
        <v>0</v>
      </c>
      <c r="AM4" s="398">
        <f>TblMagic[[#This Row],[Alchemist Frost]]*12</f>
        <v>0</v>
      </c>
      <c r="AN4" s="398">
        <f>TblMagic[[#This Row],[Alchemists Flame]]*12</f>
        <v>0</v>
      </c>
      <c r="AO4" s="398">
        <f>TblMagic[[#This Row],[Nightfall]]*12</f>
        <v>0</v>
      </c>
      <c r="AP4" s="412">
        <f>TblMagic[[#This Row],[Favorable Terrain]]*12</f>
        <v>0</v>
      </c>
      <c r="AQ4" s="412">
        <f>TblMagic[[#This Row],[Infernal Command]]*12</f>
        <v>0</v>
      </c>
    </row>
    <row r="5" spans="1:43" hidden="1" x14ac:dyDescent="0.2">
      <c r="A5" s="137">
        <f>TblRezone[[#This Row],[Hour]]</f>
        <v>2</v>
      </c>
      <c r="B5" s="154">
        <f ca="1">TblConstr[[#This Row],[Land]]</f>
        <v>50</v>
      </c>
      <c r="C5" s="94">
        <f ca="1">TblProd[[#This Row],[Mana]]</f>
        <v>0</v>
      </c>
      <c r="D5" s="156">
        <f ca="1">MIN(1,OFFSET(TblMagic[[#This Row],[Wiz str]],-1,0)+0.04+ROUNDDOWN(10*OFFSET(TblMili[[#This Row],[WG''s]],-1,0),0)+ tech_2_7*OFFSET(TblTech[[#This Row],[2-7]],-1,0) + tech_5_6*OFFSET(TblTech[[#This Row],[5-6]],-1,0) )-TblMagic[[#This Row],[Wiz str cost]]</f>
        <v>1</v>
      </c>
      <c r="E5" s="159">
        <f ca="1">OFFSET(TblMagic[[#This Row],[Time]],-1,0)+1/24</f>
        <v>46047.041666666664</v>
      </c>
      <c r="F5" s="156">
        <f ca="1">TblImps[[#This Row],[Population]]</f>
        <v>0.82314694408322497</v>
      </c>
      <c r="G5" s="57"/>
      <c r="H5" s="57"/>
      <c r="I5" s="57"/>
      <c r="J5" s="57"/>
      <c r="K5" s="480"/>
      <c r="L5" s="57"/>
      <c r="M5" s="57"/>
      <c r="N5" s="57"/>
      <c r="O5" s="57"/>
      <c r="P5" s="57"/>
      <c r="Q5" s="57"/>
      <c r="R5" s="57"/>
      <c r="S5" s="57"/>
      <c r="T5" s="57"/>
      <c r="U5" s="57"/>
      <c r="V5" s="57"/>
      <c r="W5" s="57"/>
      <c r="X5" s="142"/>
      <c r="Y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 s="156">
        <f>SUMIF(TblMagic[[#This Row],[Gaia''s Watch]:[Useless spell]],1)*0.05</f>
        <v>0</v>
      </c>
      <c r="AA5" s="142"/>
      <c r="AB5" s="57">
        <f ca="1">IF(TblMagic[[#This Row],[Gaia''s Watch]],12,IF(OFFSET(TblMagic[[#This Row],[Active Gaia''s Watch]],-1,0)&gt;0,OFFSET(TblMagic[[#This Row],[Active Gaia''s Watch]],-1,0)-1,0))</f>
        <v>0</v>
      </c>
      <c r="AC5" s="57">
        <f ca="1">IF(TblMagic[[#This Row],[Mining Strength]],12,IF(OFFSET(TblMagic[[#This Row],[Active Mining Strength]],-1,0)&gt;0,OFFSET(TblMagic[[#This Row],[Active Mining Strength]],-1,0)-1,0))</f>
        <v>0</v>
      </c>
      <c r="AD5" s="57">
        <f ca="1">IF(TblMagic[[#This Row],[Ares Call]],12,IF(OFFSET(TblMagic[[#This Row],[Active Ares Call]],-1,0)&gt;0,OFFSET(TblMagic[[#This Row],[Active Ares Call]],-1,0)-1,0))</f>
        <v>0</v>
      </c>
      <c r="AE5" s="57">
        <f ca="1">IF(TblMagic[[#This Row],[Midas Touch]],12,IF(OFFSET(TblMagic[[#This Row],[Active Midas Touch]],-1,0)&gt;0,OFFSET(TblMagic[[#This Row],[Active Midas Touch]],-1,0)-1,0))</f>
        <v>0</v>
      </c>
      <c r="AF5" s="57">
        <f ca="1">IF(TblMagic[[#This Row],[Harmony]],12,IF(OFFSET(TblMagic[[#This Row],[Active Harmony]],-1,0)&gt;0,OFFSET(TblMagic[[#This Row],[Active Harmony]],-1,0)-1,0))</f>
        <v>0</v>
      </c>
      <c r="AG5" s="57">
        <f ca="1">IF(TblMagic[[#This Row],[Miner''s Sight]],12,IF(OFFSET(TblMagic[[#This Row],[Active Miner''s Sight]],-1,0)&gt;0,OFFSET(TblMagic[[#This Row],[Active Miner''s Sight]],-1,0)-1,0))</f>
        <v>0</v>
      </c>
      <c r="AH5" s="57">
        <f ca="1">IF(TblMagic[[#This Row],[Mechanical Genius]],12,IF(OFFSET(TblMagic[[#This Row],[Active Mechanical Genius]],-1,0)&gt;0,OFFSET(TblMagic[[#This Row],[Active Mechanical Genius]],-1,0)-1,0))</f>
        <v>0</v>
      </c>
      <c r="AI5" s="57">
        <f ca="1">IF(TblMagic[[#This Row],[Death and Decay]],12,IF(OFFSET(TblMagic[[#This Row],[Active DnD]],-1,0)&gt;0,OFFSET(TblMagic[[#This Row],[Active DnD]],-1,0)-1,0))</f>
        <v>0</v>
      </c>
      <c r="AJ5" s="57">
        <f ca="1">IF(TblMagic[[#This Row],[Killing Rage / Bloodrage / Crusade]],12,IF(OFFSET(TblMagic[[#This Row],[Active Warsong / Killing Rage / Bloodrage]],-1,0)&gt;0,OFFSET(TblMagic[[#This Row],[Active Warsong / Killing Rage / Bloodrage]],-1,0)-1,0))</f>
        <v>0</v>
      </c>
      <c r="AK5" s="57">
        <f ca="1">IF(TblMagic[[#This Row],[Gaia''s Blessing]],12,IF(OFFSET(TblMagic[[#This Row],[Active Gaia''s Blessing]],-1,0)&gt;0,OFFSET(TblMagic[[#This Row],[Active Gaia''s Blessing]],-1,0)-1,0))</f>
        <v>0</v>
      </c>
      <c r="AL5" s="57">
        <f ca="1">IF(TblMagic[[#This Row],[Howling]],12,IF(OFFSET(TblMagic[[#This Row],[Active Howling]],-1,0)&gt;0,OFFSET(TblMagic[[#This Row],[Active Howling]],-1,0)-1,0))</f>
        <v>0</v>
      </c>
      <c r="AM5" s="57">
        <f ca="1">IF(TblMagic[[#This Row],[Alchemist Frost]],12,IF(OFFSET(TblMagic[[#This Row],[Active Alch Frost]],-1,0)&gt;0,OFFSET(TblMagic[[#This Row],[Active Alch Frost]],-1,0)-1,0))</f>
        <v>0</v>
      </c>
      <c r="AN5" s="57">
        <f ca="1">IF(TblMagic[[#This Row],[Alchemists Flame]],12,IF(OFFSET(TblMagic[[#This Row],[Active Alchemists Flame]],-1,0)&gt;0,OFFSET(TblMagic[[#This Row],[Active Alchemists Flame]],-1,0)-1,0))</f>
        <v>0</v>
      </c>
      <c r="AO5" s="57">
        <f ca="1">IF(TblMagic[[#This Row],[Nightfall]],12,IF(OFFSET(TblMagic[[#This Row],[Active Nightfall]],-1,0)&gt;0,OFFSET(TblMagic[[#This Row],[Active Nightfall]],-1,0)-1,0))</f>
        <v>0</v>
      </c>
      <c r="AP5" s="57">
        <f ca="1">IF(TblMagic[[#This Row],[Favorable Terrain]],12,IF(OFFSET(TblMagic[[#This Row],[Active Favorable Terrain]],-1,0)&gt;0,OFFSET(TblMagic[[#This Row],[Active Favorable Terrain]],-1,0)-1,0))</f>
        <v>0</v>
      </c>
      <c r="AQ5" s="57">
        <f ca="1">IF(TblMagic[[#This Row],[Infernal Command]],12,IF(OFFSET(TblMagic[[#This Row],[Active Infernal Command]],-1,0)&gt;0,OFFSET(TblMagic[[#This Row],[Active Infernal Command]],-1,0)-1,0))</f>
        <v>0</v>
      </c>
    </row>
    <row r="6" spans="1:43" hidden="1" x14ac:dyDescent="0.2">
      <c r="A6" s="137">
        <f>TblRezone[[#This Row],[Hour]]</f>
        <v>3</v>
      </c>
      <c r="B6" s="154">
        <f ca="1">TblConstr[[#This Row],[Land]]</f>
        <v>50</v>
      </c>
      <c r="C6" s="94">
        <f ca="1">TblProd[[#This Row],[Mana]]</f>
        <v>0</v>
      </c>
      <c r="D6" s="156">
        <f ca="1">MIN(1,OFFSET(TblMagic[[#This Row],[Wiz str]],-1,0)+0.04+ROUNDDOWN(10*OFFSET(TblMili[[#This Row],[WG''s]],-1,0),0)+ tech_2_7*OFFSET(TblTech[[#This Row],[2-7]],-1,0) + tech_5_6*OFFSET(TblTech[[#This Row],[5-6]],-1,0) )-TblMagic[[#This Row],[Wiz str cost]]</f>
        <v>1</v>
      </c>
      <c r="E6" s="159">
        <f ca="1">OFFSET(TblMagic[[#This Row],[Time]],-1,0)+1/24</f>
        <v>46047.083333333328</v>
      </c>
      <c r="F6" s="156">
        <f ca="1">TblImps[[#This Row],[Population]]</f>
        <v>0.84135240572171655</v>
      </c>
      <c r="G6" s="57"/>
      <c r="H6" s="57"/>
      <c r="I6" s="57"/>
      <c r="J6" s="57"/>
      <c r="K6" s="480"/>
      <c r="L6" s="57"/>
      <c r="M6" s="57"/>
      <c r="N6" s="57"/>
      <c r="O6" s="57"/>
      <c r="P6" s="57"/>
      <c r="Q6" s="57"/>
      <c r="R6" s="57"/>
      <c r="S6" s="57"/>
      <c r="T6" s="57"/>
      <c r="U6" s="57"/>
      <c r="V6" s="57"/>
      <c r="W6" s="57"/>
      <c r="X6" s="142"/>
      <c r="Y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 s="156">
        <f>SUMIF(TblMagic[[#This Row],[Gaia''s Watch]:[Useless spell]],1)*0.05</f>
        <v>0</v>
      </c>
      <c r="AA6" s="142"/>
      <c r="AB6" s="57">
        <f ca="1">IF(TblMagic[[#This Row],[Gaia''s Watch]],12,IF(OFFSET(TblMagic[[#This Row],[Active Gaia''s Watch]],-1,0)&gt;0,OFFSET(TblMagic[[#This Row],[Active Gaia''s Watch]],-1,0)-1,0))</f>
        <v>0</v>
      </c>
      <c r="AC6" s="57">
        <f ca="1">IF(TblMagic[[#This Row],[Mining Strength]],12,IF(OFFSET(TblMagic[[#This Row],[Active Mining Strength]],-1,0)&gt;0,OFFSET(TblMagic[[#This Row],[Active Mining Strength]],-1,0)-1,0))</f>
        <v>0</v>
      </c>
      <c r="AD6" s="57">
        <f ca="1">IF(TblMagic[[#This Row],[Ares Call]],12,IF(OFFSET(TblMagic[[#This Row],[Active Ares Call]],-1,0)&gt;0,OFFSET(TblMagic[[#This Row],[Active Ares Call]],-1,0)-1,0))</f>
        <v>0</v>
      </c>
      <c r="AE6" s="57">
        <f ca="1">IF(TblMagic[[#This Row],[Midas Touch]],12,IF(OFFSET(TblMagic[[#This Row],[Active Midas Touch]],-1,0)&gt;0,OFFSET(TblMagic[[#This Row],[Active Midas Touch]],-1,0)-1,0))</f>
        <v>0</v>
      </c>
      <c r="AF6" s="57">
        <f ca="1">IF(TblMagic[[#This Row],[Harmony]],12,IF(OFFSET(TblMagic[[#This Row],[Active Harmony]],-1,0)&gt;0,OFFSET(TblMagic[[#This Row],[Active Harmony]],-1,0)-1,0))</f>
        <v>0</v>
      </c>
      <c r="AG6" s="57">
        <f ca="1">IF(TblMagic[[#This Row],[Miner''s Sight]],12,IF(OFFSET(TblMagic[[#This Row],[Active Miner''s Sight]],-1,0)&gt;0,OFFSET(TblMagic[[#This Row],[Active Miner''s Sight]],-1,0)-1,0))</f>
        <v>0</v>
      </c>
      <c r="AH6" s="57">
        <f ca="1">IF(TblMagic[[#This Row],[Mechanical Genius]],12,IF(OFFSET(TblMagic[[#This Row],[Active Mechanical Genius]],-1,0)&gt;0,OFFSET(TblMagic[[#This Row],[Active Mechanical Genius]],-1,0)-1,0))</f>
        <v>0</v>
      </c>
      <c r="AI6" s="57">
        <f ca="1">IF(TblMagic[[#This Row],[Death and Decay]],12,IF(OFFSET(TblMagic[[#This Row],[Active DnD]],-1,0)&gt;0,OFFSET(TblMagic[[#This Row],[Active DnD]],-1,0)-1,0))</f>
        <v>0</v>
      </c>
      <c r="AJ6" s="57">
        <f ca="1">IF(TblMagic[[#This Row],[Killing Rage / Bloodrage / Crusade]],12,IF(OFFSET(TblMagic[[#This Row],[Active Warsong / Killing Rage / Bloodrage]],-1,0)&gt;0,OFFSET(TblMagic[[#This Row],[Active Warsong / Killing Rage / Bloodrage]],-1,0)-1,0))</f>
        <v>0</v>
      </c>
      <c r="AK6" s="57">
        <f ca="1">IF(TblMagic[[#This Row],[Gaia''s Blessing]],12,IF(OFFSET(TblMagic[[#This Row],[Active Gaia''s Blessing]],-1,0)&gt;0,OFFSET(TblMagic[[#This Row],[Active Gaia''s Blessing]],-1,0)-1,0))</f>
        <v>0</v>
      </c>
      <c r="AL6" s="57">
        <f ca="1">IF(TblMagic[[#This Row],[Howling]],12,IF(OFFSET(TblMagic[[#This Row],[Active Howling]],-1,0)&gt;0,OFFSET(TblMagic[[#This Row],[Active Howling]],-1,0)-1,0))</f>
        <v>0</v>
      </c>
      <c r="AM6" s="57">
        <f ca="1">IF(TblMagic[[#This Row],[Alchemist Frost]],12,IF(OFFSET(TblMagic[[#This Row],[Active Alch Frost]],-1,0)&gt;0,OFFSET(TblMagic[[#This Row],[Active Alch Frost]],-1,0)-1,0))</f>
        <v>0</v>
      </c>
      <c r="AN6" s="57">
        <f ca="1">IF(TblMagic[[#This Row],[Alchemists Flame]],12,IF(OFFSET(TblMagic[[#This Row],[Active Alchemists Flame]],-1,0)&gt;0,OFFSET(TblMagic[[#This Row],[Active Alchemists Flame]],-1,0)-1,0))</f>
        <v>0</v>
      </c>
      <c r="AO6" s="57">
        <f ca="1">IF(TblMagic[[#This Row],[Nightfall]],12,IF(OFFSET(TblMagic[[#This Row],[Active Nightfall]],-1,0)&gt;0,OFFSET(TblMagic[[#This Row],[Active Nightfall]],-1,0)-1,0))</f>
        <v>0</v>
      </c>
      <c r="AP6" s="57">
        <f ca="1">IF(TblMagic[[#This Row],[Favorable Terrain]],12,IF(OFFSET(TblMagic[[#This Row],[Active Favorable Terrain]],-1,0)&gt;0,OFFSET(TblMagic[[#This Row],[Active Favorable Terrain]],-1,0)-1,0))</f>
        <v>0</v>
      </c>
      <c r="AQ6" s="57">
        <f ca="1">IF(TblMagic[[#This Row],[Infernal Command]],12,IF(OFFSET(TblMagic[[#This Row],[Active Infernal Command]],-1,0)&gt;0,OFFSET(TblMagic[[#This Row],[Active Infernal Command]],-1,0)-1,0))</f>
        <v>0</v>
      </c>
    </row>
    <row r="7" spans="1:43" hidden="1" x14ac:dyDescent="0.2">
      <c r="A7" s="137">
        <f>TblRezone[[#This Row],[Hour]]</f>
        <v>4</v>
      </c>
      <c r="B7" s="154">
        <f ca="1">TblConstr[[#This Row],[Land]]</f>
        <v>50</v>
      </c>
      <c r="C7" s="94">
        <f ca="1">TblProd[[#This Row],[Mana]]</f>
        <v>0</v>
      </c>
      <c r="D7" s="156">
        <f ca="1">MIN(1,OFFSET(TblMagic[[#This Row],[Wiz str]],-1,0)+0.04+ROUNDDOWN(10*OFFSET(TblMili[[#This Row],[WG''s]],-1,0),0)+ tech_2_7*OFFSET(TblTech[[#This Row],[2-7]],-1,0) + tech_5_6*OFFSET(TblTech[[#This Row],[5-6]],-1,0) )-TblMagic[[#This Row],[Wiz str cost]]</f>
        <v>1</v>
      </c>
      <c r="E7" s="159">
        <f ca="1">OFFSET(TblMagic[[#This Row],[Time]],-1,0)+1/24</f>
        <v>46047.124999999993</v>
      </c>
      <c r="F7" s="156">
        <f ca="1">TblImps[[#This Row],[Population]]</f>
        <v>0.85955786736020812</v>
      </c>
      <c r="G7" s="57"/>
      <c r="H7" s="57"/>
      <c r="I7" s="57"/>
      <c r="J7" s="57"/>
      <c r="K7" s="480"/>
      <c r="L7" s="57"/>
      <c r="M7" s="57"/>
      <c r="N7" s="57"/>
      <c r="O7" s="57"/>
      <c r="P7" s="57"/>
      <c r="Q7" s="57"/>
      <c r="R7" s="57"/>
      <c r="S7" s="57"/>
      <c r="T7" s="57"/>
      <c r="U7" s="57"/>
      <c r="V7" s="57"/>
      <c r="W7" s="57"/>
      <c r="X7" s="142"/>
      <c r="Y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 s="156">
        <f>SUMIF(TblMagic[[#This Row],[Gaia''s Watch]:[Useless spell]],1)*0.05</f>
        <v>0</v>
      </c>
      <c r="AA7" s="142"/>
      <c r="AB7" s="57">
        <f ca="1">IF(TblMagic[[#This Row],[Gaia''s Watch]],12,IF(OFFSET(TblMagic[[#This Row],[Active Gaia''s Watch]],-1,0)&gt;0,OFFSET(TblMagic[[#This Row],[Active Gaia''s Watch]],-1,0)-1,0))</f>
        <v>0</v>
      </c>
      <c r="AC7" s="57">
        <f ca="1">IF(TblMagic[[#This Row],[Mining Strength]],12,IF(OFFSET(TblMagic[[#This Row],[Active Mining Strength]],-1,0)&gt;0,OFFSET(TblMagic[[#This Row],[Active Mining Strength]],-1,0)-1,0))</f>
        <v>0</v>
      </c>
      <c r="AD7" s="57">
        <f ca="1">IF(TblMagic[[#This Row],[Ares Call]],12,IF(OFFSET(TblMagic[[#This Row],[Active Ares Call]],-1,0)&gt;0,OFFSET(TblMagic[[#This Row],[Active Ares Call]],-1,0)-1,0))</f>
        <v>0</v>
      </c>
      <c r="AE7" s="57">
        <f ca="1">IF(TblMagic[[#This Row],[Midas Touch]],12,IF(OFFSET(TblMagic[[#This Row],[Active Midas Touch]],-1,0)&gt;0,OFFSET(TblMagic[[#This Row],[Active Midas Touch]],-1,0)-1,0))</f>
        <v>0</v>
      </c>
      <c r="AF7" s="57">
        <f ca="1">IF(TblMagic[[#This Row],[Harmony]],12,IF(OFFSET(TblMagic[[#This Row],[Active Harmony]],-1,0)&gt;0,OFFSET(TblMagic[[#This Row],[Active Harmony]],-1,0)-1,0))</f>
        <v>0</v>
      </c>
      <c r="AG7" s="57">
        <f ca="1">IF(TblMagic[[#This Row],[Miner''s Sight]],12,IF(OFFSET(TblMagic[[#This Row],[Active Miner''s Sight]],-1,0)&gt;0,OFFSET(TblMagic[[#This Row],[Active Miner''s Sight]],-1,0)-1,0))</f>
        <v>0</v>
      </c>
      <c r="AH7" s="57">
        <f ca="1">IF(TblMagic[[#This Row],[Mechanical Genius]],12,IF(OFFSET(TblMagic[[#This Row],[Active Mechanical Genius]],-1,0)&gt;0,OFFSET(TblMagic[[#This Row],[Active Mechanical Genius]],-1,0)-1,0))</f>
        <v>0</v>
      </c>
      <c r="AI7" s="57">
        <f ca="1">IF(TblMagic[[#This Row],[Death and Decay]],12,IF(OFFSET(TblMagic[[#This Row],[Active DnD]],-1,0)&gt;0,OFFSET(TblMagic[[#This Row],[Active DnD]],-1,0)-1,0))</f>
        <v>0</v>
      </c>
      <c r="AJ7" s="57">
        <f ca="1">IF(TblMagic[[#This Row],[Killing Rage / Bloodrage / Crusade]],12,IF(OFFSET(TblMagic[[#This Row],[Active Warsong / Killing Rage / Bloodrage]],-1,0)&gt;0,OFFSET(TblMagic[[#This Row],[Active Warsong / Killing Rage / Bloodrage]],-1,0)-1,0))</f>
        <v>0</v>
      </c>
      <c r="AK7" s="57">
        <f ca="1">IF(TblMagic[[#This Row],[Gaia''s Blessing]],12,IF(OFFSET(TblMagic[[#This Row],[Active Gaia''s Blessing]],-1,0)&gt;0,OFFSET(TblMagic[[#This Row],[Active Gaia''s Blessing]],-1,0)-1,0))</f>
        <v>0</v>
      </c>
      <c r="AL7" s="57">
        <f ca="1">IF(TblMagic[[#This Row],[Howling]],12,IF(OFFSET(TblMagic[[#This Row],[Active Howling]],-1,0)&gt;0,OFFSET(TblMagic[[#This Row],[Active Howling]],-1,0)-1,0))</f>
        <v>0</v>
      </c>
      <c r="AM7" s="57">
        <f ca="1">IF(TblMagic[[#This Row],[Alchemist Frost]],12,IF(OFFSET(TblMagic[[#This Row],[Active Alch Frost]],-1,0)&gt;0,OFFSET(TblMagic[[#This Row],[Active Alch Frost]],-1,0)-1,0))</f>
        <v>0</v>
      </c>
      <c r="AN7" s="57">
        <f ca="1">IF(TblMagic[[#This Row],[Alchemists Flame]],12,IF(OFFSET(TblMagic[[#This Row],[Active Alchemists Flame]],-1,0)&gt;0,OFFSET(TblMagic[[#This Row],[Active Alchemists Flame]],-1,0)-1,0))</f>
        <v>0</v>
      </c>
      <c r="AO7" s="57">
        <f ca="1">IF(TblMagic[[#This Row],[Nightfall]],12,IF(OFFSET(TblMagic[[#This Row],[Active Nightfall]],-1,0)&gt;0,OFFSET(TblMagic[[#This Row],[Active Nightfall]],-1,0)-1,0))</f>
        <v>0</v>
      </c>
      <c r="AP7" s="57">
        <f ca="1">IF(TblMagic[[#This Row],[Favorable Terrain]],12,IF(OFFSET(TblMagic[[#This Row],[Active Favorable Terrain]],-1,0)&gt;0,OFFSET(TblMagic[[#This Row],[Active Favorable Terrain]],-1,0)-1,0))</f>
        <v>0</v>
      </c>
      <c r="AQ7" s="57">
        <f ca="1">IF(TblMagic[[#This Row],[Infernal Command]],12,IF(OFFSET(TblMagic[[#This Row],[Active Infernal Command]],-1,0)&gt;0,OFFSET(TblMagic[[#This Row],[Active Infernal Command]],-1,0)-1,0))</f>
        <v>0</v>
      </c>
    </row>
    <row r="8" spans="1:43" hidden="1" x14ac:dyDescent="0.2">
      <c r="A8" s="137">
        <f>TblRezone[[#This Row],[Hour]]</f>
        <v>5</v>
      </c>
      <c r="B8" s="154">
        <f ca="1">TblConstr[[#This Row],[Land]]</f>
        <v>50</v>
      </c>
      <c r="C8" s="94">
        <f ca="1">TblProd[[#This Row],[Mana]]</f>
        <v>0</v>
      </c>
      <c r="D8" s="156">
        <f ca="1">MIN(1,OFFSET(TblMagic[[#This Row],[Wiz str]],-1,0)+0.04+ROUNDDOWN(10*OFFSET(TblMili[[#This Row],[WG''s]],-1,0),0)+ tech_2_7*OFFSET(TblTech[[#This Row],[2-7]],-1,0) + tech_5_6*OFFSET(TblTech[[#This Row],[5-6]],-1,0) )-TblMagic[[#This Row],[Wiz str cost]]</f>
        <v>1</v>
      </c>
      <c r="E8" s="159">
        <f ca="1">OFFSET(TblMagic[[#This Row],[Time]],-1,0)+1/24</f>
        <v>46047.166666666657</v>
      </c>
      <c r="F8" s="156">
        <f ca="1">TblImps[[#This Row],[Population]]</f>
        <v>0.87906371911573467</v>
      </c>
      <c r="G8" s="57"/>
      <c r="H8" s="57"/>
      <c r="I8" s="57"/>
      <c r="J8" s="57"/>
      <c r="K8" s="480"/>
      <c r="L8" s="57"/>
      <c r="M8" s="57"/>
      <c r="N8" s="57"/>
      <c r="O8" s="57"/>
      <c r="P8" s="57"/>
      <c r="Q8" s="57"/>
      <c r="R8" s="57"/>
      <c r="S8" s="57"/>
      <c r="T8" s="57"/>
      <c r="U8" s="57"/>
      <c r="V8" s="57"/>
      <c r="W8" s="57"/>
      <c r="X8" s="142"/>
      <c r="Y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 s="156">
        <f>SUMIF(TblMagic[[#This Row],[Gaia''s Watch]:[Useless spell]],1)*0.05</f>
        <v>0</v>
      </c>
      <c r="AA8" s="142"/>
      <c r="AB8" s="57">
        <f ca="1">IF(TblMagic[[#This Row],[Gaia''s Watch]],12,IF(OFFSET(TblMagic[[#This Row],[Active Gaia''s Watch]],-1,0)&gt;0,OFFSET(TblMagic[[#This Row],[Active Gaia''s Watch]],-1,0)-1,0))</f>
        <v>0</v>
      </c>
      <c r="AC8" s="57">
        <f ca="1">IF(TblMagic[[#This Row],[Mining Strength]],12,IF(OFFSET(TblMagic[[#This Row],[Active Mining Strength]],-1,0)&gt;0,OFFSET(TblMagic[[#This Row],[Active Mining Strength]],-1,0)-1,0))</f>
        <v>0</v>
      </c>
      <c r="AD8" s="57">
        <f ca="1">IF(TblMagic[[#This Row],[Ares Call]],12,IF(OFFSET(TblMagic[[#This Row],[Active Ares Call]],-1,0)&gt;0,OFFSET(TblMagic[[#This Row],[Active Ares Call]],-1,0)-1,0))</f>
        <v>0</v>
      </c>
      <c r="AE8" s="57">
        <f ca="1">IF(TblMagic[[#This Row],[Midas Touch]],12,IF(OFFSET(TblMagic[[#This Row],[Active Midas Touch]],-1,0)&gt;0,OFFSET(TblMagic[[#This Row],[Active Midas Touch]],-1,0)-1,0))</f>
        <v>0</v>
      </c>
      <c r="AF8" s="57">
        <f ca="1">IF(TblMagic[[#This Row],[Harmony]],12,IF(OFFSET(TblMagic[[#This Row],[Active Harmony]],-1,0)&gt;0,OFFSET(TblMagic[[#This Row],[Active Harmony]],-1,0)-1,0))</f>
        <v>0</v>
      </c>
      <c r="AG8" s="57">
        <f ca="1">IF(TblMagic[[#This Row],[Miner''s Sight]],12,IF(OFFSET(TblMagic[[#This Row],[Active Miner''s Sight]],-1,0)&gt;0,OFFSET(TblMagic[[#This Row],[Active Miner''s Sight]],-1,0)-1,0))</f>
        <v>0</v>
      </c>
      <c r="AH8" s="57">
        <f ca="1">IF(TblMagic[[#This Row],[Mechanical Genius]],12,IF(OFFSET(TblMagic[[#This Row],[Active Mechanical Genius]],-1,0)&gt;0,OFFSET(TblMagic[[#This Row],[Active Mechanical Genius]],-1,0)-1,0))</f>
        <v>0</v>
      </c>
      <c r="AI8" s="57">
        <f ca="1">IF(TblMagic[[#This Row],[Death and Decay]],12,IF(OFFSET(TblMagic[[#This Row],[Active DnD]],-1,0)&gt;0,OFFSET(TblMagic[[#This Row],[Active DnD]],-1,0)-1,0))</f>
        <v>0</v>
      </c>
      <c r="AJ8" s="57">
        <f ca="1">IF(TblMagic[[#This Row],[Killing Rage / Bloodrage / Crusade]],12,IF(OFFSET(TblMagic[[#This Row],[Active Warsong / Killing Rage / Bloodrage]],-1,0)&gt;0,OFFSET(TblMagic[[#This Row],[Active Warsong / Killing Rage / Bloodrage]],-1,0)-1,0))</f>
        <v>0</v>
      </c>
      <c r="AK8" s="57">
        <f ca="1">IF(TblMagic[[#This Row],[Gaia''s Blessing]],12,IF(OFFSET(TblMagic[[#This Row],[Active Gaia''s Blessing]],-1,0)&gt;0,OFFSET(TblMagic[[#This Row],[Active Gaia''s Blessing]],-1,0)-1,0))</f>
        <v>0</v>
      </c>
      <c r="AL8" s="57">
        <f ca="1">IF(TblMagic[[#This Row],[Howling]],12,IF(OFFSET(TblMagic[[#This Row],[Active Howling]],-1,0)&gt;0,OFFSET(TblMagic[[#This Row],[Active Howling]],-1,0)-1,0))</f>
        <v>0</v>
      </c>
      <c r="AM8" s="57">
        <f ca="1">IF(TblMagic[[#This Row],[Alchemist Frost]],12,IF(OFFSET(TblMagic[[#This Row],[Active Alch Frost]],-1,0)&gt;0,OFFSET(TblMagic[[#This Row],[Active Alch Frost]],-1,0)-1,0))</f>
        <v>0</v>
      </c>
      <c r="AN8" s="57">
        <f ca="1">IF(TblMagic[[#This Row],[Alchemists Flame]],12,IF(OFFSET(TblMagic[[#This Row],[Active Alchemists Flame]],-1,0)&gt;0,OFFSET(TblMagic[[#This Row],[Active Alchemists Flame]],-1,0)-1,0))</f>
        <v>0</v>
      </c>
      <c r="AO8" s="57">
        <f ca="1">IF(TblMagic[[#This Row],[Nightfall]],12,IF(OFFSET(TblMagic[[#This Row],[Active Nightfall]],-1,0)&gt;0,OFFSET(TblMagic[[#This Row],[Active Nightfall]],-1,0)-1,0))</f>
        <v>0</v>
      </c>
      <c r="AP8" s="57">
        <f ca="1">IF(TblMagic[[#This Row],[Favorable Terrain]],12,IF(OFFSET(TblMagic[[#This Row],[Active Favorable Terrain]],-1,0)&gt;0,OFFSET(TblMagic[[#This Row],[Active Favorable Terrain]],-1,0)-1,0))</f>
        <v>0</v>
      </c>
      <c r="AQ8" s="57">
        <f ca="1">IF(TblMagic[[#This Row],[Infernal Command]],12,IF(OFFSET(TblMagic[[#This Row],[Active Infernal Command]],-1,0)&gt;0,OFFSET(TblMagic[[#This Row],[Active Infernal Command]],-1,0)-1,0))</f>
        <v>0</v>
      </c>
    </row>
    <row r="9" spans="1:43" hidden="1" x14ac:dyDescent="0.2">
      <c r="A9" s="137">
        <f>TblRezone[[#This Row],[Hour]]</f>
        <v>6</v>
      </c>
      <c r="B9" s="154">
        <f ca="1">TblConstr[[#This Row],[Land]]</f>
        <v>50</v>
      </c>
      <c r="C9" s="94">
        <f ca="1">TblProd[[#This Row],[Mana]]</f>
        <v>0</v>
      </c>
      <c r="D9" s="156">
        <f ca="1">MIN(1,OFFSET(TblMagic[[#This Row],[Wiz str]],-1,0)+0.04+ROUNDDOWN(10*OFFSET(TblMili[[#This Row],[WG''s]],-1,0),0)+ tech_2_7*OFFSET(TblTech[[#This Row],[2-7]],-1,0) + tech_5_6*OFFSET(TblTech[[#This Row],[5-6]],-1,0) )-TblMagic[[#This Row],[Wiz str cost]]</f>
        <v>1</v>
      </c>
      <c r="E9" s="159">
        <f ca="1">OFFSET(TblMagic[[#This Row],[Time]],-1,0)+1/24</f>
        <v>46047.208333333321</v>
      </c>
      <c r="F9" s="156">
        <f ca="1">TblImps[[#This Row],[Population]]</f>
        <v>0.89856957087126132</v>
      </c>
      <c r="G9" s="57"/>
      <c r="H9" s="57"/>
      <c r="I9" s="57"/>
      <c r="J9" s="57"/>
      <c r="K9" s="480"/>
      <c r="L9" s="57"/>
      <c r="M9" s="57"/>
      <c r="N9" s="57"/>
      <c r="O9" s="57"/>
      <c r="P9" s="57"/>
      <c r="Q9" s="57"/>
      <c r="R9" s="57"/>
      <c r="S9" s="57"/>
      <c r="T9" s="57"/>
      <c r="U9" s="57"/>
      <c r="V9" s="57"/>
      <c r="W9" s="57"/>
      <c r="X9" s="142"/>
      <c r="Y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 s="156">
        <f>SUMIF(TblMagic[[#This Row],[Gaia''s Watch]:[Useless spell]],1)*0.05</f>
        <v>0</v>
      </c>
      <c r="AA9" s="142"/>
      <c r="AB9" s="57">
        <f ca="1">IF(TblMagic[[#This Row],[Gaia''s Watch]],12,IF(OFFSET(TblMagic[[#This Row],[Active Gaia''s Watch]],-1,0)&gt;0,OFFSET(TblMagic[[#This Row],[Active Gaia''s Watch]],-1,0)-1,0))</f>
        <v>0</v>
      </c>
      <c r="AC9" s="57">
        <f ca="1">IF(TblMagic[[#This Row],[Mining Strength]],12,IF(OFFSET(TblMagic[[#This Row],[Active Mining Strength]],-1,0)&gt;0,OFFSET(TblMagic[[#This Row],[Active Mining Strength]],-1,0)-1,0))</f>
        <v>0</v>
      </c>
      <c r="AD9" s="57">
        <f ca="1">IF(TblMagic[[#This Row],[Ares Call]],12,IF(OFFSET(TblMagic[[#This Row],[Active Ares Call]],-1,0)&gt;0,OFFSET(TblMagic[[#This Row],[Active Ares Call]],-1,0)-1,0))</f>
        <v>0</v>
      </c>
      <c r="AE9" s="57">
        <f ca="1">IF(TblMagic[[#This Row],[Midas Touch]],12,IF(OFFSET(TblMagic[[#This Row],[Active Midas Touch]],-1,0)&gt;0,OFFSET(TblMagic[[#This Row],[Active Midas Touch]],-1,0)-1,0))</f>
        <v>0</v>
      </c>
      <c r="AF9" s="57">
        <f ca="1">IF(TblMagic[[#This Row],[Harmony]],12,IF(OFFSET(TblMagic[[#This Row],[Active Harmony]],-1,0)&gt;0,OFFSET(TblMagic[[#This Row],[Active Harmony]],-1,0)-1,0))</f>
        <v>0</v>
      </c>
      <c r="AG9" s="57">
        <f ca="1">IF(TblMagic[[#This Row],[Miner''s Sight]],12,IF(OFFSET(TblMagic[[#This Row],[Active Miner''s Sight]],-1,0)&gt;0,OFFSET(TblMagic[[#This Row],[Active Miner''s Sight]],-1,0)-1,0))</f>
        <v>0</v>
      </c>
      <c r="AH9" s="57">
        <f ca="1">IF(TblMagic[[#This Row],[Mechanical Genius]],12,IF(OFFSET(TblMagic[[#This Row],[Active Mechanical Genius]],-1,0)&gt;0,OFFSET(TblMagic[[#This Row],[Active Mechanical Genius]],-1,0)-1,0))</f>
        <v>0</v>
      </c>
      <c r="AI9" s="57">
        <f ca="1">IF(TblMagic[[#This Row],[Death and Decay]],12,IF(OFFSET(TblMagic[[#This Row],[Active DnD]],-1,0)&gt;0,OFFSET(TblMagic[[#This Row],[Active DnD]],-1,0)-1,0))</f>
        <v>0</v>
      </c>
      <c r="AJ9" s="57">
        <f ca="1">IF(TblMagic[[#This Row],[Killing Rage / Bloodrage / Crusade]],12,IF(OFFSET(TblMagic[[#This Row],[Active Warsong / Killing Rage / Bloodrage]],-1,0)&gt;0,OFFSET(TblMagic[[#This Row],[Active Warsong / Killing Rage / Bloodrage]],-1,0)-1,0))</f>
        <v>0</v>
      </c>
      <c r="AK9" s="57">
        <f ca="1">IF(TblMagic[[#This Row],[Gaia''s Blessing]],12,IF(OFFSET(TblMagic[[#This Row],[Active Gaia''s Blessing]],-1,0)&gt;0,OFFSET(TblMagic[[#This Row],[Active Gaia''s Blessing]],-1,0)-1,0))</f>
        <v>0</v>
      </c>
      <c r="AL9" s="57">
        <f ca="1">IF(TblMagic[[#This Row],[Howling]],12,IF(OFFSET(TblMagic[[#This Row],[Active Howling]],-1,0)&gt;0,OFFSET(TblMagic[[#This Row],[Active Howling]],-1,0)-1,0))</f>
        <v>0</v>
      </c>
      <c r="AM9" s="57">
        <f ca="1">IF(TblMagic[[#This Row],[Alchemist Frost]],12,IF(OFFSET(TblMagic[[#This Row],[Active Alch Frost]],-1,0)&gt;0,OFFSET(TblMagic[[#This Row],[Active Alch Frost]],-1,0)-1,0))</f>
        <v>0</v>
      </c>
      <c r="AN9" s="57">
        <f ca="1">IF(TblMagic[[#This Row],[Alchemists Flame]],12,IF(OFFSET(TblMagic[[#This Row],[Active Alchemists Flame]],-1,0)&gt;0,OFFSET(TblMagic[[#This Row],[Active Alchemists Flame]],-1,0)-1,0))</f>
        <v>0</v>
      </c>
      <c r="AO9" s="57">
        <f ca="1">IF(TblMagic[[#This Row],[Nightfall]],12,IF(OFFSET(TblMagic[[#This Row],[Active Nightfall]],-1,0)&gt;0,OFFSET(TblMagic[[#This Row],[Active Nightfall]],-1,0)-1,0))</f>
        <v>0</v>
      </c>
      <c r="AP9" s="57">
        <f ca="1">IF(TblMagic[[#This Row],[Favorable Terrain]],12,IF(OFFSET(TblMagic[[#This Row],[Active Favorable Terrain]],-1,0)&gt;0,OFFSET(TblMagic[[#This Row],[Active Favorable Terrain]],-1,0)-1,0))</f>
        <v>0</v>
      </c>
      <c r="AQ9" s="57">
        <f ca="1">IF(TblMagic[[#This Row],[Infernal Command]],12,IF(OFFSET(TblMagic[[#This Row],[Active Infernal Command]],-1,0)&gt;0,OFFSET(TblMagic[[#This Row],[Active Infernal Command]],-1,0)-1,0))</f>
        <v>0</v>
      </c>
    </row>
    <row r="10" spans="1:43" hidden="1" x14ac:dyDescent="0.2">
      <c r="A10" s="137">
        <f>TblRezone[[#This Row],[Hour]]</f>
        <v>7</v>
      </c>
      <c r="B10" s="154">
        <f ca="1">TblConstr[[#This Row],[Land]]</f>
        <v>50</v>
      </c>
      <c r="C10" s="94">
        <f ca="1">TblProd[[#This Row],[Mana]]</f>
        <v>0</v>
      </c>
      <c r="D10" s="156">
        <f ca="1">MIN(1,OFFSET(TblMagic[[#This Row],[Wiz str]],-1,0)+0.04+ROUNDDOWN(10*OFFSET(TblMili[[#This Row],[WG''s]],-1,0),0)+ tech_2_7*OFFSET(TblTech[[#This Row],[2-7]],-1,0) + tech_5_6*OFFSET(TblTech[[#This Row],[5-6]],-1,0) )-TblMagic[[#This Row],[Wiz str cost]]</f>
        <v>1</v>
      </c>
      <c r="E10" s="159">
        <f ca="1">OFFSET(TblMagic[[#This Row],[Time]],-1,0)+1/24</f>
        <v>46047.249999999985</v>
      </c>
      <c r="F10" s="156">
        <f ca="1">TblImps[[#This Row],[Population]]</f>
        <v>0.91807542262678798</v>
      </c>
      <c r="G10" s="57"/>
      <c r="H10" s="57"/>
      <c r="I10" s="57"/>
      <c r="J10" s="57"/>
      <c r="K10" s="480"/>
      <c r="L10" s="57"/>
      <c r="M10" s="57"/>
      <c r="N10" s="57"/>
      <c r="O10" s="57"/>
      <c r="P10" s="57"/>
      <c r="Q10" s="57"/>
      <c r="R10" s="57"/>
      <c r="S10" s="57"/>
      <c r="T10" s="57"/>
      <c r="U10" s="57"/>
      <c r="V10" s="57"/>
      <c r="W10" s="57"/>
      <c r="X10" s="142"/>
      <c r="Y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 s="156">
        <f>SUMIF(TblMagic[[#This Row],[Gaia''s Watch]:[Useless spell]],1)*0.05</f>
        <v>0</v>
      </c>
      <c r="AA10" s="142"/>
      <c r="AB10" s="57">
        <f ca="1">IF(TblMagic[[#This Row],[Gaia''s Watch]],12,IF(OFFSET(TblMagic[[#This Row],[Active Gaia''s Watch]],-1,0)&gt;0,OFFSET(TblMagic[[#This Row],[Active Gaia''s Watch]],-1,0)-1,0))</f>
        <v>0</v>
      </c>
      <c r="AC10" s="57">
        <f ca="1">IF(TblMagic[[#This Row],[Mining Strength]],12,IF(OFFSET(TblMagic[[#This Row],[Active Mining Strength]],-1,0)&gt;0,OFFSET(TblMagic[[#This Row],[Active Mining Strength]],-1,0)-1,0))</f>
        <v>0</v>
      </c>
      <c r="AD10" s="57">
        <f ca="1">IF(TblMagic[[#This Row],[Ares Call]],12,IF(OFFSET(TblMagic[[#This Row],[Active Ares Call]],-1,0)&gt;0,OFFSET(TblMagic[[#This Row],[Active Ares Call]],-1,0)-1,0))</f>
        <v>0</v>
      </c>
      <c r="AE10" s="57">
        <f ca="1">IF(TblMagic[[#This Row],[Midas Touch]],12,IF(OFFSET(TblMagic[[#This Row],[Active Midas Touch]],-1,0)&gt;0,OFFSET(TblMagic[[#This Row],[Active Midas Touch]],-1,0)-1,0))</f>
        <v>0</v>
      </c>
      <c r="AF10" s="57">
        <f ca="1">IF(TblMagic[[#This Row],[Harmony]],12,IF(OFFSET(TblMagic[[#This Row],[Active Harmony]],-1,0)&gt;0,OFFSET(TblMagic[[#This Row],[Active Harmony]],-1,0)-1,0))</f>
        <v>0</v>
      </c>
      <c r="AG10" s="57">
        <f ca="1">IF(TblMagic[[#This Row],[Miner''s Sight]],12,IF(OFFSET(TblMagic[[#This Row],[Active Miner''s Sight]],-1,0)&gt;0,OFFSET(TblMagic[[#This Row],[Active Miner''s Sight]],-1,0)-1,0))</f>
        <v>0</v>
      </c>
      <c r="AH10" s="57">
        <f ca="1">IF(TblMagic[[#This Row],[Mechanical Genius]],12,IF(OFFSET(TblMagic[[#This Row],[Active Mechanical Genius]],-1,0)&gt;0,OFFSET(TblMagic[[#This Row],[Active Mechanical Genius]],-1,0)-1,0))</f>
        <v>0</v>
      </c>
      <c r="AI10" s="57">
        <f ca="1">IF(TblMagic[[#This Row],[Death and Decay]],12,IF(OFFSET(TblMagic[[#This Row],[Active DnD]],-1,0)&gt;0,OFFSET(TblMagic[[#This Row],[Active DnD]],-1,0)-1,0))</f>
        <v>0</v>
      </c>
      <c r="AJ10" s="57">
        <f ca="1">IF(TblMagic[[#This Row],[Killing Rage / Bloodrage / Crusade]],12,IF(OFFSET(TblMagic[[#This Row],[Active Warsong / Killing Rage / Bloodrage]],-1,0)&gt;0,OFFSET(TblMagic[[#This Row],[Active Warsong / Killing Rage / Bloodrage]],-1,0)-1,0))</f>
        <v>0</v>
      </c>
      <c r="AK10" s="57">
        <f ca="1">IF(TblMagic[[#This Row],[Gaia''s Blessing]],12,IF(OFFSET(TblMagic[[#This Row],[Active Gaia''s Blessing]],-1,0)&gt;0,OFFSET(TblMagic[[#This Row],[Active Gaia''s Blessing]],-1,0)-1,0))</f>
        <v>0</v>
      </c>
      <c r="AL10" s="57">
        <f ca="1">IF(TblMagic[[#This Row],[Howling]],12,IF(OFFSET(TblMagic[[#This Row],[Active Howling]],-1,0)&gt;0,OFFSET(TblMagic[[#This Row],[Active Howling]],-1,0)-1,0))</f>
        <v>0</v>
      </c>
      <c r="AM10" s="57">
        <f ca="1">IF(TblMagic[[#This Row],[Alchemist Frost]],12,IF(OFFSET(TblMagic[[#This Row],[Active Alch Frost]],-1,0)&gt;0,OFFSET(TblMagic[[#This Row],[Active Alch Frost]],-1,0)-1,0))</f>
        <v>0</v>
      </c>
      <c r="AN10" s="57">
        <f ca="1">IF(TblMagic[[#This Row],[Alchemists Flame]],12,IF(OFFSET(TblMagic[[#This Row],[Active Alchemists Flame]],-1,0)&gt;0,OFFSET(TblMagic[[#This Row],[Active Alchemists Flame]],-1,0)-1,0))</f>
        <v>0</v>
      </c>
      <c r="AO10" s="57">
        <f ca="1">IF(TblMagic[[#This Row],[Nightfall]],12,IF(OFFSET(TblMagic[[#This Row],[Active Nightfall]],-1,0)&gt;0,OFFSET(TblMagic[[#This Row],[Active Nightfall]],-1,0)-1,0))</f>
        <v>0</v>
      </c>
      <c r="AP10" s="57">
        <f ca="1">IF(TblMagic[[#This Row],[Favorable Terrain]],12,IF(OFFSET(TblMagic[[#This Row],[Active Favorable Terrain]],-1,0)&gt;0,OFFSET(TblMagic[[#This Row],[Active Favorable Terrain]],-1,0)-1,0))</f>
        <v>0</v>
      </c>
      <c r="AQ10" s="57">
        <f ca="1">IF(TblMagic[[#This Row],[Infernal Command]],12,IF(OFFSET(TblMagic[[#This Row],[Active Infernal Command]],-1,0)&gt;0,OFFSET(TblMagic[[#This Row],[Active Infernal Command]],-1,0)-1,0))</f>
        <v>0</v>
      </c>
    </row>
    <row r="11" spans="1:43" hidden="1" x14ac:dyDescent="0.2">
      <c r="A11" s="137">
        <f>TblRezone[[#This Row],[Hour]]</f>
        <v>8</v>
      </c>
      <c r="B11" s="154">
        <f ca="1">TblConstr[[#This Row],[Land]]</f>
        <v>50</v>
      </c>
      <c r="C11" s="94">
        <f ca="1">TblProd[[#This Row],[Mana]]</f>
        <v>0</v>
      </c>
      <c r="D11" s="156">
        <f ca="1">MIN(1,OFFSET(TblMagic[[#This Row],[Wiz str]],-1,0)+0.04+ROUNDDOWN(10*OFFSET(TblMili[[#This Row],[WG''s]],-1,0),0)+ tech_2_7*OFFSET(TblTech[[#This Row],[2-7]],-1,0) + tech_5_6*OFFSET(TblTech[[#This Row],[5-6]],-1,0) )-TblMagic[[#This Row],[Wiz str cost]]</f>
        <v>1</v>
      </c>
      <c r="E11" s="159">
        <f ca="1">OFFSET(TblMagic[[#This Row],[Time]],-1,0)+1/24</f>
        <v>46047.29166666665</v>
      </c>
      <c r="F11" s="156">
        <f ca="1">TblImps[[#This Row],[Population]]</f>
        <v>0.93888166449934984</v>
      </c>
      <c r="G11" s="57"/>
      <c r="H11" s="57"/>
      <c r="I11" s="57"/>
      <c r="J11" s="57"/>
      <c r="K11" s="480"/>
      <c r="L11" s="57"/>
      <c r="M11" s="57"/>
      <c r="N11" s="57"/>
      <c r="O11" s="57"/>
      <c r="P11" s="57"/>
      <c r="Q11" s="57"/>
      <c r="R11" s="57"/>
      <c r="S11" s="57"/>
      <c r="T11" s="57"/>
      <c r="U11" s="57"/>
      <c r="V11" s="57"/>
      <c r="W11" s="57"/>
      <c r="X11" s="142"/>
      <c r="Y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 s="156">
        <f>SUMIF(TblMagic[[#This Row],[Gaia''s Watch]:[Useless spell]],1)*0.05</f>
        <v>0</v>
      </c>
      <c r="AA11" s="142"/>
      <c r="AB11" s="57">
        <f ca="1">IF(TblMagic[[#This Row],[Gaia''s Watch]],12,IF(OFFSET(TblMagic[[#This Row],[Active Gaia''s Watch]],-1,0)&gt;0,OFFSET(TblMagic[[#This Row],[Active Gaia''s Watch]],-1,0)-1,0))</f>
        <v>0</v>
      </c>
      <c r="AC11" s="57">
        <f ca="1">IF(TblMagic[[#This Row],[Mining Strength]],12,IF(OFFSET(TblMagic[[#This Row],[Active Mining Strength]],-1,0)&gt;0,OFFSET(TblMagic[[#This Row],[Active Mining Strength]],-1,0)-1,0))</f>
        <v>0</v>
      </c>
      <c r="AD11" s="57">
        <f ca="1">IF(TblMagic[[#This Row],[Ares Call]],12,IF(OFFSET(TblMagic[[#This Row],[Active Ares Call]],-1,0)&gt;0,OFFSET(TblMagic[[#This Row],[Active Ares Call]],-1,0)-1,0))</f>
        <v>0</v>
      </c>
      <c r="AE11" s="57">
        <f ca="1">IF(TblMagic[[#This Row],[Midas Touch]],12,IF(OFFSET(TblMagic[[#This Row],[Active Midas Touch]],-1,0)&gt;0,OFFSET(TblMagic[[#This Row],[Active Midas Touch]],-1,0)-1,0))</f>
        <v>0</v>
      </c>
      <c r="AF11" s="57">
        <f ca="1">IF(TblMagic[[#This Row],[Harmony]],12,IF(OFFSET(TblMagic[[#This Row],[Active Harmony]],-1,0)&gt;0,OFFSET(TblMagic[[#This Row],[Active Harmony]],-1,0)-1,0))</f>
        <v>0</v>
      </c>
      <c r="AG11" s="57">
        <f ca="1">IF(TblMagic[[#This Row],[Miner''s Sight]],12,IF(OFFSET(TblMagic[[#This Row],[Active Miner''s Sight]],-1,0)&gt;0,OFFSET(TblMagic[[#This Row],[Active Miner''s Sight]],-1,0)-1,0))</f>
        <v>0</v>
      </c>
      <c r="AH11" s="57">
        <f ca="1">IF(TblMagic[[#This Row],[Mechanical Genius]],12,IF(OFFSET(TblMagic[[#This Row],[Active Mechanical Genius]],-1,0)&gt;0,OFFSET(TblMagic[[#This Row],[Active Mechanical Genius]],-1,0)-1,0))</f>
        <v>0</v>
      </c>
      <c r="AI11" s="57">
        <f ca="1">IF(TblMagic[[#This Row],[Death and Decay]],12,IF(OFFSET(TblMagic[[#This Row],[Active DnD]],-1,0)&gt;0,OFFSET(TblMagic[[#This Row],[Active DnD]],-1,0)-1,0))</f>
        <v>0</v>
      </c>
      <c r="AJ11" s="57">
        <f ca="1">IF(TblMagic[[#This Row],[Killing Rage / Bloodrage / Crusade]],12,IF(OFFSET(TblMagic[[#This Row],[Active Warsong / Killing Rage / Bloodrage]],-1,0)&gt;0,OFFSET(TblMagic[[#This Row],[Active Warsong / Killing Rage / Bloodrage]],-1,0)-1,0))</f>
        <v>0</v>
      </c>
      <c r="AK11" s="57">
        <f ca="1">IF(TblMagic[[#This Row],[Gaia''s Blessing]],12,IF(OFFSET(TblMagic[[#This Row],[Active Gaia''s Blessing]],-1,0)&gt;0,OFFSET(TblMagic[[#This Row],[Active Gaia''s Blessing]],-1,0)-1,0))</f>
        <v>0</v>
      </c>
      <c r="AL11" s="57">
        <f ca="1">IF(TblMagic[[#This Row],[Howling]],12,IF(OFFSET(TblMagic[[#This Row],[Active Howling]],-1,0)&gt;0,OFFSET(TblMagic[[#This Row],[Active Howling]],-1,0)-1,0))</f>
        <v>0</v>
      </c>
      <c r="AM11" s="57">
        <f ca="1">IF(TblMagic[[#This Row],[Alchemist Frost]],12,IF(OFFSET(TblMagic[[#This Row],[Active Alch Frost]],-1,0)&gt;0,OFFSET(TblMagic[[#This Row],[Active Alch Frost]],-1,0)-1,0))</f>
        <v>0</v>
      </c>
      <c r="AN11" s="57">
        <f ca="1">IF(TblMagic[[#This Row],[Alchemists Flame]],12,IF(OFFSET(TblMagic[[#This Row],[Active Alchemists Flame]],-1,0)&gt;0,OFFSET(TblMagic[[#This Row],[Active Alchemists Flame]],-1,0)-1,0))</f>
        <v>0</v>
      </c>
      <c r="AO11" s="57">
        <f ca="1">IF(TblMagic[[#This Row],[Nightfall]],12,IF(OFFSET(TblMagic[[#This Row],[Active Nightfall]],-1,0)&gt;0,OFFSET(TblMagic[[#This Row],[Active Nightfall]],-1,0)-1,0))</f>
        <v>0</v>
      </c>
      <c r="AP11" s="57">
        <f ca="1">IF(TblMagic[[#This Row],[Favorable Terrain]],12,IF(OFFSET(TblMagic[[#This Row],[Active Favorable Terrain]],-1,0)&gt;0,OFFSET(TblMagic[[#This Row],[Active Favorable Terrain]],-1,0)-1,0))</f>
        <v>0</v>
      </c>
      <c r="AQ11" s="57">
        <f ca="1">IF(TblMagic[[#This Row],[Infernal Command]],12,IF(OFFSET(TblMagic[[#This Row],[Active Infernal Command]],-1,0)&gt;0,OFFSET(TblMagic[[#This Row],[Active Infernal Command]],-1,0)-1,0))</f>
        <v>0</v>
      </c>
    </row>
    <row r="12" spans="1:43" hidden="1" x14ac:dyDescent="0.2">
      <c r="A12" s="137">
        <f>TblRezone[[#This Row],[Hour]]</f>
        <v>9</v>
      </c>
      <c r="B12" s="154">
        <f ca="1">TblConstr[[#This Row],[Land]]</f>
        <v>50</v>
      </c>
      <c r="C12" s="94">
        <f ca="1">TblProd[[#This Row],[Mana]]</f>
        <v>0</v>
      </c>
      <c r="D12" s="156">
        <f ca="1">MIN(1,OFFSET(TblMagic[[#This Row],[Wiz str]],-1,0)+0.04+ROUNDDOWN(10*OFFSET(TblMili[[#This Row],[WG''s]],-1,0),0)+ tech_2_7*OFFSET(TblTech[[#This Row],[2-7]],-1,0) + tech_5_6*OFFSET(TblTech[[#This Row],[5-6]],-1,0) )-TblMagic[[#This Row],[Wiz str cost]]</f>
        <v>1</v>
      </c>
      <c r="E12" s="159">
        <f ca="1">OFFSET(TblMagic[[#This Row],[Time]],-1,0)+1/24</f>
        <v>46047.333333333314</v>
      </c>
      <c r="F12" s="156">
        <f ca="1">TblImps[[#This Row],[Population]]</f>
        <v>0.95968790637191159</v>
      </c>
      <c r="G12" s="57"/>
      <c r="H12" s="57"/>
      <c r="I12" s="57"/>
      <c r="J12" s="57"/>
      <c r="K12" s="480"/>
      <c r="L12" s="57"/>
      <c r="M12" s="57"/>
      <c r="N12" s="57"/>
      <c r="O12" s="57"/>
      <c r="P12" s="57"/>
      <c r="Q12" s="57"/>
      <c r="R12" s="57"/>
      <c r="S12" s="57"/>
      <c r="T12" s="57"/>
      <c r="U12" s="57"/>
      <c r="V12" s="57"/>
      <c r="W12" s="57"/>
      <c r="X12" s="142"/>
      <c r="Y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 s="156">
        <f>SUMIF(TblMagic[[#This Row],[Gaia''s Watch]:[Useless spell]],1)*0.05</f>
        <v>0</v>
      </c>
      <c r="AA12" s="142"/>
      <c r="AB12" s="57">
        <f ca="1">IF(TblMagic[[#This Row],[Gaia''s Watch]],12,IF(OFFSET(TblMagic[[#This Row],[Active Gaia''s Watch]],-1,0)&gt;0,OFFSET(TblMagic[[#This Row],[Active Gaia''s Watch]],-1,0)-1,0))</f>
        <v>0</v>
      </c>
      <c r="AC12" s="57">
        <f ca="1">IF(TblMagic[[#This Row],[Mining Strength]],12,IF(OFFSET(TblMagic[[#This Row],[Active Mining Strength]],-1,0)&gt;0,OFFSET(TblMagic[[#This Row],[Active Mining Strength]],-1,0)-1,0))</f>
        <v>0</v>
      </c>
      <c r="AD12" s="57">
        <f ca="1">IF(TblMagic[[#This Row],[Ares Call]],12,IF(OFFSET(TblMagic[[#This Row],[Active Ares Call]],-1,0)&gt;0,OFFSET(TblMagic[[#This Row],[Active Ares Call]],-1,0)-1,0))</f>
        <v>0</v>
      </c>
      <c r="AE12" s="57">
        <f ca="1">IF(TblMagic[[#This Row],[Midas Touch]],12,IF(OFFSET(TblMagic[[#This Row],[Active Midas Touch]],-1,0)&gt;0,OFFSET(TblMagic[[#This Row],[Active Midas Touch]],-1,0)-1,0))</f>
        <v>0</v>
      </c>
      <c r="AF12" s="57">
        <f ca="1">IF(TblMagic[[#This Row],[Harmony]],12,IF(OFFSET(TblMagic[[#This Row],[Active Harmony]],-1,0)&gt;0,OFFSET(TblMagic[[#This Row],[Active Harmony]],-1,0)-1,0))</f>
        <v>0</v>
      </c>
      <c r="AG12" s="57">
        <f ca="1">IF(TblMagic[[#This Row],[Miner''s Sight]],12,IF(OFFSET(TblMagic[[#This Row],[Active Miner''s Sight]],-1,0)&gt;0,OFFSET(TblMagic[[#This Row],[Active Miner''s Sight]],-1,0)-1,0))</f>
        <v>0</v>
      </c>
      <c r="AH12" s="57">
        <f ca="1">IF(TblMagic[[#This Row],[Mechanical Genius]],12,IF(OFFSET(TblMagic[[#This Row],[Active Mechanical Genius]],-1,0)&gt;0,OFFSET(TblMagic[[#This Row],[Active Mechanical Genius]],-1,0)-1,0))</f>
        <v>0</v>
      </c>
      <c r="AI12" s="57">
        <f ca="1">IF(TblMagic[[#This Row],[Death and Decay]],12,IF(OFFSET(TblMagic[[#This Row],[Active DnD]],-1,0)&gt;0,OFFSET(TblMagic[[#This Row],[Active DnD]],-1,0)-1,0))</f>
        <v>0</v>
      </c>
      <c r="AJ12" s="57">
        <f ca="1">IF(TblMagic[[#This Row],[Killing Rage / Bloodrage / Crusade]],12,IF(OFFSET(TblMagic[[#This Row],[Active Warsong / Killing Rage / Bloodrage]],-1,0)&gt;0,OFFSET(TblMagic[[#This Row],[Active Warsong / Killing Rage / Bloodrage]],-1,0)-1,0))</f>
        <v>0</v>
      </c>
      <c r="AK12" s="57">
        <f ca="1">IF(TblMagic[[#This Row],[Gaia''s Blessing]],12,IF(OFFSET(TblMagic[[#This Row],[Active Gaia''s Blessing]],-1,0)&gt;0,OFFSET(TblMagic[[#This Row],[Active Gaia''s Blessing]],-1,0)-1,0))</f>
        <v>0</v>
      </c>
      <c r="AL12" s="57">
        <f ca="1">IF(TblMagic[[#This Row],[Howling]],12,IF(OFFSET(TblMagic[[#This Row],[Active Howling]],-1,0)&gt;0,OFFSET(TblMagic[[#This Row],[Active Howling]],-1,0)-1,0))</f>
        <v>0</v>
      </c>
      <c r="AM12" s="57">
        <f ca="1">IF(TblMagic[[#This Row],[Alchemist Frost]],12,IF(OFFSET(TblMagic[[#This Row],[Active Alch Frost]],-1,0)&gt;0,OFFSET(TblMagic[[#This Row],[Active Alch Frost]],-1,0)-1,0))</f>
        <v>0</v>
      </c>
      <c r="AN12" s="57">
        <f ca="1">IF(TblMagic[[#This Row],[Alchemists Flame]],12,IF(OFFSET(TblMagic[[#This Row],[Active Alchemists Flame]],-1,0)&gt;0,OFFSET(TblMagic[[#This Row],[Active Alchemists Flame]],-1,0)-1,0))</f>
        <v>0</v>
      </c>
      <c r="AO12" s="57">
        <f ca="1">IF(TblMagic[[#This Row],[Nightfall]],12,IF(OFFSET(TblMagic[[#This Row],[Active Nightfall]],-1,0)&gt;0,OFFSET(TblMagic[[#This Row],[Active Nightfall]],-1,0)-1,0))</f>
        <v>0</v>
      </c>
      <c r="AP12" s="57">
        <f ca="1">IF(TblMagic[[#This Row],[Favorable Terrain]],12,IF(OFFSET(TblMagic[[#This Row],[Active Favorable Terrain]],-1,0)&gt;0,OFFSET(TblMagic[[#This Row],[Active Favorable Terrain]],-1,0)-1,0))</f>
        <v>0</v>
      </c>
      <c r="AQ12" s="57">
        <f ca="1">IF(TblMagic[[#This Row],[Infernal Command]],12,IF(OFFSET(TblMagic[[#This Row],[Active Infernal Command]],-1,0)&gt;0,OFFSET(TblMagic[[#This Row],[Active Infernal Command]],-1,0)-1,0))</f>
        <v>0</v>
      </c>
    </row>
    <row r="13" spans="1:43" hidden="1" x14ac:dyDescent="0.2">
      <c r="A13" s="137">
        <f>TblRezone[[#This Row],[Hour]]</f>
        <v>10</v>
      </c>
      <c r="B13" s="154">
        <f ca="1">TblConstr[[#This Row],[Land]]</f>
        <v>50</v>
      </c>
      <c r="C13" s="94">
        <f ca="1">TblProd[[#This Row],[Mana]]</f>
        <v>0</v>
      </c>
      <c r="D13" s="156">
        <f ca="1">MIN(1,OFFSET(TblMagic[[#This Row],[Wiz str]],-1,0)+0.04+ROUNDDOWN(10*OFFSET(TblMili[[#This Row],[WG''s]],-1,0),0)+ tech_2_7*OFFSET(TblTech[[#This Row],[2-7]],-1,0) + tech_5_6*OFFSET(TblTech[[#This Row],[5-6]],-1,0) )-TblMagic[[#This Row],[Wiz str cost]]</f>
        <v>1</v>
      </c>
      <c r="E13" s="159">
        <f ca="1">OFFSET(TblMagic[[#This Row],[Time]],-1,0)+1/24</f>
        <v>46047.374999999978</v>
      </c>
      <c r="F13" s="156">
        <f ca="1">TblImps[[#This Row],[Population]]</f>
        <v>0.98049414824447334</v>
      </c>
      <c r="G13" s="57"/>
      <c r="H13" s="57"/>
      <c r="I13" s="57"/>
      <c r="J13" s="57"/>
      <c r="K13" s="480"/>
      <c r="L13" s="57"/>
      <c r="M13" s="57"/>
      <c r="N13" s="57"/>
      <c r="O13" s="57"/>
      <c r="P13" s="57"/>
      <c r="Q13" s="57"/>
      <c r="R13" s="57"/>
      <c r="S13" s="57"/>
      <c r="T13" s="57"/>
      <c r="U13" s="57"/>
      <c r="V13" s="57"/>
      <c r="W13" s="57"/>
      <c r="X13" s="142"/>
      <c r="Y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 s="156">
        <f>SUMIF(TblMagic[[#This Row],[Gaia''s Watch]:[Useless spell]],1)*0.05</f>
        <v>0</v>
      </c>
      <c r="AA13" s="142"/>
      <c r="AB13" s="57">
        <f ca="1">IF(TblMagic[[#This Row],[Gaia''s Watch]],12,IF(OFFSET(TblMagic[[#This Row],[Active Gaia''s Watch]],-1,0)&gt;0,OFFSET(TblMagic[[#This Row],[Active Gaia''s Watch]],-1,0)-1,0))</f>
        <v>0</v>
      </c>
      <c r="AC13" s="57">
        <f ca="1">IF(TblMagic[[#This Row],[Mining Strength]],12,IF(OFFSET(TblMagic[[#This Row],[Active Mining Strength]],-1,0)&gt;0,OFFSET(TblMagic[[#This Row],[Active Mining Strength]],-1,0)-1,0))</f>
        <v>0</v>
      </c>
      <c r="AD13" s="57">
        <f ca="1">IF(TblMagic[[#This Row],[Ares Call]],12,IF(OFFSET(TblMagic[[#This Row],[Active Ares Call]],-1,0)&gt;0,OFFSET(TblMagic[[#This Row],[Active Ares Call]],-1,0)-1,0))</f>
        <v>0</v>
      </c>
      <c r="AE13" s="57">
        <f ca="1">IF(TblMagic[[#This Row],[Midas Touch]],12,IF(OFFSET(TblMagic[[#This Row],[Active Midas Touch]],-1,0)&gt;0,OFFSET(TblMagic[[#This Row],[Active Midas Touch]],-1,0)-1,0))</f>
        <v>0</v>
      </c>
      <c r="AF13" s="57">
        <f ca="1">IF(TblMagic[[#This Row],[Harmony]],12,IF(OFFSET(TblMagic[[#This Row],[Active Harmony]],-1,0)&gt;0,OFFSET(TblMagic[[#This Row],[Active Harmony]],-1,0)-1,0))</f>
        <v>0</v>
      </c>
      <c r="AG13" s="57">
        <f ca="1">IF(TblMagic[[#This Row],[Miner''s Sight]],12,IF(OFFSET(TblMagic[[#This Row],[Active Miner''s Sight]],-1,0)&gt;0,OFFSET(TblMagic[[#This Row],[Active Miner''s Sight]],-1,0)-1,0))</f>
        <v>0</v>
      </c>
      <c r="AH13" s="57">
        <f ca="1">IF(TblMagic[[#This Row],[Mechanical Genius]],12,IF(OFFSET(TblMagic[[#This Row],[Active Mechanical Genius]],-1,0)&gt;0,OFFSET(TblMagic[[#This Row],[Active Mechanical Genius]],-1,0)-1,0))</f>
        <v>0</v>
      </c>
      <c r="AI13" s="57">
        <f ca="1">IF(TblMagic[[#This Row],[Death and Decay]],12,IF(OFFSET(TblMagic[[#This Row],[Active DnD]],-1,0)&gt;0,OFFSET(TblMagic[[#This Row],[Active DnD]],-1,0)-1,0))</f>
        <v>0</v>
      </c>
      <c r="AJ13" s="57">
        <f ca="1">IF(TblMagic[[#This Row],[Killing Rage / Bloodrage / Crusade]],12,IF(OFFSET(TblMagic[[#This Row],[Active Warsong / Killing Rage / Bloodrage]],-1,0)&gt;0,OFFSET(TblMagic[[#This Row],[Active Warsong / Killing Rage / Bloodrage]],-1,0)-1,0))</f>
        <v>0</v>
      </c>
      <c r="AK13" s="57">
        <f ca="1">IF(TblMagic[[#This Row],[Gaia''s Blessing]],12,IF(OFFSET(TblMagic[[#This Row],[Active Gaia''s Blessing]],-1,0)&gt;0,OFFSET(TblMagic[[#This Row],[Active Gaia''s Blessing]],-1,0)-1,0))</f>
        <v>0</v>
      </c>
      <c r="AL13" s="57">
        <f ca="1">IF(TblMagic[[#This Row],[Howling]],12,IF(OFFSET(TblMagic[[#This Row],[Active Howling]],-1,0)&gt;0,OFFSET(TblMagic[[#This Row],[Active Howling]],-1,0)-1,0))</f>
        <v>0</v>
      </c>
      <c r="AM13" s="57">
        <f ca="1">IF(TblMagic[[#This Row],[Alchemist Frost]],12,IF(OFFSET(TblMagic[[#This Row],[Active Alch Frost]],-1,0)&gt;0,OFFSET(TblMagic[[#This Row],[Active Alch Frost]],-1,0)-1,0))</f>
        <v>0</v>
      </c>
      <c r="AN13" s="57">
        <f ca="1">IF(TblMagic[[#This Row],[Alchemists Flame]],12,IF(OFFSET(TblMagic[[#This Row],[Active Alchemists Flame]],-1,0)&gt;0,OFFSET(TblMagic[[#This Row],[Active Alchemists Flame]],-1,0)-1,0))</f>
        <v>0</v>
      </c>
      <c r="AO13" s="57">
        <f ca="1">IF(TblMagic[[#This Row],[Nightfall]],12,IF(OFFSET(TblMagic[[#This Row],[Active Nightfall]],-1,0)&gt;0,OFFSET(TblMagic[[#This Row],[Active Nightfall]],-1,0)-1,0))</f>
        <v>0</v>
      </c>
      <c r="AP13" s="57">
        <f ca="1">IF(TblMagic[[#This Row],[Favorable Terrain]],12,IF(OFFSET(TblMagic[[#This Row],[Active Favorable Terrain]],-1,0)&gt;0,OFFSET(TblMagic[[#This Row],[Active Favorable Terrain]],-1,0)-1,0))</f>
        <v>0</v>
      </c>
      <c r="AQ13" s="57">
        <f ca="1">IF(TblMagic[[#This Row],[Infernal Command]],12,IF(OFFSET(TblMagic[[#This Row],[Active Infernal Command]],-1,0)&gt;0,OFFSET(TblMagic[[#This Row],[Active Infernal Command]],-1,0)-1,0))</f>
        <v>0</v>
      </c>
    </row>
    <row r="14" spans="1:43" hidden="1" x14ac:dyDescent="0.2">
      <c r="A14" s="137">
        <f>TblRezone[[#This Row],[Hour]]</f>
        <v>11</v>
      </c>
      <c r="B14" s="154">
        <f ca="1">TblConstr[[#This Row],[Land]]</f>
        <v>50</v>
      </c>
      <c r="C14" s="94">
        <f ca="1">TblProd[[#This Row],[Mana]]</f>
        <v>0</v>
      </c>
      <c r="D14" s="156">
        <f ca="1">MIN(1,OFFSET(TblMagic[[#This Row],[Wiz str]],-1,0)+0.04+ROUNDDOWN(10*OFFSET(TblMili[[#This Row],[WG''s]],-1,0),0)+ tech_2_7*OFFSET(TblTech[[#This Row],[2-7]],-1,0) + tech_5_6*OFFSET(TblTech[[#This Row],[5-6]],-1,0) )-TblMagic[[#This Row],[Wiz str cost]]</f>
        <v>1</v>
      </c>
      <c r="E14" s="159">
        <f ca="1">OFFSET(TblMagic[[#This Row],[Time]],-1,0)+1/24</f>
        <v>46047.416666666642</v>
      </c>
      <c r="F14" s="156">
        <f ca="1">TblImps[[#This Row],[Population]]</f>
        <v>1</v>
      </c>
      <c r="G14" s="57"/>
      <c r="H14" s="57"/>
      <c r="I14" s="57"/>
      <c r="J14" s="57"/>
      <c r="K14" s="480"/>
      <c r="L14" s="57"/>
      <c r="M14" s="57"/>
      <c r="N14" s="57"/>
      <c r="O14" s="57"/>
      <c r="P14" s="57"/>
      <c r="Q14" s="57"/>
      <c r="R14" s="57"/>
      <c r="S14" s="57"/>
      <c r="T14" s="57"/>
      <c r="U14" s="57"/>
      <c r="V14" s="57"/>
      <c r="W14" s="57"/>
      <c r="X14" s="142"/>
      <c r="Y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4" s="156">
        <f>SUMIF(TblMagic[[#This Row],[Gaia''s Watch]:[Useless spell]],1)*0.05</f>
        <v>0</v>
      </c>
      <c r="AA14" s="142"/>
      <c r="AB14" s="57">
        <f ca="1">IF(TblMagic[[#This Row],[Gaia''s Watch]],12,IF(OFFSET(TblMagic[[#This Row],[Active Gaia''s Watch]],-1,0)&gt;0,OFFSET(TblMagic[[#This Row],[Active Gaia''s Watch]],-1,0)-1,0))</f>
        <v>0</v>
      </c>
      <c r="AC14" s="57">
        <f ca="1">IF(TblMagic[[#This Row],[Mining Strength]],12,IF(OFFSET(TblMagic[[#This Row],[Active Mining Strength]],-1,0)&gt;0,OFFSET(TblMagic[[#This Row],[Active Mining Strength]],-1,0)-1,0))</f>
        <v>0</v>
      </c>
      <c r="AD14" s="57">
        <f ca="1">IF(TblMagic[[#This Row],[Ares Call]],12,IF(OFFSET(TblMagic[[#This Row],[Active Ares Call]],-1,0)&gt;0,OFFSET(TblMagic[[#This Row],[Active Ares Call]],-1,0)-1,0))</f>
        <v>0</v>
      </c>
      <c r="AE14" s="57">
        <f ca="1">IF(TblMagic[[#This Row],[Midas Touch]],12,IF(OFFSET(TblMagic[[#This Row],[Active Midas Touch]],-1,0)&gt;0,OFFSET(TblMagic[[#This Row],[Active Midas Touch]],-1,0)-1,0))</f>
        <v>0</v>
      </c>
      <c r="AF14" s="57">
        <f ca="1">IF(TblMagic[[#This Row],[Harmony]],12,IF(OFFSET(TblMagic[[#This Row],[Active Harmony]],-1,0)&gt;0,OFFSET(TblMagic[[#This Row],[Active Harmony]],-1,0)-1,0))</f>
        <v>0</v>
      </c>
      <c r="AG14" s="57">
        <f ca="1">IF(TblMagic[[#This Row],[Miner''s Sight]],12,IF(OFFSET(TblMagic[[#This Row],[Active Miner''s Sight]],-1,0)&gt;0,OFFSET(TblMagic[[#This Row],[Active Miner''s Sight]],-1,0)-1,0))</f>
        <v>0</v>
      </c>
      <c r="AH14" s="57">
        <f ca="1">IF(TblMagic[[#This Row],[Mechanical Genius]],12,IF(OFFSET(TblMagic[[#This Row],[Active Mechanical Genius]],-1,0)&gt;0,OFFSET(TblMagic[[#This Row],[Active Mechanical Genius]],-1,0)-1,0))</f>
        <v>0</v>
      </c>
      <c r="AI14" s="57">
        <f ca="1">IF(TblMagic[[#This Row],[Death and Decay]],12,IF(OFFSET(TblMagic[[#This Row],[Active DnD]],-1,0)&gt;0,OFFSET(TblMagic[[#This Row],[Active DnD]],-1,0)-1,0))</f>
        <v>0</v>
      </c>
      <c r="AJ14" s="57">
        <f ca="1">IF(TblMagic[[#This Row],[Killing Rage / Bloodrage / Crusade]],12,IF(OFFSET(TblMagic[[#This Row],[Active Warsong / Killing Rage / Bloodrage]],-1,0)&gt;0,OFFSET(TblMagic[[#This Row],[Active Warsong / Killing Rage / Bloodrage]],-1,0)-1,0))</f>
        <v>0</v>
      </c>
      <c r="AK14" s="57">
        <f ca="1">IF(TblMagic[[#This Row],[Gaia''s Blessing]],12,IF(OFFSET(TblMagic[[#This Row],[Active Gaia''s Blessing]],-1,0)&gt;0,OFFSET(TblMagic[[#This Row],[Active Gaia''s Blessing]],-1,0)-1,0))</f>
        <v>0</v>
      </c>
      <c r="AL14" s="57">
        <f ca="1">IF(TblMagic[[#This Row],[Howling]],12,IF(OFFSET(TblMagic[[#This Row],[Active Howling]],-1,0)&gt;0,OFFSET(TblMagic[[#This Row],[Active Howling]],-1,0)-1,0))</f>
        <v>0</v>
      </c>
      <c r="AM14" s="57">
        <f ca="1">IF(TblMagic[[#This Row],[Alchemist Frost]],12,IF(OFFSET(TblMagic[[#This Row],[Active Alch Frost]],-1,0)&gt;0,OFFSET(TblMagic[[#This Row],[Active Alch Frost]],-1,0)-1,0))</f>
        <v>0</v>
      </c>
      <c r="AN14" s="57">
        <f ca="1">IF(TblMagic[[#This Row],[Alchemists Flame]],12,IF(OFFSET(TblMagic[[#This Row],[Active Alchemists Flame]],-1,0)&gt;0,OFFSET(TblMagic[[#This Row],[Active Alchemists Flame]],-1,0)-1,0))</f>
        <v>0</v>
      </c>
      <c r="AO14" s="57">
        <f ca="1">IF(TblMagic[[#This Row],[Nightfall]],12,IF(OFFSET(TblMagic[[#This Row],[Active Nightfall]],-1,0)&gt;0,OFFSET(TblMagic[[#This Row],[Active Nightfall]],-1,0)-1,0))</f>
        <v>0</v>
      </c>
      <c r="AP14" s="57">
        <f ca="1">IF(TblMagic[[#This Row],[Favorable Terrain]],12,IF(OFFSET(TblMagic[[#This Row],[Active Favorable Terrain]],-1,0)&gt;0,OFFSET(TblMagic[[#This Row],[Active Favorable Terrain]],-1,0)-1,0))</f>
        <v>0</v>
      </c>
      <c r="AQ14" s="57">
        <f ca="1">IF(TblMagic[[#This Row],[Infernal Command]],12,IF(OFFSET(TblMagic[[#This Row],[Active Infernal Command]],-1,0)&gt;0,OFFSET(TblMagic[[#This Row],[Active Infernal Command]],-1,0)-1,0))</f>
        <v>0</v>
      </c>
    </row>
    <row r="15" spans="1:43" hidden="1" x14ac:dyDescent="0.2">
      <c r="A15" s="137">
        <f>TblRezone[[#This Row],[Hour]]</f>
        <v>12</v>
      </c>
      <c r="B15" s="154">
        <f ca="1">TblConstr[[#This Row],[Land]]</f>
        <v>50</v>
      </c>
      <c r="C15" s="94">
        <f ca="1">TblProd[[#This Row],[Mana]]</f>
        <v>0</v>
      </c>
      <c r="D15" s="156">
        <f ca="1">MIN(1,OFFSET(TblMagic[[#This Row],[Wiz str]],-1,0)+0.04+ROUNDDOWN(10*OFFSET(TblMili[[#This Row],[WG''s]],-1,0),0)+ tech_2_7*OFFSET(TblTech[[#This Row],[2-7]],-1,0) + tech_5_6*OFFSET(TblTech[[#This Row],[5-6]],-1,0) )-TblMagic[[#This Row],[Wiz str cost]]</f>
        <v>1</v>
      </c>
      <c r="E15" s="159">
        <f ca="1">OFFSET(TblMagic[[#This Row],[Time]],-1,0)+1/24</f>
        <v>46047.458333333307</v>
      </c>
      <c r="F15" s="156">
        <f ca="1">TblImps[[#This Row],[Population]]</f>
        <v>1</v>
      </c>
      <c r="G15" s="57"/>
      <c r="H15" s="57"/>
      <c r="I15" s="57"/>
      <c r="J15" s="57"/>
      <c r="K15" s="480"/>
      <c r="L15" s="57"/>
      <c r="M15" s="57"/>
      <c r="N15" s="57"/>
      <c r="O15" s="57"/>
      <c r="P15" s="57"/>
      <c r="Q15" s="57"/>
      <c r="R15" s="57"/>
      <c r="S15" s="57"/>
      <c r="T15" s="57"/>
      <c r="U15" s="57"/>
      <c r="V15" s="57"/>
      <c r="W15" s="57"/>
      <c r="X15" s="142"/>
      <c r="Y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5" s="156">
        <f>SUMIF(TblMagic[[#This Row],[Gaia''s Watch]:[Useless spell]],1)*0.05</f>
        <v>0</v>
      </c>
      <c r="AA15" s="142"/>
      <c r="AB15" s="57">
        <f ca="1">IF(TblMagic[[#This Row],[Gaia''s Watch]],12,IF(OFFSET(TblMagic[[#This Row],[Active Gaia''s Watch]],-1,0)&gt;0,OFFSET(TblMagic[[#This Row],[Active Gaia''s Watch]],-1,0)-1,0))</f>
        <v>0</v>
      </c>
      <c r="AC15" s="57">
        <f ca="1">IF(TblMagic[[#This Row],[Mining Strength]],12,IF(OFFSET(TblMagic[[#This Row],[Active Mining Strength]],-1,0)&gt;0,OFFSET(TblMagic[[#This Row],[Active Mining Strength]],-1,0)-1,0))</f>
        <v>0</v>
      </c>
      <c r="AD15" s="57">
        <f ca="1">IF(TblMagic[[#This Row],[Ares Call]],12,IF(OFFSET(TblMagic[[#This Row],[Active Ares Call]],-1,0)&gt;0,OFFSET(TblMagic[[#This Row],[Active Ares Call]],-1,0)-1,0))</f>
        <v>0</v>
      </c>
      <c r="AE15" s="57">
        <f ca="1">IF(TblMagic[[#This Row],[Midas Touch]],12,IF(OFFSET(TblMagic[[#This Row],[Active Midas Touch]],-1,0)&gt;0,OFFSET(TblMagic[[#This Row],[Active Midas Touch]],-1,0)-1,0))</f>
        <v>0</v>
      </c>
      <c r="AF15" s="57">
        <f ca="1">IF(TblMagic[[#This Row],[Harmony]],12,IF(OFFSET(TblMagic[[#This Row],[Active Harmony]],-1,0)&gt;0,OFFSET(TblMagic[[#This Row],[Active Harmony]],-1,0)-1,0))</f>
        <v>0</v>
      </c>
      <c r="AG15" s="57">
        <f ca="1">IF(TblMagic[[#This Row],[Miner''s Sight]],12,IF(OFFSET(TblMagic[[#This Row],[Active Miner''s Sight]],-1,0)&gt;0,OFFSET(TblMagic[[#This Row],[Active Miner''s Sight]],-1,0)-1,0))</f>
        <v>0</v>
      </c>
      <c r="AH15" s="57">
        <f ca="1">IF(TblMagic[[#This Row],[Mechanical Genius]],12,IF(OFFSET(TblMagic[[#This Row],[Active Mechanical Genius]],-1,0)&gt;0,OFFSET(TblMagic[[#This Row],[Active Mechanical Genius]],-1,0)-1,0))</f>
        <v>0</v>
      </c>
      <c r="AI15" s="57">
        <f ca="1">IF(TblMagic[[#This Row],[Death and Decay]],12,IF(OFFSET(TblMagic[[#This Row],[Active DnD]],-1,0)&gt;0,OFFSET(TblMagic[[#This Row],[Active DnD]],-1,0)-1,0))</f>
        <v>0</v>
      </c>
      <c r="AJ15" s="57">
        <f ca="1">IF(TblMagic[[#This Row],[Killing Rage / Bloodrage / Crusade]],12,IF(OFFSET(TblMagic[[#This Row],[Active Warsong / Killing Rage / Bloodrage]],-1,0)&gt;0,OFFSET(TblMagic[[#This Row],[Active Warsong / Killing Rage / Bloodrage]],-1,0)-1,0))</f>
        <v>0</v>
      </c>
      <c r="AK15" s="57">
        <f ca="1">IF(TblMagic[[#This Row],[Gaia''s Blessing]],12,IF(OFFSET(TblMagic[[#This Row],[Active Gaia''s Blessing]],-1,0)&gt;0,OFFSET(TblMagic[[#This Row],[Active Gaia''s Blessing]],-1,0)-1,0))</f>
        <v>0</v>
      </c>
      <c r="AL15" s="57">
        <f ca="1">IF(TblMagic[[#This Row],[Howling]],12,IF(OFFSET(TblMagic[[#This Row],[Active Howling]],-1,0)&gt;0,OFFSET(TblMagic[[#This Row],[Active Howling]],-1,0)-1,0))</f>
        <v>0</v>
      </c>
      <c r="AM15" s="57">
        <f ca="1">IF(TblMagic[[#This Row],[Alchemist Frost]],12,IF(OFFSET(TblMagic[[#This Row],[Active Alch Frost]],-1,0)&gt;0,OFFSET(TblMagic[[#This Row],[Active Alch Frost]],-1,0)-1,0))</f>
        <v>0</v>
      </c>
      <c r="AN15" s="57">
        <f ca="1">IF(TblMagic[[#This Row],[Alchemists Flame]],12,IF(OFFSET(TblMagic[[#This Row],[Active Alchemists Flame]],-1,0)&gt;0,OFFSET(TblMagic[[#This Row],[Active Alchemists Flame]],-1,0)-1,0))</f>
        <v>0</v>
      </c>
      <c r="AO15" s="57">
        <f ca="1">IF(TblMagic[[#This Row],[Nightfall]],12,IF(OFFSET(TblMagic[[#This Row],[Active Nightfall]],-1,0)&gt;0,OFFSET(TblMagic[[#This Row],[Active Nightfall]],-1,0)-1,0))</f>
        <v>0</v>
      </c>
      <c r="AP15" s="57">
        <f ca="1">IF(TblMagic[[#This Row],[Favorable Terrain]],12,IF(OFFSET(TblMagic[[#This Row],[Active Favorable Terrain]],-1,0)&gt;0,OFFSET(TblMagic[[#This Row],[Active Favorable Terrain]],-1,0)-1,0))</f>
        <v>0</v>
      </c>
      <c r="AQ15" s="57">
        <f ca="1">IF(TblMagic[[#This Row],[Infernal Command]],12,IF(OFFSET(TblMagic[[#This Row],[Active Infernal Command]],-1,0)&gt;0,OFFSET(TblMagic[[#This Row],[Active Infernal Command]],-1,0)-1,0))</f>
        <v>0</v>
      </c>
    </row>
    <row r="16" spans="1:43" x14ac:dyDescent="0.2">
      <c r="A16" s="137">
        <f>TblRezone[[#This Row],[Hour]]</f>
        <v>13</v>
      </c>
      <c r="B16" s="154">
        <f ca="1">TblConstr[[#This Row],[Land]]</f>
        <v>110</v>
      </c>
      <c r="C16" s="94">
        <f ca="1">TblProd[[#This Row],[Mana]]</f>
        <v>0</v>
      </c>
      <c r="D16" s="156">
        <f ca="1">MIN(1,OFFSET(TblMagic[[#This Row],[Wiz str]],-1,0)+0.04+ROUNDDOWN(10*OFFSET(TblMili[[#This Row],[WG''s]],-1,0),0)+ tech_2_7*OFFSET(TblTech[[#This Row],[2-7]],-1,0) + tech_5_6*OFFSET(TblTech[[#This Row],[5-6]],-1,0) )-TblMagic[[#This Row],[Wiz str cost]]</f>
        <v>1</v>
      </c>
      <c r="E16" s="159">
        <f ca="1">OFFSET(TblMagic[[#This Row],[Time]],-1,0)+1/24</f>
        <v>46047.499999999971</v>
      </c>
      <c r="F16" s="156">
        <f ca="1">TblImps[[#This Row],[Population]]</f>
        <v>0.73048327137546465</v>
      </c>
      <c r="G16" s="218"/>
      <c r="H16" s="218"/>
      <c r="I16" s="218"/>
      <c r="J16" s="218"/>
      <c r="K16" s="405"/>
      <c r="L16" s="218"/>
      <c r="M16" s="218"/>
      <c r="N16" s="218"/>
      <c r="O16" s="218"/>
      <c r="P16" s="218"/>
      <c r="Q16" s="218"/>
      <c r="R16" s="218"/>
      <c r="S16" s="218"/>
      <c r="T16" s="218"/>
      <c r="U16" s="218"/>
      <c r="V16" s="218"/>
      <c r="W16" s="218"/>
      <c r="X16" s="142"/>
      <c r="Y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6" s="156">
        <f>SUMIF(TblMagic[[#This Row],[Gaia''s Watch]:[Useless spell]],1)*0.05</f>
        <v>0</v>
      </c>
      <c r="AA16" s="142"/>
      <c r="AB16" s="57">
        <f ca="1">IF(TblMagic[[#This Row],[Gaia''s Watch]],12,IF(OFFSET(TblMagic[[#This Row],[Active Gaia''s Watch]],-1,0)&gt;0,OFFSET(TblMagic[[#This Row],[Active Gaia''s Watch]],-1,0)-1,0))</f>
        <v>0</v>
      </c>
      <c r="AC16" s="57">
        <f ca="1">IF(TblMagic[[#This Row],[Mining Strength]],12,IF(OFFSET(TblMagic[[#This Row],[Active Mining Strength]],-1,0)&gt;0,OFFSET(TblMagic[[#This Row],[Active Mining Strength]],-1,0)-1,0))</f>
        <v>0</v>
      </c>
      <c r="AD16" s="57">
        <f ca="1">IF(TblMagic[[#This Row],[Ares Call]],12,IF(OFFSET(TblMagic[[#This Row],[Active Ares Call]],-1,0)&gt;0,OFFSET(TblMagic[[#This Row],[Active Ares Call]],-1,0)-1,0))</f>
        <v>0</v>
      </c>
      <c r="AE16" s="57">
        <f ca="1">IF(TblMagic[[#This Row],[Midas Touch]],12,IF(OFFSET(TblMagic[[#This Row],[Active Midas Touch]],-1,0)&gt;0,OFFSET(TblMagic[[#This Row],[Active Midas Touch]],-1,0)-1,0))</f>
        <v>0</v>
      </c>
      <c r="AF16" s="57">
        <f ca="1">IF(TblMagic[[#This Row],[Harmony]],12,IF(OFFSET(TblMagic[[#This Row],[Active Harmony]],-1,0)&gt;0,OFFSET(TblMagic[[#This Row],[Active Harmony]],-1,0)-1,0))</f>
        <v>0</v>
      </c>
      <c r="AG16" s="57">
        <f ca="1">IF(TblMagic[[#This Row],[Miner''s Sight]],12,IF(OFFSET(TblMagic[[#This Row],[Active Miner''s Sight]],-1,0)&gt;0,OFFSET(TblMagic[[#This Row],[Active Miner''s Sight]],-1,0)-1,0))</f>
        <v>0</v>
      </c>
      <c r="AH16" s="57">
        <f ca="1">IF(TblMagic[[#This Row],[Mechanical Genius]],12,IF(OFFSET(TblMagic[[#This Row],[Active Mechanical Genius]],-1,0)&gt;0,OFFSET(TblMagic[[#This Row],[Active Mechanical Genius]],-1,0)-1,0))</f>
        <v>0</v>
      </c>
      <c r="AI16" s="57">
        <f ca="1">IF(TblMagic[[#This Row],[Death and Decay]],12,IF(OFFSET(TblMagic[[#This Row],[Active DnD]],-1,0)&gt;0,OFFSET(TblMagic[[#This Row],[Active DnD]],-1,0)-1,0))</f>
        <v>0</v>
      </c>
      <c r="AJ16" s="57">
        <f ca="1">IF(TblMagic[[#This Row],[Killing Rage / Bloodrage / Crusade]],12,IF(OFFSET(TblMagic[[#This Row],[Active Warsong / Killing Rage / Bloodrage]],-1,0)&gt;0,OFFSET(TblMagic[[#This Row],[Active Warsong / Killing Rage / Bloodrage]],-1,0)-1,0))</f>
        <v>0</v>
      </c>
      <c r="AK16" s="57">
        <f ca="1">IF(TblMagic[[#This Row],[Gaia''s Blessing]],12,IF(OFFSET(TblMagic[[#This Row],[Active Gaia''s Blessing]],-1,0)&gt;0,OFFSET(TblMagic[[#This Row],[Active Gaia''s Blessing]],-1,0)-1,0))</f>
        <v>0</v>
      </c>
      <c r="AL16" s="57">
        <f ca="1">IF(TblMagic[[#This Row],[Howling]],12,IF(OFFSET(TblMagic[[#This Row],[Active Howling]],-1,0)&gt;0,OFFSET(TblMagic[[#This Row],[Active Howling]],-1,0)-1,0))</f>
        <v>0</v>
      </c>
      <c r="AM16" s="57">
        <f ca="1">IF(TblMagic[[#This Row],[Alchemist Frost]],12,IF(OFFSET(TblMagic[[#This Row],[Active Alch Frost]],-1,0)&gt;0,OFFSET(TblMagic[[#This Row],[Active Alch Frost]],-1,0)-1,0))</f>
        <v>0</v>
      </c>
      <c r="AN16" s="57">
        <f ca="1">IF(TblMagic[[#This Row],[Alchemists Flame]],12,IF(OFFSET(TblMagic[[#This Row],[Active Alchemists Flame]],-1,0)&gt;0,OFFSET(TblMagic[[#This Row],[Active Alchemists Flame]],-1,0)-1,0))</f>
        <v>0</v>
      </c>
      <c r="AO16" s="57">
        <f ca="1">IF(TblMagic[[#This Row],[Nightfall]],12,IF(OFFSET(TblMagic[[#This Row],[Active Nightfall]],-1,0)&gt;0,OFFSET(TblMagic[[#This Row],[Active Nightfall]],-1,0)-1,0))</f>
        <v>0</v>
      </c>
      <c r="AP16" s="57">
        <f ca="1">IF(TblMagic[[#This Row],[Favorable Terrain]],12,IF(OFFSET(TblMagic[[#This Row],[Active Favorable Terrain]],-1,0)&gt;0,OFFSET(TblMagic[[#This Row],[Active Favorable Terrain]],-1,0)-1,0))</f>
        <v>0</v>
      </c>
      <c r="AQ16" s="57">
        <f ca="1">IF(TblMagic[[#This Row],[Infernal Command]],12,IF(OFFSET(TblMagic[[#This Row],[Active Infernal Command]],-1,0)&gt;0,OFFSET(TblMagic[[#This Row],[Active Infernal Command]],-1,0)-1,0))</f>
        <v>0</v>
      </c>
    </row>
    <row r="17" spans="1:43" hidden="1" x14ac:dyDescent="0.2">
      <c r="A17" s="137">
        <f>TblRezone[[#This Row],[Hour]]</f>
        <v>14</v>
      </c>
      <c r="B17" s="154">
        <f ca="1">TblConstr[[#This Row],[Land]]</f>
        <v>110</v>
      </c>
      <c r="C17" s="94">
        <f ca="1">TblProd[[#This Row],[Mana]]</f>
        <v>0</v>
      </c>
      <c r="D17" s="156">
        <f ca="1">MIN(1,OFFSET(TblMagic[[#This Row],[Wiz str]],-1,0)+0.04+ROUNDDOWN(10*OFFSET(TblMili[[#This Row],[WG''s]],-1,0),0)+ tech_2_7*OFFSET(TblTech[[#This Row],[2-7]],-1,0) + tech_5_6*OFFSET(TblTech[[#This Row],[5-6]],-1,0) )-TblMagic[[#This Row],[Wiz str cost]]</f>
        <v>1</v>
      </c>
      <c r="E17" s="159">
        <f ca="1">OFFSET(TblMagic[[#This Row],[Time]],-1,0)+1/24</f>
        <v>46047.541666666635</v>
      </c>
      <c r="F17" s="156">
        <f ca="1">TblImps[[#This Row],[Population]]</f>
        <v>0.74628252788104088</v>
      </c>
      <c r="G17" s="57"/>
      <c r="H17" s="57"/>
      <c r="I17" s="57"/>
      <c r="J17" s="57"/>
      <c r="K17" s="480"/>
      <c r="L17" s="57"/>
      <c r="M17" s="57"/>
      <c r="N17" s="57"/>
      <c r="O17" s="57"/>
      <c r="P17" s="57"/>
      <c r="Q17" s="57"/>
      <c r="R17" s="57"/>
      <c r="S17" s="57"/>
      <c r="T17" s="57"/>
      <c r="U17" s="57"/>
      <c r="V17" s="57"/>
      <c r="W17" s="57"/>
      <c r="X17" s="142"/>
      <c r="Y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7" s="156">
        <f>SUMIF(TblMagic[[#This Row],[Gaia''s Watch]:[Useless spell]],1)*0.05</f>
        <v>0</v>
      </c>
      <c r="AA17" s="142"/>
      <c r="AB17" s="57">
        <f ca="1">IF(TblMagic[[#This Row],[Gaia''s Watch]],12,IF(OFFSET(TblMagic[[#This Row],[Active Gaia''s Watch]],-1,0)&gt;0,OFFSET(TblMagic[[#This Row],[Active Gaia''s Watch]],-1,0)-1,0))</f>
        <v>0</v>
      </c>
      <c r="AC17" s="57">
        <f ca="1">IF(TblMagic[[#This Row],[Mining Strength]],12,IF(OFFSET(TblMagic[[#This Row],[Active Mining Strength]],-1,0)&gt;0,OFFSET(TblMagic[[#This Row],[Active Mining Strength]],-1,0)-1,0))</f>
        <v>0</v>
      </c>
      <c r="AD17" s="57">
        <f ca="1">IF(TblMagic[[#This Row],[Ares Call]],12,IF(OFFSET(TblMagic[[#This Row],[Active Ares Call]],-1,0)&gt;0,OFFSET(TblMagic[[#This Row],[Active Ares Call]],-1,0)-1,0))</f>
        <v>0</v>
      </c>
      <c r="AE17" s="57">
        <f ca="1">IF(TblMagic[[#This Row],[Midas Touch]],12,IF(OFFSET(TblMagic[[#This Row],[Active Midas Touch]],-1,0)&gt;0,OFFSET(TblMagic[[#This Row],[Active Midas Touch]],-1,0)-1,0))</f>
        <v>0</v>
      </c>
      <c r="AF17" s="57">
        <f ca="1">IF(TblMagic[[#This Row],[Harmony]],12,IF(OFFSET(TblMagic[[#This Row],[Active Harmony]],-1,0)&gt;0,OFFSET(TblMagic[[#This Row],[Active Harmony]],-1,0)-1,0))</f>
        <v>0</v>
      </c>
      <c r="AG17" s="57">
        <f ca="1">IF(TblMagic[[#This Row],[Miner''s Sight]],12,IF(OFFSET(TblMagic[[#This Row],[Active Miner''s Sight]],-1,0)&gt;0,OFFSET(TblMagic[[#This Row],[Active Miner''s Sight]],-1,0)-1,0))</f>
        <v>0</v>
      </c>
      <c r="AH17" s="57">
        <f ca="1">IF(TblMagic[[#This Row],[Mechanical Genius]],12,IF(OFFSET(TblMagic[[#This Row],[Active Mechanical Genius]],-1,0)&gt;0,OFFSET(TblMagic[[#This Row],[Active Mechanical Genius]],-1,0)-1,0))</f>
        <v>0</v>
      </c>
      <c r="AI17" s="57">
        <f ca="1">IF(TblMagic[[#This Row],[Death and Decay]],12,IF(OFFSET(TblMagic[[#This Row],[Active DnD]],-1,0)&gt;0,OFFSET(TblMagic[[#This Row],[Active DnD]],-1,0)-1,0))</f>
        <v>0</v>
      </c>
      <c r="AJ17" s="57">
        <f ca="1">IF(TblMagic[[#This Row],[Killing Rage / Bloodrage / Crusade]],12,IF(OFFSET(TblMagic[[#This Row],[Active Warsong / Killing Rage / Bloodrage]],-1,0)&gt;0,OFFSET(TblMagic[[#This Row],[Active Warsong / Killing Rage / Bloodrage]],-1,0)-1,0))</f>
        <v>0</v>
      </c>
      <c r="AK17" s="57">
        <f ca="1">IF(TblMagic[[#This Row],[Gaia''s Blessing]],12,IF(OFFSET(TblMagic[[#This Row],[Active Gaia''s Blessing]],-1,0)&gt;0,OFFSET(TblMagic[[#This Row],[Active Gaia''s Blessing]],-1,0)-1,0))</f>
        <v>0</v>
      </c>
      <c r="AL17" s="57">
        <f ca="1">IF(TblMagic[[#This Row],[Howling]],12,IF(OFFSET(TblMagic[[#This Row],[Active Howling]],-1,0)&gt;0,OFFSET(TblMagic[[#This Row],[Active Howling]],-1,0)-1,0))</f>
        <v>0</v>
      </c>
      <c r="AM17" s="57">
        <f ca="1">IF(TblMagic[[#This Row],[Alchemist Frost]],12,IF(OFFSET(TblMagic[[#This Row],[Active Alch Frost]],-1,0)&gt;0,OFFSET(TblMagic[[#This Row],[Active Alch Frost]],-1,0)-1,0))</f>
        <v>0</v>
      </c>
      <c r="AN17" s="57">
        <f ca="1">IF(TblMagic[[#This Row],[Alchemists Flame]],12,IF(OFFSET(TblMagic[[#This Row],[Active Alchemists Flame]],-1,0)&gt;0,OFFSET(TblMagic[[#This Row],[Active Alchemists Flame]],-1,0)-1,0))</f>
        <v>0</v>
      </c>
      <c r="AO17" s="57">
        <f ca="1">IF(TblMagic[[#This Row],[Nightfall]],12,IF(OFFSET(TblMagic[[#This Row],[Active Nightfall]],-1,0)&gt;0,OFFSET(TblMagic[[#This Row],[Active Nightfall]],-1,0)-1,0))</f>
        <v>0</v>
      </c>
      <c r="AP17" s="57">
        <f ca="1">IF(TblMagic[[#This Row],[Favorable Terrain]],12,IF(OFFSET(TblMagic[[#This Row],[Active Favorable Terrain]],-1,0)&gt;0,OFFSET(TblMagic[[#This Row],[Active Favorable Terrain]],-1,0)-1,0))</f>
        <v>0</v>
      </c>
      <c r="AQ17" s="57">
        <f ca="1">IF(TblMagic[[#This Row],[Infernal Command]],12,IF(OFFSET(TblMagic[[#This Row],[Active Infernal Command]],-1,0)&gt;0,OFFSET(TblMagic[[#This Row],[Active Infernal Command]],-1,0)-1,0))</f>
        <v>0</v>
      </c>
    </row>
    <row r="18" spans="1:43" hidden="1" x14ac:dyDescent="0.2">
      <c r="A18" s="137">
        <f>TblRezone[[#This Row],[Hour]]</f>
        <v>15</v>
      </c>
      <c r="B18" s="154">
        <f ca="1">TblConstr[[#This Row],[Land]]</f>
        <v>110</v>
      </c>
      <c r="C18" s="94">
        <f ca="1">TblProd[[#This Row],[Mana]]</f>
        <v>0</v>
      </c>
      <c r="D18" s="156">
        <f ca="1">MIN(1,OFFSET(TblMagic[[#This Row],[Wiz str]],-1,0)+0.04+ROUNDDOWN(10*OFFSET(TblMili[[#This Row],[WG''s]],-1,0),0)+ tech_2_7*OFFSET(TblTech[[#This Row],[2-7]],-1,0) + tech_5_6*OFFSET(TblTech[[#This Row],[5-6]],-1,0) )-TblMagic[[#This Row],[Wiz str cost]]</f>
        <v>1</v>
      </c>
      <c r="E18" s="159">
        <f ca="1">OFFSET(TblMagic[[#This Row],[Time]],-1,0)+1/24</f>
        <v>46047.583333333299</v>
      </c>
      <c r="F18" s="156">
        <f ca="1">TblImps[[#This Row],[Population]]</f>
        <v>0.76208178438661711</v>
      </c>
      <c r="G18" s="57"/>
      <c r="H18" s="57"/>
      <c r="I18" s="57"/>
      <c r="J18" s="57"/>
      <c r="K18" s="480"/>
      <c r="L18" s="57"/>
      <c r="M18" s="57"/>
      <c r="N18" s="57"/>
      <c r="O18" s="57"/>
      <c r="P18" s="57"/>
      <c r="Q18" s="57"/>
      <c r="R18" s="57"/>
      <c r="S18" s="57"/>
      <c r="T18" s="57"/>
      <c r="U18" s="57"/>
      <c r="V18" s="57"/>
      <c r="W18" s="57"/>
      <c r="X18" s="142"/>
      <c r="Y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8" s="156">
        <f>SUMIF(TblMagic[[#This Row],[Gaia''s Watch]:[Useless spell]],1)*0.05</f>
        <v>0</v>
      </c>
      <c r="AA18" s="142"/>
      <c r="AB18" s="57">
        <f ca="1">IF(TblMagic[[#This Row],[Gaia''s Watch]],12,IF(OFFSET(TblMagic[[#This Row],[Active Gaia''s Watch]],-1,0)&gt;0,OFFSET(TblMagic[[#This Row],[Active Gaia''s Watch]],-1,0)-1,0))</f>
        <v>0</v>
      </c>
      <c r="AC18" s="57">
        <f ca="1">IF(TblMagic[[#This Row],[Mining Strength]],12,IF(OFFSET(TblMagic[[#This Row],[Active Mining Strength]],-1,0)&gt;0,OFFSET(TblMagic[[#This Row],[Active Mining Strength]],-1,0)-1,0))</f>
        <v>0</v>
      </c>
      <c r="AD18" s="57">
        <f ca="1">IF(TblMagic[[#This Row],[Ares Call]],12,IF(OFFSET(TblMagic[[#This Row],[Active Ares Call]],-1,0)&gt;0,OFFSET(TblMagic[[#This Row],[Active Ares Call]],-1,0)-1,0))</f>
        <v>0</v>
      </c>
      <c r="AE18" s="57">
        <f ca="1">IF(TblMagic[[#This Row],[Midas Touch]],12,IF(OFFSET(TblMagic[[#This Row],[Active Midas Touch]],-1,0)&gt;0,OFFSET(TblMagic[[#This Row],[Active Midas Touch]],-1,0)-1,0))</f>
        <v>0</v>
      </c>
      <c r="AF18" s="57">
        <f ca="1">IF(TblMagic[[#This Row],[Harmony]],12,IF(OFFSET(TblMagic[[#This Row],[Active Harmony]],-1,0)&gt;0,OFFSET(TblMagic[[#This Row],[Active Harmony]],-1,0)-1,0))</f>
        <v>0</v>
      </c>
      <c r="AG18" s="57">
        <f ca="1">IF(TblMagic[[#This Row],[Miner''s Sight]],12,IF(OFFSET(TblMagic[[#This Row],[Active Miner''s Sight]],-1,0)&gt;0,OFFSET(TblMagic[[#This Row],[Active Miner''s Sight]],-1,0)-1,0))</f>
        <v>0</v>
      </c>
      <c r="AH18" s="57">
        <f ca="1">IF(TblMagic[[#This Row],[Mechanical Genius]],12,IF(OFFSET(TblMagic[[#This Row],[Active Mechanical Genius]],-1,0)&gt;0,OFFSET(TblMagic[[#This Row],[Active Mechanical Genius]],-1,0)-1,0))</f>
        <v>0</v>
      </c>
      <c r="AI18" s="57">
        <f ca="1">IF(TblMagic[[#This Row],[Death and Decay]],12,IF(OFFSET(TblMagic[[#This Row],[Active DnD]],-1,0)&gt;0,OFFSET(TblMagic[[#This Row],[Active DnD]],-1,0)-1,0))</f>
        <v>0</v>
      </c>
      <c r="AJ18" s="57">
        <f ca="1">IF(TblMagic[[#This Row],[Killing Rage / Bloodrage / Crusade]],12,IF(OFFSET(TblMagic[[#This Row],[Active Warsong / Killing Rage / Bloodrage]],-1,0)&gt;0,OFFSET(TblMagic[[#This Row],[Active Warsong / Killing Rage / Bloodrage]],-1,0)-1,0))</f>
        <v>0</v>
      </c>
      <c r="AK18" s="57">
        <f ca="1">IF(TblMagic[[#This Row],[Gaia''s Blessing]],12,IF(OFFSET(TblMagic[[#This Row],[Active Gaia''s Blessing]],-1,0)&gt;0,OFFSET(TblMagic[[#This Row],[Active Gaia''s Blessing]],-1,0)-1,0))</f>
        <v>0</v>
      </c>
      <c r="AL18" s="57">
        <f ca="1">IF(TblMagic[[#This Row],[Howling]],12,IF(OFFSET(TblMagic[[#This Row],[Active Howling]],-1,0)&gt;0,OFFSET(TblMagic[[#This Row],[Active Howling]],-1,0)-1,0))</f>
        <v>0</v>
      </c>
      <c r="AM18" s="57">
        <f ca="1">IF(TblMagic[[#This Row],[Alchemist Frost]],12,IF(OFFSET(TblMagic[[#This Row],[Active Alch Frost]],-1,0)&gt;0,OFFSET(TblMagic[[#This Row],[Active Alch Frost]],-1,0)-1,0))</f>
        <v>0</v>
      </c>
      <c r="AN18" s="57">
        <f ca="1">IF(TblMagic[[#This Row],[Alchemists Flame]],12,IF(OFFSET(TblMagic[[#This Row],[Active Alchemists Flame]],-1,0)&gt;0,OFFSET(TblMagic[[#This Row],[Active Alchemists Flame]],-1,0)-1,0))</f>
        <v>0</v>
      </c>
      <c r="AO18" s="57">
        <f ca="1">IF(TblMagic[[#This Row],[Nightfall]],12,IF(OFFSET(TblMagic[[#This Row],[Active Nightfall]],-1,0)&gt;0,OFFSET(TblMagic[[#This Row],[Active Nightfall]],-1,0)-1,0))</f>
        <v>0</v>
      </c>
      <c r="AP18" s="57">
        <f ca="1">IF(TblMagic[[#This Row],[Favorable Terrain]],12,IF(OFFSET(TblMagic[[#This Row],[Active Favorable Terrain]],-1,0)&gt;0,OFFSET(TblMagic[[#This Row],[Active Favorable Terrain]],-1,0)-1,0))</f>
        <v>0</v>
      </c>
      <c r="AQ18" s="57">
        <f ca="1">IF(TblMagic[[#This Row],[Infernal Command]],12,IF(OFFSET(TblMagic[[#This Row],[Active Infernal Command]],-1,0)&gt;0,OFFSET(TblMagic[[#This Row],[Active Infernal Command]],-1,0)-1,0))</f>
        <v>0</v>
      </c>
    </row>
    <row r="19" spans="1:43" hidden="1" x14ac:dyDescent="0.2">
      <c r="A19" s="137">
        <f>TblRezone[[#This Row],[Hour]]</f>
        <v>16</v>
      </c>
      <c r="B19" s="154">
        <f ca="1">TblConstr[[#This Row],[Land]]</f>
        <v>110</v>
      </c>
      <c r="C19" s="94">
        <f ca="1">TblProd[[#This Row],[Mana]]</f>
        <v>0</v>
      </c>
      <c r="D19" s="156">
        <f ca="1">MIN(1,OFFSET(TblMagic[[#This Row],[Wiz str]],-1,0)+0.04+ROUNDDOWN(10*OFFSET(TblMili[[#This Row],[WG''s]],-1,0),0)+ tech_2_7*OFFSET(TblTech[[#This Row],[2-7]],-1,0) + tech_5_6*OFFSET(TblTech[[#This Row],[5-6]],-1,0) )-TblMagic[[#This Row],[Wiz str cost]]</f>
        <v>1</v>
      </c>
      <c r="E19" s="159">
        <f ca="1">OFFSET(TblMagic[[#This Row],[Time]],-1,0)+1/24</f>
        <v>46047.624999999964</v>
      </c>
      <c r="F19" s="156">
        <f ca="1">TblImps[[#This Row],[Population]]</f>
        <v>0.77881040892193309</v>
      </c>
      <c r="G19" s="57"/>
      <c r="H19" s="57"/>
      <c r="I19" s="57"/>
      <c r="J19" s="57"/>
      <c r="K19" s="480"/>
      <c r="L19" s="57"/>
      <c r="M19" s="57"/>
      <c r="N19" s="57"/>
      <c r="O19" s="57"/>
      <c r="P19" s="57"/>
      <c r="Q19" s="57"/>
      <c r="R19" s="57"/>
      <c r="S19" s="57"/>
      <c r="T19" s="57"/>
      <c r="U19" s="57"/>
      <c r="V19" s="57"/>
      <c r="W19" s="57"/>
      <c r="X19" s="142"/>
      <c r="Y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9" s="156">
        <f>SUMIF(TblMagic[[#This Row],[Gaia''s Watch]:[Useless spell]],1)*0.05</f>
        <v>0</v>
      </c>
      <c r="AA19" s="142"/>
      <c r="AB19" s="57">
        <f ca="1">IF(TblMagic[[#This Row],[Gaia''s Watch]],12,IF(OFFSET(TblMagic[[#This Row],[Active Gaia''s Watch]],-1,0)&gt;0,OFFSET(TblMagic[[#This Row],[Active Gaia''s Watch]],-1,0)-1,0))</f>
        <v>0</v>
      </c>
      <c r="AC19" s="57">
        <f ca="1">IF(TblMagic[[#This Row],[Mining Strength]],12,IF(OFFSET(TblMagic[[#This Row],[Active Mining Strength]],-1,0)&gt;0,OFFSET(TblMagic[[#This Row],[Active Mining Strength]],-1,0)-1,0))</f>
        <v>0</v>
      </c>
      <c r="AD19" s="57">
        <f ca="1">IF(TblMagic[[#This Row],[Ares Call]],12,IF(OFFSET(TblMagic[[#This Row],[Active Ares Call]],-1,0)&gt;0,OFFSET(TblMagic[[#This Row],[Active Ares Call]],-1,0)-1,0))</f>
        <v>0</v>
      </c>
      <c r="AE19" s="57">
        <f ca="1">IF(TblMagic[[#This Row],[Midas Touch]],12,IF(OFFSET(TblMagic[[#This Row],[Active Midas Touch]],-1,0)&gt;0,OFFSET(TblMagic[[#This Row],[Active Midas Touch]],-1,0)-1,0))</f>
        <v>0</v>
      </c>
      <c r="AF19" s="57">
        <f ca="1">IF(TblMagic[[#This Row],[Harmony]],12,IF(OFFSET(TblMagic[[#This Row],[Active Harmony]],-1,0)&gt;0,OFFSET(TblMagic[[#This Row],[Active Harmony]],-1,0)-1,0))</f>
        <v>0</v>
      </c>
      <c r="AG19" s="57">
        <f ca="1">IF(TblMagic[[#This Row],[Miner''s Sight]],12,IF(OFFSET(TblMagic[[#This Row],[Active Miner''s Sight]],-1,0)&gt;0,OFFSET(TblMagic[[#This Row],[Active Miner''s Sight]],-1,0)-1,0))</f>
        <v>0</v>
      </c>
      <c r="AH19" s="57">
        <f ca="1">IF(TblMagic[[#This Row],[Mechanical Genius]],12,IF(OFFSET(TblMagic[[#This Row],[Active Mechanical Genius]],-1,0)&gt;0,OFFSET(TblMagic[[#This Row],[Active Mechanical Genius]],-1,0)-1,0))</f>
        <v>0</v>
      </c>
      <c r="AI19" s="57">
        <f ca="1">IF(TblMagic[[#This Row],[Death and Decay]],12,IF(OFFSET(TblMagic[[#This Row],[Active DnD]],-1,0)&gt;0,OFFSET(TblMagic[[#This Row],[Active DnD]],-1,0)-1,0))</f>
        <v>0</v>
      </c>
      <c r="AJ19" s="57">
        <f ca="1">IF(TblMagic[[#This Row],[Killing Rage / Bloodrage / Crusade]],12,IF(OFFSET(TblMagic[[#This Row],[Active Warsong / Killing Rage / Bloodrage]],-1,0)&gt;0,OFFSET(TblMagic[[#This Row],[Active Warsong / Killing Rage / Bloodrage]],-1,0)-1,0))</f>
        <v>0</v>
      </c>
      <c r="AK19" s="57">
        <f ca="1">IF(TblMagic[[#This Row],[Gaia''s Blessing]],12,IF(OFFSET(TblMagic[[#This Row],[Active Gaia''s Blessing]],-1,0)&gt;0,OFFSET(TblMagic[[#This Row],[Active Gaia''s Blessing]],-1,0)-1,0))</f>
        <v>0</v>
      </c>
      <c r="AL19" s="57">
        <f ca="1">IF(TblMagic[[#This Row],[Howling]],12,IF(OFFSET(TblMagic[[#This Row],[Active Howling]],-1,0)&gt;0,OFFSET(TblMagic[[#This Row],[Active Howling]],-1,0)-1,0))</f>
        <v>0</v>
      </c>
      <c r="AM19" s="57">
        <f ca="1">IF(TblMagic[[#This Row],[Alchemist Frost]],12,IF(OFFSET(TblMagic[[#This Row],[Active Alch Frost]],-1,0)&gt;0,OFFSET(TblMagic[[#This Row],[Active Alch Frost]],-1,0)-1,0))</f>
        <v>0</v>
      </c>
      <c r="AN19" s="57">
        <f ca="1">IF(TblMagic[[#This Row],[Alchemists Flame]],12,IF(OFFSET(TblMagic[[#This Row],[Active Alchemists Flame]],-1,0)&gt;0,OFFSET(TblMagic[[#This Row],[Active Alchemists Flame]],-1,0)-1,0))</f>
        <v>0</v>
      </c>
      <c r="AO19" s="57">
        <f ca="1">IF(TblMagic[[#This Row],[Nightfall]],12,IF(OFFSET(TblMagic[[#This Row],[Active Nightfall]],-1,0)&gt;0,OFFSET(TblMagic[[#This Row],[Active Nightfall]],-1,0)-1,0))</f>
        <v>0</v>
      </c>
      <c r="AP19" s="57">
        <f ca="1">IF(TblMagic[[#This Row],[Favorable Terrain]],12,IF(OFFSET(TblMagic[[#This Row],[Active Favorable Terrain]],-1,0)&gt;0,OFFSET(TblMagic[[#This Row],[Active Favorable Terrain]],-1,0)-1,0))</f>
        <v>0</v>
      </c>
      <c r="AQ19" s="57">
        <f ca="1">IF(TblMagic[[#This Row],[Infernal Command]],12,IF(OFFSET(TblMagic[[#This Row],[Active Infernal Command]],-1,0)&gt;0,OFFSET(TblMagic[[#This Row],[Active Infernal Command]],-1,0)-1,0))</f>
        <v>0</v>
      </c>
    </row>
    <row r="20" spans="1:43" hidden="1" x14ac:dyDescent="0.2">
      <c r="A20" s="137">
        <f>TblRezone[[#This Row],[Hour]]</f>
        <v>17</v>
      </c>
      <c r="B20" s="154">
        <f ca="1">TblConstr[[#This Row],[Land]]</f>
        <v>110</v>
      </c>
      <c r="C20" s="94">
        <f ca="1">TblProd[[#This Row],[Mana]]</f>
        <v>0</v>
      </c>
      <c r="D20" s="156">
        <f ca="1">MIN(1,OFFSET(TblMagic[[#This Row],[Wiz str]],-1,0)+0.04+ROUNDDOWN(10*OFFSET(TblMili[[#This Row],[WG''s]],-1,0),0)+ tech_2_7*OFFSET(TblTech[[#This Row],[2-7]],-1,0) + tech_5_6*OFFSET(TblTech[[#This Row],[5-6]],-1,0) )-TblMagic[[#This Row],[Wiz str cost]]</f>
        <v>1</v>
      </c>
      <c r="E20" s="159">
        <f ca="1">OFFSET(TblMagic[[#This Row],[Time]],-1,0)+1/24</f>
        <v>46047.666666666628</v>
      </c>
      <c r="F20" s="156">
        <f ca="1">TblImps[[#This Row],[Population]]</f>
        <v>0.79553903345724908</v>
      </c>
      <c r="G20" s="57"/>
      <c r="H20" s="57"/>
      <c r="I20" s="57"/>
      <c r="J20" s="57"/>
      <c r="K20" s="480"/>
      <c r="L20" s="57"/>
      <c r="M20" s="57"/>
      <c r="N20" s="57"/>
      <c r="O20" s="57"/>
      <c r="P20" s="57"/>
      <c r="Q20" s="57"/>
      <c r="R20" s="57"/>
      <c r="S20" s="57"/>
      <c r="T20" s="57"/>
      <c r="U20" s="57"/>
      <c r="V20" s="57"/>
      <c r="W20" s="57"/>
      <c r="X20" s="142"/>
      <c r="Y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0" s="156">
        <f>SUMIF(TblMagic[[#This Row],[Gaia''s Watch]:[Useless spell]],1)*0.05</f>
        <v>0</v>
      </c>
      <c r="AA20" s="142"/>
      <c r="AB20" s="57">
        <f ca="1">IF(TblMagic[[#This Row],[Gaia''s Watch]],12,IF(OFFSET(TblMagic[[#This Row],[Active Gaia''s Watch]],-1,0)&gt;0,OFFSET(TblMagic[[#This Row],[Active Gaia''s Watch]],-1,0)-1,0))</f>
        <v>0</v>
      </c>
      <c r="AC20" s="57">
        <f ca="1">IF(TblMagic[[#This Row],[Mining Strength]],12,IF(OFFSET(TblMagic[[#This Row],[Active Mining Strength]],-1,0)&gt;0,OFFSET(TblMagic[[#This Row],[Active Mining Strength]],-1,0)-1,0))</f>
        <v>0</v>
      </c>
      <c r="AD20" s="57">
        <f ca="1">IF(TblMagic[[#This Row],[Ares Call]],12,IF(OFFSET(TblMagic[[#This Row],[Active Ares Call]],-1,0)&gt;0,OFFSET(TblMagic[[#This Row],[Active Ares Call]],-1,0)-1,0))</f>
        <v>0</v>
      </c>
      <c r="AE20" s="57">
        <f ca="1">IF(TblMagic[[#This Row],[Midas Touch]],12,IF(OFFSET(TblMagic[[#This Row],[Active Midas Touch]],-1,0)&gt;0,OFFSET(TblMagic[[#This Row],[Active Midas Touch]],-1,0)-1,0))</f>
        <v>0</v>
      </c>
      <c r="AF20" s="57">
        <f ca="1">IF(TblMagic[[#This Row],[Harmony]],12,IF(OFFSET(TblMagic[[#This Row],[Active Harmony]],-1,0)&gt;0,OFFSET(TblMagic[[#This Row],[Active Harmony]],-1,0)-1,0))</f>
        <v>0</v>
      </c>
      <c r="AG20" s="57">
        <f ca="1">IF(TblMagic[[#This Row],[Miner''s Sight]],12,IF(OFFSET(TblMagic[[#This Row],[Active Miner''s Sight]],-1,0)&gt;0,OFFSET(TblMagic[[#This Row],[Active Miner''s Sight]],-1,0)-1,0))</f>
        <v>0</v>
      </c>
      <c r="AH20" s="57">
        <f ca="1">IF(TblMagic[[#This Row],[Mechanical Genius]],12,IF(OFFSET(TblMagic[[#This Row],[Active Mechanical Genius]],-1,0)&gt;0,OFFSET(TblMagic[[#This Row],[Active Mechanical Genius]],-1,0)-1,0))</f>
        <v>0</v>
      </c>
      <c r="AI20" s="57">
        <f ca="1">IF(TblMagic[[#This Row],[Death and Decay]],12,IF(OFFSET(TblMagic[[#This Row],[Active DnD]],-1,0)&gt;0,OFFSET(TblMagic[[#This Row],[Active DnD]],-1,0)-1,0))</f>
        <v>0</v>
      </c>
      <c r="AJ20" s="57">
        <f ca="1">IF(TblMagic[[#This Row],[Killing Rage / Bloodrage / Crusade]],12,IF(OFFSET(TblMagic[[#This Row],[Active Warsong / Killing Rage / Bloodrage]],-1,0)&gt;0,OFFSET(TblMagic[[#This Row],[Active Warsong / Killing Rage / Bloodrage]],-1,0)-1,0))</f>
        <v>0</v>
      </c>
      <c r="AK20" s="57">
        <f ca="1">IF(TblMagic[[#This Row],[Gaia''s Blessing]],12,IF(OFFSET(TblMagic[[#This Row],[Active Gaia''s Blessing]],-1,0)&gt;0,OFFSET(TblMagic[[#This Row],[Active Gaia''s Blessing]],-1,0)-1,0))</f>
        <v>0</v>
      </c>
      <c r="AL20" s="57">
        <f ca="1">IF(TblMagic[[#This Row],[Howling]],12,IF(OFFSET(TblMagic[[#This Row],[Active Howling]],-1,0)&gt;0,OFFSET(TblMagic[[#This Row],[Active Howling]],-1,0)-1,0))</f>
        <v>0</v>
      </c>
      <c r="AM20" s="57">
        <f ca="1">IF(TblMagic[[#This Row],[Alchemist Frost]],12,IF(OFFSET(TblMagic[[#This Row],[Active Alch Frost]],-1,0)&gt;0,OFFSET(TblMagic[[#This Row],[Active Alch Frost]],-1,0)-1,0))</f>
        <v>0</v>
      </c>
      <c r="AN20" s="57">
        <f ca="1">IF(TblMagic[[#This Row],[Alchemists Flame]],12,IF(OFFSET(TblMagic[[#This Row],[Active Alchemists Flame]],-1,0)&gt;0,OFFSET(TblMagic[[#This Row],[Active Alchemists Flame]],-1,0)-1,0))</f>
        <v>0</v>
      </c>
      <c r="AO20" s="57">
        <f ca="1">IF(TblMagic[[#This Row],[Nightfall]],12,IF(OFFSET(TblMagic[[#This Row],[Active Nightfall]],-1,0)&gt;0,OFFSET(TblMagic[[#This Row],[Active Nightfall]],-1,0)-1,0))</f>
        <v>0</v>
      </c>
      <c r="AP20" s="57">
        <f ca="1">IF(TblMagic[[#This Row],[Favorable Terrain]],12,IF(OFFSET(TblMagic[[#This Row],[Active Favorable Terrain]],-1,0)&gt;0,OFFSET(TblMagic[[#This Row],[Active Favorable Terrain]],-1,0)-1,0))</f>
        <v>0</v>
      </c>
      <c r="AQ20" s="57">
        <f ca="1">IF(TblMagic[[#This Row],[Infernal Command]],12,IF(OFFSET(TblMagic[[#This Row],[Active Infernal Command]],-1,0)&gt;0,OFFSET(TblMagic[[#This Row],[Active Infernal Command]],-1,0)-1,0))</f>
        <v>0</v>
      </c>
    </row>
    <row r="21" spans="1:43" hidden="1" x14ac:dyDescent="0.2">
      <c r="A21" s="137">
        <f>TblRezone[[#This Row],[Hour]]</f>
        <v>18</v>
      </c>
      <c r="B21" s="154">
        <f ca="1">TblConstr[[#This Row],[Land]]</f>
        <v>110</v>
      </c>
      <c r="C21" s="94">
        <f ca="1">TblProd[[#This Row],[Mana]]</f>
        <v>0</v>
      </c>
      <c r="D21" s="156">
        <f ca="1">MIN(1,OFFSET(TblMagic[[#This Row],[Wiz str]],-1,0)+0.04+ROUNDDOWN(10*OFFSET(TblMili[[#This Row],[WG''s]],-1,0),0)+ tech_2_7*OFFSET(TblTech[[#This Row],[2-7]],-1,0) + tech_5_6*OFFSET(TblTech[[#This Row],[5-6]],-1,0) )-TblMagic[[#This Row],[Wiz str cost]]</f>
        <v>1</v>
      </c>
      <c r="E21" s="159">
        <f ca="1">OFFSET(TblMagic[[#This Row],[Time]],-1,0)+1/24</f>
        <v>46047.708333333292</v>
      </c>
      <c r="F21" s="156">
        <f ca="1">TblImps[[#This Row],[Population]]</f>
        <v>0.81226765799256506</v>
      </c>
      <c r="G21" s="57"/>
      <c r="H21" s="57"/>
      <c r="I21" s="57"/>
      <c r="J21" s="57"/>
      <c r="K21" s="480"/>
      <c r="L21" s="57"/>
      <c r="M21" s="57"/>
      <c r="N21" s="57"/>
      <c r="O21" s="57"/>
      <c r="P21" s="57"/>
      <c r="Q21" s="57"/>
      <c r="R21" s="57"/>
      <c r="S21" s="57"/>
      <c r="T21" s="57"/>
      <c r="U21" s="57"/>
      <c r="V21" s="57"/>
      <c r="W21" s="57"/>
      <c r="X21" s="142"/>
      <c r="Y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1" s="156">
        <f>SUMIF(TblMagic[[#This Row],[Gaia''s Watch]:[Useless spell]],1)*0.05</f>
        <v>0</v>
      </c>
      <c r="AA21" s="142"/>
      <c r="AB21" s="57">
        <f ca="1">IF(TblMagic[[#This Row],[Gaia''s Watch]],12,IF(OFFSET(TblMagic[[#This Row],[Active Gaia''s Watch]],-1,0)&gt;0,OFFSET(TblMagic[[#This Row],[Active Gaia''s Watch]],-1,0)-1,0))</f>
        <v>0</v>
      </c>
      <c r="AC21" s="57">
        <f ca="1">IF(TblMagic[[#This Row],[Mining Strength]],12,IF(OFFSET(TblMagic[[#This Row],[Active Mining Strength]],-1,0)&gt;0,OFFSET(TblMagic[[#This Row],[Active Mining Strength]],-1,0)-1,0))</f>
        <v>0</v>
      </c>
      <c r="AD21" s="57">
        <f ca="1">IF(TblMagic[[#This Row],[Ares Call]],12,IF(OFFSET(TblMagic[[#This Row],[Active Ares Call]],-1,0)&gt;0,OFFSET(TblMagic[[#This Row],[Active Ares Call]],-1,0)-1,0))</f>
        <v>0</v>
      </c>
      <c r="AE21" s="57">
        <f ca="1">IF(TblMagic[[#This Row],[Midas Touch]],12,IF(OFFSET(TblMagic[[#This Row],[Active Midas Touch]],-1,0)&gt;0,OFFSET(TblMagic[[#This Row],[Active Midas Touch]],-1,0)-1,0))</f>
        <v>0</v>
      </c>
      <c r="AF21" s="57">
        <f ca="1">IF(TblMagic[[#This Row],[Harmony]],12,IF(OFFSET(TblMagic[[#This Row],[Active Harmony]],-1,0)&gt;0,OFFSET(TblMagic[[#This Row],[Active Harmony]],-1,0)-1,0))</f>
        <v>0</v>
      </c>
      <c r="AG21" s="57">
        <f ca="1">IF(TblMagic[[#This Row],[Miner''s Sight]],12,IF(OFFSET(TblMagic[[#This Row],[Active Miner''s Sight]],-1,0)&gt;0,OFFSET(TblMagic[[#This Row],[Active Miner''s Sight]],-1,0)-1,0))</f>
        <v>0</v>
      </c>
      <c r="AH21" s="57">
        <f ca="1">IF(TblMagic[[#This Row],[Mechanical Genius]],12,IF(OFFSET(TblMagic[[#This Row],[Active Mechanical Genius]],-1,0)&gt;0,OFFSET(TblMagic[[#This Row],[Active Mechanical Genius]],-1,0)-1,0))</f>
        <v>0</v>
      </c>
      <c r="AI21" s="57">
        <f ca="1">IF(TblMagic[[#This Row],[Death and Decay]],12,IF(OFFSET(TblMagic[[#This Row],[Active DnD]],-1,0)&gt;0,OFFSET(TblMagic[[#This Row],[Active DnD]],-1,0)-1,0))</f>
        <v>0</v>
      </c>
      <c r="AJ21" s="57">
        <f ca="1">IF(TblMagic[[#This Row],[Killing Rage / Bloodrage / Crusade]],12,IF(OFFSET(TblMagic[[#This Row],[Active Warsong / Killing Rage / Bloodrage]],-1,0)&gt;0,OFFSET(TblMagic[[#This Row],[Active Warsong / Killing Rage / Bloodrage]],-1,0)-1,0))</f>
        <v>0</v>
      </c>
      <c r="AK21" s="57">
        <f ca="1">IF(TblMagic[[#This Row],[Gaia''s Blessing]],12,IF(OFFSET(TblMagic[[#This Row],[Active Gaia''s Blessing]],-1,0)&gt;0,OFFSET(TblMagic[[#This Row],[Active Gaia''s Blessing]],-1,0)-1,0))</f>
        <v>0</v>
      </c>
      <c r="AL21" s="57">
        <f ca="1">IF(TblMagic[[#This Row],[Howling]],12,IF(OFFSET(TblMagic[[#This Row],[Active Howling]],-1,0)&gt;0,OFFSET(TblMagic[[#This Row],[Active Howling]],-1,0)-1,0))</f>
        <v>0</v>
      </c>
      <c r="AM21" s="57">
        <f ca="1">IF(TblMagic[[#This Row],[Alchemist Frost]],12,IF(OFFSET(TblMagic[[#This Row],[Active Alch Frost]],-1,0)&gt;0,OFFSET(TblMagic[[#This Row],[Active Alch Frost]],-1,0)-1,0))</f>
        <v>0</v>
      </c>
      <c r="AN21" s="57">
        <f ca="1">IF(TblMagic[[#This Row],[Alchemists Flame]],12,IF(OFFSET(TblMagic[[#This Row],[Active Alchemists Flame]],-1,0)&gt;0,OFFSET(TblMagic[[#This Row],[Active Alchemists Flame]],-1,0)-1,0))</f>
        <v>0</v>
      </c>
      <c r="AO21" s="57">
        <f ca="1">IF(TblMagic[[#This Row],[Nightfall]],12,IF(OFFSET(TblMagic[[#This Row],[Active Nightfall]],-1,0)&gt;0,OFFSET(TblMagic[[#This Row],[Active Nightfall]],-1,0)-1,0))</f>
        <v>0</v>
      </c>
      <c r="AP21" s="57">
        <f ca="1">IF(TblMagic[[#This Row],[Favorable Terrain]],12,IF(OFFSET(TblMagic[[#This Row],[Active Favorable Terrain]],-1,0)&gt;0,OFFSET(TblMagic[[#This Row],[Active Favorable Terrain]],-1,0)-1,0))</f>
        <v>0</v>
      </c>
      <c r="AQ21" s="57">
        <f ca="1">IF(TblMagic[[#This Row],[Infernal Command]],12,IF(OFFSET(TblMagic[[#This Row],[Active Infernal Command]],-1,0)&gt;0,OFFSET(TblMagic[[#This Row],[Active Infernal Command]],-1,0)-1,0))</f>
        <v>0</v>
      </c>
    </row>
    <row r="22" spans="1:43" hidden="1" x14ac:dyDescent="0.2">
      <c r="A22" s="137">
        <f>TblRezone[[#This Row],[Hour]]</f>
        <v>19</v>
      </c>
      <c r="B22" s="154">
        <f ca="1">TblConstr[[#This Row],[Land]]</f>
        <v>110</v>
      </c>
      <c r="C22" s="94">
        <f ca="1">TblProd[[#This Row],[Mana]]</f>
        <v>0</v>
      </c>
      <c r="D22" s="156">
        <f ca="1">MIN(1,OFFSET(TblMagic[[#This Row],[Wiz str]],-1,0)+0.04+ROUNDDOWN(10*OFFSET(TblMili[[#This Row],[WG''s]],-1,0),0)+ tech_2_7*OFFSET(TblTech[[#This Row],[2-7]],-1,0) + tech_5_6*OFFSET(TblTech[[#This Row],[5-6]],-1,0) )-TblMagic[[#This Row],[Wiz str cost]]</f>
        <v>1</v>
      </c>
      <c r="E22" s="159">
        <f ca="1">OFFSET(TblMagic[[#This Row],[Time]],-1,0)+1/24</f>
        <v>46047.749999999956</v>
      </c>
      <c r="F22" s="156">
        <f ca="1">TblImps[[#This Row],[Population]]</f>
        <v>0.8299256505576208</v>
      </c>
      <c r="G22" s="57"/>
      <c r="H22" s="57"/>
      <c r="I22" s="57"/>
      <c r="J22" s="57"/>
      <c r="K22" s="480"/>
      <c r="L22" s="57"/>
      <c r="M22" s="57"/>
      <c r="N22" s="57"/>
      <c r="O22" s="57"/>
      <c r="P22" s="57"/>
      <c r="Q22" s="57"/>
      <c r="R22" s="57"/>
      <c r="S22" s="57"/>
      <c r="T22" s="57"/>
      <c r="U22" s="57"/>
      <c r="V22" s="57"/>
      <c r="W22" s="57"/>
      <c r="X22" s="142"/>
      <c r="Y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2" s="156">
        <f>SUMIF(TblMagic[[#This Row],[Gaia''s Watch]:[Useless spell]],1)*0.05</f>
        <v>0</v>
      </c>
      <c r="AA22" s="142"/>
      <c r="AB22" s="57">
        <f ca="1">IF(TblMagic[[#This Row],[Gaia''s Watch]],12,IF(OFFSET(TblMagic[[#This Row],[Active Gaia''s Watch]],-1,0)&gt;0,OFFSET(TblMagic[[#This Row],[Active Gaia''s Watch]],-1,0)-1,0))</f>
        <v>0</v>
      </c>
      <c r="AC22" s="57">
        <f ca="1">IF(TblMagic[[#This Row],[Mining Strength]],12,IF(OFFSET(TblMagic[[#This Row],[Active Mining Strength]],-1,0)&gt;0,OFFSET(TblMagic[[#This Row],[Active Mining Strength]],-1,0)-1,0))</f>
        <v>0</v>
      </c>
      <c r="AD22" s="57">
        <f ca="1">IF(TblMagic[[#This Row],[Ares Call]],12,IF(OFFSET(TblMagic[[#This Row],[Active Ares Call]],-1,0)&gt;0,OFFSET(TblMagic[[#This Row],[Active Ares Call]],-1,0)-1,0))</f>
        <v>0</v>
      </c>
      <c r="AE22" s="57">
        <f ca="1">IF(TblMagic[[#This Row],[Midas Touch]],12,IF(OFFSET(TblMagic[[#This Row],[Active Midas Touch]],-1,0)&gt;0,OFFSET(TblMagic[[#This Row],[Active Midas Touch]],-1,0)-1,0))</f>
        <v>0</v>
      </c>
      <c r="AF22" s="57">
        <f ca="1">IF(TblMagic[[#This Row],[Harmony]],12,IF(OFFSET(TblMagic[[#This Row],[Active Harmony]],-1,0)&gt;0,OFFSET(TblMagic[[#This Row],[Active Harmony]],-1,0)-1,0))</f>
        <v>0</v>
      </c>
      <c r="AG22" s="57">
        <f ca="1">IF(TblMagic[[#This Row],[Miner''s Sight]],12,IF(OFFSET(TblMagic[[#This Row],[Active Miner''s Sight]],-1,0)&gt;0,OFFSET(TblMagic[[#This Row],[Active Miner''s Sight]],-1,0)-1,0))</f>
        <v>0</v>
      </c>
      <c r="AH22" s="57">
        <f ca="1">IF(TblMagic[[#This Row],[Mechanical Genius]],12,IF(OFFSET(TblMagic[[#This Row],[Active Mechanical Genius]],-1,0)&gt;0,OFFSET(TblMagic[[#This Row],[Active Mechanical Genius]],-1,0)-1,0))</f>
        <v>0</v>
      </c>
      <c r="AI22" s="57">
        <f ca="1">IF(TblMagic[[#This Row],[Death and Decay]],12,IF(OFFSET(TblMagic[[#This Row],[Active DnD]],-1,0)&gt;0,OFFSET(TblMagic[[#This Row],[Active DnD]],-1,0)-1,0))</f>
        <v>0</v>
      </c>
      <c r="AJ22" s="57">
        <f ca="1">IF(TblMagic[[#This Row],[Killing Rage / Bloodrage / Crusade]],12,IF(OFFSET(TblMagic[[#This Row],[Active Warsong / Killing Rage / Bloodrage]],-1,0)&gt;0,OFFSET(TblMagic[[#This Row],[Active Warsong / Killing Rage / Bloodrage]],-1,0)-1,0))</f>
        <v>0</v>
      </c>
      <c r="AK22" s="57">
        <f ca="1">IF(TblMagic[[#This Row],[Gaia''s Blessing]],12,IF(OFFSET(TblMagic[[#This Row],[Active Gaia''s Blessing]],-1,0)&gt;0,OFFSET(TblMagic[[#This Row],[Active Gaia''s Blessing]],-1,0)-1,0))</f>
        <v>0</v>
      </c>
      <c r="AL22" s="57">
        <f ca="1">IF(TblMagic[[#This Row],[Howling]],12,IF(OFFSET(TblMagic[[#This Row],[Active Howling]],-1,0)&gt;0,OFFSET(TblMagic[[#This Row],[Active Howling]],-1,0)-1,0))</f>
        <v>0</v>
      </c>
      <c r="AM22" s="57">
        <f ca="1">IF(TblMagic[[#This Row],[Alchemist Frost]],12,IF(OFFSET(TblMagic[[#This Row],[Active Alch Frost]],-1,0)&gt;0,OFFSET(TblMagic[[#This Row],[Active Alch Frost]],-1,0)-1,0))</f>
        <v>0</v>
      </c>
      <c r="AN22" s="57">
        <f ca="1">IF(TblMagic[[#This Row],[Alchemists Flame]],12,IF(OFFSET(TblMagic[[#This Row],[Active Alchemists Flame]],-1,0)&gt;0,OFFSET(TblMagic[[#This Row],[Active Alchemists Flame]],-1,0)-1,0))</f>
        <v>0</v>
      </c>
      <c r="AO22" s="57">
        <f ca="1">IF(TblMagic[[#This Row],[Nightfall]],12,IF(OFFSET(TblMagic[[#This Row],[Active Nightfall]],-1,0)&gt;0,OFFSET(TblMagic[[#This Row],[Active Nightfall]],-1,0)-1,0))</f>
        <v>0</v>
      </c>
      <c r="AP22" s="57">
        <f ca="1">IF(TblMagic[[#This Row],[Favorable Terrain]],12,IF(OFFSET(TblMagic[[#This Row],[Active Favorable Terrain]],-1,0)&gt;0,OFFSET(TblMagic[[#This Row],[Active Favorable Terrain]],-1,0)-1,0))</f>
        <v>0</v>
      </c>
      <c r="AQ22" s="57">
        <f ca="1">IF(TblMagic[[#This Row],[Infernal Command]],12,IF(OFFSET(TblMagic[[#This Row],[Active Infernal Command]],-1,0)&gt;0,OFFSET(TblMagic[[#This Row],[Active Infernal Command]],-1,0)-1,0))</f>
        <v>0</v>
      </c>
    </row>
    <row r="23" spans="1:43" hidden="1" x14ac:dyDescent="0.2">
      <c r="A23" s="137">
        <f>TblRezone[[#This Row],[Hour]]</f>
        <v>20</v>
      </c>
      <c r="B23" s="154">
        <f ca="1">TblConstr[[#This Row],[Land]]</f>
        <v>110</v>
      </c>
      <c r="C23" s="94">
        <f ca="1">TblProd[[#This Row],[Mana]]</f>
        <v>0</v>
      </c>
      <c r="D23" s="156">
        <f ca="1">MIN(1,OFFSET(TblMagic[[#This Row],[Wiz str]],-1,0)+0.04+ROUNDDOWN(10*OFFSET(TblMili[[#This Row],[WG''s]],-1,0),0)+ tech_2_7*OFFSET(TblTech[[#This Row],[2-7]],-1,0) + tech_5_6*OFFSET(TblTech[[#This Row],[5-6]],-1,0) )-TblMagic[[#This Row],[Wiz str cost]]</f>
        <v>1</v>
      </c>
      <c r="E23" s="159">
        <f ca="1">OFFSET(TblMagic[[#This Row],[Time]],-1,0)+1/24</f>
        <v>46047.791666666621</v>
      </c>
      <c r="F23" s="156">
        <f ca="1">TblImps[[#This Row],[Population]]</f>
        <v>0.84758364312267653</v>
      </c>
      <c r="G23" s="57"/>
      <c r="H23" s="57"/>
      <c r="I23" s="57"/>
      <c r="J23" s="57"/>
      <c r="K23" s="480"/>
      <c r="L23" s="57"/>
      <c r="M23" s="57"/>
      <c r="N23" s="57"/>
      <c r="O23" s="57"/>
      <c r="P23" s="57"/>
      <c r="Q23" s="57"/>
      <c r="R23" s="57"/>
      <c r="S23" s="57"/>
      <c r="T23" s="57"/>
      <c r="U23" s="57"/>
      <c r="V23" s="57"/>
      <c r="W23" s="57"/>
      <c r="X23" s="142"/>
      <c r="Y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3" s="156">
        <f>SUMIF(TblMagic[[#This Row],[Gaia''s Watch]:[Useless spell]],1)*0.05</f>
        <v>0</v>
      </c>
      <c r="AA23" s="142"/>
      <c r="AB23" s="57">
        <f ca="1">IF(TblMagic[[#This Row],[Gaia''s Watch]],12,IF(OFFSET(TblMagic[[#This Row],[Active Gaia''s Watch]],-1,0)&gt;0,OFFSET(TblMagic[[#This Row],[Active Gaia''s Watch]],-1,0)-1,0))</f>
        <v>0</v>
      </c>
      <c r="AC23" s="57">
        <f ca="1">IF(TblMagic[[#This Row],[Mining Strength]],12,IF(OFFSET(TblMagic[[#This Row],[Active Mining Strength]],-1,0)&gt;0,OFFSET(TblMagic[[#This Row],[Active Mining Strength]],-1,0)-1,0))</f>
        <v>0</v>
      </c>
      <c r="AD23" s="57">
        <f ca="1">IF(TblMagic[[#This Row],[Ares Call]],12,IF(OFFSET(TblMagic[[#This Row],[Active Ares Call]],-1,0)&gt;0,OFFSET(TblMagic[[#This Row],[Active Ares Call]],-1,0)-1,0))</f>
        <v>0</v>
      </c>
      <c r="AE23" s="57">
        <f ca="1">IF(TblMagic[[#This Row],[Midas Touch]],12,IF(OFFSET(TblMagic[[#This Row],[Active Midas Touch]],-1,0)&gt;0,OFFSET(TblMagic[[#This Row],[Active Midas Touch]],-1,0)-1,0))</f>
        <v>0</v>
      </c>
      <c r="AF23" s="57">
        <f ca="1">IF(TblMagic[[#This Row],[Harmony]],12,IF(OFFSET(TblMagic[[#This Row],[Active Harmony]],-1,0)&gt;0,OFFSET(TblMagic[[#This Row],[Active Harmony]],-1,0)-1,0))</f>
        <v>0</v>
      </c>
      <c r="AG23" s="57">
        <f ca="1">IF(TblMagic[[#This Row],[Miner''s Sight]],12,IF(OFFSET(TblMagic[[#This Row],[Active Miner''s Sight]],-1,0)&gt;0,OFFSET(TblMagic[[#This Row],[Active Miner''s Sight]],-1,0)-1,0))</f>
        <v>0</v>
      </c>
      <c r="AH23" s="57">
        <f ca="1">IF(TblMagic[[#This Row],[Mechanical Genius]],12,IF(OFFSET(TblMagic[[#This Row],[Active Mechanical Genius]],-1,0)&gt;0,OFFSET(TblMagic[[#This Row],[Active Mechanical Genius]],-1,0)-1,0))</f>
        <v>0</v>
      </c>
      <c r="AI23" s="57">
        <f ca="1">IF(TblMagic[[#This Row],[Death and Decay]],12,IF(OFFSET(TblMagic[[#This Row],[Active DnD]],-1,0)&gt;0,OFFSET(TblMagic[[#This Row],[Active DnD]],-1,0)-1,0))</f>
        <v>0</v>
      </c>
      <c r="AJ23" s="57">
        <f ca="1">IF(TblMagic[[#This Row],[Killing Rage / Bloodrage / Crusade]],12,IF(OFFSET(TblMagic[[#This Row],[Active Warsong / Killing Rage / Bloodrage]],-1,0)&gt;0,OFFSET(TblMagic[[#This Row],[Active Warsong / Killing Rage / Bloodrage]],-1,0)-1,0))</f>
        <v>0</v>
      </c>
      <c r="AK23" s="57">
        <f ca="1">IF(TblMagic[[#This Row],[Gaia''s Blessing]],12,IF(OFFSET(TblMagic[[#This Row],[Active Gaia''s Blessing]],-1,0)&gt;0,OFFSET(TblMagic[[#This Row],[Active Gaia''s Blessing]],-1,0)-1,0))</f>
        <v>0</v>
      </c>
      <c r="AL23" s="57">
        <f ca="1">IF(TblMagic[[#This Row],[Howling]],12,IF(OFFSET(TblMagic[[#This Row],[Active Howling]],-1,0)&gt;0,OFFSET(TblMagic[[#This Row],[Active Howling]],-1,0)-1,0))</f>
        <v>0</v>
      </c>
      <c r="AM23" s="57">
        <f ca="1">IF(TblMagic[[#This Row],[Alchemist Frost]],12,IF(OFFSET(TblMagic[[#This Row],[Active Alch Frost]],-1,0)&gt;0,OFFSET(TblMagic[[#This Row],[Active Alch Frost]],-1,0)-1,0))</f>
        <v>0</v>
      </c>
      <c r="AN23" s="57">
        <f ca="1">IF(TblMagic[[#This Row],[Alchemists Flame]],12,IF(OFFSET(TblMagic[[#This Row],[Active Alchemists Flame]],-1,0)&gt;0,OFFSET(TblMagic[[#This Row],[Active Alchemists Flame]],-1,0)-1,0))</f>
        <v>0</v>
      </c>
      <c r="AO23" s="57">
        <f ca="1">IF(TblMagic[[#This Row],[Nightfall]],12,IF(OFFSET(TblMagic[[#This Row],[Active Nightfall]],-1,0)&gt;0,OFFSET(TblMagic[[#This Row],[Active Nightfall]],-1,0)-1,0))</f>
        <v>0</v>
      </c>
      <c r="AP23" s="57">
        <f ca="1">IF(TblMagic[[#This Row],[Favorable Terrain]],12,IF(OFFSET(TblMagic[[#This Row],[Active Favorable Terrain]],-1,0)&gt;0,OFFSET(TblMagic[[#This Row],[Active Favorable Terrain]],-1,0)-1,0))</f>
        <v>0</v>
      </c>
      <c r="AQ23" s="57">
        <f ca="1">IF(TblMagic[[#This Row],[Infernal Command]],12,IF(OFFSET(TblMagic[[#This Row],[Active Infernal Command]],-1,0)&gt;0,OFFSET(TblMagic[[#This Row],[Active Infernal Command]],-1,0)-1,0))</f>
        <v>0</v>
      </c>
    </row>
    <row r="24" spans="1:43" hidden="1" x14ac:dyDescent="0.2">
      <c r="A24" s="137">
        <f>TblRezone[[#This Row],[Hour]]</f>
        <v>21</v>
      </c>
      <c r="B24" s="154">
        <f ca="1">TblConstr[[#This Row],[Land]]</f>
        <v>110</v>
      </c>
      <c r="C24" s="94">
        <f ca="1">TblProd[[#This Row],[Mana]]</f>
        <v>0</v>
      </c>
      <c r="D24" s="156">
        <f ca="1">MIN(1,OFFSET(TblMagic[[#This Row],[Wiz str]],-1,0)+0.04+ROUNDDOWN(10*OFFSET(TblMili[[#This Row],[WG''s]],-1,0),0)+ tech_2_7*OFFSET(TblTech[[#This Row],[2-7]],-1,0) + tech_5_6*OFFSET(TblTech[[#This Row],[5-6]],-1,0) )-TblMagic[[#This Row],[Wiz str cost]]</f>
        <v>1</v>
      </c>
      <c r="E24" s="159">
        <f ca="1">OFFSET(TblMagic[[#This Row],[Time]],-1,0)+1/24</f>
        <v>46047.833333333285</v>
      </c>
      <c r="F24" s="156">
        <f ca="1">TblImps[[#This Row],[Population]]</f>
        <v>0.86617100371747213</v>
      </c>
      <c r="G24" s="57"/>
      <c r="H24" s="57"/>
      <c r="I24" s="57"/>
      <c r="J24" s="57"/>
      <c r="K24" s="480"/>
      <c r="L24" s="57"/>
      <c r="M24" s="57"/>
      <c r="N24" s="57"/>
      <c r="O24" s="57"/>
      <c r="P24" s="57"/>
      <c r="Q24" s="57"/>
      <c r="R24" s="57"/>
      <c r="S24" s="57"/>
      <c r="T24" s="57"/>
      <c r="U24" s="57"/>
      <c r="V24" s="57"/>
      <c r="W24" s="57"/>
      <c r="X24" s="142"/>
      <c r="Y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4" s="156">
        <f>SUMIF(TblMagic[[#This Row],[Gaia''s Watch]:[Useless spell]],1)*0.05</f>
        <v>0</v>
      </c>
      <c r="AA24" s="142"/>
      <c r="AB24" s="57">
        <f ca="1">IF(TblMagic[[#This Row],[Gaia''s Watch]],12,IF(OFFSET(TblMagic[[#This Row],[Active Gaia''s Watch]],-1,0)&gt;0,OFFSET(TblMagic[[#This Row],[Active Gaia''s Watch]],-1,0)-1,0))</f>
        <v>0</v>
      </c>
      <c r="AC24" s="57">
        <f ca="1">IF(TblMagic[[#This Row],[Mining Strength]],12,IF(OFFSET(TblMagic[[#This Row],[Active Mining Strength]],-1,0)&gt;0,OFFSET(TblMagic[[#This Row],[Active Mining Strength]],-1,0)-1,0))</f>
        <v>0</v>
      </c>
      <c r="AD24" s="57">
        <f ca="1">IF(TblMagic[[#This Row],[Ares Call]],12,IF(OFFSET(TblMagic[[#This Row],[Active Ares Call]],-1,0)&gt;0,OFFSET(TblMagic[[#This Row],[Active Ares Call]],-1,0)-1,0))</f>
        <v>0</v>
      </c>
      <c r="AE24" s="57">
        <f ca="1">IF(TblMagic[[#This Row],[Midas Touch]],12,IF(OFFSET(TblMagic[[#This Row],[Active Midas Touch]],-1,0)&gt;0,OFFSET(TblMagic[[#This Row],[Active Midas Touch]],-1,0)-1,0))</f>
        <v>0</v>
      </c>
      <c r="AF24" s="57">
        <f ca="1">IF(TblMagic[[#This Row],[Harmony]],12,IF(OFFSET(TblMagic[[#This Row],[Active Harmony]],-1,0)&gt;0,OFFSET(TblMagic[[#This Row],[Active Harmony]],-1,0)-1,0))</f>
        <v>0</v>
      </c>
      <c r="AG24" s="57">
        <f ca="1">IF(TblMagic[[#This Row],[Miner''s Sight]],12,IF(OFFSET(TblMagic[[#This Row],[Active Miner''s Sight]],-1,0)&gt;0,OFFSET(TblMagic[[#This Row],[Active Miner''s Sight]],-1,0)-1,0))</f>
        <v>0</v>
      </c>
      <c r="AH24" s="57">
        <f ca="1">IF(TblMagic[[#This Row],[Mechanical Genius]],12,IF(OFFSET(TblMagic[[#This Row],[Active Mechanical Genius]],-1,0)&gt;0,OFFSET(TblMagic[[#This Row],[Active Mechanical Genius]],-1,0)-1,0))</f>
        <v>0</v>
      </c>
      <c r="AI24" s="57">
        <f ca="1">IF(TblMagic[[#This Row],[Death and Decay]],12,IF(OFFSET(TblMagic[[#This Row],[Active DnD]],-1,0)&gt;0,OFFSET(TblMagic[[#This Row],[Active DnD]],-1,0)-1,0))</f>
        <v>0</v>
      </c>
      <c r="AJ24" s="57">
        <f ca="1">IF(TblMagic[[#This Row],[Killing Rage / Bloodrage / Crusade]],12,IF(OFFSET(TblMagic[[#This Row],[Active Warsong / Killing Rage / Bloodrage]],-1,0)&gt;0,OFFSET(TblMagic[[#This Row],[Active Warsong / Killing Rage / Bloodrage]],-1,0)-1,0))</f>
        <v>0</v>
      </c>
      <c r="AK24" s="57">
        <f ca="1">IF(TblMagic[[#This Row],[Gaia''s Blessing]],12,IF(OFFSET(TblMagic[[#This Row],[Active Gaia''s Blessing]],-1,0)&gt;0,OFFSET(TblMagic[[#This Row],[Active Gaia''s Blessing]],-1,0)-1,0))</f>
        <v>0</v>
      </c>
      <c r="AL24" s="57">
        <f ca="1">IF(TblMagic[[#This Row],[Howling]],12,IF(OFFSET(TblMagic[[#This Row],[Active Howling]],-1,0)&gt;0,OFFSET(TblMagic[[#This Row],[Active Howling]],-1,0)-1,0))</f>
        <v>0</v>
      </c>
      <c r="AM24" s="57">
        <f ca="1">IF(TblMagic[[#This Row],[Alchemist Frost]],12,IF(OFFSET(TblMagic[[#This Row],[Active Alch Frost]],-1,0)&gt;0,OFFSET(TblMagic[[#This Row],[Active Alch Frost]],-1,0)-1,0))</f>
        <v>0</v>
      </c>
      <c r="AN24" s="57">
        <f ca="1">IF(TblMagic[[#This Row],[Alchemists Flame]],12,IF(OFFSET(TblMagic[[#This Row],[Active Alchemists Flame]],-1,0)&gt;0,OFFSET(TblMagic[[#This Row],[Active Alchemists Flame]],-1,0)-1,0))</f>
        <v>0</v>
      </c>
      <c r="AO24" s="57">
        <f ca="1">IF(TblMagic[[#This Row],[Nightfall]],12,IF(OFFSET(TblMagic[[#This Row],[Active Nightfall]],-1,0)&gt;0,OFFSET(TblMagic[[#This Row],[Active Nightfall]],-1,0)-1,0))</f>
        <v>0</v>
      </c>
      <c r="AP24" s="57">
        <f ca="1">IF(TblMagic[[#This Row],[Favorable Terrain]],12,IF(OFFSET(TblMagic[[#This Row],[Active Favorable Terrain]],-1,0)&gt;0,OFFSET(TblMagic[[#This Row],[Active Favorable Terrain]],-1,0)-1,0))</f>
        <v>0</v>
      </c>
      <c r="AQ24" s="57">
        <f ca="1">IF(TblMagic[[#This Row],[Infernal Command]],12,IF(OFFSET(TblMagic[[#This Row],[Active Infernal Command]],-1,0)&gt;0,OFFSET(TblMagic[[#This Row],[Active Infernal Command]],-1,0)-1,0))</f>
        <v>0</v>
      </c>
    </row>
    <row r="25" spans="1:43" hidden="1" x14ac:dyDescent="0.2">
      <c r="A25" s="137">
        <f>TblRezone[[#This Row],[Hour]]</f>
        <v>22</v>
      </c>
      <c r="B25" s="154">
        <f ca="1">TblConstr[[#This Row],[Land]]</f>
        <v>110</v>
      </c>
      <c r="C25" s="94">
        <f ca="1">TblProd[[#This Row],[Mana]]</f>
        <v>0</v>
      </c>
      <c r="D25" s="156">
        <f ca="1">MIN(1,OFFSET(TblMagic[[#This Row],[Wiz str]],-1,0)+0.04+ROUNDDOWN(10*OFFSET(TblMili[[#This Row],[WG''s]],-1,0),0)+ tech_2_7*OFFSET(TblTech[[#This Row],[2-7]],-1,0) + tech_5_6*OFFSET(TblTech[[#This Row],[5-6]],-1,0) )-TblMagic[[#This Row],[Wiz str cost]]</f>
        <v>1</v>
      </c>
      <c r="E25" s="159">
        <f ca="1">OFFSET(TblMagic[[#This Row],[Time]],-1,0)+1/24</f>
        <v>46047.874999999949</v>
      </c>
      <c r="F25" s="156">
        <f ca="1">TblImps[[#This Row],[Population]]</f>
        <v>0.88475836431226762</v>
      </c>
      <c r="G25" s="57"/>
      <c r="H25" s="57"/>
      <c r="I25" s="57"/>
      <c r="J25" s="57"/>
      <c r="K25" s="480"/>
      <c r="L25" s="57"/>
      <c r="M25" s="57"/>
      <c r="N25" s="57"/>
      <c r="O25" s="57"/>
      <c r="P25" s="57"/>
      <c r="Q25" s="57"/>
      <c r="R25" s="57"/>
      <c r="S25" s="57"/>
      <c r="T25" s="57"/>
      <c r="U25" s="57"/>
      <c r="V25" s="57"/>
      <c r="W25" s="57"/>
      <c r="X25" s="142"/>
      <c r="Y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5" s="156">
        <f>SUMIF(TblMagic[[#This Row],[Gaia''s Watch]:[Useless spell]],1)*0.05</f>
        <v>0</v>
      </c>
      <c r="AA25" s="142"/>
      <c r="AB25" s="57">
        <f ca="1">IF(TblMagic[[#This Row],[Gaia''s Watch]],12,IF(OFFSET(TblMagic[[#This Row],[Active Gaia''s Watch]],-1,0)&gt;0,OFFSET(TblMagic[[#This Row],[Active Gaia''s Watch]],-1,0)-1,0))</f>
        <v>0</v>
      </c>
      <c r="AC25" s="57">
        <f ca="1">IF(TblMagic[[#This Row],[Mining Strength]],12,IF(OFFSET(TblMagic[[#This Row],[Active Mining Strength]],-1,0)&gt;0,OFFSET(TblMagic[[#This Row],[Active Mining Strength]],-1,0)-1,0))</f>
        <v>0</v>
      </c>
      <c r="AD25" s="57">
        <f ca="1">IF(TblMagic[[#This Row],[Ares Call]],12,IF(OFFSET(TblMagic[[#This Row],[Active Ares Call]],-1,0)&gt;0,OFFSET(TblMagic[[#This Row],[Active Ares Call]],-1,0)-1,0))</f>
        <v>0</v>
      </c>
      <c r="AE25" s="57">
        <f ca="1">IF(TblMagic[[#This Row],[Midas Touch]],12,IF(OFFSET(TblMagic[[#This Row],[Active Midas Touch]],-1,0)&gt;0,OFFSET(TblMagic[[#This Row],[Active Midas Touch]],-1,0)-1,0))</f>
        <v>0</v>
      </c>
      <c r="AF25" s="57">
        <f ca="1">IF(TblMagic[[#This Row],[Harmony]],12,IF(OFFSET(TblMagic[[#This Row],[Active Harmony]],-1,0)&gt;0,OFFSET(TblMagic[[#This Row],[Active Harmony]],-1,0)-1,0))</f>
        <v>0</v>
      </c>
      <c r="AG25" s="57">
        <f ca="1">IF(TblMagic[[#This Row],[Miner''s Sight]],12,IF(OFFSET(TblMagic[[#This Row],[Active Miner''s Sight]],-1,0)&gt;0,OFFSET(TblMagic[[#This Row],[Active Miner''s Sight]],-1,0)-1,0))</f>
        <v>0</v>
      </c>
      <c r="AH25" s="57">
        <f ca="1">IF(TblMagic[[#This Row],[Mechanical Genius]],12,IF(OFFSET(TblMagic[[#This Row],[Active Mechanical Genius]],-1,0)&gt;0,OFFSET(TblMagic[[#This Row],[Active Mechanical Genius]],-1,0)-1,0))</f>
        <v>0</v>
      </c>
      <c r="AI25" s="57">
        <f ca="1">IF(TblMagic[[#This Row],[Death and Decay]],12,IF(OFFSET(TblMagic[[#This Row],[Active DnD]],-1,0)&gt;0,OFFSET(TblMagic[[#This Row],[Active DnD]],-1,0)-1,0))</f>
        <v>0</v>
      </c>
      <c r="AJ25" s="57">
        <f ca="1">IF(TblMagic[[#This Row],[Killing Rage / Bloodrage / Crusade]],12,IF(OFFSET(TblMagic[[#This Row],[Active Warsong / Killing Rage / Bloodrage]],-1,0)&gt;0,OFFSET(TblMagic[[#This Row],[Active Warsong / Killing Rage / Bloodrage]],-1,0)-1,0))</f>
        <v>0</v>
      </c>
      <c r="AK25" s="57">
        <f ca="1">IF(TblMagic[[#This Row],[Gaia''s Blessing]],12,IF(OFFSET(TblMagic[[#This Row],[Active Gaia''s Blessing]],-1,0)&gt;0,OFFSET(TblMagic[[#This Row],[Active Gaia''s Blessing]],-1,0)-1,0))</f>
        <v>0</v>
      </c>
      <c r="AL25" s="57">
        <f ca="1">IF(TblMagic[[#This Row],[Howling]],12,IF(OFFSET(TblMagic[[#This Row],[Active Howling]],-1,0)&gt;0,OFFSET(TblMagic[[#This Row],[Active Howling]],-1,0)-1,0))</f>
        <v>0</v>
      </c>
      <c r="AM25" s="57">
        <f ca="1">IF(TblMagic[[#This Row],[Alchemist Frost]],12,IF(OFFSET(TblMagic[[#This Row],[Active Alch Frost]],-1,0)&gt;0,OFFSET(TblMagic[[#This Row],[Active Alch Frost]],-1,0)-1,0))</f>
        <v>0</v>
      </c>
      <c r="AN25" s="57">
        <f ca="1">IF(TblMagic[[#This Row],[Alchemists Flame]],12,IF(OFFSET(TblMagic[[#This Row],[Active Alchemists Flame]],-1,0)&gt;0,OFFSET(TblMagic[[#This Row],[Active Alchemists Flame]],-1,0)-1,0))</f>
        <v>0</v>
      </c>
      <c r="AO25" s="57">
        <f ca="1">IF(TblMagic[[#This Row],[Nightfall]],12,IF(OFFSET(TblMagic[[#This Row],[Active Nightfall]],-1,0)&gt;0,OFFSET(TblMagic[[#This Row],[Active Nightfall]],-1,0)-1,0))</f>
        <v>0</v>
      </c>
      <c r="AP25" s="57">
        <f ca="1">IF(TblMagic[[#This Row],[Favorable Terrain]],12,IF(OFFSET(TblMagic[[#This Row],[Active Favorable Terrain]],-1,0)&gt;0,OFFSET(TblMagic[[#This Row],[Active Favorable Terrain]],-1,0)-1,0))</f>
        <v>0</v>
      </c>
      <c r="AQ25" s="57">
        <f ca="1">IF(TblMagic[[#This Row],[Infernal Command]],12,IF(OFFSET(TblMagic[[#This Row],[Active Infernal Command]],-1,0)&gt;0,OFFSET(TblMagic[[#This Row],[Active Infernal Command]],-1,0)-1,0))</f>
        <v>0</v>
      </c>
    </row>
    <row r="26" spans="1:43" hidden="1" x14ac:dyDescent="0.2">
      <c r="A26" s="137">
        <f>TblRezone[[#This Row],[Hour]]</f>
        <v>23</v>
      </c>
      <c r="B26" s="154">
        <f ca="1">TblConstr[[#This Row],[Land]]</f>
        <v>110</v>
      </c>
      <c r="C26" s="94">
        <f ca="1">TblProd[[#This Row],[Mana]]</f>
        <v>0</v>
      </c>
      <c r="D26" s="156">
        <f ca="1">MIN(1,OFFSET(TblMagic[[#This Row],[Wiz str]],-1,0)+0.04+ROUNDDOWN(10*OFFSET(TblMili[[#This Row],[WG''s]],-1,0),0)+ tech_2_7*OFFSET(TblTech[[#This Row],[2-7]],-1,0) + tech_5_6*OFFSET(TblTech[[#This Row],[5-6]],-1,0) )-TblMagic[[#This Row],[Wiz str cost]]</f>
        <v>1</v>
      </c>
      <c r="E26" s="159">
        <f ca="1">OFFSET(TblMagic[[#This Row],[Time]],-1,0)+1/24</f>
        <v>46047.916666666613</v>
      </c>
      <c r="F26" s="156">
        <f ca="1">TblImps[[#This Row],[Population]]</f>
        <v>0.90334572490706322</v>
      </c>
      <c r="G26" s="57"/>
      <c r="H26" s="57"/>
      <c r="I26" s="57"/>
      <c r="J26" s="57"/>
      <c r="K26" s="480"/>
      <c r="L26" s="57"/>
      <c r="M26" s="57"/>
      <c r="N26" s="57"/>
      <c r="O26" s="57"/>
      <c r="P26" s="57"/>
      <c r="Q26" s="57"/>
      <c r="R26" s="57"/>
      <c r="S26" s="57"/>
      <c r="T26" s="57"/>
      <c r="U26" s="57"/>
      <c r="V26" s="57"/>
      <c r="W26" s="57"/>
      <c r="X26" s="142"/>
      <c r="Y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6" s="156">
        <f>SUMIF(TblMagic[[#This Row],[Gaia''s Watch]:[Useless spell]],1)*0.05</f>
        <v>0</v>
      </c>
      <c r="AA26" s="142"/>
      <c r="AB26" s="57">
        <f ca="1">IF(TblMagic[[#This Row],[Gaia''s Watch]],12,IF(OFFSET(TblMagic[[#This Row],[Active Gaia''s Watch]],-1,0)&gt;0,OFFSET(TblMagic[[#This Row],[Active Gaia''s Watch]],-1,0)-1,0))</f>
        <v>0</v>
      </c>
      <c r="AC26" s="57">
        <f ca="1">IF(TblMagic[[#This Row],[Mining Strength]],12,IF(OFFSET(TblMagic[[#This Row],[Active Mining Strength]],-1,0)&gt;0,OFFSET(TblMagic[[#This Row],[Active Mining Strength]],-1,0)-1,0))</f>
        <v>0</v>
      </c>
      <c r="AD26" s="57">
        <f ca="1">IF(TblMagic[[#This Row],[Ares Call]],12,IF(OFFSET(TblMagic[[#This Row],[Active Ares Call]],-1,0)&gt;0,OFFSET(TblMagic[[#This Row],[Active Ares Call]],-1,0)-1,0))</f>
        <v>0</v>
      </c>
      <c r="AE26" s="57">
        <f ca="1">IF(TblMagic[[#This Row],[Midas Touch]],12,IF(OFFSET(TblMagic[[#This Row],[Active Midas Touch]],-1,0)&gt;0,OFFSET(TblMagic[[#This Row],[Active Midas Touch]],-1,0)-1,0))</f>
        <v>0</v>
      </c>
      <c r="AF26" s="57">
        <f ca="1">IF(TblMagic[[#This Row],[Harmony]],12,IF(OFFSET(TblMagic[[#This Row],[Active Harmony]],-1,0)&gt;0,OFFSET(TblMagic[[#This Row],[Active Harmony]],-1,0)-1,0))</f>
        <v>0</v>
      </c>
      <c r="AG26" s="57">
        <f ca="1">IF(TblMagic[[#This Row],[Miner''s Sight]],12,IF(OFFSET(TblMagic[[#This Row],[Active Miner''s Sight]],-1,0)&gt;0,OFFSET(TblMagic[[#This Row],[Active Miner''s Sight]],-1,0)-1,0))</f>
        <v>0</v>
      </c>
      <c r="AH26" s="57">
        <f ca="1">IF(TblMagic[[#This Row],[Mechanical Genius]],12,IF(OFFSET(TblMagic[[#This Row],[Active Mechanical Genius]],-1,0)&gt;0,OFFSET(TblMagic[[#This Row],[Active Mechanical Genius]],-1,0)-1,0))</f>
        <v>0</v>
      </c>
      <c r="AI26" s="57">
        <f ca="1">IF(TblMagic[[#This Row],[Death and Decay]],12,IF(OFFSET(TblMagic[[#This Row],[Active DnD]],-1,0)&gt;0,OFFSET(TblMagic[[#This Row],[Active DnD]],-1,0)-1,0))</f>
        <v>0</v>
      </c>
      <c r="AJ26" s="57">
        <f ca="1">IF(TblMagic[[#This Row],[Killing Rage / Bloodrage / Crusade]],12,IF(OFFSET(TblMagic[[#This Row],[Active Warsong / Killing Rage / Bloodrage]],-1,0)&gt;0,OFFSET(TblMagic[[#This Row],[Active Warsong / Killing Rage / Bloodrage]],-1,0)-1,0))</f>
        <v>0</v>
      </c>
      <c r="AK26" s="57">
        <f ca="1">IF(TblMagic[[#This Row],[Gaia''s Blessing]],12,IF(OFFSET(TblMagic[[#This Row],[Active Gaia''s Blessing]],-1,0)&gt;0,OFFSET(TblMagic[[#This Row],[Active Gaia''s Blessing]],-1,0)-1,0))</f>
        <v>0</v>
      </c>
      <c r="AL26" s="57">
        <f ca="1">IF(TblMagic[[#This Row],[Howling]],12,IF(OFFSET(TblMagic[[#This Row],[Active Howling]],-1,0)&gt;0,OFFSET(TblMagic[[#This Row],[Active Howling]],-1,0)-1,0))</f>
        <v>0</v>
      </c>
      <c r="AM26" s="57">
        <f ca="1">IF(TblMagic[[#This Row],[Alchemist Frost]],12,IF(OFFSET(TblMagic[[#This Row],[Active Alch Frost]],-1,0)&gt;0,OFFSET(TblMagic[[#This Row],[Active Alch Frost]],-1,0)-1,0))</f>
        <v>0</v>
      </c>
      <c r="AN26" s="57">
        <f ca="1">IF(TblMagic[[#This Row],[Alchemists Flame]],12,IF(OFFSET(TblMagic[[#This Row],[Active Alchemists Flame]],-1,0)&gt;0,OFFSET(TblMagic[[#This Row],[Active Alchemists Flame]],-1,0)-1,0))</f>
        <v>0</v>
      </c>
      <c r="AO26" s="57">
        <f ca="1">IF(TblMagic[[#This Row],[Nightfall]],12,IF(OFFSET(TblMagic[[#This Row],[Active Nightfall]],-1,0)&gt;0,OFFSET(TblMagic[[#This Row],[Active Nightfall]],-1,0)-1,0))</f>
        <v>0</v>
      </c>
      <c r="AP26" s="57">
        <f ca="1">IF(TblMagic[[#This Row],[Favorable Terrain]],12,IF(OFFSET(TblMagic[[#This Row],[Active Favorable Terrain]],-1,0)&gt;0,OFFSET(TblMagic[[#This Row],[Active Favorable Terrain]],-1,0)-1,0))</f>
        <v>0</v>
      </c>
      <c r="AQ26" s="57">
        <f ca="1">IF(TblMagic[[#This Row],[Infernal Command]],12,IF(OFFSET(TblMagic[[#This Row],[Active Infernal Command]],-1,0)&gt;0,OFFSET(TblMagic[[#This Row],[Active Infernal Command]],-1,0)-1,0))</f>
        <v>0</v>
      </c>
    </row>
    <row r="27" spans="1:43" hidden="1" x14ac:dyDescent="0.2">
      <c r="A27" s="137">
        <f>TblRezone[[#This Row],[Hour]]</f>
        <v>24</v>
      </c>
      <c r="B27" s="154">
        <f ca="1">TblConstr[[#This Row],[Land]]</f>
        <v>110</v>
      </c>
      <c r="C27" s="94">
        <f ca="1">TblProd[[#This Row],[Mana]]</f>
        <v>0</v>
      </c>
      <c r="D27" s="156">
        <f ca="1">MIN(1,OFFSET(TblMagic[[#This Row],[Wiz str]],-1,0)+0.04+ROUNDDOWN(10*OFFSET(TblMili[[#This Row],[WG''s]],-1,0),0)+ tech_2_7*OFFSET(TblTech[[#This Row],[2-7]],-1,0) + tech_5_6*OFFSET(TblTech[[#This Row],[5-6]],-1,0) )-TblMagic[[#This Row],[Wiz str cost]]</f>
        <v>1</v>
      </c>
      <c r="E27" s="159">
        <f ca="1">OFFSET(TblMagic[[#This Row],[Time]],-1,0)+1/24</f>
        <v>46047.958333333278</v>
      </c>
      <c r="F27" s="156">
        <f ca="1">TblImps[[#This Row],[Population]]</f>
        <v>0.92286245353159846</v>
      </c>
      <c r="G27" s="57"/>
      <c r="H27" s="57"/>
      <c r="I27" s="57"/>
      <c r="J27" s="57"/>
      <c r="K27" s="480"/>
      <c r="L27" s="57"/>
      <c r="M27" s="57"/>
      <c r="N27" s="57"/>
      <c r="O27" s="57"/>
      <c r="P27" s="57"/>
      <c r="Q27" s="57"/>
      <c r="R27" s="57"/>
      <c r="S27" s="57"/>
      <c r="T27" s="57"/>
      <c r="U27" s="57"/>
      <c r="V27" s="57"/>
      <c r="W27" s="57"/>
      <c r="X27" s="142"/>
      <c r="Y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7" s="156">
        <f>SUMIF(TblMagic[[#This Row],[Gaia''s Watch]:[Useless spell]],1)*0.05</f>
        <v>0</v>
      </c>
      <c r="AA27" s="142"/>
      <c r="AB27" s="57">
        <f ca="1">IF(TblMagic[[#This Row],[Gaia''s Watch]],12,IF(OFFSET(TblMagic[[#This Row],[Active Gaia''s Watch]],-1,0)&gt;0,OFFSET(TblMagic[[#This Row],[Active Gaia''s Watch]],-1,0)-1,0))</f>
        <v>0</v>
      </c>
      <c r="AC27" s="57">
        <f ca="1">IF(TblMagic[[#This Row],[Mining Strength]],12,IF(OFFSET(TblMagic[[#This Row],[Active Mining Strength]],-1,0)&gt;0,OFFSET(TblMagic[[#This Row],[Active Mining Strength]],-1,0)-1,0))</f>
        <v>0</v>
      </c>
      <c r="AD27" s="57">
        <f ca="1">IF(TblMagic[[#This Row],[Ares Call]],12,IF(OFFSET(TblMagic[[#This Row],[Active Ares Call]],-1,0)&gt;0,OFFSET(TblMagic[[#This Row],[Active Ares Call]],-1,0)-1,0))</f>
        <v>0</v>
      </c>
      <c r="AE27" s="57">
        <f ca="1">IF(TblMagic[[#This Row],[Midas Touch]],12,IF(OFFSET(TblMagic[[#This Row],[Active Midas Touch]],-1,0)&gt;0,OFFSET(TblMagic[[#This Row],[Active Midas Touch]],-1,0)-1,0))</f>
        <v>0</v>
      </c>
      <c r="AF27" s="57">
        <f ca="1">IF(TblMagic[[#This Row],[Harmony]],12,IF(OFFSET(TblMagic[[#This Row],[Active Harmony]],-1,0)&gt;0,OFFSET(TblMagic[[#This Row],[Active Harmony]],-1,0)-1,0))</f>
        <v>0</v>
      </c>
      <c r="AG27" s="57">
        <f ca="1">IF(TblMagic[[#This Row],[Miner''s Sight]],12,IF(OFFSET(TblMagic[[#This Row],[Active Miner''s Sight]],-1,0)&gt;0,OFFSET(TblMagic[[#This Row],[Active Miner''s Sight]],-1,0)-1,0))</f>
        <v>0</v>
      </c>
      <c r="AH27" s="57">
        <f ca="1">IF(TblMagic[[#This Row],[Mechanical Genius]],12,IF(OFFSET(TblMagic[[#This Row],[Active Mechanical Genius]],-1,0)&gt;0,OFFSET(TblMagic[[#This Row],[Active Mechanical Genius]],-1,0)-1,0))</f>
        <v>0</v>
      </c>
      <c r="AI27" s="57">
        <f ca="1">IF(TblMagic[[#This Row],[Death and Decay]],12,IF(OFFSET(TblMagic[[#This Row],[Active DnD]],-1,0)&gt;0,OFFSET(TblMagic[[#This Row],[Active DnD]],-1,0)-1,0))</f>
        <v>0</v>
      </c>
      <c r="AJ27" s="57">
        <f ca="1">IF(TblMagic[[#This Row],[Killing Rage / Bloodrage / Crusade]],12,IF(OFFSET(TblMagic[[#This Row],[Active Warsong / Killing Rage / Bloodrage]],-1,0)&gt;0,OFFSET(TblMagic[[#This Row],[Active Warsong / Killing Rage / Bloodrage]],-1,0)-1,0))</f>
        <v>0</v>
      </c>
      <c r="AK27" s="57">
        <f ca="1">IF(TblMagic[[#This Row],[Gaia''s Blessing]],12,IF(OFFSET(TblMagic[[#This Row],[Active Gaia''s Blessing]],-1,0)&gt;0,OFFSET(TblMagic[[#This Row],[Active Gaia''s Blessing]],-1,0)-1,0))</f>
        <v>0</v>
      </c>
      <c r="AL27" s="57">
        <f ca="1">IF(TblMagic[[#This Row],[Howling]],12,IF(OFFSET(TblMagic[[#This Row],[Active Howling]],-1,0)&gt;0,OFFSET(TblMagic[[#This Row],[Active Howling]],-1,0)-1,0))</f>
        <v>0</v>
      </c>
      <c r="AM27" s="57">
        <f ca="1">IF(TblMagic[[#This Row],[Alchemist Frost]],12,IF(OFFSET(TblMagic[[#This Row],[Active Alch Frost]],-1,0)&gt;0,OFFSET(TblMagic[[#This Row],[Active Alch Frost]],-1,0)-1,0))</f>
        <v>0</v>
      </c>
      <c r="AN27" s="57">
        <f ca="1">IF(TblMagic[[#This Row],[Alchemists Flame]],12,IF(OFFSET(TblMagic[[#This Row],[Active Alchemists Flame]],-1,0)&gt;0,OFFSET(TblMagic[[#This Row],[Active Alchemists Flame]],-1,0)-1,0))</f>
        <v>0</v>
      </c>
      <c r="AO27" s="57">
        <f ca="1">IF(TblMagic[[#This Row],[Nightfall]],12,IF(OFFSET(TblMagic[[#This Row],[Active Nightfall]],-1,0)&gt;0,OFFSET(TblMagic[[#This Row],[Active Nightfall]],-1,0)-1,0))</f>
        <v>0</v>
      </c>
      <c r="AP27" s="57">
        <f ca="1">IF(TblMagic[[#This Row],[Favorable Terrain]],12,IF(OFFSET(TblMagic[[#This Row],[Active Favorable Terrain]],-1,0)&gt;0,OFFSET(TblMagic[[#This Row],[Active Favorable Terrain]],-1,0)-1,0))</f>
        <v>0</v>
      </c>
      <c r="AQ27" s="57">
        <f ca="1">IF(TblMagic[[#This Row],[Infernal Command]],12,IF(OFFSET(TblMagic[[#This Row],[Active Infernal Command]],-1,0)&gt;0,OFFSET(TblMagic[[#This Row],[Active Infernal Command]],-1,0)-1,0))</f>
        <v>0</v>
      </c>
    </row>
    <row r="28" spans="1:43" x14ac:dyDescent="0.2">
      <c r="A28" s="137">
        <f>TblRezone[[#This Row],[Hour]]</f>
        <v>25</v>
      </c>
      <c r="B28" s="154">
        <f ca="1">TblConstr[[#This Row],[Land]]</f>
        <v>110</v>
      </c>
      <c r="C28" s="94">
        <f ca="1">TblProd[[#This Row],[Mana]]</f>
        <v>0</v>
      </c>
      <c r="D28" s="156">
        <f ca="1">MIN(1,OFFSET(TblMagic[[#This Row],[Wiz str]],-1,0)+0.04+ROUNDDOWN(10*OFFSET(TblMili[[#This Row],[WG''s]],-1,0),0)+ tech_2_7*OFFSET(TblTech[[#This Row],[2-7]],-1,0) + tech_5_6*OFFSET(TblTech[[#This Row],[5-6]],-1,0) )-TblMagic[[#This Row],[Wiz str cost]]</f>
        <v>1</v>
      </c>
      <c r="E28" s="159">
        <f ca="1">OFFSET(TblMagic[[#This Row],[Time]],-1,0)+1/24</f>
        <v>46047.999999999942</v>
      </c>
      <c r="F28" s="156">
        <f ca="1">TblImps[[#This Row],[Population]]</f>
        <v>0.94237918215613381</v>
      </c>
      <c r="G28" s="218"/>
      <c r="H28" s="218"/>
      <c r="I28" s="218"/>
      <c r="J28" s="218"/>
      <c r="K28" s="405"/>
      <c r="L28" s="218"/>
      <c r="M28" s="218"/>
      <c r="N28" s="218"/>
      <c r="O28" s="218"/>
      <c r="P28" s="218"/>
      <c r="Q28" s="218"/>
      <c r="R28" s="218"/>
      <c r="S28" s="218"/>
      <c r="T28" s="218"/>
      <c r="U28" s="218"/>
      <c r="V28" s="218"/>
      <c r="W28" s="218"/>
      <c r="X28" s="142"/>
      <c r="Y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8" s="156">
        <f>SUMIF(TblMagic[[#This Row],[Gaia''s Watch]:[Useless spell]],1)*0.05</f>
        <v>0</v>
      </c>
      <c r="AA28" s="142"/>
      <c r="AB28" s="57">
        <f ca="1">IF(TblMagic[[#This Row],[Gaia''s Watch]],12,IF(OFFSET(TblMagic[[#This Row],[Active Gaia''s Watch]],-1,0)&gt;0,OFFSET(TblMagic[[#This Row],[Active Gaia''s Watch]],-1,0)-1,0))</f>
        <v>0</v>
      </c>
      <c r="AC28" s="57">
        <f ca="1">IF(TblMagic[[#This Row],[Mining Strength]],12,IF(OFFSET(TblMagic[[#This Row],[Active Mining Strength]],-1,0)&gt;0,OFFSET(TblMagic[[#This Row],[Active Mining Strength]],-1,0)-1,0))</f>
        <v>0</v>
      </c>
      <c r="AD28" s="57">
        <f ca="1">IF(TblMagic[[#This Row],[Ares Call]],12,IF(OFFSET(TblMagic[[#This Row],[Active Ares Call]],-1,0)&gt;0,OFFSET(TblMagic[[#This Row],[Active Ares Call]],-1,0)-1,0))</f>
        <v>0</v>
      </c>
      <c r="AE28" s="57">
        <f ca="1">IF(TblMagic[[#This Row],[Midas Touch]],12,IF(OFFSET(TblMagic[[#This Row],[Active Midas Touch]],-1,0)&gt;0,OFFSET(TblMagic[[#This Row],[Active Midas Touch]],-1,0)-1,0))</f>
        <v>0</v>
      </c>
      <c r="AF28" s="57">
        <f ca="1">IF(TblMagic[[#This Row],[Harmony]],12,IF(OFFSET(TblMagic[[#This Row],[Active Harmony]],-1,0)&gt;0,OFFSET(TblMagic[[#This Row],[Active Harmony]],-1,0)-1,0))</f>
        <v>0</v>
      </c>
      <c r="AG28" s="57">
        <f ca="1">IF(TblMagic[[#This Row],[Miner''s Sight]],12,IF(OFFSET(TblMagic[[#This Row],[Active Miner''s Sight]],-1,0)&gt;0,OFFSET(TblMagic[[#This Row],[Active Miner''s Sight]],-1,0)-1,0))</f>
        <v>0</v>
      </c>
      <c r="AH28" s="57">
        <f ca="1">IF(TblMagic[[#This Row],[Mechanical Genius]],12,IF(OFFSET(TblMagic[[#This Row],[Active Mechanical Genius]],-1,0)&gt;0,OFFSET(TblMagic[[#This Row],[Active Mechanical Genius]],-1,0)-1,0))</f>
        <v>0</v>
      </c>
      <c r="AI28" s="57">
        <f ca="1">IF(TblMagic[[#This Row],[Death and Decay]],12,IF(OFFSET(TblMagic[[#This Row],[Active DnD]],-1,0)&gt;0,OFFSET(TblMagic[[#This Row],[Active DnD]],-1,0)-1,0))</f>
        <v>0</v>
      </c>
      <c r="AJ28" s="57">
        <f ca="1">IF(TblMagic[[#This Row],[Killing Rage / Bloodrage / Crusade]],12,IF(OFFSET(TblMagic[[#This Row],[Active Warsong / Killing Rage / Bloodrage]],-1,0)&gt;0,OFFSET(TblMagic[[#This Row],[Active Warsong / Killing Rage / Bloodrage]],-1,0)-1,0))</f>
        <v>0</v>
      </c>
      <c r="AK28" s="57">
        <f ca="1">IF(TblMagic[[#This Row],[Gaia''s Blessing]],12,IF(OFFSET(TblMagic[[#This Row],[Active Gaia''s Blessing]],-1,0)&gt;0,OFFSET(TblMagic[[#This Row],[Active Gaia''s Blessing]],-1,0)-1,0))</f>
        <v>0</v>
      </c>
      <c r="AL28" s="57">
        <f ca="1">IF(TblMagic[[#This Row],[Howling]],12,IF(OFFSET(TblMagic[[#This Row],[Active Howling]],-1,0)&gt;0,OFFSET(TblMagic[[#This Row],[Active Howling]],-1,0)-1,0))</f>
        <v>0</v>
      </c>
      <c r="AM28" s="57">
        <f ca="1">IF(TblMagic[[#This Row],[Alchemist Frost]],12,IF(OFFSET(TblMagic[[#This Row],[Active Alch Frost]],-1,0)&gt;0,OFFSET(TblMagic[[#This Row],[Active Alch Frost]],-1,0)-1,0))</f>
        <v>0</v>
      </c>
      <c r="AN28" s="57">
        <f ca="1">IF(TblMagic[[#This Row],[Alchemists Flame]],12,IF(OFFSET(TblMagic[[#This Row],[Active Alchemists Flame]],-1,0)&gt;0,OFFSET(TblMagic[[#This Row],[Active Alchemists Flame]],-1,0)-1,0))</f>
        <v>0</v>
      </c>
      <c r="AO28" s="57">
        <f ca="1">IF(TblMagic[[#This Row],[Nightfall]],12,IF(OFFSET(TblMagic[[#This Row],[Active Nightfall]],-1,0)&gt;0,OFFSET(TblMagic[[#This Row],[Active Nightfall]],-1,0)-1,0))</f>
        <v>0</v>
      </c>
      <c r="AP28" s="57">
        <f ca="1">IF(TblMagic[[#This Row],[Favorable Terrain]],12,IF(OFFSET(TblMagic[[#This Row],[Active Favorable Terrain]],-1,0)&gt;0,OFFSET(TblMagic[[#This Row],[Active Favorable Terrain]],-1,0)-1,0))</f>
        <v>0</v>
      </c>
      <c r="AQ28" s="57">
        <f ca="1">IF(TblMagic[[#This Row],[Infernal Command]],12,IF(OFFSET(TblMagic[[#This Row],[Active Infernal Command]],-1,0)&gt;0,OFFSET(TblMagic[[#This Row],[Active Infernal Command]],-1,0)-1,0))</f>
        <v>0</v>
      </c>
    </row>
    <row r="29" spans="1:43" x14ac:dyDescent="0.2">
      <c r="A29" s="137">
        <f>TblRezone[[#This Row],[Hour]]</f>
        <v>26</v>
      </c>
      <c r="B29" s="154">
        <f ca="1">TblConstr[[#This Row],[Land]]</f>
        <v>110</v>
      </c>
      <c r="C29" s="94">
        <f ca="1">TblProd[[#This Row],[Mana]]</f>
        <v>0</v>
      </c>
      <c r="D29" s="156">
        <f ca="1">MIN(1,OFFSET(TblMagic[[#This Row],[Wiz str]],-1,0)+0.04+ROUNDDOWN(10*OFFSET(TblMili[[#This Row],[WG''s]],-1,0),0)+ tech_2_7*OFFSET(TblTech[[#This Row],[2-7]],-1,0) + tech_5_6*OFFSET(TblTech[[#This Row],[5-6]],-1,0) )-TblMagic[[#This Row],[Wiz str cost]]</f>
        <v>1</v>
      </c>
      <c r="E29" s="159">
        <f ca="1">OFFSET(TblMagic[[#This Row],[Time]],-1,0)+1/24</f>
        <v>46048.041666666606</v>
      </c>
      <c r="F29" s="156">
        <f ca="1">TblImps[[#This Row],[Population]]</f>
        <v>0.96282527881040891</v>
      </c>
      <c r="G29" s="218"/>
      <c r="H29" s="218"/>
      <c r="I29" s="218"/>
      <c r="J29" s="218"/>
      <c r="K29" s="405"/>
      <c r="L29" s="218"/>
      <c r="M29" s="218"/>
      <c r="N29" s="218"/>
      <c r="O29" s="218"/>
      <c r="P29" s="218"/>
      <c r="Q29" s="218"/>
      <c r="R29" s="218"/>
      <c r="S29" s="218"/>
      <c r="T29" s="218"/>
      <c r="U29" s="218"/>
      <c r="V29" s="218"/>
      <c r="W29" s="218"/>
      <c r="X29" s="142"/>
      <c r="Y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29" s="156">
        <f>SUMIF(TblMagic[[#This Row],[Gaia''s Watch]:[Useless spell]],1)*0.05</f>
        <v>0</v>
      </c>
      <c r="AA29" s="142"/>
      <c r="AB29" s="57">
        <f ca="1">IF(TblMagic[[#This Row],[Gaia''s Watch]],12,IF(OFFSET(TblMagic[[#This Row],[Active Gaia''s Watch]],-1,0)&gt;0,OFFSET(TblMagic[[#This Row],[Active Gaia''s Watch]],-1,0)-1,0))</f>
        <v>0</v>
      </c>
      <c r="AC29" s="57">
        <f ca="1">IF(TblMagic[[#This Row],[Mining Strength]],12,IF(OFFSET(TblMagic[[#This Row],[Active Mining Strength]],-1,0)&gt;0,OFFSET(TblMagic[[#This Row],[Active Mining Strength]],-1,0)-1,0))</f>
        <v>0</v>
      </c>
      <c r="AD29" s="57">
        <f ca="1">IF(TblMagic[[#This Row],[Ares Call]],12,IF(OFFSET(TblMagic[[#This Row],[Active Ares Call]],-1,0)&gt;0,OFFSET(TblMagic[[#This Row],[Active Ares Call]],-1,0)-1,0))</f>
        <v>0</v>
      </c>
      <c r="AE29" s="57">
        <f ca="1">IF(TblMagic[[#This Row],[Midas Touch]],12,IF(OFFSET(TblMagic[[#This Row],[Active Midas Touch]],-1,0)&gt;0,OFFSET(TblMagic[[#This Row],[Active Midas Touch]],-1,0)-1,0))</f>
        <v>0</v>
      </c>
      <c r="AF29" s="57">
        <f ca="1">IF(TblMagic[[#This Row],[Harmony]],12,IF(OFFSET(TblMagic[[#This Row],[Active Harmony]],-1,0)&gt;0,OFFSET(TblMagic[[#This Row],[Active Harmony]],-1,0)-1,0))</f>
        <v>0</v>
      </c>
      <c r="AG29" s="57">
        <f ca="1">IF(TblMagic[[#This Row],[Miner''s Sight]],12,IF(OFFSET(TblMagic[[#This Row],[Active Miner''s Sight]],-1,0)&gt;0,OFFSET(TblMagic[[#This Row],[Active Miner''s Sight]],-1,0)-1,0))</f>
        <v>0</v>
      </c>
      <c r="AH29" s="57">
        <f ca="1">IF(TblMagic[[#This Row],[Mechanical Genius]],12,IF(OFFSET(TblMagic[[#This Row],[Active Mechanical Genius]],-1,0)&gt;0,OFFSET(TblMagic[[#This Row],[Active Mechanical Genius]],-1,0)-1,0))</f>
        <v>0</v>
      </c>
      <c r="AI29" s="57">
        <f ca="1">IF(TblMagic[[#This Row],[Death and Decay]],12,IF(OFFSET(TblMagic[[#This Row],[Active DnD]],-1,0)&gt;0,OFFSET(TblMagic[[#This Row],[Active DnD]],-1,0)-1,0))</f>
        <v>0</v>
      </c>
      <c r="AJ29" s="57">
        <f ca="1">IF(TblMagic[[#This Row],[Killing Rage / Bloodrage / Crusade]],12,IF(OFFSET(TblMagic[[#This Row],[Active Warsong / Killing Rage / Bloodrage]],-1,0)&gt;0,OFFSET(TblMagic[[#This Row],[Active Warsong / Killing Rage / Bloodrage]],-1,0)-1,0))</f>
        <v>0</v>
      </c>
      <c r="AK29" s="57">
        <f ca="1">IF(TblMagic[[#This Row],[Gaia''s Blessing]],12,IF(OFFSET(TblMagic[[#This Row],[Active Gaia''s Blessing]],-1,0)&gt;0,OFFSET(TblMagic[[#This Row],[Active Gaia''s Blessing]],-1,0)-1,0))</f>
        <v>0</v>
      </c>
      <c r="AL29" s="57">
        <f ca="1">IF(TblMagic[[#This Row],[Howling]],12,IF(OFFSET(TblMagic[[#This Row],[Active Howling]],-1,0)&gt;0,OFFSET(TblMagic[[#This Row],[Active Howling]],-1,0)-1,0))</f>
        <v>0</v>
      </c>
      <c r="AM29" s="57">
        <f ca="1">IF(TblMagic[[#This Row],[Alchemist Frost]],12,IF(OFFSET(TblMagic[[#This Row],[Active Alch Frost]],-1,0)&gt;0,OFFSET(TblMagic[[#This Row],[Active Alch Frost]],-1,0)-1,0))</f>
        <v>0</v>
      </c>
      <c r="AN29" s="57">
        <f ca="1">IF(TblMagic[[#This Row],[Alchemists Flame]],12,IF(OFFSET(TblMagic[[#This Row],[Active Alchemists Flame]],-1,0)&gt;0,OFFSET(TblMagic[[#This Row],[Active Alchemists Flame]],-1,0)-1,0))</f>
        <v>0</v>
      </c>
      <c r="AO29" s="57">
        <f ca="1">IF(TblMagic[[#This Row],[Nightfall]],12,IF(OFFSET(TblMagic[[#This Row],[Active Nightfall]],-1,0)&gt;0,OFFSET(TblMagic[[#This Row],[Active Nightfall]],-1,0)-1,0))</f>
        <v>0</v>
      </c>
      <c r="AP29" s="57">
        <f ca="1">IF(TblMagic[[#This Row],[Favorable Terrain]],12,IF(OFFSET(TblMagic[[#This Row],[Active Favorable Terrain]],-1,0)&gt;0,OFFSET(TblMagic[[#This Row],[Active Favorable Terrain]],-1,0)-1,0))</f>
        <v>0</v>
      </c>
      <c r="AQ29" s="57">
        <f ca="1">IF(TblMagic[[#This Row],[Infernal Command]],12,IF(OFFSET(TblMagic[[#This Row],[Active Infernal Command]],-1,0)&gt;0,OFFSET(TblMagic[[#This Row],[Active Infernal Command]],-1,0)-1,0))</f>
        <v>0</v>
      </c>
    </row>
    <row r="30" spans="1:43" x14ac:dyDescent="0.2">
      <c r="A30" s="137">
        <f>TblRezone[[#This Row],[Hour]]</f>
        <v>27</v>
      </c>
      <c r="B30" s="154">
        <f ca="1">TblConstr[[#This Row],[Land]]</f>
        <v>110</v>
      </c>
      <c r="C30" s="94">
        <f ca="1">TblProd[[#This Row],[Mana]]</f>
        <v>0</v>
      </c>
      <c r="D30" s="156">
        <f ca="1">MIN(1,OFFSET(TblMagic[[#This Row],[Wiz str]],-1,0)+0.04+ROUNDDOWN(10*OFFSET(TblMili[[#This Row],[WG''s]],-1,0),0)+ tech_2_7*OFFSET(TblTech[[#This Row],[2-7]],-1,0) + tech_5_6*OFFSET(TblTech[[#This Row],[5-6]],-1,0) )-TblMagic[[#This Row],[Wiz str cost]]</f>
        <v>1</v>
      </c>
      <c r="E30" s="159">
        <f ca="1">OFFSET(TblMagic[[#This Row],[Time]],-1,0)+1/24</f>
        <v>46048.08333333327</v>
      </c>
      <c r="F30" s="156">
        <f ca="1">TblImps[[#This Row],[Population]]</f>
        <v>0.98327137546468402</v>
      </c>
      <c r="G30" s="218"/>
      <c r="H30" s="218"/>
      <c r="I30" s="218"/>
      <c r="J30" s="218"/>
      <c r="K30" s="405"/>
      <c r="L30" s="218"/>
      <c r="M30" s="218"/>
      <c r="N30" s="218"/>
      <c r="O30" s="218"/>
      <c r="P30" s="218"/>
      <c r="Q30" s="218"/>
      <c r="R30" s="218"/>
      <c r="S30" s="218"/>
      <c r="T30" s="218"/>
      <c r="U30" s="218"/>
      <c r="V30" s="218"/>
      <c r="W30" s="218"/>
      <c r="X30" s="142"/>
      <c r="Y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0" s="156">
        <f>SUMIF(TblMagic[[#This Row],[Gaia''s Watch]:[Useless spell]],1)*0.05</f>
        <v>0</v>
      </c>
      <c r="AA30" s="142"/>
      <c r="AB30" s="57">
        <f ca="1">IF(TblMagic[[#This Row],[Gaia''s Watch]],12,IF(OFFSET(TblMagic[[#This Row],[Active Gaia''s Watch]],-1,0)&gt;0,OFFSET(TblMagic[[#This Row],[Active Gaia''s Watch]],-1,0)-1,0))</f>
        <v>0</v>
      </c>
      <c r="AC30" s="57">
        <f ca="1">IF(TblMagic[[#This Row],[Mining Strength]],12,IF(OFFSET(TblMagic[[#This Row],[Active Mining Strength]],-1,0)&gt;0,OFFSET(TblMagic[[#This Row],[Active Mining Strength]],-1,0)-1,0))</f>
        <v>0</v>
      </c>
      <c r="AD30" s="57">
        <f ca="1">IF(TblMagic[[#This Row],[Ares Call]],12,IF(OFFSET(TblMagic[[#This Row],[Active Ares Call]],-1,0)&gt;0,OFFSET(TblMagic[[#This Row],[Active Ares Call]],-1,0)-1,0))</f>
        <v>0</v>
      </c>
      <c r="AE30" s="57">
        <f ca="1">IF(TblMagic[[#This Row],[Midas Touch]],12,IF(OFFSET(TblMagic[[#This Row],[Active Midas Touch]],-1,0)&gt;0,OFFSET(TblMagic[[#This Row],[Active Midas Touch]],-1,0)-1,0))</f>
        <v>0</v>
      </c>
      <c r="AF30" s="57">
        <f ca="1">IF(TblMagic[[#This Row],[Harmony]],12,IF(OFFSET(TblMagic[[#This Row],[Active Harmony]],-1,0)&gt;0,OFFSET(TblMagic[[#This Row],[Active Harmony]],-1,0)-1,0))</f>
        <v>0</v>
      </c>
      <c r="AG30" s="57">
        <f ca="1">IF(TblMagic[[#This Row],[Miner''s Sight]],12,IF(OFFSET(TblMagic[[#This Row],[Active Miner''s Sight]],-1,0)&gt;0,OFFSET(TblMagic[[#This Row],[Active Miner''s Sight]],-1,0)-1,0))</f>
        <v>0</v>
      </c>
      <c r="AH30" s="57">
        <f ca="1">IF(TblMagic[[#This Row],[Mechanical Genius]],12,IF(OFFSET(TblMagic[[#This Row],[Active Mechanical Genius]],-1,0)&gt;0,OFFSET(TblMagic[[#This Row],[Active Mechanical Genius]],-1,0)-1,0))</f>
        <v>0</v>
      </c>
      <c r="AI30" s="57">
        <f ca="1">IF(TblMagic[[#This Row],[Death and Decay]],12,IF(OFFSET(TblMagic[[#This Row],[Active DnD]],-1,0)&gt;0,OFFSET(TblMagic[[#This Row],[Active DnD]],-1,0)-1,0))</f>
        <v>0</v>
      </c>
      <c r="AJ30" s="57">
        <f ca="1">IF(TblMagic[[#This Row],[Killing Rage / Bloodrage / Crusade]],12,IF(OFFSET(TblMagic[[#This Row],[Active Warsong / Killing Rage / Bloodrage]],-1,0)&gt;0,OFFSET(TblMagic[[#This Row],[Active Warsong / Killing Rage / Bloodrage]],-1,0)-1,0))</f>
        <v>0</v>
      </c>
      <c r="AK30" s="57">
        <f ca="1">IF(TblMagic[[#This Row],[Gaia''s Blessing]],12,IF(OFFSET(TblMagic[[#This Row],[Active Gaia''s Blessing]],-1,0)&gt;0,OFFSET(TblMagic[[#This Row],[Active Gaia''s Blessing]],-1,0)-1,0))</f>
        <v>0</v>
      </c>
      <c r="AL30" s="57">
        <f ca="1">IF(TblMagic[[#This Row],[Howling]],12,IF(OFFSET(TblMagic[[#This Row],[Active Howling]],-1,0)&gt;0,OFFSET(TblMagic[[#This Row],[Active Howling]],-1,0)-1,0))</f>
        <v>0</v>
      </c>
      <c r="AM30" s="57">
        <f ca="1">IF(TblMagic[[#This Row],[Alchemist Frost]],12,IF(OFFSET(TblMagic[[#This Row],[Active Alch Frost]],-1,0)&gt;0,OFFSET(TblMagic[[#This Row],[Active Alch Frost]],-1,0)-1,0))</f>
        <v>0</v>
      </c>
      <c r="AN30" s="57">
        <f ca="1">IF(TblMagic[[#This Row],[Alchemists Flame]],12,IF(OFFSET(TblMagic[[#This Row],[Active Alchemists Flame]],-1,0)&gt;0,OFFSET(TblMagic[[#This Row],[Active Alchemists Flame]],-1,0)-1,0))</f>
        <v>0</v>
      </c>
      <c r="AO30" s="57">
        <f ca="1">IF(TblMagic[[#This Row],[Nightfall]],12,IF(OFFSET(TblMagic[[#This Row],[Active Nightfall]],-1,0)&gt;0,OFFSET(TblMagic[[#This Row],[Active Nightfall]],-1,0)-1,0))</f>
        <v>0</v>
      </c>
      <c r="AP30" s="57">
        <f ca="1">IF(TblMagic[[#This Row],[Favorable Terrain]],12,IF(OFFSET(TblMagic[[#This Row],[Active Favorable Terrain]],-1,0)&gt;0,OFFSET(TblMagic[[#This Row],[Active Favorable Terrain]],-1,0)-1,0))</f>
        <v>0</v>
      </c>
      <c r="AQ30" s="57">
        <f ca="1">IF(TblMagic[[#This Row],[Infernal Command]],12,IF(OFFSET(TblMagic[[#This Row],[Active Infernal Command]],-1,0)&gt;0,OFFSET(TblMagic[[#This Row],[Active Infernal Command]],-1,0)-1,0))</f>
        <v>0</v>
      </c>
    </row>
    <row r="31" spans="1:43" x14ac:dyDescent="0.2">
      <c r="A31" s="137">
        <f>TblRezone[[#This Row],[Hour]]</f>
        <v>28</v>
      </c>
      <c r="B31" s="154">
        <f ca="1">TblConstr[[#This Row],[Land]]</f>
        <v>110</v>
      </c>
      <c r="C31" s="94">
        <f ca="1">TblProd[[#This Row],[Mana]]</f>
        <v>0</v>
      </c>
      <c r="D31" s="156">
        <f ca="1">MIN(1,OFFSET(TblMagic[[#This Row],[Wiz str]],-1,0)+0.04+ROUNDDOWN(10*OFFSET(TblMili[[#This Row],[WG''s]],-1,0),0)+ tech_2_7*OFFSET(TblTech[[#This Row],[2-7]],-1,0) + tech_5_6*OFFSET(TblTech[[#This Row],[5-6]],-1,0) )-TblMagic[[#This Row],[Wiz str cost]]</f>
        <v>1</v>
      </c>
      <c r="E31" s="159">
        <f ca="1">OFFSET(TblMagic[[#This Row],[Time]],-1,0)+1/24</f>
        <v>46048.124999999935</v>
      </c>
      <c r="F31" s="156">
        <f ca="1">TblImps[[#This Row],[Population]]</f>
        <v>1</v>
      </c>
      <c r="G31" s="218"/>
      <c r="H31" s="218"/>
      <c r="I31" s="218"/>
      <c r="J31" s="218"/>
      <c r="K31" s="405"/>
      <c r="L31" s="218"/>
      <c r="M31" s="218"/>
      <c r="N31" s="218"/>
      <c r="O31" s="218"/>
      <c r="P31" s="218"/>
      <c r="Q31" s="218"/>
      <c r="R31" s="218"/>
      <c r="S31" s="218"/>
      <c r="T31" s="218"/>
      <c r="U31" s="218"/>
      <c r="V31" s="218"/>
      <c r="W31" s="218"/>
      <c r="X31" s="142"/>
      <c r="Y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1" s="156">
        <f>SUMIF(TblMagic[[#This Row],[Gaia''s Watch]:[Useless spell]],1)*0.05</f>
        <v>0</v>
      </c>
      <c r="AA31" s="142"/>
      <c r="AB31" s="57">
        <f ca="1">IF(TblMagic[[#This Row],[Gaia''s Watch]],12,IF(OFFSET(TblMagic[[#This Row],[Active Gaia''s Watch]],-1,0)&gt;0,OFFSET(TblMagic[[#This Row],[Active Gaia''s Watch]],-1,0)-1,0))</f>
        <v>0</v>
      </c>
      <c r="AC31" s="57">
        <f ca="1">IF(TblMagic[[#This Row],[Mining Strength]],12,IF(OFFSET(TblMagic[[#This Row],[Active Mining Strength]],-1,0)&gt;0,OFFSET(TblMagic[[#This Row],[Active Mining Strength]],-1,0)-1,0))</f>
        <v>0</v>
      </c>
      <c r="AD31" s="57">
        <f ca="1">IF(TblMagic[[#This Row],[Ares Call]],12,IF(OFFSET(TblMagic[[#This Row],[Active Ares Call]],-1,0)&gt;0,OFFSET(TblMagic[[#This Row],[Active Ares Call]],-1,0)-1,0))</f>
        <v>0</v>
      </c>
      <c r="AE31" s="57">
        <f ca="1">IF(TblMagic[[#This Row],[Midas Touch]],12,IF(OFFSET(TblMagic[[#This Row],[Active Midas Touch]],-1,0)&gt;0,OFFSET(TblMagic[[#This Row],[Active Midas Touch]],-1,0)-1,0))</f>
        <v>0</v>
      </c>
      <c r="AF31" s="57">
        <f ca="1">IF(TblMagic[[#This Row],[Harmony]],12,IF(OFFSET(TblMagic[[#This Row],[Active Harmony]],-1,0)&gt;0,OFFSET(TblMagic[[#This Row],[Active Harmony]],-1,0)-1,0))</f>
        <v>0</v>
      </c>
      <c r="AG31" s="57">
        <f ca="1">IF(TblMagic[[#This Row],[Miner''s Sight]],12,IF(OFFSET(TblMagic[[#This Row],[Active Miner''s Sight]],-1,0)&gt;0,OFFSET(TblMagic[[#This Row],[Active Miner''s Sight]],-1,0)-1,0))</f>
        <v>0</v>
      </c>
      <c r="AH31" s="57">
        <f ca="1">IF(TblMagic[[#This Row],[Mechanical Genius]],12,IF(OFFSET(TblMagic[[#This Row],[Active Mechanical Genius]],-1,0)&gt;0,OFFSET(TblMagic[[#This Row],[Active Mechanical Genius]],-1,0)-1,0))</f>
        <v>0</v>
      </c>
      <c r="AI31" s="57">
        <f ca="1">IF(TblMagic[[#This Row],[Death and Decay]],12,IF(OFFSET(TblMagic[[#This Row],[Active DnD]],-1,0)&gt;0,OFFSET(TblMagic[[#This Row],[Active DnD]],-1,0)-1,0))</f>
        <v>0</v>
      </c>
      <c r="AJ31" s="57">
        <f ca="1">IF(TblMagic[[#This Row],[Killing Rage / Bloodrage / Crusade]],12,IF(OFFSET(TblMagic[[#This Row],[Active Warsong / Killing Rage / Bloodrage]],-1,0)&gt;0,OFFSET(TblMagic[[#This Row],[Active Warsong / Killing Rage / Bloodrage]],-1,0)-1,0))</f>
        <v>0</v>
      </c>
      <c r="AK31" s="57">
        <f ca="1">IF(TblMagic[[#This Row],[Gaia''s Blessing]],12,IF(OFFSET(TblMagic[[#This Row],[Active Gaia''s Blessing]],-1,0)&gt;0,OFFSET(TblMagic[[#This Row],[Active Gaia''s Blessing]],-1,0)-1,0))</f>
        <v>0</v>
      </c>
      <c r="AL31" s="57">
        <f ca="1">IF(TblMagic[[#This Row],[Howling]],12,IF(OFFSET(TblMagic[[#This Row],[Active Howling]],-1,0)&gt;0,OFFSET(TblMagic[[#This Row],[Active Howling]],-1,0)-1,0))</f>
        <v>0</v>
      </c>
      <c r="AM31" s="57">
        <f ca="1">IF(TblMagic[[#This Row],[Alchemist Frost]],12,IF(OFFSET(TblMagic[[#This Row],[Active Alch Frost]],-1,0)&gt;0,OFFSET(TblMagic[[#This Row],[Active Alch Frost]],-1,0)-1,0))</f>
        <v>0</v>
      </c>
      <c r="AN31" s="57">
        <f ca="1">IF(TblMagic[[#This Row],[Alchemists Flame]],12,IF(OFFSET(TblMagic[[#This Row],[Active Alchemists Flame]],-1,0)&gt;0,OFFSET(TblMagic[[#This Row],[Active Alchemists Flame]],-1,0)-1,0))</f>
        <v>0</v>
      </c>
      <c r="AO31" s="57">
        <f ca="1">IF(TblMagic[[#This Row],[Nightfall]],12,IF(OFFSET(TblMagic[[#This Row],[Active Nightfall]],-1,0)&gt;0,OFFSET(TblMagic[[#This Row],[Active Nightfall]],-1,0)-1,0))</f>
        <v>0</v>
      </c>
      <c r="AP31" s="57">
        <f ca="1">IF(TblMagic[[#This Row],[Favorable Terrain]],12,IF(OFFSET(TblMagic[[#This Row],[Active Favorable Terrain]],-1,0)&gt;0,OFFSET(TblMagic[[#This Row],[Active Favorable Terrain]],-1,0)-1,0))</f>
        <v>0</v>
      </c>
      <c r="AQ31" s="57">
        <f ca="1">IF(TblMagic[[#This Row],[Infernal Command]],12,IF(OFFSET(TblMagic[[#This Row],[Active Infernal Command]],-1,0)&gt;0,OFFSET(TblMagic[[#This Row],[Active Infernal Command]],-1,0)-1,0))</f>
        <v>0</v>
      </c>
    </row>
    <row r="32" spans="1:43" x14ac:dyDescent="0.2">
      <c r="A32" s="137">
        <f>TblRezone[[#This Row],[Hour]]</f>
        <v>29</v>
      </c>
      <c r="B32" s="154">
        <f ca="1">TblConstr[[#This Row],[Land]]</f>
        <v>110</v>
      </c>
      <c r="C32" s="94">
        <f ca="1">TblProd[[#This Row],[Mana]]</f>
        <v>0</v>
      </c>
      <c r="D32" s="156">
        <f ca="1">MIN(1,OFFSET(TblMagic[[#This Row],[Wiz str]],-1,0)+0.04+ROUNDDOWN(10*OFFSET(TblMili[[#This Row],[WG''s]],-1,0),0)+ tech_2_7*OFFSET(TblTech[[#This Row],[2-7]],-1,0) + tech_5_6*OFFSET(TblTech[[#This Row],[5-6]],-1,0) )-TblMagic[[#This Row],[Wiz str cost]]</f>
        <v>1</v>
      </c>
      <c r="E32" s="159">
        <f ca="1">OFFSET(TblMagic[[#This Row],[Time]],-1,0)+1/24</f>
        <v>46048.166666666599</v>
      </c>
      <c r="F32" s="156">
        <f ca="1">TblImps[[#This Row],[Population]]</f>
        <v>1</v>
      </c>
      <c r="G32" s="218"/>
      <c r="H32" s="218"/>
      <c r="I32" s="218"/>
      <c r="J32" s="218"/>
      <c r="K32" s="405"/>
      <c r="L32" s="218"/>
      <c r="M32" s="218"/>
      <c r="N32" s="218"/>
      <c r="O32" s="218"/>
      <c r="P32" s="218"/>
      <c r="Q32" s="218"/>
      <c r="R32" s="218"/>
      <c r="S32" s="218"/>
      <c r="T32" s="218"/>
      <c r="U32" s="218"/>
      <c r="V32" s="218"/>
      <c r="W32" s="218"/>
      <c r="X32" s="142"/>
      <c r="Y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2" s="156">
        <f>SUMIF(TblMagic[[#This Row],[Gaia''s Watch]:[Useless spell]],1)*0.05</f>
        <v>0</v>
      </c>
      <c r="AA32" s="142"/>
      <c r="AB32" s="57">
        <f ca="1">IF(TblMagic[[#This Row],[Gaia''s Watch]],12,IF(OFFSET(TblMagic[[#This Row],[Active Gaia''s Watch]],-1,0)&gt;0,OFFSET(TblMagic[[#This Row],[Active Gaia''s Watch]],-1,0)-1,0))</f>
        <v>0</v>
      </c>
      <c r="AC32" s="57">
        <f ca="1">IF(TblMagic[[#This Row],[Mining Strength]],12,IF(OFFSET(TblMagic[[#This Row],[Active Mining Strength]],-1,0)&gt;0,OFFSET(TblMagic[[#This Row],[Active Mining Strength]],-1,0)-1,0))</f>
        <v>0</v>
      </c>
      <c r="AD32" s="57">
        <f ca="1">IF(TblMagic[[#This Row],[Ares Call]],12,IF(OFFSET(TblMagic[[#This Row],[Active Ares Call]],-1,0)&gt;0,OFFSET(TblMagic[[#This Row],[Active Ares Call]],-1,0)-1,0))</f>
        <v>0</v>
      </c>
      <c r="AE32" s="57">
        <f ca="1">IF(TblMagic[[#This Row],[Midas Touch]],12,IF(OFFSET(TblMagic[[#This Row],[Active Midas Touch]],-1,0)&gt;0,OFFSET(TblMagic[[#This Row],[Active Midas Touch]],-1,0)-1,0))</f>
        <v>0</v>
      </c>
      <c r="AF32" s="57">
        <f ca="1">IF(TblMagic[[#This Row],[Harmony]],12,IF(OFFSET(TblMagic[[#This Row],[Active Harmony]],-1,0)&gt;0,OFFSET(TblMagic[[#This Row],[Active Harmony]],-1,0)-1,0))</f>
        <v>0</v>
      </c>
      <c r="AG32" s="57">
        <f ca="1">IF(TblMagic[[#This Row],[Miner''s Sight]],12,IF(OFFSET(TblMagic[[#This Row],[Active Miner''s Sight]],-1,0)&gt;0,OFFSET(TblMagic[[#This Row],[Active Miner''s Sight]],-1,0)-1,0))</f>
        <v>0</v>
      </c>
      <c r="AH32" s="57">
        <f ca="1">IF(TblMagic[[#This Row],[Mechanical Genius]],12,IF(OFFSET(TblMagic[[#This Row],[Active Mechanical Genius]],-1,0)&gt;0,OFFSET(TblMagic[[#This Row],[Active Mechanical Genius]],-1,0)-1,0))</f>
        <v>0</v>
      </c>
      <c r="AI32" s="57">
        <f ca="1">IF(TblMagic[[#This Row],[Death and Decay]],12,IF(OFFSET(TblMagic[[#This Row],[Active DnD]],-1,0)&gt;0,OFFSET(TblMagic[[#This Row],[Active DnD]],-1,0)-1,0))</f>
        <v>0</v>
      </c>
      <c r="AJ32" s="57">
        <f ca="1">IF(TblMagic[[#This Row],[Killing Rage / Bloodrage / Crusade]],12,IF(OFFSET(TblMagic[[#This Row],[Active Warsong / Killing Rage / Bloodrage]],-1,0)&gt;0,OFFSET(TblMagic[[#This Row],[Active Warsong / Killing Rage / Bloodrage]],-1,0)-1,0))</f>
        <v>0</v>
      </c>
      <c r="AK32" s="57">
        <f ca="1">IF(TblMagic[[#This Row],[Gaia''s Blessing]],12,IF(OFFSET(TblMagic[[#This Row],[Active Gaia''s Blessing]],-1,0)&gt;0,OFFSET(TblMagic[[#This Row],[Active Gaia''s Blessing]],-1,0)-1,0))</f>
        <v>0</v>
      </c>
      <c r="AL32" s="57">
        <f ca="1">IF(TblMagic[[#This Row],[Howling]],12,IF(OFFSET(TblMagic[[#This Row],[Active Howling]],-1,0)&gt;0,OFFSET(TblMagic[[#This Row],[Active Howling]],-1,0)-1,0))</f>
        <v>0</v>
      </c>
      <c r="AM32" s="57">
        <f ca="1">IF(TblMagic[[#This Row],[Alchemist Frost]],12,IF(OFFSET(TblMagic[[#This Row],[Active Alch Frost]],-1,0)&gt;0,OFFSET(TblMagic[[#This Row],[Active Alch Frost]],-1,0)-1,0))</f>
        <v>0</v>
      </c>
      <c r="AN32" s="57">
        <f ca="1">IF(TblMagic[[#This Row],[Alchemists Flame]],12,IF(OFFSET(TblMagic[[#This Row],[Active Alchemists Flame]],-1,0)&gt;0,OFFSET(TblMagic[[#This Row],[Active Alchemists Flame]],-1,0)-1,0))</f>
        <v>0</v>
      </c>
      <c r="AO32" s="57">
        <f ca="1">IF(TblMagic[[#This Row],[Nightfall]],12,IF(OFFSET(TblMagic[[#This Row],[Active Nightfall]],-1,0)&gt;0,OFFSET(TblMagic[[#This Row],[Active Nightfall]],-1,0)-1,0))</f>
        <v>0</v>
      </c>
      <c r="AP32" s="57">
        <f ca="1">IF(TblMagic[[#This Row],[Favorable Terrain]],12,IF(OFFSET(TblMagic[[#This Row],[Active Favorable Terrain]],-1,0)&gt;0,OFFSET(TblMagic[[#This Row],[Active Favorable Terrain]],-1,0)-1,0))</f>
        <v>0</v>
      </c>
      <c r="AQ32" s="57">
        <f ca="1">IF(TblMagic[[#This Row],[Infernal Command]],12,IF(OFFSET(TblMagic[[#This Row],[Active Infernal Command]],-1,0)&gt;0,OFFSET(TblMagic[[#This Row],[Active Infernal Command]],-1,0)-1,0))</f>
        <v>0</v>
      </c>
    </row>
    <row r="33" spans="1:43" x14ac:dyDescent="0.2">
      <c r="A33" s="137">
        <f>TblRezone[[#This Row],[Hour]]</f>
        <v>30</v>
      </c>
      <c r="B33" s="154">
        <f ca="1">TblConstr[[#This Row],[Land]]</f>
        <v>110</v>
      </c>
      <c r="C33" s="94">
        <f ca="1">TblProd[[#This Row],[Mana]]</f>
        <v>0</v>
      </c>
      <c r="D33" s="156">
        <f ca="1">MIN(1,OFFSET(TblMagic[[#This Row],[Wiz str]],-1,0)+0.04+ROUNDDOWN(10*OFFSET(TblMili[[#This Row],[WG''s]],-1,0),0)+ tech_2_7*OFFSET(TblTech[[#This Row],[2-7]],-1,0) + tech_5_6*OFFSET(TblTech[[#This Row],[5-6]],-1,0) )-TblMagic[[#This Row],[Wiz str cost]]</f>
        <v>1</v>
      </c>
      <c r="E33" s="159">
        <f ca="1">OFFSET(TblMagic[[#This Row],[Time]],-1,0)+1/24</f>
        <v>46048.208333333263</v>
      </c>
      <c r="F33" s="156">
        <f ca="1">TblImps[[#This Row],[Population]]</f>
        <v>1</v>
      </c>
      <c r="G33" s="218"/>
      <c r="H33" s="218"/>
      <c r="I33" s="218"/>
      <c r="J33" s="218"/>
      <c r="K33" s="405"/>
      <c r="L33" s="218"/>
      <c r="M33" s="218"/>
      <c r="N33" s="218"/>
      <c r="O33" s="218"/>
      <c r="P33" s="218"/>
      <c r="Q33" s="218"/>
      <c r="R33" s="218"/>
      <c r="S33" s="218"/>
      <c r="T33" s="218"/>
      <c r="U33" s="218"/>
      <c r="V33" s="218"/>
      <c r="W33" s="218"/>
      <c r="X33" s="142"/>
      <c r="Y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3" s="156">
        <f>SUMIF(TblMagic[[#This Row],[Gaia''s Watch]:[Useless spell]],1)*0.05</f>
        <v>0</v>
      </c>
      <c r="AA33" s="142"/>
      <c r="AB33" s="57">
        <f ca="1">IF(TblMagic[[#This Row],[Gaia''s Watch]],12,IF(OFFSET(TblMagic[[#This Row],[Active Gaia''s Watch]],-1,0)&gt;0,OFFSET(TblMagic[[#This Row],[Active Gaia''s Watch]],-1,0)-1,0))</f>
        <v>0</v>
      </c>
      <c r="AC33" s="57">
        <f ca="1">IF(TblMagic[[#This Row],[Mining Strength]],12,IF(OFFSET(TblMagic[[#This Row],[Active Mining Strength]],-1,0)&gt;0,OFFSET(TblMagic[[#This Row],[Active Mining Strength]],-1,0)-1,0))</f>
        <v>0</v>
      </c>
      <c r="AD33" s="57">
        <f ca="1">IF(TblMagic[[#This Row],[Ares Call]],12,IF(OFFSET(TblMagic[[#This Row],[Active Ares Call]],-1,0)&gt;0,OFFSET(TblMagic[[#This Row],[Active Ares Call]],-1,0)-1,0))</f>
        <v>0</v>
      </c>
      <c r="AE33" s="57">
        <f ca="1">IF(TblMagic[[#This Row],[Midas Touch]],12,IF(OFFSET(TblMagic[[#This Row],[Active Midas Touch]],-1,0)&gt;0,OFFSET(TblMagic[[#This Row],[Active Midas Touch]],-1,0)-1,0))</f>
        <v>0</v>
      </c>
      <c r="AF33" s="57">
        <f ca="1">IF(TblMagic[[#This Row],[Harmony]],12,IF(OFFSET(TblMagic[[#This Row],[Active Harmony]],-1,0)&gt;0,OFFSET(TblMagic[[#This Row],[Active Harmony]],-1,0)-1,0))</f>
        <v>0</v>
      </c>
      <c r="AG33" s="57">
        <f ca="1">IF(TblMagic[[#This Row],[Miner''s Sight]],12,IF(OFFSET(TblMagic[[#This Row],[Active Miner''s Sight]],-1,0)&gt;0,OFFSET(TblMagic[[#This Row],[Active Miner''s Sight]],-1,0)-1,0))</f>
        <v>0</v>
      </c>
      <c r="AH33" s="57">
        <f ca="1">IF(TblMagic[[#This Row],[Mechanical Genius]],12,IF(OFFSET(TblMagic[[#This Row],[Active Mechanical Genius]],-1,0)&gt;0,OFFSET(TblMagic[[#This Row],[Active Mechanical Genius]],-1,0)-1,0))</f>
        <v>0</v>
      </c>
      <c r="AI33" s="57">
        <f ca="1">IF(TblMagic[[#This Row],[Death and Decay]],12,IF(OFFSET(TblMagic[[#This Row],[Active DnD]],-1,0)&gt;0,OFFSET(TblMagic[[#This Row],[Active DnD]],-1,0)-1,0))</f>
        <v>0</v>
      </c>
      <c r="AJ33" s="57">
        <f ca="1">IF(TblMagic[[#This Row],[Killing Rage / Bloodrage / Crusade]],12,IF(OFFSET(TblMagic[[#This Row],[Active Warsong / Killing Rage / Bloodrage]],-1,0)&gt;0,OFFSET(TblMagic[[#This Row],[Active Warsong / Killing Rage / Bloodrage]],-1,0)-1,0))</f>
        <v>0</v>
      </c>
      <c r="AK33" s="57">
        <f ca="1">IF(TblMagic[[#This Row],[Gaia''s Blessing]],12,IF(OFFSET(TblMagic[[#This Row],[Active Gaia''s Blessing]],-1,0)&gt;0,OFFSET(TblMagic[[#This Row],[Active Gaia''s Blessing]],-1,0)-1,0))</f>
        <v>0</v>
      </c>
      <c r="AL33" s="57">
        <f ca="1">IF(TblMagic[[#This Row],[Howling]],12,IF(OFFSET(TblMagic[[#This Row],[Active Howling]],-1,0)&gt;0,OFFSET(TblMagic[[#This Row],[Active Howling]],-1,0)-1,0))</f>
        <v>0</v>
      </c>
      <c r="AM33" s="57">
        <f ca="1">IF(TblMagic[[#This Row],[Alchemist Frost]],12,IF(OFFSET(TblMagic[[#This Row],[Active Alch Frost]],-1,0)&gt;0,OFFSET(TblMagic[[#This Row],[Active Alch Frost]],-1,0)-1,0))</f>
        <v>0</v>
      </c>
      <c r="AN33" s="57">
        <f ca="1">IF(TblMagic[[#This Row],[Alchemists Flame]],12,IF(OFFSET(TblMagic[[#This Row],[Active Alchemists Flame]],-1,0)&gt;0,OFFSET(TblMagic[[#This Row],[Active Alchemists Flame]],-1,0)-1,0))</f>
        <v>0</v>
      </c>
      <c r="AO33" s="57">
        <f ca="1">IF(TblMagic[[#This Row],[Nightfall]],12,IF(OFFSET(TblMagic[[#This Row],[Active Nightfall]],-1,0)&gt;0,OFFSET(TblMagic[[#This Row],[Active Nightfall]],-1,0)-1,0))</f>
        <v>0</v>
      </c>
      <c r="AP33" s="57">
        <f ca="1">IF(TblMagic[[#This Row],[Favorable Terrain]],12,IF(OFFSET(TblMagic[[#This Row],[Active Favorable Terrain]],-1,0)&gt;0,OFFSET(TblMagic[[#This Row],[Active Favorable Terrain]],-1,0)-1,0))</f>
        <v>0</v>
      </c>
      <c r="AQ33" s="57">
        <f ca="1">IF(TblMagic[[#This Row],[Infernal Command]],12,IF(OFFSET(TblMagic[[#This Row],[Active Infernal Command]],-1,0)&gt;0,OFFSET(TblMagic[[#This Row],[Active Infernal Command]],-1,0)-1,0))</f>
        <v>0</v>
      </c>
    </row>
    <row r="34" spans="1:43" x14ac:dyDescent="0.2">
      <c r="A34" s="137">
        <f>TblRezone[[#This Row],[Hour]]</f>
        <v>31</v>
      </c>
      <c r="B34" s="154">
        <f ca="1">TblConstr[[#This Row],[Land]]</f>
        <v>110</v>
      </c>
      <c r="C34" s="94">
        <f ca="1">TblProd[[#This Row],[Mana]]</f>
        <v>0</v>
      </c>
      <c r="D34" s="156">
        <f ca="1">MIN(1,OFFSET(TblMagic[[#This Row],[Wiz str]],-1,0)+0.04+ROUNDDOWN(10*OFFSET(TblMili[[#This Row],[WG''s]],-1,0),0)+ tech_2_7*OFFSET(TblTech[[#This Row],[2-7]],-1,0) + tech_5_6*OFFSET(TblTech[[#This Row],[5-6]],-1,0) )-TblMagic[[#This Row],[Wiz str cost]]</f>
        <v>1</v>
      </c>
      <c r="E34" s="159">
        <f ca="1">OFFSET(TblMagic[[#This Row],[Time]],-1,0)+1/24</f>
        <v>46048.249999999927</v>
      </c>
      <c r="F34" s="156">
        <f ca="1">TblImps[[#This Row],[Population]]</f>
        <v>1</v>
      </c>
      <c r="G34" s="218"/>
      <c r="H34" s="218"/>
      <c r="I34" s="218"/>
      <c r="J34" s="218"/>
      <c r="K34" s="405"/>
      <c r="L34" s="218"/>
      <c r="M34" s="218"/>
      <c r="N34" s="218"/>
      <c r="O34" s="218"/>
      <c r="P34" s="218"/>
      <c r="Q34" s="218"/>
      <c r="R34" s="218"/>
      <c r="S34" s="218"/>
      <c r="T34" s="218"/>
      <c r="U34" s="218"/>
      <c r="V34" s="218"/>
      <c r="W34" s="218"/>
      <c r="X34" s="142"/>
      <c r="Y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4" s="156">
        <f>SUMIF(TblMagic[[#This Row],[Gaia''s Watch]:[Useless spell]],1)*0.05</f>
        <v>0</v>
      </c>
      <c r="AA34" s="142"/>
      <c r="AB34" s="57">
        <f ca="1">IF(TblMagic[[#This Row],[Gaia''s Watch]],12,IF(OFFSET(TblMagic[[#This Row],[Active Gaia''s Watch]],-1,0)&gt;0,OFFSET(TblMagic[[#This Row],[Active Gaia''s Watch]],-1,0)-1,0))</f>
        <v>0</v>
      </c>
      <c r="AC34" s="57">
        <f ca="1">IF(TblMagic[[#This Row],[Mining Strength]],12,IF(OFFSET(TblMagic[[#This Row],[Active Mining Strength]],-1,0)&gt;0,OFFSET(TblMagic[[#This Row],[Active Mining Strength]],-1,0)-1,0))</f>
        <v>0</v>
      </c>
      <c r="AD34" s="57">
        <f ca="1">IF(TblMagic[[#This Row],[Ares Call]],12,IF(OFFSET(TblMagic[[#This Row],[Active Ares Call]],-1,0)&gt;0,OFFSET(TblMagic[[#This Row],[Active Ares Call]],-1,0)-1,0))</f>
        <v>0</v>
      </c>
      <c r="AE34" s="57">
        <f ca="1">IF(TblMagic[[#This Row],[Midas Touch]],12,IF(OFFSET(TblMagic[[#This Row],[Active Midas Touch]],-1,0)&gt;0,OFFSET(TblMagic[[#This Row],[Active Midas Touch]],-1,0)-1,0))</f>
        <v>0</v>
      </c>
      <c r="AF34" s="57">
        <f ca="1">IF(TblMagic[[#This Row],[Harmony]],12,IF(OFFSET(TblMagic[[#This Row],[Active Harmony]],-1,0)&gt;0,OFFSET(TblMagic[[#This Row],[Active Harmony]],-1,0)-1,0))</f>
        <v>0</v>
      </c>
      <c r="AG34" s="57">
        <f ca="1">IF(TblMagic[[#This Row],[Miner''s Sight]],12,IF(OFFSET(TblMagic[[#This Row],[Active Miner''s Sight]],-1,0)&gt;0,OFFSET(TblMagic[[#This Row],[Active Miner''s Sight]],-1,0)-1,0))</f>
        <v>0</v>
      </c>
      <c r="AH34" s="57">
        <f ca="1">IF(TblMagic[[#This Row],[Mechanical Genius]],12,IF(OFFSET(TblMagic[[#This Row],[Active Mechanical Genius]],-1,0)&gt;0,OFFSET(TblMagic[[#This Row],[Active Mechanical Genius]],-1,0)-1,0))</f>
        <v>0</v>
      </c>
      <c r="AI34" s="57">
        <f ca="1">IF(TblMagic[[#This Row],[Death and Decay]],12,IF(OFFSET(TblMagic[[#This Row],[Active DnD]],-1,0)&gt;0,OFFSET(TblMagic[[#This Row],[Active DnD]],-1,0)-1,0))</f>
        <v>0</v>
      </c>
      <c r="AJ34" s="57">
        <f ca="1">IF(TblMagic[[#This Row],[Killing Rage / Bloodrage / Crusade]],12,IF(OFFSET(TblMagic[[#This Row],[Active Warsong / Killing Rage / Bloodrage]],-1,0)&gt;0,OFFSET(TblMagic[[#This Row],[Active Warsong / Killing Rage / Bloodrage]],-1,0)-1,0))</f>
        <v>0</v>
      </c>
      <c r="AK34" s="57">
        <f ca="1">IF(TblMagic[[#This Row],[Gaia''s Blessing]],12,IF(OFFSET(TblMagic[[#This Row],[Active Gaia''s Blessing]],-1,0)&gt;0,OFFSET(TblMagic[[#This Row],[Active Gaia''s Blessing]],-1,0)-1,0))</f>
        <v>0</v>
      </c>
      <c r="AL34" s="57">
        <f ca="1">IF(TblMagic[[#This Row],[Howling]],12,IF(OFFSET(TblMagic[[#This Row],[Active Howling]],-1,0)&gt;0,OFFSET(TblMagic[[#This Row],[Active Howling]],-1,0)-1,0))</f>
        <v>0</v>
      </c>
      <c r="AM34" s="57">
        <f ca="1">IF(TblMagic[[#This Row],[Alchemist Frost]],12,IF(OFFSET(TblMagic[[#This Row],[Active Alch Frost]],-1,0)&gt;0,OFFSET(TblMagic[[#This Row],[Active Alch Frost]],-1,0)-1,0))</f>
        <v>0</v>
      </c>
      <c r="AN34" s="57">
        <f ca="1">IF(TblMagic[[#This Row],[Alchemists Flame]],12,IF(OFFSET(TblMagic[[#This Row],[Active Alchemists Flame]],-1,0)&gt;0,OFFSET(TblMagic[[#This Row],[Active Alchemists Flame]],-1,0)-1,0))</f>
        <v>0</v>
      </c>
      <c r="AO34" s="57">
        <f ca="1">IF(TblMagic[[#This Row],[Nightfall]],12,IF(OFFSET(TblMagic[[#This Row],[Active Nightfall]],-1,0)&gt;0,OFFSET(TblMagic[[#This Row],[Active Nightfall]],-1,0)-1,0))</f>
        <v>0</v>
      </c>
      <c r="AP34" s="57">
        <f ca="1">IF(TblMagic[[#This Row],[Favorable Terrain]],12,IF(OFFSET(TblMagic[[#This Row],[Active Favorable Terrain]],-1,0)&gt;0,OFFSET(TblMagic[[#This Row],[Active Favorable Terrain]],-1,0)-1,0))</f>
        <v>0</v>
      </c>
      <c r="AQ34" s="57">
        <f ca="1">IF(TblMagic[[#This Row],[Infernal Command]],12,IF(OFFSET(TblMagic[[#This Row],[Active Infernal Command]],-1,0)&gt;0,OFFSET(TblMagic[[#This Row],[Active Infernal Command]],-1,0)-1,0))</f>
        <v>0</v>
      </c>
    </row>
    <row r="35" spans="1:43" x14ac:dyDescent="0.2">
      <c r="A35" s="137">
        <f>TblRezone[[#This Row],[Hour]]</f>
        <v>32</v>
      </c>
      <c r="B35" s="154">
        <f ca="1">TblConstr[[#This Row],[Land]]</f>
        <v>110</v>
      </c>
      <c r="C35" s="94">
        <f ca="1">TblProd[[#This Row],[Mana]]</f>
        <v>0</v>
      </c>
      <c r="D35" s="156">
        <f ca="1">MIN(1,OFFSET(TblMagic[[#This Row],[Wiz str]],-1,0)+0.04+ROUNDDOWN(10*OFFSET(TblMili[[#This Row],[WG''s]],-1,0),0)+ tech_2_7*OFFSET(TblTech[[#This Row],[2-7]],-1,0) + tech_5_6*OFFSET(TblTech[[#This Row],[5-6]],-1,0) )-TblMagic[[#This Row],[Wiz str cost]]</f>
        <v>1</v>
      </c>
      <c r="E35" s="159">
        <f ca="1">OFFSET(TblMagic[[#This Row],[Time]],-1,0)+1/24</f>
        <v>46048.291666666591</v>
      </c>
      <c r="F35" s="156">
        <f ca="1">TblImps[[#This Row],[Population]]</f>
        <v>1</v>
      </c>
      <c r="G35" s="218"/>
      <c r="H35" s="218"/>
      <c r="I35" s="218"/>
      <c r="J35" s="218"/>
      <c r="K35" s="405"/>
      <c r="L35" s="218"/>
      <c r="M35" s="218"/>
      <c r="N35" s="218"/>
      <c r="O35" s="218"/>
      <c r="P35" s="218"/>
      <c r="Q35" s="218"/>
      <c r="R35" s="218"/>
      <c r="S35" s="218"/>
      <c r="T35" s="218"/>
      <c r="U35" s="218"/>
      <c r="V35" s="218"/>
      <c r="W35" s="218"/>
      <c r="X35" s="142"/>
      <c r="Y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5" s="156">
        <f>SUMIF(TblMagic[[#This Row],[Gaia''s Watch]:[Useless spell]],1)*0.05</f>
        <v>0</v>
      </c>
      <c r="AA35" s="142"/>
      <c r="AB35" s="57">
        <f ca="1">IF(TblMagic[[#This Row],[Gaia''s Watch]],12,IF(OFFSET(TblMagic[[#This Row],[Active Gaia''s Watch]],-1,0)&gt;0,OFFSET(TblMagic[[#This Row],[Active Gaia''s Watch]],-1,0)-1,0))</f>
        <v>0</v>
      </c>
      <c r="AC35" s="57">
        <f ca="1">IF(TblMagic[[#This Row],[Mining Strength]],12,IF(OFFSET(TblMagic[[#This Row],[Active Mining Strength]],-1,0)&gt;0,OFFSET(TblMagic[[#This Row],[Active Mining Strength]],-1,0)-1,0))</f>
        <v>0</v>
      </c>
      <c r="AD35" s="57">
        <f ca="1">IF(TblMagic[[#This Row],[Ares Call]],12,IF(OFFSET(TblMagic[[#This Row],[Active Ares Call]],-1,0)&gt;0,OFFSET(TblMagic[[#This Row],[Active Ares Call]],-1,0)-1,0))</f>
        <v>0</v>
      </c>
      <c r="AE35" s="57">
        <f ca="1">IF(TblMagic[[#This Row],[Midas Touch]],12,IF(OFFSET(TblMagic[[#This Row],[Active Midas Touch]],-1,0)&gt;0,OFFSET(TblMagic[[#This Row],[Active Midas Touch]],-1,0)-1,0))</f>
        <v>0</v>
      </c>
      <c r="AF35" s="57">
        <f ca="1">IF(TblMagic[[#This Row],[Harmony]],12,IF(OFFSET(TblMagic[[#This Row],[Active Harmony]],-1,0)&gt;0,OFFSET(TblMagic[[#This Row],[Active Harmony]],-1,0)-1,0))</f>
        <v>0</v>
      </c>
      <c r="AG35" s="57">
        <f ca="1">IF(TblMagic[[#This Row],[Miner''s Sight]],12,IF(OFFSET(TblMagic[[#This Row],[Active Miner''s Sight]],-1,0)&gt;0,OFFSET(TblMagic[[#This Row],[Active Miner''s Sight]],-1,0)-1,0))</f>
        <v>0</v>
      </c>
      <c r="AH35" s="57">
        <f ca="1">IF(TblMagic[[#This Row],[Mechanical Genius]],12,IF(OFFSET(TblMagic[[#This Row],[Active Mechanical Genius]],-1,0)&gt;0,OFFSET(TblMagic[[#This Row],[Active Mechanical Genius]],-1,0)-1,0))</f>
        <v>0</v>
      </c>
      <c r="AI35" s="57">
        <f ca="1">IF(TblMagic[[#This Row],[Death and Decay]],12,IF(OFFSET(TblMagic[[#This Row],[Active DnD]],-1,0)&gt;0,OFFSET(TblMagic[[#This Row],[Active DnD]],-1,0)-1,0))</f>
        <v>0</v>
      </c>
      <c r="AJ35" s="57">
        <f ca="1">IF(TblMagic[[#This Row],[Killing Rage / Bloodrage / Crusade]],12,IF(OFFSET(TblMagic[[#This Row],[Active Warsong / Killing Rage / Bloodrage]],-1,0)&gt;0,OFFSET(TblMagic[[#This Row],[Active Warsong / Killing Rage / Bloodrage]],-1,0)-1,0))</f>
        <v>0</v>
      </c>
      <c r="AK35" s="57">
        <f ca="1">IF(TblMagic[[#This Row],[Gaia''s Blessing]],12,IF(OFFSET(TblMagic[[#This Row],[Active Gaia''s Blessing]],-1,0)&gt;0,OFFSET(TblMagic[[#This Row],[Active Gaia''s Blessing]],-1,0)-1,0))</f>
        <v>0</v>
      </c>
      <c r="AL35" s="57">
        <f ca="1">IF(TblMagic[[#This Row],[Howling]],12,IF(OFFSET(TblMagic[[#This Row],[Active Howling]],-1,0)&gt;0,OFFSET(TblMagic[[#This Row],[Active Howling]],-1,0)-1,0))</f>
        <v>0</v>
      </c>
      <c r="AM35" s="57">
        <f ca="1">IF(TblMagic[[#This Row],[Alchemist Frost]],12,IF(OFFSET(TblMagic[[#This Row],[Active Alch Frost]],-1,0)&gt;0,OFFSET(TblMagic[[#This Row],[Active Alch Frost]],-1,0)-1,0))</f>
        <v>0</v>
      </c>
      <c r="AN35" s="57">
        <f ca="1">IF(TblMagic[[#This Row],[Alchemists Flame]],12,IF(OFFSET(TblMagic[[#This Row],[Active Alchemists Flame]],-1,0)&gt;0,OFFSET(TblMagic[[#This Row],[Active Alchemists Flame]],-1,0)-1,0))</f>
        <v>0</v>
      </c>
      <c r="AO35" s="57">
        <f ca="1">IF(TblMagic[[#This Row],[Nightfall]],12,IF(OFFSET(TblMagic[[#This Row],[Active Nightfall]],-1,0)&gt;0,OFFSET(TblMagic[[#This Row],[Active Nightfall]],-1,0)-1,0))</f>
        <v>0</v>
      </c>
      <c r="AP35" s="57">
        <f ca="1">IF(TblMagic[[#This Row],[Favorable Terrain]],12,IF(OFFSET(TblMagic[[#This Row],[Active Favorable Terrain]],-1,0)&gt;0,OFFSET(TblMagic[[#This Row],[Active Favorable Terrain]],-1,0)-1,0))</f>
        <v>0</v>
      </c>
      <c r="AQ35" s="57">
        <f ca="1">IF(TblMagic[[#This Row],[Infernal Command]],12,IF(OFFSET(TblMagic[[#This Row],[Active Infernal Command]],-1,0)&gt;0,OFFSET(TblMagic[[#This Row],[Active Infernal Command]],-1,0)-1,0))</f>
        <v>0</v>
      </c>
    </row>
    <row r="36" spans="1:43" x14ac:dyDescent="0.2">
      <c r="A36" s="137">
        <f>TblRezone[[#This Row],[Hour]]</f>
        <v>33</v>
      </c>
      <c r="B36" s="154">
        <f ca="1">TblConstr[[#This Row],[Land]]</f>
        <v>110</v>
      </c>
      <c r="C36" s="94">
        <f ca="1">TblProd[[#This Row],[Mana]]</f>
        <v>0</v>
      </c>
      <c r="D36" s="156">
        <f ca="1">MIN(1,OFFSET(TblMagic[[#This Row],[Wiz str]],-1,0)+0.04+ROUNDDOWN(10*OFFSET(TblMili[[#This Row],[WG''s]],-1,0),0)+ tech_2_7*OFFSET(TblTech[[#This Row],[2-7]],-1,0) + tech_5_6*OFFSET(TblTech[[#This Row],[5-6]],-1,0) )-TblMagic[[#This Row],[Wiz str cost]]</f>
        <v>1</v>
      </c>
      <c r="E36" s="159">
        <f ca="1">OFFSET(TblMagic[[#This Row],[Time]],-1,0)+1/24</f>
        <v>46048.333333333256</v>
      </c>
      <c r="F36" s="156">
        <f ca="1">TblImps[[#This Row],[Population]]</f>
        <v>1</v>
      </c>
      <c r="G36" s="218"/>
      <c r="H36" s="218"/>
      <c r="I36" s="218"/>
      <c r="J36" s="218"/>
      <c r="K36" s="405"/>
      <c r="L36" s="218"/>
      <c r="M36" s="218"/>
      <c r="N36" s="218"/>
      <c r="O36" s="218"/>
      <c r="P36" s="218"/>
      <c r="Q36" s="218"/>
      <c r="R36" s="218"/>
      <c r="S36" s="218"/>
      <c r="T36" s="218"/>
      <c r="U36" s="218"/>
      <c r="V36" s="218"/>
      <c r="W36" s="218"/>
      <c r="X36" s="142"/>
      <c r="Y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6" s="156">
        <f>SUMIF(TblMagic[[#This Row],[Gaia''s Watch]:[Useless spell]],1)*0.05</f>
        <v>0</v>
      </c>
      <c r="AA36" s="142"/>
      <c r="AB36" s="57">
        <f ca="1">IF(TblMagic[[#This Row],[Gaia''s Watch]],12,IF(OFFSET(TblMagic[[#This Row],[Active Gaia''s Watch]],-1,0)&gt;0,OFFSET(TblMagic[[#This Row],[Active Gaia''s Watch]],-1,0)-1,0))</f>
        <v>0</v>
      </c>
      <c r="AC36" s="57">
        <f ca="1">IF(TblMagic[[#This Row],[Mining Strength]],12,IF(OFFSET(TblMagic[[#This Row],[Active Mining Strength]],-1,0)&gt;0,OFFSET(TblMagic[[#This Row],[Active Mining Strength]],-1,0)-1,0))</f>
        <v>0</v>
      </c>
      <c r="AD36" s="57">
        <f ca="1">IF(TblMagic[[#This Row],[Ares Call]],12,IF(OFFSET(TblMagic[[#This Row],[Active Ares Call]],-1,0)&gt;0,OFFSET(TblMagic[[#This Row],[Active Ares Call]],-1,0)-1,0))</f>
        <v>0</v>
      </c>
      <c r="AE36" s="57">
        <f ca="1">IF(TblMagic[[#This Row],[Midas Touch]],12,IF(OFFSET(TblMagic[[#This Row],[Active Midas Touch]],-1,0)&gt;0,OFFSET(TblMagic[[#This Row],[Active Midas Touch]],-1,0)-1,0))</f>
        <v>0</v>
      </c>
      <c r="AF36" s="57">
        <f ca="1">IF(TblMagic[[#This Row],[Harmony]],12,IF(OFFSET(TblMagic[[#This Row],[Active Harmony]],-1,0)&gt;0,OFFSET(TblMagic[[#This Row],[Active Harmony]],-1,0)-1,0))</f>
        <v>0</v>
      </c>
      <c r="AG36" s="57">
        <f ca="1">IF(TblMagic[[#This Row],[Miner''s Sight]],12,IF(OFFSET(TblMagic[[#This Row],[Active Miner''s Sight]],-1,0)&gt;0,OFFSET(TblMagic[[#This Row],[Active Miner''s Sight]],-1,0)-1,0))</f>
        <v>0</v>
      </c>
      <c r="AH36" s="57">
        <f ca="1">IF(TblMagic[[#This Row],[Mechanical Genius]],12,IF(OFFSET(TblMagic[[#This Row],[Active Mechanical Genius]],-1,0)&gt;0,OFFSET(TblMagic[[#This Row],[Active Mechanical Genius]],-1,0)-1,0))</f>
        <v>0</v>
      </c>
      <c r="AI36" s="57">
        <f ca="1">IF(TblMagic[[#This Row],[Death and Decay]],12,IF(OFFSET(TblMagic[[#This Row],[Active DnD]],-1,0)&gt;0,OFFSET(TblMagic[[#This Row],[Active DnD]],-1,0)-1,0))</f>
        <v>0</v>
      </c>
      <c r="AJ36" s="57">
        <f ca="1">IF(TblMagic[[#This Row],[Killing Rage / Bloodrage / Crusade]],12,IF(OFFSET(TblMagic[[#This Row],[Active Warsong / Killing Rage / Bloodrage]],-1,0)&gt;0,OFFSET(TblMagic[[#This Row],[Active Warsong / Killing Rage / Bloodrage]],-1,0)-1,0))</f>
        <v>0</v>
      </c>
      <c r="AK36" s="57">
        <f ca="1">IF(TblMagic[[#This Row],[Gaia''s Blessing]],12,IF(OFFSET(TblMagic[[#This Row],[Active Gaia''s Blessing]],-1,0)&gt;0,OFFSET(TblMagic[[#This Row],[Active Gaia''s Blessing]],-1,0)-1,0))</f>
        <v>0</v>
      </c>
      <c r="AL36" s="57">
        <f ca="1">IF(TblMagic[[#This Row],[Howling]],12,IF(OFFSET(TblMagic[[#This Row],[Active Howling]],-1,0)&gt;0,OFFSET(TblMagic[[#This Row],[Active Howling]],-1,0)-1,0))</f>
        <v>0</v>
      </c>
      <c r="AM36" s="57">
        <f ca="1">IF(TblMagic[[#This Row],[Alchemist Frost]],12,IF(OFFSET(TblMagic[[#This Row],[Active Alch Frost]],-1,0)&gt;0,OFFSET(TblMagic[[#This Row],[Active Alch Frost]],-1,0)-1,0))</f>
        <v>0</v>
      </c>
      <c r="AN36" s="57">
        <f ca="1">IF(TblMagic[[#This Row],[Alchemists Flame]],12,IF(OFFSET(TblMagic[[#This Row],[Active Alchemists Flame]],-1,0)&gt;0,OFFSET(TblMagic[[#This Row],[Active Alchemists Flame]],-1,0)-1,0))</f>
        <v>0</v>
      </c>
      <c r="AO36" s="57">
        <f ca="1">IF(TblMagic[[#This Row],[Nightfall]],12,IF(OFFSET(TblMagic[[#This Row],[Active Nightfall]],-1,0)&gt;0,OFFSET(TblMagic[[#This Row],[Active Nightfall]],-1,0)-1,0))</f>
        <v>0</v>
      </c>
      <c r="AP36" s="57">
        <f ca="1">IF(TblMagic[[#This Row],[Favorable Terrain]],12,IF(OFFSET(TblMagic[[#This Row],[Active Favorable Terrain]],-1,0)&gt;0,OFFSET(TblMagic[[#This Row],[Active Favorable Terrain]],-1,0)-1,0))</f>
        <v>0</v>
      </c>
      <c r="AQ36" s="57">
        <f ca="1">IF(TblMagic[[#This Row],[Infernal Command]],12,IF(OFFSET(TblMagic[[#This Row],[Active Infernal Command]],-1,0)&gt;0,OFFSET(TblMagic[[#This Row],[Active Infernal Command]],-1,0)-1,0))</f>
        <v>0</v>
      </c>
    </row>
    <row r="37" spans="1:43" x14ac:dyDescent="0.2">
      <c r="A37" s="137">
        <f>TblRezone[[#This Row],[Hour]]</f>
        <v>34</v>
      </c>
      <c r="B37" s="154">
        <f ca="1">TblConstr[[#This Row],[Land]]</f>
        <v>110</v>
      </c>
      <c r="C37" s="94">
        <f ca="1">TblProd[[#This Row],[Mana]]</f>
        <v>0</v>
      </c>
      <c r="D37" s="156">
        <f ca="1">MIN(1,OFFSET(TblMagic[[#This Row],[Wiz str]],-1,0)+0.04+ROUNDDOWN(10*OFFSET(TblMili[[#This Row],[WG''s]],-1,0),0)+ tech_2_7*OFFSET(TblTech[[#This Row],[2-7]],-1,0) + tech_5_6*OFFSET(TblTech[[#This Row],[5-6]],-1,0) )-TblMagic[[#This Row],[Wiz str cost]]</f>
        <v>1</v>
      </c>
      <c r="E37" s="159">
        <f ca="1">OFFSET(TblMagic[[#This Row],[Time]],-1,0)+1/24</f>
        <v>46048.37499999992</v>
      </c>
      <c r="F37" s="156">
        <f ca="1">TblImps[[#This Row],[Population]]</f>
        <v>1</v>
      </c>
      <c r="G37" s="218"/>
      <c r="H37" s="218"/>
      <c r="I37" s="218"/>
      <c r="J37" s="218"/>
      <c r="K37" s="405"/>
      <c r="L37" s="218"/>
      <c r="M37" s="218"/>
      <c r="N37" s="218"/>
      <c r="O37" s="218"/>
      <c r="P37" s="218"/>
      <c r="Q37" s="218"/>
      <c r="R37" s="218"/>
      <c r="S37" s="218"/>
      <c r="T37" s="218"/>
      <c r="U37" s="218"/>
      <c r="V37" s="218"/>
      <c r="W37" s="218"/>
      <c r="X37" s="142"/>
      <c r="Y3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7" s="156">
        <f>SUMIF(TblMagic[[#This Row],[Gaia''s Watch]:[Useless spell]],1)*0.05</f>
        <v>0</v>
      </c>
      <c r="AA37" s="142"/>
      <c r="AB37" s="57">
        <f ca="1">IF(TblMagic[[#This Row],[Gaia''s Watch]],12,IF(OFFSET(TblMagic[[#This Row],[Active Gaia''s Watch]],-1,0)&gt;0,OFFSET(TblMagic[[#This Row],[Active Gaia''s Watch]],-1,0)-1,0))</f>
        <v>0</v>
      </c>
      <c r="AC37" s="57">
        <f ca="1">IF(TblMagic[[#This Row],[Mining Strength]],12,IF(OFFSET(TblMagic[[#This Row],[Active Mining Strength]],-1,0)&gt;0,OFFSET(TblMagic[[#This Row],[Active Mining Strength]],-1,0)-1,0))</f>
        <v>0</v>
      </c>
      <c r="AD37" s="57">
        <f ca="1">IF(TblMagic[[#This Row],[Ares Call]],12,IF(OFFSET(TblMagic[[#This Row],[Active Ares Call]],-1,0)&gt;0,OFFSET(TblMagic[[#This Row],[Active Ares Call]],-1,0)-1,0))</f>
        <v>0</v>
      </c>
      <c r="AE37" s="57">
        <f ca="1">IF(TblMagic[[#This Row],[Midas Touch]],12,IF(OFFSET(TblMagic[[#This Row],[Active Midas Touch]],-1,0)&gt;0,OFFSET(TblMagic[[#This Row],[Active Midas Touch]],-1,0)-1,0))</f>
        <v>0</v>
      </c>
      <c r="AF37" s="57">
        <f ca="1">IF(TblMagic[[#This Row],[Harmony]],12,IF(OFFSET(TblMagic[[#This Row],[Active Harmony]],-1,0)&gt;0,OFFSET(TblMagic[[#This Row],[Active Harmony]],-1,0)-1,0))</f>
        <v>0</v>
      </c>
      <c r="AG37" s="57">
        <f ca="1">IF(TblMagic[[#This Row],[Miner''s Sight]],12,IF(OFFSET(TblMagic[[#This Row],[Active Miner''s Sight]],-1,0)&gt;0,OFFSET(TblMagic[[#This Row],[Active Miner''s Sight]],-1,0)-1,0))</f>
        <v>0</v>
      </c>
      <c r="AH37" s="57">
        <f ca="1">IF(TblMagic[[#This Row],[Mechanical Genius]],12,IF(OFFSET(TblMagic[[#This Row],[Active Mechanical Genius]],-1,0)&gt;0,OFFSET(TblMagic[[#This Row],[Active Mechanical Genius]],-1,0)-1,0))</f>
        <v>0</v>
      </c>
      <c r="AI37" s="57">
        <f ca="1">IF(TblMagic[[#This Row],[Death and Decay]],12,IF(OFFSET(TblMagic[[#This Row],[Active DnD]],-1,0)&gt;0,OFFSET(TblMagic[[#This Row],[Active DnD]],-1,0)-1,0))</f>
        <v>0</v>
      </c>
      <c r="AJ37" s="57">
        <f ca="1">IF(TblMagic[[#This Row],[Killing Rage / Bloodrage / Crusade]],12,IF(OFFSET(TblMagic[[#This Row],[Active Warsong / Killing Rage / Bloodrage]],-1,0)&gt;0,OFFSET(TblMagic[[#This Row],[Active Warsong / Killing Rage / Bloodrage]],-1,0)-1,0))</f>
        <v>0</v>
      </c>
      <c r="AK37" s="57">
        <f ca="1">IF(TblMagic[[#This Row],[Gaia''s Blessing]],12,IF(OFFSET(TblMagic[[#This Row],[Active Gaia''s Blessing]],-1,0)&gt;0,OFFSET(TblMagic[[#This Row],[Active Gaia''s Blessing]],-1,0)-1,0))</f>
        <v>0</v>
      </c>
      <c r="AL37" s="57">
        <f ca="1">IF(TblMagic[[#This Row],[Howling]],12,IF(OFFSET(TblMagic[[#This Row],[Active Howling]],-1,0)&gt;0,OFFSET(TblMagic[[#This Row],[Active Howling]],-1,0)-1,0))</f>
        <v>0</v>
      </c>
      <c r="AM37" s="57">
        <f ca="1">IF(TblMagic[[#This Row],[Alchemist Frost]],12,IF(OFFSET(TblMagic[[#This Row],[Active Alch Frost]],-1,0)&gt;0,OFFSET(TblMagic[[#This Row],[Active Alch Frost]],-1,0)-1,0))</f>
        <v>0</v>
      </c>
      <c r="AN37" s="57">
        <f ca="1">IF(TblMagic[[#This Row],[Alchemists Flame]],12,IF(OFFSET(TblMagic[[#This Row],[Active Alchemists Flame]],-1,0)&gt;0,OFFSET(TblMagic[[#This Row],[Active Alchemists Flame]],-1,0)-1,0))</f>
        <v>0</v>
      </c>
      <c r="AO37" s="57">
        <f ca="1">IF(TblMagic[[#This Row],[Nightfall]],12,IF(OFFSET(TblMagic[[#This Row],[Active Nightfall]],-1,0)&gt;0,OFFSET(TblMagic[[#This Row],[Active Nightfall]],-1,0)-1,0))</f>
        <v>0</v>
      </c>
      <c r="AP37" s="57">
        <f ca="1">IF(TblMagic[[#This Row],[Favorable Terrain]],12,IF(OFFSET(TblMagic[[#This Row],[Active Favorable Terrain]],-1,0)&gt;0,OFFSET(TblMagic[[#This Row],[Active Favorable Terrain]],-1,0)-1,0))</f>
        <v>0</v>
      </c>
      <c r="AQ37" s="57">
        <f ca="1">IF(TblMagic[[#This Row],[Infernal Command]],12,IF(OFFSET(TblMagic[[#This Row],[Active Infernal Command]],-1,0)&gt;0,OFFSET(TblMagic[[#This Row],[Active Infernal Command]],-1,0)-1,0))</f>
        <v>0</v>
      </c>
    </row>
    <row r="38" spans="1:43" x14ac:dyDescent="0.2">
      <c r="A38" s="137">
        <f>TblRezone[[#This Row],[Hour]]</f>
        <v>35</v>
      </c>
      <c r="B38" s="154">
        <f ca="1">TblConstr[[#This Row],[Land]]</f>
        <v>110</v>
      </c>
      <c r="C38" s="94">
        <f ca="1">TblProd[[#This Row],[Mana]]</f>
        <v>0</v>
      </c>
      <c r="D38" s="156">
        <f ca="1">MIN(1,OFFSET(TblMagic[[#This Row],[Wiz str]],-1,0)+0.04+ROUNDDOWN(10*OFFSET(TblMili[[#This Row],[WG''s]],-1,0),0)+ tech_2_7*OFFSET(TblTech[[#This Row],[2-7]],-1,0) + tech_5_6*OFFSET(TblTech[[#This Row],[5-6]],-1,0) )-TblMagic[[#This Row],[Wiz str cost]]</f>
        <v>1</v>
      </c>
      <c r="E38" s="159">
        <f ca="1">OFFSET(TblMagic[[#This Row],[Time]],-1,0)+1/24</f>
        <v>46048.416666666584</v>
      </c>
      <c r="F38" s="156">
        <f ca="1">TblImps[[#This Row],[Population]]</f>
        <v>1</v>
      </c>
      <c r="G38" s="218"/>
      <c r="H38" s="218"/>
      <c r="I38" s="218"/>
      <c r="J38" s="218"/>
      <c r="K38" s="405"/>
      <c r="L38" s="218"/>
      <c r="M38" s="218"/>
      <c r="N38" s="218"/>
      <c r="O38" s="218"/>
      <c r="P38" s="218"/>
      <c r="Q38" s="218"/>
      <c r="R38" s="218"/>
      <c r="S38" s="218"/>
      <c r="T38" s="218"/>
      <c r="U38" s="218"/>
      <c r="V38" s="218"/>
      <c r="W38" s="218"/>
      <c r="X38" s="142"/>
      <c r="Y3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8" s="156">
        <f>SUMIF(TblMagic[[#This Row],[Gaia''s Watch]:[Useless spell]],1)*0.05</f>
        <v>0</v>
      </c>
      <c r="AA38" s="142"/>
      <c r="AB38" s="57">
        <f ca="1">IF(TblMagic[[#This Row],[Gaia''s Watch]],12,IF(OFFSET(TblMagic[[#This Row],[Active Gaia''s Watch]],-1,0)&gt;0,OFFSET(TblMagic[[#This Row],[Active Gaia''s Watch]],-1,0)-1,0))</f>
        <v>0</v>
      </c>
      <c r="AC38" s="57">
        <f ca="1">IF(TblMagic[[#This Row],[Mining Strength]],12,IF(OFFSET(TblMagic[[#This Row],[Active Mining Strength]],-1,0)&gt;0,OFFSET(TblMagic[[#This Row],[Active Mining Strength]],-1,0)-1,0))</f>
        <v>0</v>
      </c>
      <c r="AD38" s="57">
        <f ca="1">IF(TblMagic[[#This Row],[Ares Call]],12,IF(OFFSET(TblMagic[[#This Row],[Active Ares Call]],-1,0)&gt;0,OFFSET(TblMagic[[#This Row],[Active Ares Call]],-1,0)-1,0))</f>
        <v>0</v>
      </c>
      <c r="AE38" s="57">
        <f ca="1">IF(TblMagic[[#This Row],[Midas Touch]],12,IF(OFFSET(TblMagic[[#This Row],[Active Midas Touch]],-1,0)&gt;0,OFFSET(TblMagic[[#This Row],[Active Midas Touch]],-1,0)-1,0))</f>
        <v>0</v>
      </c>
      <c r="AF38" s="57">
        <f ca="1">IF(TblMagic[[#This Row],[Harmony]],12,IF(OFFSET(TblMagic[[#This Row],[Active Harmony]],-1,0)&gt;0,OFFSET(TblMagic[[#This Row],[Active Harmony]],-1,0)-1,0))</f>
        <v>0</v>
      </c>
      <c r="AG38" s="57">
        <f ca="1">IF(TblMagic[[#This Row],[Miner''s Sight]],12,IF(OFFSET(TblMagic[[#This Row],[Active Miner''s Sight]],-1,0)&gt;0,OFFSET(TblMagic[[#This Row],[Active Miner''s Sight]],-1,0)-1,0))</f>
        <v>0</v>
      </c>
      <c r="AH38" s="57">
        <f ca="1">IF(TblMagic[[#This Row],[Mechanical Genius]],12,IF(OFFSET(TblMagic[[#This Row],[Active Mechanical Genius]],-1,0)&gt;0,OFFSET(TblMagic[[#This Row],[Active Mechanical Genius]],-1,0)-1,0))</f>
        <v>0</v>
      </c>
      <c r="AI38" s="57">
        <f ca="1">IF(TblMagic[[#This Row],[Death and Decay]],12,IF(OFFSET(TblMagic[[#This Row],[Active DnD]],-1,0)&gt;0,OFFSET(TblMagic[[#This Row],[Active DnD]],-1,0)-1,0))</f>
        <v>0</v>
      </c>
      <c r="AJ38" s="57">
        <f ca="1">IF(TblMagic[[#This Row],[Killing Rage / Bloodrage / Crusade]],12,IF(OFFSET(TblMagic[[#This Row],[Active Warsong / Killing Rage / Bloodrage]],-1,0)&gt;0,OFFSET(TblMagic[[#This Row],[Active Warsong / Killing Rage / Bloodrage]],-1,0)-1,0))</f>
        <v>0</v>
      </c>
      <c r="AK38" s="57">
        <f ca="1">IF(TblMagic[[#This Row],[Gaia''s Blessing]],12,IF(OFFSET(TblMagic[[#This Row],[Active Gaia''s Blessing]],-1,0)&gt;0,OFFSET(TblMagic[[#This Row],[Active Gaia''s Blessing]],-1,0)-1,0))</f>
        <v>0</v>
      </c>
      <c r="AL38" s="57">
        <f ca="1">IF(TblMagic[[#This Row],[Howling]],12,IF(OFFSET(TblMagic[[#This Row],[Active Howling]],-1,0)&gt;0,OFFSET(TblMagic[[#This Row],[Active Howling]],-1,0)-1,0))</f>
        <v>0</v>
      </c>
      <c r="AM38" s="57">
        <f ca="1">IF(TblMagic[[#This Row],[Alchemist Frost]],12,IF(OFFSET(TblMagic[[#This Row],[Active Alch Frost]],-1,0)&gt;0,OFFSET(TblMagic[[#This Row],[Active Alch Frost]],-1,0)-1,0))</f>
        <v>0</v>
      </c>
      <c r="AN38" s="57">
        <f ca="1">IF(TblMagic[[#This Row],[Alchemists Flame]],12,IF(OFFSET(TblMagic[[#This Row],[Active Alchemists Flame]],-1,0)&gt;0,OFFSET(TblMagic[[#This Row],[Active Alchemists Flame]],-1,0)-1,0))</f>
        <v>0</v>
      </c>
      <c r="AO38" s="57">
        <f ca="1">IF(TblMagic[[#This Row],[Nightfall]],12,IF(OFFSET(TblMagic[[#This Row],[Active Nightfall]],-1,0)&gt;0,OFFSET(TblMagic[[#This Row],[Active Nightfall]],-1,0)-1,0))</f>
        <v>0</v>
      </c>
      <c r="AP38" s="57">
        <f ca="1">IF(TblMagic[[#This Row],[Favorable Terrain]],12,IF(OFFSET(TblMagic[[#This Row],[Active Favorable Terrain]],-1,0)&gt;0,OFFSET(TblMagic[[#This Row],[Active Favorable Terrain]],-1,0)-1,0))</f>
        <v>0</v>
      </c>
      <c r="AQ38" s="57">
        <f ca="1">IF(TblMagic[[#This Row],[Infernal Command]],12,IF(OFFSET(TblMagic[[#This Row],[Active Infernal Command]],-1,0)&gt;0,OFFSET(TblMagic[[#This Row],[Active Infernal Command]],-1,0)-1,0))</f>
        <v>0</v>
      </c>
    </row>
    <row r="39" spans="1:43" x14ac:dyDescent="0.2">
      <c r="A39" s="137">
        <f>TblRezone[[#This Row],[Hour]]</f>
        <v>36</v>
      </c>
      <c r="B39" s="154">
        <f ca="1">TblConstr[[#This Row],[Land]]</f>
        <v>110</v>
      </c>
      <c r="C39" s="94">
        <f ca="1">TblProd[[#This Row],[Mana]]</f>
        <v>0</v>
      </c>
      <c r="D39" s="156">
        <f ca="1">MIN(1,OFFSET(TblMagic[[#This Row],[Wiz str]],-1,0)+0.04+ROUNDDOWN(10*OFFSET(TblMili[[#This Row],[WG''s]],-1,0),0)+ tech_2_7*OFFSET(TblTech[[#This Row],[2-7]],-1,0) + tech_5_6*OFFSET(TblTech[[#This Row],[5-6]],-1,0) )-TblMagic[[#This Row],[Wiz str cost]]</f>
        <v>1</v>
      </c>
      <c r="E39" s="159">
        <f ca="1">OFFSET(TblMagic[[#This Row],[Time]],-1,0)+1/24</f>
        <v>46048.458333333248</v>
      </c>
      <c r="F39" s="156">
        <f ca="1">TblImps[[#This Row],[Population]]</f>
        <v>1</v>
      </c>
      <c r="G39" s="218"/>
      <c r="H39" s="218"/>
      <c r="I39" s="218"/>
      <c r="J39" s="218"/>
      <c r="K39" s="405"/>
      <c r="L39" s="218"/>
      <c r="M39" s="218"/>
      <c r="N39" s="218"/>
      <c r="O39" s="218"/>
      <c r="P39" s="218"/>
      <c r="Q39" s="218"/>
      <c r="R39" s="218"/>
      <c r="S39" s="218"/>
      <c r="T39" s="218"/>
      <c r="U39" s="218"/>
      <c r="V39" s="218"/>
      <c r="W39" s="218"/>
      <c r="X39" s="142"/>
      <c r="Y3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39" s="156">
        <f>SUMIF(TblMagic[[#This Row],[Gaia''s Watch]:[Useless spell]],1)*0.05</f>
        <v>0</v>
      </c>
      <c r="AA39" s="142"/>
      <c r="AB39" s="57">
        <f ca="1">IF(TblMagic[[#This Row],[Gaia''s Watch]],12,IF(OFFSET(TblMagic[[#This Row],[Active Gaia''s Watch]],-1,0)&gt;0,OFFSET(TblMagic[[#This Row],[Active Gaia''s Watch]],-1,0)-1,0))</f>
        <v>0</v>
      </c>
      <c r="AC39" s="57">
        <f ca="1">IF(TblMagic[[#This Row],[Mining Strength]],12,IF(OFFSET(TblMagic[[#This Row],[Active Mining Strength]],-1,0)&gt;0,OFFSET(TblMagic[[#This Row],[Active Mining Strength]],-1,0)-1,0))</f>
        <v>0</v>
      </c>
      <c r="AD39" s="57">
        <f ca="1">IF(TblMagic[[#This Row],[Ares Call]],12,IF(OFFSET(TblMagic[[#This Row],[Active Ares Call]],-1,0)&gt;0,OFFSET(TblMagic[[#This Row],[Active Ares Call]],-1,0)-1,0))</f>
        <v>0</v>
      </c>
      <c r="AE39" s="57">
        <f ca="1">IF(TblMagic[[#This Row],[Midas Touch]],12,IF(OFFSET(TblMagic[[#This Row],[Active Midas Touch]],-1,0)&gt;0,OFFSET(TblMagic[[#This Row],[Active Midas Touch]],-1,0)-1,0))</f>
        <v>0</v>
      </c>
      <c r="AF39" s="57">
        <f ca="1">IF(TblMagic[[#This Row],[Harmony]],12,IF(OFFSET(TblMagic[[#This Row],[Active Harmony]],-1,0)&gt;0,OFFSET(TblMagic[[#This Row],[Active Harmony]],-1,0)-1,0))</f>
        <v>0</v>
      </c>
      <c r="AG39" s="57">
        <f ca="1">IF(TblMagic[[#This Row],[Miner''s Sight]],12,IF(OFFSET(TblMagic[[#This Row],[Active Miner''s Sight]],-1,0)&gt;0,OFFSET(TblMagic[[#This Row],[Active Miner''s Sight]],-1,0)-1,0))</f>
        <v>0</v>
      </c>
      <c r="AH39" s="57">
        <f ca="1">IF(TblMagic[[#This Row],[Mechanical Genius]],12,IF(OFFSET(TblMagic[[#This Row],[Active Mechanical Genius]],-1,0)&gt;0,OFFSET(TblMagic[[#This Row],[Active Mechanical Genius]],-1,0)-1,0))</f>
        <v>0</v>
      </c>
      <c r="AI39" s="57">
        <f ca="1">IF(TblMagic[[#This Row],[Death and Decay]],12,IF(OFFSET(TblMagic[[#This Row],[Active DnD]],-1,0)&gt;0,OFFSET(TblMagic[[#This Row],[Active DnD]],-1,0)-1,0))</f>
        <v>0</v>
      </c>
      <c r="AJ39" s="57">
        <f ca="1">IF(TblMagic[[#This Row],[Killing Rage / Bloodrage / Crusade]],12,IF(OFFSET(TblMagic[[#This Row],[Active Warsong / Killing Rage / Bloodrage]],-1,0)&gt;0,OFFSET(TblMagic[[#This Row],[Active Warsong / Killing Rage / Bloodrage]],-1,0)-1,0))</f>
        <v>0</v>
      </c>
      <c r="AK39" s="57">
        <f ca="1">IF(TblMagic[[#This Row],[Gaia''s Blessing]],12,IF(OFFSET(TblMagic[[#This Row],[Active Gaia''s Blessing]],-1,0)&gt;0,OFFSET(TblMagic[[#This Row],[Active Gaia''s Blessing]],-1,0)-1,0))</f>
        <v>0</v>
      </c>
      <c r="AL39" s="57">
        <f ca="1">IF(TblMagic[[#This Row],[Howling]],12,IF(OFFSET(TblMagic[[#This Row],[Active Howling]],-1,0)&gt;0,OFFSET(TblMagic[[#This Row],[Active Howling]],-1,0)-1,0))</f>
        <v>0</v>
      </c>
      <c r="AM39" s="57">
        <f ca="1">IF(TblMagic[[#This Row],[Alchemist Frost]],12,IF(OFFSET(TblMagic[[#This Row],[Active Alch Frost]],-1,0)&gt;0,OFFSET(TblMagic[[#This Row],[Active Alch Frost]],-1,0)-1,0))</f>
        <v>0</v>
      </c>
      <c r="AN39" s="57">
        <f ca="1">IF(TblMagic[[#This Row],[Alchemists Flame]],12,IF(OFFSET(TblMagic[[#This Row],[Active Alchemists Flame]],-1,0)&gt;0,OFFSET(TblMagic[[#This Row],[Active Alchemists Flame]],-1,0)-1,0))</f>
        <v>0</v>
      </c>
      <c r="AO39" s="57">
        <f ca="1">IF(TblMagic[[#This Row],[Nightfall]],12,IF(OFFSET(TblMagic[[#This Row],[Active Nightfall]],-1,0)&gt;0,OFFSET(TblMagic[[#This Row],[Active Nightfall]],-1,0)-1,0))</f>
        <v>0</v>
      </c>
      <c r="AP39" s="57">
        <f ca="1">IF(TblMagic[[#This Row],[Favorable Terrain]],12,IF(OFFSET(TblMagic[[#This Row],[Active Favorable Terrain]],-1,0)&gt;0,OFFSET(TblMagic[[#This Row],[Active Favorable Terrain]],-1,0)-1,0))</f>
        <v>0</v>
      </c>
      <c r="AQ39" s="57">
        <f ca="1">IF(TblMagic[[#This Row],[Infernal Command]],12,IF(OFFSET(TblMagic[[#This Row],[Active Infernal Command]],-1,0)&gt;0,OFFSET(TblMagic[[#This Row],[Active Infernal Command]],-1,0)-1,0))</f>
        <v>0</v>
      </c>
    </row>
    <row r="40" spans="1:43" s="5" customFormat="1" x14ac:dyDescent="0.2">
      <c r="A40" s="144">
        <f>TblRezone[[#This Row],[Hour]]</f>
        <v>37</v>
      </c>
      <c r="B40" s="162">
        <f ca="1">TblConstr[[#This Row],[Land]]</f>
        <v>110</v>
      </c>
      <c r="C40" s="35">
        <f ca="1">TblProd[[#This Row],[Mana]]</f>
        <v>0</v>
      </c>
      <c r="D40" s="164">
        <f ca="1">MIN(1,OFFSET(TblMagic[[#This Row],[Wiz str]],-1,0)+0.04+ROUNDDOWN(10*OFFSET(TblMili[[#This Row],[WG''s]],-1,0),0)+ tech_2_7*OFFSET(TblTech[[#This Row],[2-7]],-1,0) + tech_5_6*OFFSET(TblTech[[#This Row],[5-6]],-1,0) )-TblMagic[[#This Row],[Wiz str cost]]</f>
        <v>1</v>
      </c>
      <c r="E40" s="167">
        <f ca="1">OFFSET(TblMagic[[#This Row],[Time]],-1,0)+1/24</f>
        <v>46048.499999999913</v>
      </c>
      <c r="F40" s="164">
        <f ca="1">TblImps[[#This Row],[Population]]</f>
        <v>1</v>
      </c>
      <c r="G40" s="233"/>
      <c r="H40" s="233"/>
      <c r="I40" s="233"/>
      <c r="J40" s="233"/>
      <c r="K40" s="406"/>
      <c r="L40" s="233"/>
      <c r="M40" s="233"/>
      <c r="N40" s="233"/>
      <c r="O40" s="233"/>
      <c r="P40" s="233"/>
      <c r="Q40" s="233"/>
      <c r="R40" s="233"/>
      <c r="S40" s="233"/>
      <c r="T40" s="233"/>
      <c r="U40" s="233"/>
      <c r="V40" s="233"/>
      <c r="W40" s="233"/>
      <c r="X40" s="149"/>
      <c r="Y40" s="35">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0" s="164">
        <f>SUMIF(TblMagic[[#This Row],[Gaia''s Watch]:[Useless spell]],1)*0.05</f>
        <v>0</v>
      </c>
      <c r="AA40" s="149"/>
      <c r="AB40" s="28">
        <f ca="1">IF(TblMagic[[#This Row],[Gaia''s Watch]],12,IF(OFFSET(TblMagic[[#This Row],[Active Gaia''s Watch]],-1,0)&gt;0,OFFSET(TblMagic[[#This Row],[Active Gaia''s Watch]],-1,0)-1,0))</f>
        <v>0</v>
      </c>
      <c r="AC40" s="28">
        <f ca="1">IF(TblMagic[[#This Row],[Mining Strength]],12,IF(OFFSET(TblMagic[[#This Row],[Active Mining Strength]],-1,0)&gt;0,OFFSET(TblMagic[[#This Row],[Active Mining Strength]],-1,0)-1,0))</f>
        <v>0</v>
      </c>
      <c r="AD40" s="28">
        <f ca="1">IF(TblMagic[[#This Row],[Ares Call]],12,IF(OFFSET(TblMagic[[#This Row],[Active Ares Call]],-1,0)&gt;0,OFFSET(TblMagic[[#This Row],[Active Ares Call]],-1,0)-1,0))</f>
        <v>0</v>
      </c>
      <c r="AE40" s="28">
        <f ca="1">IF(TblMagic[[#This Row],[Midas Touch]],12,IF(OFFSET(TblMagic[[#This Row],[Active Midas Touch]],-1,0)&gt;0,OFFSET(TblMagic[[#This Row],[Active Midas Touch]],-1,0)-1,0))</f>
        <v>0</v>
      </c>
      <c r="AF40" s="28">
        <f ca="1">IF(TblMagic[[#This Row],[Harmony]],12,IF(OFFSET(TblMagic[[#This Row],[Active Harmony]],-1,0)&gt;0,OFFSET(TblMagic[[#This Row],[Active Harmony]],-1,0)-1,0))</f>
        <v>0</v>
      </c>
      <c r="AG40" s="28">
        <f ca="1">IF(TblMagic[[#This Row],[Miner''s Sight]],12,IF(OFFSET(TblMagic[[#This Row],[Active Miner''s Sight]],-1,0)&gt;0,OFFSET(TblMagic[[#This Row],[Active Miner''s Sight]],-1,0)-1,0))</f>
        <v>0</v>
      </c>
      <c r="AH40" s="28">
        <f ca="1">IF(TblMagic[[#This Row],[Mechanical Genius]],12,IF(OFFSET(TblMagic[[#This Row],[Active Mechanical Genius]],-1,0)&gt;0,OFFSET(TblMagic[[#This Row],[Active Mechanical Genius]],-1,0)-1,0))</f>
        <v>0</v>
      </c>
      <c r="AI40" s="28">
        <f ca="1">IF(TblMagic[[#This Row],[Death and Decay]],12,IF(OFFSET(TblMagic[[#This Row],[Active DnD]],-1,0)&gt;0,OFFSET(TblMagic[[#This Row],[Active DnD]],-1,0)-1,0))</f>
        <v>0</v>
      </c>
      <c r="AJ40" s="28">
        <f ca="1">IF(TblMagic[[#This Row],[Killing Rage / Bloodrage / Crusade]],12,IF(OFFSET(TblMagic[[#This Row],[Active Warsong / Killing Rage / Bloodrage]],-1,0)&gt;0,OFFSET(TblMagic[[#This Row],[Active Warsong / Killing Rage / Bloodrage]],-1,0)-1,0))</f>
        <v>0</v>
      </c>
      <c r="AK40" s="28">
        <f ca="1">IF(TblMagic[[#This Row],[Gaia''s Blessing]],12,IF(OFFSET(TblMagic[[#This Row],[Active Gaia''s Blessing]],-1,0)&gt;0,OFFSET(TblMagic[[#This Row],[Active Gaia''s Blessing]],-1,0)-1,0))</f>
        <v>0</v>
      </c>
      <c r="AL40" s="28">
        <f ca="1">IF(TblMagic[[#This Row],[Howling]],12,IF(OFFSET(TblMagic[[#This Row],[Active Howling]],-1,0)&gt;0,OFFSET(TblMagic[[#This Row],[Active Howling]],-1,0)-1,0))</f>
        <v>0</v>
      </c>
      <c r="AM40" s="28">
        <f ca="1">IF(TblMagic[[#This Row],[Alchemist Frost]],12,IF(OFFSET(TblMagic[[#This Row],[Active Alch Frost]],-1,0)&gt;0,OFFSET(TblMagic[[#This Row],[Active Alch Frost]],-1,0)-1,0))</f>
        <v>0</v>
      </c>
      <c r="AN40" s="28">
        <f ca="1">IF(TblMagic[[#This Row],[Alchemists Flame]],12,IF(OFFSET(TblMagic[[#This Row],[Active Alchemists Flame]],-1,0)&gt;0,OFFSET(TblMagic[[#This Row],[Active Alchemists Flame]],-1,0)-1,0))</f>
        <v>0</v>
      </c>
      <c r="AO40" s="28">
        <f ca="1">IF(TblMagic[[#This Row],[Nightfall]],12,IF(OFFSET(TblMagic[[#This Row],[Active Nightfall]],-1,0)&gt;0,OFFSET(TblMagic[[#This Row],[Active Nightfall]],-1,0)-1,0))</f>
        <v>0</v>
      </c>
      <c r="AP40" s="28">
        <f ca="1">IF(TblMagic[[#This Row],[Favorable Terrain]],12,IF(OFFSET(TblMagic[[#This Row],[Active Favorable Terrain]],-1,0)&gt;0,OFFSET(TblMagic[[#This Row],[Active Favorable Terrain]],-1,0)-1,0))</f>
        <v>0</v>
      </c>
      <c r="AQ40" s="28">
        <f ca="1">IF(TblMagic[[#This Row],[Infernal Command]],12,IF(OFFSET(TblMagic[[#This Row],[Active Infernal Command]],-1,0)&gt;0,OFFSET(TblMagic[[#This Row],[Active Infernal Command]],-1,0)-1,0))</f>
        <v>0</v>
      </c>
    </row>
    <row r="41" spans="1:43" x14ac:dyDescent="0.2">
      <c r="A41" s="137">
        <f>TblRezone[[#This Row],[Hour]]</f>
        <v>38</v>
      </c>
      <c r="B41" s="154">
        <f ca="1">TblConstr[[#This Row],[Land]]</f>
        <v>110</v>
      </c>
      <c r="C41" s="94">
        <f ca="1">TblProd[[#This Row],[Mana]]</f>
        <v>0</v>
      </c>
      <c r="D41" s="156">
        <f ca="1">MIN(1,OFFSET(TblMagic[[#This Row],[Wiz str]],-1,0)+0.04+ROUNDDOWN(10*OFFSET(TblMili[[#This Row],[WG''s]],-1,0),0)+ tech_2_7*OFFSET(TblTech[[#This Row],[2-7]],-1,0) + tech_5_6*OFFSET(TblTech[[#This Row],[5-6]],-1,0) )-TblMagic[[#This Row],[Wiz str cost]]</f>
        <v>1</v>
      </c>
      <c r="E41" s="159">
        <f ca="1">OFFSET(TblMagic[[#This Row],[Time]],-1,0)+1/24</f>
        <v>46048.541666666577</v>
      </c>
      <c r="F41" s="156">
        <f ca="1">TblImps[[#This Row],[Population]]</f>
        <v>1</v>
      </c>
      <c r="G41" s="218"/>
      <c r="H41" s="218"/>
      <c r="I41" s="218"/>
      <c r="J41" s="218"/>
      <c r="K41" s="405"/>
      <c r="L41" s="218"/>
      <c r="M41" s="218"/>
      <c r="N41" s="218"/>
      <c r="O41" s="218"/>
      <c r="P41" s="218"/>
      <c r="Q41" s="218"/>
      <c r="R41" s="218"/>
      <c r="S41" s="218"/>
      <c r="T41" s="218"/>
      <c r="U41" s="218"/>
      <c r="V41" s="218"/>
      <c r="W41" s="218"/>
      <c r="X41" s="142"/>
      <c r="Y4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1" s="156">
        <f>SUMIF(TblMagic[[#This Row],[Gaia''s Watch]:[Useless spell]],1)*0.05</f>
        <v>0</v>
      </c>
      <c r="AA41" s="142"/>
      <c r="AB41" s="57">
        <f ca="1">IF(TblMagic[[#This Row],[Gaia''s Watch]],12,IF(OFFSET(TblMagic[[#This Row],[Active Gaia''s Watch]],-1,0)&gt;0,OFFSET(TblMagic[[#This Row],[Active Gaia''s Watch]],-1,0)-1,0))</f>
        <v>0</v>
      </c>
      <c r="AC41" s="57">
        <f ca="1">IF(TblMagic[[#This Row],[Mining Strength]],12,IF(OFFSET(TblMagic[[#This Row],[Active Mining Strength]],-1,0)&gt;0,OFFSET(TblMagic[[#This Row],[Active Mining Strength]],-1,0)-1,0))</f>
        <v>0</v>
      </c>
      <c r="AD41" s="57">
        <f ca="1">IF(TblMagic[[#This Row],[Ares Call]],12,IF(OFFSET(TblMagic[[#This Row],[Active Ares Call]],-1,0)&gt;0,OFFSET(TblMagic[[#This Row],[Active Ares Call]],-1,0)-1,0))</f>
        <v>0</v>
      </c>
      <c r="AE41" s="57">
        <f ca="1">IF(TblMagic[[#This Row],[Midas Touch]],12,IF(OFFSET(TblMagic[[#This Row],[Active Midas Touch]],-1,0)&gt;0,OFFSET(TblMagic[[#This Row],[Active Midas Touch]],-1,0)-1,0))</f>
        <v>0</v>
      </c>
      <c r="AF41" s="57">
        <f ca="1">IF(TblMagic[[#This Row],[Harmony]],12,IF(OFFSET(TblMagic[[#This Row],[Active Harmony]],-1,0)&gt;0,OFFSET(TblMagic[[#This Row],[Active Harmony]],-1,0)-1,0))</f>
        <v>0</v>
      </c>
      <c r="AG41" s="57">
        <f ca="1">IF(TblMagic[[#This Row],[Miner''s Sight]],12,IF(OFFSET(TblMagic[[#This Row],[Active Miner''s Sight]],-1,0)&gt;0,OFFSET(TblMagic[[#This Row],[Active Miner''s Sight]],-1,0)-1,0))</f>
        <v>0</v>
      </c>
      <c r="AH41" s="57">
        <f ca="1">IF(TblMagic[[#This Row],[Mechanical Genius]],12,IF(OFFSET(TblMagic[[#This Row],[Active Mechanical Genius]],-1,0)&gt;0,OFFSET(TblMagic[[#This Row],[Active Mechanical Genius]],-1,0)-1,0))</f>
        <v>0</v>
      </c>
      <c r="AI41" s="57">
        <f ca="1">IF(TblMagic[[#This Row],[Death and Decay]],12,IF(OFFSET(TblMagic[[#This Row],[Active DnD]],-1,0)&gt;0,OFFSET(TblMagic[[#This Row],[Active DnD]],-1,0)-1,0))</f>
        <v>0</v>
      </c>
      <c r="AJ41" s="57">
        <f ca="1">IF(TblMagic[[#This Row],[Killing Rage / Bloodrage / Crusade]],12,IF(OFFSET(TblMagic[[#This Row],[Active Warsong / Killing Rage / Bloodrage]],-1,0)&gt;0,OFFSET(TblMagic[[#This Row],[Active Warsong / Killing Rage / Bloodrage]],-1,0)-1,0))</f>
        <v>0</v>
      </c>
      <c r="AK41" s="57">
        <f ca="1">IF(TblMagic[[#This Row],[Gaia''s Blessing]],12,IF(OFFSET(TblMagic[[#This Row],[Active Gaia''s Blessing]],-1,0)&gt;0,OFFSET(TblMagic[[#This Row],[Active Gaia''s Blessing]],-1,0)-1,0))</f>
        <v>0</v>
      </c>
      <c r="AL41" s="57">
        <f ca="1">IF(TblMagic[[#This Row],[Howling]],12,IF(OFFSET(TblMagic[[#This Row],[Active Howling]],-1,0)&gt;0,OFFSET(TblMagic[[#This Row],[Active Howling]],-1,0)-1,0))</f>
        <v>0</v>
      </c>
      <c r="AM41" s="57">
        <f ca="1">IF(TblMagic[[#This Row],[Alchemist Frost]],12,IF(OFFSET(TblMagic[[#This Row],[Active Alch Frost]],-1,0)&gt;0,OFFSET(TblMagic[[#This Row],[Active Alch Frost]],-1,0)-1,0))</f>
        <v>0</v>
      </c>
      <c r="AN41" s="57">
        <f ca="1">IF(TblMagic[[#This Row],[Alchemists Flame]],12,IF(OFFSET(TblMagic[[#This Row],[Active Alchemists Flame]],-1,0)&gt;0,OFFSET(TblMagic[[#This Row],[Active Alchemists Flame]],-1,0)-1,0))</f>
        <v>0</v>
      </c>
      <c r="AO41" s="57">
        <f ca="1">IF(TblMagic[[#This Row],[Nightfall]],12,IF(OFFSET(TblMagic[[#This Row],[Active Nightfall]],-1,0)&gt;0,OFFSET(TblMagic[[#This Row],[Active Nightfall]],-1,0)-1,0))</f>
        <v>0</v>
      </c>
      <c r="AP41" s="57">
        <f ca="1">IF(TblMagic[[#This Row],[Favorable Terrain]],12,IF(OFFSET(TblMagic[[#This Row],[Active Favorable Terrain]],-1,0)&gt;0,OFFSET(TblMagic[[#This Row],[Active Favorable Terrain]],-1,0)-1,0))</f>
        <v>0</v>
      </c>
      <c r="AQ41" s="57">
        <f ca="1">IF(TblMagic[[#This Row],[Infernal Command]],12,IF(OFFSET(TblMagic[[#This Row],[Active Infernal Command]],-1,0)&gt;0,OFFSET(TblMagic[[#This Row],[Active Infernal Command]],-1,0)-1,0))</f>
        <v>0</v>
      </c>
    </row>
    <row r="42" spans="1:43" x14ac:dyDescent="0.2">
      <c r="A42" s="137">
        <f>TblRezone[[#This Row],[Hour]]</f>
        <v>39</v>
      </c>
      <c r="B42" s="154">
        <f ca="1">TblConstr[[#This Row],[Land]]</f>
        <v>110</v>
      </c>
      <c r="C42" s="94">
        <f ca="1">TblProd[[#This Row],[Mana]]</f>
        <v>0</v>
      </c>
      <c r="D42" s="156">
        <f ca="1">MIN(1,OFFSET(TblMagic[[#This Row],[Wiz str]],-1,0)+0.04+ROUNDDOWN(10*OFFSET(TblMili[[#This Row],[WG''s]],-1,0),0)+ tech_2_7*OFFSET(TblTech[[#This Row],[2-7]],-1,0) + tech_5_6*OFFSET(TblTech[[#This Row],[5-6]],-1,0) )-TblMagic[[#This Row],[Wiz str cost]]</f>
        <v>1</v>
      </c>
      <c r="E42" s="159">
        <f ca="1">OFFSET(TblMagic[[#This Row],[Time]],-1,0)+1/24</f>
        <v>46048.583333333241</v>
      </c>
      <c r="F42" s="156">
        <f ca="1">TblImps[[#This Row],[Population]]</f>
        <v>1</v>
      </c>
      <c r="G42" s="218"/>
      <c r="H42" s="218"/>
      <c r="I42" s="218"/>
      <c r="J42" s="218"/>
      <c r="K42" s="405"/>
      <c r="L42" s="218"/>
      <c r="M42" s="218"/>
      <c r="N42" s="218"/>
      <c r="O42" s="218"/>
      <c r="P42" s="218"/>
      <c r="Q42" s="218"/>
      <c r="R42" s="218"/>
      <c r="S42" s="218"/>
      <c r="T42" s="218"/>
      <c r="U42" s="218"/>
      <c r="V42" s="218"/>
      <c r="W42" s="218"/>
      <c r="X42" s="142"/>
      <c r="Y4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2" s="156">
        <f>SUMIF(TblMagic[[#This Row],[Gaia''s Watch]:[Useless spell]],1)*0.05</f>
        <v>0</v>
      </c>
      <c r="AA42" s="142"/>
      <c r="AB42" s="57">
        <f ca="1">IF(TblMagic[[#This Row],[Gaia''s Watch]],12,IF(OFFSET(TblMagic[[#This Row],[Active Gaia''s Watch]],-1,0)&gt;0,OFFSET(TblMagic[[#This Row],[Active Gaia''s Watch]],-1,0)-1,0))</f>
        <v>0</v>
      </c>
      <c r="AC42" s="57">
        <f ca="1">IF(TblMagic[[#This Row],[Mining Strength]],12,IF(OFFSET(TblMagic[[#This Row],[Active Mining Strength]],-1,0)&gt;0,OFFSET(TblMagic[[#This Row],[Active Mining Strength]],-1,0)-1,0))</f>
        <v>0</v>
      </c>
      <c r="AD42" s="57">
        <f ca="1">IF(TblMagic[[#This Row],[Ares Call]],12,IF(OFFSET(TblMagic[[#This Row],[Active Ares Call]],-1,0)&gt;0,OFFSET(TblMagic[[#This Row],[Active Ares Call]],-1,0)-1,0))</f>
        <v>0</v>
      </c>
      <c r="AE42" s="57">
        <f ca="1">IF(TblMagic[[#This Row],[Midas Touch]],12,IF(OFFSET(TblMagic[[#This Row],[Active Midas Touch]],-1,0)&gt;0,OFFSET(TblMagic[[#This Row],[Active Midas Touch]],-1,0)-1,0))</f>
        <v>0</v>
      </c>
      <c r="AF42" s="57">
        <f ca="1">IF(TblMagic[[#This Row],[Harmony]],12,IF(OFFSET(TblMagic[[#This Row],[Active Harmony]],-1,0)&gt;0,OFFSET(TblMagic[[#This Row],[Active Harmony]],-1,0)-1,0))</f>
        <v>0</v>
      </c>
      <c r="AG42" s="57">
        <f ca="1">IF(TblMagic[[#This Row],[Miner''s Sight]],12,IF(OFFSET(TblMagic[[#This Row],[Active Miner''s Sight]],-1,0)&gt;0,OFFSET(TblMagic[[#This Row],[Active Miner''s Sight]],-1,0)-1,0))</f>
        <v>0</v>
      </c>
      <c r="AH42" s="57">
        <f ca="1">IF(TblMagic[[#This Row],[Mechanical Genius]],12,IF(OFFSET(TblMagic[[#This Row],[Active Mechanical Genius]],-1,0)&gt;0,OFFSET(TblMagic[[#This Row],[Active Mechanical Genius]],-1,0)-1,0))</f>
        <v>0</v>
      </c>
      <c r="AI42" s="57">
        <f ca="1">IF(TblMagic[[#This Row],[Death and Decay]],12,IF(OFFSET(TblMagic[[#This Row],[Active DnD]],-1,0)&gt;0,OFFSET(TblMagic[[#This Row],[Active DnD]],-1,0)-1,0))</f>
        <v>0</v>
      </c>
      <c r="AJ42" s="57">
        <f ca="1">IF(TblMagic[[#This Row],[Killing Rage / Bloodrage / Crusade]],12,IF(OFFSET(TblMagic[[#This Row],[Active Warsong / Killing Rage / Bloodrage]],-1,0)&gt;0,OFFSET(TblMagic[[#This Row],[Active Warsong / Killing Rage / Bloodrage]],-1,0)-1,0))</f>
        <v>0</v>
      </c>
      <c r="AK42" s="57">
        <f ca="1">IF(TblMagic[[#This Row],[Gaia''s Blessing]],12,IF(OFFSET(TblMagic[[#This Row],[Active Gaia''s Blessing]],-1,0)&gt;0,OFFSET(TblMagic[[#This Row],[Active Gaia''s Blessing]],-1,0)-1,0))</f>
        <v>0</v>
      </c>
      <c r="AL42" s="57">
        <f ca="1">IF(TblMagic[[#This Row],[Howling]],12,IF(OFFSET(TblMagic[[#This Row],[Active Howling]],-1,0)&gt;0,OFFSET(TblMagic[[#This Row],[Active Howling]],-1,0)-1,0))</f>
        <v>0</v>
      </c>
      <c r="AM42" s="57">
        <f ca="1">IF(TblMagic[[#This Row],[Alchemist Frost]],12,IF(OFFSET(TblMagic[[#This Row],[Active Alch Frost]],-1,0)&gt;0,OFFSET(TblMagic[[#This Row],[Active Alch Frost]],-1,0)-1,0))</f>
        <v>0</v>
      </c>
      <c r="AN42" s="57">
        <f ca="1">IF(TblMagic[[#This Row],[Alchemists Flame]],12,IF(OFFSET(TblMagic[[#This Row],[Active Alchemists Flame]],-1,0)&gt;0,OFFSET(TblMagic[[#This Row],[Active Alchemists Flame]],-1,0)-1,0))</f>
        <v>0</v>
      </c>
      <c r="AO42" s="57">
        <f ca="1">IF(TblMagic[[#This Row],[Nightfall]],12,IF(OFFSET(TblMagic[[#This Row],[Active Nightfall]],-1,0)&gt;0,OFFSET(TblMagic[[#This Row],[Active Nightfall]],-1,0)-1,0))</f>
        <v>0</v>
      </c>
      <c r="AP42" s="57">
        <f ca="1">IF(TblMagic[[#This Row],[Favorable Terrain]],12,IF(OFFSET(TblMagic[[#This Row],[Active Favorable Terrain]],-1,0)&gt;0,OFFSET(TblMagic[[#This Row],[Active Favorable Terrain]],-1,0)-1,0))</f>
        <v>0</v>
      </c>
      <c r="AQ42" s="57">
        <f ca="1">IF(TblMagic[[#This Row],[Infernal Command]],12,IF(OFFSET(TblMagic[[#This Row],[Active Infernal Command]],-1,0)&gt;0,OFFSET(TblMagic[[#This Row],[Active Infernal Command]],-1,0)-1,0))</f>
        <v>0</v>
      </c>
    </row>
    <row r="43" spans="1:43" x14ac:dyDescent="0.2">
      <c r="A43" s="137">
        <f>TblRezone[[#This Row],[Hour]]</f>
        <v>40</v>
      </c>
      <c r="B43" s="154">
        <f ca="1">TblConstr[[#This Row],[Land]]</f>
        <v>110</v>
      </c>
      <c r="C43" s="94">
        <f ca="1">TblProd[[#This Row],[Mana]]</f>
        <v>0</v>
      </c>
      <c r="D43" s="156">
        <f ca="1">MIN(1,OFFSET(TblMagic[[#This Row],[Wiz str]],-1,0)+0.04+ROUNDDOWN(10*OFFSET(TblMili[[#This Row],[WG''s]],-1,0),0)+ tech_2_7*OFFSET(TblTech[[#This Row],[2-7]],-1,0) + tech_5_6*OFFSET(TblTech[[#This Row],[5-6]],-1,0) )-TblMagic[[#This Row],[Wiz str cost]]</f>
        <v>1</v>
      </c>
      <c r="E43" s="159">
        <f ca="1">OFFSET(TblMagic[[#This Row],[Time]],-1,0)+1/24</f>
        <v>46048.624999999905</v>
      </c>
      <c r="F43" s="156">
        <f ca="1">TblImps[[#This Row],[Population]]</f>
        <v>1</v>
      </c>
      <c r="G43" s="218"/>
      <c r="H43" s="218"/>
      <c r="I43" s="218"/>
      <c r="J43" s="218"/>
      <c r="K43" s="405"/>
      <c r="L43" s="218"/>
      <c r="M43" s="218"/>
      <c r="N43" s="218"/>
      <c r="O43" s="218"/>
      <c r="P43" s="218"/>
      <c r="Q43" s="218"/>
      <c r="R43" s="218"/>
      <c r="S43" s="218"/>
      <c r="T43" s="218"/>
      <c r="U43" s="218"/>
      <c r="V43" s="218"/>
      <c r="W43" s="218"/>
      <c r="X43" s="142"/>
      <c r="Y4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3" s="156">
        <f>SUMIF(TblMagic[[#This Row],[Gaia''s Watch]:[Useless spell]],1)*0.05</f>
        <v>0</v>
      </c>
      <c r="AA43" s="142"/>
      <c r="AB43" s="57">
        <f ca="1">IF(TblMagic[[#This Row],[Gaia''s Watch]],12,IF(OFFSET(TblMagic[[#This Row],[Active Gaia''s Watch]],-1,0)&gt;0,OFFSET(TblMagic[[#This Row],[Active Gaia''s Watch]],-1,0)-1,0))</f>
        <v>0</v>
      </c>
      <c r="AC43" s="57">
        <f ca="1">IF(TblMagic[[#This Row],[Mining Strength]],12,IF(OFFSET(TblMagic[[#This Row],[Active Mining Strength]],-1,0)&gt;0,OFFSET(TblMagic[[#This Row],[Active Mining Strength]],-1,0)-1,0))</f>
        <v>0</v>
      </c>
      <c r="AD43" s="57">
        <f ca="1">IF(TblMagic[[#This Row],[Ares Call]],12,IF(OFFSET(TblMagic[[#This Row],[Active Ares Call]],-1,0)&gt;0,OFFSET(TblMagic[[#This Row],[Active Ares Call]],-1,0)-1,0))</f>
        <v>0</v>
      </c>
      <c r="AE43" s="57">
        <f ca="1">IF(TblMagic[[#This Row],[Midas Touch]],12,IF(OFFSET(TblMagic[[#This Row],[Active Midas Touch]],-1,0)&gt;0,OFFSET(TblMagic[[#This Row],[Active Midas Touch]],-1,0)-1,0))</f>
        <v>0</v>
      </c>
      <c r="AF43" s="57">
        <f ca="1">IF(TblMagic[[#This Row],[Harmony]],12,IF(OFFSET(TblMagic[[#This Row],[Active Harmony]],-1,0)&gt;0,OFFSET(TblMagic[[#This Row],[Active Harmony]],-1,0)-1,0))</f>
        <v>0</v>
      </c>
      <c r="AG43" s="57">
        <f ca="1">IF(TblMagic[[#This Row],[Miner''s Sight]],12,IF(OFFSET(TblMagic[[#This Row],[Active Miner''s Sight]],-1,0)&gt;0,OFFSET(TblMagic[[#This Row],[Active Miner''s Sight]],-1,0)-1,0))</f>
        <v>0</v>
      </c>
      <c r="AH43" s="57">
        <f ca="1">IF(TblMagic[[#This Row],[Mechanical Genius]],12,IF(OFFSET(TblMagic[[#This Row],[Active Mechanical Genius]],-1,0)&gt;0,OFFSET(TblMagic[[#This Row],[Active Mechanical Genius]],-1,0)-1,0))</f>
        <v>0</v>
      </c>
      <c r="AI43" s="57">
        <f ca="1">IF(TblMagic[[#This Row],[Death and Decay]],12,IF(OFFSET(TblMagic[[#This Row],[Active DnD]],-1,0)&gt;0,OFFSET(TblMagic[[#This Row],[Active DnD]],-1,0)-1,0))</f>
        <v>0</v>
      </c>
      <c r="AJ43" s="57">
        <f ca="1">IF(TblMagic[[#This Row],[Killing Rage / Bloodrage / Crusade]],12,IF(OFFSET(TblMagic[[#This Row],[Active Warsong / Killing Rage / Bloodrage]],-1,0)&gt;0,OFFSET(TblMagic[[#This Row],[Active Warsong / Killing Rage / Bloodrage]],-1,0)-1,0))</f>
        <v>0</v>
      </c>
      <c r="AK43" s="57">
        <f ca="1">IF(TblMagic[[#This Row],[Gaia''s Blessing]],12,IF(OFFSET(TblMagic[[#This Row],[Active Gaia''s Blessing]],-1,0)&gt;0,OFFSET(TblMagic[[#This Row],[Active Gaia''s Blessing]],-1,0)-1,0))</f>
        <v>0</v>
      </c>
      <c r="AL43" s="57">
        <f ca="1">IF(TblMagic[[#This Row],[Howling]],12,IF(OFFSET(TblMagic[[#This Row],[Active Howling]],-1,0)&gt;0,OFFSET(TblMagic[[#This Row],[Active Howling]],-1,0)-1,0))</f>
        <v>0</v>
      </c>
      <c r="AM43" s="57">
        <f ca="1">IF(TblMagic[[#This Row],[Alchemist Frost]],12,IF(OFFSET(TblMagic[[#This Row],[Active Alch Frost]],-1,0)&gt;0,OFFSET(TblMagic[[#This Row],[Active Alch Frost]],-1,0)-1,0))</f>
        <v>0</v>
      </c>
      <c r="AN43" s="57">
        <f ca="1">IF(TblMagic[[#This Row],[Alchemists Flame]],12,IF(OFFSET(TblMagic[[#This Row],[Active Alchemists Flame]],-1,0)&gt;0,OFFSET(TblMagic[[#This Row],[Active Alchemists Flame]],-1,0)-1,0))</f>
        <v>0</v>
      </c>
      <c r="AO43" s="57">
        <f ca="1">IF(TblMagic[[#This Row],[Nightfall]],12,IF(OFFSET(TblMagic[[#This Row],[Active Nightfall]],-1,0)&gt;0,OFFSET(TblMagic[[#This Row],[Active Nightfall]],-1,0)-1,0))</f>
        <v>0</v>
      </c>
      <c r="AP43" s="57">
        <f ca="1">IF(TblMagic[[#This Row],[Favorable Terrain]],12,IF(OFFSET(TblMagic[[#This Row],[Active Favorable Terrain]],-1,0)&gt;0,OFFSET(TblMagic[[#This Row],[Active Favorable Terrain]],-1,0)-1,0))</f>
        <v>0</v>
      </c>
      <c r="AQ43" s="57">
        <f ca="1">IF(TblMagic[[#This Row],[Infernal Command]],12,IF(OFFSET(TblMagic[[#This Row],[Active Infernal Command]],-1,0)&gt;0,OFFSET(TblMagic[[#This Row],[Active Infernal Command]],-1,0)-1,0))</f>
        <v>0</v>
      </c>
    </row>
    <row r="44" spans="1:43" x14ac:dyDescent="0.2">
      <c r="A44" s="137">
        <f>TblRezone[[#This Row],[Hour]]</f>
        <v>41</v>
      </c>
      <c r="B44" s="154">
        <f ca="1">TblConstr[[#This Row],[Land]]</f>
        <v>110</v>
      </c>
      <c r="C44" s="94">
        <f ca="1">TblProd[[#This Row],[Mana]]</f>
        <v>0</v>
      </c>
      <c r="D44" s="156">
        <f ca="1">MIN(1,OFFSET(TblMagic[[#This Row],[Wiz str]],-1,0)+0.04+ROUNDDOWN(10*OFFSET(TblMili[[#This Row],[WG''s]],-1,0),0)+ tech_2_7*OFFSET(TblTech[[#This Row],[2-7]],-1,0) + tech_5_6*OFFSET(TblTech[[#This Row],[5-6]],-1,0) )-TblMagic[[#This Row],[Wiz str cost]]</f>
        <v>1</v>
      </c>
      <c r="E44" s="159">
        <f ca="1">OFFSET(TblMagic[[#This Row],[Time]],-1,0)+1/24</f>
        <v>46048.66666666657</v>
      </c>
      <c r="F44" s="156">
        <f ca="1">TblImps[[#This Row],[Population]]</f>
        <v>1</v>
      </c>
      <c r="G44" s="218"/>
      <c r="H44" s="218"/>
      <c r="I44" s="218"/>
      <c r="J44" s="218"/>
      <c r="K44" s="405"/>
      <c r="L44" s="218"/>
      <c r="M44" s="218"/>
      <c r="N44" s="218"/>
      <c r="O44" s="218"/>
      <c r="P44" s="218"/>
      <c r="Q44" s="218"/>
      <c r="R44" s="218"/>
      <c r="S44" s="218"/>
      <c r="T44" s="218"/>
      <c r="U44" s="218"/>
      <c r="V44" s="218"/>
      <c r="W44" s="218"/>
      <c r="X44" s="142"/>
      <c r="Y4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4" s="156">
        <f>SUMIF(TblMagic[[#This Row],[Gaia''s Watch]:[Useless spell]],1)*0.05</f>
        <v>0</v>
      </c>
      <c r="AA44" s="142"/>
      <c r="AB44" s="57">
        <f ca="1">IF(TblMagic[[#This Row],[Gaia''s Watch]],12,IF(OFFSET(TblMagic[[#This Row],[Active Gaia''s Watch]],-1,0)&gt;0,OFFSET(TblMagic[[#This Row],[Active Gaia''s Watch]],-1,0)-1,0))</f>
        <v>0</v>
      </c>
      <c r="AC44" s="57">
        <f ca="1">IF(TblMagic[[#This Row],[Mining Strength]],12,IF(OFFSET(TblMagic[[#This Row],[Active Mining Strength]],-1,0)&gt;0,OFFSET(TblMagic[[#This Row],[Active Mining Strength]],-1,0)-1,0))</f>
        <v>0</v>
      </c>
      <c r="AD44" s="57">
        <f ca="1">IF(TblMagic[[#This Row],[Ares Call]],12,IF(OFFSET(TblMagic[[#This Row],[Active Ares Call]],-1,0)&gt;0,OFFSET(TblMagic[[#This Row],[Active Ares Call]],-1,0)-1,0))</f>
        <v>0</v>
      </c>
      <c r="AE44" s="57">
        <f ca="1">IF(TblMagic[[#This Row],[Midas Touch]],12,IF(OFFSET(TblMagic[[#This Row],[Active Midas Touch]],-1,0)&gt;0,OFFSET(TblMagic[[#This Row],[Active Midas Touch]],-1,0)-1,0))</f>
        <v>0</v>
      </c>
      <c r="AF44" s="57">
        <f ca="1">IF(TblMagic[[#This Row],[Harmony]],12,IF(OFFSET(TblMagic[[#This Row],[Active Harmony]],-1,0)&gt;0,OFFSET(TblMagic[[#This Row],[Active Harmony]],-1,0)-1,0))</f>
        <v>0</v>
      </c>
      <c r="AG44" s="57">
        <f ca="1">IF(TblMagic[[#This Row],[Miner''s Sight]],12,IF(OFFSET(TblMagic[[#This Row],[Active Miner''s Sight]],-1,0)&gt;0,OFFSET(TblMagic[[#This Row],[Active Miner''s Sight]],-1,0)-1,0))</f>
        <v>0</v>
      </c>
      <c r="AH44" s="57">
        <f ca="1">IF(TblMagic[[#This Row],[Mechanical Genius]],12,IF(OFFSET(TblMagic[[#This Row],[Active Mechanical Genius]],-1,0)&gt;0,OFFSET(TblMagic[[#This Row],[Active Mechanical Genius]],-1,0)-1,0))</f>
        <v>0</v>
      </c>
      <c r="AI44" s="57">
        <f ca="1">IF(TblMagic[[#This Row],[Death and Decay]],12,IF(OFFSET(TblMagic[[#This Row],[Active DnD]],-1,0)&gt;0,OFFSET(TblMagic[[#This Row],[Active DnD]],-1,0)-1,0))</f>
        <v>0</v>
      </c>
      <c r="AJ44" s="57">
        <f ca="1">IF(TblMagic[[#This Row],[Killing Rage / Bloodrage / Crusade]],12,IF(OFFSET(TblMagic[[#This Row],[Active Warsong / Killing Rage / Bloodrage]],-1,0)&gt;0,OFFSET(TblMagic[[#This Row],[Active Warsong / Killing Rage / Bloodrage]],-1,0)-1,0))</f>
        <v>0</v>
      </c>
      <c r="AK44" s="57">
        <f ca="1">IF(TblMagic[[#This Row],[Gaia''s Blessing]],12,IF(OFFSET(TblMagic[[#This Row],[Active Gaia''s Blessing]],-1,0)&gt;0,OFFSET(TblMagic[[#This Row],[Active Gaia''s Blessing]],-1,0)-1,0))</f>
        <v>0</v>
      </c>
      <c r="AL44" s="57">
        <f ca="1">IF(TblMagic[[#This Row],[Howling]],12,IF(OFFSET(TblMagic[[#This Row],[Active Howling]],-1,0)&gt;0,OFFSET(TblMagic[[#This Row],[Active Howling]],-1,0)-1,0))</f>
        <v>0</v>
      </c>
      <c r="AM44" s="57">
        <f ca="1">IF(TblMagic[[#This Row],[Alchemist Frost]],12,IF(OFFSET(TblMagic[[#This Row],[Active Alch Frost]],-1,0)&gt;0,OFFSET(TblMagic[[#This Row],[Active Alch Frost]],-1,0)-1,0))</f>
        <v>0</v>
      </c>
      <c r="AN44" s="57">
        <f ca="1">IF(TblMagic[[#This Row],[Alchemists Flame]],12,IF(OFFSET(TblMagic[[#This Row],[Active Alchemists Flame]],-1,0)&gt;0,OFFSET(TblMagic[[#This Row],[Active Alchemists Flame]],-1,0)-1,0))</f>
        <v>0</v>
      </c>
      <c r="AO44" s="57">
        <f ca="1">IF(TblMagic[[#This Row],[Nightfall]],12,IF(OFFSET(TblMagic[[#This Row],[Active Nightfall]],-1,0)&gt;0,OFFSET(TblMagic[[#This Row],[Active Nightfall]],-1,0)-1,0))</f>
        <v>0</v>
      </c>
      <c r="AP44" s="57">
        <f ca="1">IF(TblMagic[[#This Row],[Favorable Terrain]],12,IF(OFFSET(TblMagic[[#This Row],[Active Favorable Terrain]],-1,0)&gt;0,OFFSET(TblMagic[[#This Row],[Active Favorable Terrain]],-1,0)-1,0))</f>
        <v>0</v>
      </c>
      <c r="AQ44" s="57">
        <f ca="1">IF(TblMagic[[#This Row],[Infernal Command]],12,IF(OFFSET(TblMagic[[#This Row],[Active Infernal Command]],-1,0)&gt;0,OFFSET(TblMagic[[#This Row],[Active Infernal Command]],-1,0)-1,0))</f>
        <v>0</v>
      </c>
    </row>
    <row r="45" spans="1:43" x14ac:dyDescent="0.2">
      <c r="A45" s="137">
        <f>TblRezone[[#This Row],[Hour]]</f>
        <v>42</v>
      </c>
      <c r="B45" s="154">
        <f ca="1">TblConstr[[#This Row],[Land]]</f>
        <v>110</v>
      </c>
      <c r="C45" s="94">
        <f ca="1">TblProd[[#This Row],[Mana]]</f>
        <v>0</v>
      </c>
      <c r="D45" s="156">
        <f ca="1">MIN(1,OFFSET(TblMagic[[#This Row],[Wiz str]],-1,0)+0.04+ROUNDDOWN(10*OFFSET(TblMili[[#This Row],[WG''s]],-1,0),0)+ tech_2_7*OFFSET(TblTech[[#This Row],[2-7]],-1,0) + tech_5_6*OFFSET(TblTech[[#This Row],[5-6]],-1,0) )-TblMagic[[#This Row],[Wiz str cost]]</f>
        <v>1</v>
      </c>
      <c r="E45" s="159">
        <f ca="1">OFFSET(TblMagic[[#This Row],[Time]],-1,0)+1/24</f>
        <v>46048.708333333234</v>
      </c>
      <c r="F45" s="156">
        <f ca="1">TblImps[[#This Row],[Population]]</f>
        <v>1</v>
      </c>
      <c r="G45" s="218"/>
      <c r="H45" s="218"/>
      <c r="I45" s="218"/>
      <c r="J45" s="218"/>
      <c r="K45" s="405"/>
      <c r="L45" s="218"/>
      <c r="M45" s="218"/>
      <c r="N45" s="218"/>
      <c r="O45" s="218"/>
      <c r="P45" s="218"/>
      <c r="Q45" s="218"/>
      <c r="R45" s="218"/>
      <c r="S45" s="218"/>
      <c r="T45" s="218"/>
      <c r="U45" s="218"/>
      <c r="V45" s="218"/>
      <c r="W45" s="218"/>
      <c r="X45" s="142"/>
      <c r="Y4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5" s="156">
        <f>SUMIF(TblMagic[[#This Row],[Gaia''s Watch]:[Useless spell]],1)*0.05</f>
        <v>0</v>
      </c>
      <c r="AA45" s="142"/>
      <c r="AB45" s="57">
        <f ca="1">IF(TblMagic[[#This Row],[Gaia''s Watch]],12,IF(OFFSET(TblMagic[[#This Row],[Active Gaia''s Watch]],-1,0)&gt;0,OFFSET(TblMagic[[#This Row],[Active Gaia''s Watch]],-1,0)-1,0))</f>
        <v>0</v>
      </c>
      <c r="AC45" s="57">
        <f ca="1">IF(TblMagic[[#This Row],[Mining Strength]],12,IF(OFFSET(TblMagic[[#This Row],[Active Mining Strength]],-1,0)&gt;0,OFFSET(TblMagic[[#This Row],[Active Mining Strength]],-1,0)-1,0))</f>
        <v>0</v>
      </c>
      <c r="AD45" s="57">
        <f ca="1">IF(TblMagic[[#This Row],[Ares Call]],12,IF(OFFSET(TblMagic[[#This Row],[Active Ares Call]],-1,0)&gt;0,OFFSET(TblMagic[[#This Row],[Active Ares Call]],-1,0)-1,0))</f>
        <v>0</v>
      </c>
      <c r="AE45" s="57">
        <f ca="1">IF(TblMagic[[#This Row],[Midas Touch]],12,IF(OFFSET(TblMagic[[#This Row],[Active Midas Touch]],-1,0)&gt;0,OFFSET(TblMagic[[#This Row],[Active Midas Touch]],-1,0)-1,0))</f>
        <v>0</v>
      </c>
      <c r="AF45" s="57">
        <f ca="1">IF(TblMagic[[#This Row],[Harmony]],12,IF(OFFSET(TblMagic[[#This Row],[Active Harmony]],-1,0)&gt;0,OFFSET(TblMagic[[#This Row],[Active Harmony]],-1,0)-1,0))</f>
        <v>0</v>
      </c>
      <c r="AG45" s="57">
        <f ca="1">IF(TblMagic[[#This Row],[Miner''s Sight]],12,IF(OFFSET(TblMagic[[#This Row],[Active Miner''s Sight]],-1,0)&gt;0,OFFSET(TblMagic[[#This Row],[Active Miner''s Sight]],-1,0)-1,0))</f>
        <v>0</v>
      </c>
      <c r="AH45" s="57">
        <f ca="1">IF(TblMagic[[#This Row],[Mechanical Genius]],12,IF(OFFSET(TblMagic[[#This Row],[Active Mechanical Genius]],-1,0)&gt;0,OFFSET(TblMagic[[#This Row],[Active Mechanical Genius]],-1,0)-1,0))</f>
        <v>0</v>
      </c>
      <c r="AI45" s="57">
        <f ca="1">IF(TblMagic[[#This Row],[Death and Decay]],12,IF(OFFSET(TblMagic[[#This Row],[Active DnD]],-1,0)&gt;0,OFFSET(TblMagic[[#This Row],[Active DnD]],-1,0)-1,0))</f>
        <v>0</v>
      </c>
      <c r="AJ45" s="57">
        <f ca="1">IF(TblMagic[[#This Row],[Killing Rage / Bloodrage / Crusade]],12,IF(OFFSET(TblMagic[[#This Row],[Active Warsong / Killing Rage / Bloodrage]],-1,0)&gt;0,OFFSET(TblMagic[[#This Row],[Active Warsong / Killing Rage / Bloodrage]],-1,0)-1,0))</f>
        <v>0</v>
      </c>
      <c r="AK45" s="57">
        <f ca="1">IF(TblMagic[[#This Row],[Gaia''s Blessing]],12,IF(OFFSET(TblMagic[[#This Row],[Active Gaia''s Blessing]],-1,0)&gt;0,OFFSET(TblMagic[[#This Row],[Active Gaia''s Blessing]],-1,0)-1,0))</f>
        <v>0</v>
      </c>
      <c r="AL45" s="57">
        <f ca="1">IF(TblMagic[[#This Row],[Howling]],12,IF(OFFSET(TblMagic[[#This Row],[Active Howling]],-1,0)&gt;0,OFFSET(TblMagic[[#This Row],[Active Howling]],-1,0)-1,0))</f>
        <v>0</v>
      </c>
      <c r="AM45" s="57">
        <f ca="1">IF(TblMagic[[#This Row],[Alchemist Frost]],12,IF(OFFSET(TblMagic[[#This Row],[Active Alch Frost]],-1,0)&gt;0,OFFSET(TblMagic[[#This Row],[Active Alch Frost]],-1,0)-1,0))</f>
        <v>0</v>
      </c>
      <c r="AN45" s="57">
        <f ca="1">IF(TblMagic[[#This Row],[Alchemists Flame]],12,IF(OFFSET(TblMagic[[#This Row],[Active Alchemists Flame]],-1,0)&gt;0,OFFSET(TblMagic[[#This Row],[Active Alchemists Flame]],-1,0)-1,0))</f>
        <v>0</v>
      </c>
      <c r="AO45" s="57">
        <f ca="1">IF(TblMagic[[#This Row],[Nightfall]],12,IF(OFFSET(TblMagic[[#This Row],[Active Nightfall]],-1,0)&gt;0,OFFSET(TblMagic[[#This Row],[Active Nightfall]],-1,0)-1,0))</f>
        <v>0</v>
      </c>
      <c r="AP45" s="57">
        <f ca="1">IF(TblMagic[[#This Row],[Favorable Terrain]],12,IF(OFFSET(TblMagic[[#This Row],[Active Favorable Terrain]],-1,0)&gt;0,OFFSET(TblMagic[[#This Row],[Active Favorable Terrain]],-1,0)-1,0))</f>
        <v>0</v>
      </c>
      <c r="AQ45" s="57">
        <f ca="1">IF(TblMagic[[#This Row],[Infernal Command]],12,IF(OFFSET(TblMagic[[#This Row],[Active Infernal Command]],-1,0)&gt;0,OFFSET(TblMagic[[#This Row],[Active Infernal Command]],-1,0)-1,0))</f>
        <v>0</v>
      </c>
    </row>
    <row r="46" spans="1:43" x14ac:dyDescent="0.2">
      <c r="A46" s="137">
        <f>TblRezone[[#This Row],[Hour]]</f>
        <v>43</v>
      </c>
      <c r="B46" s="154">
        <f ca="1">TblConstr[[#This Row],[Land]]</f>
        <v>110</v>
      </c>
      <c r="C46" s="94">
        <f ca="1">TblProd[[#This Row],[Mana]]</f>
        <v>0</v>
      </c>
      <c r="D46" s="156">
        <f ca="1">MIN(1,OFFSET(TblMagic[[#This Row],[Wiz str]],-1,0)+0.04+ROUNDDOWN(10*OFFSET(TblMili[[#This Row],[WG''s]],-1,0),0)+ tech_2_7*OFFSET(TblTech[[#This Row],[2-7]],-1,0) + tech_5_6*OFFSET(TblTech[[#This Row],[5-6]],-1,0) )-TblMagic[[#This Row],[Wiz str cost]]</f>
        <v>1</v>
      </c>
      <c r="E46" s="159">
        <f ca="1">OFFSET(TblMagic[[#This Row],[Time]],-1,0)+1/24</f>
        <v>46048.749999999898</v>
      </c>
      <c r="F46" s="156">
        <f ca="1">TblImps[[#This Row],[Population]]</f>
        <v>1</v>
      </c>
      <c r="G46" s="218"/>
      <c r="H46" s="218"/>
      <c r="I46" s="218"/>
      <c r="J46" s="218"/>
      <c r="K46" s="405"/>
      <c r="L46" s="218"/>
      <c r="M46" s="218"/>
      <c r="N46" s="218"/>
      <c r="O46" s="218"/>
      <c r="P46" s="218"/>
      <c r="Q46" s="218"/>
      <c r="R46" s="218"/>
      <c r="S46" s="218"/>
      <c r="T46" s="218"/>
      <c r="U46" s="218"/>
      <c r="V46" s="218"/>
      <c r="W46" s="218"/>
      <c r="X46" s="142"/>
      <c r="Y4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6" s="156">
        <f>SUMIF(TblMagic[[#This Row],[Gaia''s Watch]:[Useless spell]],1)*0.05</f>
        <v>0</v>
      </c>
      <c r="AA46" s="142"/>
      <c r="AB46" s="57">
        <f ca="1">IF(TblMagic[[#This Row],[Gaia''s Watch]],12,IF(OFFSET(TblMagic[[#This Row],[Active Gaia''s Watch]],-1,0)&gt;0,OFFSET(TblMagic[[#This Row],[Active Gaia''s Watch]],-1,0)-1,0))</f>
        <v>0</v>
      </c>
      <c r="AC46" s="57">
        <f ca="1">IF(TblMagic[[#This Row],[Mining Strength]],12,IF(OFFSET(TblMagic[[#This Row],[Active Mining Strength]],-1,0)&gt;0,OFFSET(TblMagic[[#This Row],[Active Mining Strength]],-1,0)-1,0))</f>
        <v>0</v>
      </c>
      <c r="AD46" s="57">
        <f ca="1">IF(TblMagic[[#This Row],[Ares Call]],12,IF(OFFSET(TblMagic[[#This Row],[Active Ares Call]],-1,0)&gt;0,OFFSET(TblMagic[[#This Row],[Active Ares Call]],-1,0)-1,0))</f>
        <v>0</v>
      </c>
      <c r="AE46" s="57">
        <f ca="1">IF(TblMagic[[#This Row],[Midas Touch]],12,IF(OFFSET(TblMagic[[#This Row],[Active Midas Touch]],-1,0)&gt;0,OFFSET(TblMagic[[#This Row],[Active Midas Touch]],-1,0)-1,0))</f>
        <v>0</v>
      </c>
      <c r="AF46" s="57">
        <f ca="1">IF(TblMagic[[#This Row],[Harmony]],12,IF(OFFSET(TblMagic[[#This Row],[Active Harmony]],-1,0)&gt;0,OFFSET(TblMagic[[#This Row],[Active Harmony]],-1,0)-1,0))</f>
        <v>0</v>
      </c>
      <c r="AG46" s="57">
        <f ca="1">IF(TblMagic[[#This Row],[Miner''s Sight]],12,IF(OFFSET(TblMagic[[#This Row],[Active Miner''s Sight]],-1,0)&gt;0,OFFSET(TblMagic[[#This Row],[Active Miner''s Sight]],-1,0)-1,0))</f>
        <v>0</v>
      </c>
      <c r="AH46" s="57">
        <f ca="1">IF(TblMagic[[#This Row],[Mechanical Genius]],12,IF(OFFSET(TblMagic[[#This Row],[Active Mechanical Genius]],-1,0)&gt;0,OFFSET(TblMagic[[#This Row],[Active Mechanical Genius]],-1,0)-1,0))</f>
        <v>0</v>
      </c>
      <c r="AI46" s="57">
        <f ca="1">IF(TblMagic[[#This Row],[Death and Decay]],12,IF(OFFSET(TblMagic[[#This Row],[Active DnD]],-1,0)&gt;0,OFFSET(TblMagic[[#This Row],[Active DnD]],-1,0)-1,0))</f>
        <v>0</v>
      </c>
      <c r="AJ46" s="57">
        <f ca="1">IF(TblMagic[[#This Row],[Killing Rage / Bloodrage / Crusade]],12,IF(OFFSET(TblMagic[[#This Row],[Active Warsong / Killing Rage / Bloodrage]],-1,0)&gt;0,OFFSET(TblMagic[[#This Row],[Active Warsong / Killing Rage / Bloodrage]],-1,0)-1,0))</f>
        <v>0</v>
      </c>
      <c r="AK46" s="57">
        <f ca="1">IF(TblMagic[[#This Row],[Gaia''s Blessing]],12,IF(OFFSET(TblMagic[[#This Row],[Active Gaia''s Blessing]],-1,0)&gt;0,OFFSET(TblMagic[[#This Row],[Active Gaia''s Blessing]],-1,0)-1,0))</f>
        <v>0</v>
      </c>
      <c r="AL46" s="57">
        <f ca="1">IF(TblMagic[[#This Row],[Howling]],12,IF(OFFSET(TblMagic[[#This Row],[Active Howling]],-1,0)&gt;0,OFFSET(TblMagic[[#This Row],[Active Howling]],-1,0)-1,0))</f>
        <v>0</v>
      </c>
      <c r="AM46" s="57">
        <f ca="1">IF(TblMagic[[#This Row],[Alchemist Frost]],12,IF(OFFSET(TblMagic[[#This Row],[Active Alch Frost]],-1,0)&gt;0,OFFSET(TblMagic[[#This Row],[Active Alch Frost]],-1,0)-1,0))</f>
        <v>0</v>
      </c>
      <c r="AN46" s="57">
        <f ca="1">IF(TblMagic[[#This Row],[Alchemists Flame]],12,IF(OFFSET(TblMagic[[#This Row],[Active Alchemists Flame]],-1,0)&gt;0,OFFSET(TblMagic[[#This Row],[Active Alchemists Flame]],-1,0)-1,0))</f>
        <v>0</v>
      </c>
      <c r="AO46" s="57">
        <f ca="1">IF(TblMagic[[#This Row],[Nightfall]],12,IF(OFFSET(TblMagic[[#This Row],[Active Nightfall]],-1,0)&gt;0,OFFSET(TblMagic[[#This Row],[Active Nightfall]],-1,0)-1,0))</f>
        <v>0</v>
      </c>
      <c r="AP46" s="57">
        <f ca="1">IF(TblMagic[[#This Row],[Favorable Terrain]],12,IF(OFFSET(TblMagic[[#This Row],[Active Favorable Terrain]],-1,0)&gt;0,OFFSET(TblMagic[[#This Row],[Active Favorable Terrain]],-1,0)-1,0))</f>
        <v>0</v>
      </c>
      <c r="AQ46" s="57">
        <f ca="1">IF(TblMagic[[#This Row],[Infernal Command]],12,IF(OFFSET(TblMagic[[#This Row],[Active Infernal Command]],-1,0)&gt;0,OFFSET(TblMagic[[#This Row],[Active Infernal Command]],-1,0)-1,0))</f>
        <v>0</v>
      </c>
    </row>
    <row r="47" spans="1:43" x14ac:dyDescent="0.2">
      <c r="A47" s="137">
        <f>TblRezone[[#This Row],[Hour]]</f>
        <v>44</v>
      </c>
      <c r="B47" s="154">
        <f ca="1">TblConstr[[#This Row],[Land]]</f>
        <v>110</v>
      </c>
      <c r="C47" s="94">
        <f ca="1">TblProd[[#This Row],[Mana]]</f>
        <v>0</v>
      </c>
      <c r="D47" s="156">
        <f ca="1">MIN(1,OFFSET(TblMagic[[#This Row],[Wiz str]],-1,0)+0.04+ROUNDDOWN(10*OFFSET(TblMili[[#This Row],[WG''s]],-1,0),0)+ tech_2_7*OFFSET(TblTech[[#This Row],[2-7]],-1,0) + tech_5_6*OFFSET(TblTech[[#This Row],[5-6]],-1,0) )-TblMagic[[#This Row],[Wiz str cost]]</f>
        <v>1</v>
      </c>
      <c r="E47" s="159">
        <f ca="1">OFFSET(TblMagic[[#This Row],[Time]],-1,0)+1/24</f>
        <v>46048.791666666562</v>
      </c>
      <c r="F47" s="156">
        <f ca="1">TblImps[[#This Row],[Population]]</f>
        <v>1</v>
      </c>
      <c r="G47" s="218"/>
      <c r="H47" s="218"/>
      <c r="I47" s="218"/>
      <c r="J47" s="218"/>
      <c r="K47" s="405"/>
      <c r="L47" s="218"/>
      <c r="M47" s="218"/>
      <c r="N47" s="218"/>
      <c r="O47" s="218"/>
      <c r="P47" s="218"/>
      <c r="Q47" s="218"/>
      <c r="R47" s="218"/>
      <c r="S47" s="218"/>
      <c r="T47" s="218"/>
      <c r="U47" s="218"/>
      <c r="V47" s="218"/>
      <c r="W47" s="218"/>
      <c r="X47" s="142"/>
      <c r="Y4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7" s="156">
        <f>SUMIF(TblMagic[[#This Row],[Gaia''s Watch]:[Useless spell]],1)*0.05</f>
        <v>0</v>
      </c>
      <c r="AA47" s="142"/>
      <c r="AB47" s="57">
        <f ca="1">IF(TblMagic[[#This Row],[Gaia''s Watch]],12,IF(OFFSET(TblMagic[[#This Row],[Active Gaia''s Watch]],-1,0)&gt;0,OFFSET(TblMagic[[#This Row],[Active Gaia''s Watch]],-1,0)-1,0))</f>
        <v>0</v>
      </c>
      <c r="AC47" s="57">
        <f ca="1">IF(TblMagic[[#This Row],[Mining Strength]],12,IF(OFFSET(TblMagic[[#This Row],[Active Mining Strength]],-1,0)&gt;0,OFFSET(TblMagic[[#This Row],[Active Mining Strength]],-1,0)-1,0))</f>
        <v>0</v>
      </c>
      <c r="AD47" s="57">
        <f ca="1">IF(TblMagic[[#This Row],[Ares Call]],12,IF(OFFSET(TblMagic[[#This Row],[Active Ares Call]],-1,0)&gt;0,OFFSET(TblMagic[[#This Row],[Active Ares Call]],-1,0)-1,0))</f>
        <v>0</v>
      </c>
      <c r="AE47" s="57">
        <f ca="1">IF(TblMagic[[#This Row],[Midas Touch]],12,IF(OFFSET(TblMagic[[#This Row],[Active Midas Touch]],-1,0)&gt;0,OFFSET(TblMagic[[#This Row],[Active Midas Touch]],-1,0)-1,0))</f>
        <v>0</v>
      </c>
      <c r="AF47" s="57">
        <f ca="1">IF(TblMagic[[#This Row],[Harmony]],12,IF(OFFSET(TblMagic[[#This Row],[Active Harmony]],-1,0)&gt;0,OFFSET(TblMagic[[#This Row],[Active Harmony]],-1,0)-1,0))</f>
        <v>0</v>
      </c>
      <c r="AG47" s="57">
        <f ca="1">IF(TblMagic[[#This Row],[Miner''s Sight]],12,IF(OFFSET(TblMagic[[#This Row],[Active Miner''s Sight]],-1,0)&gt;0,OFFSET(TblMagic[[#This Row],[Active Miner''s Sight]],-1,0)-1,0))</f>
        <v>0</v>
      </c>
      <c r="AH47" s="57">
        <f ca="1">IF(TblMagic[[#This Row],[Mechanical Genius]],12,IF(OFFSET(TblMagic[[#This Row],[Active Mechanical Genius]],-1,0)&gt;0,OFFSET(TblMagic[[#This Row],[Active Mechanical Genius]],-1,0)-1,0))</f>
        <v>0</v>
      </c>
      <c r="AI47" s="57">
        <f ca="1">IF(TblMagic[[#This Row],[Death and Decay]],12,IF(OFFSET(TblMagic[[#This Row],[Active DnD]],-1,0)&gt;0,OFFSET(TblMagic[[#This Row],[Active DnD]],-1,0)-1,0))</f>
        <v>0</v>
      </c>
      <c r="AJ47" s="57">
        <f ca="1">IF(TblMagic[[#This Row],[Killing Rage / Bloodrage / Crusade]],12,IF(OFFSET(TblMagic[[#This Row],[Active Warsong / Killing Rage / Bloodrage]],-1,0)&gt;0,OFFSET(TblMagic[[#This Row],[Active Warsong / Killing Rage / Bloodrage]],-1,0)-1,0))</f>
        <v>0</v>
      </c>
      <c r="AK47" s="57">
        <f ca="1">IF(TblMagic[[#This Row],[Gaia''s Blessing]],12,IF(OFFSET(TblMagic[[#This Row],[Active Gaia''s Blessing]],-1,0)&gt;0,OFFSET(TblMagic[[#This Row],[Active Gaia''s Blessing]],-1,0)-1,0))</f>
        <v>0</v>
      </c>
      <c r="AL47" s="57">
        <f ca="1">IF(TblMagic[[#This Row],[Howling]],12,IF(OFFSET(TblMagic[[#This Row],[Active Howling]],-1,0)&gt;0,OFFSET(TblMagic[[#This Row],[Active Howling]],-1,0)-1,0))</f>
        <v>0</v>
      </c>
      <c r="AM47" s="57">
        <f ca="1">IF(TblMagic[[#This Row],[Alchemist Frost]],12,IF(OFFSET(TblMagic[[#This Row],[Active Alch Frost]],-1,0)&gt;0,OFFSET(TblMagic[[#This Row],[Active Alch Frost]],-1,0)-1,0))</f>
        <v>0</v>
      </c>
      <c r="AN47" s="57">
        <f ca="1">IF(TblMagic[[#This Row],[Alchemists Flame]],12,IF(OFFSET(TblMagic[[#This Row],[Active Alchemists Flame]],-1,0)&gt;0,OFFSET(TblMagic[[#This Row],[Active Alchemists Flame]],-1,0)-1,0))</f>
        <v>0</v>
      </c>
      <c r="AO47" s="57">
        <f ca="1">IF(TblMagic[[#This Row],[Nightfall]],12,IF(OFFSET(TblMagic[[#This Row],[Active Nightfall]],-1,0)&gt;0,OFFSET(TblMagic[[#This Row],[Active Nightfall]],-1,0)-1,0))</f>
        <v>0</v>
      </c>
      <c r="AP47" s="57">
        <f ca="1">IF(TblMagic[[#This Row],[Favorable Terrain]],12,IF(OFFSET(TblMagic[[#This Row],[Active Favorable Terrain]],-1,0)&gt;0,OFFSET(TblMagic[[#This Row],[Active Favorable Terrain]],-1,0)-1,0))</f>
        <v>0</v>
      </c>
      <c r="AQ47" s="57">
        <f ca="1">IF(TblMagic[[#This Row],[Infernal Command]],12,IF(OFFSET(TblMagic[[#This Row],[Active Infernal Command]],-1,0)&gt;0,OFFSET(TblMagic[[#This Row],[Active Infernal Command]],-1,0)-1,0))</f>
        <v>0</v>
      </c>
    </row>
    <row r="48" spans="1:43" x14ac:dyDescent="0.2">
      <c r="A48" s="137">
        <f>TblRezone[[#This Row],[Hour]]</f>
        <v>45</v>
      </c>
      <c r="B48" s="154">
        <f ca="1">TblConstr[[#This Row],[Land]]</f>
        <v>110</v>
      </c>
      <c r="C48" s="94">
        <f ca="1">TblProd[[#This Row],[Mana]]</f>
        <v>0</v>
      </c>
      <c r="D48" s="156">
        <f ca="1">MIN(1,OFFSET(TblMagic[[#This Row],[Wiz str]],-1,0)+0.04+ROUNDDOWN(10*OFFSET(TblMili[[#This Row],[WG''s]],-1,0),0)+ tech_2_7*OFFSET(TblTech[[#This Row],[2-7]],-1,0) + tech_5_6*OFFSET(TblTech[[#This Row],[5-6]],-1,0) )-TblMagic[[#This Row],[Wiz str cost]]</f>
        <v>1</v>
      </c>
      <c r="E48" s="159">
        <f ca="1">OFFSET(TblMagic[[#This Row],[Time]],-1,0)+1/24</f>
        <v>46048.833333333227</v>
      </c>
      <c r="F48" s="156">
        <f ca="1">TblImps[[#This Row],[Population]]</f>
        <v>1</v>
      </c>
      <c r="G48" s="218"/>
      <c r="H48" s="218"/>
      <c r="I48" s="218"/>
      <c r="J48" s="218"/>
      <c r="K48" s="405"/>
      <c r="L48" s="218"/>
      <c r="M48" s="218"/>
      <c r="N48" s="218"/>
      <c r="O48" s="218"/>
      <c r="P48" s="218"/>
      <c r="Q48" s="218"/>
      <c r="R48" s="218"/>
      <c r="S48" s="218"/>
      <c r="T48" s="218"/>
      <c r="U48" s="218"/>
      <c r="V48" s="218"/>
      <c r="W48" s="218"/>
      <c r="X48" s="142"/>
      <c r="Y4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8" s="156">
        <f>SUMIF(TblMagic[[#This Row],[Gaia''s Watch]:[Useless spell]],1)*0.05</f>
        <v>0</v>
      </c>
      <c r="AA48" s="142"/>
      <c r="AB48" s="57">
        <f ca="1">IF(TblMagic[[#This Row],[Gaia''s Watch]],12,IF(OFFSET(TblMagic[[#This Row],[Active Gaia''s Watch]],-1,0)&gt;0,OFFSET(TblMagic[[#This Row],[Active Gaia''s Watch]],-1,0)-1,0))</f>
        <v>0</v>
      </c>
      <c r="AC48" s="57">
        <f ca="1">IF(TblMagic[[#This Row],[Mining Strength]],12,IF(OFFSET(TblMagic[[#This Row],[Active Mining Strength]],-1,0)&gt;0,OFFSET(TblMagic[[#This Row],[Active Mining Strength]],-1,0)-1,0))</f>
        <v>0</v>
      </c>
      <c r="AD48" s="57">
        <f ca="1">IF(TblMagic[[#This Row],[Ares Call]],12,IF(OFFSET(TblMagic[[#This Row],[Active Ares Call]],-1,0)&gt;0,OFFSET(TblMagic[[#This Row],[Active Ares Call]],-1,0)-1,0))</f>
        <v>0</v>
      </c>
      <c r="AE48" s="57">
        <f ca="1">IF(TblMagic[[#This Row],[Midas Touch]],12,IF(OFFSET(TblMagic[[#This Row],[Active Midas Touch]],-1,0)&gt;0,OFFSET(TblMagic[[#This Row],[Active Midas Touch]],-1,0)-1,0))</f>
        <v>0</v>
      </c>
      <c r="AF48" s="57">
        <f ca="1">IF(TblMagic[[#This Row],[Harmony]],12,IF(OFFSET(TblMagic[[#This Row],[Active Harmony]],-1,0)&gt;0,OFFSET(TblMagic[[#This Row],[Active Harmony]],-1,0)-1,0))</f>
        <v>0</v>
      </c>
      <c r="AG48" s="57">
        <f ca="1">IF(TblMagic[[#This Row],[Miner''s Sight]],12,IF(OFFSET(TblMagic[[#This Row],[Active Miner''s Sight]],-1,0)&gt;0,OFFSET(TblMagic[[#This Row],[Active Miner''s Sight]],-1,0)-1,0))</f>
        <v>0</v>
      </c>
      <c r="AH48" s="57">
        <f ca="1">IF(TblMagic[[#This Row],[Mechanical Genius]],12,IF(OFFSET(TblMagic[[#This Row],[Active Mechanical Genius]],-1,0)&gt;0,OFFSET(TblMagic[[#This Row],[Active Mechanical Genius]],-1,0)-1,0))</f>
        <v>0</v>
      </c>
      <c r="AI48" s="57">
        <f ca="1">IF(TblMagic[[#This Row],[Death and Decay]],12,IF(OFFSET(TblMagic[[#This Row],[Active DnD]],-1,0)&gt;0,OFFSET(TblMagic[[#This Row],[Active DnD]],-1,0)-1,0))</f>
        <v>0</v>
      </c>
      <c r="AJ48" s="57">
        <f ca="1">IF(TblMagic[[#This Row],[Killing Rage / Bloodrage / Crusade]],12,IF(OFFSET(TblMagic[[#This Row],[Active Warsong / Killing Rage / Bloodrage]],-1,0)&gt;0,OFFSET(TblMagic[[#This Row],[Active Warsong / Killing Rage / Bloodrage]],-1,0)-1,0))</f>
        <v>0</v>
      </c>
      <c r="AK48" s="57">
        <f ca="1">IF(TblMagic[[#This Row],[Gaia''s Blessing]],12,IF(OFFSET(TblMagic[[#This Row],[Active Gaia''s Blessing]],-1,0)&gt;0,OFFSET(TblMagic[[#This Row],[Active Gaia''s Blessing]],-1,0)-1,0))</f>
        <v>0</v>
      </c>
      <c r="AL48" s="57">
        <f ca="1">IF(TblMagic[[#This Row],[Howling]],12,IF(OFFSET(TblMagic[[#This Row],[Active Howling]],-1,0)&gt;0,OFFSET(TblMagic[[#This Row],[Active Howling]],-1,0)-1,0))</f>
        <v>0</v>
      </c>
      <c r="AM48" s="57">
        <f ca="1">IF(TblMagic[[#This Row],[Alchemist Frost]],12,IF(OFFSET(TblMagic[[#This Row],[Active Alch Frost]],-1,0)&gt;0,OFFSET(TblMagic[[#This Row],[Active Alch Frost]],-1,0)-1,0))</f>
        <v>0</v>
      </c>
      <c r="AN48" s="57">
        <f ca="1">IF(TblMagic[[#This Row],[Alchemists Flame]],12,IF(OFFSET(TblMagic[[#This Row],[Active Alchemists Flame]],-1,0)&gt;0,OFFSET(TblMagic[[#This Row],[Active Alchemists Flame]],-1,0)-1,0))</f>
        <v>0</v>
      </c>
      <c r="AO48" s="57">
        <f ca="1">IF(TblMagic[[#This Row],[Nightfall]],12,IF(OFFSET(TblMagic[[#This Row],[Active Nightfall]],-1,0)&gt;0,OFFSET(TblMagic[[#This Row],[Active Nightfall]],-1,0)-1,0))</f>
        <v>0</v>
      </c>
      <c r="AP48" s="57">
        <f ca="1">IF(TblMagic[[#This Row],[Favorable Terrain]],12,IF(OFFSET(TblMagic[[#This Row],[Active Favorable Terrain]],-1,0)&gt;0,OFFSET(TblMagic[[#This Row],[Active Favorable Terrain]],-1,0)-1,0))</f>
        <v>0</v>
      </c>
      <c r="AQ48" s="57">
        <f ca="1">IF(TblMagic[[#This Row],[Infernal Command]],12,IF(OFFSET(TblMagic[[#This Row],[Active Infernal Command]],-1,0)&gt;0,OFFSET(TblMagic[[#This Row],[Active Infernal Command]],-1,0)-1,0))</f>
        <v>0</v>
      </c>
    </row>
    <row r="49" spans="1:43" x14ac:dyDescent="0.2">
      <c r="A49" s="137">
        <f>TblRezone[[#This Row],[Hour]]</f>
        <v>46</v>
      </c>
      <c r="B49" s="154">
        <f ca="1">TblConstr[[#This Row],[Land]]</f>
        <v>110</v>
      </c>
      <c r="C49" s="94">
        <f ca="1">TblProd[[#This Row],[Mana]]</f>
        <v>0</v>
      </c>
      <c r="D49" s="156">
        <f ca="1">MIN(1,OFFSET(TblMagic[[#This Row],[Wiz str]],-1,0)+0.04+ROUNDDOWN(10*OFFSET(TblMili[[#This Row],[WG''s]],-1,0),0)+ tech_2_7*OFFSET(TblTech[[#This Row],[2-7]],-1,0) + tech_5_6*OFFSET(TblTech[[#This Row],[5-6]],-1,0) )-TblMagic[[#This Row],[Wiz str cost]]</f>
        <v>1</v>
      </c>
      <c r="E49" s="159">
        <f ca="1">OFFSET(TblMagic[[#This Row],[Time]],-1,0)+1/24</f>
        <v>46048.874999999891</v>
      </c>
      <c r="F49" s="156">
        <f ca="1">TblImps[[#This Row],[Population]]</f>
        <v>1</v>
      </c>
      <c r="G49" s="218"/>
      <c r="H49" s="218"/>
      <c r="I49" s="218"/>
      <c r="J49" s="218"/>
      <c r="K49" s="405"/>
      <c r="L49" s="218"/>
      <c r="M49" s="218"/>
      <c r="N49" s="218"/>
      <c r="O49" s="218"/>
      <c r="P49" s="218"/>
      <c r="Q49" s="218"/>
      <c r="R49" s="218"/>
      <c r="S49" s="218"/>
      <c r="T49" s="218"/>
      <c r="U49" s="218"/>
      <c r="V49" s="218"/>
      <c r="W49" s="218"/>
      <c r="X49" s="142"/>
      <c r="Y4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49" s="156">
        <f>SUMIF(TblMagic[[#This Row],[Gaia''s Watch]:[Useless spell]],1)*0.05</f>
        <v>0</v>
      </c>
      <c r="AA49" s="142"/>
      <c r="AB49" s="57">
        <f ca="1">IF(TblMagic[[#This Row],[Gaia''s Watch]],12,IF(OFFSET(TblMagic[[#This Row],[Active Gaia''s Watch]],-1,0)&gt;0,OFFSET(TblMagic[[#This Row],[Active Gaia''s Watch]],-1,0)-1,0))</f>
        <v>0</v>
      </c>
      <c r="AC49" s="57">
        <f ca="1">IF(TblMagic[[#This Row],[Mining Strength]],12,IF(OFFSET(TblMagic[[#This Row],[Active Mining Strength]],-1,0)&gt;0,OFFSET(TblMagic[[#This Row],[Active Mining Strength]],-1,0)-1,0))</f>
        <v>0</v>
      </c>
      <c r="AD49" s="57">
        <f ca="1">IF(TblMagic[[#This Row],[Ares Call]],12,IF(OFFSET(TblMagic[[#This Row],[Active Ares Call]],-1,0)&gt;0,OFFSET(TblMagic[[#This Row],[Active Ares Call]],-1,0)-1,0))</f>
        <v>0</v>
      </c>
      <c r="AE49" s="57">
        <f ca="1">IF(TblMagic[[#This Row],[Midas Touch]],12,IF(OFFSET(TblMagic[[#This Row],[Active Midas Touch]],-1,0)&gt;0,OFFSET(TblMagic[[#This Row],[Active Midas Touch]],-1,0)-1,0))</f>
        <v>0</v>
      </c>
      <c r="AF49" s="57">
        <f ca="1">IF(TblMagic[[#This Row],[Harmony]],12,IF(OFFSET(TblMagic[[#This Row],[Active Harmony]],-1,0)&gt;0,OFFSET(TblMagic[[#This Row],[Active Harmony]],-1,0)-1,0))</f>
        <v>0</v>
      </c>
      <c r="AG49" s="57">
        <f ca="1">IF(TblMagic[[#This Row],[Miner''s Sight]],12,IF(OFFSET(TblMagic[[#This Row],[Active Miner''s Sight]],-1,0)&gt;0,OFFSET(TblMagic[[#This Row],[Active Miner''s Sight]],-1,0)-1,0))</f>
        <v>0</v>
      </c>
      <c r="AH49" s="57">
        <f ca="1">IF(TblMagic[[#This Row],[Mechanical Genius]],12,IF(OFFSET(TblMagic[[#This Row],[Active Mechanical Genius]],-1,0)&gt;0,OFFSET(TblMagic[[#This Row],[Active Mechanical Genius]],-1,0)-1,0))</f>
        <v>0</v>
      </c>
      <c r="AI49" s="57">
        <f ca="1">IF(TblMagic[[#This Row],[Death and Decay]],12,IF(OFFSET(TblMagic[[#This Row],[Active DnD]],-1,0)&gt;0,OFFSET(TblMagic[[#This Row],[Active DnD]],-1,0)-1,0))</f>
        <v>0</v>
      </c>
      <c r="AJ49" s="57">
        <f ca="1">IF(TblMagic[[#This Row],[Killing Rage / Bloodrage / Crusade]],12,IF(OFFSET(TblMagic[[#This Row],[Active Warsong / Killing Rage / Bloodrage]],-1,0)&gt;0,OFFSET(TblMagic[[#This Row],[Active Warsong / Killing Rage / Bloodrage]],-1,0)-1,0))</f>
        <v>0</v>
      </c>
      <c r="AK49" s="57">
        <f ca="1">IF(TblMagic[[#This Row],[Gaia''s Blessing]],12,IF(OFFSET(TblMagic[[#This Row],[Active Gaia''s Blessing]],-1,0)&gt;0,OFFSET(TblMagic[[#This Row],[Active Gaia''s Blessing]],-1,0)-1,0))</f>
        <v>0</v>
      </c>
      <c r="AL49" s="57">
        <f ca="1">IF(TblMagic[[#This Row],[Howling]],12,IF(OFFSET(TblMagic[[#This Row],[Active Howling]],-1,0)&gt;0,OFFSET(TblMagic[[#This Row],[Active Howling]],-1,0)-1,0))</f>
        <v>0</v>
      </c>
      <c r="AM49" s="57">
        <f ca="1">IF(TblMagic[[#This Row],[Alchemist Frost]],12,IF(OFFSET(TblMagic[[#This Row],[Active Alch Frost]],-1,0)&gt;0,OFFSET(TblMagic[[#This Row],[Active Alch Frost]],-1,0)-1,0))</f>
        <v>0</v>
      </c>
      <c r="AN49" s="57">
        <f ca="1">IF(TblMagic[[#This Row],[Alchemists Flame]],12,IF(OFFSET(TblMagic[[#This Row],[Active Alchemists Flame]],-1,0)&gt;0,OFFSET(TblMagic[[#This Row],[Active Alchemists Flame]],-1,0)-1,0))</f>
        <v>0</v>
      </c>
      <c r="AO49" s="57">
        <f ca="1">IF(TblMagic[[#This Row],[Nightfall]],12,IF(OFFSET(TblMagic[[#This Row],[Active Nightfall]],-1,0)&gt;0,OFFSET(TblMagic[[#This Row],[Active Nightfall]],-1,0)-1,0))</f>
        <v>0</v>
      </c>
      <c r="AP49" s="57">
        <f ca="1">IF(TblMagic[[#This Row],[Favorable Terrain]],12,IF(OFFSET(TblMagic[[#This Row],[Active Favorable Terrain]],-1,0)&gt;0,OFFSET(TblMagic[[#This Row],[Active Favorable Terrain]],-1,0)-1,0))</f>
        <v>0</v>
      </c>
      <c r="AQ49" s="57">
        <f ca="1">IF(TblMagic[[#This Row],[Infernal Command]],12,IF(OFFSET(TblMagic[[#This Row],[Active Infernal Command]],-1,0)&gt;0,OFFSET(TblMagic[[#This Row],[Active Infernal Command]],-1,0)-1,0))</f>
        <v>0</v>
      </c>
    </row>
    <row r="50" spans="1:43" x14ac:dyDescent="0.2">
      <c r="A50" s="137">
        <f>TblRezone[[#This Row],[Hour]]</f>
        <v>47</v>
      </c>
      <c r="B50" s="154">
        <f ca="1">TblConstr[[#This Row],[Land]]</f>
        <v>110</v>
      </c>
      <c r="C50" s="94">
        <f ca="1">TblProd[[#This Row],[Mana]]</f>
        <v>0</v>
      </c>
      <c r="D50" s="156">
        <f ca="1">MIN(1,OFFSET(TblMagic[[#This Row],[Wiz str]],-1,0)+0.04+ROUNDDOWN(10*OFFSET(TblMili[[#This Row],[WG''s]],-1,0),0)+ tech_2_7*OFFSET(TblTech[[#This Row],[2-7]],-1,0) + tech_5_6*OFFSET(TblTech[[#This Row],[5-6]],-1,0) )-TblMagic[[#This Row],[Wiz str cost]]</f>
        <v>1</v>
      </c>
      <c r="E50" s="159">
        <f ca="1">OFFSET(TblMagic[[#This Row],[Time]],-1,0)+1/24</f>
        <v>46048.916666666555</v>
      </c>
      <c r="F50" s="156">
        <f ca="1">TblImps[[#This Row],[Population]]</f>
        <v>1</v>
      </c>
      <c r="G50" s="218"/>
      <c r="H50" s="218"/>
      <c r="I50" s="218"/>
      <c r="J50" s="218"/>
      <c r="K50" s="405"/>
      <c r="L50" s="218"/>
      <c r="M50" s="218"/>
      <c r="N50" s="218"/>
      <c r="O50" s="218"/>
      <c r="P50" s="218"/>
      <c r="Q50" s="218"/>
      <c r="R50" s="218"/>
      <c r="S50" s="218"/>
      <c r="T50" s="218"/>
      <c r="U50" s="218"/>
      <c r="V50" s="218"/>
      <c r="W50" s="218"/>
      <c r="X50" s="142"/>
      <c r="Y5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0" s="156">
        <f>SUMIF(TblMagic[[#This Row],[Gaia''s Watch]:[Useless spell]],1)*0.05</f>
        <v>0</v>
      </c>
      <c r="AA50" s="142"/>
      <c r="AB50" s="57">
        <f ca="1">IF(TblMagic[[#This Row],[Gaia''s Watch]],12,IF(OFFSET(TblMagic[[#This Row],[Active Gaia''s Watch]],-1,0)&gt;0,OFFSET(TblMagic[[#This Row],[Active Gaia''s Watch]],-1,0)-1,0))</f>
        <v>0</v>
      </c>
      <c r="AC50" s="57">
        <f ca="1">IF(TblMagic[[#This Row],[Mining Strength]],12,IF(OFFSET(TblMagic[[#This Row],[Active Mining Strength]],-1,0)&gt;0,OFFSET(TblMagic[[#This Row],[Active Mining Strength]],-1,0)-1,0))</f>
        <v>0</v>
      </c>
      <c r="AD50" s="57">
        <f ca="1">IF(TblMagic[[#This Row],[Ares Call]],12,IF(OFFSET(TblMagic[[#This Row],[Active Ares Call]],-1,0)&gt;0,OFFSET(TblMagic[[#This Row],[Active Ares Call]],-1,0)-1,0))</f>
        <v>0</v>
      </c>
      <c r="AE50" s="57">
        <f ca="1">IF(TblMagic[[#This Row],[Midas Touch]],12,IF(OFFSET(TblMagic[[#This Row],[Active Midas Touch]],-1,0)&gt;0,OFFSET(TblMagic[[#This Row],[Active Midas Touch]],-1,0)-1,0))</f>
        <v>0</v>
      </c>
      <c r="AF50" s="57">
        <f ca="1">IF(TblMagic[[#This Row],[Harmony]],12,IF(OFFSET(TblMagic[[#This Row],[Active Harmony]],-1,0)&gt;0,OFFSET(TblMagic[[#This Row],[Active Harmony]],-1,0)-1,0))</f>
        <v>0</v>
      </c>
      <c r="AG50" s="57">
        <f ca="1">IF(TblMagic[[#This Row],[Miner''s Sight]],12,IF(OFFSET(TblMagic[[#This Row],[Active Miner''s Sight]],-1,0)&gt;0,OFFSET(TblMagic[[#This Row],[Active Miner''s Sight]],-1,0)-1,0))</f>
        <v>0</v>
      </c>
      <c r="AH50" s="57">
        <f ca="1">IF(TblMagic[[#This Row],[Mechanical Genius]],12,IF(OFFSET(TblMagic[[#This Row],[Active Mechanical Genius]],-1,0)&gt;0,OFFSET(TblMagic[[#This Row],[Active Mechanical Genius]],-1,0)-1,0))</f>
        <v>0</v>
      </c>
      <c r="AI50" s="57">
        <f ca="1">IF(TblMagic[[#This Row],[Death and Decay]],12,IF(OFFSET(TblMagic[[#This Row],[Active DnD]],-1,0)&gt;0,OFFSET(TblMagic[[#This Row],[Active DnD]],-1,0)-1,0))</f>
        <v>0</v>
      </c>
      <c r="AJ50" s="57">
        <f ca="1">IF(TblMagic[[#This Row],[Killing Rage / Bloodrage / Crusade]],12,IF(OFFSET(TblMagic[[#This Row],[Active Warsong / Killing Rage / Bloodrage]],-1,0)&gt;0,OFFSET(TblMagic[[#This Row],[Active Warsong / Killing Rage / Bloodrage]],-1,0)-1,0))</f>
        <v>0</v>
      </c>
      <c r="AK50" s="57">
        <f ca="1">IF(TblMagic[[#This Row],[Gaia''s Blessing]],12,IF(OFFSET(TblMagic[[#This Row],[Active Gaia''s Blessing]],-1,0)&gt;0,OFFSET(TblMagic[[#This Row],[Active Gaia''s Blessing]],-1,0)-1,0))</f>
        <v>0</v>
      </c>
      <c r="AL50" s="57">
        <f ca="1">IF(TblMagic[[#This Row],[Howling]],12,IF(OFFSET(TblMagic[[#This Row],[Active Howling]],-1,0)&gt;0,OFFSET(TblMagic[[#This Row],[Active Howling]],-1,0)-1,0))</f>
        <v>0</v>
      </c>
      <c r="AM50" s="57">
        <f ca="1">IF(TblMagic[[#This Row],[Alchemist Frost]],12,IF(OFFSET(TblMagic[[#This Row],[Active Alch Frost]],-1,0)&gt;0,OFFSET(TblMagic[[#This Row],[Active Alch Frost]],-1,0)-1,0))</f>
        <v>0</v>
      </c>
      <c r="AN50" s="57">
        <f ca="1">IF(TblMagic[[#This Row],[Alchemists Flame]],12,IF(OFFSET(TblMagic[[#This Row],[Active Alchemists Flame]],-1,0)&gt;0,OFFSET(TblMagic[[#This Row],[Active Alchemists Flame]],-1,0)-1,0))</f>
        <v>0</v>
      </c>
      <c r="AO50" s="57">
        <f ca="1">IF(TblMagic[[#This Row],[Nightfall]],12,IF(OFFSET(TblMagic[[#This Row],[Active Nightfall]],-1,0)&gt;0,OFFSET(TblMagic[[#This Row],[Active Nightfall]],-1,0)-1,0))</f>
        <v>0</v>
      </c>
      <c r="AP50" s="57">
        <f ca="1">IF(TblMagic[[#This Row],[Favorable Terrain]],12,IF(OFFSET(TblMagic[[#This Row],[Active Favorable Terrain]],-1,0)&gt;0,OFFSET(TblMagic[[#This Row],[Active Favorable Terrain]],-1,0)-1,0))</f>
        <v>0</v>
      </c>
      <c r="AQ50" s="57">
        <f ca="1">IF(TblMagic[[#This Row],[Infernal Command]],12,IF(OFFSET(TblMagic[[#This Row],[Active Infernal Command]],-1,0)&gt;0,OFFSET(TblMagic[[#This Row],[Active Infernal Command]],-1,0)-1,0))</f>
        <v>0</v>
      </c>
    </row>
    <row r="51" spans="1:43" x14ac:dyDescent="0.2">
      <c r="A51" s="137">
        <f>TblRezone[[#This Row],[Hour]]</f>
        <v>48</v>
      </c>
      <c r="B51" s="154">
        <f ca="1">TblConstr[[#This Row],[Land]]</f>
        <v>110</v>
      </c>
      <c r="C51" s="94">
        <f ca="1">TblProd[[#This Row],[Mana]]</f>
        <v>0</v>
      </c>
      <c r="D51" s="156">
        <f ca="1">MIN(1,OFFSET(TblMagic[[#This Row],[Wiz str]],-1,0)+0.04+ROUNDDOWN(10*OFFSET(TblMili[[#This Row],[WG''s]],-1,0),0)+ tech_2_7*OFFSET(TblTech[[#This Row],[2-7]],-1,0) + tech_5_6*OFFSET(TblTech[[#This Row],[5-6]],-1,0) )-TblMagic[[#This Row],[Wiz str cost]]</f>
        <v>1</v>
      </c>
      <c r="E51" s="159">
        <f ca="1">OFFSET(TblMagic[[#This Row],[Time]],-1,0)+1/24</f>
        <v>46048.958333333219</v>
      </c>
      <c r="F51" s="156">
        <f ca="1">TblImps[[#This Row],[Population]]</f>
        <v>1</v>
      </c>
      <c r="G51" s="218"/>
      <c r="H51" s="218"/>
      <c r="I51" s="218"/>
      <c r="J51" s="218"/>
      <c r="K51" s="405"/>
      <c r="L51" s="218"/>
      <c r="M51" s="218"/>
      <c r="N51" s="218"/>
      <c r="O51" s="218"/>
      <c r="P51" s="218"/>
      <c r="Q51" s="218"/>
      <c r="R51" s="218"/>
      <c r="S51" s="218"/>
      <c r="T51" s="218"/>
      <c r="U51" s="218"/>
      <c r="V51" s="218"/>
      <c r="W51" s="218"/>
      <c r="X51" s="142"/>
      <c r="Y5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1" s="156">
        <f>SUMIF(TblMagic[[#This Row],[Gaia''s Watch]:[Useless spell]],1)*0.05</f>
        <v>0</v>
      </c>
      <c r="AA51" s="142"/>
      <c r="AB51" s="57">
        <f ca="1">IF(TblMagic[[#This Row],[Gaia''s Watch]],12,IF(OFFSET(TblMagic[[#This Row],[Active Gaia''s Watch]],-1,0)&gt;0,OFFSET(TblMagic[[#This Row],[Active Gaia''s Watch]],-1,0)-1,0))</f>
        <v>0</v>
      </c>
      <c r="AC51" s="57">
        <f ca="1">IF(TblMagic[[#This Row],[Mining Strength]],12,IF(OFFSET(TblMagic[[#This Row],[Active Mining Strength]],-1,0)&gt;0,OFFSET(TblMagic[[#This Row],[Active Mining Strength]],-1,0)-1,0))</f>
        <v>0</v>
      </c>
      <c r="AD51" s="57">
        <f ca="1">IF(TblMagic[[#This Row],[Ares Call]],12,IF(OFFSET(TblMagic[[#This Row],[Active Ares Call]],-1,0)&gt;0,OFFSET(TblMagic[[#This Row],[Active Ares Call]],-1,0)-1,0))</f>
        <v>0</v>
      </c>
      <c r="AE51" s="57">
        <f ca="1">IF(TblMagic[[#This Row],[Midas Touch]],12,IF(OFFSET(TblMagic[[#This Row],[Active Midas Touch]],-1,0)&gt;0,OFFSET(TblMagic[[#This Row],[Active Midas Touch]],-1,0)-1,0))</f>
        <v>0</v>
      </c>
      <c r="AF51" s="57">
        <f ca="1">IF(TblMagic[[#This Row],[Harmony]],12,IF(OFFSET(TblMagic[[#This Row],[Active Harmony]],-1,0)&gt;0,OFFSET(TblMagic[[#This Row],[Active Harmony]],-1,0)-1,0))</f>
        <v>0</v>
      </c>
      <c r="AG51" s="57">
        <f ca="1">IF(TblMagic[[#This Row],[Miner''s Sight]],12,IF(OFFSET(TblMagic[[#This Row],[Active Miner''s Sight]],-1,0)&gt;0,OFFSET(TblMagic[[#This Row],[Active Miner''s Sight]],-1,0)-1,0))</f>
        <v>0</v>
      </c>
      <c r="AH51" s="57">
        <f ca="1">IF(TblMagic[[#This Row],[Mechanical Genius]],12,IF(OFFSET(TblMagic[[#This Row],[Active Mechanical Genius]],-1,0)&gt;0,OFFSET(TblMagic[[#This Row],[Active Mechanical Genius]],-1,0)-1,0))</f>
        <v>0</v>
      </c>
      <c r="AI51" s="57">
        <f ca="1">IF(TblMagic[[#This Row],[Death and Decay]],12,IF(OFFSET(TblMagic[[#This Row],[Active DnD]],-1,0)&gt;0,OFFSET(TblMagic[[#This Row],[Active DnD]],-1,0)-1,0))</f>
        <v>0</v>
      </c>
      <c r="AJ51" s="57">
        <f ca="1">IF(TblMagic[[#This Row],[Killing Rage / Bloodrage / Crusade]],12,IF(OFFSET(TblMagic[[#This Row],[Active Warsong / Killing Rage / Bloodrage]],-1,0)&gt;0,OFFSET(TblMagic[[#This Row],[Active Warsong / Killing Rage / Bloodrage]],-1,0)-1,0))</f>
        <v>0</v>
      </c>
      <c r="AK51" s="57">
        <f ca="1">IF(TblMagic[[#This Row],[Gaia''s Blessing]],12,IF(OFFSET(TblMagic[[#This Row],[Active Gaia''s Blessing]],-1,0)&gt;0,OFFSET(TblMagic[[#This Row],[Active Gaia''s Blessing]],-1,0)-1,0))</f>
        <v>0</v>
      </c>
      <c r="AL51" s="57">
        <f ca="1">IF(TblMagic[[#This Row],[Howling]],12,IF(OFFSET(TblMagic[[#This Row],[Active Howling]],-1,0)&gt;0,OFFSET(TblMagic[[#This Row],[Active Howling]],-1,0)-1,0))</f>
        <v>0</v>
      </c>
      <c r="AM51" s="57">
        <f ca="1">IF(TblMagic[[#This Row],[Alchemist Frost]],12,IF(OFFSET(TblMagic[[#This Row],[Active Alch Frost]],-1,0)&gt;0,OFFSET(TblMagic[[#This Row],[Active Alch Frost]],-1,0)-1,0))</f>
        <v>0</v>
      </c>
      <c r="AN51" s="57">
        <f ca="1">IF(TblMagic[[#This Row],[Alchemists Flame]],12,IF(OFFSET(TblMagic[[#This Row],[Active Alchemists Flame]],-1,0)&gt;0,OFFSET(TblMagic[[#This Row],[Active Alchemists Flame]],-1,0)-1,0))</f>
        <v>0</v>
      </c>
      <c r="AO51" s="57">
        <f ca="1">IF(TblMagic[[#This Row],[Nightfall]],12,IF(OFFSET(TblMagic[[#This Row],[Active Nightfall]],-1,0)&gt;0,OFFSET(TblMagic[[#This Row],[Active Nightfall]],-1,0)-1,0))</f>
        <v>0</v>
      </c>
      <c r="AP51" s="57">
        <f ca="1">IF(TblMagic[[#This Row],[Favorable Terrain]],12,IF(OFFSET(TblMagic[[#This Row],[Active Favorable Terrain]],-1,0)&gt;0,OFFSET(TblMagic[[#This Row],[Active Favorable Terrain]],-1,0)-1,0))</f>
        <v>0</v>
      </c>
      <c r="AQ51" s="57">
        <f ca="1">IF(TblMagic[[#This Row],[Infernal Command]],12,IF(OFFSET(TblMagic[[#This Row],[Active Infernal Command]],-1,0)&gt;0,OFFSET(TblMagic[[#This Row],[Active Infernal Command]],-1,0)-1,0))</f>
        <v>0</v>
      </c>
    </row>
    <row r="52" spans="1:43" x14ac:dyDescent="0.2">
      <c r="A52" s="137">
        <f>TblRezone[[#This Row],[Hour]]</f>
        <v>49</v>
      </c>
      <c r="B52" s="154">
        <f ca="1">TblConstr[[#This Row],[Land]]</f>
        <v>110</v>
      </c>
      <c r="C52" s="94">
        <f ca="1">TblProd[[#This Row],[Mana]]</f>
        <v>0</v>
      </c>
      <c r="D52" s="156">
        <f ca="1">MIN(1,OFFSET(TblMagic[[#This Row],[Wiz str]],-1,0)+0.04+ROUNDDOWN(10*OFFSET(TblMili[[#This Row],[WG''s]],-1,0),0)+ tech_2_7*OFFSET(TblTech[[#This Row],[2-7]],-1,0) + tech_5_6*OFFSET(TblTech[[#This Row],[5-6]],-1,0) )-TblMagic[[#This Row],[Wiz str cost]]</f>
        <v>1</v>
      </c>
      <c r="E52" s="159">
        <f ca="1">OFFSET(TblMagic[[#This Row],[Time]],-1,0)+1/24</f>
        <v>46048.999999999884</v>
      </c>
      <c r="F52" s="156">
        <f ca="1">TblImps[[#This Row],[Population]]</f>
        <v>1</v>
      </c>
      <c r="G52" s="218"/>
      <c r="H52" s="218"/>
      <c r="I52" s="218"/>
      <c r="J52" s="218"/>
      <c r="K52" s="405"/>
      <c r="L52" s="218"/>
      <c r="M52" s="218"/>
      <c r="N52" s="218"/>
      <c r="O52" s="218"/>
      <c r="P52" s="218"/>
      <c r="Q52" s="218"/>
      <c r="R52" s="218"/>
      <c r="S52" s="218"/>
      <c r="T52" s="218"/>
      <c r="U52" s="218"/>
      <c r="V52" s="218"/>
      <c r="W52" s="218"/>
      <c r="X52" s="142"/>
      <c r="Y5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2" s="156">
        <f>SUMIF(TblMagic[[#This Row],[Gaia''s Watch]:[Useless spell]],1)*0.05</f>
        <v>0</v>
      </c>
      <c r="AA52" s="142"/>
      <c r="AB52" s="57">
        <f ca="1">IF(TblMagic[[#This Row],[Gaia''s Watch]],12,IF(OFFSET(TblMagic[[#This Row],[Active Gaia''s Watch]],-1,0)&gt;0,OFFSET(TblMagic[[#This Row],[Active Gaia''s Watch]],-1,0)-1,0))</f>
        <v>0</v>
      </c>
      <c r="AC52" s="57">
        <f ca="1">IF(TblMagic[[#This Row],[Mining Strength]],12,IF(OFFSET(TblMagic[[#This Row],[Active Mining Strength]],-1,0)&gt;0,OFFSET(TblMagic[[#This Row],[Active Mining Strength]],-1,0)-1,0))</f>
        <v>0</v>
      </c>
      <c r="AD52" s="57">
        <f ca="1">IF(TblMagic[[#This Row],[Ares Call]],12,IF(OFFSET(TblMagic[[#This Row],[Active Ares Call]],-1,0)&gt;0,OFFSET(TblMagic[[#This Row],[Active Ares Call]],-1,0)-1,0))</f>
        <v>0</v>
      </c>
      <c r="AE52" s="57">
        <f ca="1">IF(TblMagic[[#This Row],[Midas Touch]],12,IF(OFFSET(TblMagic[[#This Row],[Active Midas Touch]],-1,0)&gt;0,OFFSET(TblMagic[[#This Row],[Active Midas Touch]],-1,0)-1,0))</f>
        <v>0</v>
      </c>
      <c r="AF52" s="57">
        <f ca="1">IF(TblMagic[[#This Row],[Harmony]],12,IF(OFFSET(TblMagic[[#This Row],[Active Harmony]],-1,0)&gt;0,OFFSET(TblMagic[[#This Row],[Active Harmony]],-1,0)-1,0))</f>
        <v>0</v>
      </c>
      <c r="AG52" s="57">
        <f ca="1">IF(TblMagic[[#This Row],[Miner''s Sight]],12,IF(OFFSET(TblMagic[[#This Row],[Active Miner''s Sight]],-1,0)&gt;0,OFFSET(TblMagic[[#This Row],[Active Miner''s Sight]],-1,0)-1,0))</f>
        <v>0</v>
      </c>
      <c r="AH52" s="57">
        <f ca="1">IF(TblMagic[[#This Row],[Mechanical Genius]],12,IF(OFFSET(TblMagic[[#This Row],[Active Mechanical Genius]],-1,0)&gt;0,OFFSET(TblMagic[[#This Row],[Active Mechanical Genius]],-1,0)-1,0))</f>
        <v>0</v>
      </c>
      <c r="AI52" s="57">
        <f ca="1">IF(TblMagic[[#This Row],[Death and Decay]],12,IF(OFFSET(TblMagic[[#This Row],[Active DnD]],-1,0)&gt;0,OFFSET(TblMagic[[#This Row],[Active DnD]],-1,0)-1,0))</f>
        <v>0</v>
      </c>
      <c r="AJ52" s="57">
        <f ca="1">IF(TblMagic[[#This Row],[Killing Rage / Bloodrage / Crusade]],12,IF(OFFSET(TblMagic[[#This Row],[Active Warsong / Killing Rage / Bloodrage]],-1,0)&gt;0,OFFSET(TblMagic[[#This Row],[Active Warsong / Killing Rage / Bloodrage]],-1,0)-1,0))</f>
        <v>0</v>
      </c>
      <c r="AK52" s="57">
        <f ca="1">IF(TblMagic[[#This Row],[Gaia''s Blessing]],12,IF(OFFSET(TblMagic[[#This Row],[Active Gaia''s Blessing]],-1,0)&gt;0,OFFSET(TblMagic[[#This Row],[Active Gaia''s Blessing]],-1,0)-1,0))</f>
        <v>0</v>
      </c>
      <c r="AL52" s="57">
        <f ca="1">IF(TblMagic[[#This Row],[Howling]],12,IF(OFFSET(TblMagic[[#This Row],[Active Howling]],-1,0)&gt;0,OFFSET(TblMagic[[#This Row],[Active Howling]],-1,0)-1,0))</f>
        <v>0</v>
      </c>
      <c r="AM52" s="57">
        <f ca="1">IF(TblMagic[[#This Row],[Alchemist Frost]],12,IF(OFFSET(TblMagic[[#This Row],[Active Alch Frost]],-1,0)&gt;0,OFFSET(TblMagic[[#This Row],[Active Alch Frost]],-1,0)-1,0))</f>
        <v>0</v>
      </c>
      <c r="AN52" s="57">
        <f ca="1">IF(TblMagic[[#This Row],[Alchemists Flame]],12,IF(OFFSET(TblMagic[[#This Row],[Active Alchemists Flame]],-1,0)&gt;0,OFFSET(TblMagic[[#This Row],[Active Alchemists Flame]],-1,0)-1,0))</f>
        <v>0</v>
      </c>
      <c r="AO52" s="57">
        <f ca="1">IF(TblMagic[[#This Row],[Nightfall]],12,IF(OFFSET(TblMagic[[#This Row],[Active Nightfall]],-1,0)&gt;0,OFFSET(TblMagic[[#This Row],[Active Nightfall]],-1,0)-1,0))</f>
        <v>0</v>
      </c>
      <c r="AP52" s="57">
        <f ca="1">IF(TblMagic[[#This Row],[Favorable Terrain]],12,IF(OFFSET(TblMagic[[#This Row],[Active Favorable Terrain]],-1,0)&gt;0,OFFSET(TblMagic[[#This Row],[Active Favorable Terrain]],-1,0)-1,0))</f>
        <v>0</v>
      </c>
      <c r="AQ52" s="57">
        <f ca="1">IF(TblMagic[[#This Row],[Infernal Command]],12,IF(OFFSET(TblMagic[[#This Row],[Active Infernal Command]],-1,0)&gt;0,OFFSET(TblMagic[[#This Row],[Active Infernal Command]],-1,0)-1,0))</f>
        <v>0</v>
      </c>
    </row>
    <row r="53" spans="1:43" x14ac:dyDescent="0.2">
      <c r="A53" s="137">
        <f>TblRezone[[#This Row],[Hour]]</f>
        <v>50</v>
      </c>
      <c r="B53" s="154">
        <f ca="1">TblConstr[[#This Row],[Land]]</f>
        <v>110</v>
      </c>
      <c r="C53" s="94">
        <f ca="1">TblProd[[#This Row],[Mana]]</f>
        <v>0</v>
      </c>
      <c r="D53" s="156">
        <f ca="1">MIN(1,OFFSET(TblMagic[[#This Row],[Wiz str]],-1,0)+0.04+ROUNDDOWN(10*OFFSET(TblMili[[#This Row],[WG''s]],-1,0),0)+ tech_2_7*OFFSET(TblTech[[#This Row],[2-7]],-1,0) + tech_5_6*OFFSET(TblTech[[#This Row],[5-6]],-1,0) )-TblMagic[[#This Row],[Wiz str cost]]</f>
        <v>1</v>
      </c>
      <c r="E53" s="159">
        <f ca="1">OFFSET(TblMagic[[#This Row],[Time]],-1,0)+1/24</f>
        <v>46049.041666666548</v>
      </c>
      <c r="F53" s="156">
        <f ca="1">TblImps[[#This Row],[Population]]</f>
        <v>1</v>
      </c>
      <c r="G53" s="218"/>
      <c r="H53" s="218"/>
      <c r="I53" s="218"/>
      <c r="J53" s="218"/>
      <c r="K53" s="405"/>
      <c r="L53" s="218"/>
      <c r="M53" s="218"/>
      <c r="N53" s="218"/>
      <c r="O53" s="218"/>
      <c r="P53" s="218"/>
      <c r="Q53" s="218"/>
      <c r="R53" s="218"/>
      <c r="S53" s="218"/>
      <c r="T53" s="218"/>
      <c r="U53" s="218"/>
      <c r="V53" s="218"/>
      <c r="W53" s="218"/>
      <c r="X53" s="142"/>
      <c r="Y5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3" s="156">
        <f>SUMIF(TblMagic[[#This Row],[Gaia''s Watch]:[Useless spell]],1)*0.05</f>
        <v>0</v>
      </c>
      <c r="AA53" s="142"/>
      <c r="AB53" s="57">
        <f ca="1">IF(TblMagic[[#This Row],[Gaia''s Watch]],12,IF(OFFSET(TblMagic[[#This Row],[Active Gaia''s Watch]],-1,0)&gt;0,OFFSET(TblMagic[[#This Row],[Active Gaia''s Watch]],-1,0)-1,0))</f>
        <v>0</v>
      </c>
      <c r="AC53" s="57">
        <f ca="1">IF(TblMagic[[#This Row],[Mining Strength]],12,IF(OFFSET(TblMagic[[#This Row],[Active Mining Strength]],-1,0)&gt;0,OFFSET(TblMagic[[#This Row],[Active Mining Strength]],-1,0)-1,0))</f>
        <v>0</v>
      </c>
      <c r="AD53" s="57">
        <f ca="1">IF(TblMagic[[#This Row],[Ares Call]],12,IF(OFFSET(TblMagic[[#This Row],[Active Ares Call]],-1,0)&gt;0,OFFSET(TblMagic[[#This Row],[Active Ares Call]],-1,0)-1,0))</f>
        <v>0</v>
      </c>
      <c r="AE53" s="57">
        <f ca="1">IF(TblMagic[[#This Row],[Midas Touch]],12,IF(OFFSET(TblMagic[[#This Row],[Active Midas Touch]],-1,0)&gt;0,OFFSET(TblMagic[[#This Row],[Active Midas Touch]],-1,0)-1,0))</f>
        <v>0</v>
      </c>
      <c r="AF53" s="57">
        <f ca="1">IF(TblMagic[[#This Row],[Harmony]],12,IF(OFFSET(TblMagic[[#This Row],[Active Harmony]],-1,0)&gt;0,OFFSET(TblMagic[[#This Row],[Active Harmony]],-1,0)-1,0))</f>
        <v>0</v>
      </c>
      <c r="AG53" s="57">
        <f ca="1">IF(TblMagic[[#This Row],[Miner''s Sight]],12,IF(OFFSET(TblMagic[[#This Row],[Active Miner''s Sight]],-1,0)&gt;0,OFFSET(TblMagic[[#This Row],[Active Miner''s Sight]],-1,0)-1,0))</f>
        <v>0</v>
      </c>
      <c r="AH53" s="57">
        <f ca="1">IF(TblMagic[[#This Row],[Mechanical Genius]],12,IF(OFFSET(TblMagic[[#This Row],[Active Mechanical Genius]],-1,0)&gt;0,OFFSET(TblMagic[[#This Row],[Active Mechanical Genius]],-1,0)-1,0))</f>
        <v>0</v>
      </c>
      <c r="AI53" s="57">
        <f ca="1">IF(TblMagic[[#This Row],[Death and Decay]],12,IF(OFFSET(TblMagic[[#This Row],[Active DnD]],-1,0)&gt;0,OFFSET(TblMagic[[#This Row],[Active DnD]],-1,0)-1,0))</f>
        <v>0</v>
      </c>
      <c r="AJ53" s="57">
        <f ca="1">IF(TblMagic[[#This Row],[Killing Rage / Bloodrage / Crusade]],12,IF(OFFSET(TblMagic[[#This Row],[Active Warsong / Killing Rage / Bloodrage]],-1,0)&gt;0,OFFSET(TblMagic[[#This Row],[Active Warsong / Killing Rage / Bloodrage]],-1,0)-1,0))</f>
        <v>0</v>
      </c>
      <c r="AK53" s="57">
        <f ca="1">IF(TblMagic[[#This Row],[Gaia''s Blessing]],12,IF(OFFSET(TblMagic[[#This Row],[Active Gaia''s Blessing]],-1,0)&gt;0,OFFSET(TblMagic[[#This Row],[Active Gaia''s Blessing]],-1,0)-1,0))</f>
        <v>0</v>
      </c>
      <c r="AL53" s="57">
        <f ca="1">IF(TblMagic[[#This Row],[Howling]],12,IF(OFFSET(TblMagic[[#This Row],[Active Howling]],-1,0)&gt;0,OFFSET(TblMagic[[#This Row],[Active Howling]],-1,0)-1,0))</f>
        <v>0</v>
      </c>
      <c r="AM53" s="57">
        <f ca="1">IF(TblMagic[[#This Row],[Alchemist Frost]],12,IF(OFFSET(TblMagic[[#This Row],[Active Alch Frost]],-1,0)&gt;0,OFFSET(TblMagic[[#This Row],[Active Alch Frost]],-1,0)-1,0))</f>
        <v>0</v>
      </c>
      <c r="AN53" s="57">
        <f ca="1">IF(TblMagic[[#This Row],[Alchemists Flame]],12,IF(OFFSET(TblMagic[[#This Row],[Active Alchemists Flame]],-1,0)&gt;0,OFFSET(TblMagic[[#This Row],[Active Alchemists Flame]],-1,0)-1,0))</f>
        <v>0</v>
      </c>
      <c r="AO53" s="57">
        <f ca="1">IF(TblMagic[[#This Row],[Nightfall]],12,IF(OFFSET(TblMagic[[#This Row],[Active Nightfall]],-1,0)&gt;0,OFFSET(TblMagic[[#This Row],[Active Nightfall]],-1,0)-1,0))</f>
        <v>0</v>
      </c>
      <c r="AP53" s="57">
        <f ca="1">IF(TblMagic[[#This Row],[Favorable Terrain]],12,IF(OFFSET(TblMagic[[#This Row],[Active Favorable Terrain]],-1,0)&gt;0,OFFSET(TblMagic[[#This Row],[Active Favorable Terrain]],-1,0)-1,0))</f>
        <v>0</v>
      </c>
      <c r="AQ53" s="57">
        <f ca="1">IF(TblMagic[[#This Row],[Infernal Command]],12,IF(OFFSET(TblMagic[[#This Row],[Active Infernal Command]],-1,0)&gt;0,OFFSET(TblMagic[[#This Row],[Active Infernal Command]],-1,0)-1,0))</f>
        <v>0</v>
      </c>
    </row>
    <row r="54" spans="1:43" x14ac:dyDescent="0.2">
      <c r="A54" s="137">
        <f>TblRezone[[#This Row],[Hour]]</f>
        <v>51</v>
      </c>
      <c r="B54" s="154">
        <f ca="1">TblConstr[[#This Row],[Land]]</f>
        <v>110</v>
      </c>
      <c r="C54" s="94">
        <f ca="1">TblProd[[#This Row],[Mana]]</f>
        <v>0</v>
      </c>
      <c r="D54" s="156">
        <f ca="1">MIN(1,OFFSET(TblMagic[[#This Row],[Wiz str]],-1,0)+0.04+ROUNDDOWN(10*OFFSET(TblMili[[#This Row],[WG''s]],-1,0),0)+ tech_2_7*OFFSET(TblTech[[#This Row],[2-7]],-1,0) + tech_5_6*OFFSET(TblTech[[#This Row],[5-6]],-1,0) )-TblMagic[[#This Row],[Wiz str cost]]</f>
        <v>1</v>
      </c>
      <c r="E54" s="159">
        <f ca="1">OFFSET(TblMagic[[#This Row],[Time]],-1,0)+1/24</f>
        <v>46049.083333333212</v>
      </c>
      <c r="F54" s="156">
        <f ca="1">TblImps[[#This Row],[Population]]</f>
        <v>1</v>
      </c>
      <c r="G54" s="218"/>
      <c r="H54" s="218"/>
      <c r="I54" s="218"/>
      <c r="J54" s="218"/>
      <c r="K54" s="405"/>
      <c r="L54" s="218"/>
      <c r="M54" s="218"/>
      <c r="N54" s="218"/>
      <c r="O54" s="218"/>
      <c r="P54" s="218"/>
      <c r="Q54" s="218"/>
      <c r="R54" s="218"/>
      <c r="S54" s="218"/>
      <c r="T54" s="218"/>
      <c r="U54" s="218"/>
      <c r="V54" s="218"/>
      <c r="W54" s="218"/>
      <c r="X54" s="142"/>
      <c r="Y5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4" s="156">
        <f>SUMIF(TblMagic[[#This Row],[Gaia''s Watch]:[Useless spell]],1)*0.05</f>
        <v>0</v>
      </c>
      <c r="AA54" s="142"/>
      <c r="AB54" s="57">
        <f ca="1">IF(TblMagic[[#This Row],[Gaia''s Watch]],12,IF(OFFSET(TblMagic[[#This Row],[Active Gaia''s Watch]],-1,0)&gt;0,OFFSET(TblMagic[[#This Row],[Active Gaia''s Watch]],-1,0)-1,0))</f>
        <v>0</v>
      </c>
      <c r="AC54" s="57">
        <f ca="1">IF(TblMagic[[#This Row],[Mining Strength]],12,IF(OFFSET(TblMagic[[#This Row],[Active Mining Strength]],-1,0)&gt;0,OFFSET(TblMagic[[#This Row],[Active Mining Strength]],-1,0)-1,0))</f>
        <v>0</v>
      </c>
      <c r="AD54" s="57">
        <f ca="1">IF(TblMagic[[#This Row],[Ares Call]],12,IF(OFFSET(TblMagic[[#This Row],[Active Ares Call]],-1,0)&gt;0,OFFSET(TblMagic[[#This Row],[Active Ares Call]],-1,0)-1,0))</f>
        <v>0</v>
      </c>
      <c r="AE54" s="57">
        <f ca="1">IF(TblMagic[[#This Row],[Midas Touch]],12,IF(OFFSET(TblMagic[[#This Row],[Active Midas Touch]],-1,0)&gt;0,OFFSET(TblMagic[[#This Row],[Active Midas Touch]],-1,0)-1,0))</f>
        <v>0</v>
      </c>
      <c r="AF54" s="57">
        <f ca="1">IF(TblMagic[[#This Row],[Harmony]],12,IF(OFFSET(TblMagic[[#This Row],[Active Harmony]],-1,0)&gt;0,OFFSET(TblMagic[[#This Row],[Active Harmony]],-1,0)-1,0))</f>
        <v>0</v>
      </c>
      <c r="AG54" s="57">
        <f ca="1">IF(TblMagic[[#This Row],[Miner''s Sight]],12,IF(OFFSET(TblMagic[[#This Row],[Active Miner''s Sight]],-1,0)&gt;0,OFFSET(TblMagic[[#This Row],[Active Miner''s Sight]],-1,0)-1,0))</f>
        <v>0</v>
      </c>
      <c r="AH54" s="57">
        <f ca="1">IF(TblMagic[[#This Row],[Mechanical Genius]],12,IF(OFFSET(TblMagic[[#This Row],[Active Mechanical Genius]],-1,0)&gt;0,OFFSET(TblMagic[[#This Row],[Active Mechanical Genius]],-1,0)-1,0))</f>
        <v>0</v>
      </c>
      <c r="AI54" s="57">
        <f ca="1">IF(TblMagic[[#This Row],[Death and Decay]],12,IF(OFFSET(TblMagic[[#This Row],[Active DnD]],-1,0)&gt;0,OFFSET(TblMagic[[#This Row],[Active DnD]],-1,0)-1,0))</f>
        <v>0</v>
      </c>
      <c r="AJ54" s="57">
        <f ca="1">IF(TblMagic[[#This Row],[Killing Rage / Bloodrage / Crusade]],12,IF(OFFSET(TblMagic[[#This Row],[Active Warsong / Killing Rage / Bloodrage]],-1,0)&gt;0,OFFSET(TblMagic[[#This Row],[Active Warsong / Killing Rage / Bloodrage]],-1,0)-1,0))</f>
        <v>0</v>
      </c>
      <c r="AK54" s="57">
        <f ca="1">IF(TblMagic[[#This Row],[Gaia''s Blessing]],12,IF(OFFSET(TblMagic[[#This Row],[Active Gaia''s Blessing]],-1,0)&gt;0,OFFSET(TblMagic[[#This Row],[Active Gaia''s Blessing]],-1,0)-1,0))</f>
        <v>0</v>
      </c>
      <c r="AL54" s="57">
        <f ca="1">IF(TblMagic[[#This Row],[Howling]],12,IF(OFFSET(TblMagic[[#This Row],[Active Howling]],-1,0)&gt;0,OFFSET(TblMagic[[#This Row],[Active Howling]],-1,0)-1,0))</f>
        <v>0</v>
      </c>
      <c r="AM54" s="57">
        <f ca="1">IF(TblMagic[[#This Row],[Alchemist Frost]],12,IF(OFFSET(TblMagic[[#This Row],[Active Alch Frost]],-1,0)&gt;0,OFFSET(TblMagic[[#This Row],[Active Alch Frost]],-1,0)-1,0))</f>
        <v>0</v>
      </c>
      <c r="AN54" s="57">
        <f ca="1">IF(TblMagic[[#This Row],[Alchemists Flame]],12,IF(OFFSET(TblMagic[[#This Row],[Active Alchemists Flame]],-1,0)&gt;0,OFFSET(TblMagic[[#This Row],[Active Alchemists Flame]],-1,0)-1,0))</f>
        <v>0</v>
      </c>
      <c r="AO54" s="57">
        <f ca="1">IF(TblMagic[[#This Row],[Nightfall]],12,IF(OFFSET(TblMagic[[#This Row],[Active Nightfall]],-1,0)&gt;0,OFFSET(TblMagic[[#This Row],[Active Nightfall]],-1,0)-1,0))</f>
        <v>0</v>
      </c>
      <c r="AP54" s="57">
        <f ca="1">IF(TblMagic[[#This Row],[Favorable Terrain]],12,IF(OFFSET(TblMagic[[#This Row],[Active Favorable Terrain]],-1,0)&gt;0,OFFSET(TblMagic[[#This Row],[Active Favorable Terrain]],-1,0)-1,0))</f>
        <v>0</v>
      </c>
      <c r="AQ54" s="57">
        <f ca="1">IF(TblMagic[[#This Row],[Infernal Command]],12,IF(OFFSET(TblMagic[[#This Row],[Active Infernal Command]],-1,0)&gt;0,OFFSET(TblMagic[[#This Row],[Active Infernal Command]],-1,0)-1,0))</f>
        <v>0</v>
      </c>
    </row>
    <row r="55" spans="1:43" x14ac:dyDescent="0.2">
      <c r="A55" s="137">
        <f>TblRezone[[#This Row],[Hour]]</f>
        <v>52</v>
      </c>
      <c r="B55" s="154">
        <f ca="1">TblConstr[[#This Row],[Land]]</f>
        <v>110</v>
      </c>
      <c r="C55" s="94">
        <f ca="1">TblProd[[#This Row],[Mana]]</f>
        <v>0</v>
      </c>
      <c r="D55" s="156">
        <f ca="1">MIN(1,OFFSET(TblMagic[[#This Row],[Wiz str]],-1,0)+0.04+ROUNDDOWN(10*OFFSET(TblMili[[#This Row],[WG''s]],-1,0),0)+ tech_2_7*OFFSET(TblTech[[#This Row],[2-7]],-1,0) + tech_5_6*OFFSET(TblTech[[#This Row],[5-6]],-1,0) )-TblMagic[[#This Row],[Wiz str cost]]</f>
        <v>1</v>
      </c>
      <c r="E55" s="159">
        <f ca="1">OFFSET(TblMagic[[#This Row],[Time]],-1,0)+1/24</f>
        <v>46049.124999999876</v>
      </c>
      <c r="F55" s="156">
        <f ca="1">TblImps[[#This Row],[Population]]</f>
        <v>1</v>
      </c>
      <c r="G55" s="218"/>
      <c r="H55" s="218"/>
      <c r="I55" s="218"/>
      <c r="J55" s="218"/>
      <c r="K55" s="405"/>
      <c r="L55" s="218"/>
      <c r="M55" s="218"/>
      <c r="N55" s="218"/>
      <c r="O55" s="218"/>
      <c r="P55" s="218"/>
      <c r="Q55" s="218"/>
      <c r="R55" s="218"/>
      <c r="S55" s="218"/>
      <c r="T55" s="218"/>
      <c r="U55" s="218"/>
      <c r="V55" s="218"/>
      <c r="W55" s="218"/>
      <c r="X55" s="142"/>
      <c r="Y5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5" s="156">
        <f>SUMIF(TblMagic[[#This Row],[Gaia''s Watch]:[Useless spell]],1)*0.05</f>
        <v>0</v>
      </c>
      <c r="AA55" s="142"/>
      <c r="AB55" s="57">
        <f ca="1">IF(TblMagic[[#This Row],[Gaia''s Watch]],12,IF(OFFSET(TblMagic[[#This Row],[Active Gaia''s Watch]],-1,0)&gt;0,OFFSET(TblMagic[[#This Row],[Active Gaia''s Watch]],-1,0)-1,0))</f>
        <v>0</v>
      </c>
      <c r="AC55" s="57">
        <f ca="1">IF(TblMagic[[#This Row],[Mining Strength]],12,IF(OFFSET(TblMagic[[#This Row],[Active Mining Strength]],-1,0)&gt;0,OFFSET(TblMagic[[#This Row],[Active Mining Strength]],-1,0)-1,0))</f>
        <v>0</v>
      </c>
      <c r="AD55" s="57">
        <f ca="1">IF(TblMagic[[#This Row],[Ares Call]],12,IF(OFFSET(TblMagic[[#This Row],[Active Ares Call]],-1,0)&gt;0,OFFSET(TblMagic[[#This Row],[Active Ares Call]],-1,0)-1,0))</f>
        <v>0</v>
      </c>
      <c r="AE55" s="57">
        <f ca="1">IF(TblMagic[[#This Row],[Midas Touch]],12,IF(OFFSET(TblMagic[[#This Row],[Active Midas Touch]],-1,0)&gt;0,OFFSET(TblMagic[[#This Row],[Active Midas Touch]],-1,0)-1,0))</f>
        <v>0</v>
      </c>
      <c r="AF55" s="57">
        <f ca="1">IF(TblMagic[[#This Row],[Harmony]],12,IF(OFFSET(TblMagic[[#This Row],[Active Harmony]],-1,0)&gt;0,OFFSET(TblMagic[[#This Row],[Active Harmony]],-1,0)-1,0))</f>
        <v>0</v>
      </c>
      <c r="AG55" s="57">
        <f ca="1">IF(TblMagic[[#This Row],[Miner''s Sight]],12,IF(OFFSET(TblMagic[[#This Row],[Active Miner''s Sight]],-1,0)&gt;0,OFFSET(TblMagic[[#This Row],[Active Miner''s Sight]],-1,0)-1,0))</f>
        <v>0</v>
      </c>
      <c r="AH55" s="57">
        <f ca="1">IF(TblMagic[[#This Row],[Mechanical Genius]],12,IF(OFFSET(TblMagic[[#This Row],[Active Mechanical Genius]],-1,0)&gt;0,OFFSET(TblMagic[[#This Row],[Active Mechanical Genius]],-1,0)-1,0))</f>
        <v>0</v>
      </c>
      <c r="AI55" s="57">
        <f ca="1">IF(TblMagic[[#This Row],[Death and Decay]],12,IF(OFFSET(TblMagic[[#This Row],[Active DnD]],-1,0)&gt;0,OFFSET(TblMagic[[#This Row],[Active DnD]],-1,0)-1,0))</f>
        <v>0</v>
      </c>
      <c r="AJ55" s="57">
        <f ca="1">IF(TblMagic[[#This Row],[Killing Rage / Bloodrage / Crusade]],12,IF(OFFSET(TblMagic[[#This Row],[Active Warsong / Killing Rage / Bloodrage]],-1,0)&gt;0,OFFSET(TblMagic[[#This Row],[Active Warsong / Killing Rage / Bloodrage]],-1,0)-1,0))</f>
        <v>0</v>
      </c>
      <c r="AK55" s="57">
        <f ca="1">IF(TblMagic[[#This Row],[Gaia''s Blessing]],12,IF(OFFSET(TblMagic[[#This Row],[Active Gaia''s Blessing]],-1,0)&gt;0,OFFSET(TblMagic[[#This Row],[Active Gaia''s Blessing]],-1,0)-1,0))</f>
        <v>0</v>
      </c>
      <c r="AL55" s="57">
        <f ca="1">IF(TblMagic[[#This Row],[Howling]],12,IF(OFFSET(TblMagic[[#This Row],[Active Howling]],-1,0)&gt;0,OFFSET(TblMagic[[#This Row],[Active Howling]],-1,0)-1,0))</f>
        <v>0</v>
      </c>
      <c r="AM55" s="57">
        <f ca="1">IF(TblMagic[[#This Row],[Alchemist Frost]],12,IF(OFFSET(TblMagic[[#This Row],[Active Alch Frost]],-1,0)&gt;0,OFFSET(TblMagic[[#This Row],[Active Alch Frost]],-1,0)-1,0))</f>
        <v>0</v>
      </c>
      <c r="AN55" s="57">
        <f ca="1">IF(TblMagic[[#This Row],[Alchemists Flame]],12,IF(OFFSET(TblMagic[[#This Row],[Active Alchemists Flame]],-1,0)&gt;0,OFFSET(TblMagic[[#This Row],[Active Alchemists Flame]],-1,0)-1,0))</f>
        <v>0</v>
      </c>
      <c r="AO55" s="57">
        <f ca="1">IF(TblMagic[[#This Row],[Nightfall]],12,IF(OFFSET(TblMagic[[#This Row],[Active Nightfall]],-1,0)&gt;0,OFFSET(TblMagic[[#This Row],[Active Nightfall]],-1,0)-1,0))</f>
        <v>0</v>
      </c>
      <c r="AP55" s="57">
        <f ca="1">IF(TblMagic[[#This Row],[Favorable Terrain]],12,IF(OFFSET(TblMagic[[#This Row],[Active Favorable Terrain]],-1,0)&gt;0,OFFSET(TblMagic[[#This Row],[Active Favorable Terrain]],-1,0)-1,0))</f>
        <v>0</v>
      </c>
      <c r="AQ55" s="57">
        <f ca="1">IF(TblMagic[[#This Row],[Infernal Command]],12,IF(OFFSET(TblMagic[[#This Row],[Active Infernal Command]],-1,0)&gt;0,OFFSET(TblMagic[[#This Row],[Active Infernal Command]],-1,0)-1,0))</f>
        <v>0</v>
      </c>
    </row>
    <row r="56" spans="1:43" x14ac:dyDescent="0.2">
      <c r="A56" s="137">
        <f>TblRezone[[#This Row],[Hour]]</f>
        <v>53</v>
      </c>
      <c r="B56" s="154">
        <f ca="1">TblConstr[[#This Row],[Land]]</f>
        <v>110</v>
      </c>
      <c r="C56" s="94">
        <f ca="1">TblProd[[#This Row],[Mana]]</f>
        <v>0</v>
      </c>
      <c r="D56" s="156">
        <f ca="1">MIN(1,OFFSET(TblMagic[[#This Row],[Wiz str]],-1,0)+0.04+ROUNDDOWN(10*OFFSET(TblMili[[#This Row],[WG''s]],-1,0),0)+ tech_2_7*OFFSET(TblTech[[#This Row],[2-7]],-1,0) + tech_5_6*OFFSET(TblTech[[#This Row],[5-6]],-1,0) )-TblMagic[[#This Row],[Wiz str cost]]</f>
        <v>1</v>
      </c>
      <c r="E56" s="159">
        <f ca="1">OFFSET(TblMagic[[#This Row],[Time]],-1,0)+1/24</f>
        <v>46049.166666666541</v>
      </c>
      <c r="F56" s="156">
        <f ca="1">TblImps[[#This Row],[Population]]</f>
        <v>1</v>
      </c>
      <c r="G56" s="218"/>
      <c r="H56" s="218"/>
      <c r="I56" s="218"/>
      <c r="J56" s="218"/>
      <c r="K56" s="405"/>
      <c r="L56" s="218"/>
      <c r="M56" s="218"/>
      <c r="N56" s="218"/>
      <c r="O56" s="218"/>
      <c r="P56" s="218"/>
      <c r="Q56" s="218"/>
      <c r="R56" s="218"/>
      <c r="S56" s="218"/>
      <c r="T56" s="218"/>
      <c r="U56" s="218"/>
      <c r="V56" s="218"/>
      <c r="W56" s="218"/>
      <c r="X56" s="142"/>
      <c r="Y5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6" s="156">
        <f>SUMIF(TblMagic[[#This Row],[Gaia''s Watch]:[Useless spell]],1)*0.05</f>
        <v>0</v>
      </c>
      <c r="AA56" s="142"/>
      <c r="AB56" s="57">
        <f ca="1">IF(TblMagic[[#This Row],[Gaia''s Watch]],12,IF(OFFSET(TblMagic[[#This Row],[Active Gaia''s Watch]],-1,0)&gt;0,OFFSET(TblMagic[[#This Row],[Active Gaia''s Watch]],-1,0)-1,0))</f>
        <v>0</v>
      </c>
      <c r="AC56" s="57">
        <f ca="1">IF(TblMagic[[#This Row],[Mining Strength]],12,IF(OFFSET(TblMagic[[#This Row],[Active Mining Strength]],-1,0)&gt;0,OFFSET(TblMagic[[#This Row],[Active Mining Strength]],-1,0)-1,0))</f>
        <v>0</v>
      </c>
      <c r="AD56" s="57">
        <f ca="1">IF(TblMagic[[#This Row],[Ares Call]],12,IF(OFFSET(TblMagic[[#This Row],[Active Ares Call]],-1,0)&gt;0,OFFSET(TblMagic[[#This Row],[Active Ares Call]],-1,0)-1,0))</f>
        <v>0</v>
      </c>
      <c r="AE56" s="57">
        <f ca="1">IF(TblMagic[[#This Row],[Midas Touch]],12,IF(OFFSET(TblMagic[[#This Row],[Active Midas Touch]],-1,0)&gt;0,OFFSET(TblMagic[[#This Row],[Active Midas Touch]],-1,0)-1,0))</f>
        <v>0</v>
      </c>
      <c r="AF56" s="57">
        <f ca="1">IF(TblMagic[[#This Row],[Harmony]],12,IF(OFFSET(TblMagic[[#This Row],[Active Harmony]],-1,0)&gt;0,OFFSET(TblMagic[[#This Row],[Active Harmony]],-1,0)-1,0))</f>
        <v>0</v>
      </c>
      <c r="AG56" s="57">
        <f ca="1">IF(TblMagic[[#This Row],[Miner''s Sight]],12,IF(OFFSET(TblMagic[[#This Row],[Active Miner''s Sight]],-1,0)&gt;0,OFFSET(TblMagic[[#This Row],[Active Miner''s Sight]],-1,0)-1,0))</f>
        <v>0</v>
      </c>
      <c r="AH56" s="57">
        <f ca="1">IF(TblMagic[[#This Row],[Mechanical Genius]],12,IF(OFFSET(TblMagic[[#This Row],[Active Mechanical Genius]],-1,0)&gt;0,OFFSET(TblMagic[[#This Row],[Active Mechanical Genius]],-1,0)-1,0))</f>
        <v>0</v>
      </c>
      <c r="AI56" s="57">
        <f ca="1">IF(TblMagic[[#This Row],[Death and Decay]],12,IF(OFFSET(TblMagic[[#This Row],[Active DnD]],-1,0)&gt;0,OFFSET(TblMagic[[#This Row],[Active DnD]],-1,0)-1,0))</f>
        <v>0</v>
      </c>
      <c r="AJ56" s="57">
        <f ca="1">IF(TblMagic[[#This Row],[Killing Rage / Bloodrage / Crusade]],12,IF(OFFSET(TblMagic[[#This Row],[Active Warsong / Killing Rage / Bloodrage]],-1,0)&gt;0,OFFSET(TblMagic[[#This Row],[Active Warsong / Killing Rage / Bloodrage]],-1,0)-1,0))</f>
        <v>0</v>
      </c>
      <c r="AK56" s="57">
        <f ca="1">IF(TblMagic[[#This Row],[Gaia''s Blessing]],12,IF(OFFSET(TblMagic[[#This Row],[Active Gaia''s Blessing]],-1,0)&gt;0,OFFSET(TblMagic[[#This Row],[Active Gaia''s Blessing]],-1,0)-1,0))</f>
        <v>0</v>
      </c>
      <c r="AL56" s="57">
        <f ca="1">IF(TblMagic[[#This Row],[Howling]],12,IF(OFFSET(TblMagic[[#This Row],[Active Howling]],-1,0)&gt;0,OFFSET(TblMagic[[#This Row],[Active Howling]],-1,0)-1,0))</f>
        <v>0</v>
      </c>
      <c r="AM56" s="57">
        <f ca="1">IF(TblMagic[[#This Row],[Alchemist Frost]],12,IF(OFFSET(TblMagic[[#This Row],[Active Alch Frost]],-1,0)&gt;0,OFFSET(TblMagic[[#This Row],[Active Alch Frost]],-1,0)-1,0))</f>
        <v>0</v>
      </c>
      <c r="AN56" s="57">
        <f ca="1">IF(TblMagic[[#This Row],[Alchemists Flame]],12,IF(OFFSET(TblMagic[[#This Row],[Active Alchemists Flame]],-1,0)&gt;0,OFFSET(TblMagic[[#This Row],[Active Alchemists Flame]],-1,0)-1,0))</f>
        <v>0</v>
      </c>
      <c r="AO56" s="57">
        <f ca="1">IF(TblMagic[[#This Row],[Nightfall]],12,IF(OFFSET(TblMagic[[#This Row],[Active Nightfall]],-1,0)&gt;0,OFFSET(TblMagic[[#This Row],[Active Nightfall]],-1,0)-1,0))</f>
        <v>0</v>
      </c>
      <c r="AP56" s="57">
        <f ca="1">IF(TblMagic[[#This Row],[Favorable Terrain]],12,IF(OFFSET(TblMagic[[#This Row],[Active Favorable Terrain]],-1,0)&gt;0,OFFSET(TblMagic[[#This Row],[Active Favorable Terrain]],-1,0)-1,0))</f>
        <v>0</v>
      </c>
      <c r="AQ56" s="57">
        <f ca="1">IF(TblMagic[[#This Row],[Infernal Command]],12,IF(OFFSET(TblMagic[[#This Row],[Active Infernal Command]],-1,0)&gt;0,OFFSET(TblMagic[[#This Row],[Active Infernal Command]],-1,0)-1,0))</f>
        <v>0</v>
      </c>
    </row>
    <row r="57" spans="1:43" x14ac:dyDescent="0.2">
      <c r="A57" s="137">
        <f>TblRezone[[#This Row],[Hour]]</f>
        <v>54</v>
      </c>
      <c r="B57" s="154">
        <f ca="1">TblConstr[[#This Row],[Land]]</f>
        <v>110</v>
      </c>
      <c r="C57" s="94">
        <f ca="1">TblProd[[#This Row],[Mana]]</f>
        <v>0</v>
      </c>
      <c r="D57" s="156">
        <f ca="1">MIN(1,OFFSET(TblMagic[[#This Row],[Wiz str]],-1,0)+0.04+ROUNDDOWN(10*OFFSET(TblMili[[#This Row],[WG''s]],-1,0),0)+ tech_2_7*OFFSET(TblTech[[#This Row],[2-7]],-1,0) + tech_5_6*OFFSET(TblTech[[#This Row],[5-6]],-1,0) )-TblMagic[[#This Row],[Wiz str cost]]</f>
        <v>1</v>
      </c>
      <c r="E57" s="159">
        <f ca="1">OFFSET(TblMagic[[#This Row],[Time]],-1,0)+1/24</f>
        <v>46049.208333333205</v>
      </c>
      <c r="F57" s="156">
        <f ca="1">TblImps[[#This Row],[Population]]</f>
        <v>1</v>
      </c>
      <c r="G57" s="218"/>
      <c r="H57" s="218"/>
      <c r="I57" s="218"/>
      <c r="J57" s="218"/>
      <c r="K57" s="405"/>
      <c r="L57" s="218"/>
      <c r="M57" s="218"/>
      <c r="N57" s="218"/>
      <c r="O57" s="218"/>
      <c r="P57" s="218"/>
      <c r="Q57" s="218"/>
      <c r="R57" s="218"/>
      <c r="S57" s="218"/>
      <c r="T57" s="218"/>
      <c r="U57" s="218"/>
      <c r="V57" s="218"/>
      <c r="W57" s="218"/>
      <c r="X57" s="142"/>
      <c r="Y5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7" s="156">
        <f>SUMIF(TblMagic[[#This Row],[Gaia''s Watch]:[Useless spell]],1)*0.05</f>
        <v>0</v>
      </c>
      <c r="AA57" s="142"/>
      <c r="AB57" s="57">
        <f ca="1">IF(TblMagic[[#This Row],[Gaia''s Watch]],12,IF(OFFSET(TblMagic[[#This Row],[Active Gaia''s Watch]],-1,0)&gt;0,OFFSET(TblMagic[[#This Row],[Active Gaia''s Watch]],-1,0)-1,0))</f>
        <v>0</v>
      </c>
      <c r="AC57" s="57">
        <f ca="1">IF(TblMagic[[#This Row],[Mining Strength]],12,IF(OFFSET(TblMagic[[#This Row],[Active Mining Strength]],-1,0)&gt;0,OFFSET(TblMagic[[#This Row],[Active Mining Strength]],-1,0)-1,0))</f>
        <v>0</v>
      </c>
      <c r="AD57" s="57">
        <f ca="1">IF(TblMagic[[#This Row],[Ares Call]],12,IF(OFFSET(TblMagic[[#This Row],[Active Ares Call]],-1,0)&gt;0,OFFSET(TblMagic[[#This Row],[Active Ares Call]],-1,0)-1,0))</f>
        <v>0</v>
      </c>
      <c r="AE57" s="57">
        <f ca="1">IF(TblMagic[[#This Row],[Midas Touch]],12,IF(OFFSET(TblMagic[[#This Row],[Active Midas Touch]],-1,0)&gt;0,OFFSET(TblMagic[[#This Row],[Active Midas Touch]],-1,0)-1,0))</f>
        <v>0</v>
      </c>
      <c r="AF57" s="57">
        <f ca="1">IF(TblMagic[[#This Row],[Harmony]],12,IF(OFFSET(TblMagic[[#This Row],[Active Harmony]],-1,0)&gt;0,OFFSET(TblMagic[[#This Row],[Active Harmony]],-1,0)-1,0))</f>
        <v>0</v>
      </c>
      <c r="AG57" s="57">
        <f ca="1">IF(TblMagic[[#This Row],[Miner''s Sight]],12,IF(OFFSET(TblMagic[[#This Row],[Active Miner''s Sight]],-1,0)&gt;0,OFFSET(TblMagic[[#This Row],[Active Miner''s Sight]],-1,0)-1,0))</f>
        <v>0</v>
      </c>
      <c r="AH57" s="57">
        <f ca="1">IF(TblMagic[[#This Row],[Mechanical Genius]],12,IF(OFFSET(TblMagic[[#This Row],[Active Mechanical Genius]],-1,0)&gt;0,OFFSET(TblMagic[[#This Row],[Active Mechanical Genius]],-1,0)-1,0))</f>
        <v>0</v>
      </c>
      <c r="AI57" s="57">
        <f ca="1">IF(TblMagic[[#This Row],[Death and Decay]],12,IF(OFFSET(TblMagic[[#This Row],[Active DnD]],-1,0)&gt;0,OFFSET(TblMagic[[#This Row],[Active DnD]],-1,0)-1,0))</f>
        <v>0</v>
      </c>
      <c r="AJ57" s="57">
        <f ca="1">IF(TblMagic[[#This Row],[Killing Rage / Bloodrage / Crusade]],12,IF(OFFSET(TblMagic[[#This Row],[Active Warsong / Killing Rage / Bloodrage]],-1,0)&gt;0,OFFSET(TblMagic[[#This Row],[Active Warsong / Killing Rage / Bloodrage]],-1,0)-1,0))</f>
        <v>0</v>
      </c>
      <c r="AK57" s="57">
        <f ca="1">IF(TblMagic[[#This Row],[Gaia''s Blessing]],12,IF(OFFSET(TblMagic[[#This Row],[Active Gaia''s Blessing]],-1,0)&gt;0,OFFSET(TblMagic[[#This Row],[Active Gaia''s Blessing]],-1,0)-1,0))</f>
        <v>0</v>
      </c>
      <c r="AL57" s="57">
        <f ca="1">IF(TblMagic[[#This Row],[Howling]],12,IF(OFFSET(TblMagic[[#This Row],[Active Howling]],-1,0)&gt;0,OFFSET(TblMagic[[#This Row],[Active Howling]],-1,0)-1,0))</f>
        <v>0</v>
      </c>
      <c r="AM57" s="57">
        <f ca="1">IF(TblMagic[[#This Row],[Alchemist Frost]],12,IF(OFFSET(TblMagic[[#This Row],[Active Alch Frost]],-1,0)&gt;0,OFFSET(TblMagic[[#This Row],[Active Alch Frost]],-1,0)-1,0))</f>
        <v>0</v>
      </c>
      <c r="AN57" s="57">
        <f ca="1">IF(TblMagic[[#This Row],[Alchemists Flame]],12,IF(OFFSET(TblMagic[[#This Row],[Active Alchemists Flame]],-1,0)&gt;0,OFFSET(TblMagic[[#This Row],[Active Alchemists Flame]],-1,0)-1,0))</f>
        <v>0</v>
      </c>
      <c r="AO57" s="57">
        <f ca="1">IF(TblMagic[[#This Row],[Nightfall]],12,IF(OFFSET(TblMagic[[#This Row],[Active Nightfall]],-1,0)&gt;0,OFFSET(TblMagic[[#This Row],[Active Nightfall]],-1,0)-1,0))</f>
        <v>0</v>
      </c>
      <c r="AP57" s="57">
        <f ca="1">IF(TblMagic[[#This Row],[Favorable Terrain]],12,IF(OFFSET(TblMagic[[#This Row],[Active Favorable Terrain]],-1,0)&gt;0,OFFSET(TblMagic[[#This Row],[Active Favorable Terrain]],-1,0)-1,0))</f>
        <v>0</v>
      </c>
      <c r="AQ57" s="57">
        <f ca="1">IF(TblMagic[[#This Row],[Infernal Command]],12,IF(OFFSET(TblMagic[[#This Row],[Active Infernal Command]],-1,0)&gt;0,OFFSET(TblMagic[[#This Row],[Active Infernal Command]],-1,0)-1,0))</f>
        <v>0</v>
      </c>
    </row>
    <row r="58" spans="1:43" x14ac:dyDescent="0.2">
      <c r="A58" s="137">
        <f>TblRezone[[#This Row],[Hour]]</f>
        <v>55</v>
      </c>
      <c r="B58" s="154">
        <f ca="1">TblConstr[[#This Row],[Land]]</f>
        <v>110</v>
      </c>
      <c r="C58" s="94">
        <f ca="1">TblProd[[#This Row],[Mana]]</f>
        <v>0</v>
      </c>
      <c r="D58" s="156">
        <f ca="1">MIN(1,OFFSET(TblMagic[[#This Row],[Wiz str]],-1,0)+0.04+ROUNDDOWN(10*OFFSET(TblMili[[#This Row],[WG''s]],-1,0),0)+ tech_2_7*OFFSET(TblTech[[#This Row],[2-7]],-1,0) + tech_5_6*OFFSET(TblTech[[#This Row],[5-6]],-1,0) )-TblMagic[[#This Row],[Wiz str cost]]</f>
        <v>1</v>
      </c>
      <c r="E58" s="159">
        <f ca="1">OFFSET(TblMagic[[#This Row],[Time]],-1,0)+1/24</f>
        <v>46049.249999999869</v>
      </c>
      <c r="F58" s="156">
        <f ca="1">TblImps[[#This Row],[Population]]</f>
        <v>1</v>
      </c>
      <c r="G58" s="218"/>
      <c r="H58" s="218"/>
      <c r="I58" s="218"/>
      <c r="J58" s="218"/>
      <c r="K58" s="405"/>
      <c r="L58" s="218"/>
      <c r="M58" s="218"/>
      <c r="N58" s="218"/>
      <c r="O58" s="218"/>
      <c r="P58" s="218"/>
      <c r="Q58" s="218"/>
      <c r="R58" s="218"/>
      <c r="S58" s="218"/>
      <c r="T58" s="218"/>
      <c r="U58" s="218"/>
      <c r="V58" s="218"/>
      <c r="W58" s="218"/>
      <c r="X58" s="142"/>
      <c r="Y5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8" s="156">
        <f>SUMIF(TblMagic[[#This Row],[Gaia''s Watch]:[Useless spell]],1)*0.05</f>
        <v>0</v>
      </c>
      <c r="AA58" s="142"/>
      <c r="AB58" s="57">
        <f ca="1">IF(TblMagic[[#This Row],[Gaia''s Watch]],12,IF(OFFSET(TblMagic[[#This Row],[Active Gaia''s Watch]],-1,0)&gt;0,OFFSET(TblMagic[[#This Row],[Active Gaia''s Watch]],-1,0)-1,0))</f>
        <v>0</v>
      </c>
      <c r="AC58" s="57">
        <f ca="1">IF(TblMagic[[#This Row],[Mining Strength]],12,IF(OFFSET(TblMagic[[#This Row],[Active Mining Strength]],-1,0)&gt;0,OFFSET(TblMagic[[#This Row],[Active Mining Strength]],-1,0)-1,0))</f>
        <v>0</v>
      </c>
      <c r="AD58" s="57">
        <f ca="1">IF(TblMagic[[#This Row],[Ares Call]],12,IF(OFFSET(TblMagic[[#This Row],[Active Ares Call]],-1,0)&gt;0,OFFSET(TblMagic[[#This Row],[Active Ares Call]],-1,0)-1,0))</f>
        <v>0</v>
      </c>
      <c r="AE58" s="57">
        <f ca="1">IF(TblMagic[[#This Row],[Midas Touch]],12,IF(OFFSET(TblMagic[[#This Row],[Active Midas Touch]],-1,0)&gt;0,OFFSET(TblMagic[[#This Row],[Active Midas Touch]],-1,0)-1,0))</f>
        <v>0</v>
      </c>
      <c r="AF58" s="57">
        <f ca="1">IF(TblMagic[[#This Row],[Harmony]],12,IF(OFFSET(TblMagic[[#This Row],[Active Harmony]],-1,0)&gt;0,OFFSET(TblMagic[[#This Row],[Active Harmony]],-1,0)-1,0))</f>
        <v>0</v>
      </c>
      <c r="AG58" s="57">
        <f ca="1">IF(TblMagic[[#This Row],[Miner''s Sight]],12,IF(OFFSET(TblMagic[[#This Row],[Active Miner''s Sight]],-1,0)&gt;0,OFFSET(TblMagic[[#This Row],[Active Miner''s Sight]],-1,0)-1,0))</f>
        <v>0</v>
      </c>
      <c r="AH58" s="57">
        <f ca="1">IF(TblMagic[[#This Row],[Mechanical Genius]],12,IF(OFFSET(TblMagic[[#This Row],[Active Mechanical Genius]],-1,0)&gt;0,OFFSET(TblMagic[[#This Row],[Active Mechanical Genius]],-1,0)-1,0))</f>
        <v>0</v>
      </c>
      <c r="AI58" s="57">
        <f ca="1">IF(TblMagic[[#This Row],[Death and Decay]],12,IF(OFFSET(TblMagic[[#This Row],[Active DnD]],-1,0)&gt;0,OFFSET(TblMagic[[#This Row],[Active DnD]],-1,0)-1,0))</f>
        <v>0</v>
      </c>
      <c r="AJ58" s="57">
        <f ca="1">IF(TblMagic[[#This Row],[Killing Rage / Bloodrage / Crusade]],12,IF(OFFSET(TblMagic[[#This Row],[Active Warsong / Killing Rage / Bloodrage]],-1,0)&gt;0,OFFSET(TblMagic[[#This Row],[Active Warsong / Killing Rage / Bloodrage]],-1,0)-1,0))</f>
        <v>0</v>
      </c>
      <c r="AK58" s="57">
        <f ca="1">IF(TblMagic[[#This Row],[Gaia''s Blessing]],12,IF(OFFSET(TblMagic[[#This Row],[Active Gaia''s Blessing]],-1,0)&gt;0,OFFSET(TblMagic[[#This Row],[Active Gaia''s Blessing]],-1,0)-1,0))</f>
        <v>0</v>
      </c>
      <c r="AL58" s="57">
        <f ca="1">IF(TblMagic[[#This Row],[Howling]],12,IF(OFFSET(TblMagic[[#This Row],[Active Howling]],-1,0)&gt;0,OFFSET(TblMagic[[#This Row],[Active Howling]],-1,0)-1,0))</f>
        <v>0</v>
      </c>
      <c r="AM58" s="57">
        <f ca="1">IF(TblMagic[[#This Row],[Alchemist Frost]],12,IF(OFFSET(TblMagic[[#This Row],[Active Alch Frost]],-1,0)&gt;0,OFFSET(TblMagic[[#This Row],[Active Alch Frost]],-1,0)-1,0))</f>
        <v>0</v>
      </c>
      <c r="AN58" s="57">
        <f ca="1">IF(TblMagic[[#This Row],[Alchemists Flame]],12,IF(OFFSET(TblMagic[[#This Row],[Active Alchemists Flame]],-1,0)&gt;0,OFFSET(TblMagic[[#This Row],[Active Alchemists Flame]],-1,0)-1,0))</f>
        <v>0</v>
      </c>
      <c r="AO58" s="57">
        <f ca="1">IF(TblMagic[[#This Row],[Nightfall]],12,IF(OFFSET(TblMagic[[#This Row],[Active Nightfall]],-1,0)&gt;0,OFFSET(TblMagic[[#This Row],[Active Nightfall]],-1,0)-1,0))</f>
        <v>0</v>
      </c>
      <c r="AP58" s="57">
        <f ca="1">IF(TblMagic[[#This Row],[Favorable Terrain]],12,IF(OFFSET(TblMagic[[#This Row],[Active Favorable Terrain]],-1,0)&gt;0,OFFSET(TblMagic[[#This Row],[Active Favorable Terrain]],-1,0)-1,0))</f>
        <v>0</v>
      </c>
      <c r="AQ58" s="57">
        <f ca="1">IF(TblMagic[[#This Row],[Infernal Command]],12,IF(OFFSET(TblMagic[[#This Row],[Active Infernal Command]],-1,0)&gt;0,OFFSET(TblMagic[[#This Row],[Active Infernal Command]],-1,0)-1,0))</f>
        <v>0</v>
      </c>
    </row>
    <row r="59" spans="1:43" x14ac:dyDescent="0.2">
      <c r="A59" s="137">
        <f>TblRezone[[#This Row],[Hour]]</f>
        <v>56</v>
      </c>
      <c r="B59" s="154">
        <f ca="1">TblConstr[[#This Row],[Land]]</f>
        <v>110</v>
      </c>
      <c r="C59" s="94">
        <f ca="1">TblProd[[#This Row],[Mana]]</f>
        <v>0</v>
      </c>
      <c r="D59" s="156">
        <f ca="1">MIN(1,OFFSET(TblMagic[[#This Row],[Wiz str]],-1,0)+0.04+ROUNDDOWN(10*OFFSET(TblMili[[#This Row],[WG''s]],-1,0),0)+ tech_2_7*OFFSET(TblTech[[#This Row],[2-7]],-1,0) + tech_5_6*OFFSET(TblTech[[#This Row],[5-6]],-1,0) )-TblMagic[[#This Row],[Wiz str cost]]</f>
        <v>1</v>
      </c>
      <c r="E59" s="159">
        <f ca="1">OFFSET(TblMagic[[#This Row],[Time]],-1,0)+1/24</f>
        <v>46049.291666666533</v>
      </c>
      <c r="F59" s="156">
        <f ca="1">TblImps[[#This Row],[Population]]</f>
        <v>1</v>
      </c>
      <c r="G59" s="218"/>
      <c r="H59" s="218"/>
      <c r="I59" s="218"/>
      <c r="J59" s="218"/>
      <c r="K59" s="405"/>
      <c r="L59" s="218"/>
      <c r="M59" s="218"/>
      <c r="N59" s="218"/>
      <c r="O59" s="218"/>
      <c r="P59" s="218"/>
      <c r="Q59" s="218"/>
      <c r="R59" s="218"/>
      <c r="S59" s="218"/>
      <c r="T59" s="218"/>
      <c r="U59" s="218"/>
      <c r="V59" s="218"/>
      <c r="W59" s="218"/>
      <c r="X59" s="142"/>
      <c r="Y5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59" s="156">
        <f>SUMIF(TblMagic[[#This Row],[Gaia''s Watch]:[Useless spell]],1)*0.05</f>
        <v>0</v>
      </c>
      <c r="AA59" s="142"/>
      <c r="AB59" s="57">
        <f ca="1">IF(TblMagic[[#This Row],[Gaia''s Watch]],12,IF(OFFSET(TblMagic[[#This Row],[Active Gaia''s Watch]],-1,0)&gt;0,OFFSET(TblMagic[[#This Row],[Active Gaia''s Watch]],-1,0)-1,0))</f>
        <v>0</v>
      </c>
      <c r="AC59" s="57">
        <f ca="1">IF(TblMagic[[#This Row],[Mining Strength]],12,IF(OFFSET(TblMagic[[#This Row],[Active Mining Strength]],-1,0)&gt;0,OFFSET(TblMagic[[#This Row],[Active Mining Strength]],-1,0)-1,0))</f>
        <v>0</v>
      </c>
      <c r="AD59" s="57">
        <f ca="1">IF(TblMagic[[#This Row],[Ares Call]],12,IF(OFFSET(TblMagic[[#This Row],[Active Ares Call]],-1,0)&gt;0,OFFSET(TblMagic[[#This Row],[Active Ares Call]],-1,0)-1,0))</f>
        <v>0</v>
      </c>
      <c r="AE59" s="57">
        <f ca="1">IF(TblMagic[[#This Row],[Midas Touch]],12,IF(OFFSET(TblMagic[[#This Row],[Active Midas Touch]],-1,0)&gt;0,OFFSET(TblMagic[[#This Row],[Active Midas Touch]],-1,0)-1,0))</f>
        <v>0</v>
      </c>
      <c r="AF59" s="57">
        <f ca="1">IF(TblMagic[[#This Row],[Harmony]],12,IF(OFFSET(TblMagic[[#This Row],[Active Harmony]],-1,0)&gt;0,OFFSET(TblMagic[[#This Row],[Active Harmony]],-1,0)-1,0))</f>
        <v>0</v>
      </c>
      <c r="AG59" s="57">
        <f ca="1">IF(TblMagic[[#This Row],[Miner''s Sight]],12,IF(OFFSET(TblMagic[[#This Row],[Active Miner''s Sight]],-1,0)&gt;0,OFFSET(TblMagic[[#This Row],[Active Miner''s Sight]],-1,0)-1,0))</f>
        <v>0</v>
      </c>
      <c r="AH59" s="57">
        <f ca="1">IF(TblMagic[[#This Row],[Mechanical Genius]],12,IF(OFFSET(TblMagic[[#This Row],[Active Mechanical Genius]],-1,0)&gt;0,OFFSET(TblMagic[[#This Row],[Active Mechanical Genius]],-1,0)-1,0))</f>
        <v>0</v>
      </c>
      <c r="AI59" s="57">
        <f ca="1">IF(TblMagic[[#This Row],[Death and Decay]],12,IF(OFFSET(TblMagic[[#This Row],[Active DnD]],-1,0)&gt;0,OFFSET(TblMagic[[#This Row],[Active DnD]],-1,0)-1,0))</f>
        <v>0</v>
      </c>
      <c r="AJ59" s="57">
        <f ca="1">IF(TblMagic[[#This Row],[Killing Rage / Bloodrage / Crusade]],12,IF(OFFSET(TblMagic[[#This Row],[Active Warsong / Killing Rage / Bloodrage]],-1,0)&gt;0,OFFSET(TblMagic[[#This Row],[Active Warsong / Killing Rage / Bloodrage]],-1,0)-1,0))</f>
        <v>0</v>
      </c>
      <c r="AK59" s="57">
        <f ca="1">IF(TblMagic[[#This Row],[Gaia''s Blessing]],12,IF(OFFSET(TblMagic[[#This Row],[Active Gaia''s Blessing]],-1,0)&gt;0,OFFSET(TblMagic[[#This Row],[Active Gaia''s Blessing]],-1,0)-1,0))</f>
        <v>0</v>
      </c>
      <c r="AL59" s="57">
        <f ca="1">IF(TblMagic[[#This Row],[Howling]],12,IF(OFFSET(TblMagic[[#This Row],[Active Howling]],-1,0)&gt;0,OFFSET(TblMagic[[#This Row],[Active Howling]],-1,0)-1,0))</f>
        <v>0</v>
      </c>
      <c r="AM59" s="57">
        <f ca="1">IF(TblMagic[[#This Row],[Alchemist Frost]],12,IF(OFFSET(TblMagic[[#This Row],[Active Alch Frost]],-1,0)&gt;0,OFFSET(TblMagic[[#This Row],[Active Alch Frost]],-1,0)-1,0))</f>
        <v>0</v>
      </c>
      <c r="AN59" s="57">
        <f ca="1">IF(TblMagic[[#This Row],[Alchemists Flame]],12,IF(OFFSET(TblMagic[[#This Row],[Active Alchemists Flame]],-1,0)&gt;0,OFFSET(TblMagic[[#This Row],[Active Alchemists Flame]],-1,0)-1,0))</f>
        <v>0</v>
      </c>
      <c r="AO59" s="57">
        <f ca="1">IF(TblMagic[[#This Row],[Nightfall]],12,IF(OFFSET(TblMagic[[#This Row],[Active Nightfall]],-1,0)&gt;0,OFFSET(TblMagic[[#This Row],[Active Nightfall]],-1,0)-1,0))</f>
        <v>0</v>
      </c>
      <c r="AP59" s="57">
        <f ca="1">IF(TblMagic[[#This Row],[Favorable Terrain]],12,IF(OFFSET(TblMagic[[#This Row],[Active Favorable Terrain]],-1,0)&gt;0,OFFSET(TblMagic[[#This Row],[Active Favorable Terrain]],-1,0)-1,0))</f>
        <v>0</v>
      </c>
      <c r="AQ59" s="57">
        <f ca="1">IF(TblMagic[[#This Row],[Infernal Command]],12,IF(OFFSET(TblMagic[[#This Row],[Active Infernal Command]],-1,0)&gt;0,OFFSET(TblMagic[[#This Row],[Active Infernal Command]],-1,0)-1,0))</f>
        <v>0</v>
      </c>
    </row>
    <row r="60" spans="1:43" x14ac:dyDescent="0.2">
      <c r="A60" s="137">
        <f>TblRezone[[#This Row],[Hour]]</f>
        <v>57</v>
      </c>
      <c r="B60" s="154">
        <f ca="1">TblConstr[[#This Row],[Land]]</f>
        <v>110</v>
      </c>
      <c r="C60" s="94">
        <f ca="1">TblProd[[#This Row],[Mana]]</f>
        <v>0</v>
      </c>
      <c r="D60" s="156">
        <f ca="1">MIN(1,OFFSET(TblMagic[[#This Row],[Wiz str]],-1,0)+0.04+ROUNDDOWN(10*OFFSET(TblMili[[#This Row],[WG''s]],-1,0),0)+ tech_2_7*OFFSET(TblTech[[#This Row],[2-7]],-1,0) + tech_5_6*OFFSET(TblTech[[#This Row],[5-6]],-1,0) )-TblMagic[[#This Row],[Wiz str cost]]</f>
        <v>1</v>
      </c>
      <c r="E60" s="159">
        <f ca="1">OFFSET(TblMagic[[#This Row],[Time]],-1,0)+1/24</f>
        <v>46049.333333333198</v>
      </c>
      <c r="F60" s="156">
        <f ca="1">TblImps[[#This Row],[Population]]</f>
        <v>1</v>
      </c>
      <c r="G60" s="218"/>
      <c r="H60" s="218"/>
      <c r="I60" s="218"/>
      <c r="J60" s="218"/>
      <c r="K60" s="405"/>
      <c r="L60" s="218"/>
      <c r="M60" s="218"/>
      <c r="N60" s="218"/>
      <c r="O60" s="218"/>
      <c r="P60" s="218"/>
      <c r="Q60" s="218"/>
      <c r="R60" s="218"/>
      <c r="S60" s="218"/>
      <c r="T60" s="218"/>
      <c r="U60" s="218"/>
      <c r="V60" s="218"/>
      <c r="W60" s="218"/>
      <c r="X60" s="142"/>
      <c r="Y6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0" s="156">
        <f>SUMIF(TblMagic[[#This Row],[Gaia''s Watch]:[Useless spell]],1)*0.05</f>
        <v>0</v>
      </c>
      <c r="AA60" s="142"/>
      <c r="AB60" s="57">
        <f ca="1">IF(TblMagic[[#This Row],[Gaia''s Watch]],12,IF(OFFSET(TblMagic[[#This Row],[Active Gaia''s Watch]],-1,0)&gt;0,OFFSET(TblMagic[[#This Row],[Active Gaia''s Watch]],-1,0)-1,0))</f>
        <v>0</v>
      </c>
      <c r="AC60" s="57">
        <f ca="1">IF(TblMagic[[#This Row],[Mining Strength]],12,IF(OFFSET(TblMagic[[#This Row],[Active Mining Strength]],-1,0)&gt;0,OFFSET(TblMagic[[#This Row],[Active Mining Strength]],-1,0)-1,0))</f>
        <v>0</v>
      </c>
      <c r="AD60" s="57">
        <f ca="1">IF(TblMagic[[#This Row],[Ares Call]],12,IF(OFFSET(TblMagic[[#This Row],[Active Ares Call]],-1,0)&gt;0,OFFSET(TblMagic[[#This Row],[Active Ares Call]],-1,0)-1,0))</f>
        <v>0</v>
      </c>
      <c r="AE60" s="57">
        <f ca="1">IF(TblMagic[[#This Row],[Midas Touch]],12,IF(OFFSET(TblMagic[[#This Row],[Active Midas Touch]],-1,0)&gt;0,OFFSET(TblMagic[[#This Row],[Active Midas Touch]],-1,0)-1,0))</f>
        <v>0</v>
      </c>
      <c r="AF60" s="57">
        <f ca="1">IF(TblMagic[[#This Row],[Harmony]],12,IF(OFFSET(TblMagic[[#This Row],[Active Harmony]],-1,0)&gt;0,OFFSET(TblMagic[[#This Row],[Active Harmony]],-1,0)-1,0))</f>
        <v>0</v>
      </c>
      <c r="AG60" s="57">
        <f ca="1">IF(TblMagic[[#This Row],[Miner''s Sight]],12,IF(OFFSET(TblMagic[[#This Row],[Active Miner''s Sight]],-1,0)&gt;0,OFFSET(TblMagic[[#This Row],[Active Miner''s Sight]],-1,0)-1,0))</f>
        <v>0</v>
      </c>
      <c r="AH60" s="57">
        <f ca="1">IF(TblMagic[[#This Row],[Mechanical Genius]],12,IF(OFFSET(TblMagic[[#This Row],[Active Mechanical Genius]],-1,0)&gt;0,OFFSET(TblMagic[[#This Row],[Active Mechanical Genius]],-1,0)-1,0))</f>
        <v>0</v>
      </c>
      <c r="AI60" s="57">
        <f ca="1">IF(TblMagic[[#This Row],[Death and Decay]],12,IF(OFFSET(TblMagic[[#This Row],[Active DnD]],-1,0)&gt;0,OFFSET(TblMagic[[#This Row],[Active DnD]],-1,0)-1,0))</f>
        <v>0</v>
      </c>
      <c r="AJ60" s="57">
        <f ca="1">IF(TblMagic[[#This Row],[Killing Rage / Bloodrage / Crusade]],12,IF(OFFSET(TblMagic[[#This Row],[Active Warsong / Killing Rage / Bloodrage]],-1,0)&gt;0,OFFSET(TblMagic[[#This Row],[Active Warsong / Killing Rage / Bloodrage]],-1,0)-1,0))</f>
        <v>0</v>
      </c>
      <c r="AK60" s="57">
        <f ca="1">IF(TblMagic[[#This Row],[Gaia''s Blessing]],12,IF(OFFSET(TblMagic[[#This Row],[Active Gaia''s Blessing]],-1,0)&gt;0,OFFSET(TblMagic[[#This Row],[Active Gaia''s Blessing]],-1,0)-1,0))</f>
        <v>0</v>
      </c>
      <c r="AL60" s="57">
        <f ca="1">IF(TblMagic[[#This Row],[Howling]],12,IF(OFFSET(TblMagic[[#This Row],[Active Howling]],-1,0)&gt;0,OFFSET(TblMagic[[#This Row],[Active Howling]],-1,0)-1,0))</f>
        <v>0</v>
      </c>
      <c r="AM60" s="57">
        <f ca="1">IF(TblMagic[[#This Row],[Alchemist Frost]],12,IF(OFFSET(TblMagic[[#This Row],[Active Alch Frost]],-1,0)&gt;0,OFFSET(TblMagic[[#This Row],[Active Alch Frost]],-1,0)-1,0))</f>
        <v>0</v>
      </c>
      <c r="AN60" s="57">
        <f ca="1">IF(TblMagic[[#This Row],[Alchemists Flame]],12,IF(OFFSET(TblMagic[[#This Row],[Active Alchemists Flame]],-1,0)&gt;0,OFFSET(TblMagic[[#This Row],[Active Alchemists Flame]],-1,0)-1,0))</f>
        <v>0</v>
      </c>
      <c r="AO60" s="57">
        <f ca="1">IF(TblMagic[[#This Row],[Nightfall]],12,IF(OFFSET(TblMagic[[#This Row],[Active Nightfall]],-1,0)&gt;0,OFFSET(TblMagic[[#This Row],[Active Nightfall]],-1,0)-1,0))</f>
        <v>0</v>
      </c>
      <c r="AP60" s="57">
        <f ca="1">IF(TblMagic[[#This Row],[Favorable Terrain]],12,IF(OFFSET(TblMagic[[#This Row],[Active Favorable Terrain]],-1,0)&gt;0,OFFSET(TblMagic[[#This Row],[Active Favorable Terrain]],-1,0)-1,0))</f>
        <v>0</v>
      </c>
      <c r="AQ60" s="57">
        <f ca="1">IF(TblMagic[[#This Row],[Infernal Command]],12,IF(OFFSET(TblMagic[[#This Row],[Active Infernal Command]],-1,0)&gt;0,OFFSET(TblMagic[[#This Row],[Active Infernal Command]],-1,0)-1,0))</f>
        <v>0</v>
      </c>
    </row>
    <row r="61" spans="1:43" x14ac:dyDescent="0.2">
      <c r="A61" s="137">
        <f>TblRezone[[#This Row],[Hour]]</f>
        <v>58</v>
      </c>
      <c r="B61" s="154">
        <f ca="1">TblConstr[[#This Row],[Land]]</f>
        <v>110</v>
      </c>
      <c r="C61" s="94">
        <f ca="1">TblProd[[#This Row],[Mana]]</f>
        <v>0</v>
      </c>
      <c r="D61" s="156">
        <f ca="1">MIN(1,OFFSET(TblMagic[[#This Row],[Wiz str]],-1,0)+0.04+ROUNDDOWN(10*OFFSET(TblMili[[#This Row],[WG''s]],-1,0),0)+ tech_2_7*OFFSET(TblTech[[#This Row],[2-7]],-1,0) + tech_5_6*OFFSET(TblTech[[#This Row],[5-6]],-1,0) )-TblMagic[[#This Row],[Wiz str cost]]</f>
        <v>1</v>
      </c>
      <c r="E61" s="159">
        <f ca="1">OFFSET(TblMagic[[#This Row],[Time]],-1,0)+1/24</f>
        <v>46049.374999999862</v>
      </c>
      <c r="F61" s="156">
        <f ca="1">TblImps[[#This Row],[Population]]</f>
        <v>1</v>
      </c>
      <c r="G61" s="218"/>
      <c r="H61" s="218"/>
      <c r="I61" s="218"/>
      <c r="J61" s="218"/>
      <c r="K61" s="405"/>
      <c r="L61" s="218"/>
      <c r="M61" s="218"/>
      <c r="N61" s="218"/>
      <c r="O61" s="218"/>
      <c r="P61" s="218"/>
      <c r="Q61" s="218"/>
      <c r="R61" s="218"/>
      <c r="S61" s="218"/>
      <c r="T61" s="218"/>
      <c r="U61" s="218"/>
      <c r="V61" s="218"/>
      <c r="W61" s="218"/>
      <c r="X61" s="142"/>
      <c r="Y6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1" s="156">
        <f>SUMIF(TblMagic[[#This Row],[Gaia''s Watch]:[Useless spell]],1)*0.05</f>
        <v>0</v>
      </c>
      <c r="AA61" s="142"/>
      <c r="AB61" s="57">
        <f ca="1">IF(TblMagic[[#This Row],[Gaia''s Watch]],12,IF(OFFSET(TblMagic[[#This Row],[Active Gaia''s Watch]],-1,0)&gt;0,OFFSET(TblMagic[[#This Row],[Active Gaia''s Watch]],-1,0)-1,0))</f>
        <v>0</v>
      </c>
      <c r="AC61" s="57">
        <f ca="1">IF(TblMagic[[#This Row],[Mining Strength]],12,IF(OFFSET(TblMagic[[#This Row],[Active Mining Strength]],-1,0)&gt;0,OFFSET(TblMagic[[#This Row],[Active Mining Strength]],-1,0)-1,0))</f>
        <v>0</v>
      </c>
      <c r="AD61" s="57">
        <f ca="1">IF(TblMagic[[#This Row],[Ares Call]],12,IF(OFFSET(TblMagic[[#This Row],[Active Ares Call]],-1,0)&gt;0,OFFSET(TblMagic[[#This Row],[Active Ares Call]],-1,0)-1,0))</f>
        <v>0</v>
      </c>
      <c r="AE61" s="57">
        <f ca="1">IF(TblMagic[[#This Row],[Midas Touch]],12,IF(OFFSET(TblMagic[[#This Row],[Active Midas Touch]],-1,0)&gt;0,OFFSET(TblMagic[[#This Row],[Active Midas Touch]],-1,0)-1,0))</f>
        <v>0</v>
      </c>
      <c r="AF61" s="57">
        <f ca="1">IF(TblMagic[[#This Row],[Harmony]],12,IF(OFFSET(TblMagic[[#This Row],[Active Harmony]],-1,0)&gt;0,OFFSET(TblMagic[[#This Row],[Active Harmony]],-1,0)-1,0))</f>
        <v>0</v>
      </c>
      <c r="AG61" s="57">
        <f ca="1">IF(TblMagic[[#This Row],[Miner''s Sight]],12,IF(OFFSET(TblMagic[[#This Row],[Active Miner''s Sight]],-1,0)&gt;0,OFFSET(TblMagic[[#This Row],[Active Miner''s Sight]],-1,0)-1,0))</f>
        <v>0</v>
      </c>
      <c r="AH61" s="57">
        <f ca="1">IF(TblMagic[[#This Row],[Mechanical Genius]],12,IF(OFFSET(TblMagic[[#This Row],[Active Mechanical Genius]],-1,0)&gt;0,OFFSET(TblMagic[[#This Row],[Active Mechanical Genius]],-1,0)-1,0))</f>
        <v>0</v>
      </c>
      <c r="AI61" s="57">
        <f ca="1">IF(TblMagic[[#This Row],[Death and Decay]],12,IF(OFFSET(TblMagic[[#This Row],[Active DnD]],-1,0)&gt;0,OFFSET(TblMagic[[#This Row],[Active DnD]],-1,0)-1,0))</f>
        <v>0</v>
      </c>
      <c r="AJ61" s="57">
        <f ca="1">IF(TblMagic[[#This Row],[Killing Rage / Bloodrage / Crusade]],12,IF(OFFSET(TblMagic[[#This Row],[Active Warsong / Killing Rage / Bloodrage]],-1,0)&gt;0,OFFSET(TblMagic[[#This Row],[Active Warsong / Killing Rage / Bloodrage]],-1,0)-1,0))</f>
        <v>0</v>
      </c>
      <c r="AK61" s="57">
        <f ca="1">IF(TblMagic[[#This Row],[Gaia''s Blessing]],12,IF(OFFSET(TblMagic[[#This Row],[Active Gaia''s Blessing]],-1,0)&gt;0,OFFSET(TblMagic[[#This Row],[Active Gaia''s Blessing]],-1,0)-1,0))</f>
        <v>0</v>
      </c>
      <c r="AL61" s="57">
        <f ca="1">IF(TblMagic[[#This Row],[Howling]],12,IF(OFFSET(TblMagic[[#This Row],[Active Howling]],-1,0)&gt;0,OFFSET(TblMagic[[#This Row],[Active Howling]],-1,0)-1,0))</f>
        <v>0</v>
      </c>
      <c r="AM61" s="57">
        <f ca="1">IF(TblMagic[[#This Row],[Alchemist Frost]],12,IF(OFFSET(TblMagic[[#This Row],[Active Alch Frost]],-1,0)&gt;0,OFFSET(TblMagic[[#This Row],[Active Alch Frost]],-1,0)-1,0))</f>
        <v>0</v>
      </c>
      <c r="AN61" s="57">
        <f ca="1">IF(TblMagic[[#This Row],[Alchemists Flame]],12,IF(OFFSET(TblMagic[[#This Row],[Active Alchemists Flame]],-1,0)&gt;0,OFFSET(TblMagic[[#This Row],[Active Alchemists Flame]],-1,0)-1,0))</f>
        <v>0</v>
      </c>
      <c r="AO61" s="57">
        <f ca="1">IF(TblMagic[[#This Row],[Nightfall]],12,IF(OFFSET(TblMagic[[#This Row],[Active Nightfall]],-1,0)&gt;0,OFFSET(TblMagic[[#This Row],[Active Nightfall]],-1,0)-1,0))</f>
        <v>0</v>
      </c>
      <c r="AP61" s="57">
        <f ca="1">IF(TblMagic[[#This Row],[Favorable Terrain]],12,IF(OFFSET(TblMagic[[#This Row],[Active Favorable Terrain]],-1,0)&gt;0,OFFSET(TblMagic[[#This Row],[Active Favorable Terrain]],-1,0)-1,0))</f>
        <v>0</v>
      </c>
      <c r="AQ61" s="57">
        <f ca="1">IF(TblMagic[[#This Row],[Infernal Command]],12,IF(OFFSET(TblMagic[[#This Row],[Active Infernal Command]],-1,0)&gt;0,OFFSET(TblMagic[[#This Row],[Active Infernal Command]],-1,0)-1,0))</f>
        <v>0</v>
      </c>
    </row>
    <row r="62" spans="1:43" x14ac:dyDescent="0.2">
      <c r="A62" s="137">
        <f>TblRezone[[#This Row],[Hour]]</f>
        <v>59</v>
      </c>
      <c r="B62" s="154">
        <f ca="1">TblConstr[[#This Row],[Land]]</f>
        <v>110</v>
      </c>
      <c r="C62" s="94">
        <f ca="1">TblProd[[#This Row],[Mana]]</f>
        <v>0</v>
      </c>
      <c r="D62" s="156">
        <f ca="1">MIN(1,OFFSET(TblMagic[[#This Row],[Wiz str]],-1,0)+0.04+ROUNDDOWN(10*OFFSET(TblMili[[#This Row],[WG''s]],-1,0),0)+ tech_2_7*OFFSET(TblTech[[#This Row],[2-7]],-1,0) + tech_5_6*OFFSET(TblTech[[#This Row],[5-6]],-1,0) )-TblMagic[[#This Row],[Wiz str cost]]</f>
        <v>1</v>
      </c>
      <c r="E62" s="159">
        <f ca="1">OFFSET(TblMagic[[#This Row],[Time]],-1,0)+1/24</f>
        <v>46049.416666666526</v>
      </c>
      <c r="F62" s="156">
        <f ca="1">TblImps[[#This Row],[Population]]</f>
        <v>1</v>
      </c>
      <c r="G62" s="218"/>
      <c r="H62" s="218"/>
      <c r="I62" s="218"/>
      <c r="J62" s="218"/>
      <c r="K62" s="405"/>
      <c r="L62" s="218"/>
      <c r="M62" s="218"/>
      <c r="N62" s="218"/>
      <c r="O62" s="218"/>
      <c r="P62" s="218"/>
      <c r="Q62" s="218"/>
      <c r="R62" s="218"/>
      <c r="S62" s="218"/>
      <c r="T62" s="218"/>
      <c r="U62" s="218"/>
      <c r="V62" s="218"/>
      <c r="W62" s="218"/>
      <c r="X62" s="142"/>
      <c r="Y6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2" s="156">
        <f>SUMIF(TblMagic[[#This Row],[Gaia''s Watch]:[Useless spell]],1)*0.05</f>
        <v>0</v>
      </c>
      <c r="AA62" s="142"/>
      <c r="AB62" s="57">
        <f ca="1">IF(TblMagic[[#This Row],[Gaia''s Watch]],12,IF(OFFSET(TblMagic[[#This Row],[Active Gaia''s Watch]],-1,0)&gt;0,OFFSET(TblMagic[[#This Row],[Active Gaia''s Watch]],-1,0)-1,0))</f>
        <v>0</v>
      </c>
      <c r="AC62" s="57">
        <f ca="1">IF(TblMagic[[#This Row],[Mining Strength]],12,IF(OFFSET(TblMagic[[#This Row],[Active Mining Strength]],-1,0)&gt;0,OFFSET(TblMagic[[#This Row],[Active Mining Strength]],-1,0)-1,0))</f>
        <v>0</v>
      </c>
      <c r="AD62" s="57">
        <f ca="1">IF(TblMagic[[#This Row],[Ares Call]],12,IF(OFFSET(TblMagic[[#This Row],[Active Ares Call]],-1,0)&gt;0,OFFSET(TblMagic[[#This Row],[Active Ares Call]],-1,0)-1,0))</f>
        <v>0</v>
      </c>
      <c r="AE62" s="57">
        <f ca="1">IF(TblMagic[[#This Row],[Midas Touch]],12,IF(OFFSET(TblMagic[[#This Row],[Active Midas Touch]],-1,0)&gt;0,OFFSET(TblMagic[[#This Row],[Active Midas Touch]],-1,0)-1,0))</f>
        <v>0</v>
      </c>
      <c r="AF62" s="57">
        <f ca="1">IF(TblMagic[[#This Row],[Harmony]],12,IF(OFFSET(TblMagic[[#This Row],[Active Harmony]],-1,0)&gt;0,OFFSET(TblMagic[[#This Row],[Active Harmony]],-1,0)-1,0))</f>
        <v>0</v>
      </c>
      <c r="AG62" s="57">
        <f ca="1">IF(TblMagic[[#This Row],[Miner''s Sight]],12,IF(OFFSET(TblMagic[[#This Row],[Active Miner''s Sight]],-1,0)&gt;0,OFFSET(TblMagic[[#This Row],[Active Miner''s Sight]],-1,0)-1,0))</f>
        <v>0</v>
      </c>
      <c r="AH62" s="57">
        <f ca="1">IF(TblMagic[[#This Row],[Mechanical Genius]],12,IF(OFFSET(TblMagic[[#This Row],[Active Mechanical Genius]],-1,0)&gt;0,OFFSET(TblMagic[[#This Row],[Active Mechanical Genius]],-1,0)-1,0))</f>
        <v>0</v>
      </c>
      <c r="AI62" s="57">
        <f ca="1">IF(TblMagic[[#This Row],[Death and Decay]],12,IF(OFFSET(TblMagic[[#This Row],[Active DnD]],-1,0)&gt;0,OFFSET(TblMagic[[#This Row],[Active DnD]],-1,0)-1,0))</f>
        <v>0</v>
      </c>
      <c r="AJ62" s="57">
        <f ca="1">IF(TblMagic[[#This Row],[Killing Rage / Bloodrage / Crusade]],12,IF(OFFSET(TblMagic[[#This Row],[Active Warsong / Killing Rage / Bloodrage]],-1,0)&gt;0,OFFSET(TblMagic[[#This Row],[Active Warsong / Killing Rage / Bloodrage]],-1,0)-1,0))</f>
        <v>0</v>
      </c>
      <c r="AK62" s="57">
        <f ca="1">IF(TblMagic[[#This Row],[Gaia''s Blessing]],12,IF(OFFSET(TblMagic[[#This Row],[Active Gaia''s Blessing]],-1,0)&gt;0,OFFSET(TblMagic[[#This Row],[Active Gaia''s Blessing]],-1,0)-1,0))</f>
        <v>0</v>
      </c>
      <c r="AL62" s="57">
        <f ca="1">IF(TblMagic[[#This Row],[Howling]],12,IF(OFFSET(TblMagic[[#This Row],[Active Howling]],-1,0)&gt;0,OFFSET(TblMagic[[#This Row],[Active Howling]],-1,0)-1,0))</f>
        <v>0</v>
      </c>
      <c r="AM62" s="57">
        <f ca="1">IF(TblMagic[[#This Row],[Alchemist Frost]],12,IF(OFFSET(TblMagic[[#This Row],[Active Alch Frost]],-1,0)&gt;0,OFFSET(TblMagic[[#This Row],[Active Alch Frost]],-1,0)-1,0))</f>
        <v>0</v>
      </c>
      <c r="AN62" s="57">
        <f ca="1">IF(TblMagic[[#This Row],[Alchemists Flame]],12,IF(OFFSET(TblMagic[[#This Row],[Active Alchemists Flame]],-1,0)&gt;0,OFFSET(TblMagic[[#This Row],[Active Alchemists Flame]],-1,0)-1,0))</f>
        <v>0</v>
      </c>
      <c r="AO62" s="57">
        <f ca="1">IF(TblMagic[[#This Row],[Nightfall]],12,IF(OFFSET(TblMagic[[#This Row],[Active Nightfall]],-1,0)&gt;0,OFFSET(TblMagic[[#This Row],[Active Nightfall]],-1,0)-1,0))</f>
        <v>0</v>
      </c>
      <c r="AP62" s="57">
        <f ca="1">IF(TblMagic[[#This Row],[Favorable Terrain]],12,IF(OFFSET(TblMagic[[#This Row],[Active Favorable Terrain]],-1,0)&gt;0,OFFSET(TblMagic[[#This Row],[Active Favorable Terrain]],-1,0)-1,0))</f>
        <v>0</v>
      </c>
      <c r="AQ62" s="57">
        <f ca="1">IF(TblMagic[[#This Row],[Infernal Command]],12,IF(OFFSET(TblMagic[[#This Row],[Active Infernal Command]],-1,0)&gt;0,OFFSET(TblMagic[[#This Row],[Active Infernal Command]],-1,0)-1,0))</f>
        <v>0</v>
      </c>
    </row>
    <row r="63" spans="1:43" x14ac:dyDescent="0.2">
      <c r="A63" s="137">
        <f>TblRezone[[#This Row],[Hour]]</f>
        <v>60</v>
      </c>
      <c r="B63" s="154">
        <f ca="1">TblConstr[[#This Row],[Land]]</f>
        <v>110</v>
      </c>
      <c r="C63" s="94">
        <f ca="1">TblProd[[#This Row],[Mana]]</f>
        <v>0</v>
      </c>
      <c r="D63" s="156">
        <f ca="1">MIN(1,OFFSET(TblMagic[[#This Row],[Wiz str]],-1,0)+0.04+ROUNDDOWN(10*OFFSET(TblMili[[#This Row],[WG''s]],-1,0),0)+ tech_2_7*OFFSET(TblTech[[#This Row],[2-7]],-1,0) + tech_5_6*OFFSET(TblTech[[#This Row],[5-6]],-1,0) )-TblMagic[[#This Row],[Wiz str cost]]</f>
        <v>1</v>
      </c>
      <c r="E63" s="159">
        <f ca="1">OFFSET(TblMagic[[#This Row],[Time]],-1,0)+1/24</f>
        <v>46049.45833333319</v>
      </c>
      <c r="F63" s="156">
        <f ca="1">TblImps[[#This Row],[Population]]</f>
        <v>1</v>
      </c>
      <c r="G63" s="218"/>
      <c r="H63" s="218"/>
      <c r="I63" s="218"/>
      <c r="J63" s="218"/>
      <c r="K63" s="405"/>
      <c r="L63" s="218"/>
      <c r="M63" s="218"/>
      <c r="N63" s="218"/>
      <c r="O63" s="218"/>
      <c r="P63" s="218"/>
      <c r="Q63" s="218"/>
      <c r="R63" s="218"/>
      <c r="S63" s="218"/>
      <c r="T63" s="218"/>
      <c r="U63" s="218"/>
      <c r="V63" s="218"/>
      <c r="W63" s="218"/>
      <c r="X63" s="142"/>
      <c r="Y6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3" s="156">
        <f>SUMIF(TblMagic[[#This Row],[Gaia''s Watch]:[Useless spell]],1)*0.05</f>
        <v>0</v>
      </c>
      <c r="AA63" s="142"/>
      <c r="AB63" s="57">
        <f ca="1">IF(TblMagic[[#This Row],[Gaia''s Watch]],12,IF(OFFSET(TblMagic[[#This Row],[Active Gaia''s Watch]],-1,0)&gt;0,OFFSET(TblMagic[[#This Row],[Active Gaia''s Watch]],-1,0)-1,0))</f>
        <v>0</v>
      </c>
      <c r="AC63" s="57">
        <f ca="1">IF(TblMagic[[#This Row],[Mining Strength]],12,IF(OFFSET(TblMagic[[#This Row],[Active Mining Strength]],-1,0)&gt;0,OFFSET(TblMagic[[#This Row],[Active Mining Strength]],-1,0)-1,0))</f>
        <v>0</v>
      </c>
      <c r="AD63" s="57">
        <f ca="1">IF(TblMagic[[#This Row],[Ares Call]],12,IF(OFFSET(TblMagic[[#This Row],[Active Ares Call]],-1,0)&gt;0,OFFSET(TblMagic[[#This Row],[Active Ares Call]],-1,0)-1,0))</f>
        <v>0</v>
      </c>
      <c r="AE63" s="57">
        <f ca="1">IF(TblMagic[[#This Row],[Midas Touch]],12,IF(OFFSET(TblMagic[[#This Row],[Active Midas Touch]],-1,0)&gt;0,OFFSET(TblMagic[[#This Row],[Active Midas Touch]],-1,0)-1,0))</f>
        <v>0</v>
      </c>
      <c r="AF63" s="57">
        <f ca="1">IF(TblMagic[[#This Row],[Harmony]],12,IF(OFFSET(TblMagic[[#This Row],[Active Harmony]],-1,0)&gt;0,OFFSET(TblMagic[[#This Row],[Active Harmony]],-1,0)-1,0))</f>
        <v>0</v>
      </c>
      <c r="AG63" s="57">
        <f ca="1">IF(TblMagic[[#This Row],[Miner''s Sight]],12,IF(OFFSET(TblMagic[[#This Row],[Active Miner''s Sight]],-1,0)&gt;0,OFFSET(TblMagic[[#This Row],[Active Miner''s Sight]],-1,0)-1,0))</f>
        <v>0</v>
      </c>
      <c r="AH63" s="57">
        <f ca="1">IF(TblMagic[[#This Row],[Mechanical Genius]],12,IF(OFFSET(TblMagic[[#This Row],[Active Mechanical Genius]],-1,0)&gt;0,OFFSET(TblMagic[[#This Row],[Active Mechanical Genius]],-1,0)-1,0))</f>
        <v>0</v>
      </c>
      <c r="AI63" s="57">
        <f ca="1">IF(TblMagic[[#This Row],[Death and Decay]],12,IF(OFFSET(TblMagic[[#This Row],[Active DnD]],-1,0)&gt;0,OFFSET(TblMagic[[#This Row],[Active DnD]],-1,0)-1,0))</f>
        <v>0</v>
      </c>
      <c r="AJ63" s="57">
        <f ca="1">IF(TblMagic[[#This Row],[Killing Rage / Bloodrage / Crusade]],12,IF(OFFSET(TblMagic[[#This Row],[Active Warsong / Killing Rage / Bloodrage]],-1,0)&gt;0,OFFSET(TblMagic[[#This Row],[Active Warsong / Killing Rage / Bloodrage]],-1,0)-1,0))</f>
        <v>0</v>
      </c>
      <c r="AK63" s="57">
        <f ca="1">IF(TblMagic[[#This Row],[Gaia''s Blessing]],12,IF(OFFSET(TblMagic[[#This Row],[Active Gaia''s Blessing]],-1,0)&gt;0,OFFSET(TblMagic[[#This Row],[Active Gaia''s Blessing]],-1,0)-1,0))</f>
        <v>0</v>
      </c>
      <c r="AL63" s="57">
        <f ca="1">IF(TblMagic[[#This Row],[Howling]],12,IF(OFFSET(TblMagic[[#This Row],[Active Howling]],-1,0)&gt;0,OFFSET(TblMagic[[#This Row],[Active Howling]],-1,0)-1,0))</f>
        <v>0</v>
      </c>
      <c r="AM63" s="57">
        <f ca="1">IF(TblMagic[[#This Row],[Alchemist Frost]],12,IF(OFFSET(TblMagic[[#This Row],[Active Alch Frost]],-1,0)&gt;0,OFFSET(TblMagic[[#This Row],[Active Alch Frost]],-1,0)-1,0))</f>
        <v>0</v>
      </c>
      <c r="AN63" s="57">
        <f ca="1">IF(TblMagic[[#This Row],[Alchemists Flame]],12,IF(OFFSET(TblMagic[[#This Row],[Active Alchemists Flame]],-1,0)&gt;0,OFFSET(TblMagic[[#This Row],[Active Alchemists Flame]],-1,0)-1,0))</f>
        <v>0</v>
      </c>
      <c r="AO63" s="57">
        <f ca="1">IF(TblMagic[[#This Row],[Nightfall]],12,IF(OFFSET(TblMagic[[#This Row],[Active Nightfall]],-1,0)&gt;0,OFFSET(TblMagic[[#This Row],[Active Nightfall]],-1,0)-1,0))</f>
        <v>0</v>
      </c>
      <c r="AP63" s="57">
        <f ca="1">IF(TblMagic[[#This Row],[Favorable Terrain]],12,IF(OFFSET(TblMagic[[#This Row],[Active Favorable Terrain]],-1,0)&gt;0,OFFSET(TblMagic[[#This Row],[Active Favorable Terrain]],-1,0)-1,0))</f>
        <v>0</v>
      </c>
      <c r="AQ63" s="57">
        <f ca="1">IF(TblMagic[[#This Row],[Infernal Command]],12,IF(OFFSET(TblMagic[[#This Row],[Active Infernal Command]],-1,0)&gt;0,OFFSET(TblMagic[[#This Row],[Active Infernal Command]],-1,0)-1,0))</f>
        <v>0</v>
      </c>
    </row>
    <row r="64" spans="1:43" x14ac:dyDescent="0.2">
      <c r="A64" s="137">
        <f>TblRezone[[#This Row],[Hour]]</f>
        <v>61</v>
      </c>
      <c r="B64" s="154">
        <f ca="1">TblConstr[[#This Row],[Land]]</f>
        <v>110</v>
      </c>
      <c r="C64" s="94">
        <f ca="1">TblProd[[#This Row],[Mana]]</f>
        <v>0</v>
      </c>
      <c r="D64" s="156">
        <f ca="1">MIN(1,OFFSET(TblMagic[[#This Row],[Wiz str]],-1,0)+0.04+ROUNDDOWN(10*OFFSET(TblMili[[#This Row],[WG''s]],-1,0),0)+ tech_2_7*OFFSET(TblTech[[#This Row],[2-7]],-1,0) + tech_5_6*OFFSET(TblTech[[#This Row],[5-6]],-1,0) )-TblMagic[[#This Row],[Wiz str cost]]</f>
        <v>1</v>
      </c>
      <c r="E64" s="159">
        <f ca="1">OFFSET(TblMagic[[#This Row],[Time]],-1,0)+1/24</f>
        <v>46049.499999999854</v>
      </c>
      <c r="F64" s="156">
        <f ca="1">TblImps[[#This Row],[Population]]</f>
        <v>1</v>
      </c>
      <c r="G64" s="218"/>
      <c r="H64" s="218"/>
      <c r="I64" s="218"/>
      <c r="J64" s="218"/>
      <c r="K64" s="405"/>
      <c r="L64" s="218"/>
      <c r="M64" s="218"/>
      <c r="N64" s="218"/>
      <c r="O64" s="218"/>
      <c r="P64" s="218"/>
      <c r="Q64" s="218"/>
      <c r="R64" s="218"/>
      <c r="S64" s="218"/>
      <c r="T64" s="218"/>
      <c r="U64" s="218"/>
      <c r="V64" s="218"/>
      <c r="W64" s="218"/>
      <c r="X64" s="142"/>
      <c r="Y6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4" s="156">
        <f>SUMIF(TblMagic[[#This Row],[Gaia''s Watch]:[Useless spell]],1)*0.05</f>
        <v>0</v>
      </c>
      <c r="AA64" s="142"/>
      <c r="AB64" s="57">
        <f ca="1">IF(TblMagic[[#This Row],[Gaia''s Watch]],12,IF(OFFSET(TblMagic[[#This Row],[Active Gaia''s Watch]],-1,0)&gt;0,OFFSET(TblMagic[[#This Row],[Active Gaia''s Watch]],-1,0)-1,0))</f>
        <v>0</v>
      </c>
      <c r="AC64" s="57">
        <f ca="1">IF(TblMagic[[#This Row],[Mining Strength]],12,IF(OFFSET(TblMagic[[#This Row],[Active Mining Strength]],-1,0)&gt;0,OFFSET(TblMagic[[#This Row],[Active Mining Strength]],-1,0)-1,0))</f>
        <v>0</v>
      </c>
      <c r="AD64" s="57">
        <f ca="1">IF(TblMagic[[#This Row],[Ares Call]],12,IF(OFFSET(TblMagic[[#This Row],[Active Ares Call]],-1,0)&gt;0,OFFSET(TblMagic[[#This Row],[Active Ares Call]],-1,0)-1,0))</f>
        <v>0</v>
      </c>
      <c r="AE64" s="57">
        <f ca="1">IF(TblMagic[[#This Row],[Midas Touch]],12,IF(OFFSET(TblMagic[[#This Row],[Active Midas Touch]],-1,0)&gt;0,OFFSET(TblMagic[[#This Row],[Active Midas Touch]],-1,0)-1,0))</f>
        <v>0</v>
      </c>
      <c r="AF64" s="57">
        <f ca="1">IF(TblMagic[[#This Row],[Harmony]],12,IF(OFFSET(TblMagic[[#This Row],[Active Harmony]],-1,0)&gt;0,OFFSET(TblMagic[[#This Row],[Active Harmony]],-1,0)-1,0))</f>
        <v>0</v>
      </c>
      <c r="AG64" s="57">
        <f ca="1">IF(TblMagic[[#This Row],[Miner''s Sight]],12,IF(OFFSET(TblMagic[[#This Row],[Active Miner''s Sight]],-1,0)&gt;0,OFFSET(TblMagic[[#This Row],[Active Miner''s Sight]],-1,0)-1,0))</f>
        <v>0</v>
      </c>
      <c r="AH64" s="57">
        <f ca="1">IF(TblMagic[[#This Row],[Mechanical Genius]],12,IF(OFFSET(TblMagic[[#This Row],[Active Mechanical Genius]],-1,0)&gt;0,OFFSET(TblMagic[[#This Row],[Active Mechanical Genius]],-1,0)-1,0))</f>
        <v>0</v>
      </c>
      <c r="AI64" s="57">
        <f ca="1">IF(TblMagic[[#This Row],[Death and Decay]],12,IF(OFFSET(TblMagic[[#This Row],[Active DnD]],-1,0)&gt;0,OFFSET(TblMagic[[#This Row],[Active DnD]],-1,0)-1,0))</f>
        <v>0</v>
      </c>
      <c r="AJ64" s="57">
        <f ca="1">IF(TblMagic[[#This Row],[Killing Rage / Bloodrage / Crusade]],12,IF(OFFSET(TblMagic[[#This Row],[Active Warsong / Killing Rage / Bloodrage]],-1,0)&gt;0,OFFSET(TblMagic[[#This Row],[Active Warsong / Killing Rage / Bloodrage]],-1,0)-1,0))</f>
        <v>0</v>
      </c>
      <c r="AK64" s="57">
        <f ca="1">IF(TblMagic[[#This Row],[Gaia''s Blessing]],12,IF(OFFSET(TblMagic[[#This Row],[Active Gaia''s Blessing]],-1,0)&gt;0,OFFSET(TblMagic[[#This Row],[Active Gaia''s Blessing]],-1,0)-1,0))</f>
        <v>0</v>
      </c>
      <c r="AL64" s="57">
        <f ca="1">IF(TblMagic[[#This Row],[Howling]],12,IF(OFFSET(TblMagic[[#This Row],[Active Howling]],-1,0)&gt;0,OFFSET(TblMagic[[#This Row],[Active Howling]],-1,0)-1,0))</f>
        <v>0</v>
      </c>
      <c r="AM64" s="57">
        <f ca="1">IF(TblMagic[[#This Row],[Alchemist Frost]],12,IF(OFFSET(TblMagic[[#This Row],[Active Alch Frost]],-1,0)&gt;0,OFFSET(TblMagic[[#This Row],[Active Alch Frost]],-1,0)-1,0))</f>
        <v>0</v>
      </c>
      <c r="AN64" s="57">
        <f ca="1">IF(TblMagic[[#This Row],[Alchemists Flame]],12,IF(OFFSET(TblMagic[[#This Row],[Active Alchemists Flame]],-1,0)&gt;0,OFFSET(TblMagic[[#This Row],[Active Alchemists Flame]],-1,0)-1,0))</f>
        <v>0</v>
      </c>
      <c r="AO64" s="57">
        <f ca="1">IF(TblMagic[[#This Row],[Nightfall]],12,IF(OFFSET(TblMagic[[#This Row],[Active Nightfall]],-1,0)&gt;0,OFFSET(TblMagic[[#This Row],[Active Nightfall]],-1,0)-1,0))</f>
        <v>0</v>
      </c>
      <c r="AP64" s="57">
        <f ca="1">IF(TblMagic[[#This Row],[Favorable Terrain]],12,IF(OFFSET(TblMagic[[#This Row],[Active Favorable Terrain]],-1,0)&gt;0,OFFSET(TblMagic[[#This Row],[Active Favorable Terrain]],-1,0)-1,0))</f>
        <v>0</v>
      </c>
      <c r="AQ64" s="57">
        <f ca="1">IF(TblMagic[[#This Row],[Infernal Command]],12,IF(OFFSET(TblMagic[[#This Row],[Active Infernal Command]],-1,0)&gt;0,OFFSET(TblMagic[[#This Row],[Active Infernal Command]],-1,0)-1,0))</f>
        <v>0</v>
      </c>
    </row>
    <row r="65" spans="1:43" x14ac:dyDescent="0.2">
      <c r="A65" s="137">
        <f>TblRezone[[#This Row],[Hour]]</f>
        <v>62</v>
      </c>
      <c r="B65" s="154">
        <f ca="1">TblConstr[[#This Row],[Land]]</f>
        <v>110</v>
      </c>
      <c r="C65" s="94">
        <f ca="1">TblProd[[#This Row],[Mana]]</f>
        <v>0</v>
      </c>
      <c r="D65" s="156">
        <f ca="1">MIN(1,OFFSET(TblMagic[[#This Row],[Wiz str]],-1,0)+0.04+ROUNDDOWN(10*OFFSET(TblMili[[#This Row],[WG''s]],-1,0),0)+ tech_2_7*OFFSET(TblTech[[#This Row],[2-7]],-1,0) + tech_5_6*OFFSET(TblTech[[#This Row],[5-6]],-1,0) )-TblMagic[[#This Row],[Wiz str cost]]</f>
        <v>1</v>
      </c>
      <c r="E65" s="159">
        <f ca="1">OFFSET(TblMagic[[#This Row],[Time]],-1,0)+1/24</f>
        <v>46049.541666666519</v>
      </c>
      <c r="F65" s="156">
        <f ca="1">TblImps[[#This Row],[Population]]</f>
        <v>1</v>
      </c>
      <c r="G65" s="218"/>
      <c r="H65" s="218"/>
      <c r="I65" s="218"/>
      <c r="J65" s="218"/>
      <c r="K65" s="405"/>
      <c r="L65" s="218"/>
      <c r="M65" s="218"/>
      <c r="N65" s="218"/>
      <c r="O65" s="218"/>
      <c r="P65" s="218"/>
      <c r="Q65" s="218"/>
      <c r="R65" s="218"/>
      <c r="S65" s="218"/>
      <c r="T65" s="218"/>
      <c r="U65" s="218"/>
      <c r="V65" s="218"/>
      <c r="W65" s="218"/>
      <c r="X65" s="142"/>
      <c r="Y6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5" s="156">
        <f>SUMIF(TblMagic[[#This Row],[Gaia''s Watch]:[Useless spell]],1)*0.05</f>
        <v>0</v>
      </c>
      <c r="AA65" s="142"/>
      <c r="AB65" s="57">
        <f ca="1">IF(TblMagic[[#This Row],[Gaia''s Watch]],12,IF(OFFSET(TblMagic[[#This Row],[Active Gaia''s Watch]],-1,0)&gt;0,OFFSET(TblMagic[[#This Row],[Active Gaia''s Watch]],-1,0)-1,0))</f>
        <v>0</v>
      </c>
      <c r="AC65" s="57">
        <f ca="1">IF(TblMagic[[#This Row],[Mining Strength]],12,IF(OFFSET(TblMagic[[#This Row],[Active Mining Strength]],-1,0)&gt;0,OFFSET(TblMagic[[#This Row],[Active Mining Strength]],-1,0)-1,0))</f>
        <v>0</v>
      </c>
      <c r="AD65" s="57">
        <f ca="1">IF(TblMagic[[#This Row],[Ares Call]],12,IF(OFFSET(TblMagic[[#This Row],[Active Ares Call]],-1,0)&gt;0,OFFSET(TblMagic[[#This Row],[Active Ares Call]],-1,0)-1,0))</f>
        <v>0</v>
      </c>
      <c r="AE65" s="57">
        <f ca="1">IF(TblMagic[[#This Row],[Midas Touch]],12,IF(OFFSET(TblMagic[[#This Row],[Active Midas Touch]],-1,0)&gt;0,OFFSET(TblMagic[[#This Row],[Active Midas Touch]],-1,0)-1,0))</f>
        <v>0</v>
      </c>
      <c r="AF65" s="57">
        <f ca="1">IF(TblMagic[[#This Row],[Harmony]],12,IF(OFFSET(TblMagic[[#This Row],[Active Harmony]],-1,0)&gt;0,OFFSET(TblMagic[[#This Row],[Active Harmony]],-1,0)-1,0))</f>
        <v>0</v>
      </c>
      <c r="AG65" s="57">
        <f ca="1">IF(TblMagic[[#This Row],[Miner''s Sight]],12,IF(OFFSET(TblMagic[[#This Row],[Active Miner''s Sight]],-1,0)&gt;0,OFFSET(TblMagic[[#This Row],[Active Miner''s Sight]],-1,0)-1,0))</f>
        <v>0</v>
      </c>
      <c r="AH65" s="57">
        <f ca="1">IF(TblMagic[[#This Row],[Mechanical Genius]],12,IF(OFFSET(TblMagic[[#This Row],[Active Mechanical Genius]],-1,0)&gt;0,OFFSET(TblMagic[[#This Row],[Active Mechanical Genius]],-1,0)-1,0))</f>
        <v>0</v>
      </c>
      <c r="AI65" s="57">
        <f ca="1">IF(TblMagic[[#This Row],[Death and Decay]],12,IF(OFFSET(TblMagic[[#This Row],[Active DnD]],-1,0)&gt;0,OFFSET(TblMagic[[#This Row],[Active DnD]],-1,0)-1,0))</f>
        <v>0</v>
      </c>
      <c r="AJ65" s="57">
        <f ca="1">IF(TblMagic[[#This Row],[Killing Rage / Bloodrage / Crusade]],12,IF(OFFSET(TblMagic[[#This Row],[Active Warsong / Killing Rage / Bloodrage]],-1,0)&gt;0,OFFSET(TblMagic[[#This Row],[Active Warsong / Killing Rage / Bloodrage]],-1,0)-1,0))</f>
        <v>0</v>
      </c>
      <c r="AK65" s="57">
        <f ca="1">IF(TblMagic[[#This Row],[Gaia''s Blessing]],12,IF(OFFSET(TblMagic[[#This Row],[Active Gaia''s Blessing]],-1,0)&gt;0,OFFSET(TblMagic[[#This Row],[Active Gaia''s Blessing]],-1,0)-1,0))</f>
        <v>0</v>
      </c>
      <c r="AL65" s="57">
        <f ca="1">IF(TblMagic[[#This Row],[Howling]],12,IF(OFFSET(TblMagic[[#This Row],[Active Howling]],-1,0)&gt;0,OFFSET(TblMagic[[#This Row],[Active Howling]],-1,0)-1,0))</f>
        <v>0</v>
      </c>
      <c r="AM65" s="57">
        <f ca="1">IF(TblMagic[[#This Row],[Alchemist Frost]],12,IF(OFFSET(TblMagic[[#This Row],[Active Alch Frost]],-1,0)&gt;0,OFFSET(TblMagic[[#This Row],[Active Alch Frost]],-1,0)-1,0))</f>
        <v>0</v>
      </c>
      <c r="AN65" s="57">
        <f ca="1">IF(TblMagic[[#This Row],[Alchemists Flame]],12,IF(OFFSET(TblMagic[[#This Row],[Active Alchemists Flame]],-1,0)&gt;0,OFFSET(TblMagic[[#This Row],[Active Alchemists Flame]],-1,0)-1,0))</f>
        <v>0</v>
      </c>
      <c r="AO65" s="57">
        <f ca="1">IF(TblMagic[[#This Row],[Nightfall]],12,IF(OFFSET(TblMagic[[#This Row],[Active Nightfall]],-1,0)&gt;0,OFFSET(TblMagic[[#This Row],[Active Nightfall]],-1,0)-1,0))</f>
        <v>0</v>
      </c>
      <c r="AP65" s="57">
        <f ca="1">IF(TblMagic[[#This Row],[Favorable Terrain]],12,IF(OFFSET(TblMagic[[#This Row],[Active Favorable Terrain]],-1,0)&gt;0,OFFSET(TblMagic[[#This Row],[Active Favorable Terrain]],-1,0)-1,0))</f>
        <v>0</v>
      </c>
      <c r="AQ65" s="57">
        <f ca="1">IF(TblMagic[[#This Row],[Infernal Command]],12,IF(OFFSET(TblMagic[[#This Row],[Active Infernal Command]],-1,0)&gt;0,OFFSET(TblMagic[[#This Row],[Active Infernal Command]],-1,0)-1,0))</f>
        <v>0</v>
      </c>
    </row>
    <row r="66" spans="1:43" x14ac:dyDescent="0.2">
      <c r="A66" s="137">
        <f>TblRezone[[#This Row],[Hour]]</f>
        <v>63</v>
      </c>
      <c r="B66" s="154">
        <f ca="1">TblConstr[[#This Row],[Land]]</f>
        <v>110</v>
      </c>
      <c r="C66" s="94">
        <f ca="1">TblProd[[#This Row],[Mana]]</f>
        <v>0</v>
      </c>
      <c r="D66" s="156">
        <f ca="1">MIN(1,OFFSET(TblMagic[[#This Row],[Wiz str]],-1,0)+0.04+ROUNDDOWN(10*OFFSET(TblMili[[#This Row],[WG''s]],-1,0),0)+ tech_2_7*OFFSET(TblTech[[#This Row],[2-7]],-1,0) + tech_5_6*OFFSET(TblTech[[#This Row],[5-6]],-1,0) )-TblMagic[[#This Row],[Wiz str cost]]</f>
        <v>1</v>
      </c>
      <c r="E66" s="159">
        <f ca="1">OFFSET(TblMagic[[#This Row],[Time]],-1,0)+1/24</f>
        <v>46049.583333333183</v>
      </c>
      <c r="F66" s="156">
        <f ca="1">TblImps[[#This Row],[Population]]</f>
        <v>1</v>
      </c>
      <c r="G66" s="218"/>
      <c r="H66" s="218"/>
      <c r="I66" s="218"/>
      <c r="J66" s="218"/>
      <c r="K66" s="405"/>
      <c r="L66" s="218"/>
      <c r="M66" s="218"/>
      <c r="N66" s="218"/>
      <c r="O66" s="218"/>
      <c r="P66" s="218"/>
      <c r="Q66" s="218"/>
      <c r="R66" s="218"/>
      <c r="S66" s="218"/>
      <c r="T66" s="218"/>
      <c r="U66" s="218"/>
      <c r="V66" s="218"/>
      <c r="W66" s="218"/>
      <c r="X66" s="142"/>
      <c r="Y6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6" s="156">
        <f>SUMIF(TblMagic[[#This Row],[Gaia''s Watch]:[Useless spell]],1)*0.05</f>
        <v>0</v>
      </c>
      <c r="AA66" s="142"/>
      <c r="AB66" s="57">
        <f ca="1">IF(TblMagic[[#This Row],[Gaia''s Watch]],12,IF(OFFSET(TblMagic[[#This Row],[Active Gaia''s Watch]],-1,0)&gt;0,OFFSET(TblMagic[[#This Row],[Active Gaia''s Watch]],-1,0)-1,0))</f>
        <v>0</v>
      </c>
      <c r="AC66" s="57">
        <f ca="1">IF(TblMagic[[#This Row],[Mining Strength]],12,IF(OFFSET(TblMagic[[#This Row],[Active Mining Strength]],-1,0)&gt;0,OFFSET(TblMagic[[#This Row],[Active Mining Strength]],-1,0)-1,0))</f>
        <v>0</v>
      </c>
      <c r="AD66" s="57">
        <f ca="1">IF(TblMagic[[#This Row],[Ares Call]],12,IF(OFFSET(TblMagic[[#This Row],[Active Ares Call]],-1,0)&gt;0,OFFSET(TblMagic[[#This Row],[Active Ares Call]],-1,0)-1,0))</f>
        <v>0</v>
      </c>
      <c r="AE66" s="57">
        <f ca="1">IF(TblMagic[[#This Row],[Midas Touch]],12,IF(OFFSET(TblMagic[[#This Row],[Active Midas Touch]],-1,0)&gt;0,OFFSET(TblMagic[[#This Row],[Active Midas Touch]],-1,0)-1,0))</f>
        <v>0</v>
      </c>
      <c r="AF66" s="57">
        <f ca="1">IF(TblMagic[[#This Row],[Harmony]],12,IF(OFFSET(TblMagic[[#This Row],[Active Harmony]],-1,0)&gt;0,OFFSET(TblMagic[[#This Row],[Active Harmony]],-1,0)-1,0))</f>
        <v>0</v>
      </c>
      <c r="AG66" s="57">
        <f ca="1">IF(TblMagic[[#This Row],[Miner''s Sight]],12,IF(OFFSET(TblMagic[[#This Row],[Active Miner''s Sight]],-1,0)&gt;0,OFFSET(TblMagic[[#This Row],[Active Miner''s Sight]],-1,0)-1,0))</f>
        <v>0</v>
      </c>
      <c r="AH66" s="57">
        <f ca="1">IF(TblMagic[[#This Row],[Mechanical Genius]],12,IF(OFFSET(TblMagic[[#This Row],[Active Mechanical Genius]],-1,0)&gt;0,OFFSET(TblMagic[[#This Row],[Active Mechanical Genius]],-1,0)-1,0))</f>
        <v>0</v>
      </c>
      <c r="AI66" s="57">
        <f ca="1">IF(TblMagic[[#This Row],[Death and Decay]],12,IF(OFFSET(TblMagic[[#This Row],[Active DnD]],-1,0)&gt;0,OFFSET(TblMagic[[#This Row],[Active DnD]],-1,0)-1,0))</f>
        <v>0</v>
      </c>
      <c r="AJ66" s="57">
        <f ca="1">IF(TblMagic[[#This Row],[Killing Rage / Bloodrage / Crusade]],12,IF(OFFSET(TblMagic[[#This Row],[Active Warsong / Killing Rage / Bloodrage]],-1,0)&gt;0,OFFSET(TblMagic[[#This Row],[Active Warsong / Killing Rage / Bloodrage]],-1,0)-1,0))</f>
        <v>0</v>
      </c>
      <c r="AK66" s="57">
        <f ca="1">IF(TblMagic[[#This Row],[Gaia''s Blessing]],12,IF(OFFSET(TblMagic[[#This Row],[Active Gaia''s Blessing]],-1,0)&gt;0,OFFSET(TblMagic[[#This Row],[Active Gaia''s Blessing]],-1,0)-1,0))</f>
        <v>0</v>
      </c>
      <c r="AL66" s="57">
        <f ca="1">IF(TblMagic[[#This Row],[Howling]],12,IF(OFFSET(TblMagic[[#This Row],[Active Howling]],-1,0)&gt;0,OFFSET(TblMagic[[#This Row],[Active Howling]],-1,0)-1,0))</f>
        <v>0</v>
      </c>
      <c r="AM66" s="57">
        <f ca="1">IF(TblMagic[[#This Row],[Alchemist Frost]],12,IF(OFFSET(TblMagic[[#This Row],[Active Alch Frost]],-1,0)&gt;0,OFFSET(TblMagic[[#This Row],[Active Alch Frost]],-1,0)-1,0))</f>
        <v>0</v>
      </c>
      <c r="AN66" s="57">
        <f ca="1">IF(TblMagic[[#This Row],[Alchemists Flame]],12,IF(OFFSET(TblMagic[[#This Row],[Active Alchemists Flame]],-1,0)&gt;0,OFFSET(TblMagic[[#This Row],[Active Alchemists Flame]],-1,0)-1,0))</f>
        <v>0</v>
      </c>
      <c r="AO66" s="57">
        <f ca="1">IF(TblMagic[[#This Row],[Nightfall]],12,IF(OFFSET(TblMagic[[#This Row],[Active Nightfall]],-1,0)&gt;0,OFFSET(TblMagic[[#This Row],[Active Nightfall]],-1,0)-1,0))</f>
        <v>0</v>
      </c>
      <c r="AP66" s="57">
        <f ca="1">IF(TblMagic[[#This Row],[Favorable Terrain]],12,IF(OFFSET(TblMagic[[#This Row],[Active Favorable Terrain]],-1,0)&gt;0,OFFSET(TblMagic[[#This Row],[Active Favorable Terrain]],-1,0)-1,0))</f>
        <v>0</v>
      </c>
      <c r="AQ66" s="57">
        <f ca="1">IF(TblMagic[[#This Row],[Infernal Command]],12,IF(OFFSET(TblMagic[[#This Row],[Active Infernal Command]],-1,0)&gt;0,OFFSET(TblMagic[[#This Row],[Active Infernal Command]],-1,0)-1,0))</f>
        <v>0</v>
      </c>
    </row>
    <row r="67" spans="1:43" x14ac:dyDescent="0.2">
      <c r="A67" s="137">
        <f>TblRezone[[#This Row],[Hour]]</f>
        <v>64</v>
      </c>
      <c r="B67" s="154">
        <f ca="1">TblConstr[[#This Row],[Land]]</f>
        <v>110</v>
      </c>
      <c r="C67" s="94">
        <f ca="1">TblProd[[#This Row],[Mana]]</f>
        <v>0</v>
      </c>
      <c r="D67" s="156">
        <f ca="1">MIN(1,OFFSET(TblMagic[[#This Row],[Wiz str]],-1,0)+0.04+ROUNDDOWN(10*OFFSET(TblMili[[#This Row],[WG''s]],-1,0),0)+ tech_2_7*OFFSET(TblTech[[#This Row],[2-7]],-1,0) + tech_5_6*OFFSET(TblTech[[#This Row],[5-6]],-1,0) )-TblMagic[[#This Row],[Wiz str cost]]</f>
        <v>1</v>
      </c>
      <c r="E67" s="159">
        <f ca="1">OFFSET(TblMagic[[#This Row],[Time]],-1,0)+1/24</f>
        <v>46049.624999999847</v>
      </c>
      <c r="F67" s="156">
        <f ca="1">TblImps[[#This Row],[Population]]</f>
        <v>1</v>
      </c>
      <c r="G67" s="218"/>
      <c r="H67" s="218"/>
      <c r="I67" s="218"/>
      <c r="J67" s="218"/>
      <c r="K67" s="405"/>
      <c r="L67" s="218"/>
      <c r="M67" s="218"/>
      <c r="N67" s="218"/>
      <c r="O67" s="218"/>
      <c r="P67" s="218"/>
      <c r="Q67" s="218"/>
      <c r="R67" s="218"/>
      <c r="S67" s="218"/>
      <c r="T67" s="218"/>
      <c r="U67" s="218"/>
      <c r="V67" s="218"/>
      <c r="W67" s="218"/>
      <c r="X67" s="142"/>
      <c r="Y6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7" s="156">
        <f>SUMIF(TblMagic[[#This Row],[Gaia''s Watch]:[Useless spell]],1)*0.05</f>
        <v>0</v>
      </c>
      <c r="AA67" s="142"/>
      <c r="AB67" s="57">
        <f ca="1">IF(TblMagic[[#This Row],[Gaia''s Watch]],12,IF(OFFSET(TblMagic[[#This Row],[Active Gaia''s Watch]],-1,0)&gt;0,OFFSET(TblMagic[[#This Row],[Active Gaia''s Watch]],-1,0)-1,0))</f>
        <v>0</v>
      </c>
      <c r="AC67" s="57">
        <f ca="1">IF(TblMagic[[#This Row],[Mining Strength]],12,IF(OFFSET(TblMagic[[#This Row],[Active Mining Strength]],-1,0)&gt;0,OFFSET(TblMagic[[#This Row],[Active Mining Strength]],-1,0)-1,0))</f>
        <v>0</v>
      </c>
      <c r="AD67" s="57">
        <f ca="1">IF(TblMagic[[#This Row],[Ares Call]],12,IF(OFFSET(TblMagic[[#This Row],[Active Ares Call]],-1,0)&gt;0,OFFSET(TblMagic[[#This Row],[Active Ares Call]],-1,0)-1,0))</f>
        <v>0</v>
      </c>
      <c r="AE67" s="57">
        <f ca="1">IF(TblMagic[[#This Row],[Midas Touch]],12,IF(OFFSET(TblMagic[[#This Row],[Active Midas Touch]],-1,0)&gt;0,OFFSET(TblMagic[[#This Row],[Active Midas Touch]],-1,0)-1,0))</f>
        <v>0</v>
      </c>
      <c r="AF67" s="57">
        <f ca="1">IF(TblMagic[[#This Row],[Harmony]],12,IF(OFFSET(TblMagic[[#This Row],[Active Harmony]],-1,0)&gt;0,OFFSET(TblMagic[[#This Row],[Active Harmony]],-1,0)-1,0))</f>
        <v>0</v>
      </c>
      <c r="AG67" s="57">
        <f ca="1">IF(TblMagic[[#This Row],[Miner''s Sight]],12,IF(OFFSET(TblMagic[[#This Row],[Active Miner''s Sight]],-1,0)&gt;0,OFFSET(TblMagic[[#This Row],[Active Miner''s Sight]],-1,0)-1,0))</f>
        <v>0</v>
      </c>
      <c r="AH67" s="57">
        <f ca="1">IF(TblMagic[[#This Row],[Mechanical Genius]],12,IF(OFFSET(TblMagic[[#This Row],[Active Mechanical Genius]],-1,0)&gt;0,OFFSET(TblMagic[[#This Row],[Active Mechanical Genius]],-1,0)-1,0))</f>
        <v>0</v>
      </c>
      <c r="AI67" s="57">
        <f ca="1">IF(TblMagic[[#This Row],[Death and Decay]],12,IF(OFFSET(TblMagic[[#This Row],[Active DnD]],-1,0)&gt;0,OFFSET(TblMagic[[#This Row],[Active DnD]],-1,0)-1,0))</f>
        <v>0</v>
      </c>
      <c r="AJ67" s="57">
        <f ca="1">IF(TblMagic[[#This Row],[Killing Rage / Bloodrage / Crusade]],12,IF(OFFSET(TblMagic[[#This Row],[Active Warsong / Killing Rage / Bloodrage]],-1,0)&gt;0,OFFSET(TblMagic[[#This Row],[Active Warsong / Killing Rage / Bloodrage]],-1,0)-1,0))</f>
        <v>0</v>
      </c>
      <c r="AK67" s="57">
        <f ca="1">IF(TblMagic[[#This Row],[Gaia''s Blessing]],12,IF(OFFSET(TblMagic[[#This Row],[Active Gaia''s Blessing]],-1,0)&gt;0,OFFSET(TblMagic[[#This Row],[Active Gaia''s Blessing]],-1,0)-1,0))</f>
        <v>0</v>
      </c>
      <c r="AL67" s="57">
        <f ca="1">IF(TblMagic[[#This Row],[Howling]],12,IF(OFFSET(TblMagic[[#This Row],[Active Howling]],-1,0)&gt;0,OFFSET(TblMagic[[#This Row],[Active Howling]],-1,0)-1,0))</f>
        <v>0</v>
      </c>
      <c r="AM67" s="57">
        <f ca="1">IF(TblMagic[[#This Row],[Alchemist Frost]],12,IF(OFFSET(TblMagic[[#This Row],[Active Alch Frost]],-1,0)&gt;0,OFFSET(TblMagic[[#This Row],[Active Alch Frost]],-1,0)-1,0))</f>
        <v>0</v>
      </c>
      <c r="AN67" s="57">
        <f ca="1">IF(TblMagic[[#This Row],[Alchemists Flame]],12,IF(OFFSET(TblMagic[[#This Row],[Active Alchemists Flame]],-1,0)&gt;0,OFFSET(TblMagic[[#This Row],[Active Alchemists Flame]],-1,0)-1,0))</f>
        <v>0</v>
      </c>
      <c r="AO67" s="57">
        <f ca="1">IF(TblMagic[[#This Row],[Nightfall]],12,IF(OFFSET(TblMagic[[#This Row],[Active Nightfall]],-1,0)&gt;0,OFFSET(TblMagic[[#This Row],[Active Nightfall]],-1,0)-1,0))</f>
        <v>0</v>
      </c>
      <c r="AP67" s="57">
        <f ca="1">IF(TblMagic[[#This Row],[Favorable Terrain]],12,IF(OFFSET(TblMagic[[#This Row],[Active Favorable Terrain]],-1,0)&gt;0,OFFSET(TblMagic[[#This Row],[Active Favorable Terrain]],-1,0)-1,0))</f>
        <v>0</v>
      </c>
      <c r="AQ67" s="57">
        <f ca="1">IF(TblMagic[[#This Row],[Infernal Command]],12,IF(OFFSET(TblMagic[[#This Row],[Active Infernal Command]],-1,0)&gt;0,OFFSET(TblMagic[[#This Row],[Active Infernal Command]],-1,0)-1,0))</f>
        <v>0</v>
      </c>
    </row>
    <row r="68" spans="1:43" x14ac:dyDescent="0.2">
      <c r="A68" s="137">
        <f>TblRezone[[#This Row],[Hour]]</f>
        <v>65</v>
      </c>
      <c r="B68" s="154">
        <f ca="1">TblConstr[[#This Row],[Land]]</f>
        <v>110</v>
      </c>
      <c r="C68" s="94">
        <f ca="1">TblProd[[#This Row],[Mana]]</f>
        <v>0</v>
      </c>
      <c r="D68" s="156">
        <f ca="1">MIN(1,OFFSET(TblMagic[[#This Row],[Wiz str]],-1,0)+0.04+ROUNDDOWN(10*OFFSET(TblMili[[#This Row],[WG''s]],-1,0),0)+ tech_2_7*OFFSET(TblTech[[#This Row],[2-7]],-1,0) + tech_5_6*OFFSET(TblTech[[#This Row],[5-6]],-1,0) )-TblMagic[[#This Row],[Wiz str cost]]</f>
        <v>1</v>
      </c>
      <c r="E68" s="159">
        <f ca="1">OFFSET(TblMagic[[#This Row],[Time]],-1,0)+1/24</f>
        <v>46049.666666666511</v>
      </c>
      <c r="F68" s="156">
        <f ca="1">TblImps[[#This Row],[Population]]</f>
        <v>1</v>
      </c>
      <c r="G68" s="218"/>
      <c r="H68" s="218"/>
      <c r="I68" s="218"/>
      <c r="J68" s="218"/>
      <c r="K68" s="405"/>
      <c r="L68" s="218"/>
      <c r="M68" s="218"/>
      <c r="N68" s="218"/>
      <c r="O68" s="218"/>
      <c r="P68" s="218"/>
      <c r="Q68" s="218"/>
      <c r="R68" s="218"/>
      <c r="S68" s="218"/>
      <c r="T68" s="218"/>
      <c r="U68" s="218"/>
      <c r="V68" s="218"/>
      <c r="W68" s="218"/>
      <c r="X68" s="142"/>
      <c r="Y6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8" s="156">
        <f>SUMIF(TblMagic[[#This Row],[Gaia''s Watch]:[Useless spell]],1)*0.05</f>
        <v>0</v>
      </c>
      <c r="AA68" s="142"/>
      <c r="AB68" s="57">
        <f ca="1">IF(TblMagic[[#This Row],[Gaia''s Watch]],12,IF(OFFSET(TblMagic[[#This Row],[Active Gaia''s Watch]],-1,0)&gt;0,OFFSET(TblMagic[[#This Row],[Active Gaia''s Watch]],-1,0)-1,0))</f>
        <v>0</v>
      </c>
      <c r="AC68" s="57">
        <f ca="1">IF(TblMagic[[#This Row],[Mining Strength]],12,IF(OFFSET(TblMagic[[#This Row],[Active Mining Strength]],-1,0)&gt;0,OFFSET(TblMagic[[#This Row],[Active Mining Strength]],-1,0)-1,0))</f>
        <v>0</v>
      </c>
      <c r="AD68" s="57">
        <f ca="1">IF(TblMagic[[#This Row],[Ares Call]],12,IF(OFFSET(TblMagic[[#This Row],[Active Ares Call]],-1,0)&gt;0,OFFSET(TblMagic[[#This Row],[Active Ares Call]],-1,0)-1,0))</f>
        <v>0</v>
      </c>
      <c r="AE68" s="57">
        <f ca="1">IF(TblMagic[[#This Row],[Midas Touch]],12,IF(OFFSET(TblMagic[[#This Row],[Active Midas Touch]],-1,0)&gt;0,OFFSET(TblMagic[[#This Row],[Active Midas Touch]],-1,0)-1,0))</f>
        <v>0</v>
      </c>
      <c r="AF68" s="57">
        <f ca="1">IF(TblMagic[[#This Row],[Harmony]],12,IF(OFFSET(TblMagic[[#This Row],[Active Harmony]],-1,0)&gt;0,OFFSET(TblMagic[[#This Row],[Active Harmony]],-1,0)-1,0))</f>
        <v>0</v>
      </c>
      <c r="AG68" s="57">
        <f ca="1">IF(TblMagic[[#This Row],[Miner''s Sight]],12,IF(OFFSET(TblMagic[[#This Row],[Active Miner''s Sight]],-1,0)&gt;0,OFFSET(TblMagic[[#This Row],[Active Miner''s Sight]],-1,0)-1,0))</f>
        <v>0</v>
      </c>
      <c r="AH68" s="57">
        <f ca="1">IF(TblMagic[[#This Row],[Mechanical Genius]],12,IF(OFFSET(TblMagic[[#This Row],[Active Mechanical Genius]],-1,0)&gt;0,OFFSET(TblMagic[[#This Row],[Active Mechanical Genius]],-1,0)-1,0))</f>
        <v>0</v>
      </c>
      <c r="AI68" s="57">
        <f ca="1">IF(TblMagic[[#This Row],[Death and Decay]],12,IF(OFFSET(TblMagic[[#This Row],[Active DnD]],-1,0)&gt;0,OFFSET(TblMagic[[#This Row],[Active DnD]],-1,0)-1,0))</f>
        <v>0</v>
      </c>
      <c r="AJ68" s="57">
        <f ca="1">IF(TblMagic[[#This Row],[Killing Rage / Bloodrage / Crusade]],12,IF(OFFSET(TblMagic[[#This Row],[Active Warsong / Killing Rage / Bloodrage]],-1,0)&gt;0,OFFSET(TblMagic[[#This Row],[Active Warsong / Killing Rage / Bloodrage]],-1,0)-1,0))</f>
        <v>0</v>
      </c>
      <c r="AK68" s="57">
        <f ca="1">IF(TblMagic[[#This Row],[Gaia''s Blessing]],12,IF(OFFSET(TblMagic[[#This Row],[Active Gaia''s Blessing]],-1,0)&gt;0,OFFSET(TblMagic[[#This Row],[Active Gaia''s Blessing]],-1,0)-1,0))</f>
        <v>0</v>
      </c>
      <c r="AL68" s="57">
        <f ca="1">IF(TblMagic[[#This Row],[Howling]],12,IF(OFFSET(TblMagic[[#This Row],[Active Howling]],-1,0)&gt;0,OFFSET(TblMagic[[#This Row],[Active Howling]],-1,0)-1,0))</f>
        <v>0</v>
      </c>
      <c r="AM68" s="57">
        <f ca="1">IF(TblMagic[[#This Row],[Alchemist Frost]],12,IF(OFFSET(TblMagic[[#This Row],[Active Alch Frost]],-1,0)&gt;0,OFFSET(TblMagic[[#This Row],[Active Alch Frost]],-1,0)-1,0))</f>
        <v>0</v>
      </c>
      <c r="AN68" s="57">
        <f ca="1">IF(TblMagic[[#This Row],[Alchemists Flame]],12,IF(OFFSET(TblMagic[[#This Row],[Active Alchemists Flame]],-1,0)&gt;0,OFFSET(TblMagic[[#This Row],[Active Alchemists Flame]],-1,0)-1,0))</f>
        <v>0</v>
      </c>
      <c r="AO68" s="57">
        <f ca="1">IF(TblMagic[[#This Row],[Nightfall]],12,IF(OFFSET(TblMagic[[#This Row],[Active Nightfall]],-1,0)&gt;0,OFFSET(TblMagic[[#This Row],[Active Nightfall]],-1,0)-1,0))</f>
        <v>0</v>
      </c>
      <c r="AP68" s="57">
        <f ca="1">IF(TblMagic[[#This Row],[Favorable Terrain]],12,IF(OFFSET(TblMagic[[#This Row],[Active Favorable Terrain]],-1,0)&gt;0,OFFSET(TblMagic[[#This Row],[Active Favorable Terrain]],-1,0)-1,0))</f>
        <v>0</v>
      </c>
      <c r="AQ68" s="57">
        <f ca="1">IF(TblMagic[[#This Row],[Infernal Command]],12,IF(OFFSET(TblMagic[[#This Row],[Active Infernal Command]],-1,0)&gt;0,OFFSET(TblMagic[[#This Row],[Active Infernal Command]],-1,0)-1,0))</f>
        <v>0</v>
      </c>
    </row>
    <row r="69" spans="1:43" x14ac:dyDescent="0.2">
      <c r="A69" s="137">
        <f>TblRezone[[#This Row],[Hour]]</f>
        <v>66</v>
      </c>
      <c r="B69" s="154">
        <f ca="1">TblConstr[[#This Row],[Land]]</f>
        <v>110</v>
      </c>
      <c r="C69" s="94">
        <f ca="1">TblProd[[#This Row],[Mana]]</f>
        <v>0</v>
      </c>
      <c r="D69" s="156">
        <f ca="1">MIN(1,OFFSET(TblMagic[[#This Row],[Wiz str]],-1,0)+0.04+ROUNDDOWN(10*OFFSET(TblMili[[#This Row],[WG''s]],-1,0),0)+ tech_2_7*OFFSET(TblTech[[#This Row],[2-7]],-1,0) + tech_5_6*OFFSET(TblTech[[#This Row],[5-6]],-1,0) )-TblMagic[[#This Row],[Wiz str cost]]</f>
        <v>1</v>
      </c>
      <c r="E69" s="159">
        <f ca="1">OFFSET(TblMagic[[#This Row],[Time]],-1,0)+1/24</f>
        <v>46049.708333333176</v>
      </c>
      <c r="F69" s="156">
        <f ca="1">TblImps[[#This Row],[Population]]</f>
        <v>1</v>
      </c>
      <c r="G69" s="218"/>
      <c r="H69" s="218"/>
      <c r="I69" s="218"/>
      <c r="J69" s="218"/>
      <c r="K69" s="405"/>
      <c r="L69" s="218"/>
      <c r="M69" s="218"/>
      <c r="N69" s="218"/>
      <c r="O69" s="218"/>
      <c r="P69" s="218"/>
      <c r="Q69" s="218"/>
      <c r="R69" s="218"/>
      <c r="S69" s="218"/>
      <c r="T69" s="218"/>
      <c r="U69" s="218"/>
      <c r="V69" s="218"/>
      <c r="W69" s="218"/>
      <c r="X69" s="142"/>
      <c r="Y6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69" s="156">
        <f>SUMIF(TblMagic[[#This Row],[Gaia''s Watch]:[Useless spell]],1)*0.05</f>
        <v>0</v>
      </c>
      <c r="AA69" s="142"/>
      <c r="AB69" s="57">
        <f ca="1">IF(TblMagic[[#This Row],[Gaia''s Watch]],12,IF(OFFSET(TblMagic[[#This Row],[Active Gaia''s Watch]],-1,0)&gt;0,OFFSET(TblMagic[[#This Row],[Active Gaia''s Watch]],-1,0)-1,0))</f>
        <v>0</v>
      </c>
      <c r="AC69" s="57">
        <f ca="1">IF(TblMagic[[#This Row],[Mining Strength]],12,IF(OFFSET(TblMagic[[#This Row],[Active Mining Strength]],-1,0)&gt;0,OFFSET(TblMagic[[#This Row],[Active Mining Strength]],-1,0)-1,0))</f>
        <v>0</v>
      </c>
      <c r="AD69" s="57">
        <f ca="1">IF(TblMagic[[#This Row],[Ares Call]],12,IF(OFFSET(TblMagic[[#This Row],[Active Ares Call]],-1,0)&gt;0,OFFSET(TblMagic[[#This Row],[Active Ares Call]],-1,0)-1,0))</f>
        <v>0</v>
      </c>
      <c r="AE69" s="57">
        <f ca="1">IF(TblMagic[[#This Row],[Midas Touch]],12,IF(OFFSET(TblMagic[[#This Row],[Active Midas Touch]],-1,0)&gt;0,OFFSET(TblMagic[[#This Row],[Active Midas Touch]],-1,0)-1,0))</f>
        <v>0</v>
      </c>
      <c r="AF69" s="57">
        <f ca="1">IF(TblMagic[[#This Row],[Harmony]],12,IF(OFFSET(TblMagic[[#This Row],[Active Harmony]],-1,0)&gt;0,OFFSET(TblMagic[[#This Row],[Active Harmony]],-1,0)-1,0))</f>
        <v>0</v>
      </c>
      <c r="AG69" s="57">
        <f ca="1">IF(TblMagic[[#This Row],[Miner''s Sight]],12,IF(OFFSET(TblMagic[[#This Row],[Active Miner''s Sight]],-1,0)&gt;0,OFFSET(TblMagic[[#This Row],[Active Miner''s Sight]],-1,0)-1,0))</f>
        <v>0</v>
      </c>
      <c r="AH69" s="57">
        <f ca="1">IF(TblMagic[[#This Row],[Mechanical Genius]],12,IF(OFFSET(TblMagic[[#This Row],[Active Mechanical Genius]],-1,0)&gt;0,OFFSET(TblMagic[[#This Row],[Active Mechanical Genius]],-1,0)-1,0))</f>
        <v>0</v>
      </c>
      <c r="AI69" s="57">
        <f ca="1">IF(TblMagic[[#This Row],[Death and Decay]],12,IF(OFFSET(TblMagic[[#This Row],[Active DnD]],-1,0)&gt;0,OFFSET(TblMagic[[#This Row],[Active DnD]],-1,0)-1,0))</f>
        <v>0</v>
      </c>
      <c r="AJ69" s="57">
        <f ca="1">IF(TblMagic[[#This Row],[Killing Rage / Bloodrage / Crusade]],12,IF(OFFSET(TblMagic[[#This Row],[Active Warsong / Killing Rage / Bloodrage]],-1,0)&gt;0,OFFSET(TblMagic[[#This Row],[Active Warsong / Killing Rage / Bloodrage]],-1,0)-1,0))</f>
        <v>0</v>
      </c>
      <c r="AK69" s="57">
        <f ca="1">IF(TblMagic[[#This Row],[Gaia''s Blessing]],12,IF(OFFSET(TblMagic[[#This Row],[Active Gaia''s Blessing]],-1,0)&gt;0,OFFSET(TblMagic[[#This Row],[Active Gaia''s Blessing]],-1,0)-1,0))</f>
        <v>0</v>
      </c>
      <c r="AL69" s="57">
        <f ca="1">IF(TblMagic[[#This Row],[Howling]],12,IF(OFFSET(TblMagic[[#This Row],[Active Howling]],-1,0)&gt;0,OFFSET(TblMagic[[#This Row],[Active Howling]],-1,0)-1,0))</f>
        <v>0</v>
      </c>
      <c r="AM69" s="57">
        <f ca="1">IF(TblMagic[[#This Row],[Alchemist Frost]],12,IF(OFFSET(TblMagic[[#This Row],[Active Alch Frost]],-1,0)&gt;0,OFFSET(TblMagic[[#This Row],[Active Alch Frost]],-1,0)-1,0))</f>
        <v>0</v>
      </c>
      <c r="AN69" s="57">
        <f ca="1">IF(TblMagic[[#This Row],[Alchemists Flame]],12,IF(OFFSET(TblMagic[[#This Row],[Active Alchemists Flame]],-1,0)&gt;0,OFFSET(TblMagic[[#This Row],[Active Alchemists Flame]],-1,0)-1,0))</f>
        <v>0</v>
      </c>
      <c r="AO69" s="57">
        <f ca="1">IF(TblMagic[[#This Row],[Nightfall]],12,IF(OFFSET(TblMagic[[#This Row],[Active Nightfall]],-1,0)&gt;0,OFFSET(TblMagic[[#This Row],[Active Nightfall]],-1,0)-1,0))</f>
        <v>0</v>
      </c>
      <c r="AP69" s="57">
        <f ca="1">IF(TblMagic[[#This Row],[Favorable Terrain]],12,IF(OFFSET(TblMagic[[#This Row],[Active Favorable Terrain]],-1,0)&gt;0,OFFSET(TblMagic[[#This Row],[Active Favorable Terrain]],-1,0)-1,0))</f>
        <v>0</v>
      </c>
      <c r="AQ69" s="57">
        <f ca="1">IF(TblMagic[[#This Row],[Infernal Command]],12,IF(OFFSET(TblMagic[[#This Row],[Active Infernal Command]],-1,0)&gt;0,OFFSET(TblMagic[[#This Row],[Active Infernal Command]],-1,0)-1,0))</f>
        <v>0</v>
      </c>
    </row>
    <row r="70" spans="1:43" x14ac:dyDescent="0.2">
      <c r="A70" s="137">
        <f>TblRezone[[#This Row],[Hour]]</f>
        <v>67</v>
      </c>
      <c r="B70" s="154">
        <f ca="1">TblConstr[[#This Row],[Land]]</f>
        <v>110</v>
      </c>
      <c r="C70" s="94">
        <f ca="1">TblProd[[#This Row],[Mana]]</f>
        <v>0</v>
      </c>
      <c r="D70" s="156">
        <f ca="1">MIN(1,OFFSET(TblMagic[[#This Row],[Wiz str]],-1,0)+0.04+ROUNDDOWN(10*OFFSET(TblMili[[#This Row],[WG''s]],-1,0),0)+ tech_2_7*OFFSET(TblTech[[#This Row],[2-7]],-1,0) + tech_5_6*OFFSET(TblTech[[#This Row],[5-6]],-1,0) )-TblMagic[[#This Row],[Wiz str cost]]</f>
        <v>1</v>
      </c>
      <c r="E70" s="159">
        <f ca="1">OFFSET(TblMagic[[#This Row],[Time]],-1,0)+1/24</f>
        <v>46049.74999999984</v>
      </c>
      <c r="F70" s="156">
        <f ca="1">TblImps[[#This Row],[Population]]</f>
        <v>1</v>
      </c>
      <c r="G70" s="218"/>
      <c r="H70" s="218"/>
      <c r="I70" s="218"/>
      <c r="J70" s="218"/>
      <c r="K70" s="405"/>
      <c r="L70" s="218"/>
      <c r="M70" s="218"/>
      <c r="N70" s="218"/>
      <c r="O70" s="218"/>
      <c r="P70" s="218"/>
      <c r="Q70" s="218"/>
      <c r="R70" s="218"/>
      <c r="S70" s="218"/>
      <c r="T70" s="218"/>
      <c r="U70" s="218"/>
      <c r="V70" s="218"/>
      <c r="W70" s="218"/>
      <c r="X70" s="142"/>
      <c r="Y7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0" s="156">
        <f>SUMIF(TblMagic[[#This Row],[Gaia''s Watch]:[Useless spell]],1)*0.05</f>
        <v>0</v>
      </c>
      <c r="AA70" s="142"/>
      <c r="AB70" s="57">
        <f ca="1">IF(TblMagic[[#This Row],[Gaia''s Watch]],12,IF(OFFSET(TblMagic[[#This Row],[Active Gaia''s Watch]],-1,0)&gt;0,OFFSET(TblMagic[[#This Row],[Active Gaia''s Watch]],-1,0)-1,0))</f>
        <v>0</v>
      </c>
      <c r="AC70" s="57">
        <f ca="1">IF(TblMagic[[#This Row],[Mining Strength]],12,IF(OFFSET(TblMagic[[#This Row],[Active Mining Strength]],-1,0)&gt;0,OFFSET(TblMagic[[#This Row],[Active Mining Strength]],-1,0)-1,0))</f>
        <v>0</v>
      </c>
      <c r="AD70" s="57">
        <f ca="1">IF(TblMagic[[#This Row],[Ares Call]],12,IF(OFFSET(TblMagic[[#This Row],[Active Ares Call]],-1,0)&gt;0,OFFSET(TblMagic[[#This Row],[Active Ares Call]],-1,0)-1,0))</f>
        <v>0</v>
      </c>
      <c r="AE70" s="57">
        <f ca="1">IF(TblMagic[[#This Row],[Midas Touch]],12,IF(OFFSET(TblMagic[[#This Row],[Active Midas Touch]],-1,0)&gt;0,OFFSET(TblMagic[[#This Row],[Active Midas Touch]],-1,0)-1,0))</f>
        <v>0</v>
      </c>
      <c r="AF70" s="57">
        <f ca="1">IF(TblMagic[[#This Row],[Harmony]],12,IF(OFFSET(TblMagic[[#This Row],[Active Harmony]],-1,0)&gt;0,OFFSET(TblMagic[[#This Row],[Active Harmony]],-1,0)-1,0))</f>
        <v>0</v>
      </c>
      <c r="AG70" s="57">
        <f ca="1">IF(TblMagic[[#This Row],[Miner''s Sight]],12,IF(OFFSET(TblMagic[[#This Row],[Active Miner''s Sight]],-1,0)&gt;0,OFFSET(TblMagic[[#This Row],[Active Miner''s Sight]],-1,0)-1,0))</f>
        <v>0</v>
      </c>
      <c r="AH70" s="57">
        <f ca="1">IF(TblMagic[[#This Row],[Mechanical Genius]],12,IF(OFFSET(TblMagic[[#This Row],[Active Mechanical Genius]],-1,0)&gt;0,OFFSET(TblMagic[[#This Row],[Active Mechanical Genius]],-1,0)-1,0))</f>
        <v>0</v>
      </c>
      <c r="AI70" s="57">
        <f ca="1">IF(TblMagic[[#This Row],[Death and Decay]],12,IF(OFFSET(TblMagic[[#This Row],[Active DnD]],-1,0)&gt;0,OFFSET(TblMagic[[#This Row],[Active DnD]],-1,0)-1,0))</f>
        <v>0</v>
      </c>
      <c r="AJ70" s="57">
        <f ca="1">IF(TblMagic[[#This Row],[Killing Rage / Bloodrage / Crusade]],12,IF(OFFSET(TblMagic[[#This Row],[Active Warsong / Killing Rage / Bloodrage]],-1,0)&gt;0,OFFSET(TblMagic[[#This Row],[Active Warsong / Killing Rage / Bloodrage]],-1,0)-1,0))</f>
        <v>0</v>
      </c>
      <c r="AK70" s="57">
        <f ca="1">IF(TblMagic[[#This Row],[Gaia''s Blessing]],12,IF(OFFSET(TblMagic[[#This Row],[Active Gaia''s Blessing]],-1,0)&gt;0,OFFSET(TblMagic[[#This Row],[Active Gaia''s Blessing]],-1,0)-1,0))</f>
        <v>0</v>
      </c>
      <c r="AL70" s="57">
        <f ca="1">IF(TblMagic[[#This Row],[Howling]],12,IF(OFFSET(TblMagic[[#This Row],[Active Howling]],-1,0)&gt;0,OFFSET(TblMagic[[#This Row],[Active Howling]],-1,0)-1,0))</f>
        <v>0</v>
      </c>
      <c r="AM70" s="57">
        <f ca="1">IF(TblMagic[[#This Row],[Alchemist Frost]],12,IF(OFFSET(TblMagic[[#This Row],[Active Alch Frost]],-1,0)&gt;0,OFFSET(TblMagic[[#This Row],[Active Alch Frost]],-1,0)-1,0))</f>
        <v>0</v>
      </c>
      <c r="AN70" s="57">
        <f ca="1">IF(TblMagic[[#This Row],[Alchemists Flame]],12,IF(OFFSET(TblMagic[[#This Row],[Active Alchemists Flame]],-1,0)&gt;0,OFFSET(TblMagic[[#This Row],[Active Alchemists Flame]],-1,0)-1,0))</f>
        <v>0</v>
      </c>
      <c r="AO70" s="57">
        <f ca="1">IF(TblMagic[[#This Row],[Nightfall]],12,IF(OFFSET(TblMagic[[#This Row],[Active Nightfall]],-1,0)&gt;0,OFFSET(TblMagic[[#This Row],[Active Nightfall]],-1,0)-1,0))</f>
        <v>0</v>
      </c>
      <c r="AP70" s="57">
        <f ca="1">IF(TblMagic[[#This Row],[Favorable Terrain]],12,IF(OFFSET(TblMagic[[#This Row],[Active Favorable Terrain]],-1,0)&gt;0,OFFSET(TblMagic[[#This Row],[Active Favorable Terrain]],-1,0)-1,0))</f>
        <v>0</v>
      </c>
      <c r="AQ70" s="57">
        <f ca="1">IF(TblMagic[[#This Row],[Infernal Command]],12,IF(OFFSET(TblMagic[[#This Row],[Active Infernal Command]],-1,0)&gt;0,OFFSET(TblMagic[[#This Row],[Active Infernal Command]],-1,0)-1,0))</f>
        <v>0</v>
      </c>
    </row>
    <row r="71" spans="1:43" x14ac:dyDescent="0.2">
      <c r="A71" s="137">
        <f>TblRezone[[#This Row],[Hour]]</f>
        <v>68</v>
      </c>
      <c r="B71" s="154">
        <f ca="1">TblConstr[[#This Row],[Land]]</f>
        <v>110</v>
      </c>
      <c r="C71" s="94">
        <f ca="1">TblProd[[#This Row],[Mana]]</f>
        <v>0</v>
      </c>
      <c r="D71" s="156">
        <f ca="1">MIN(1,OFFSET(TblMagic[[#This Row],[Wiz str]],-1,0)+0.04+ROUNDDOWN(10*OFFSET(TblMili[[#This Row],[WG''s]],-1,0),0)+ tech_2_7*OFFSET(TblTech[[#This Row],[2-7]],-1,0) + tech_5_6*OFFSET(TblTech[[#This Row],[5-6]],-1,0) )-TblMagic[[#This Row],[Wiz str cost]]</f>
        <v>1</v>
      </c>
      <c r="E71" s="159">
        <f ca="1">OFFSET(TblMagic[[#This Row],[Time]],-1,0)+1/24</f>
        <v>46049.791666666504</v>
      </c>
      <c r="F71" s="156">
        <f ca="1">TblImps[[#This Row],[Population]]</f>
        <v>1</v>
      </c>
      <c r="G71" s="218"/>
      <c r="H71" s="218"/>
      <c r="I71" s="218"/>
      <c r="J71" s="218"/>
      <c r="K71" s="405"/>
      <c r="L71" s="218"/>
      <c r="M71" s="218"/>
      <c r="N71" s="218"/>
      <c r="O71" s="218"/>
      <c r="P71" s="218"/>
      <c r="Q71" s="218"/>
      <c r="R71" s="218"/>
      <c r="S71" s="218"/>
      <c r="T71" s="218"/>
      <c r="U71" s="218"/>
      <c r="V71" s="218"/>
      <c r="W71" s="218"/>
      <c r="X71" s="142"/>
      <c r="Y7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1" s="156">
        <f>SUMIF(TblMagic[[#This Row],[Gaia''s Watch]:[Useless spell]],1)*0.05</f>
        <v>0</v>
      </c>
      <c r="AA71" s="142"/>
      <c r="AB71" s="57">
        <f ca="1">IF(TblMagic[[#This Row],[Gaia''s Watch]],12,IF(OFFSET(TblMagic[[#This Row],[Active Gaia''s Watch]],-1,0)&gt;0,OFFSET(TblMagic[[#This Row],[Active Gaia''s Watch]],-1,0)-1,0))</f>
        <v>0</v>
      </c>
      <c r="AC71" s="57">
        <f ca="1">IF(TblMagic[[#This Row],[Mining Strength]],12,IF(OFFSET(TblMagic[[#This Row],[Active Mining Strength]],-1,0)&gt;0,OFFSET(TblMagic[[#This Row],[Active Mining Strength]],-1,0)-1,0))</f>
        <v>0</v>
      </c>
      <c r="AD71" s="57">
        <f ca="1">IF(TblMagic[[#This Row],[Ares Call]],12,IF(OFFSET(TblMagic[[#This Row],[Active Ares Call]],-1,0)&gt;0,OFFSET(TblMagic[[#This Row],[Active Ares Call]],-1,0)-1,0))</f>
        <v>0</v>
      </c>
      <c r="AE71" s="57">
        <f ca="1">IF(TblMagic[[#This Row],[Midas Touch]],12,IF(OFFSET(TblMagic[[#This Row],[Active Midas Touch]],-1,0)&gt;0,OFFSET(TblMagic[[#This Row],[Active Midas Touch]],-1,0)-1,0))</f>
        <v>0</v>
      </c>
      <c r="AF71" s="57">
        <f ca="1">IF(TblMagic[[#This Row],[Harmony]],12,IF(OFFSET(TblMagic[[#This Row],[Active Harmony]],-1,0)&gt;0,OFFSET(TblMagic[[#This Row],[Active Harmony]],-1,0)-1,0))</f>
        <v>0</v>
      </c>
      <c r="AG71" s="57">
        <f ca="1">IF(TblMagic[[#This Row],[Miner''s Sight]],12,IF(OFFSET(TblMagic[[#This Row],[Active Miner''s Sight]],-1,0)&gt;0,OFFSET(TblMagic[[#This Row],[Active Miner''s Sight]],-1,0)-1,0))</f>
        <v>0</v>
      </c>
      <c r="AH71" s="57">
        <f ca="1">IF(TblMagic[[#This Row],[Mechanical Genius]],12,IF(OFFSET(TblMagic[[#This Row],[Active Mechanical Genius]],-1,0)&gt;0,OFFSET(TblMagic[[#This Row],[Active Mechanical Genius]],-1,0)-1,0))</f>
        <v>0</v>
      </c>
      <c r="AI71" s="57">
        <f ca="1">IF(TblMagic[[#This Row],[Death and Decay]],12,IF(OFFSET(TblMagic[[#This Row],[Active DnD]],-1,0)&gt;0,OFFSET(TblMagic[[#This Row],[Active DnD]],-1,0)-1,0))</f>
        <v>0</v>
      </c>
      <c r="AJ71" s="57">
        <f ca="1">IF(TblMagic[[#This Row],[Killing Rage / Bloodrage / Crusade]],12,IF(OFFSET(TblMagic[[#This Row],[Active Warsong / Killing Rage / Bloodrage]],-1,0)&gt;0,OFFSET(TblMagic[[#This Row],[Active Warsong / Killing Rage / Bloodrage]],-1,0)-1,0))</f>
        <v>0</v>
      </c>
      <c r="AK71" s="57">
        <f ca="1">IF(TblMagic[[#This Row],[Gaia''s Blessing]],12,IF(OFFSET(TblMagic[[#This Row],[Active Gaia''s Blessing]],-1,0)&gt;0,OFFSET(TblMagic[[#This Row],[Active Gaia''s Blessing]],-1,0)-1,0))</f>
        <v>0</v>
      </c>
      <c r="AL71" s="57">
        <f ca="1">IF(TblMagic[[#This Row],[Howling]],12,IF(OFFSET(TblMagic[[#This Row],[Active Howling]],-1,0)&gt;0,OFFSET(TblMagic[[#This Row],[Active Howling]],-1,0)-1,0))</f>
        <v>0</v>
      </c>
      <c r="AM71" s="57">
        <f ca="1">IF(TblMagic[[#This Row],[Alchemist Frost]],12,IF(OFFSET(TblMagic[[#This Row],[Active Alch Frost]],-1,0)&gt;0,OFFSET(TblMagic[[#This Row],[Active Alch Frost]],-1,0)-1,0))</f>
        <v>0</v>
      </c>
      <c r="AN71" s="57">
        <f ca="1">IF(TblMagic[[#This Row],[Alchemists Flame]],12,IF(OFFSET(TblMagic[[#This Row],[Active Alchemists Flame]],-1,0)&gt;0,OFFSET(TblMagic[[#This Row],[Active Alchemists Flame]],-1,0)-1,0))</f>
        <v>0</v>
      </c>
      <c r="AO71" s="57">
        <f ca="1">IF(TblMagic[[#This Row],[Nightfall]],12,IF(OFFSET(TblMagic[[#This Row],[Active Nightfall]],-1,0)&gt;0,OFFSET(TblMagic[[#This Row],[Active Nightfall]],-1,0)-1,0))</f>
        <v>0</v>
      </c>
      <c r="AP71" s="57">
        <f ca="1">IF(TblMagic[[#This Row],[Favorable Terrain]],12,IF(OFFSET(TblMagic[[#This Row],[Active Favorable Terrain]],-1,0)&gt;0,OFFSET(TblMagic[[#This Row],[Active Favorable Terrain]],-1,0)-1,0))</f>
        <v>0</v>
      </c>
      <c r="AQ71" s="57">
        <f ca="1">IF(TblMagic[[#This Row],[Infernal Command]],12,IF(OFFSET(TblMagic[[#This Row],[Active Infernal Command]],-1,0)&gt;0,OFFSET(TblMagic[[#This Row],[Active Infernal Command]],-1,0)-1,0))</f>
        <v>0</v>
      </c>
    </row>
    <row r="72" spans="1:43" x14ac:dyDescent="0.2">
      <c r="A72" s="137">
        <f>TblRezone[[#This Row],[Hour]]</f>
        <v>69</v>
      </c>
      <c r="B72" s="154">
        <f ca="1">TblConstr[[#This Row],[Land]]</f>
        <v>110</v>
      </c>
      <c r="C72" s="94">
        <f ca="1">TblProd[[#This Row],[Mana]]</f>
        <v>0</v>
      </c>
      <c r="D72" s="156">
        <f ca="1">MIN(1,OFFSET(TblMagic[[#This Row],[Wiz str]],-1,0)+0.04+ROUNDDOWN(10*OFFSET(TblMili[[#This Row],[WG''s]],-1,0),0)+ tech_2_7*OFFSET(TblTech[[#This Row],[2-7]],-1,0) + tech_5_6*OFFSET(TblTech[[#This Row],[5-6]],-1,0) )-TblMagic[[#This Row],[Wiz str cost]]</f>
        <v>1</v>
      </c>
      <c r="E72" s="159">
        <f ca="1">OFFSET(TblMagic[[#This Row],[Time]],-1,0)+1/24</f>
        <v>46049.833333333168</v>
      </c>
      <c r="F72" s="156">
        <f ca="1">TblImps[[#This Row],[Population]]</f>
        <v>1</v>
      </c>
      <c r="G72" s="218"/>
      <c r="H72" s="218"/>
      <c r="I72" s="218"/>
      <c r="J72" s="218"/>
      <c r="K72" s="405"/>
      <c r="L72" s="218"/>
      <c r="M72" s="218"/>
      <c r="N72" s="218"/>
      <c r="O72" s="218"/>
      <c r="P72" s="218"/>
      <c r="Q72" s="218"/>
      <c r="R72" s="218"/>
      <c r="S72" s="218"/>
      <c r="T72" s="218"/>
      <c r="U72" s="218"/>
      <c r="V72" s="218"/>
      <c r="W72" s="218"/>
      <c r="X72" s="142"/>
      <c r="Y7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2" s="156">
        <f>SUMIF(TblMagic[[#This Row],[Gaia''s Watch]:[Useless spell]],1)*0.05</f>
        <v>0</v>
      </c>
      <c r="AA72" s="142"/>
      <c r="AB72" s="57">
        <f ca="1">IF(TblMagic[[#This Row],[Gaia''s Watch]],12,IF(OFFSET(TblMagic[[#This Row],[Active Gaia''s Watch]],-1,0)&gt;0,OFFSET(TblMagic[[#This Row],[Active Gaia''s Watch]],-1,0)-1,0))</f>
        <v>0</v>
      </c>
      <c r="AC72" s="57">
        <f ca="1">IF(TblMagic[[#This Row],[Mining Strength]],12,IF(OFFSET(TblMagic[[#This Row],[Active Mining Strength]],-1,0)&gt;0,OFFSET(TblMagic[[#This Row],[Active Mining Strength]],-1,0)-1,0))</f>
        <v>0</v>
      </c>
      <c r="AD72" s="57">
        <f ca="1">IF(TblMagic[[#This Row],[Ares Call]],12,IF(OFFSET(TblMagic[[#This Row],[Active Ares Call]],-1,0)&gt;0,OFFSET(TblMagic[[#This Row],[Active Ares Call]],-1,0)-1,0))</f>
        <v>0</v>
      </c>
      <c r="AE72" s="57">
        <f ca="1">IF(TblMagic[[#This Row],[Midas Touch]],12,IF(OFFSET(TblMagic[[#This Row],[Active Midas Touch]],-1,0)&gt;0,OFFSET(TblMagic[[#This Row],[Active Midas Touch]],-1,0)-1,0))</f>
        <v>0</v>
      </c>
      <c r="AF72" s="57">
        <f ca="1">IF(TblMagic[[#This Row],[Harmony]],12,IF(OFFSET(TblMagic[[#This Row],[Active Harmony]],-1,0)&gt;0,OFFSET(TblMagic[[#This Row],[Active Harmony]],-1,0)-1,0))</f>
        <v>0</v>
      </c>
      <c r="AG72" s="57">
        <f ca="1">IF(TblMagic[[#This Row],[Miner''s Sight]],12,IF(OFFSET(TblMagic[[#This Row],[Active Miner''s Sight]],-1,0)&gt;0,OFFSET(TblMagic[[#This Row],[Active Miner''s Sight]],-1,0)-1,0))</f>
        <v>0</v>
      </c>
      <c r="AH72" s="57">
        <f ca="1">IF(TblMagic[[#This Row],[Mechanical Genius]],12,IF(OFFSET(TblMagic[[#This Row],[Active Mechanical Genius]],-1,0)&gt;0,OFFSET(TblMagic[[#This Row],[Active Mechanical Genius]],-1,0)-1,0))</f>
        <v>0</v>
      </c>
      <c r="AI72" s="57">
        <f ca="1">IF(TblMagic[[#This Row],[Death and Decay]],12,IF(OFFSET(TblMagic[[#This Row],[Active DnD]],-1,0)&gt;0,OFFSET(TblMagic[[#This Row],[Active DnD]],-1,0)-1,0))</f>
        <v>0</v>
      </c>
      <c r="AJ72" s="57">
        <f ca="1">IF(TblMagic[[#This Row],[Killing Rage / Bloodrage / Crusade]],12,IF(OFFSET(TblMagic[[#This Row],[Active Warsong / Killing Rage / Bloodrage]],-1,0)&gt;0,OFFSET(TblMagic[[#This Row],[Active Warsong / Killing Rage / Bloodrage]],-1,0)-1,0))</f>
        <v>0</v>
      </c>
      <c r="AK72" s="57">
        <f ca="1">IF(TblMagic[[#This Row],[Gaia''s Blessing]],12,IF(OFFSET(TblMagic[[#This Row],[Active Gaia''s Blessing]],-1,0)&gt;0,OFFSET(TblMagic[[#This Row],[Active Gaia''s Blessing]],-1,0)-1,0))</f>
        <v>0</v>
      </c>
      <c r="AL72" s="57">
        <f ca="1">IF(TblMagic[[#This Row],[Howling]],12,IF(OFFSET(TblMagic[[#This Row],[Active Howling]],-1,0)&gt;0,OFFSET(TblMagic[[#This Row],[Active Howling]],-1,0)-1,0))</f>
        <v>0</v>
      </c>
      <c r="AM72" s="57">
        <f ca="1">IF(TblMagic[[#This Row],[Alchemist Frost]],12,IF(OFFSET(TblMagic[[#This Row],[Active Alch Frost]],-1,0)&gt;0,OFFSET(TblMagic[[#This Row],[Active Alch Frost]],-1,0)-1,0))</f>
        <v>0</v>
      </c>
      <c r="AN72" s="57">
        <f ca="1">IF(TblMagic[[#This Row],[Alchemists Flame]],12,IF(OFFSET(TblMagic[[#This Row],[Active Alchemists Flame]],-1,0)&gt;0,OFFSET(TblMagic[[#This Row],[Active Alchemists Flame]],-1,0)-1,0))</f>
        <v>0</v>
      </c>
      <c r="AO72" s="57">
        <f ca="1">IF(TblMagic[[#This Row],[Nightfall]],12,IF(OFFSET(TblMagic[[#This Row],[Active Nightfall]],-1,0)&gt;0,OFFSET(TblMagic[[#This Row],[Active Nightfall]],-1,0)-1,0))</f>
        <v>0</v>
      </c>
      <c r="AP72" s="57">
        <f ca="1">IF(TblMagic[[#This Row],[Favorable Terrain]],12,IF(OFFSET(TblMagic[[#This Row],[Active Favorable Terrain]],-1,0)&gt;0,OFFSET(TblMagic[[#This Row],[Active Favorable Terrain]],-1,0)-1,0))</f>
        <v>0</v>
      </c>
      <c r="AQ72" s="57">
        <f ca="1">IF(TblMagic[[#This Row],[Infernal Command]],12,IF(OFFSET(TblMagic[[#This Row],[Active Infernal Command]],-1,0)&gt;0,OFFSET(TblMagic[[#This Row],[Active Infernal Command]],-1,0)-1,0))</f>
        <v>0</v>
      </c>
    </row>
    <row r="73" spans="1:43" x14ac:dyDescent="0.2">
      <c r="A73" s="137">
        <f>TblRezone[[#This Row],[Hour]]</f>
        <v>70</v>
      </c>
      <c r="B73" s="154">
        <f ca="1">TblConstr[[#This Row],[Land]]</f>
        <v>110</v>
      </c>
      <c r="C73" s="94">
        <f ca="1">TblProd[[#This Row],[Mana]]</f>
        <v>0</v>
      </c>
      <c r="D73" s="156">
        <f ca="1">MIN(1,OFFSET(TblMagic[[#This Row],[Wiz str]],-1,0)+0.04+ROUNDDOWN(10*OFFSET(TblMili[[#This Row],[WG''s]],-1,0),0)+ tech_2_7*OFFSET(TblTech[[#This Row],[2-7]],-1,0) + tech_5_6*OFFSET(TblTech[[#This Row],[5-6]],-1,0) )-TblMagic[[#This Row],[Wiz str cost]]</f>
        <v>1</v>
      </c>
      <c r="E73" s="159">
        <f ca="1">OFFSET(TblMagic[[#This Row],[Time]],-1,0)+1/24</f>
        <v>46049.874999999833</v>
      </c>
      <c r="F73" s="156">
        <f ca="1">TblImps[[#This Row],[Population]]</f>
        <v>1</v>
      </c>
      <c r="G73" s="218"/>
      <c r="H73" s="218"/>
      <c r="I73" s="218"/>
      <c r="J73" s="218"/>
      <c r="K73" s="405"/>
      <c r="L73" s="218"/>
      <c r="M73" s="218"/>
      <c r="N73" s="218"/>
      <c r="O73" s="218"/>
      <c r="P73" s="218"/>
      <c r="Q73" s="218"/>
      <c r="R73" s="218"/>
      <c r="S73" s="218"/>
      <c r="T73" s="218"/>
      <c r="U73" s="218"/>
      <c r="V73" s="218"/>
      <c r="W73" s="218"/>
      <c r="X73" s="142"/>
      <c r="Y7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3" s="156">
        <f>SUMIF(TblMagic[[#This Row],[Gaia''s Watch]:[Useless spell]],1)*0.05</f>
        <v>0</v>
      </c>
      <c r="AA73" s="142"/>
      <c r="AB73" s="57">
        <f ca="1">IF(TblMagic[[#This Row],[Gaia''s Watch]],12,IF(OFFSET(TblMagic[[#This Row],[Active Gaia''s Watch]],-1,0)&gt;0,OFFSET(TblMagic[[#This Row],[Active Gaia''s Watch]],-1,0)-1,0))</f>
        <v>0</v>
      </c>
      <c r="AC73" s="57">
        <f ca="1">IF(TblMagic[[#This Row],[Mining Strength]],12,IF(OFFSET(TblMagic[[#This Row],[Active Mining Strength]],-1,0)&gt;0,OFFSET(TblMagic[[#This Row],[Active Mining Strength]],-1,0)-1,0))</f>
        <v>0</v>
      </c>
      <c r="AD73" s="57">
        <f ca="1">IF(TblMagic[[#This Row],[Ares Call]],12,IF(OFFSET(TblMagic[[#This Row],[Active Ares Call]],-1,0)&gt;0,OFFSET(TblMagic[[#This Row],[Active Ares Call]],-1,0)-1,0))</f>
        <v>0</v>
      </c>
      <c r="AE73" s="57">
        <f ca="1">IF(TblMagic[[#This Row],[Midas Touch]],12,IF(OFFSET(TblMagic[[#This Row],[Active Midas Touch]],-1,0)&gt;0,OFFSET(TblMagic[[#This Row],[Active Midas Touch]],-1,0)-1,0))</f>
        <v>0</v>
      </c>
      <c r="AF73" s="57">
        <f ca="1">IF(TblMagic[[#This Row],[Harmony]],12,IF(OFFSET(TblMagic[[#This Row],[Active Harmony]],-1,0)&gt;0,OFFSET(TblMagic[[#This Row],[Active Harmony]],-1,0)-1,0))</f>
        <v>0</v>
      </c>
      <c r="AG73" s="57">
        <f ca="1">IF(TblMagic[[#This Row],[Miner''s Sight]],12,IF(OFFSET(TblMagic[[#This Row],[Active Miner''s Sight]],-1,0)&gt;0,OFFSET(TblMagic[[#This Row],[Active Miner''s Sight]],-1,0)-1,0))</f>
        <v>0</v>
      </c>
      <c r="AH73" s="57">
        <f ca="1">IF(TblMagic[[#This Row],[Mechanical Genius]],12,IF(OFFSET(TblMagic[[#This Row],[Active Mechanical Genius]],-1,0)&gt;0,OFFSET(TblMagic[[#This Row],[Active Mechanical Genius]],-1,0)-1,0))</f>
        <v>0</v>
      </c>
      <c r="AI73" s="57">
        <f ca="1">IF(TblMagic[[#This Row],[Death and Decay]],12,IF(OFFSET(TblMagic[[#This Row],[Active DnD]],-1,0)&gt;0,OFFSET(TblMagic[[#This Row],[Active DnD]],-1,0)-1,0))</f>
        <v>0</v>
      </c>
      <c r="AJ73" s="57">
        <f ca="1">IF(TblMagic[[#This Row],[Killing Rage / Bloodrage / Crusade]],12,IF(OFFSET(TblMagic[[#This Row],[Active Warsong / Killing Rage / Bloodrage]],-1,0)&gt;0,OFFSET(TblMagic[[#This Row],[Active Warsong / Killing Rage / Bloodrage]],-1,0)-1,0))</f>
        <v>0</v>
      </c>
      <c r="AK73" s="57">
        <f ca="1">IF(TblMagic[[#This Row],[Gaia''s Blessing]],12,IF(OFFSET(TblMagic[[#This Row],[Active Gaia''s Blessing]],-1,0)&gt;0,OFFSET(TblMagic[[#This Row],[Active Gaia''s Blessing]],-1,0)-1,0))</f>
        <v>0</v>
      </c>
      <c r="AL73" s="57">
        <f ca="1">IF(TblMagic[[#This Row],[Howling]],12,IF(OFFSET(TblMagic[[#This Row],[Active Howling]],-1,0)&gt;0,OFFSET(TblMagic[[#This Row],[Active Howling]],-1,0)-1,0))</f>
        <v>0</v>
      </c>
      <c r="AM73" s="57">
        <f ca="1">IF(TblMagic[[#This Row],[Alchemist Frost]],12,IF(OFFSET(TblMagic[[#This Row],[Active Alch Frost]],-1,0)&gt;0,OFFSET(TblMagic[[#This Row],[Active Alch Frost]],-1,0)-1,0))</f>
        <v>0</v>
      </c>
      <c r="AN73" s="57">
        <f ca="1">IF(TblMagic[[#This Row],[Alchemists Flame]],12,IF(OFFSET(TblMagic[[#This Row],[Active Alchemists Flame]],-1,0)&gt;0,OFFSET(TblMagic[[#This Row],[Active Alchemists Flame]],-1,0)-1,0))</f>
        <v>0</v>
      </c>
      <c r="AO73" s="57">
        <f ca="1">IF(TblMagic[[#This Row],[Nightfall]],12,IF(OFFSET(TblMagic[[#This Row],[Active Nightfall]],-1,0)&gt;0,OFFSET(TblMagic[[#This Row],[Active Nightfall]],-1,0)-1,0))</f>
        <v>0</v>
      </c>
      <c r="AP73" s="57">
        <f ca="1">IF(TblMagic[[#This Row],[Favorable Terrain]],12,IF(OFFSET(TblMagic[[#This Row],[Active Favorable Terrain]],-1,0)&gt;0,OFFSET(TblMagic[[#This Row],[Active Favorable Terrain]],-1,0)-1,0))</f>
        <v>0</v>
      </c>
      <c r="AQ73" s="57">
        <f ca="1">IF(TblMagic[[#This Row],[Infernal Command]],12,IF(OFFSET(TblMagic[[#This Row],[Active Infernal Command]],-1,0)&gt;0,OFFSET(TblMagic[[#This Row],[Active Infernal Command]],-1,0)-1,0))</f>
        <v>0</v>
      </c>
    </row>
    <row r="74" spans="1:43" x14ac:dyDescent="0.2">
      <c r="A74" s="137">
        <f>TblRezone[[#This Row],[Hour]]</f>
        <v>71</v>
      </c>
      <c r="B74" s="154">
        <f ca="1">TblConstr[[#This Row],[Land]]</f>
        <v>110</v>
      </c>
      <c r="C74" s="94">
        <f ca="1">TblProd[[#This Row],[Mana]]</f>
        <v>0</v>
      </c>
      <c r="D74" s="156">
        <f ca="1">MIN(1,OFFSET(TblMagic[[#This Row],[Wiz str]],-1,0)+0.04+ROUNDDOWN(10*OFFSET(TblMili[[#This Row],[WG''s]],-1,0),0)+ tech_2_7*OFFSET(TblTech[[#This Row],[2-7]],-1,0) + tech_5_6*OFFSET(TblTech[[#This Row],[5-6]],-1,0) )-TblMagic[[#This Row],[Wiz str cost]]</f>
        <v>1</v>
      </c>
      <c r="E74" s="159">
        <f ca="1">OFFSET(TblMagic[[#This Row],[Time]],-1,0)+1/24</f>
        <v>46049.916666666497</v>
      </c>
      <c r="F74" s="156">
        <f ca="1">TblImps[[#This Row],[Population]]</f>
        <v>1</v>
      </c>
      <c r="G74" s="218"/>
      <c r="H74" s="218"/>
      <c r="I74" s="218"/>
      <c r="J74" s="218"/>
      <c r="K74" s="405"/>
      <c r="L74" s="218"/>
      <c r="M74" s="218"/>
      <c r="N74" s="218"/>
      <c r="O74" s="218"/>
      <c r="P74" s="218"/>
      <c r="Q74" s="218"/>
      <c r="R74" s="218"/>
      <c r="S74" s="218"/>
      <c r="T74" s="218"/>
      <c r="U74" s="218"/>
      <c r="V74" s="218"/>
      <c r="W74" s="218"/>
      <c r="X74" s="142"/>
      <c r="Y7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4" s="156">
        <f>SUMIF(TblMagic[[#This Row],[Gaia''s Watch]:[Useless spell]],1)*0.05</f>
        <v>0</v>
      </c>
      <c r="AA74" s="142"/>
      <c r="AB74" s="57">
        <f ca="1">IF(TblMagic[[#This Row],[Gaia''s Watch]],12,IF(OFFSET(TblMagic[[#This Row],[Active Gaia''s Watch]],-1,0)&gt;0,OFFSET(TblMagic[[#This Row],[Active Gaia''s Watch]],-1,0)-1,0))</f>
        <v>0</v>
      </c>
      <c r="AC74" s="57">
        <f ca="1">IF(TblMagic[[#This Row],[Mining Strength]],12,IF(OFFSET(TblMagic[[#This Row],[Active Mining Strength]],-1,0)&gt;0,OFFSET(TblMagic[[#This Row],[Active Mining Strength]],-1,0)-1,0))</f>
        <v>0</v>
      </c>
      <c r="AD74" s="57">
        <f ca="1">IF(TblMagic[[#This Row],[Ares Call]],12,IF(OFFSET(TblMagic[[#This Row],[Active Ares Call]],-1,0)&gt;0,OFFSET(TblMagic[[#This Row],[Active Ares Call]],-1,0)-1,0))</f>
        <v>0</v>
      </c>
      <c r="AE74" s="57">
        <f ca="1">IF(TblMagic[[#This Row],[Midas Touch]],12,IF(OFFSET(TblMagic[[#This Row],[Active Midas Touch]],-1,0)&gt;0,OFFSET(TblMagic[[#This Row],[Active Midas Touch]],-1,0)-1,0))</f>
        <v>0</v>
      </c>
      <c r="AF74" s="57">
        <f ca="1">IF(TblMagic[[#This Row],[Harmony]],12,IF(OFFSET(TblMagic[[#This Row],[Active Harmony]],-1,0)&gt;0,OFFSET(TblMagic[[#This Row],[Active Harmony]],-1,0)-1,0))</f>
        <v>0</v>
      </c>
      <c r="AG74" s="57">
        <f ca="1">IF(TblMagic[[#This Row],[Miner''s Sight]],12,IF(OFFSET(TblMagic[[#This Row],[Active Miner''s Sight]],-1,0)&gt;0,OFFSET(TblMagic[[#This Row],[Active Miner''s Sight]],-1,0)-1,0))</f>
        <v>0</v>
      </c>
      <c r="AH74" s="57">
        <f ca="1">IF(TblMagic[[#This Row],[Mechanical Genius]],12,IF(OFFSET(TblMagic[[#This Row],[Active Mechanical Genius]],-1,0)&gt;0,OFFSET(TblMagic[[#This Row],[Active Mechanical Genius]],-1,0)-1,0))</f>
        <v>0</v>
      </c>
      <c r="AI74" s="57">
        <f ca="1">IF(TblMagic[[#This Row],[Death and Decay]],12,IF(OFFSET(TblMagic[[#This Row],[Active DnD]],-1,0)&gt;0,OFFSET(TblMagic[[#This Row],[Active DnD]],-1,0)-1,0))</f>
        <v>0</v>
      </c>
      <c r="AJ74" s="57">
        <f ca="1">IF(TblMagic[[#This Row],[Killing Rage / Bloodrage / Crusade]],12,IF(OFFSET(TblMagic[[#This Row],[Active Warsong / Killing Rage / Bloodrage]],-1,0)&gt;0,OFFSET(TblMagic[[#This Row],[Active Warsong / Killing Rage / Bloodrage]],-1,0)-1,0))</f>
        <v>0</v>
      </c>
      <c r="AK74" s="57">
        <f ca="1">IF(TblMagic[[#This Row],[Gaia''s Blessing]],12,IF(OFFSET(TblMagic[[#This Row],[Active Gaia''s Blessing]],-1,0)&gt;0,OFFSET(TblMagic[[#This Row],[Active Gaia''s Blessing]],-1,0)-1,0))</f>
        <v>0</v>
      </c>
      <c r="AL74" s="57">
        <f ca="1">IF(TblMagic[[#This Row],[Howling]],12,IF(OFFSET(TblMagic[[#This Row],[Active Howling]],-1,0)&gt;0,OFFSET(TblMagic[[#This Row],[Active Howling]],-1,0)-1,0))</f>
        <v>0</v>
      </c>
      <c r="AM74" s="57">
        <f ca="1">IF(TblMagic[[#This Row],[Alchemist Frost]],12,IF(OFFSET(TblMagic[[#This Row],[Active Alch Frost]],-1,0)&gt;0,OFFSET(TblMagic[[#This Row],[Active Alch Frost]],-1,0)-1,0))</f>
        <v>0</v>
      </c>
      <c r="AN74" s="57">
        <f ca="1">IF(TblMagic[[#This Row],[Alchemists Flame]],12,IF(OFFSET(TblMagic[[#This Row],[Active Alchemists Flame]],-1,0)&gt;0,OFFSET(TblMagic[[#This Row],[Active Alchemists Flame]],-1,0)-1,0))</f>
        <v>0</v>
      </c>
      <c r="AO74" s="57">
        <f ca="1">IF(TblMagic[[#This Row],[Nightfall]],12,IF(OFFSET(TblMagic[[#This Row],[Active Nightfall]],-1,0)&gt;0,OFFSET(TblMagic[[#This Row],[Active Nightfall]],-1,0)-1,0))</f>
        <v>0</v>
      </c>
      <c r="AP74" s="57">
        <f ca="1">IF(TblMagic[[#This Row],[Favorable Terrain]],12,IF(OFFSET(TblMagic[[#This Row],[Active Favorable Terrain]],-1,0)&gt;0,OFFSET(TblMagic[[#This Row],[Active Favorable Terrain]],-1,0)-1,0))</f>
        <v>0</v>
      </c>
      <c r="AQ74" s="57">
        <f ca="1">IF(TblMagic[[#This Row],[Infernal Command]],12,IF(OFFSET(TblMagic[[#This Row],[Active Infernal Command]],-1,0)&gt;0,OFFSET(TblMagic[[#This Row],[Active Infernal Command]],-1,0)-1,0))</f>
        <v>0</v>
      </c>
    </row>
    <row r="75" spans="1:43" x14ac:dyDescent="0.2">
      <c r="A75" s="137">
        <f>TblRezone[[#This Row],[Hour]]</f>
        <v>72</v>
      </c>
      <c r="B75" s="154">
        <f ca="1">TblConstr[[#This Row],[Land]]</f>
        <v>110</v>
      </c>
      <c r="C75" s="94">
        <f ca="1">TblProd[[#This Row],[Mana]]</f>
        <v>0</v>
      </c>
      <c r="D75" s="156">
        <f ca="1">MIN(1,OFFSET(TblMagic[[#This Row],[Wiz str]],-1,0)+0.04+ROUNDDOWN(10*OFFSET(TblMili[[#This Row],[WG''s]],-1,0),0)+ tech_2_7*OFFSET(TblTech[[#This Row],[2-7]],-1,0) + tech_5_6*OFFSET(TblTech[[#This Row],[5-6]],-1,0) )-TblMagic[[#This Row],[Wiz str cost]]</f>
        <v>1</v>
      </c>
      <c r="E75" s="159">
        <f ca="1">OFFSET(TblMagic[[#This Row],[Time]],-1,0)+1/24</f>
        <v>46049.958333333161</v>
      </c>
      <c r="F75" s="156">
        <f ca="1">TblImps[[#This Row],[Population]]</f>
        <v>1</v>
      </c>
      <c r="G75" s="218"/>
      <c r="H75" s="218"/>
      <c r="I75" s="218"/>
      <c r="J75" s="218"/>
      <c r="K75" s="405"/>
      <c r="L75" s="218"/>
      <c r="M75" s="218"/>
      <c r="N75" s="218"/>
      <c r="O75" s="218"/>
      <c r="P75" s="218"/>
      <c r="Q75" s="218"/>
      <c r="R75" s="218"/>
      <c r="S75" s="218"/>
      <c r="T75" s="218"/>
      <c r="U75" s="218"/>
      <c r="V75" s="218"/>
      <c r="W75" s="218"/>
      <c r="X75" s="142"/>
      <c r="Y7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5" s="156">
        <f>SUMIF(TblMagic[[#This Row],[Gaia''s Watch]:[Useless spell]],1)*0.05</f>
        <v>0</v>
      </c>
      <c r="AA75" s="142"/>
      <c r="AB75" s="57">
        <f ca="1">IF(TblMagic[[#This Row],[Gaia''s Watch]],12,IF(OFFSET(TblMagic[[#This Row],[Active Gaia''s Watch]],-1,0)&gt;0,OFFSET(TblMagic[[#This Row],[Active Gaia''s Watch]],-1,0)-1,0))</f>
        <v>0</v>
      </c>
      <c r="AC75" s="57">
        <f ca="1">IF(TblMagic[[#This Row],[Mining Strength]],12,IF(OFFSET(TblMagic[[#This Row],[Active Mining Strength]],-1,0)&gt;0,OFFSET(TblMagic[[#This Row],[Active Mining Strength]],-1,0)-1,0))</f>
        <v>0</v>
      </c>
      <c r="AD75" s="57">
        <f ca="1">IF(TblMagic[[#This Row],[Ares Call]],12,IF(OFFSET(TblMagic[[#This Row],[Active Ares Call]],-1,0)&gt;0,OFFSET(TblMagic[[#This Row],[Active Ares Call]],-1,0)-1,0))</f>
        <v>0</v>
      </c>
      <c r="AE75" s="57">
        <f ca="1">IF(TblMagic[[#This Row],[Midas Touch]],12,IF(OFFSET(TblMagic[[#This Row],[Active Midas Touch]],-1,0)&gt;0,OFFSET(TblMagic[[#This Row],[Active Midas Touch]],-1,0)-1,0))</f>
        <v>0</v>
      </c>
      <c r="AF75" s="57">
        <f ca="1">IF(TblMagic[[#This Row],[Harmony]],12,IF(OFFSET(TblMagic[[#This Row],[Active Harmony]],-1,0)&gt;0,OFFSET(TblMagic[[#This Row],[Active Harmony]],-1,0)-1,0))</f>
        <v>0</v>
      </c>
      <c r="AG75" s="57">
        <f ca="1">IF(TblMagic[[#This Row],[Miner''s Sight]],12,IF(OFFSET(TblMagic[[#This Row],[Active Miner''s Sight]],-1,0)&gt;0,OFFSET(TblMagic[[#This Row],[Active Miner''s Sight]],-1,0)-1,0))</f>
        <v>0</v>
      </c>
      <c r="AH75" s="57">
        <f ca="1">IF(TblMagic[[#This Row],[Mechanical Genius]],12,IF(OFFSET(TblMagic[[#This Row],[Active Mechanical Genius]],-1,0)&gt;0,OFFSET(TblMagic[[#This Row],[Active Mechanical Genius]],-1,0)-1,0))</f>
        <v>0</v>
      </c>
      <c r="AI75" s="57">
        <f ca="1">IF(TblMagic[[#This Row],[Death and Decay]],12,IF(OFFSET(TblMagic[[#This Row],[Active DnD]],-1,0)&gt;0,OFFSET(TblMagic[[#This Row],[Active DnD]],-1,0)-1,0))</f>
        <v>0</v>
      </c>
      <c r="AJ75" s="57">
        <f ca="1">IF(TblMagic[[#This Row],[Killing Rage / Bloodrage / Crusade]],12,IF(OFFSET(TblMagic[[#This Row],[Active Warsong / Killing Rage / Bloodrage]],-1,0)&gt;0,OFFSET(TblMagic[[#This Row],[Active Warsong / Killing Rage / Bloodrage]],-1,0)-1,0))</f>
        <v>0</v>
      </c>
      <c r="AK75" s="57">
        <f ca="1">IF(TblMagic[[#This Row],[Gaia''s Blessing]],12,IF(OFFSET(TblMagic[[#This Row],[Active Gaia''s Blessing]],-1,0)&gt;0,OFFSET(TblMagic[[#This Row],[Active Gaia''s Blessing]],-1,0)-1,0))</f>
        <v>0</v>
      </c>
      <c r="AL75" s="57">
        <f ca="1">IF(TblMagic[[#This Row],[Howling]],12,IF(OFFSET(TblMagic[[#This Row],[Active Howling]],-1,0)&gt;0,OFFSET(TblMagic[[#This Row],[Active Howling]],-1,0)-1,0))</f>
        <v>0</v>
      </c>
      <c r="AM75" s="57">
        <f ca="1">IF(TblMagic[[#This Row],[Alchemist Frost]],12,IF(OFFSET(TblMagic[[#This Row],[Active Alch Frost]],-1,0)&gt;0,OFFSET(TblMagic[[#This Row],[Active Alch Frost]],-1,0)-1,0))</f>
        <v>0</v>
      </c>
      <c r="AN75" s="57">
        <f ca="1">IF(TblMagic[[#This Row],[Alchemists Flame]],12,IF(OFFSET(TblMagic[[#This Row],[Active Alchemists Flame]],-1,0)&gt;0,OFFSET(TblMagic[[#This Row],[Active Alchemists Flame]],-1,0)-1,0))</f>
        <v>0</v>
      </c>
      <c r="AO75" s="57">
        <f ca="1">IF(TblMagic[[#This Row],[Nightfall]],12,IF(OFFSET(TblMagic[[#This Row],[Active Nightfall]],-1,0)&gt;0,OFFSET(TblMagic[[#This Row],[Active Nightfall]],-1,0)-1,0))</f>
        <v>0</v>
      </c>
      <c r="AP75" s="57">
        <f ca="1">IF(TblMagic[[#This Row],[Favorable Terrain]],12,IF(OFFSET(TblMagic[[#This Row],[Active Favorable Terrain]],-1,0)&gt;0,OFFSET(TblMagic[[#This Row],[Active Favorable Terrain]],-1,0)-1,0))</f>
        <v>0</v>
      </c>
      <c r="AQ75" s="57">
        <f ca="1">IF(TblMagic[[#This Row],[Infernal Command]],12,IF(OFFSET(TblMagic[[#This Row],[Active Infernal Command]],-1,0)&gt;0,OFFSET(TblMagic[[#This Row],[Active Infernal Command]],-1,0)-1,0))</f>
        <v>0</v>
      </c>
    </row>
    <row r="76" spans="1:43" s="433" customFormat="1" x14ac:dyDescent="0.2">
      <c r="A76" s="137">
        <f>TblRezone[[#This Row],[Hour]]</f>
        <v>73</v>
      </c>
      <c r="B76" s="154">
        <f ca="1">TblConstr[[#This Row],[Land]]</f>
        <v>110</v>
      </c>
      <c r="C76" s="430">
        <f ca="1">TblProd[[#This Row],[Mana]]</f>
        <v>0</v>
      </c>
      <c r="D76" s="454">
        <f ca="1">MIN(1,OFFSET(TblMagic[[#This Row],[Wiz str]],-1,0)+0.04+ROUNDDOWN(10*OFFSET(TblMili[[#This Row],[WG''s]],-1,0),0)+ tech_2_7*OFFSET(TblTech[[#This Row],[2-7]],-1,0) + tech_5_6*OFFSET(TblTech[[#This Row],[5-6]],-1,0) )-TblMagic[[#This Row],[Wiz str cost]]</f>
        <v>1</v>
      </c>
      <c r="E76" s="432">
        <f ca="1">OFFSET(TblMagic[[#This Row],[Time]],-1,0)+1/24</f>
        <v>46049.999999999825</v>
      </c>
      <c r="F76" s="454">
        <f ca="1">TblImps[[#This Row],[Population]]</f>
        <v>1</v>
      </c>
      <c r="G76" s="218"/>
      <c r="H76" s="218"/>
      <c r="I76" s="218"/>
      <c r="J76" s="218"/>
      <c r="K76" s="405"/>
      <c r="L76" s="218"/>
      <c r="M76" s="218"/>
      <c r="N76" s="218"/>
      <c r="O76" s="218"/>
      <c r="P76" s="218"/>
      <c r="Q76" s="218"/>
      <c r="R76" s="218"/>
      <c r="S76" s="218"/>
      <c r="T76" s="218"/>
      <c r="U76" s="218"/>
      <c r="V76" s="218"/>
      <c r="W76" s="218"/>
      <c r="X76" s="142"/>
      <c r="Y76" s="430">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6" s="454">
        <f>SUMIF(TblMagic[[#This Row],[Gaia''s Watch]:[Useless spell]],1)*0.05</f>
        <v>0</v>
      </c>
      <c r="AA76" s="142"/>
      <c r="AB76" s="431">
        <f ca="1">IF(TblMagic[[#This Row],[Gaia''s Watch]],12,IF(OFFSET(TblMagic[[#This Row],[Active Gaia''s Watch]],-1,0)&gt;0,OFFSET(TblMagic[[#This Row],[Active Gaia''s Watch]],-1,0)-1,0))</f>
        <v>0</v>
      </c>
      <c r="AC76" s="431">
        <f ca="1">IF(TblMagic[[#This Row],[Mining Strength]],12,IF(OFFSET(TblMagic[[#This Row],[Active Mining Strength]],-1,0)&gt;0,OFFSET(TblMagic[[#This Row],[Active Mining Strength]],-1,0)-1,0))</f>
        <v>0</v>
      </c>
      <c r="AD76" s="431">
        <f ca="1">IF(TblMagic[[#This Row],[Ares Call]],12,IF(OFFSET(TblMagic[[#This Row],[Active Ares Call]],-1,0)&gt;0,OFFSET(TblMagic[[#This Row],[Active Ares Call]],-1,0)-1,0))</f>
        <v>0</v>
      </c>
      <c r="AE76" s="431">
        <f ca="1">IF(TblMagic[[#This Row],[Midas Touch]],12,IF(OFFSET(TblMagic[[#This Row],[Active Midas Touch]],-1,0)&gt;0,OFFSET(TblMagic[[#This Row],[Active Midas Touch]],-1,0)-1,0))</f>
        <v>0</v>
      </c>
      <c r="AF76" s="431">
        <f ca="1">IF(TblMagic[[#This Row],[Harmony]],12,IF(OFFSET(TblMagic[[#This Row],[Active Harmony]],-1,0)&gt;0,OFFSET(TblMagic[[#This Row],[Active Harmony]],-1,0)-1,0))</f>
        <v>0</v>
      </c>
      <c r="AG76" s="431">
        <f ca="1">IF(TblMagic[[#This Row],[Miner''s Sight]],12,IF(OFFSET(TblMagic[[#This Row],[Active Miner''s Sight]],-1,0)&gt;0,OFFSET(TblMagic[[#This Row],[Active Miner''s Sight]],-1,0)-1,0))</f>
        <v>0</v>
      </c>
      <c r="AH76" s="431">
        <f ca="1">IF(TblMagic[[#This Row],[Mechanical Genius]],12,IF(OFFSET(TblMagic[[#This Row],[Active Mechanical Genius]],-1,0)&gt;0,OFFSET(TblMagic[[#This Row],[Active Mechanical Genius]],-1,0)-1,0))</f>
        <v>0</v>
      </c>
      <c r="AI76" s="431">
        <f ca="1">IF(TblMagic[[#This Row],[Death and Decay]],12,IF(OFFSET(TblMagic[[#This Row],[Active DnD]],-1,0)&gt;0,OFFSET(TblMagic[[#This Row],[Active DnD]],-1,0)-1,0))</f>
        <v>0</v>
      </c>
      <c r="AJ76" s="431">
        <f ca="1">IF(TblMagic[[#This Row],[Killing Rage / Bloodrage / Crusade]],12,IF(OFFSET(TblMagic[[#This Row],[Active Warsong / Killing Rage / Bloodrage]],-1,0)&gt;0,OFFSET(TblMagic[[#This Row],[Active Warsong / Killing Rage / Bloodrage]],-1,0)-1,0))</f>
        <v>0</v>
      </c>
      <c r="AK76" s="431">
        <f ca="1">IF(TblMagic[[#This Row],[Gaia''s Blessing]],12,IF(OFFSET(TblMagic[[#This Row],[Active Gaia''s Blessing]],-1,0)&gt;0,OFFSET(TblMagic[[#This Row],[Active Gaia''s Blessing]],-1,0)-1,0))</f>
        <v>0</v>
      </c>
      <c r="AL76" s="431">
        <f ca="1">IF(TblMagic[[#This Row],[Howling]],12,IF(OFFSET(TblMagic[[#This Row],[Active Howling]],-1,0)&gt;0,OFFSET(TblMagic[[#This Row],[Active Howling]],-1,0)-1,0))</f>
        <v>0</v>
      </c>
      <c r="AM76" s="431">
        <f ca="1">IF(TblMagic[[#This Row],[Alchemist Frost]],12,IF(OFFSET(TblMagic[[#This Row],[Active Alch Frost]],-1,0)&gt;0,OFFSET(TblMagic[[#This Row],[Active Alch Frost]],-1,0)-1,0))</f>
        <v>0</v>
      </c>
      <c r="AN76" s="431">
        <f ca="1">IF(TblMagic[[#This Row],[Alchemists Flame]],12,IF(OFFSET(TblMagic[[#This Row],[Active Alchemists Flame]],-1,0)&gt;0,OFFSET(TblMagic[[#This Row],[Active Alchemists Flame]],-1,0)-1,0))</f>
        <v>0</v>
      </c>
      <c r="AO76" s="431">
        <f ca="1">IF(TblMagic[[#This Row],[Nightfall]],12,IF(OFFSET(TblMagic[[#This Row],[Active Nightfall]],-1,0)&gt;0,OFFSET(TblMagic[[#This Row],[Active Nightfall]],-1,0)-1,0))</f>
        <v>0</v>
      </c>
      <c r="AP76" s="431">
        <f ca="1">IF(TblMagic[[#This Row],[Favorable Terrain]],12,IF(OFFSET(TblMagic[[#This Row],[Active Favorable Terrain]],-1,0)&gt;0,OFFSET(TblMagic[[#This Row],[Active Favorable Terrain]],-1,0)-1,0))</f>
        <v>0</v>
      </c>
      <c r="AQ76" s="431">
        <f ca="1">IF(TblMagic[[#This Row],[Infernal Command]],12,IF(OFFSET(TblMagic[[#This Row],[Active Infernal Command]],-1,0)&gt;0,OFFSET(TblMagic[[#This Row],[Active Infernal Command]],-1,0)-1,0))</f>
        <v>0</v>
      </c>
    </row>
    <row r="77" spans="1:43" x14ac:dyDescent="0.2">
      <c r="A77" s="137">
        <f>TblRezone[[#This Row],[Hour]]</f>
        <v>74</v>
      </c>
      <c r="B77" s="154">
        <f ca="1">TblConstr[[#This Row],[Land]]</f>
        <v>110</v>
      </c>
      <c r="C77" s="94">
        <f ca="1">TblProd[[#This Row],[Mana]]</f>
        <v>0</v>
      </c>
      <c r="D77" s="156">
        <f ca="1">MIN(1,OFFSET(TblMagic[[#This Row],[Wiz str]],-1,0)+0.04+ROUNDDOWN(10*OFFSET(TblMili[[#This Row],[WG''s]],-1,0),0)+ tech_2_7*OFFSET(TblTech[[#This Row],[2-7]],-1,0) + tech_5_6*OFFSET(TblTech[[#This Row],[5-6]],-1,0) )-TblMagic[[#This Row],[Wiz str cost]]</f>
        <v>1</v>
      </c>
      <c r="E77" s="159">
        <f ca="1">OFFSET(TblMagic[[#This Row],[Time]],-1,0)+1/24</f>
        <v>46050.04166666649</v>
      </c>
      <c r="F77" s="156">
        <f ca="1">TblImps[[#This Row],[Population]]</f>
        <v>1</v>
      </c>
      <c r="G77" s="218"/>
      <c r="H77" s="218"/>
      <c r="I77" s="218"/>
      <c r="J77" s="218"/>
      <c r="K77" s="405"/>
      <c r="L77" s="218"/>
      <c r="M77" s="218"/>
      <c r="N77" s="218"/>
      <c r="O77" s="218"/>
      <c r="P77" s="218"/>
      <c r="Q77" s="218"/>
      <c r="R77" s="218"/>
      <c r="S77" s="218"/>
      <c r="T77" s="218"/>
      <c r="U77" s="218"/>
      <c r="V77" s="218"/>
      <c r="W77" s="218"/>
      <c r="X77" s="142"/>
      <c r="Y7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7" s="156">
        <f>SUMIF(TblMagic[[#This Row],[Gaia''s Watch]:[Useless spell]],1)*0.05</f>
        <v>0</v>
      </c>
      <c r="AA77" s="142"/>
      <c r="AB77" s="57">
        <f ca="1">IF(TblMagic[[#This Row],[Gaia''s Watch]],12,IF(OFFSET(TblMagic[[#This Row],[Active Gaia''s Watch]],-1,0)&gt;0,OFFSET(TblMagic[[#This Row],[Active Gaia''s Watch]],-1,0)-1,0))</f>
        <v>0</v>
      </c>
      <c r="AC77" s="57">
        <f ca="1">IF(TblMagic[[#This Row],[Mining Strength]],12,IF(OFFSET(TblMagic[[#This Row],[Active Mining Strength]],-1,0)&gt;0,OFFSET(TblMagic[[#This Row],[Active Mining Strength]],-1,0)-1,0))</f>
        <v>0</v>
      </c>
      <c r="AD77" s="57">
        <f ca="1">IF(TblMagic[[#This Row],[Ares Call]],12,IF(OFFSET(TblMagic[[#This Row],[Active Ares Call]],-1,0)&gt;0,OFFSET(TblMagic[[#This Row],[Active Ares Call]],-1,0)-1,0))</f>
        <v>0</v>
      </c>
      <c r="AE77" s="57">
        <f ca="1">IF(TblMagic[[#This Row],[Midas Touch]],12,IF(OFFSET(TblMagic[[#This Row],[Active Midas Touch]],-1,0)&gt;0,OFFSET(TblMagic[[#This Row],[Active Midas Touch]],-1,0)-1,0))</f>
        <v>0</v>
      </c>
      <c r="AF77" s="57">
        <f ca="1">IF(TblMagic[[#This Row],[Harmony]],12,IF(OFFSET(TblMagic[[#This Row],[Active Harmony]],-1,0)&gt;0,OFFSET(TblMagic[[#This Row],[Active Harmony]],-1,0)-1,0))</f>
        <v>0</v>
      </c>
      <c r="AG77" s="57">
        <f ca="1">IF(TblMagic[[#This Row],[Miner''s Sight]],12,IF(OFFSET(TblMagic[[#This Row],[Active Miner''s Sight]],-1,0)&gt;0,OFFSET(TblMagic[[#This Row],[Active Miner''s Sight]],-1,0)-1,0))</f>
        <v>0</v>
      </c>
      <c r="AH77" s="57">
        <f ca="1">IF(TblMagic[[#This Row],[Mechanical Genius]],12,IF(OFFSET(TblMagic[[#This Row],[Active Mechanical Genius]],-1,0)&gt;0,OFFSET(TblMagic[[#This Row],[Active Mechanical Genius]],-1,0)-1,0))</f>
        <v>0</v>
      </c>
      <c r="AI77" s="57">
        <f ca="1">IF(TblMagic[[#This Row],[Death and Decay]],12,IF(OFFSET(TblMagic[[#This Row],[Active DnD]],-1,0)&gt;0,OFFSET(TblMagic[[#This Row],[Active DnD]],-1,0)-1,0))</f>
        <v>0</v>
      </c>
      <c r="AJ77" s="57">
        <f ca="1">IF(TblMagic[[#This Row],[Killing Rage / Bloodrage / Crusade]],12,IF(OFFSET(TblMagic[[#This Row],[Active Warsong / Killing Rage / Bloodrage]],-1,0)&gt;0,OFFSET(TblMagic[[#This Row],[Active Warsong / Killing Rage / Bloodrage]],-1,0)-1,0))</f>
        <v>0</v>
      </c>
      <c r="AK77" s="57">
        <f ca="1">IF(TblMagic[[#This Row],[Gaia''s Blessing]],12,IF(OFFSET(TblMagic[[#This Row],[Active Gaia''s Blessing]],-1,0)&gt;0,OFFSET(TblMagic[[#This Row],[Active Gaia''s Blessing]],-1,0)-1,0))</f>
        <v>0</v>
      </c>
      <c r="AL77" s="57">
        <f ca="1">IF(TblMagic[[#This Row],[Howling]],12,IF(OFFSET(TblMagic[[#This Row],[Active Howling]],-1,0)&gt;0,OFFSET(TblMagic[[#This Row],[Active Howling]],-1,0)-1,0))</f>
        <v>0</v>
      </c>
      <c r="AM77" s="57">
        <f ca="1">IF(TblMagic[[#This Row],[Alchemist Frost]],12,IF(OFFSET(TblMagic[[#This Row],[Active Alch Frost]],-1,0)&gt;0,OFFSET(TblMagic[[#This Row],[Active Alch Frost]],-1,0)-1,0))</f>
        <v>0</v>
      </c>
      <c r="AN77" s="57">
        <f ca="1">IF(TblMagic[[#This Row],[Alchemists Flame]],12,IF(OFFSET(TblMagic[[#This Row],[Active Alchemists Flame]],-1,0)&gt;0,OFFSET(TblMagic[[#This Row],[Active Alchemists Flame]],-1,0)-1,0))</f>
        <v>0</v>
      </c>
      <c r="AO77" s="57">
        <f ca="1">IF(TblMagic[[#This Row],[Nightfall]],12,IF(OFFSET(TblMagic[[#This Row],[Active Nightfall]],-1,0)&gt;0,OFFSET(TblMagic[[#This Row],[Active Nightfall]],-1,0)-1,0))</f>
        <v>0</v>
      </c>
      <c r="AP77" s="57">
        <f ca="1">IF(TblMagic[[#This Row],[Favorable Terrain]],12,IF(OFFSET(TblMagic[[#This Row],[Active Favorable Terrain]],-1,0)&gt;0,OFFSET(TblMagic[[#This Row],[Active Favorable Terrain]],-1,0)-1,0))</f>
        <v>0</v>
      </c>
      <c r="AQ77" s="57">
        <f ca="1">IF(TblMagic[[#This Row],[Infernal Command]],12,IF(OFFSET(TblMagic[[#This Row],[Active Infernal Command]],-1,0)&gt;0,OFFSET(TblMagic[[#This Row],[Active Infernal Command]],-1,0)-1,0))</f>
        <v>0</v>
      </c>
    </row>
    <row r="78" spans="1:43" x14ac:dyDescent="0.2">
      <c r="A78" s="137">
        <f>TblRezone[[#This Row],[Hour]]</f>
        <v>75</v>
      </c>
      <c r="B78" s="154">
        <f ca="1">TblConstr[[#This Row],[Land]]</f>
        <v>110</v>
      </c>
      <c r="C78" s="94">
        <f ca="1">TblProd[[#This Row],[Mana]]</f>
        <v>0</v>
      </c>
      <c r="D78" s="156">
        <f ca="1">MIN(1,OFFSET(TblMagic[[#This Row],[Wiz str]],-1,0)+0.04+ROUNDDOWN(10*OFFSET(TblMili[[#This Row],[WG''s]],-1,0),0)+ tech_2_7*OFFSET(TblTech[[#This Row],[2-7]],-1,0) + tech_5_6*OFFSET(TblTech[[#This Row],[5-6]],-1,0) )-TblMagic[[#This Row],[Wiz str cost]]</f>
        <v>1</v>
      </c>
      <c r="E78" s="159">
        <f ca="1">OFFSET(TblMagic[[#This Row],[Time]],-1,0)+1/24</f>
        <v>46050.083333333154</v>
      </c>
      <c r="F78" s="156">
        <f ca="1">TblImps[[#This Row],[Population]]</f>
        <v>1</v>
      </c>
      <c r="G78" s="218"/>
      <c r="H78" s="218"/>
      <c r="I78" s="218"/>
      <c r="J78" s="218"/>
      <c r="K78" s="405"/>
      <c r="L78" s="218"/>
      <c r="M78" s="218"/>
      <c r="N78" s="218"/>
      <c r="O78" s="218"/>
      <c r="P78" s="218"/>
      <c r="Q78" s="218"/>
      <c r="R78" s="218"/>
      <c r="S78" s="218"/>
      <c r="T78" s="218"/>
      <c r="U78" s="218"/>
      <c r="V78" s="218"/>
      <c r="W78" s="218"/>
      <c r="X78" s="142"/>
      <c r="Y7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8" s="156">
        <f>SUMIF(TblMagic[[#This Row],[Gaia''s Watch]:[Useless spell]],1)*0.05</f>
        <v>0</v>
      </c>
      <c r="AA78" s="142"/>
      <c r="AB78" s="57">
        <f ca="1">IF(TblMagic[[#This Row],[Gaia''s Watch]],12,IF(OFFSET(TblMagic[[#This Row],[Active Gaia''s Watch]],-1,0)&gt;0,OFFSET(TblMagic[[#This Row],[Active Gaia''s Watch]],-1,0)-1,0))</f>
        <v>0</v>
      </c>
      <c r="AC78" s="57">
        <f ca="1">IF(TblMagic[[#This Row],[Mining Strength]],12,IF(OFFSET(TblMagic[[#This Row],[Active Mining Strength]],-1,0)&gt;0,OFFSET(TblMagic[[#This Row],[Active Mining Strength]],-1,0)-1,0))</f>
        <v>0</v>
      </c>
      <c r="AD78" s="57">
        <f ca="1">IF(TblMagic[[#This Row],[Ares Call]],12,IF(OFFSET(TblMagic[[#This Row],[Active Ares Call]],-1,0)&gt;0,OFFSET(TblMagic[[#This Row],[Active Ares Call]],-1,0)-1,0))</f>
        <v>0</v>
      </c>
      <c r="AE78" s="57">
        <f ca="1">IF(TblMagic[[#This Row],[Midas Touch]],12,IF(OFFSET(TblMagic[[#This Row],[Active Midas Touch]],-1,0)&gt;0,OFFSET(TblMagic[[#This Row],[Active Midas Touch]],-1,0)-1,0))</f>
        <v>0</v>
      </c>
      <c r="AF78" s="57">
        <f ca="1">IF(TblMagic[[#This Row],[Harmony]],12,IF(OFFSET(TblMagic[[#This Row],[Active Harmony]],-1,0)&gt;0,OFFSET(TblMagic[[#This Row],[Active Harmony]],-1,0)-1,0))</f>
        <v>0</v>
      </c>
      <c r="AG78" s="57">
        <f ca="1">IF(TblMagic[[#This Row],[Miner''s Sight]],12,IF(OFFSET(TblMagic[[#This Row],[Active Miner''s Sight]],-1,0)&gt;0,OFFSET(TblMagic[[#This Row],[Active Miner''s Sight]],-1,0)-1,0))</f>
        <v>0</v>
      </c>
      <c r="AH78" s="57">
        <f ca="1">IF(TblMagic[[#This Row],[Mechanical Genius]],12,IF(OFFSET(TblMagic[[#This Row],[Active Mechanical Genius]],-1,0)&gt;0,OFFSET(TblMagic[[#This Row],[Active Mechanical Genius]],-1,0)-1,0))</f>
        <v>0</v>
      </c>
      <c r="AI78" s="57">
        <f ca="1">IF(TblMagic[[#This Row],[Death and Decay]],12,IF(OFFSET(TblMagic[[#This Row],[Active DnD]],-1,0)&gt;0,OFFSET(TblMagic[[#This Row],[Active DnD]],-1,0)-1,0))</f>
        <v>0</v>
      </c>
      <c r="AJ78" s="57">
        <f ca="1">IF(TblMagic[[#This Row],[Killing Rage / Bloodrage / Crusade]],12,IF(OFFSET(TblMagic[[#This Row],[Active Warsong / Killing Rage / Bloodrage]],-1,0)&gt;0,OFFSET(TblMagic[[#This Row],[Active Warsong / Killing Rage / Bloodrage]],-1,0)-1,0))</f>
        <v>0</v>
      </c>
      <c r="AK78" s="57">
        <f ca="1">IF(TblMagic[[#This Row],[Gaia''s Blessing]],12,IF(OFFSET(TblMagic[[#This Row],[Active Gaia''s Blessing]],-1,0)&gt;0,OFFSET(TblMagic[[#This Row],[Active Gaia''s Blessing]],-1,0)-1,0))</f>
        <v>0</v>
      </c>
      <c r="AL78" s="57">
        <f ca="1">IF(TblMagic[[#This Row],[Howling]],12,IF(OFFSET(TblMagic[[#This Row],[Active Howling]],-1,0)&gt;0,OFFSET(TblMagic[[#This Row],[Active Howling]],-1,0)-1,0))</f>
        <v>0</v>
      </c>
      <c r="AM78" s="57">
        <f ca="1">IF(TblMagic[[#This Row],[Alchemist Frost]],12,IF(OFFSET(TblMagic[[#This Row],[Active Alch Frost]],-1,0)&gt;0,OFFSET(TblMagic[[#This Row],[Active Alch Frost]],-1,0)-1,0))</f>
        <v>0</v>
      </c>
      <c r="AN78" s="57">
        <f ca="1">IF(TblMagic[[#This Row],[Alchemists Flame]],12,IF(OFFSET(TblMagic[[#This Row],[Active Alchemists Flame]],-1,0)&gt;0,OFFSET(TblMagic[[#This Row],[Active Alchemists Flame]],-1,0)-1,0))</f>
        <v>0</v>
      </c>
      <c r="AO78" s="57">
        <f ca="1">IF(TblMagic[[#This Row],[Nightfall]],12,IF(OFFSET(TblMagic[[#This Row],[Active Nightfall]],-1,0)&gt;0,OFFSET(TblMagic[[#This Row],[Active Nightfall]],-1,0)-1,0))</f>
        <v>0</v>
      </c>
      <c r="AP78" s="57">
        <f ca="1">IF(TblMagic[[#This Row],[Favorable Terrain]],12,IF(OFFSET(TblMagic[[#This Row],[Active Favorable Terrain]],-1,0)&gt;0,OFFSET(TblMagic[[#This Row],[Active Favorable Terrain]],-1,0)-1,0))</f>
        <v>0</v>
      </c>
      <c r="AQ78" s="57">
        <f ca="1">IF(TblMagic[[#This Row],[Infernal Command]],12,IF(OFFSET(TblMagic[[#This Row],[Active Infernal Command]],-1,0)&gt;0,OFFSET(TblMagic[[#This Row],[Active Infernal Command]],-1,0)-1,0))</f>
        <v>0</v>
      </c>
    </row>
    <row r="79" spans="1:43" x14ac:dyDescent="0.2">
      <c r="A79" s="137">
        <f>TblRezone[[#This Row],[Hour]]</f>
        <v>76</v>
      </c>
      <c r="B79" s="154">
        <f ca="1">TblConstr[[#This Row],[Land]]</f>
        <v>110</v>
      </c>
      <c r="C79" s="94">
        <f ca="1">TblProd[[#This Row],[Mana]]</f>
        <v>0</v>
      </c>
      <c r="D79" s="156">
        <f ca="1">MIN(1,OFFSET(TblMagic[[#This Row],[Wiz str]],-1,0)+0.04+ROUNDDOWN(10*OFFSET(TblMili[[#This Row],[WG''s]],-1,0),0)+ tech_2_7*OFFSET(TblTech[[#This Row],[2-7]],-1,0) + tech_5_6*OFFSET(TblTech[[#This Row],[5-6]],-1,0) )-TblMagic[[#This Row],[Wiz str cost]]</f>
        <v>1</v>
      </c>
      <c r="E79" s="159">
        <f ca="1">OFFSET(TblMagic[[#This Row],[Time]],-1,0)+1/24</f>
        <v>46050.124999999818</v>
      </c>
      <c r="F79" s="156">
        <f ca="1">TblImps[[#This Row],[Population]]</f>
        <v>1</v>
      </c>
      <c r="G79" s="218"/>
      <c r="H79" s="218"/>
      <c r="I79" s="218"/>
      <c r="J79" s="218"/>
      <c r="K79" s="405"/>
      <c r="L79" s="218"/>
      <c r="M79" s="218"/>
      <c r="N79" s="218"/>
      <c r="O79" s="218"/>
      <c r="P79" s="218"/>
      <c r="Q79" s="218"/>
      <c r="R79" s="218"/>
      <c r="S79" s="218"/>
      <c r="T79" s="218"/>
      <c r="U79" s="218"/>
      <c r="V79" s="218"/>
      <c r="W79" s="218"/>
      <c r="X79" s="142"/>
      <c r="Y7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79" s="156">
        <f>SUMIF(TblMagic[[#This Row],[Gaia''s Watch]:[Useless spell]],1)*0.05</f>
        <v>0</v>
      </c>
      <c r="AA79" s="142"/>
      <c r="AB79" s="57">
        <f ca="1">IF(TblMagic[[#This Row],[Gaia''s Watch]],12,IF(OFFSET(TblMagic[[#This Row],[Active Gaia''s Watch]],-1,0)&gt;0,OFFSET(TblMagic[[#This Row],[Active Gaia''s Watch]],-1,0)-1,0))</f>
        <v>0</v>
      </c>
      <c r="AC79" s="57">
        <f ca="1">IF(TblMagic[[#This Row],[Mining Strength]],12,IF(OFFSET(TblMagic[[#This Row],[Active Mining Strength]],-1,0)&gt;0,OFFSET(TblMagic[[#This Row],[Active Mining Strength]],-1,0)-1,0))</f>
        <v>0</v>
      </c>
      <c r="AD79" s="57">
        <f ca="1">IF(TblMagic[[#This Row],[Ares Call]],12,IF(OFFSET(TblMagic[[#This Row],[Active Ares Call]],-1,0)&gt;0,OFFSET(TblMagic[[#This Row],[Active Ares Call]],-1,0)-1,0))</f>
        <v>0</v>
      </c>
      <c r="AE79" s="57">
        <f ca="1">IF(TblMagic[[#This Row],[Midas Touch]],12,IF(OFFSET(TblMagic[[#This Row],[Active Midas Touch]],-1,0)&gt;0,OFFSET(TblMagic[[#This Row],[Active Midas Touch]],-1,0)-1,0))</f>
        <v>0</v>
      </c>
      <c r="AF79" s="57">
        <f ca="1">IF(TblMagic[[#This Row],[Harmony]],12,IF(OFFSET(TblMagic[[#This Row],[Active Harmony]],-1,0)&gt;0,OFFSET(TblMagic[[#This Row],[Active Harmony]],-1,0)-1,0))</f>
        <v>0</v>
      </c>
      <c r="AG79" s="57">
        <f ca="1">IF(TblMagic[[#This Row],[Miner''s Sight]],12,IF(OFFSET(TblMagic[[#This Row],[Active Miner''s Sight]],-1,0)&gt;0,OFFSET(TblMagic[[#This Row],[Active Miner''s Sight]],-1,0)-1,0))</f>
        <v>0</v>
      </c>
      <c r="AH79" s="57">
        <f ca="1">IF(TblMagic[[#This Row],[Mechanical Genius]],12,IF(OFFSET(TblMagic[[#This Row],[Active Mechanical Genius]],-1,0)&gt;0,OFFSET(TblMagic[[#This Row],[Active Mechanical Genius]],-1,0)-1,0))</f>
        <v>0</v>
      </c>
      <c r="AI79" s="57">
        <f ca="1">IF(TblMagic[[#This Row],[Death and Decay]],12,IF(OFFSET(TblMagic[[#This Row],[Active DnD]],-1,0)&gt;0,OFFSET(TblMagic[[#This Row],[Active DnD]],-1,0)-1,0))</f>
        <v>0</v>
      </c>
      <c r="AJ79" s="57">
        <f ca="1">IF(TblMagic[[#This Row],[Killing Rage / Bloodrage / Crusade]],12,IF(OFFSET(TblMagic[[#This Row],[Active Warsong / Killing Rage / Bloodrage]],-1,0)&gt;0,OFFSET(TblMagic[[#This Row],[Active Warsong / Killing Rage / Bloodrage]],-1,0)-1,0))</f>
        <v>0</v>
      </c>
      <c r="AK79" s="57">
        <f ca="1">IF(TblMagic[[#This Row],[Gaia''s Blessing]],12,IF(OFFSET(TblMagic[[#This Row],[Active Gaia''s Blessing]],-1,0)&gt;0,OFFSET(TblMagic[[#This Row],[Active Gaia''s Blessing]],-1,0)-1,0))</f>
        <v>0</v>
      </c>
      <c r="AL79" s="57">
        <f ca="1">IF(TblMagic[[#This Row],[Howling]],12,IF(OFFSET(TblMagic[[#This Row],[Active Howling]],-1,0)&gt;0,OFFSET(TblMagic[[#This Row],[Active Howling]],-1,0)-1,0))</f>
        <v>0</v>
      </c>
      <c r="AM79" s="57">
        <f ca="1">IF(TblMagic[[#This Row],[Alchemist Frost]],12,IF(OFFSET(TblMagic[[#This Row],[Active Alch Frost]],-1,0)&gt;0,OFFSET(TblMagic[[#This Row],[Active Alch Frost]],-1,0)-1,0))</f>
        <v>0</v>
      </c>
      <c r="AN79" s="57">
        <f ca="1">IF(TblMagic[[#This Row],[Alchemists Flame]],12,IF(OFFSET(TblMagic[[#This Row],[Active Alchemists Flame]],-1,0)&gt;0,OFFSET(TblMagic[[#This Row],[Active Alchemists Flame]],-1,0)-1,0))</f>
        <v>0</v>
      </c>
      <c r="AO79" s="57">
        <f ca="1">IF(TblMagic[[#This Row],[Nightfall]],12,IF(OFFSET(TblMagic[[#This Row],[Active Nightfall]],-1,0)&gt;0,OFFSET(TblMagic[[#This Row],[Active Nightfall]],-1,0)-1,0))</f>
        <v>0</v>
      </c>
      <c r="AP79" s="57">
        <f ca="1">IF(TblMagic[[#This Row],[Favorable Terrain]],12,IF(OFFSET(TblMagic[[#This Row],[Active Favorable Terrain]],-1,0)&gt;0,OFFSET(TblMagic[[#This Row],[Active Favorable Terrain]],-1,0)-1,0))</f>
        <v>0</v>
      </c>
      <c r="AQ79" s="57">
        <f ca="1">IF(TblMagic[[#This Row],[Infernal Command]],12,IF(OFFSET(TblMagic[[#This Row],[Active Infernal Command]],-1,0)&gt;0,OFFSET(TblMagic[[#This Row],[Active Infernal Command]],-1,0)-1,0))</f>
        <v>0</v>
      </c>
    </row>
    <row r="80" spans="1:43" x14ac:dyDescent="0.2">
      <c r="A80" s="137">
        <f>TblRezone[[#This Row],[Hour]]</f>
        <v>77</v>
      </c>
      <c r="B80" s="154">
        <f ca="1">TblConstr[[#This Row],[Land]]</f>
        <v>110</v>
      </c>
      <c r="C80" s="94">
        <f ca="1">TblProd[[#This Row],[Mana]]</f>
        <v>0</v>
      </c>
      <c r="D80" s="156">
        <f ca="1">MIN(1,OFFSET(TblMagic[[#This Row],[Wiz str]],-1,0)+0.04+ROUNDDOWN(10*OFFSET(TblMili[[#This Row],[WG''s]],-1,0),0)+ tech_2_7*OFFSET(TblTech[[#This Row],[2-7]],-1,0) + tech_5_6*OFFSET(TblTech[[#This Row],[5-6]],-1,0) )-TblMagic[[#This Row],[Wiz str cost]]</f>
        <v>1</v>
      </c>
      <c r="E80" s="159">
        <f ca="1">OFFSET(TblMagic[[#This Row],[Time]],-1,0)+1/24</f>
        <v>46050.166666666482</v>
      </c>
      <c r="F80" s="156">
        <f ca="1">TblImps[[#This Row],[Population]]</f>
        <v>1</v>
      </c>
      <c r="G80" s="218"/>
      <c r="H80" s="218"/>
      <c r="I80" s="218"/>
      <c r="J80" s="218"/>
      <c r="K80" s="405"/>
      <c r="L80" s="218"/>
      <c r="M80" s="218"/>
      <c r="N80" s="218"/>
      <c r="O80" s="218"/>
      <c r="P80" s="218"/>
      <c r="Q80" s="218"/>
      <c r="R80" s="218"/>
      <c r="S80" s="218"/>
      <c r="T80" s="218"/>
      <c r="U80" s="218"/>
      <c r="V80" s="218"/>
      <c r="W80" s="218"/>
      <c r="X80" s="142"/>
      <c r="Y8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0" s="156">
        <f>SUMIF(TblMagic[[#This Row],[Gaia''s Watch]:[Useless spell]],1)*0.05</f>
        <v>0</v>
      </c>
      <c r="AA80" s="142"/>
      <c r="AB80" s="57">
        <f ca="1">IF(TblMagic[[#This Row],[Gaia''s Watch]],12,IF(OFFSET(TblMagic[[#This Row],[Active Gaia''s Watch]],-1,0)&gt;0,OFFSET(TblMagic[[#This Row],[Active Gaia''s Watch]],-1,0)-1,0))</f>
        <v>0</v>
      </c>
      <c r="AC80" s="57">
        <f ca="1">IF(TblMagic[[#This Row],[Mining Strength]],12,IF(OFFSET(TblMagic[[#This Row],[Active Mining Strength]],-1,0)&gt;0,OFFSET(TblMagic[[#This Row],[Active Mining Strength]],-1,0)-1,0))</f>
        <v>0</v>
      </c>
      <c r="AD80" s="57">
        <f ca="1">IF(TblMagic[[#This Row],[Ares Call]],12,IF(OFFSET(TblMagic[[#This Row],[Active Ares Call]],-1,0)&gt;0,OFFSET(TblMagic[[#This Row],[Active Ares Call]],-1,0)-1,0))</f>
        <v>0</v>
      </c>
      <c r="AE80" s="57">
        <f ca="1">IF(TblMagic[[#This Row],[Midas Touch]],12,IF(OFFSET(TblMagic[[#This Row],[Active Midas Touch]],-1,0)&gt;0,OFFSET(TblMagic[[#This Row],[Active Midas Touch]],-1,0)-1,0))</f>
        <v>0</v>
      </c>
      <c r="AF80" s="57">
        <f ca="1">IF(TblMagic[[#This Row],[Harmony]],12,IF(OFFSET(TblMagic[[#This Row],[Active Harmony]],-1,0)&gt;0,OFFSET(TblMagic[[#This Row],[Active Harmony]],-1,0)-1,0))</f>
        <v>0</v>
      </c>
      <c r="AG80" s="57">
        <f ca="1">IF(TblMagic[[#This Row],[Miner''s Sight]],12,IF(OFFSET(TblMagic[[#This Row],[Active Miner''s Sight]],-1,0)&gt;0,OFFSET(TblMagic[[#This Row],[Active Miner''s Sight]],-1,0)-1,0))</f>
        <v>0</v>
      </c>
      <c r="AH80" s="57">
        <f ca="1">IF(TblMagic[[#This Row],[Mechanical Genius]],12,IF(OFFSET(TblMagic[[#This Row],[Active Mechanical Genius]],-1,0)&gt;0,OFFSET(TblMagic[[#This Row],[Active Mechanical Genius]],-1,0)-1,0))</f>
        <v>0</v>
      </c>
      <c r="AI80" s="57">
        <f ca="1">IF(TblMagic[[#This Row],[Death and Decay]],12,IF(OFFSET(TblMagic[[#This Row],[Active DnD]],-1,0)&gt;0,OFFSET(TblMagic[[#This Row],[Active DnD]],-1,0)-1,0))</f>
        <v>0</v>
      </c>
      <c r="AJ80" s="57">
        <f ca="1">IF(TblMagic[[#This Row],[Killing Rage / Bloodrage / Crusade]],12,IF(OFFSET(TblMagic[[#This Row],[Active Warsong / Killing Rage / Bloodrage]],-1,0)&gt;0,OFFSET(TblMagic[[#This Row],[Active Warsong / Killing Rage / Bloodrage]],-1,0)-1,0))</f>
        <v>0</v>
      </c>
      <c r="AK80" s="57">
        <f ca="1">IF(TblMagic[[#This Row],[Gaia''s Blessing]],12,IF(OFFSET(TblMagic[[#This Row],[Active Gaia''s Blessing]],-1,0)&gt;0,OFFSET(TblMagic[[#This Row],[Active Gaia''s Blessing]],-1,0)-1,0))</f>
        <v>0</v>
      </c>
      <c r="AL80" s="57">
        <f ca="1">IF(TblMagic[[#This Row],[Howling]],12,IF(OFFSET(TblMagic[[#This Row],[Active Howling]],-1,0)&gt;0,OFFSET(TblMagic[[#This Row],[Active Howling]],-1,0)-1,0))</f>
        <v>0</v>
      </c>
      <c r="AM80" s="57">
        <f ca="1">IF(TblMagic[[#This Row],[Alchemist Frost]],12,IF(OFFSET(TblMagic[[#This Row],[Active Alch Frost]],-1,0)&gt;0,OFFSET(TblMagic[[#This Row],[Active Alch Frost]],-1,0)-1,0))</f>
        <v>0</v>
      </c>
      <c r="AN80" s="57">
        <f ca="1">IF(TblMagic[[#This Row],[Alchemists Flame]],12,IF(OFFSET(TblMagic[[#This Row],[Active Alchemists Flame]],-1,0)&gt;0,OFFSET(TblMagic[[#This Row],[Active Alchemists Flame]],-1,0)-1,0))</f>
        <v>0</v>
      </c>
      <c r="AO80" s="57">
        <f ca="1">IF(TblMagic[[#This Row],[Nightfall]],12,IF(OFFSET(TblMagic[[#This Row],[Active Nightfall]],-1,0)&gt;0,OFFSET(TblMagic[[#This Row],[Active Nightfall]],-1,0)-1,0))</f>
        <v>0</v>
      </c>
      <c r="AP80" s="57">
        <f ca="1">IF(TblMagic[[#This Row],[Favorable Terrain]],12,IF(OFFSET(TblMagic[[#This Row],[Active Favorable Terrain]],-1,0)&gt;0,OFFSET(TblMagic[[#This Row],[Active Favorable Terrain]],-1,0)-1,0))</f>
        <v>0</v>
      </c>
      <c r="AQ80" s="57">
        <f ca="1">IF(TblMagic[[#This Row],[Infernal Command]],12,IF(OFFSET(TblMagic[[#This Row],[Active Infernal Command]],-1,0)&gt;0,OFFSET(TblMagic[[#This Row],[Active Infernal Command]],-1,0)-1,0))</f>
        <v>0</v>
      </c>
    </row>
    <row r="81" spans="1:43" x14ac:dyDescent="0.2">
      <c r="A81" s="137">
        <f>TblRezone[[#This Row],[Hour]]</f>
        <v>78</v>
      </c>
      <c r="B81" s="154">
        <f ca="1">TblConstr[[#This Row],[Land]]</f>
        <v>110</v>
      </c>
      <c r="C81" s="94">
        <f ca="1">TblProd[[#This Row],[Mana]]</f>
        <v>0</v>
      </c>
      <c r="D81" s="156">
        <f ca="1">MIN(1,OFFSET(TblMagic[[#This Row],[Wiz str]],-1,0)+0.04+ROUNDDOWN(10*OFFSET(TblMili[[#This Row],[WG''s]],-1,0),0)+ tech_2_7*OFFSET(TblTech[[#This Row],[2-7]],-1,0) + tech_5_6*OFFSET(TblTech[[#This Row],[5-6]],-1,0) )-TblMagic[[#This Row],[Wiz str cost]]</f>
        <v>1</v>
      </c>
      <c r="E81" s="159">
        <f ca="1">OFFSET(TblMagic[[#This Row],[Time]],-1,0)+1/24</f>
        <v>46050.208333333147</v>
      </c>
      <c r="F81" s="156">
        <f ca="1">TblImps[[#This Row],[Population]]</f>
        <v>1</v>
      </c>
      <c r="G81" s="218"/>
      <c r="H81" s="218"/>
      <c r="I81" s="218"/>
      <c r="J81" s="218"/>
      <c r="K81" s="405"/>
      <c r="L81" s="218"/>
      <c r="M81" s="218"/>
      <c r="N81" s="218"/>
      <c r="O81" s="218"/>
      <c r="P81" s="218"/>
      <c r="Q81" s="218"/>
      <c r="R81" s="218"/>
      <c r="S81" s="218"/>
      <c r="T81" s="218"/>
      <c r="U81" s="218"/>
      <c r="V81" s="218"/>
      <c r="W81" s="218"/>
      <c r="X81" s="142"/>
      <c r="Y8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1" s="156">
        <f>SUMIF(TblMagic[[#This Row],[Gaia''s Watch]:[Useless spell]],1)*0.05</f>
        <v>0</v>
      </c>
      <c r="AA81" s="142"/>
      <c r="AB81" s="57">
        <f ca="1">IF(TblMagic[[#This Row],[Gaia''s Watch]],12,IF(OFFSET(TblMagic[[#This Row],[Active Gaia''s Watch]],-1,0)&gt;0,OFFSET(TblMagic[[#This Row],[Active Gaia''s Watch]],-1,0)-1,0))</f>
        <v>0</v>
      </c>
      <c r="AC81" s="57">
        <f ca="1">IF(TblMagic[[#This Row],[Mining Strength]],12,IF(OFFSET(TblMagic[[#This Row],[Active Mining Strength]],-1,0)&gt;0,OFFSET(TblMagic[[#This Row],[Active Mining Strength]],-1,0)-1,0))</f>
        <v>0</v>
      </c>
      <c r="AD81" s="57">
        <f ca="1">IF(TblMagic[[#This Row],[Ares Call]],12,IF(OFFSET(TblMagic[[#This Row],[Active Ares Call]],-1,0)&gt;0,OFFSET(TblMagic[[#This Row],[Active Ares Call]],-1,0)-1,0))</f>
        <v>0</v>
      </c>
      <c r="AE81" s="57">
        <f ca="1">IF(TblMagic[[#This Row],[Midas Touch]],12,IF(OFFSET(TblMagic[[#This Row],[Active Midas Touch]],-1,0)&gt;0,OFFSET(TblMagic[[#This Row],[Active Midas Touch]],-1,0)-1,0))</f>
        <v>0</v>
      </c>
      <c r="AF81" s="57">
        <f ca="1">IF(TblMagic[[#This Row],[Harmony]],12,IF(OFFSET(TblMagic[[#This Row],[Active Harmony]],-1,0)&gt;0,OFFSET(TblMagic[[#This Row],[Active Harmony]],-1,0)-1,0))</f>
        <v>0</v>
      </c>
      <c r="AG81" s="57">
        <f ca="1">IF(TblMagic[[#This Row],[Miner''s Sight]],12,IF(OFFSET(TblMagic[[#This Row],[Active Miner''s Sight]],-1,0)&gt;0,OFFSET(TblMagic[[#This Row],[Active Miner''s Sight]],-1,0)-1,0))</f>
        <v>0</v>
      </c>
      <c r="AH81" s="57">
        <f ca="1">IF(TblMagic[[#This Row],[Mechanical Genius]],12,IF(OFFSET(TblMagic[[#This Row],[Active Mechanical Genius]],-1,0)&gt;0,OFFSET(TblMagic[[#This Row],[Active Mechanical Genius]],-1,0)-1,0))</f>
        <v>0</v>
      </c>
      <c r="AI81" s="57">
        <f ca="1">IF(TblMagic[[#This Row],[Death and Decay]],12,IF(OFFSET(TblMagic[[#This Row],[Active DnD]],-1,0)&gt;0,OFFSET(TblMagic[[#This Row],[Active DnD]],-1,0)-1,0))</f>
        <v>0</v>
      </c>
      <c r="AJ81" s="57">
        <f ca="1">IF(TblMagic[[#This Row],[Killing Rage / Bloodrage / Crusade]],12,IF(OFFSET(TblMagic[[#This Row],[Active Warsong / Killing Rage / Bloodrage]],-1,0)&gt;0,OFFSET(TblMagic[[#This Row],[Active Warsong / Killing Rage / Bloodrage]],-1,0)-1,0))</f>
        <v>0</v>
      </c>
      <c r="AK81" s="57">
        <f ca="1">IF(TblMagic[[#This Row],[Gaia''s Blessing]],12,IF(OFFSET(TblMagic[[#This Row],[Active Gaia''s Blessing]],-1,0)&gt;0,OFFSET(TblMagic[[#This Row],[Active Gaia''s Blessing]],-1,0)-1,0))</f>
        <v>0</v>
      </c>
      <c r="AL81" s="57">
        <f ca="1">IF(TblMagic[[#This Row],[Howling]],12,IF(OFFSET(TblMagic[[#This Row],[Active Howling]],-1,0)&gt;0,OFFSET(TblMagic[[#This Row],[Active Howling]],-1,0)-1,0))</f>
        <v>0</v>
      </c>
      <c r="AM81" s="57">
        <f ca="1">IF(TblMagic[[#This Row],[Alchemist Frost]],12,IF(OFFSET(TblMagic[[#This Row],[Active Alch Frost]],-1,0)&gt;0,OFFSET(TblMagic[[#This Row],[Active Alch Frost]],-1,0)-1,0))</f>
        <v>0</v>
      </c>
      <c r="AN81" s="57">
        <f ca="1">IF(TblMagic[[#This Row],[Alchemists Flame]],12,IF(OFFSET(TblMagic[[#This Row],[Active Alchemists Flame]],-1,0)&gt;0,OFFSET(TblMagic[[#This Row],[Active Alchemists Flame]],-1,0)-1,0))</f>
        <v>0</v>
      </c>
      <c r="AO81" s="57">
        <f ca="1">IF(TblMagic[[#This Row],[Nightfall]],12,IF(OFFSET(TblMagic[[#This Row],[Active Nightfall]],-1,0)&gt;0,OFFSET(TblMagic[[#This Row],[Active Nightfall]],-1,0)-1,0))</f>
        <v>0</v>
      </c>
      <c r="AP81" s="57">
        <f ca="1">IF(TblMagic[[#This Row],[Favorable Terrain]],12,IF(OFFSET(TblMagic[[#This Row],[Active Favorable Terrain]],-1,0)&gt;0,OFFSET(TblMagic[[#This Row],[Active Favorable Terrain]],-1,0)-1,0))</f>
        <v>0</v>
      </c>
      <c r="AQ81" s="57">
        <f ca="1">IF(TblMagic[[#This Row],[Infernal Command]],12,IF(OFFSET(TblMagic[[#This Row],[Active Infernal Command]],-1,0)&gt;0,OFFSET(TblMagic[[#This Row],[Active Infernal Command]],-1,0)-1,0))</f>
        <v>0</v>
      </c>
    </row>
    <row r="82" spans="1:43" x14ac:dyDescent="0.2">
      <c r="A82" s="137">
        <f>TblRezone[[#This Row],[Hour]]</f>
        <v>79</v>
      </c>
      <c r="B82" s="154">
        <f ca="1">TblConstr[[#This Row],[Land]]</f>
        <v>110</v>
      </c>
      <c r="C82" s="94">
        <f ca="1">TblProd[[#This Row],[Mana]]</f>
        <v>0</v>
      </c>
      <c r="D82" s="156">
        <f ca="1">MIN(1,OFFSET(TblMagic[[#This Row],[Wiz str]],-1,0)+0.04+ROUNDDOWN(10*OFFSET(TblMili[[#This Row],[WG''s]],-1,0),0)+ tech_2_7*OFFSET(TblTech[[#This Row],[2-7]],-1,0) + tech_5_6*OFFSET(TblTech[[#This Row],[5-6]],-1,0) )-TblMagic[[#This Row],[Wiz str cost]]</f>
        <v>1</v>
      </c>
      <c r="E82" s="159">
        <f ca="1">OFFSET(TblMagic[[#This Row],[Time]],-1,0)+1/24</f>
        <v>46050.249999999811</v>
      </c>
      <c r="F82" s="156">
        <f ca="1">TblImps[[#This Row],[Population]]</f>
        <v>1</v>
      </c>
      <c r="G82" s="218"/>
      <c r="H82" s="218"/>
      <c r="I82" s="218"/>
      <c r="J82" s="218"/>
      <c r="K82" s="405"/>
      <c r="L82" s="218"/>
      <c r="M82" s="218"/>
      <c r="N82" s="218"/>
      <c r="O82" s="218"/>
      <c r="P82" s="218"/>
      <c r="Q82" s="218"/>
      <c r="R82" s="218"/>
      <c r="S82" s="218"/>
      <c r="T82" s="218"/>
      <c r="U82" s="218"/>
      <c r="V82" s="218"/>
      <c r="W82" s="218"/>
      <c r="X82" s="142"/>
      <c r="Y8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2" s="156">
        <f>SUMIF(TblMagic[[#This Row],[Gaia''s Watch]:[Useless spell]],1)*0.05</f>
        <v>0</v>
      </c>
      <c r="AA82" s="142"/>
      <c r="AB82" s="57">
        <f ca="1">IF(TblMagic[[#This Row],[Gaia''s Watch]],12,IF(OFFSET(TblMagic[[#This Row],[Active Gaia''s Watch]],-1,0)&gt;0,OFFSET(TblMagic[[#This Row],[Active Gaia''s Watch]],-1,0)-1,0))</f>
        <v>0</v>
      </c>
      <c r="AC82" s="57">
        <f ca="1">IF(TblMagic[[#This Row],[Mining Strength]],12,IF(OFFSET(TblMagic[[#This Row],[Active Mining Strength]],-1,0)&gt;0,OFFSET(TblMagic[[#This Row],[Active Mining Strength]],-1,0)-1,0))</f>
        <v>0</v>
      </c>
      <c r="AD82" s="57">
        <f ca="1">IF(TblMagic[[#This Row],[Ares Call]],12,IF(OFFSET(TblMagic[[#This Row],[Active Ares Call]],-1,0)&gt;0,OFFSET(TblMagic[[#This Row],[Active Ares Call]],-1,0)-1,0))</f>
        <v>0</v>
      </c>
      <c r="AE82" s="57">
        <f ca="1">IF(TblMagic[[#This Row],[Midas Touch]],12,IF(OFFSET(TblMagic[[#This Row],[Active Midas Touch]],-1,0)&gt;0,OFFSET(TblMagic[[#This Row],[Active Midas Touch]],-1,0)-1,0))</f>
        <v>0</v>
      </c>
      <c r="AF82" s="57">
        <f ca="1">IF(TblMagic[[#This Row],[Harmony]],12,IF(OFFSET(TblMagic[[#This Row],[Active Harmony]],-1,0)&gt;0,OFFSET(TblMagic[[#This Row],[Active Harmony]],-1,0)-1,0))</f>
        <v>0</v>
      </c>
      <c r="AG82" s="57">
        <f ca="1">IF(TblMagic[[#This Row],[Miner''s Sight]],12,IF(OFFSET(TblMagic[[#This Row],[Active Miner''s Sight]],-1,0)&gt;0,OFFSET(TblMagic[[#This Row],[Active Miner''s Sight]],-1,0)-1,0))</f>
        <v>0</v>
      </c>
      <c r="AH82" s="57">
        <f ca="1">IF(TblMagic[[#This Row],[Mechanical Genius]],12,IF(OFFSET(TblMagic[[#This Row],[Active Mechanical Genius]],-1,0)&gt;0,OFFSET(TblMagic[[#This Row],[Active Mechanical Genius]],-1,0)-1,0))</f>
        <v>0</v>
      </c>
      <c r="AI82" s="57">
        <f ca="1">IF(TblMagic[[#This Row],[Death and Decay]],12,IF(OFFSET(TblMagic[[#This Row],[Active DnD]],-1,0)&gt;0,OFFSET(TblMagic[[#This Row],[Active DnD]],-1,0)-1,0))</f>
        <v>0</v>
      </c>
      <c r="AJ82" s="57">
        <f ca="1">IF(TblMagic[[#This Row],[Killing Rage / Bloodrage / Crusade]],12,IF(OFFSET(TblMagic[[#This Row],[Active Warsong / Killing Rage / Bloodrage]],-1,0)&gt;0,OFFSET(TblMagic[[#This Row],[Active Warsong / Killing Rage / Bloodrage]],-1,0)-1,0))</f>
        <v>0</v>
      </c>
      <c r="AK82" s="57">
        <f ca="1">IF(TblMagic[[#This Row],[Gaia''s Blessing]],12,IF(OFFSET(TblMagic[[#This Row],[Active Gaia''s Blessing]],-1,0)&gt;0,OFFSET(TblMagic[[#This Row],[Active Gaia''s Blessing]],-1,0)-1,0))</f>
        <v>0</v>
      </c>
      <c r="AL82" s="57">
        <f ca="1">IF(TblMagic[[#This Row],[Howling]],12,IF(OFFSET(TblMagic[[#This Row],[Active Howling]],-1,0)&gt;0,OFFSET(TblMagic[[#This Row],[Active Howling]],-1,0)-1,0))</f>
        <v>0</v>
      </c>
      <c r="AM82" s="57">
        <f ca="1">IF(TblMagic[[#This Row],[Alchemist Frost]],12,IF(OFFSET(TblMagic[[#This Row],[Active Alch Frost]],-1,0)&gt;0,OFFSET(TblMagic[[#This Row],[Active Alch Frost]],-1,0)-1,0))</f>
        <v>0</v>
      </c>
      <c r="AN82" s="57">
        <f ca="1">IF(TblMagic[[#This Row],[Alchemists Flame]],12,IF(OFFSET(TblMagic[[#This Row],[Active Alchemists Flame]],-1,0)&gt;0,OFFSET(TblMagic[[#This Row],[Active Alchemists Flame]],-1,0)-1,0))</f>
        <v>0</v>
      </c>
      <c r="AO82" s="57">
        <f ca="1">IF(TblMagic[[#This Row],[Nightfall]],12,IF(OFFSET(TblMagic[[#This Row],[Active Nightfall]],-1,0)&gt;0,OFFSET(TblMagic[[#This Row],[Active Nightfall]],-1,0)-1,0))</f>
        <v>0</v>
      </c>
      <c r="AP82" s="57">
        <f ca="1">IF(TblMagic[[#This Row],[Favorable Terrain]],12,IF(OFFSET(TblMagic[[#This Row],[Active Favorable Terrain]],-1,0)&gt;0,OFFSET(TblMagic[[#This Row],[Active Favorable Terrain]],-1,0)-1,0))</f>
        <v>0</v>
      </c>
      <c r="AQ82" s="57">
        <f ca="1">IF(TblMagic[[#This Row],[Infernal Command]],12,IF(OFFSET(TblMagic[[#This Row],[Active Infernal Command]],-1,0)&gt;0,OFFSET(TblMagic[[#This Row],[Active Infernal Command]],-1,0)-1,0))</f>
        <v>0</v>
      </c>
    </row>
    <row r="83" spans="1:43" x14ac:dyDescent="0.2">
      <c r="A83" s="137">
        <f>TblRezone[[#This Row],[Hour]]</f>
        <v>80</v>
      </c>
      <c r="B83" s="154">
        <f ca="1">TblConstr[[#This Row],[Land]]</f>
        <v>110</v>
      </c>
      <c r="C83" s="94">
        <f ca="1">TblProd[[#This Row],[Mana]]</f>
        <v>0</v>
      </c>
      <c r="D83" s="156">
        <f ca="1">MIN(1,OFFSET(TblMagic[[#This Row],[Wiz str]],-1,0)+0.04+ROUNDDOWN(10*OFFSET(TblMili[[#This Row],[WG''s]],-1,0),0)+ tech_2_7*OFFSET(TblTech[[#This Row],[2-7]],-1,0) + tech_5_6*OFFSET(TblTech[[#This Row],[5-6]],-1,0) )-TblMagic[[#This Row],[Wiz str cost]]</f>
        <v>1</v>
      </c>
      <c r="E83" s="159">
        <f ca="1">OFFSET(TblMagic[[#This Row],[Time]],-1,0)+1/24</f>
        <v>46050.291666666475</v>
      </c>
      <c r="F83" s="156">
        <f ca="1">TblImps[[#This Row],[Population]]</f>
        <v>1</v>
      </c>
      <c r="G83" s="218"/>
      <c r="H83" s="218"/>
      <c r="I83" s="218"/>
      <c r="J83" s="218"/>
      <c r="K83" s="405"/>
      <c r="L83" s="218"/>
      <c r="M83" s="218"/>
      <c r="N83" s="218"/>
      <c r="O83" s="218"/>
      <c r="P83" s="218"/>
      <c r="Q83" s="218"/>
      <c r="R83" s="218"/>
      <c r="S83" s="218"/>
      <c r="T83" s="218"/>
      <c r="U83" s="218"/>
      <c r="V83" s="218"/>
      <c r="W83" s="218"/>
      <c r="X83" s="142"/>
      <c r="Y8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3" s="156">
        <f>SUMIF(TblMagic[[#This Row],[Gaia''s Watch]:[Useless spell]],1)*0.05</f>
        <v>0</v>
      </c>
      <c r="AA83" s="142"/>
      <c r="AB83" s="57">
        <f ca="1">IF(TblMagic[[#This Row],[Gaia''s Watch]],12,IF(OFFSET(TblMagic[[#This Row],[Active Gaia''s Watch]],-1,0)&gt;0,OFFSET(TblMagic[[#This Row],[Active Gaia''s Watch]],-1,0)-1,0))</f>
        <v>0</v>
      </c>
      <c r="AC83" s="57">
        <f ca="1">IF(TblMagic[[#This Row],[Mining Strength]],12,IF(OFFSET(TblMagic[[#This Row],[Active Mining Strength]],-1,0)&gt;0,OFFSET(TblMagic[[#This Row],[Active Mining Strength]],-1,0)-1,0))</f>
        <v>0</v>
      </c>
      <c r="AD83" s="57">
        <f ca="1">IF(TblMagic[[#This Row],[Ares Call]],12,IF(OFFSET(TblMagic[[#This Row],[Active Ares Call]],-1,0)&gt;0,OFFSET(TblMagic[[#This Row],[Active Ares Call]],-1,0)-1,0))</f>
        <v>0</v>
      </c>
      <c r="AE83" s="57">
        <f ca="1">IF(TblMagic[[#This Row],[Midas Touch]],12,IF(OFFSET(TblMagic[[#This Row],[Active Midas Touch]],-1,0)&gt;0,OFFSET(TblMagic[[#This Row],[Active Midas Touch]],-1,0)-1,0))</f>
        <v>0</v>
      </c>
      <c r="AF83" s="57">
        <f ca="1">IF(TblMagic[[#This Row],[Harmony]],12,IF(OFFSET(TblMagic[[#This Row],[Active Harmony]],-1,0)&gt;0,OFFSET(TblMagic[[#This Row],[Active Harmony]],-1,0)-1,0))</f>
        <v>0</v>
      </c>
      <c r="AG83" s="57">
        <f ca="1">IF(TblMagic[[#This Row],[Miner''s Sight]],12,IF(OFFSET(TblMagic[[#This Row],[Active Miner''s Sight]],-1,0)&gt;0,OFFSET(TblMagic[[#This Row],[Active Miner''s Sight]],-1,0)-1,0))</f>
        <v>0</v>
      </c>
      <c r="AH83" s="57">
        <f ca="1">IF(TblMagic[[#This Row],[Mechanical Genius]],12,IF(OFFSET(TblMagic[[#This Row],[Active Mechanical Genius]],-1,0)&gt;0,OFFSET(TblMagic[[#This Row],[Active Mechanical Genius]],-1,0)-1,0))</f>
        <v>0</v>
      </c>
      <c r="AI83" s="57">
        <f ca="1">IF(TblMagic[[#This Row],[Death and Decay]],12,IF(OFFSET(TblMagic[[#This Row],[Active DnD]],-1,0)&gt;0,OFFSET(TblMagic[[#This Row],[Active DnD]],-1,0)-1,0))</f>
        <v>0</v>
      </c>
      <c r="AJ83" s="57">
        <f ca="1">IF(TblMagic[[#This Row],[Killing Rage / Bloodrage / Crusade]],12,IF(OFFSET(TblMagic[[#This Row],[Active Warsong / Killing Rage / Bloodrage]],-1,0)&gt;0,OFFSET(TblMagic[[#This Row],[Active Warsong / Killing Rage / Bloodrage]],-1,0)-1,0))</f>
        <v>0</v>
      </c>
      <c r="AK83" s="57">
        <f ca="1">IF(TblMagic[[#This Row],[Gaia''s Blessing]],12,IF(OFFSET(TblMagic[[#This Row],[Active Gaia''s Blessing]],-1,0)&gt;0,OFFSET(TblMagic[[#This Row],[Active Gaia''s Blessing]],-1,0)-1,0))</f>
        <v>0</v>
      </c>
      <c r="AL83" s="57">
        <f ca="1">IF(TblMagic[[#This Row],[Howling]],12,IF(OFFSET(TblMagic[[#This Row],[Active Howling]],-1,0)&gt;0,OFFSET(TblMagic[[#This Row],[Active Howling]],-1,0)-1,0))</f>
        <v>0</v>
      </c>
      <c r="AM83" s="57">
        <f ca="1">IF(TblMagic[[#This Row],[Alchemist Frost]],12,IF(OFFSET(TblMagic[[#This Row],[Active Alch Frost]],-1,0)&gt;0,OFFSET(TblMagic[[#This Row],[Active Alch Frost]],-1,0)-1,0))</f>
        <v>0</v>
      </c>
      <c r="AN83" s="57">
        <f ca="1">IF(TblMagic[[#This Row],[Alchemists Flame]],12,IF(OFFSET(TblMagic[[#This Row],[Active Alchemists Flame]],-1,0)&gt;0,OFFSET(TblMagic[[#This Row],[Active Alchemists Flame]],-1,0)-1,0))</f>
        <v>0</v>
      </c>
      <c r="AO83" s="57">
        <f ca="1">IF(TblMagic[[#This Row],[Nightfall]],12,IF(OFFSET(TblMagic[[#This Row],[Active Nightfall]],-1,0)&gt;0,OFFSET(TblMagic[[#This Row],[Active Nightfall]],-1,0)-1,0))</f>
        <v>0</v>
      </c>
      <c r="AP83" s="57">
        <f ca="1">IF(TblMagic[[#This Row],[Favorable Terrain]],12,IF(OFFSET(TblMagic[[#This Row],[Active Favorable Terrain]],-1,0)&gt;0,OFFSET(TblMagic[[#This Row],[Active Favorable Terrain]],-1,0)-1,0))</f>
        <v>0</v>
      </c>
      <c r="AQ83" s="57">
        <f ca="1">IF(TblMagic[[#This Row],[Infernal Command]],12,IF(OFFSET(TblMagic[[#This Row],[Active Infernal Command]],-1,0)&gt;0,OFFSET(TblMagic[[#This Row],[Active Infernal Command]],-1,0)-1,0))</f>
        <v>0</v>
      </c>
    </row>
    <row r="84" spans="1:43" x14ac:dyDescent="0.2">
      <c r="A84" s="137">
        <f>TblRezone[[#This Row],[Hour]]</f>
        <v>81</v>
      </c>
      <c r="B84" s="154">
        <f ca="1">TblConstr[[#This Row],[Land]]</f>
        <v>110</v>
      </c>
      <c r="C84" s="94">
        <f ca="1">TblProd[[#This Row],[Mana]]</f>
        <v>0</v>
      </c>
      <c r="D84" s="156">
        <f ca="1">MIN(1,OFFSET(TblMagic[[#This Row],[Wiz str]],-1,0)+0.04+ROUNDDOWN(10*OFFSET(TblMili[[#This Row],[WG''s]],-1,0),0)+ tech_2_7*OFFSET(TblTech[[#This Row],[2-7]],-1,0) + tech_5_6*OFFSET(TblTech[[#This Row],[5-6]],-1,0) )-TblMagic[[#This Row],[Wiz str cost]]</f>
        <v>1</v>
      </c>
      <c r="E84" s="159">
        <f ca="1">OFFSET(TblMagic[[#This Row],[Time]],-1,0)+1/24</f>
        <v>46050.333333333139</v>
      </c>
      <c r="F84" s="156">
        <f ca="1">TblImps[[#This Row],[Population]]</f>
        <v>1</v>
      </c>
      <c r="G84" s="218"/>
      <c r="H84" s="218"/>
      <c r="I84" s="218"/>
      <c r="J84" s="218"/>
      <c r="K84" s="405"/>
      <c r="L84" s="218"/>
      <c r="M84" s="218"/>
      <c r="N84" s="218"/>
      <c r="O84" s="218"/>
      <c r="P84" s="218"/>
      <c r="Q84" s="218"/>
      <c r="R84" s="218"/>
      <c r="S84" s="218"/>
      <c r="T84" s="218"/>
      <c r="U84" s="218"/>
      <c r="V84" s="218"/>
      <c r="W84" s="218"/>
      <c r="X84" s="142"/>
      <c r="Y8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4" s="156">
        <f>SUMIF(TblMagic[[#This Row],[Gaia''s Watch]:[Useless spell]],1)*0.05</f>
        <v>0</v>
      </c>
      <c r="AA84" s="142"/>
      <c r="AB84" s="57">
        <f ca="1">IF(TblMagic[[#This Row],[Gaia''s Watch]],12,IF(OFFSET(TblMagic[[#This Row],[Active Gaia''s Watch]],-1,0)&gt;0,OFFSET(TblMagic[[#This Row],[Active Gaia''s Watch]],-1,0)-1,0))</f>
        <v>0</v>
      </c>
      <c r="AC84" s="57">
        <f ca="1">IF(TblMagic[[#This Row],[Mining Strength]],12,IF(OFFSET(TblMagic[[#This Row],[Active Mining Strength]],-1,0)&gt;0,OFFSET(TblMagic[[#This Row],[Active Mining Strength]],-1,0)-1,0))</f>
        <v>0</v>
      </c>
      <c r="AD84" s="57">
        <f ca="1">IF(TblMagic[[#This Row],[Ares Call]],12,IF(OFFSET(TblMagic[[#This Row],[Active Ares Call]],-1,0)&gt;0,OFFSET(TblMagic[[#This Row],[Active Ares Call]],-1,0)-1,0))</f>
        <v>0</v>
      </c>
      <c r="AE84" s="57">
        <f ca="1">IF(TblMagic[[#This Row],[Midas Touch]],12,IF(OFFSET(TblMagic[[#This Row],[Active Midas Touch]],-1,0)&gt;0,OFFSET(TblMagic[[#This Row],[Active Midas Touch]],-1,0)-1,0))</f>
        <v>0</v>
      </c>
      <c r="AF84" s="57">
        <f ca="1">IF(TblMagic[[#This Row],[Harmony]],12,IF(OFFSET(TblMagic[[#This Row],[Active Harmony]],-1,0)&gt;0,OFFSET(TblMagic[[#This Row],[Active Harmony]],-1,0)-1,0))</f>
        <v>0</v>
      </c>
      <c r="AG84" s="57">
        <f ca="1">IF(TblMagic[[#This Row],[Miner''s Sight]],12,IF(OFFSET(TblMagic[[#This Row],[Active Miner''s Sight]],-1,0)&gt;0,OFFSET(TblMagic[[#This Row],[Active Miner''s Sight]],-1,0)-1,0))</f>
        <v>0</v>
      </c>
      <c r="AH84" s="57">
        <f ca="1">IF(TblMagic[[#This Row],[Mechanical Genius]],12,IF(OFFSET(TblMagic[[#This Row],[Active Mechanical Genius]],-1,0)&gt;0,OFFSET(TblMagic[[#This Row],[Active Mechanical Genius]],-1,0)-1,0))</f>
        <v>0</v>
      </c>
      <c r="AI84" s="57">
        <f ca="1">IF(TblMagic[[#This Row],[Death and Decay]],12,IF(OFFSET(TblMagic[[#This Row],[Active DnD]],-1,0)&gt;0,OFFSET(TblMagic[[#This Row],[Active DnD]],-1,0)-1,0))</f>
        <v>0</v>
      </c>
      <c r="AJ84" s="57">
        <f ca="1">IF(TblMagic[[#This Row],[Killing Rage / Bloodrage / Crusade]],12,IF(OFFSET(TblMagic[[#This Row],[Active Warsong / Killing Rage / Bloodrage]],-1,0)&gt;0,OFFSET(TblMagic[[#This Row],[Active Warsong / Killing Rage / Bloodrage]],-1,0)-1,0))</f>
        <v>0</v>
      </c>
      <c r="AK84" s="57">
        <f ca="1">IF(TblMagic[[#This Row],[Gaia''s Blessing]],12,IF(OFFSET(TblMagic[[#This Row],[Active Gaia''s Blessing]],-1,0)&gt;0,OFFSET(TblMagic[[#This Row],[Active Gaia''s Blessing]],-1,0)-1,0))</f>
        <v>0</v>
      </c>
      <c r="AL84" s="57">
        <f ca="1">IF(TblMagic[[#This Row],[Howling]],12,IF(OFFSET(TblMagic[[#This Row],[Active Howling]],-1,0)&gt;0,OFFSET(TblMagic[[#This Row],[Active Howling]],-1,0)-1,0))</f>
        <v>0</v>
      </c>
      <c r="AM84" s="57">
        <f ca="1">IF(TblMagic[[#This Row],[Alchemist Frost]],12,IF(OFFSET(TblMagic[[#This Row],[Active Alch Frost]],-1,0)&gt;0,OFFSET(TblMagic[[#This Row],[Active Alch Frost]],-1,0)-1,0))</f>
        <v>0</v>
      </c>
      <c r="AN84" s="57">
        <f ca="1">IF(TblMagic[[#This Row],[Alchemists Flame]],12,IF(OFFSET(TblMagic[[#This Row],[Active Alchemists Flame]],-1,0)&gt;0,OFFSET(TblMagic[[#This Row],[Active Alchemists Flame]],-1,0)-1,0))</f>
        <v>0</v>
      </c>
      <c r="AO84" s="57">
        <f ca="1">IF(TblMagic[[#This Row],[Nightfall]],12,IF(OFFSET(TblMagic[[#This Row],[Active Nightfall]],-1,0)&gt;0,OFFSET(TblMagic[[#This Row],[Active Nightfall]],-1,0)-1,0))</f>
        <v>0</v>
      </c>
      <c r="AP84" s="57">
        <f ca="1">IF(TblMagic[[#This Row],[Favorable Terrain]],12,IF(OFFSET(TblMagic[[#This Row],[Active Favorable Terrain]],-1,0)&gt;0,OFFSET(TblMagic[[#This Row],[Active Favorable Terrain]],-1,0)-1,0))</f>
        <v>0</v>
      </c>
      <c r="AQ84" s="57">
        <f ca="1">IF(TblMagic[[#This Row],[Infernal Command]],12,IF(OFFSET(TblMagic[[#This Row],[Active Infernal Command]],-1,0)&gt;0,OFFSET(TblMagic[[#This Row],[Active Infernal Command]],-1,0)-1,0))</f>
        <v>0</v>
      </c>
    </row>
    <row r="85" spans="1:43" x14ac:dyDescent="0.2">
      <c r="A85" s="137">
        <f>TblRezone[[#This Row],[Hour]]</f>
        <v>82</v>
      </c>
      <c r="B85" s="154">
        <f ca="1">TblConstr[[#This Row],[Land]]</f>
        <v>110</v>
      </c>
      <c r="C85" s="94">
        <f ca="1">TblProd[[#This Row],[Mana]]</f>
        <v>0</v>
      </c>
      <c r="D85" s="156">
        <f ca="1">MIN(1,OFFSET(TblMagic[[#This Row],[Wiz str]],-1,0)+0.04+ROUNDDOWN(10*OFFSET(TblMili[[#This Row],[WG''s]],-1,0),0)+ tech_2_7*OFFSET(TblTech[[#This Row],[2-7]],-1,0) + tech_5_6*OFFSET(TblTech[[#This Row],[5-6]],-1,0) )-TblMagic[[#This Row],[Wiz str cost]]</f>
        <v>1</v>
      </c>
      <c r="E85" s="159">
        <f ca="1">OFFSET(TblMagic[[#This Row],[Time]],-1,0)+1/24</f>
        <v>46050.374999999804</v>
      </c>
      <c r="F85" s="156">
        <f ca="1">TblImps[[#This Row],[Population]]</f>
        <v>1</v>
      </c>
      <c r="G85" s="218"/>
      <c r="H85" s="218"/>
      <c r="I85" s="218"/>
      <c r="J85" s="218"/>
      <c r="K85" s="405"/>
      <c r="L85" s="218"/>
      <c r="M85" s="218"/>
      <c r="N85" s="218"/>
      <c r="O85" s="218"/>
      <c r="P85" s="218"/>
      <c r="Q85" s="218"/>
      <c r="R85" s="218"/>
      <c r="S85" s="218"/>
      <c r="T85" s="218"/>
      <c r="U85" s="218"/>
      <c r="V85" s="218"/>
      <c r="W85" s="218"/>
      <c r="X85" s="142"/>
      <c r="Y8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5" s="156">
        <f>SUMIF(TblMagic[[#This Row],[Gaia''s Watch]:[Useless spell]],1)*0.05</f>
        <v>0</v>
      </c>
      <c r="AA85" s="142"/>
      <c r="AB85" s="57">
        <f ca="1">IF(TblMagic[[#This Row],[Gaia''s Watch]],12,IF(OFFSET(TblMagic[[#This Row],[Active Gaia''s Watch]],-1,0)&gt;0,OFFSET(TblMagic[[#This Row],[Active Gaia''s Watch]],-1,0)-1,0))</f>
        <v>0</v>
      </c>
      <c r="AC85" s="57">
        <f ca="1">IF(TblMagic[[#This Row],[Mining Strength]],12,IF(OFFSET(TblMagic[[#This Row],[Active Mining Strength]],-1,0)&gt;0,OFFSET(TblMagic[[#This Row],[Active Mining Strength]],-1,0)-1,0))</f>
        <v>0</v>
      </c>
      <c r="AD85" s="57">
        <f ca="1">IF(TblMagic[[#This Row],[Ares Call]],12,IF(OFFSET(TblMagic[[#This Row],[Active Ares Call]],-1,0)&gt;0,OFFSET(TblMagic[[#This Row],[Active Ares Call]],-1,0)-1,0))</f>
        <v>0</v>
      </c>
      <c r="AE85" s="57">
        <f ca="1">IF(TblMagic[[#This Row],[Midas Touch]],12,IF(OFFSET(TblMagic[[#This Row],[Active Midas Touch]],-1,0)&gt;0,OFFSET(TblMagic[[#This Row],[Active Midas Touch]],-1,0)-1,0))</f>
        <v>0</v>
      </c>
      <c r="AF85" s="57">
        <f ca="1">IF(TblMagic[[#This Row],[Harmony]],12,IF(OFFSET(TblMagic[[#This Row],[Active Harmony]],-1,0)&gt;0,OFFSET(TblMagic[[#This Row],[Active Harmony]],-1,0)-1,0))</f>
        <v>0</v>
      </c>
      <c r="AG85" s="57">
        <f ca="1">IF(TblMagic[[#This Row],[Miner''s Sight]],12,IF(OFFSET(TblMagic[[#This Row],[Active Miner''s Sight]],-1,0)&gt;0,OFFSET(TblMagic[[#This Row],[Active Miner''s Sight]],-1,0)-1,0))</f>
        <v>0</v>
      </c>
      <c r="AH85" s="57">
        <f ca="1">IF(TblMagic[[#This Row],[Mechanical Genius]],12,IF(OFFSET(TblMagic[[#This Row],[Active Mechanical Genius]],-1,0)&gt;0,OFFSET(TblMagic[[#This Row],[Active Mechanical Genius]],-1,0)-1,0))</f>
        <v>0</v>
      </c>
      <c r="AI85" s="57">
        <f ca="1">IF(TblMagic[[#This Row],[Death and Decay]],12,IF(OFFSET(TblMagic[[#This Row],[Active DnD]],-1,0)&gt;0,OFFSET(TblMagic[[#This Row],[Active DnD]],-1,0)-1,0))</f>
        <v>0</v>
      </c>
      <c r="AJ85" s="57">
        <f ca="1">IF(TblMagic[[#This Row],[Killing Rage / Bloodrage / Crusade]],12,IF(OFFSET(TblMagic[[#This Row],[Active Warsong / Killing Rage / Bloodrage]],-1,0)&gt;0,OFFSET(TblMagic[[#This Row],[Active Warsong / Killing Rage / Bloodrage]],-1,0)-1,0))</f>
        <v>0</v>
      </c>
      <c r="AK85" s="57">
        <f ca="1">IF(TblMagic[[#This Row],[Gaia''s Blessing]],12,IF(OFFSET(TblMagic[[#This Row],[Active Gaia''s Blessing]],-1,0)&gt;0,OFFSET(TblMagic[[#This Row],[Active Gaia''s Blessing]],-1,0)-1,0))</f>
        <v>0</v>
      </c>
      <c r="AL85" s="57">
        <f ca="1">IF(TblMagic[[#This Row],[Howling]],12,IF(OFFSET(TblMagic[[#This Row],[Active Howling]],-1,0)&gt;0,OFFSET(TblMagic[[#This Row],[Active Howling]],-1,0)-1,0))</f>
        <v>0</v>
      </c>
      <c r="AM85" s="57">
        <f ca="1">IF(TblMagic[[#This Row],[Alchemist Frost]],12,IF(OFFSET(TblMagic[[#This Row],[Active Alch Frost]],-1,0)&gt;0,OFFSET(TblMagic[[#This Row],[Active Alch Frost]],-1,0)-1,0))</f>
        <v>0</v>
      </c>
      <c r="AN85" s="57">
        <f ca="1">IF(TblMagic[[#This Row],[Alchemists Flame]],12,IF(OFFSET(TblMagic[[#This Row],[Active Alchemists Flame]],-1,0)&gt;0,OFFSET(TblMagic[[#This Row],[Active Alchemists Flame]],-1,0)-1,0))</f>
        <v>0</v>
      </c>
      <c r="AO85" s="57">
        <f ca="1">IF(TblMagic[[#This Row],[Nightfall]],12,IF(OFFSET(TblMagic[[#This Row],[Active Nightfall]],-1,0)&gt;0,OFFSET(TblMagic[[#This Row],[Active Nightfall]],-1,0)-1,0))</f>
        <v>0</v>
      </c>
      <c r="AP85" s="57">
        <f ca="1">IF(TblMagic[[#This Row],[Favorable Terrain]],12,IF(OFFSET(TblMagic[[#This Row],[Active Favorable Terrain]],-1,0)&gt;0,OFFSET(TblMagic[[#This Row],[Active Favorable Terrain]],-1,0)-1,0))</f>
        <v>0</v>
      </c>
      <c r="AQ85" s="57">
        <f ca="1">IF(TblMagic[[#This Row],[Infernal Command]],12,IF(OFFSET(TblMagic[[#This Row],[Active Infernal Command]],-1,0)&gt;0,OFFSET(TblMagic[[#This Row],[Active Infernal Command]],-1,0)-1,0))</f>
        <v>0</v>
      </c>
    </row>
    <row r="86" spans="1:43" x14ac:dyDescent="0.2">
      <c r="A86" s="137">
        <f>TblRezone[[#This Row],[Hour]]</f>
        <v>83</v>
      </c>
      <c r="B86" s="154">
        <f ca="1">TblConstr[[#This Row],[Land]]</f>
        <v>110</v>
      </c>
      <c r="C86" s="94">
        <f ca="1">TblProd[[#This Row],[Mana]]</f>
        <v>0</v>
      </c>
      <c r="D86" s="156">
        <f ca="1">MIN(1,OFFSET(TblMagic[[#This Row],[Wiz str]],-1,0)+0.04+ROUNDDOWN(10*OFFSET(TblMili[[#This Row],[WG''s]],-1,0),0)+ tech_2_7*OFFSET(TblTech[[#This Row],[2-7]],-1,0) + tech_5_6*OFFSET(TblTech[[#This Row],[5-6]],-1,0) )-TblMagic[[#This Row],[Wiz str cost]]</f>
        <v>1</v>
      </c>
      <c r="E86" s="159">
        <f ca="1">OFFSET(TblMagic[[#This Row],[Time]],-1,0)+1/24</f>
        <v>46050.416666666468</v>
      </c>
      <c r="F86" s="156">
        <f ca="1">TblImps[[#This Row],[Population]]</f>
        <v>1</v>
      </c>
      <c r="G86" s="218"/>
      <c r="H86" s="218"/>
      <c r="I86" s="218"/>
      <c r="J86" s="218"/>
      <c r="K86" s="405"/>
      <c r="L86" s="218"/>
      <c r="M86" s="218"/>
      <c r="N86" s="218"/>
      <c r="O86" s="218"/>
      <c r="P86" s="218"/>
      <c r="Q86" s="218"/>
      <c r="R86" s="218"/>
      <c r="S86" s="218"/>
      <c r="T86" s="218"/>
      <c r="U86" s="218"/>
      <c r="V86" s="218"/>
      <c r="W86" s="218"/>
      <c r="X86" s="142"/>
      <c r="Y8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6" s="156">
        <f>SUMIF(TblMagic[[#This Row],[Gaia''s Watch]:[Useless spell]],1)*0.05</f>
        <v>0</v>
      </c>
      <c r="AA86" s="142"/>
      <c r="AB86" s="57">
        <f ca="1">IF(TblMagic[[#This Row],[Gaia''s Watch]],12,IF(OFFSET(TblMagic[[#This Row],[Active Gaia''s Watch]],-1,0)&gt;0,OFFSET(TblMagic[[#This Row],[Active Gaia''s Watch]],-1,0)-1,0))</f>
        <v>0</v>
      </c>
      <c r="AC86" s="57">
        <f ca="1">IF(TblMagic[[#This Row],[Mining Strength]],12,IF(OFFSET(TblMagic[[#This Row],[Active Mining Strength]],-1,0)&gt;0,OFFSET(TblMagic[[#This Row],[Active Mining Strength]],-1,0)-1,0))</f>
        <v>0</v>
      </c>
      <c r="AD86" s="57">
        <f ca="1">IF(TblMagic[[#This Row],[Ares Call]],12,IF(OFFSET(TblMagic[[#This Row],[Active Ares Call]],-1,0)&gt;0,OFFSET(TblMagic[[#This Row],[Active Ares Call]],-1,0)-1,0))</f>
        <v>0</v>
      </c>
      <c r="AE86" s="57">
        <f ca="1">IF(TblMagic[[#This Row],[Midas Touch]],12,IF(OFFSET(TblMagic[[#This Row],[Active Midas Touch]],-1,0)&gt;0,OFFSET(TblMagic[[#This Row],[Active Midas Touch]],-1,0)-1,0))</f>
        <v>0</v>
      </c>
      <c r="AF86" s="57">
        <f ca="1">IF(TblMagic[[#This Row],[Harmony]],12,IF(OFFSET(TblMagic[[#This Row],[Active Harmony]],-1,0)&gt;0,OFFSET(TblMagic[[#This Row],[Active Harmony]],-1,0)-1,0))</f>
        <v>0</v>
      </c>
      <c r="AG86" s="57">
        <f ca="1">IF(TblMagic[[#This Row],[Miner''s Sight]],12,IF(OFFSET(TblMagic[[#This Row],[Active Miner''s Sight]],-1,0)&gt;0,OFFSET(TblMagic[[#This Row],[Active Miner''s Sight]],-1,0)-1,0))</f>
        <v>0</v>
      </c>
      <c r="AH86" s="57">
        <f ca="1">IF(TblMagic[[#This Row],[Mechanical Genius]],12,IF(OFFSET(TblMagic[[#This Row],[Active Mechanical Genius]],-1,0)&gt;0,OFFSET(TblMagic[[#This Row],[Active Mechanical Genius]],-1,0)-1,0))</f>
        <v>0</v>
      </c>
      <c r="AI86" s="57">
        <f ca="1">IF(TblMagic[[#This Row],[Death and Decay]],12,IF(OFFSET(TblMagic[[#This Row],[Active DnD]],-1,0)&gt;0,OFFSET(TblMagic[[#This Row],[Active DnD]],-1,0)-1,0))</f>
        <v>0</v>
      </c>
      <c r="AJ86" s="57">
        <f ca="1">IF(TblMagic[[#This Row],[Killing Rage / Bloodrage / Crusade]],12,IF(OFFSET(TblMagic[[#This Row],[Active Warsong / Killing Rage / Bloodrage]],-1,0)&gt;0,OFFSET(TblMagic[[#This Row],[Active Warsong / Killing Rage / Bloodrage]],-1,0)-1,0))</f>
        <v>0</v>
      </c>
      <c r="AK86" s="57">
        <f ca="1">IF(TblMagic[[#This Row],[Gaia''s Blessing]],12,IF(OFFSET(TblMagic[[#This Row],[Active Gaia''s Blessing]],-1,0)&gt;0,OFFSET(TblMagic[[#This Row],[Active Gaia''s Blessing]],-1,0)-1,0))</f>
        <v>0</v>
      </c>
      <c r="AL86" s="57">
        <f ca="1">IF(TblMagic[[#This Row],[Howling]],12,IF(OFFSET(TblMagic[[#This Row],[Active Howling]],-1,0)&gt;0,OFFSET(TblMagic[[#This Row],[Active Howling]],-1,0)-1,0))</f>
        <v>0</v>
      </c>
      <c r="AM86" s="57">
        <f ca="1">IF(TblMagic[[#This Row],[Alchemist Frost]],12,IF(OFFSET(TblMagic[[#This Row],[Active Alch Frost]],-1,0)&gt;0,OFFSET(TblMagic[[#This Row],[Active Alch Frost]],-1,0)-1,0))</f>
        <v>0</v>
      </c>
      <c r="AN86" s="57">
        <f ca="1">IF(TblMagic[[#This Row],[Alchemists Flame]],12,IF(OFFSET(TblMagic[[#This Row],[Active Alchemists Flame]],-1,0)&gt;0,OFFSET(TblMagic[[#This Row],[Active Alchemists Flame]],-1,0)-1,0))</f>
        <v>0</v>
      </c>
      <c r="AO86" s="57">
        <f ca="1">IF(TblMagic[[#This Row],[Nightfall]],12,IF(OFFSET(TblMagic[[#This Row],[Active Nightfall]],-1,0)&gt;0,OFFSET(TblMagic[[#This Row],[Active Nightfall]],-1,0)-1,0))</f>
        <v>0</v>
      </c>
      <c r="AP86" s="57">
        <f ca="1">IF(TblMagic[[#This Row],[Favorable Terrain]],12,IF(OFFSET(TblMagic[[#This Row],[Active Favorable Terrain]],-1,0)&gt;0,OFFSET(TblMagic[[#This Row],[Active Favorable Terrain]],-1,0)-1,0))</f>
        <v>0</v>
      </c>
      <c r="AQ86" s="57">
        <f ca="1">IF(TblMagic[[#This Row],[Infernal Command]],12,IF(OFFSET(TblMagic[[#This Row],[Active Infernal Command]],-1,0)&gt;0,OFFSET(TblMagic[[#This Row],[Active Infernal Command]],-1,0)-1,0))</f>
        <v>0</v>
      </c>
    </row>
    <row r="87" spans="1:43" x14ac:dyDescent="0.2">
      <c r="A87" s="137">
        <f>TblRezone[[#This Row],[Hour]]</f>
        <v>84</v>
      </c>
      <c r="B87" s="154">
        <f ca="1">TblConstr[[#This Row],[Land]]</f>
        <v>110</v>
      </c>
      <c r="C87" s="94">
        <f ca="1">TblProd[[#This Row],[Mana]]</f>
        <v>0</v>
      </c>
      <c r="D87" s="156">
        <f ca="1">MIN(1,OFFSET(TblMagic[[#This Row],[Wiz str]],-1,0)+0.04+ROUNDDOWN(10*OFFSET(TblMili[[#This Row],[WG''s]],-1,0),0)+ tech_2_7*OFFSET(TblTech[[#This Row],[2-7]],-1,0) + tech_5_6*OFFSET(TblTech[[#This Row],[5-6]],-1,0) )-TblMagic[[#This Row],[Wiz str cost]]</f>
        <v>1</v>
      </c>
      <c r="E87" s="159">
        <f ca="1">OFFSET(TblMagic[[#This Row],[Time]],-1,0)+1/24</f>
        <v>46050.458333333132</v>
      </c>
      <c r="F87" s="156">
        <f ca="1">TblImps[[#This Row],[Population]]</f>
        <v>1</v>
      </c>
      <c r="G87" s="218"/>
      <c r="H87" s="218"/>
      <c r="I87" s="218"/>
      <c r="J87" s="218"/>
      <c r="K87" s="405"/>
      <c r="L87" s="218"/>
      <c r="M87" s="218"/>
      <c r="N87" s="218"/>
      <c r="O87" s="218"/>
      <c r="P87" s="218"/>
      <c r="Q87" s="218"/>
      <c r="R87" s="218"/>
      <c r="S87" s="218"/>
      <c r="T87" s="218"/>
      <c r="U87" s="218"/>
      <c r="V87" s="218"/>
      <c r="W87" s="218"/>
      <c r="X87" s="142"/>
      <c r="Y8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7" s="156">
        <f>SUMIF(TblMagic[[#This Row],[Gaia''s Watch]:[Useless spell]],1)*0.05</f>
        <v>0</v>
      </c>
      <c r="AA87" s="142"/>
      <c r="AB87" s="57">
        <f ca="1">IF(TblMagic[[#This Row],[Gaia''s Watch]],12,IF(OFFSET(TblMagic[[#This Row],[Active Gaia''s Watch]],-1,0)&gt;0,OFFSET(TblMagic[[#This Row],[Active Gaia''s Watch]],-1,0)-1,0))</f>
        <v>0</v>
      </c>
      <c r="AC87" s="57">
        <f ca="1">IF(TblMagic[[#This Row],[Mining Strength]],12,IF(OFFSET(TblMagic[[#This Row],[Active Mining Strength]],-1,0)&gt;0,OFFSET(TblMagic[[#This Row],[Active Mining Strength]],-1,0)-1,0))</f>
        <v>0</v>
      </c>
      <c r="AD87" s="57">
        <f ca="1">IF(TblMagic[[#This Row],[Ares Call]],12,IF(OFFSET(TblMagic[[#This Row],[Active Ares Call]],-1,0)&gt;0,OFFSET(TblMagic[[#This Row],[Active Ares Call]],-1,0)-1,0))</f>
        <v>0</v>
      </c>
      <c r="AE87" s="57">
        <f ca="1">IF(TblMagic[[#This Row],[Midas Touch]],12,IF(OFFSET(TblMagic[[#This Row],[Active Midas Touch]],-1,0)&gt;0,OFFSET(TblMagic[[#This Row],[Active Midas Touch]],-1,0)-1,0))</f>
        <v>0</v>
      </c>
      <c r="AF87" s="57">
        <f ca="1">IF(TblMagic[[#This Row],[Harmony]],12,IF(OFFSET(TblMagic[[#This Row],[Active Harmony]],-1,0)&gt;0,OFFSET(TblMagic[[#This Row],[Active Harmony]],-1,0)-1,0))</f>
        <v>0</v>
      </c>
      <c r="AG87" s="57">
        <f ca="1">IF(TblMagic[[#This Row],[Miner''s Sight]],12,IF(OFFSET(TblMagic[[#This Row],[Active Miner''s Sight]],-1,0)&gt;0,OFFSET(TblMagic[[#This Row],[Active Miner''s Sight]],-1,0)-1,0))</f>
        <v>0</v>
      </c>
      <c r="AH87" s="57">
        <f ca="1">IF(TblMagic[[#This Row],[Mechanical Genius]],12,IF(OFFSET(TblMagic[[#This Row],[Active Mechanical Genius]],-1,0)&gt;0,OFFSET(TblMagic[[#This Row],[Active Mechanical Genius]],-1,0)-1,0))</f>
        <v>0</v>
      </c>
      <c r="AI87" s="57">
        <f ca="1">IF(TblMagic[[#This Row],[Death and Decay]],12,IF(OFFSET(TblMagic[[#This Row],[Active DnD]],-1,0)&gt;0,OFFSET(TblMagic[[#This Row],[Active DnD]],-1,0)-1,0))</f>
        <v>0</v>
      </c>
      <c r="AJ87" s="57">
        <f ca="1">IF(TblMagic[[#This Row],[Killing Rage / Bloodrage / Crusade]],12,IF(OFFSET(TblMagic[[#This Row],[Active Warsong / Killing Rage / Bloodrage]],-1,0)&gt;0,OFFSET(TblMagic[[#This Row],[Active Warsong / Killing Rage / Bloodrage]],-1,0)-1,0))</f>
        <v>0</v>
      </c>
      <c r="AK87" s="57">
        <f ca="1">IF(TblMagic[[#This Row],[Gaia''s Blessing]],12,IF(OFFSET(TblMagic[[#This Row],[Active Gaia''s Blessing]],-1,0)&gt;0,OFFSET(TblMagic[[#This Row],[Active Gaia''s Blessing]],-1,0)-1,0))</f>
        <v>0</v>
      </c>
      <c r="AL87" s="57">
        <f ca="1">IF(TblMagic[[#This Row],[Howling]],12,IF(OFFSET(TblMagic[[#This Row],[Active Howling]],-1,0)&gt;0,OFFSET(TblMagic[[#This Row],[Active Howling]],-1,0)-1,0))</f>
        <v>0</v>
      </c>
      <c r="AM87" s="57">
        <f ca="1">IF(TblMagic[[#This Row],[Alchemist Frost]],12,IF(OFFSET(TblMagic[[#This Row],[Active Alch Frost]],-1,0)&gt;0,OFFSET(TblMagic[[#This Row],[Active Alch Frost]],-1,0)-1,0))</f>
        <v>0</v>
      </c>
      <c r="AN87" s="57">
        <f ca="1">IF(TblMagic[[#This Row],[Alchemists Flame]],12,IF(OFFSET(TblMagic[[#This Row],[Active Alchemists Flame]],-1,0)&gt;0,OFFSET(TblMagic[[#This Row],[Active Alchemists Flame]],-1,0)-1,0))</f>
        <v>0</v>
      </c>
      <c r="AO87" s="57">
        <f ca="1">IF(TblMagic[[#This Row],[Nightfall]],12,IF(OFFSET(TblMagic[[#This Row],[Active Nightfall]],-1,0)&gt;0,OFFSET(TblMagic[[#This Row],[Active Nightfall]],-1,0)-1,0))</f>
        <v>0</v>
      </c>
      <c r="AP87" s="57">
        <f ca="1">IF(TblMagic[[#This Row],[Favorable Terrain]],12,IF(OFFSET(TblMagic[[#This Row],[Active Favorable Terrain]],-1,0)&gt;0,OFFSET(TblMagic[[#This Row],[Active Favorable Terrain]],-1,0)-1,0))</f>
        <v>0</v>
      </c>
      <c r="AQ87" s="57">
        <f ca="1">IF(TblMagic[[#This Row],[Infernal Command]],12,IF(OFFSET(TblMagic[[#This Row],[Active Infernal Command]],-1,0)&gt;0,OFFSET(TblMagic[[#This Row],[Active Infernal Command]],-1,0)-1,0))</f>
        <v>0</v>
      </c>
    </row>
    <row r="88" spans="1:43" x14ac:dyDescent="0.2">
      <c r="A88" s="137">
        <f>TblRezone[[#This Row],[Hour]]</f>
        <v>85</v>
      </c>
      <c r="B88" s="154">
        <f ca="1">TblConstr[[#This Row],[Land]]</f>
        <v>110</v>
      </c>
      <c r="C88" s="94">
        <f ca="1">TblProd[[#This Row],[Mana]]</f>
        <v>0</v>
      </c>
      <c r="D88" s="156">
        <f ca="1">MIN(1,OFFSET(TblMagic[[#This Row],[Wiz str]],-1,0)+0.04+ROUNDDOWN(10*OFFSET(TblMili[[#This Row],[WG''s]],-1,0),0)+ tech_2_7*OFFSET(TblTech[[#This Row],[2-7]],-1,0) + tech_5_6*OFFSET(TblTech[[#This Row],[5-6]],-1,0) )-TblMagic[[#This Row],[Wiz str cost]]</f>
        <v>1</v>
      </c>
      <c r="E88" s="159">
        <f ca="1">OFFSET(TblMagic[[#This Row],[Time]],-1,0)+1/24</f>
        <v>46050.499999999796</v>
      </c>
      <c r="F88" s="156">
        <f ca="1">TblImps[[#This Row],[Population]]</f>
        <v>1</v>
      </c>
      <c r="G88" s="218"/>
      <c r="H88" s="218"/>
      <c r="I88" s="218"/>
      <c r="J88" s="218"/>
      <c r="K88" s="405"/>
      <c r="L88" s="218"/>
      <c r="M88" s="218"/>
      <c r="N88" s="218"/>
      <c r="O88" s="218"/>
      <c r="P88" s="218"/>
      <c r="Q88" s="218"/>
      <c r="R88" s="218"/>
      <c r="S88" s="218"/>
      <c r="T88" s="218"/>
      <c r="U88" s="218"/>
      <c r="V88" s="218"/>
      <c r="W88" s="218"/>
      <c r="X88" s="142"/>
      <c r="Y8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8" s="156">
        <f>SUMIF(TblMagic[[#This Row],[Gaia''s Watch]:[Useless spell]],1)*0.05</f>
        <v>0</v>
      </c>
      <c r="AA88" s="142"/>
      <c r="AB88" s="57">
        <f ca="1">IF(TblMagic[[#This Row],[Gaia''s Watch]],12,IF(OFFSET(TblMagic[[#This Row],[Active Gaia''s Watch]],-1,0)&gt;0,OFFSET(TblMagic[[#This Row],[Active Gaia''s Watch]],-1,0)-1,0))</f>
        <v>0</v>
      </c>
      <c r="AC88" s="57">
        <f ca="1">IF(TblMagic[[#This Row],[Mining Strength]],12,IF(OFFSET(TblMagic[[#This Row],[Active Mining Strength]],-1,0)&gt;0,OFFSET(TblMagic[[#This Row],[Active Mining Strength]],-1,0)-1,0))</f>
        <v>0</v>
      </c>
      <c r="AD88" s="57">
        <f ca="1">IF(TblMagic[[#This Row],[Ares Call]],12,IF(OFFSET(TblMagic[[#This Row],[Active Ares Call]],-1,0)&gt;0,OFFSET(TblMagic[[#This Row],[Active Ares Call]],-1,0)-1,0))</f>
        <v>0</v>
      </c>
      <c r="AE88" s="57">
        <f ca="1">IF(TblMagic[[#This Row],[Midas Touch]],12,IF(OFFSET(TblMagic[[#This Row],[Active Midas Touch]],-1,0)&gt;0,OFFSET(TblMagic[[#This Row],[Active Midas Touch]],-1,0)-1,0))</f>
        <v>0</v>
      </c>
      <c r="AF88" s="57">
        <f ca="1">IF(TblMagic[[#This Row],[Harmony]],12,IF(OFFSET(TblMagic[[#This Row],[Active Harmony]],-1,0)&gt;0,OFFSET(TblMagic[[#This Row],[Active Harmony]],-1,0)-1,0))</f>
        <v>0</v>
      </c>
      <c r="AG88" s="57">
        <f ca="1">IF(TblMagic[[#This Row],[Miner''s Sight]],12,IF(OFFSET(TblMagic[[#This Row],[Active Miner''s Sight]],-1,0)&gt;0,OFFSET(TblMagic[[#This Row],[Active Miner''s Sight]],-1,0)-1,0))</f>
        <v>0</v>
      </c>
      <c r="AH88" s="57">
        <f ca="1">IF(TblMagic[[#This Row],[Mechanical Genius]],12,IF(OFFSET(TblMagic[[#This Row],[Active Mechanical Genius]],-1,0)&gt;0,OFFSET(TblMagic[[#This Row],[Active Mechanical Genius]],-1,0)-1,0))</f>
        <v>0</v>
      </c>
      <c r="AI88" s="57">
        <f ca="1">IF(TblMagic[[#This Row],[Death and Decay]],12,IF(OFFSET(TblMagic[[#This Row],[Active DnD]],-1,0)&gt;0,OFFSET(TblMagic[[#This Row],[Active DnD]],-1,0)-1,0))</f>
        <v>0</v>
      </c>
      <c r="AJ88" s="57">
        <f ca="1">IF(TblMagic[[#This Row],[Killing Rage / Bloodrage / Crusade]],12,IF(OFFSET(TblMagic[[#This Row],[Active Warsong / Killing Rage / Bloodrage]],-1,0)&gt;0,OFFSET(TblMagic[[#This Row],[Active Warsong / Killing Rage / Bloodrage]],-1,0)-1,0))</f>
        <v>0</v>
      </c>
      <c r="AK88" s="57">
        <f ca="1">IF(TblMagic[[#This Row],[Gaia''s Blessing]],12,IF(OFFSET(TblMagic[[#This Row],[Active Gaia''s Blessing]],-1,0)&gt;0,OFFSET(TblMagic[[#This Row],[Active Gaia''s Blessing]],-1,0)-1,0))</f>
        <v>0</v>
      </c>
      <c r="AL88" s="57">
        <f ca="1">IF(TblMagic[[#This Row],[Howling]],12,IF(OFFSET(TblMagic[[#This Row],[Active Howling]],-1,0)&gt;0,OFFSET(TblMagic[[#This Row],[Active Howling]],-1,0)-1,0))</f>
        <v>0</v>
      </c>
      <c r="AM88" s="57">
        <f ca="1">IF(TblMagic[[#This Row],[Alchemist Frost]],12,IF(OFFSET(TblMagic[[#This Row],[Active Alch Frost]],-1,0)&gt;0,OFFSET(TblMagic[[#This Row],[Active Alch Frost]],-1,0)-1,0))</f>
        <v>0</v>
      </c>
      <c r="AN88" s="57">
        <f ca="1">IF(TblMagic[[#This Row],[Alchemists Flame]],12,IF(OFFSET(TblMagic[[#This Row],[Active Alchemists Flame]],-1,0)&gt;0,OFFSET(TblMagic[[#This Row],[Active Alchemists Flame]],-1,0)-1,0))</f>
        <v>0</v>
      </c>
      <c r="AO88" s="57">
        <f ca="1">IF(TblMagic[[#This Row],[Nightfall]],12,IF(OFFSET(TblMagic[[#This Row],[Active Nightfall]],-1,0)&gt;0,OFFSET(TblMagic[[#This Row],[Active Nightfall]],-1,0)-1,0))</f>
        <v>0</v>
      </c>
      <c r="AP88" s="57">
        <f ca="1">IF(TblMagic[[#This Row],[Favorable Terrain]],12,IF(OFFSET(TblMagic[[#This Row],[Active Favorable Terrain]],-1,0)&gt;0,OFFSET(TblMagic[[#This Row],[Active Favorable Terrain]],-1,0)-1,0))</f>
        <v>0</v>
      </c>
      <c r="AQ88" s="57">
        <f ca="1">IF(TblMagic[[#This Row],[Infernal Command]],12,IF(OFFSET(TblMagic[[#This Row],[Active Infernal Command]],-1,0)&gt;0,OFFSET(TblMagic[[#This Row],[Active Infernal Command]],-1,0)-1,0))</f>
        <v>0</v>
      </c>
    </row>
    <row r="89" spans="1:43" x14ac:dyDescent="0.2">
      <c r="A89" s="137">
        <f>TblRezone[[#This Row],[Hour]]</f>
        <v>86</v>
      </c>
      <c r="B89" s="154">
        <f ca="1">TblConstr[[#This Row],[Land]]</f>
        <v>110</v>
      </c>
      <c r="C89" s="94">
        <f ca="1">TblProd[[#This Row],[Mana]]</f>
        <v>0</v>
      </c>
      <c r="D89" s="156">
        <f ca="1">MIN(1,OFFSET(TblMagic[[#This Row],[Wiz str]],-1,0)+0.04+ROUNDDOWN(10*OFFSET(TblMili[[#This Row],[WG''s]],-1,0),0)+ tech_2_7*OFFSET(TblTech[[#This Row],[2-7]],-1,0) + tech_5_6*OFFSET(TblTech[[#This Row],[5-6]],-1,0) )-TblMagic[[#This Row],[Wiz str cost]]</f>
        <v>1</v>
      </c>
      <c r="E89" s="159">
        <f ca="1">OFFSET(TblMagic[[#This Row],[Time]],-1,0)+1/24</f>
        <v>46050.541666666461</v>
      </c>
      <c r="F89" s="156">
        <f ca="1">TblImps[[#This Row],[Population]]</f>
        <v>1</v>
      </c>
      <c r="G89" s="218"/>
      <c r="H89" s="218"/>
      <c r="I89" s="218"/>
      <c r="J89" s="218"/>
      <c r="K89" s="405"/>
      <c r="L89" s="218"/>
      <c r="M89" s="218"/>
      <c r="N89" s="218"/>
      <c r="O89" s="218"/>
      <c r="P89" s="218"/>
      <c r="Q89" s="218"/>
      <c r="R89" s="218"/>
      <c r="S89" s="218"/>
      <c r="T89" s="218"/>
      <c r="U89" s="218"/>
      <c r="V89" s="218"/>
      <c r="W89" s="218"/>
      <c r="X89" s="142"/>
      <c r="Y8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89" s="156">
        <f>SUMIF(TblMagic[[#This Row],[Gaia''s Watch]:[Useless spell]],1)*0.05</f>
        <v>0</v>
      </c>
      <c r="AA89" s="142"/>
      <c r="AB89" s="57">
        <f ca="1">IF(TblMagic[[#This Row],[Gaia''s Watch]],12,IF(OFFSET(TblMagic[[#This Row],[Active Gaia''s Watch]],-1,0)&gt;0,OFFSET(TblMagic[[#This Row],[Active Gaia''s Watch]],-1,0)-1,0))</f>
        <v>0</v>
      </c>
      <c r="AC89" s="57">
        <f ca="1">IF(TblMagic[[#This Row],[Mining Strength]],12,IF(OFFSET(TblMagic[[#This Row],[Active Mining Strength]],-1,0)&gt;0,OFFSET(TblMagic[[#This Row],[Active Mining Strength]],-1,0)-1,0))</f>
        <v>0</v>
      </c>
      <c r="AD89" s="57">
        <f ca="1">IF(TblMagic[[#This Row],[Ares Call]],12,IF(OFFSET(TblMagic[[#This Row],[Active Ares Call]],-1,0)&gt;0,OFFSET(TblMagic[[#This Row],[Active Ares Call]],-1,0)-1,0))</f>
        <v>0</v>
      </c>
      <c r="AE89" s="57">
        <f ca="1">IF(TblMagic[[#This Row],[Midas Touch]],12,IF(OFFSET(TblMagic[[#This Row],[Active Midas Touch]],-1,0)&gt;0,OFFSET(TblMagic[[#This Row],[Active Midas Touch]],-1,0)-1,0))</f>
        <v>0</v>
      </c>
      <c r="AF89" s="57">
        <f ca="1">IF(TblMagic[[#This Row],[Harmony]],12,IF(OFFSET(TblMagic[[#This Row],[Active Harmony]],-1,0)&gt;0,OFFSET(TblMagic[[#This Row],[Active Harmony]],-1,0)-1,0))</f>
        <v>0</v>
      </c>
      <c r="AG89" s="57">
        <f ca="1">IF(TblMagic[[#This Row],[Miner''s Sight]],12,IF(OFFSET(TblMagic[[#This Row],[Active Miner''s Sight]],-1,0)&gt;0,OFFSET(TblMagic[[#This Row],[Active Miner''s Sight]],-1,0)-1,0))</f>
        <v>0</v>
      </c>
      <c r="AH89" s="57">
        <f ca="1">IF(TblMagic[[#This Row],[Mechanical Genius]],12,IF(OFFSET(TblMagic[[#This Row],[Active Mechanical Genius]],-1,0)&gt;0,OFFSET(TblMagic[[#This Row],[Active Mechanical Genius]],-1,0)-1,0))</f>
        <v>0</v>
      </c>
      <c r="AI89" s="57">
        <f ca="1">IF(TblMagic[[#This Row],[Death and Decay]],12,IF(OFFSET(TblMagic[[#This Row],[Active DnD]],-1,0)&gt;0,OFFSET(TblMagic[[#This Row],[Active DnD]],-1,0)-1,0))</f>
        <v>0</v>
      </c>
      <c r="AJ89" s="57">
        <f ca="1">IF(TblMagic[[#This Row],[Killing Rage / Bloodrage / Crusade]],12,IF(OFFSET(TblMagic[[#This Row],[Active Warsong / Killing Rage / Bloodrage]],-1,0)&gt;0,OFFSET(TblMagic[[#This Row],[Active Warsong / Killing Rage / Bloodrage]],-1,0)-1,0))</f>
        <v>0</v>
      </c>
      <c r="AK89" s="57">
        <f ca="1">IF(TblMagic[[#This Row],[Gaia''s Blessing]],12,IF(OFFSET(TblMagic[[#This Row],[Active Gaia''s Blessing]],-1,0)&gt;0,OFFSET(TblMagic[[#This Row],[Active Gaia''s Blessing]],-1,0)-1,0))</f>
        <v>0</v>
      </c>
      <c r="AL89" s="57">
        <f ca="1">IF(TblMagic[[#This Row],[Howling]],12,IF(OFFSET(TblMagic[[#This Row],[Active Howling]],-1,0)&gt;0,OFFSET(TblMagic[[#This Row],[Active Howling]],-1,0)-1,0))</f>
        <v>0</v>
      </c>
      <c r="AM89" s="57">
        <f ca="1">IF(TblMagic[[#This Row],[Alchemist Frost]],12,IF(OFFSET(TblMagic[[#This Row],[Active Alch Frost]],-1,0)&gt;0,OFFSET(TblMagic[[#This Row],[Active Alch Frost]],-1,0)-1,0))</f>
        <v>0</v>
      </c>
      <c r="AN89" s="57">
        <f ca="1">IF(TblMagic[[#This Row],[Alchemists Flame]],12,IF(OFFSET(TblMagic[[#This Row],[Active Alchemists Flame]],-1,0)&gt;0,OFFSET(TblMagic[[#This Row],[Active Alchemists Flame]],-1,0)-1,0))</f>
        <v>0</v>
      </c>
      <c r="AO89" s="57">
        <f ca="1">IF(TblMagic[[#This Row],[Nightfall]],12,IF(OFFSET(TblMagic[[#This Row],[Active Nightfall]],-1,0)&gt;0,OFFSET(TblMagic[[#This Row],[Active Nightfall]],-1,0)-1,0))</f>
        <v>0</v>
      </c>
      <c r="AP89" s="57">
        <f ca="1">IF(TblMagic[[#This Row],[Favorable Terrain]],12,IF(OFFSET(TblMagic[[#This Row],[Active Favorable Terrain]],-1,0)&gt;0,OFFSET(TblMagic[[#This Row],[Active Favorable Terrain]],-1,0)-1,0))</f>
        <v>0</v>
      </c>
      <c r="AQ89" s="57">
        <f ca="1">IF(TblMagic[[#This Row],[Infernal Command]],12,IF(OFFSET(TblMagic[[#This Row],[Active Infernal Command]],-1,0)&gt;0,OFFSET(TblMagic[[#This Row],[Active Infernal Command]],-1,0)-1,0))</f>
        <v>0</v>
      </c>
    </row>
    <row r="90" spans="1:43" x14ac:dyDescent="0.2">
      <c r="A90" s="137">
        <f>TblRezone[[#This Row],[Hour]]</f>
        <v>87</v>
      </c>
      <c r="B90" s="154">
        <f ca="1">TblConstr[[#This Row],[Land]]</f>
        <v>110</v>
      </c>
      <c r="C90" s="94">
        <f ca="1">TblProd[[#This Row],[Mana]]</f>
        <v>0</v>
      </c>
      <c r="D90" s="156">
        <f ca="1">MIN(1,OFFSET(TblMagic[[#This Row],[Wiz str]],-1,0)+0.04+ROUNDDOWN(10*OFFSET(TblMili[[#This Row],[WG''s]],-1,0),0)+ tech_2_7*OFFSET(TblTech[[#This Row],[2-7]],-1,0) + tech_5_6*OFFSET(TblTech[[#This Row],[5-6]],-1,0) )-TblMagic[[#This Row],[Wiz str cost]]</f>
        <v>1</v>
      </c>
      <c r="E90" s="159">
        <f ca="1">OFFSET(TblMagic[[#This Row],[Time]],-1,0)+1/24</f>
        <v>46050.583333333125</v>
      </c>
      <c r="F90" s="156">
        <f ca="1">TblImps[[#This Row],[Population]]</f>
        <v>1</v>
      </c>
      <c r="G90" s="218"/>
      <c r="H90" s="218"/>
      <c r="I90" s="218"/>
      <c r="J90" s="218"/>
      <c r="K90" s="405"/>
      <c r="L90" s="218"/>
      <c r="M90" s="218"/>
      <c r="N90" s="218"/>
      <c r="O90" s="218"/>
      <c r="P90" s="218"/>
      <c r="Q90" s="218"/>
      <c r="R90" s="218"/>
      <c r="S90" s="218"/>
      <c r="T90" s="218"/>
      <c r="U90" s="218"/>
      <c r="V90" s="218"/>
      <c r="W90" s="218"/>
      <c r="X90" s="142"/>
      <c r="Y9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0" s="156">
        <f>SUMIF(TblMagic[[#This Row],[Gaia''s Watch]:[Useless spell]],1)*0.05</f>
        <v>0</v>
      </c>
      <c r="AA90" s="142"/>
      <c r="AB90" s="57">
        <f ca="1">IF(TblMagic[[#This Row],[Gaia''s Watch]],12,IF(OFFSET(TblMagic[[#This Row],[Active Gaia''s Watch]],-1,0)&gt;0,OFFSET(TblMagic[[#This Row],[Active Gaia''s Watch]],-1,0)-1,0))</f>
        <v>0</v>
      </c>
      <c r="AC90" s="57">
        <f ca="1">IF(TblMagic[[#This Row],[Mining Strength]],12,IF(OFFSET(TblMagic[[#This Row],[Active Mining Strength]],-1,0)&gt;0,OFFSET(TblMagic[[#This Row],[Active Mining Strength]],-1,0)-1,0))</f>
        <v>0</v>
      </c>
      <c r="AD90" s="57">
        <f ca="1">IF(TblMagic[[#This Row],[Ares Call]],12,IF(OFFSET(TblMagic[[#This Row],[Active Ares Call]],-1,0)&gt;0,OFFSET(TblMagic[[#This Row],[Active Ares Call]],-1,0)-1,0))</f>
        <v>0</v>
      </c>
      <c r="AE90" s="57">
        <f ca="1">IF(TblMagic[[#This Row],[Midas Touch]],12,IF(OFFSET(TblMagic[[#This Row],[Active Midas Touch]],-1,0)&gt;0,OFFSET(TblMagic[[#This Row],[Active Midas Touch]],-1,0)-1,0))</f>
        <v>0</v>
      </c>
      <c r="AF90" s="57">
        <f ca="1">IF(TblMagic[[#This Row],[Harmony]],12,IF(OFFSET(TblMagic[[#This Row],[Active Harmony]],-1,0)&gt;0,OFFSET(TblMagic[[#This Row],[Active Harmony]],-1,0)-1,0))</f>
        <v>0</v>
      </c>
      <c r="AG90" s="57">
        <f ca="1">IF(TblMagic[[#This Row],[Miner''s Sight]],12,IF(OFFSET(TblMagic[[#This Row],[Active Miner''s Sight]],-1,0)&gt;0,OFFSET(TblMagic[[#This Row],[Active Miner''s Sight]],-1,0)-1,0))</f>
        <v>0</v>
      </c>
      <c r="AH90" s="57">
        <f ca="1">IF(TblMagic[[#This Row],[Mechanical Genius]],12,IF(OFFSET(TblMagic[[#This Row],[Active Mechanical Genius]],-1,0)&gt;0,OFFSET(TblMagic[[#This Row],[Active Mechanical Genius]],-1,0)-1,0))</f>
        <v>0</v>
      </c>
      <c r="AI90" s="57">
        <f ca="1">IF(TblMagic[[#This Row],[Death and Decay]],12,IF(OFFSET(TblMagic[[#This Row],[Active DnD]],-1,0)&gt;0,OFFSET(TblMagic[[#This Row],[Active DnD]],-1,0)-1,0))</f>
        <v>0</v>
      </c>
      <c r="AJ90" s="57">
        <f ca="1">IF(TblMagic[[#This Row],[Killing Rage / Bloodrage / Crusade]],12,IF(OFFSET(TblMagic[[#This Row],[Active Warsong / Killing Rage / Bloodrage]],-1,0)&gt;0,OFFSET(TblMagic[[#This Row],[Active Warsong / Killing Rage / Bloodrage]],-1,0)-1,0))</f>
        <v>0</v>
      </c>
      <c r="AK90" s="57">
        <f ca="1">IF(TblMagic[[#This Row],[Gaia''s Blessing]],12,IF(OFFSET(TblMagic[[#This Row],[Active Gaia''s Blessing]],-1,0)&gt;0,OFFSET(TblMagic[[#This Row],[Active Gaia''s Blessing]],-1,0)-1,0))</f>
        <v>0</v>
      </c>
      <c r="AL90" s="57">
        <f ca="1">IF(TblMagic[[#This Row],[Howling]],12,IF(OFFSET(TblMagic[[#This Row],[Active Howling]],-1,0)&gt;0,OFFSET(TblMagic[[#This Row],[Active Howling]],-1,0)-1,0))</f>
        <v>0</v>
      </c>
      <c r="AM90" s="57">
        <f ca="1">IF(TblMagic[[#This Row],[Alchemist Frost]],12,IF(OFFSET(TblMagic[[#This Row],[Active Alch Frost]],-1,0)&gt;0,OFFSET(TblMagic[[#This Row],[Active Alch Frost]],-1,0)-1,0))</f>
        <v>0</v>
      </c>
      <c r="AN90" s="57">
        <f ca="1">IF(TblMagic[[#This Row],[Alchemists Flame]],12,IF(OFFSET(TblMagic[[#This Row],[Active Alchemists Flame]],-1,0)&gt;0,OFFSET(TblMagic[[#This Row],[Active Alchemists Flame]],-1,0)-1,0))</f>
        <v>0</v>
      </c>
      <c r="AO90" s="57">
        <f ca="1">IF(TblMagic[[#This Row],[Nightfall]],12,IF(OFFSET(TblMagic[[#This Row],[Active Nightfall]],-1,0)&gt;0,OFFSET(TblMagic[[#This Row],[Active Nightfall]],-1,0)-1,0))</f>
        <v>0</v>
      </c>
      <c r="AP90" s="57">
        <f ca="1">IF(TblMagic[[#This Row],[Favorable Terrain]],12,IF(OFFSET(TblMagic[[#This Row],[Active Favorable Terrain]],-1,0)&gt;0,OFFSET(TblMagic[[#This Row],[Active Favorable Terrain]],-1,0)-1,0))</f>
        <v>0</v>
      </c>
      <c r="AQ90" s="57">
        <f ca="1">IF(TblMagic[[#This Row],[Infernal Command]],12,IF(OFFSET(TblMagic[[#This Row],[Active Infernal Command]],-1,0)&gt;0,OFFSET(TblMagic[[#This Row],[Active Infernal Command]],-1,0)-1,0))</f>
        <v>0</v>
      </c>
    </row>
    <row r="91" spans="1:43" x14ac:dyDescent="0.2">
      <c r="A91" s="137">
        <f>TblRezone[[#This Row],[Hour]]</f>
        <v>88</v>
      </c>
      <c r="B91" s="154">
        <f ca="1">TblConstr[[#This Row],[Land]]</f>
        <v>110</v>
      </c>
      <c r="C91" s="94">
        <f ca="1">TblProd[[#This Row],[Mana]]</f>
        <v>0</v>
      </c>
      <c r="D91" s="156">
        <f ca="1">MIN(1,OFFSET(TblMagic[[#This Row],[Wiz str]],-1,0)+0.04+ROUNDDOWN(10*OFFSET(TblMili[[#This Row],[WG''s]],-1,0),0)+ tech_2_7*OFFSET(TblTech[[#This Row],[2-7]],-1,0) + tech_5_6*OFFSET(TblTech[[#This Row],[5-6]],-1,0) )-TblMagic[[#This Row],[Wiz str cost]]</f>
        <v>1</v>
      </c>
      <c r="E91" s="159">
        <f ca="1">OFFSET(TblMagic[[#This Row],[Time]],-1,0)+1/24</f>
        <v>46050.624999999789</v>
      </c>
      <c r="F91" s="156">
        <f ca="1">TblImps[[#This Row],[Population]]</f>
        <v>1</v>
      </c>
      <c r="G91" s="218"/>
      <c r="H91" s="218"/>
      <c r="I91" s="218"/>
      <c r="J91" s="218"/>
      <c r="K91" s="405"/>
      <c r="L91" s="218"/>
      <c r="M91" s="218"/>
      <c r="N91" s="218"/>
      <c r="O91" s="218"/>
      <c r="P91" s="218"/>
      <c r="Q91" s="218"/>
      <c r="R91" s="218"/>
      <c r="S91" s="218"/>
      <c r="T91" s="218"/>
      <c r="U91" s="218"/>
      <c r="V91" s="218"/>
      <c r="W91" s="218"/>
      <c r="X91" s="142"/>
      <c r="Y9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1" s="156">
        <f>SUMIF(TblMagic[[#This Row],[Gaia''s Watch]:[Useless spell]],1)*0.05</f>
        <v>0</v>
      </c>
      <c r="AA91" s="142"/>
      <c r="AB91" s="57">
        <f ca="1">IF(TblMagic[[#This Row],[Gaia''s Watch]],12,IF(OFFSET(TblMagic[[#This Row],[Active Gaia''s Watch]],-1,0)&gt;0,OFFSET(TblMagic[[#This Row],[Active Gaia''s Watch]],-1,0)-1,0))</f>
        <v>0</v>
      </c>
      <c r="AC91" s="57">
        <f ca="1">IF(TblMagic[[#This Row],[Mining Strength]],12,IF(OFFSET(TblMagic[[#This Row],[Active Mining Strength]],-1,0)&gt;0,OFFSET(TblMagic[[#This Row],[Active Mining Strength]],-1,0)-1,0))</f>
        <v>0</v>
      </c>
      <c r="AD91" s="57">
        <f ca="1">IF(TblMagic[[#This Row],[Ares Call]],12,IF(OFFSET(TblMagic[[#This Row],[Active Ares Call]],-1,0)&gt;0,OFFSET(TblMagic[[#This Row],[Active Ares Call]],-1,0)-1,0))</f>
        <v>0</v>
      </c>
      <c r="AE91" s="57">
        <f ca="1">IF(TblMagic[[#This Row],[Midas Touch]],12,IF(OFFSET(TblMagic[[#This Row],[Active Midas Touch]],-1,0)&gt;0,OFFSET(TblMagic[[#This Row],[Active Midas Touch]],-1,0)-1,0))</f>
        <v>0</v>
      </c>
      <c r="AF91" s="57">
        <f ca="1">IF(TblMagic[[#This Row],[Harmony]],12,IF(OFFSET(TblMagic[[#This Row],[Active Harmony]],-1,0)&gt;0,OFFSET(TblMagic[[#This Row],[Active Harmony]],-1,0)-1,0))</f>
        <v>0</v>
      </c>
      <c r="AG91" s="57">
        <f ca="1">IF(TblMagic[[#This Row],[Miner''s Sight]],12,IF(OFFSET(TblMagic[[#This Row],[Active Miner''s Sight]],-1,0)&gt;0,OFFSET(TblMagic[[#This Row],[Active Miner''s Sight]],-1,0)-1,0))</f>
        <v>0</v>
      </c>
      <c r="AH91" s="57">
        <f ca="1">IF(TblMagic[[#This Row],[Mechanical Genius]],12,IF(OFFSET(TblMagic[[#This Row],[Active Mechanical Genius]],-1,0)&gt;0,OFFSET(TblMagic[[#This Row],[Active Mechanical Genius]],-1,0)-1,0))</f>
        <v>0</v>
      </c>
      <c r="AI91" s="57">
        <f ca="1">IF(TblMagic[[#This Row],[Death and Decay]],12,IF(OFFSET(TblMagic[[#This Row],[Active DnD]],-1,0)&gt;0,OFFSET(TblMagic[[#This Row],[Active DnD]],-1,0)-1,0))</f>
        <v>0</v>
      </c>
      <c r="AJ91" s="57">
        <f ca="1">IF(TblMagic[[#This Row],[Killing Rage / Bloodrage / Crusade]],12,IF(OFFSET(TblMagic[[#This Row],[Active Warsong / Killing Rage / Bloodrage]],-1,0)&gt;0,OFFSET(TblMagic[[#This Row],[Active Warsong / Killing Rage / Bloodrage]],-1,0)-1,0))</f>
        <v>0</v>
      </c>
      <c r="AK91" s="57">
        <f ca="1">IF(TblMagic[[#This Row],[Gaia''s Blessing]],12,IF(OFFSET(TblMagic[[#This Row],[Active Gaia''s Blessing]],-1,0)&gt;0,OFFSET(TblMagic[[#This Row],[Active Gaia''s Blessing]],-1,0)-1,0))</f>
        <v>0</v>
      </c>
      <c r="AL91" s="57">
        <f ca="1">IF(TblMagic[[#This Row],[Howling]],12,IF(OFFSET(TblMagic[[#This Row],[Active Howling]],-1,0)&gt;0,OFFSET(TblMagic[[#This Row],[Active Howling]],-1,0)-1,0))</f>
        <v>0</v>
      </c>
      <c r="AM91" s="57">
        <f ca="1">IF(TblMagic[[#This Row],[Alchemist Frost]],12,IF(OFFSET(TblMagic[[#This Row],[Active Alch Frost]],-1,0)&gt;0,OFFSET(TblMagic[[#This Row],[Active Alch Frost]],-1,0)-1,0))</f>
        <v>0</v>
      </c>
      <c r="AN91" s="57">
        <f ca="1">IF(TblMagic[[#This Row],[Alchemists Flame]],12,IF(OFFSET(TblMagic[[#This Row],[Active Alchemists Flame]],-1,0)&gt;0,OFFSET(TblMagic[[#This Row],[Active Alchemists Flame]],-1,0)-1,0))</f>
        <v>0</v>
      </c>
      <c r="AO91" s="57">
        <f ca="1">IF(TblMagic[[#This Row],[Nightfall]],12,IF(OFFSET(TblMagic[[#This Row],[Active Nightfall]],-1,0)&gt;0,OFFSET(TblMagic[[#This Row],[Active Nightfall]],-1,0)-1,0))</f>
        <v>0</v>
      </c>
      <c r="AP91" s="57">
        <f ca="1">IF(TblMagic[[#This Row],[Favorable Terrain]],12,IF(OFFSET(TblMagic[[#This Row],[Active Favorable Terrain]],-1,0)&gt;0,OFFSET(TblMagic[[#This Row],[Active Favorable Terrain]],-1,0)-1,0))</f>
        <v>0</v>
      </c>
      <c r="AQ91" s="57">
        <f ca="1">IF(TblMagic[[#This Row],[Infernal Command]],12,IF(OFFSET(TblMagic[[#This Row],[Active Infernal Command]],-1,0)&gt;0,OFFSET(TblMagic[[#This Row],[Active Infernal Command]],-1,0)-1,0))</f>
        <v>0</v>
      </c>
    </row>
    <row r="92" spans="1:43" x14ac:dyDescent="0.2">
      <c r="A92" s="137">
        <f>TblRezone[[#This Row],[Hour]]</f>
        <v>89</v>
      </c>
      <c r="B92" s="154">
        <f ca="1">TblConstr[[#This Row],[Land]]</f>
        <v>110</v>
      </c>
      <c r="C92" s="94">
        <f ca="1">TblProd[[#This Row],[Mana]]</f>
        <v>0</v>
      </c>
      <c r="D92" s="156">
        <f ca="1">MIN(1,OFFSET(TblMagic[[#This Row],[Wiz str]],-1,0)+0.04+ROUNDDOWN(10*OFFSET(TblMili[[#This Row],[WG''s]],-1,0),0)+ tech_2_7*OFFSET(TblTech[[#This Row],[2-7]],-1,0) + tech_5_6*OFFSET(TblTech[[#This Row],[5-6]],-1,0) )-TblMagic[[#This Row],[Wiz str cost]]</f>
        <v>1</v>
      </c>
      <c r="E92" s="159">
        <f ca="1">OFFSET(TblMagic[[#This Row],[Time]],-1,0)+1/24</f>
        <v>46050.666666666453</v>
      </c>
      <c r="F92" s="156">
        <f ca="1">TblImps[[#This Row],[Population]]</f>
        <v>1</v>
      </c>
      <c r="G92" s="218"/>
      <c r="H92" s="218"/>
      <c r="I92" s="218"/>
      <c r="J92" s="218"/>
      <c r="K92" s="405"/>
      <c r="L92" s="218"/>
      <c r="M92" s="218"/>
      <c r="N92" s="218"/>
      <c r="O92" s="218"/>
      <c r="P92" s="218"/>
      <c r="Q92" s="218"/>
      <c r="R92" s="218"/>
      <c r="S92" s="218"/>
      <c r="T92" s="218"/>
      <c r="U92" s="218"/>
      <c r="V92" s="218"/>
      <c r="W92" s="218"/>
      <c r="X92" s="142"/>
      <c r="Y9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2" s="156">
        <f>SUMIF(TblMagic[[#This Row],[Gaia''s Watch]:[Useless spell]],1)*0.05</f>
        <v>0</v>
      </c>
      <c r="AA92" s="142"/>
      <c r="AB92" s="57">
        <f ca="1">IF(TblMagic[[#This Row],[Gaia''s Watch]],12,IF(OFFSET(TblMagic[[#This Row],[Active Gaia''s Watch]],-1,0)&gt;0,OFFSET(TblMagic[[#This Row],[Active Gaia''s Watch]],-1,0)-1,0))</f>
        <v>0</v>
      </c>
      <c r="AC92" s="57">
        <f ca="1">IF(TblMagic[[#This Row],[Mining Strength]],12,IF(OFFSET(TblMagic[[#This Row],[Active Mining Strength]],-1,0)&gt;0,OFFSET(TblMagic[[#This Row],[Active Mining Strength]],-1,0)-1,0))</f>
        <v>0</v>
      </c>
      <c r="AD92" s="57">
        <f ca="1">IF(TblMagic[[#This Row],[Ares Call]],12,IF(OFFSET(TblMagic[[#This Row],[Active Ares Call]],-1,0)&gt;0,OFFSET(TblMagic[[#This Row],[Active Ares Call]],-1,0)-1,0))</f>
        <v>0</v>
      </c>
      <c r="AE92" s="57">
        <f ca="1">IF(TblMagic[[#This Row],[Midas Touch]],12,IF(OFFSET(TblMagic[[#This Row],[Active Midas Touch]],-1,0)&gt;0,OFFSET(TblMagic[[#This Row],[Active Midas Touch]],-1,0)-1,0))</f>
        <v>0</v>
      </c>
      <c r="AF92" s="57">
        <f ca="1">IF(TblMagic[[#This Row],[Harmony]],12,IF(OFFSET(TblMagic[[#This Row],[Active Harmony]],-1,0)&gt;0,OFFSET(TblMagic[[#This Row],[Active Harmony]],-1,0)-1,0))</f>
        <v>0</v>
      </c>
      <c r="AG92" s="57">
        <f ca="1">IF(TblMagic[[#This Row],[Miner''s Sight]],12,IF(OFFSET(TblMagic[[#This Row],[Active Miner''s Sight]],-1,0)&gt;0,OFFSET(TblMagic[[#This Row],[Active Miner''s Sight]],-1,0)-1,0))</f>
        <v>0</v>
      </c>
      <c r="AH92" s="57">
        <f ca="1">IF(TblMagic[[#This Row],[Mechanical Genius]],12,IF(OFFSET(TblMagic[[#This Row],[Active Mechanical Genius]],-1,0)&gt;0,OFFSET(TblMagic[[#This Row],[Active Mechanical Genius]],-1,0)-1,0))</f>
        <v>0</v>
      </c>
      <c r="AI92" s="57">
        <f ca="1">IF(TblMagic[[#This Row],[Death and Decay]],12,IF(OFFSET(TblMagic[[#This Row],[Active DnD]],-1,0)&gt;0,OFFSET(TblMagic[[#This Row],[Active DnD]],-1,0)-1,0))</f>
        <v>0</v>
      </c>
      <c r="AJ92" s="57">
        <f ca="1">IF(TblMagic[[#This Row],[Killing Rage / Bloodrage / Crusade]],12,IF(OFFSET(TblMagic[[#This Row],[Active Warsong / Killing Rage / Bloodrage]],-1,0)&gt;0,OFFSET(TblMagic[[#This Row],[Active Warsong / Killing Rage / Bloodrage]],-1,0)-1,0))</f>
        <v>0</v>
      </c>
      <c r="AK92" s="57">
        <f ca="1">IF(TblMagic[[#This Row],[Gaia''s Blessing]],12,IF(OFFSET(TblMagic[[#This Row],[Active Gaia''s Blessing]],-1,0)&gt;0,OFFSET(TblMagic[[#This Row],[Active Gaia''s Blessing]],-1,0)-1,0))</f>
        <v>0</v>
      </c>
      <c r="AL92" s="57">
        <f ca="1">IF(TblMagic[[#This Row],[Howling]],12,IF(OFFSET(TblMagic[[#This Row],[Active Howling]],-1,0)&gt;0,OFFSET(TblMagic[[#This Row],[Active Howling]],-1,0)-1,0))</f>
        <v>0</v>
      </c>
      <c r="AM92" s="57">
        <f ca="1">IF(TblMagic[[#This Row],[Alchemist Frost]],12,IF(OFFSET(TblMagic[[#This Row],[Active Alch Frost]],-1,0)&gt;0,OFFSET(TblMagic[[#This Row],[Active Alch Frost]],-1,0)-1,0))</f>
        <v>0</v>
      </c>
      <c r="AN92" s="57">
        <f ca="1">IF(TblMagic[[#This Row],[Alchemists Flame]],12,IF(OFFSET(TblMagic[[#This Row],[Active Alchemists Flame]],-1,0)&gt;0,OFFSET(TblMagic[[#This Row],[Active Alchemists Flame]],-1,0)-1,0))</f>
        <v>0</v>
      </c>
      <c r="AO92" s="57">
        <f ca="1">IF(TblMagic[[#This Row],[Nightfall]],12,IF(OFFSET(TblMagic[[#This Row],[Active Nightfall]],-1,0)&gt;0,OFFSET(TblMagic[[#This Row],[Active Nightfall]],-1,0)-1,0))</f>
        <v>0</v>
      </c>
      <c r="AP92" s="57">
        <f ca="1">IF(TblMagic[[#This Row],[Favorable Terrain]],12,IF(OFFSET(TblMagic[[#This Row],[Active Favorable Terrain]],-1,0)&gt;0,OFFSET(TblMagic[[#This Row],[Active Favorable Terrain]],-1,0)-1,0))</f>
        <v>0</v>
      </c>
      <c r="AQ92" s="57">
        <f ca="1">IF(TblMagic[[#This Row],[Infernal Command]],12,IF(OFFSET(TblMagic[[#This Row],[Active Infernal Command]],-1,0)&gt;0,OFFSET(TblMagic[[#This Row],[Active Infernal Command]],-1,0)-1,0))</f>
        <v>0</v>
      </c>
    </row>
    <row r="93" spans="1:43" x14ac:dyDescent="0.2">
      <c r="A93" s="137">
        <f>TblRezone[[#This Row],[Hour]]</f>
        <v>90</v>
      </c>
      <c r="B93" s="154">
        <f ca="1">TblConstr[[#This Row],[Land]]</f>
        <v>110</v>
      </c>
      <c r="C93" s="94">
        <f ca="1">TblProd[[#This Row],[Mana]]</f>
        <v>0</v>
      </c>
      <c r="D93" s="156">
        <f ca="1">MIN(1,OFFSET(TblMagic[[#This Row],[Wiz str]],-1,0)+0.04+ROUNDDOWN(10*OFFSET(TblMili[[#This Row],[WG''s]],-1,0),0)+ tech_2_7*OFFSET(TblTech[[#This Row],[2-7]],-1,0) + tech_5_6*OFFSET(TblTech[[#This Row],[5-6]],-1,0) )-TblMagic[[#This Row],[Wiz str cost]]</f>
        <v>1</v>
      </c>
      <c r="E93" s="159">
        <f ca="1">OFFSET(TblMagic[[#This Row],[Time]],-1,0)+1/24</f>
        <v>46050.708333333117</v>
      </c>
      <c r="F93" s="156">
        <f ca="1">TblImps[[#This Row],[Population]]</f>
        <v>1</v>
      </c>
      <c r="G93" s="218"/>
      <c r="H93" s="218"/>
      <c r="I93" s="218"/>
      <c r="J93" s="218"/>
      <c r="K93" s="405"/>
      <c r="L93" s="218"/>
      <c r="M93" s="218"/>
      <c r="N93" s="218"/>
      <c r="O93" s="218"/>
      <c r="P93" s="218"/>
      <c r="Q93" s="218"/>
      <c r="R93" s="218"/>
      <c r="S93" s="218"/>
      <c r="T93" s="218"/>
      <c r="U93" s="218"/>
      <c r="V93" s="218"/>
      <c r="W93" s="218"/>
      <c r="X93" s="142"/>
      <c r="Y9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3" s="156">
        <f>SUMIF(TblMagic[[#This Row],[Gaia''s Watch]:[Useless spell]],1)*0.05</f>
        <v>0</v>
      </c>
      <c r="AA93" s="142"/>
      <c r="AB93" s="57">
        <f ca="1">IF(TblMagic[[#This Row],[Gaia''s Watch]],12,IF(OFFSET(TblMagic[[#This Row],[Active Gaia''s Watch]],-1,0)&gt;0,OFFSET(TblMagic[[#This Row],[Active Gaia''s Watch]],-1,0)-1,0))</f>
        <v>0</v>
      </c>
      <c r="AC93" s="57">
        <f ca="1">IF(TblMagic[[#This Row],[Mining Strength]],12,IF(OFFSET(TblMagic[[#This Row],[Active Mining Strength]],-1,0)&gt;0,OFFSET(TblMagic[[#This Row],[Active Mining Strength]],-1,0)-1,0))</f>
        <v>0</v>
      </c>
      <c r="AD93" s="57">
        <f ca="1">IF(TblMagic[[#This Row],[Ares Call]],12,IF(OFFSET(TblMagic[[#This Row],[Active Ares Call]],-1,0)&gt;0,OFFSET(TblMagic[[#This Row],[Active Ares Call]],-1,0)-1,0))</f>
        <v>0</v>
      </c>
      <c r="AE93" s="57">
        <f ca="1">IF(TblMagic[[#This Row],[Midas Touch]],12,IF(OFFSET(TblMagic[[#This Row],[Active Midas Touch]],-1,0)&gt;0,OFFSET(TblMagic[[#This Row],[Active Midas Touch]],-1,0)-1,0))</f>
        <v>0</v>
      </c>
      <c r="AF93" s="57">
        <f ca="1">IF(TblMagic[[#This Row],[Harmony]],12,IF(OFFSET(TblMagic[[#This Row],[Active Harmony]],-1,0)&gt;0,OFFSET(TblMagic[[#This Row],[Active Harmony]],-1,0)-1,0))</f>
        <v>0</v>
      </c>
      <c r="AG93" s="57">
        <f ca="1">IF(TblMagic[[#This Row],[Miner''s Sight]],12,IF(OFFSET(TblMagic[[#This Row],[Active Miner''s Sight]],-1,0)&gt;0,OFFSET(TblMagic[[#This Row],[Active Miner''s Sight]],-1,0)-1,0))</f>
        <v>0</v>
      </c>
      <c r="AH93" s="57">
        <f ca="1">IF(TblMagic[[#This Row],[Mechanical Genius]],12,IF(OFFSET(TblMagic[[#This Row],[Active Mechanical Genius]],-1,0)&gt;0,OFFSET(TblMagic[[#This Row],[Active Mechanical Genius]],-1,0)-1,0))</f>
        <v>0</v>
      </c>
      <c r="AI93" s="57">
        <f ca="1">IF(TblMagic[[#This Row],[Death and Decay]],12,IF(OFFSET(TblMagic[[#This Row],[Active DnD]],-1,0)&gt;0,OFFSET(TblMagic[[#This Row],[Active DnD]],-1,0)-1,0))</f>
        <v>0</v>
      </c>
      <c r="AJ93" s="57">
        <f ca="1">IF(TblMagic[[#This Row],[Killing Rage / Bloodrage / Crusade]],12,IF(OFFSET(TblMagic[[#This Row],[Active Warsong / Killing Rage / Bloodrage]],-1,0)&gt;0,OFFSET(TblMagic[[#This Row],[Active Warsong / Killing Rage / Bloodrage]],-1,0)-1,0))</f>
        <v>0</v>
      </c>
      <c r="AK93" s="57">
        <f ca="1">IF(TblMagic[[#This Row],[Gaia''s Blessing]],12,IF(OFFSET(TblMagic[[#This Row],[Active Gaia''s Blessing]],-1,0)&gt;0,OFFSET(TblMagic[[#This Row],[Active Gaia''s Blessing]],-1,0)-1,0))</f>
        <v>0</v>
      </c>
      <c r="AL93" s="57">
        <f ca="1">IF(TblMagic[[#This Row],[Howling]],12,IF(OFFSET(TblMagic[[#This Row],[Active Howling]],-1,0)&gt;0,OFFSET(TblMagic[[#This Row],[Active Howling]],-1,0)-1,0))</f>
        <v>0</v>
      </c>
      <c r="AM93" s="57">
        <f ca="1">IF(TblMagic[[#This Row],[Alchemist Frost]],12,IF(OFFSET(TblMagic[[#This Row],[Active Alch Frost]],-1,0)&gt;0,OFFSET(TblMagic[[#This Row],[Active Alch Frost]],-1,0)-1,0))</f>
        <v>0</v>
      </c>
      <c r="AN93" s="57">
        <f ca="1">IF(TblMagic[[#This Row],[Alchemists Flame]],12,IF(OFFSET(TblMagic[[#This Row],[Active Alchemists Flame]],-1,0)&gt;0,OFFSET(TblMagic[[#This Row],[Active Alchemists Flame]],-1,0)-1,0))</f>
        <v>0</v>
      </c>
      <c r="AO93" s="57">
        <f ca="1">IF(TblMagic[[#This Row],[Nightfall]],12,IF(OFFSET(TblMagic[[#This Row],[Active Nightfall]],-1,0)&gt;0,OFFSET(TblMagic[[#This Row],[Active Nightfall]],-1,0)-1,0))</f>
        <v>0</v>
      </c>
      <c r="AP93" s="57">
        <f ca="1">IF(TblMagic[[#This Row],[Favorable Terrain]],12,IF(OFFSET(TblMagic[[#This Row],[Active Favorable Terrain]],-1,0)&gt;0,OFFSET(TblMagic[[#This Row],[Active Favorable Terrain]],-1,0)-1,0))</f>
        <v>0</v>
      </c>
      <c r="AQ93" s="57">
        <f ca="1">IF(TblMagic[[#This Row],[Infernal Command]],12,IF(OFFSET(TblMagic[[#This Row],[Active Infernal Command]],-1,0)&gt;0,OFFSET(TblMagic[[#This Row],[Active Infernal Command]],-1,0)-1,0))</f>
        <v>0</v>
      </c>
    </row>
    <row r="94" spans="1:43" x14ac:dyDescent="0.2">
      <c r="A94" s="137">
        <f>TblRezone[[#This Row],[Hour]]</f>
        <v>91</v>
      </c>
      <c r="B94" s="154">
        <f ca="1">TblConstr[[#This Row],[Land]]</f>
        <v>110</v>
      </c>
      <c r="C94" s="94">
        <f ca="1">TblProd[[#This Row],[Mana]]</f>
        <v>0</v>
      </c>
      <c r="D94" s="156">
        <f ca="1">MIN(1,OFFSET(TblMagic[[#This Row],[Wiz str]],-1,0)+0.04+ROUNDDOWN(10*OFFSET(TblMili[[#This Row],[WG''s]],-1,0),0)+ tech_2_7*OFFSET(TblTech[[#This Row],[2-7]],-1,0) + tech_5_6*OFFSET(TblTech[[#This Row],[5-6]],-1,0) )-TblMagic[[#This Row],[Wiz str cost]]</f>
        <v>1</v>
      </c>
      <c r="E94" s="159">
        <f ca="1">OFFSET(TblMagic[[#This Row],[Time]],-1,0)+1/24</f>
        <v>46050.749999999782</v>
      </c>
      <c r="F94" s="156">
        <f ca="1">TblImps[[#This Row],[Population]]</f>
        <v>1</v>
      </c>
      <c r="G94" s="218"/>
      <c r="H94" s="218"/>
      <c r="I94" s="218"/>
      <c r="J94" s="218"/>
      <c r="K94" s="405"/>
      <c r="L94" s="218"/>
      <c r="M94" s="218"/>
      <c r="N94" s="218"/>
      <c r="O94" s="218"/>
      <c r="P94" s="218"/>
      <c r="Q94" s="218"/>
      <c r="R94" s="218"/>
      <c r="S94" s="218"/>
      <c r="T94" s="218"/>
      <c r="U94" s="218"/>
      <c r="V94" s="218"/>
      <c r="W94" s="218"/>
      <c r="X94" s="142"/>
      <c r="Y9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4" s="156">
        <f>SUMIF(TblMagic[[#This Row],[Gaia''s Watch]:[Useless spell]],1)*0.05</f>
        <v>0</v>
      </c>
      <c r="AA94" s="142"/>
      <c r="AB94" s="57">
        <f ca="1">IF(TblMagic[[#This Row],[Gaia''s Watch]],12,IF(OFFSET(TblMagic[[#This Row],[Active Gaia''s Watch]],-1,0)&gt;0,OFFSET(TblMagic[[#This Row],[Active Gaia''s Watch]],-1,0)-1,0))</f>
        <v>0</v>
      </c>
      <c r="AC94" s="57">
        <f ca="1">IF(TblMagic[[#This Row],[Mining Strength]],12,IF(OFFSET(TblMagic[[#This Row],[Active Mining Strength]],-1,0)&gt;0,OFFSET(TblMagic[[#This Row],[Active Mining Strength]],-1,0)-1,0))</f>
        <v>0</v>
      </c>
      <c r="AD94" s="57">
        <f ca="1">IF(TblMagic[[#This Row],[Ares Call]],12,IF(OFFSET(TblMagic[[#This Row],[Active Ares Call]],-1,0)&gt;0,OFFSET(TblMagic[[#This Row],[Active Ares Call]],-1,0)-1,0))</f>
        <v>0</v>
      </c>
      <c r="AE94" s="57">
        <f ca="1">IF(TblMagic[[#This Row],[Midas Touch]],12,IF(OFFSET(TblMagic[[#This Row],[Active Midas Touch]],-1,0)&gt;0,OFFSET(TblMagic[[#This Row],[Active Midas Touch]],-1,0)-1,0))</f>
        <v>0</v>
      </c>
      <c r="AF94" s="57">
        <f ca="1">IF(TblMagic[[#This Row],[Harmony]],12,IF(OFFSET(TblMagic[[#This Row],[Active Harmony]],-1,0)&gt;0,OFFSET(TblMagic[[#This Row],[Active Harmony]],-1,0)-1,0))</f>
        <v>0</v>
      </c>
      <c r="AG94" s="57">
        <f ca="1">IF(TblMagic[[#This Row],[Miner''s Sight]],12,IF(OFFSET(TblMagic[[#This Row],[Active Miner''s Sight]],-1,0)&gt;0,OFFSET(TblMagic[[#This Row],[Active Miner''s Sight]],-1,0)-1,0))</f>
        <v>0</v>
      </c>
      <c r="AH94" s="57">
        <f ca="1">IF(TblMagic[[#This Row],[Mechanical Genius]],12,IF(OFFSET(TblMagic[[#This Row],[Active Mechanical Genius]],-1,0)&gt;0,OFFSET(TblMagic[[#This Row],[Active Mechanical Genius]],-1,0)-1,0))</f>
        <v>0</v>
      </c>
      <c r="AI94" s="57">
        <f ca="1">IF(TblMagic[[#This Row],[Death and Decay]],12,IF(OFFSET(TblMagic[[#This Row],[Active DnD]],-1,0)&gt;0,OFFSET(TblMagic[[#This Row],[Active DnD]],-1,0)-1,0))</f>
        <v>0</v>
      </c>
      <c r="AJ94" s="57">
        <f ca="1">IF(TblMagic[[#This Row],[Killing Rage / Bloodrage / Crusade]],12,IF(OFFSET(TblMagic[[#This Row],[Active Warsong / Killing Rage / Bloodrage]],-1,0)&gt;0,OFFSET(TblMagic[[#This Row],[Active Warsong / Killing Rage / Bloodrage]],-1,0)-1,0))</f>
        <v>0</v>
      </c>
      <c r="AK94" s="57">
        <f ca="1">IF(TblMagic[[#This Row],[Gaia''s Blessing]],12,IF(OFFSET(TblMagic[[#This Row],[Active Gaia''s Blessing]],-1,0)&gt;0,OFFSET(TblMagic[[#This Row],[Active Gaia''s Blessing]],-1,0)-1,0))</f>
        <v>0</v>
      </c>
      <c r="AL94" s="57">
        <f ca="1">IF(TblMagic[[#This Row],[Howling]],12,IF(OFFSET(TblMagic[[#This Row],[Active Howling]],-1,0)&gt;0,OFFSET(TblMagic[[#This Row],[Active Howling]],-1,0)-1,0))</f>
        <v>0</v>
      </c>
      <c r="AM94" s="57">
        <f ca="1">IF(TblMagic[[#This Row],[Alchemist Frost]],12,IF(OFFSET(TblMagic[[#This Row],[Active Alch Frost]],-1,0)&gt;0,OFFSET(TblMagic[[#This Row],[Active Alch Frost]],-1,0)-1,0))</f>
        <v>0</v>
      </c>
      <c r="AN94" s="57">
        <f ca="1">IF(TblMagic[[#This Row],[Alchemists Flame]],12,IF(OFFSET(TblMagic[[#This Row],[Active Alchemists Flame]],-1,0)&gt;0,OFFSET(TblMagic[[#This Row],[Active Alchemists Flame]],-1,0)-1,0))</f>
        <v>0</v>
      </c>
      <c r="AO94" s="57">
        <f ca="1">IF(TblMagic[[#This Row],[Nightfall]],12,IF(OFFSET(TblMagic[[#This Row],[Active Nightfall]],-1,0)&gt;0,OFFSET(TblMagic[[#This Row],[Active Nightfall]],-1,0)-1,0))</f>
        <v>0</v>
      </c>
      <c r="AP94" s="57">
        <f ca="1">IF(TblMagic[[#This Row],[Favorable Terrain]],12,IF(OFFSET(TblMagic[[#This Row],[Active Favorable Terrain]],-1,0)&gt;0,OFFSET(TblMagic[[#This Row],[Active Favorable Terrain]],-1,0)-1,0))</f>
        <v>0</v>
      </c>
      <c r="AQ94" s="57">
        <f ca="1">IF(TblMagic[[#This Row],[Infernal Command]],12,IF(OFFSET(TblMagic[[#This Row],[Active Infernal Command]],-1,0)&gt;0,OFFSET(TblMagic[[#This Row],[Active Infernal Command]],-1,0)-1,0))</f>
        <v>0</v>
      </c>
    </row>
    <row r="95" spans="1:43" x14ac:dyDescent="0.2">
      <c r="A95" s="137">
        <f>TblRezone[[#This Row],[Hour]]</f>
        <v>92</v>
      </c>
      <c r="B95" s="154">
        <f ca="1">TblConstr[[#This Row],[Land]]</f>
        <v>110</v>
      </c>
      <c r="C95" s="94">
        <f ca="1">TblProd[[#This Row],[Mana]]</f>
        <v>0</v>
      </c>
      <c r="D95" s="156">
        <f ca="1">MIN(1,OFFSET(TblMagic[[#This Row],[Wiz str]],-1,0)+0.04+ROUNDDOWN(10*OFFSET(TblMili[[#This Row],[WG''s]],-1,0),0)+ tech_2_7*OFFSET(TblTech[[#This Row],[2-7]],-1,0) + tech_5_6*OFFSET(TblTech[[#This Row],[5-6]],-1,0) )-TblMagic[[#This Row],[Wiz str cost]]</f>
        <v>1</v>
      </c>
      <c r="E95" s="159">
        <f ca="1">OFFSET(TblMagic[[#This Row],[Time]],-1,0)+1/24</f>
        <v>46050.791666666446</v>
      </c>
      <c r="F95" s="156">
        <f ca="1">TblImps[[#This Row],[Population]]</f>
        <v>1</v>
      </c>
      <c r="G95" s="218"/>
      <c r="H95" s="218"/>
      <c r="I95" s="218"/>
      <c r="J95" s="218"/>
      <c r="K95" s="405"/>
      <c r="L95" s="218"/>
      <c r="M95" s="218"/>
      <c r="N95" s="218"/>
      <c r="O95" s="218"/>
      <c r="P95" s="218"/>
      <c r="Q95" s="218"/>
      <c r="R95" s="218"/>
      <c r="S95" s="218"/>
      <c r="T95" s="218"/>
      <c r="U95" s="218"/>
      <c r="V95" s="218"/>
      <c r="W95" s="218"/>
      <c r="X95" s="142"/>
      <c r="Y9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5" s="156">
        <f>SUMIF(TblMagic[[#This Row],[Gaia''s Watch]:[Useless spell]],1)*0.05</f>
        <v>0</v>
      </c>
      <c r="AA95" s="142"/>
      <c r="AB95" s="57">
        <f ca="1">IF(TblMagic[[#This Row],[Gaia''s Watch]],12,IF(OFFSET(TblMagic[[#This Row],[Active Gaia''s Watch]],-1,0)&gt;0,OFFSET(TblMagic[[#This Row],[Active Gaia''s Watch]],-1,0)-1,0))</f>
        <v>0</v>
      </c>
      <c r="AC95" s="57">
        <f ca="1">IF(TblMagic[[#This Row],[Mining Strength]],12,IF(OFFSET(TblMagic[[#This Row],[Active Mining Strength]],-1,0)&gt;0,OFFSET(TblMagic[[#This Row],[Active Mining Strength]],-1,0)-1,0))</f>
        <v>0</v>
      </c>
      <c r="AD95" s="57">
        <f ca="1">IF(TblMagic[[#This Row],[Ares Call]],12,IF(OFFSET(TblMagic[[#This Row],[Active Ares Call]],-1,0)&gt;0,OFFSET(TblMagic[[#This Row],[Active Ares Call]],-1,0)-1,0))</f>
        <v>0</v>
      </c>
      <c r="AE95" s="57">
        <f ca="1">IF(TblMagic[[#This Row],[Midas Touch]],12,IF(OFFSET(TblMagic[[#This Row],[Active Midas Touch]],-1,0)&gt;0,OFFSET(TblMagic[[#This Row],[Active Midas Touch]],-1,0)-1,0))</f>
        <v>0</v>
      </c>
      <c r="AF95" s="57">
        <f ca="1">IF(TblMagic[[#This Row],[Harmony]],12,IF(OFFSET(TblMagic[[#This Row],[Active Harmony]],-1,0)&gt;0,OFFSET(TblMagic[[#This Row],[Active Harmony]],-1,0)-1,0))</f>
        <v>0</v>
      </c>
      <c r="AG95" s="57">
        <f ca="1">IF(TblMagic[[#This Row],[Miner''s Sight]],12,IF(OFFSET(TblMagic[[#This Row],[Active Miner''s Sight]],-1,0)&gt;0,OFFSET(TblMagic[[#This Row],[Active Miner''s Sight]],-1,0)-1,0))</f>
        <v>0</v>
      </c>
      <c r="AH95" s="57">
        <f ca="1">IF(TblMagic[[#This Row],[Mechanical Genius]],12,IF(OFFSET(TblMagic[[#This Row],[Active Mechanical Genius]],-1,0)&gt;0,OFFSET(TblMagic[[#This Row],[Active Mechanical Genius]],-1,0)-1,0))</f>
        <v>0</v>
      </c>
      <c r="AI95" s="57">
        <f ca="1">IF(TblMagic[[#This Row],[Death and Decay]],12,IF(OFFSET(TblMagic[[#This Row],[Active DnD]],-1,0)&gt;0,OFFSET(TblMagic[[#This Row],[Active DnD]],-1,0)-1,0))</f>
        <v>0</v>
      </c>
      <c r="AJ95" s="57">
        <f ca="1">IF(TblMagic[[#This Row],[Killing Rage / Bloodrage / Crusade]],12,IF(OFFSET(TblMagic[[#This Row],[Active Warsong / Killing Rage / Bloodrage]],-1,0)&gt;0,OFFSET(TblMagic[[#This Row],[Active Warsong / Killing Rage / Bloodrage]],-1,0)-1,0))</f>
        <v>0</v>
      </c>
      <c r="AK95" s="57">
        <f ca="1">IF(TblMagic[[#This Row],[Gaia''s Blessing]],12,IF(OFFSET(TblMagic[[#This Row],[Active Gaia''s Blessing]],-1,0)&gt;0,OFFSET(TblMagic[[#This Row],[Active Gaia''s Blessing]],-1,0)-1,0))</f>
        <v>0</v>
      </c>
      <c r="AL95" s="57">
        <f ca="1">IF(TblMagic[[#This Row],[Howling]],12,IF(OFFSET(TblMagic[[#This Row],[Active Howling]],-1,0)&gt;0,OFFSET(TblMagic[[#This Row],[Active Howling]],-1,0)-1,0))</f>
        <v>0</v>
      </c>
      <c r="AM95" s="57">
        <f ca="1">IF(TblMagic[[#This Row],[Alchemist Frost]],12,IF(OFFSET(TblMagic[[#This Row],[Active Alch Frost]],-1,0)&gt;0,OFFSET(TblMagic[[#This Row],[Active Alch Frost]],-1,0)-1,0))</f>
        <v>0</v>
      </c>
      <c r="AN95" s="57">
        <f ca="1">IF(TblMagic[[#This Row],[Alchemists Flame]],12,IF(OFFSET(TblMagic[[#This Row],[Active Alchemists Flame]],-1,0)&gt;0,OFFSET(TblMagic[[#This Row],[Active Alchemists Flame]],-1,0)-1,0))</f>
        <v>0</v>
      </c>
      <c r="AO95" s="57">
        <f ca="1">IF(TblMagic[[#This Row],[Nightfall]],12,IF(OFFSET(TblMagic[[#This Row],[Active Nightfall]],-1,0)&gt;0,OFFSET(TblMagic[[#This Row],[Active Nightfall]],-1,0)-1,0))</f>
        <v>0</v>
      </c>
      <c r="AP95" s="57">
        <f ca="1">IF(TblMagic[[#This Row],[Favorable Terrain]],12,IF(OFFSET(TblMagic[[#This Row],[Active Favorable Terrain]],-1,0)&gt;0,OFFSET(TblMagic[[#This Row],[Active Favorable Terrain]],-1,0)-1,0))</f>
        <v>0</v>
      </c>
      <c r="AQ95" s="57">
        <f ca="1">IF(TblMagic[[#This Row],[Infernal Command]],12,IF(OFFSET(TblMagic[[#This Row],[Active Infernal Command]],-1,0)&gt;0,OFFSET(TblMagic[[#This Row],[Active Infernal Command]],-1,0)-1,0))</f>
        <v>0</v>
      </c>
    </row>
    <row r="96" spans="1:43" x14ac:dyDescent="0.2">
      <c r="A96" s="137">
        <f>TblRezone[[#This Row],[Hour]]</f>
        <v>93</v>
      </c>
      <c r="B96" s="154">
        <f ca="1">TblConstr[[#This Row],[Land]]</f>
        <v>110</v>
      </c>
      <c r="C96" s="94">
        <f ca="1">TblProd[[#This Row],[Mana]]</f>
        <v>0</v>
      </c>
      <c r="D96" s="156">
        <f ca="1">MIN(1,OFFSET(TblMagic[[#This Row],[Wiz str]],-1,0)+0.04+ROUNDDOWN(10*OFFSET(TblMili[[#This Row],[WG''s]],-1,0),0)+ tech_2_7*OFFSET(TblTech[[#This Row],[2-7]],-1,0) + tech_5_6*OFFSET(TblTech[[#This Row],[5-6]],-1,0) )-TblMagic[[#This Row],[Wiz str cost]]</f>
        <v>1</v>
      </c>
      <c r="E96" s="159">
        <f ca="1">OFFSET(TblMagic[[#This Row],[Time]],-1,0)+1/24</f>
        <v>46050.83333333311</v>
      </c>
      <c r="F96" s="156">
        <f ca="1">TblImps[[#This Row],[Population]]</f>
        <v>1</v>
      </c>
      <c r="G96" s="218"/>
      <c r="H96" s="218"/>
      <c r="I96" s="218"/>
      <c r="J96" s="218"/>
      <c r="K96" s="405"/>
      <c r="L96" s="218"/>
      <c r="M96" s="218"/>
      <c r="N96" s="218"/>
      <c r="O96" s="218"/>
      <c r="P96" s="218"/>
      <c r="Q96" s="218"/>
      <c r="R96" s="218"/>
      <c r="S96" s="218"/>
      <c r="T96" s="218"/>
      <c r="U96" s="218"/>
      <c r="V96" s="218"/>
      <c r="W96" s="218"/>
      <c r="X96" s="142"/>
      <c r="Y9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6" s="156">
        <f>SUMIF(TblMagic[[#This Row],[Gaia''s Watch]:[Useless spell]],1)*0.05</f>
        <v>0</v>
      </c>
      <c r="AA96" s="142"/>
      <c r="AB96" s="57">
        <f ca="1">IF(TblMagic[[#This Row],[Gaia''s Watch]],12,IF(OFFSET(TblMagic[[#This Row],[Active Gaia''s Watch]],-1,0)&gt;0,OFFSET(TblMagic[[#This Row],[Active Gaia''s Watch]],-1,0)-1,0))</f>
        <v>0</v>
      </c>
      <c r="AC96" s="57">
        <f ca="1">IF(TblMagic[[#This Row],[Mining Strength]],12,IF(OFFSET(TblMagic[[#This Row],[Active Mining Strength]],-1,0)&gt;0,OFFSET(TblMagic[[#This Row],[Active Mining Strength]],-1,0)-1,0))</f>
        <v>0</v>
      </c>
      <c r="AD96" s="57">
        <f ca="1">IF(TblMagic[[#This Row],[Ares Call]],12,IF(OFFSET(TblMagic[[#This Row],[Active Ares Call]],-1,0)&gt;0,OFFSET(TblMagic[[#This Row],[Active Ares Call]],-1,0)-1,0))</f>
        <v>0</v>
      </c>
      <c r="AE96" s="57">
        <f ca="1">IF(TblMagic[[#This Row],[Midas Touch]],12,IF(OFFSET(TblMagic[[#This Row],[Active Midas Touch]],-1,0)&gt;0,OFFSET(TblMagic[[#This Row],[Active Midas Touch]],-1,0)-1,0))</f>
        <v>0</v>
      </c>
      <c r="AF96" s="57">
        <f ca="1">IF(TblMagic[[#This Row],[Harmony]],12,IF(OFFSET(TblMagic[[#This Row],[Active Harmony]],-1,0)&gt;0,OFFSET(TblMagic[[#This Row],[Active Harmony]],-1,0)-1,0))</f>
        <v>0</v>
      </c>
      <c r="AG96" s="57">
        <f ca="1">IF(TblMagic[[#This Row],[Miner''s Sight]],12,IF(OFFSET(TblMagic[[#This Row],[Active Miner''s Sight]],-1,0)&gt;0,OFFSET(TblMagic[[#This Row],[Active Miner''s Sight]],-1,0)-1,0))</f>
        <v>0</v>
      </c>
      <c r="AH96" s="57">
        <f ca="1">IF(TblMagic[[#This Row],[Mechanical Genius]],12,IF(OFFSET(TblMagic[[#This Row],[Active Mechanical Genius]],-1,0)&gt;0,OFFSET(TblMagic[[#This Row],[Active Mechanical Genius]],-1,0)-1,0))</f>
        <v>0</v>
      </c>
      <c r="AI96" s="57">
        <f ca="1">IF(TblMagic[[#This Row],[Death and Decay]],12,IF(OFFSET(TblMagic[[#This Row],[Active DnD]],-1,0)&gt;0,OFFSET(TblMagic[[#This Row],[Active DnD]],-1,0)-1,0))</f>
        <v>0</v>
      </c>
      <c r="AJ96" s="57">
        <f ca="1">IF(TblMagic[[#This Row],[Killing Rage / Bloodrage / Crusade]],12,IF(OFFSET(TblMagic[[#This Row],[Active Warsong / Killing Rage / Bloodrage]],-1,0)&gt;0,OFFSET(TblMagic[[#This Row],[Active Warsong / Killing Rage / Bloodrage]],-1,0)-1,0))</f>
        <v>0</v>
      </c>
      <c r="AK96" s="57">
        <f ca="1">IF(TblMagic[[#This Row],[Gaia''s Blessing]],12,IF(OFFSET(TblMagic[[#This Row],[Active Gaia''s Blessing]],-1,0)&gt;0,OFFSET(TblMagic[[#This Row],[Active Gaia''s Blessing]],-1,0)-1,0))</f>
        <v>0</v>
      </c>
      <c r="AL96" s="57">
        <f ca="1">IF(TblMagic[[#This Row],[Howling]],12,IF(OFFSET(TblMagic[[#This Row],[Active Howling]],-1,0)&gt;0,OFFSET(TblMagic[[#This Row],[Active Howling]],-1,0)-1,0))</f>
        <v>0</v>
      </c>
      <c r="AM96" s="57">
        <f ca="1">IF(TblMagic[[#This Row],[Alchemist Frost]],12,IF(OFFSET(TblMagic[[#This Row],[Active Alch Frost]],-1,0)&gt;0,OFFSET(TblMagic[[#This Row],[Active Alch Frost]],-1,0)-1,0))</f>
        <v>0</v>
      </c>
      <c r="AN96" s="57">
        <f ca="1">IF(TblMagic[[#This Row],[Alchemists Flame]],12,IF(OFFSET(TblMagic[[#This Row],[Active Alchemists Flame]],-1,0)&gt;0,OFFSET(TblMagic[[#This Row],[Active Alchemists Flame]],-1,0)-1,0))</f>
        <v>0</v>
      </c>
      <c r="AO96" s="57">
        <f ca="1">IF(TblMagic[[#This Row],[Nightfall]],12,IF(OFFSET(TblMagic[[#This Row],[Active Nightfall]],-1,0)&gt;0,OFFSET(TblMagic[[#This Row],[Active Nightfall]],-1,0)-1,0))</f>
        <v>0</v>
      </c>
      <c r="AP96" s="57">
        <f ca="1">IF(TblMagic[[#This Row],[Favorable Terrain]],12,IF(OFFSET(TblMagic[[#This Row],[Active Favorable Terrain]],-1,0)&gt;0,OFFSET(TblMagic[[#This Row],[Active Favorable Terrain]],-1,0)-1,0))</f>
        <v>0</v>
      </c>
      <c r="AQ96" s="57">
        <f ca="1">IF(TblMagic[[#This Row],[Infernal Command]],12,IF(OFFSET(TblMagic[[#This Row],[Active Infernal Command]],-1,0)&gt;0,OFFSET(TblMagic[[#This Row],[Active Infernal Command]],-1,0)-1,0))</f>
        <v>0</v>
      </c>
    </row>
    <row r="97" spans="1:43" x14ac:dyDescent="0.2">
      <c r="A97" s="137">
        <f>TblRezone[[#This Row],[Hour]]</f>
        <v>94</v>
      </c>
      <c r="B97" s="154">
        <f ca="1">TblConstr[[#This Row],[Land]]</f>
        <v>110</v>
      </c>
      <c r="C97" s="94">
        <f ca="1">TblProd[[#This Row],[Mana]]</f>
        <v>0</v>
      </c>
      <c r="D97" s="156">
        <f ca="1">MIN(1,OFFSET(TblMagic[[#This Row],[Wiz str]],-1,0)+0.04+ROUNDDOWN(10*OFFSET(TblMili[[#This Row],[WG''s]],-1,0),0)+ tech_2_7*OFFSET(TblTech[[#This Row],[2-7]],-1,0) + tech_5_6*OFFSET(TblTech[[#This Row],[5-6]],-1,0) )-TblMagic[[#This Row],[Wiz str cost]]</f>
        <v>1</v>
      </c>
      <c r="E97" s="159">
        <f ca="1">OFFSET(TblMagic[[#This Row],[Time]],-1,0)+1/24</f>
        <v>46050.874999999774</v>
      </c>
      <c r="F97" s="156">
        <f ca="1">TblImps[[#This Row],[Population]]</f>
        <v>1</v>
      </c>
      <c r="G97" s="218"/>
      <c r="H97" s="218"/>
      <c r="I97" s="218"/>
      <c r="J97" s="218"/>
      <c r="K97" s="405"/>
      <c r="L97" s="218"/>
      <c r="M97" s="218"/>
      <c r="N97" s="218"/>
      <c r="O97" s="218"/>
      <c r="P97" s="218"/>
      <c r="Q97" s="218"/>
      <c r="R97" s="218"/>
      <c r="S97" s="218"/>
      <c r="T97" s="218"/>
      <c r="U97" s="218"/>
      <c r="V97" s="218"/>
      <c r="W97" s="218"/>
      <c r="X97" s="142"/>
      <c r="Y9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7" s="156">
        <f>SUMIF(TblMagic[[#This Row],[Gaia''s Watch]:[Useless spell]],1)*0.05</f>
        <v>0</v>
      </c>
      <c r="AA97" s="142"/>
      <c r="AB97" s="57">
        <f ca="1">IF(TblMagic[[#This Row],[Gaia''s Watch]],12,IF(OFFSET(TblMagic[[#This Row],[Active Gaia''s Watch]],-1,0)&gt;0,OFFSET(TblMagic[[#This Row],[Active Gaia''s Watch]],-1,0)-1,0))</f>
        <v>0</v>
      </c>
      <c r="AC97" s="57">
        <f ca="1">IF(TblMagic[[#This Row],[Mining Strength]],12,IF(OFFSET(TblMagic[[#This Row],[Active Mining Strength]],-1,0)&gt;0,OFFSET(TblMagic[[#This Row],[Active Mining Strength]],-1,0)-1,0))</f>
        <v>0</v>
      </c>
      <c r="AD97" s="57">
        <f ca="1">IF(TblMagic[[#This Row],[Ares Call]],12,IF(OFFSET(TblMagic[[#This Row],[Active Ares Call]],-1,0)&gt;0,OFFSET(TblMagic[[#This Row],[Active Ares Call]],-1,0)-1,0))</f>
        <v>0</v>
      </c>
      <c r="AE97" s="57">
        <f ca="1">IF(TblMagic[[#This Row],[Midas Touch]],12,IF(OFFSET(TblMagic[[#This Row],[Active Midas Touch]],-1,0)&gt;0,OFFSET(TblMagic[[#This Row],[Active Midas Touch]],-1,0)-1,0))</f>
        <v>0</v>
      </c>
      <c r="AF97" s="57">
        <f ca="1">IF(TblMagic[[#This Row],[Harmony]],12,IF(OFFSET(TblMagic[[#This Row],[Active Harmony]],-1,0)&gt;0,OFFSET(TblMagic[[#This Row],[Active Harmony]],-1,0)-1,0))</f>
        <v>0</v>
      </c>
      <c r="AG97" s="57">
        <f ca="1">IF(TblMagic[[#This Row],[Miner''s Sight]],12,IF(OFFSET(TblMagic[[#This Row],[Active Miner''s Sight]],-1,0)&gt;0,OFFSET(TblMagic[[#This Row],[Active Miner''s Sight]],-1,0)-1,0))</f>
        <v>0</v>
      </c>
      <c r="AH97" s="57">
        <f ca="1">IF(TblMagic[[#This Row],[Mechanical Genius]],12,IF(OFFSET(TblMagic[[#This Row],[Active Mechanical Genius]],-1,0)&gt;0,OFFSET(TblMagic[[#This Row],[Active Mechanical Genius]],-1,0)-1,0))</f>
        <v>0</v>
      </c>
      <c r="AI97" s="57">
        <f ca="1">IF(TblMagic[[#This Row],[Death and Decay]],12,IF(OFFSET(TblMagic[[#This Row],[Active DnD]],-1,0)&gt;0,OFFSET(TblMagic[[#This Row],[Active DnD]],-1,0)-1,0))</f>
        <v>0</v>
      </c>
      <c r="AJ97" s="57">
        <f ca="1">IF(TblMagic[[#This Row],[Killing Rage / Bloodrage / Crusade]],12,IF(OFFSET(TblMagic[[#This Row],[Active Warsong / Killing Rage / Bloodrage]],-1,0)&gt;0,OFFSET(TblMagic[[#This Row],[Active Warsong / Killing Rage / Bloodrage]],-1,0)-1,0))</f>
        <v>0</v>
      </c>
      <c r="AK97" s="57">
        <f ca="1">IF(TblMagic[[#This Row],[Gaia''s Blessing]],12,IF(OFFSET(TblMagic[[#This Row],[Active Gaia''s Blessing]],-1,0)&gt;0,OFFSET(TblMagic[[#This Row],[Active Gaia''s Blessing]],-1,0)-1,0))</f>
        <v>0</v>
      </c>
      <c r="AL97" s="57">
        <f ca="1">IF(TblMagic[[#This Row],[Howling]],12,IF(OFFSET(TblMagic[[#This Row],[Active Howling]],-1,0)&gt;0,OFFSET(TblMagic[[#This Row],[Active Howling]],-1,0)-1,0))</f>
        <v>0</v>
      </c>
      <c r="AM97" s="57">
        <f ca="1">IF(TblMagic[[#This Row],[Alchemist Frost]],12,IF(OFFSET(TblMagic[[#This Row],[Active Alch Frost]],-1,0)&gt;0,OFFSET(TblMagic[[#This Row],[Active Alch Frost]],-1,0)-1,0))</f>
        <v>0</v>
      </c>
      <c r="AN97" s="57">
        <f ca="1">IF(TblMagic[[#This Row],[Alchemists Flame]],12,IF(OFFSET(TblMagic[[#This Row],[Active Alchemists Flame]],-1,0)&gt;0,OFFSET(TblMagic[[#This Row],[Active Alchemists Flame]],-1,0)-1,0))</f>
        <v>0</v>
      </c>
      <c r="AO97" s="57">
        <f ca="1">IF(TblMagic[[#This Row],[Nightfall]],12,IF(OFFSET(TblMagic[[#This Row],[Active Nightfall]],-1,0)&gt;0,OFFSET(TblMagic[[#This Row],[Active Nightfall]],-1,0)-1,0))</f>
        <v>0</v>
      </c>
      <c r="AP97" s="57">
        <f ca="1">IF(TblMagic[[#This Row],[Favorable Terrain]],12,IF(OFFSET(TblMagic[[#This Row],[Active Favorable Terrain]],-1,0)&gt;0,OFFSET(TblMagic[[#This Row],[Active Favorable Terrain]],-1,0)-1,0))</f>
        <v>0</v>
      </c>
      <c r="AQ97" s="57">
        <f ca="1">IF(TblMagic[[#This Row],[Infernal Command]],12,IF(OFFSET(TblMagic[[#This Row],[Active Infernal Command]],-1,0)&gt;0,OFFSET(TblMagic[[#This Row],[Active Infernal Command]],-1,0)-1,0))</f>
        <v>0</v>
      </c>
    </row>
    <row r="98" spans="1:43" x14ac:dyDescent="0.2">
      <c r="A98" s="137">
        <f>TblRezone[[#This Row],[Hour]]</f>
        <v>95</v>
      </c>
      <c r="B98" s="154">
        <f ca="1">TblConstr[[#This Row],[Land]]</f>
        <v>110</v>
      </c>
      <c r="C98" s="94">
        <f ca="1">TblProd[[#This Row],[Mana]]</f>
        <v>0</v>
      </c>
      <c r="D98" s="156">
        <f ca="1">MIN(1,OFFSET(TblMagic[[#This Row],[Wiz str]],-1,0)+0.04+ROUNDDOWN(10*OFFSET(TblMili[[#This Row],[WG''s]],-1,0),0)+ tech_2_7*OFFSET(TblTech[[#This Row],[2-7]],-1,0) + tech_5_6*OFFSET(TblTech[[#This Row],[5-6]],-1,0) )-TblMagic[[#This Row],[Wiz str cost]]</f>
        <v>1</v>
      </c>
      <c r="E98" s="159">
        <f ca="1">OFFSET(TblMagic[[#This Row],[Time]],-1,0)+1/24</f>
        <v>46050.916666666439</v>
      </c>
      <c r="F98" s="156">
        <f ca="1">TblImps[[#This Row],[Population]]</f>
        <v>1</v>
      </c>
      <c r="G98" s="218"/>
      <c r="H98" s="218"/>
      <c r="I98" s="218"/>
      <c r="J98" s="218"/>
      <c r="K98" s="405"/>
      <c r="L98" s="218"/>
      <c r="M98" s="218"/>
      <c r="N98" s="218"/>
      <c r="O98" s="218"/>
      <c r="P98" s="218"/>
      <c r="Q98" s="218"/>
      <c r="R98" s="218"/>
      <c r="S98" s="218"/>
      <c r="T98" s="218"/>
      <c r="U98" s="218"/>
      <c r="V98" s="218"/>
      <c r="W98" s="218"/>
      <c r="X98" s="142"/>
      <c r="Y9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8" s="156">
        <f>SUMIF(TblMagic[[#This Row],[Gaia''s Watch]:[Useless spell]],1)*0.05</f>
        <v>0</v>
      </c>
      <c r="AA98" s="142"/>
      <c r="AB98" s="57">
        <f ca="1">IF(TblMagic[[#This Row],[Gaia''s Watch]],12,IF(OFFSET(TblMagic[[#This Row],[Active Gaia''s Watch]],-1,0)&gt;0,OFFSET(TblMagic[[#This Row],[Active Gaia''s Watch]],-1,0)-1,0))</f>
        <v>0</v>
      </c>
      <c r="AC98" s="57">
        <f ca="1">IF(TblMagic[[#This Row],[Mining Strength]],12,IF(OFFSET(TblMagic[[#This Row],[Active Mining Strength]],-1,0)&gt;0,OFFSET(TblMagic[[#This Row],[Active Mining Strength]],-1,0)-1,0))</f>
        <v>0</v>
      </c>
      <c r="AD98" s="57">
        <f ca="1">IF(TblMagic[[#This Row],[Ares Call]],12,IF(OFFSET(TblMagic[[#This Row],[Active Ares Call]],-1,0)&gt;0,OFFSET(TblMagic[[#This Row],[Active Ares Call]],-1,0)-1,0))</f>
        <v>0</v>
      </c>
      <c r="AE98" s="57">
        <f ca="1">IF(TblMagic[[#This Row],[Midas Touch]],12,IF(OFFSET(TblMagic[[#This Row],[Active Midas Touch]],-1,0)&gt;0,OFFSET(TblMagic[[#This Row],[Active Midas Touch]],-1,0)-1,0))</f>
        <v>0</v>
      </c>
      <c r="AF98" s="57">
        <f ca="1">IF(TblMagic[[#This Row],[Harmony]],12,IF(OFFSET(TblMagic[[#This Row],[Active Harmony]],-1,0)&gt;0,OFFSET(TblMagic[[#This Row],[Active Harmony]],-1,0)-1,0))</f>
        <v>0</v>
      </c>
      <c r="AG98" s="57">
        <f ca="1">IF(TblMagic[[#This Row],[Miner''s Sight]],12,IF(OFFSET(TblMagic[[#This Row],[Active Miner''s Sight]],-1,0)&gt;0,OFFSET(TblMagic[[#This Row],[Active Miner''s Sight]],-1,0)-1,0))</f>
        <v>0</v>
      </c>
      <c r="AH98" s="57">
        <f ca="1">IF(TblMagic[[#This Row],[Mechanical Genius]],12,IF(OFFSET(TblMagic[[#This Row],[Active Mechanical Genius]],-1,0)&gt;0,OFFSET(TblMagic[[#This Row],[Active Mechanical Genius]],-1,0)-1,0))</f>
        <v>0</v>
      </c>
      <c r="AI98" s="57">
        <f ca="1">IF(TblMagic[[#This Row],[Death and Decay]],12,IF(OFFSET(TblMagic[[#This Row],[Active DnD]],-1,0)&gt;0,OFFSET(TblMagic[[#This Row],[Active DnD]],-1,0)-1,0))</f>
        <v>0</v>
      </c>
      <c r="AJ98" s="57">
        <f ca="1">IF(TblMagic[[#This Row],[Killing Rage / Bloodrage / Crusade]],12,IF(OFFSET(TblMagic[[#This Row],[Active Warsong / Killing Rage / Bloodrage]],-1,0)&gt;0,OFFSET(TblMagic[[#This Row],[Active Warsong / Killing Rage / Bloodrage]],-1,0)-1,0))</f>
        <v>0</v>
      </c>
      <c r="AK98" s="57">
        <f ca="1">IF(TblMagic[[#This Row],[Gaia''s Blessing]],12,IF(OFFSET(TblMagic[[#This Row],[Active Gaia''s Blessing]],-1,0)&gt;0,OFFSET(TblMagic[[#This Row],[Active Gaia''s Blessing]],-1,0)-1,0))</f>
        <v>0</v>
      </c>
      <c r="AL98" s="57">
        <f ca="1">IF(TblMagic[[#This Row],[Howling]],12,IF(OFFSET(TblMagic[[#This Row],[Active Howling]],-1,0)&gt;0,OFFSET(TblMagic[[#This Row],[Active Howling]],-1,0)-1,0))</f>
        <v>0</v>
      </c>
      <c r="AM98" s="57">
        <f ca="1">IF(TblMagic[[#This Row],[Alchemist Frost]],12,IF(OFFSET(TblMagic[[#This Row],[Active Alch Frost]],-1,0)&gt;0,OFFSET(TblMagic[[#This Row],[Active Alch Frost]],-1,0)-1,0))</f>
        <v>0</v>
      </c>
      <c r="AN98" s="57">
        <f ca="1">IF(TblMagic[[#This Row],[Alchemists Flame]],12,IF(OFFSET(TblMagic[[#This Row],[Active Alchemists Flame]],-1,0)&gt;0,OFFSET(TblMagic[[#This Row],[Active Alchemists Flame]],-1,0)-1,0))</f>
        <v>0</v>
      </c>
      <c r="AO98" s="57">
        <f ca="1">IF(TblMagic[[#This Row],[Nightfall]],12,IF(OFFSET(TblMagic[[#This Row],[Active Nightfall]],-1,0)&gt;0,OFFSET(TblMagic[[#This Row],[Active Nightfall]],-1,0)-1,0))</f>
        <v>0</v>
      </c>
      <c r="AP98" s="57">
        <f ca="1">IF(TblMagic[[#This Row],[Favorable Terrain]],12,IF(OFFSET(TblMagic[[#This Row],[Active Favorable Terrain]],-1,0)&gt;0,OFFSET(TblMagic[[#This Row],[Active Favorable Terrain]],-1,0)-1,0))</f>
        <v>0</v>
      </c>
      <c r="AQ98" s="57">
        <f ca="1">IF(TblMagic[[#This Row],[Infernal Command]],12,IF(OFFSET(TblMagic[[#This Row],[Active Infernal Command]],-1,0)&gt;0,OFFSET(TblMagic[[#This Row],[Active Infernal Command]],-1,0)-1,0))</f>
        <v>0</v>
      </c>
    </row>
    <row r="99" spans="1:43" x14ac:dyDescent="0.2">
      <c r="A99" s="137">
        <f>TblRezone[[#This Row],[Hour]]</f>
        <v>96</v>
      </c>
      <c r="B99" s="154">
        <f ca="1">TblConstr[[#This Row],[Land]]</f>
        <v>110</v>
      </c>
      <c r="C99" s="94">
        <f ca="1">TblProd[[#This Row],[Mana]]</f>
        <v>0</v>
      </c>
      <c r="D99" s="156">
        <f ca="1">MIN(1,OFFSET(TblMagic[[#This Row],[Wiz str]],-1,0)+0.04+ROUNDDOWN(10*OFFSET(TblMili[[#This Row],[WG''s]],-1,0),0)+ tech_2_7*OFFSET(TblTech[[#This Row],[2-7]],-1,0) + tech_5_6*OFFSET(TblTech[[#This Row],[5-6]],-1,0) )-TblMagic[[#This Row],[Wiz str cost]]</f>
        <v>1</v>
      </c>
      <c r="E99" s="159">
        <f ca="1">OFFSET(TblMagic[[#This Row],[Time]],-1,0)+1/24</f>
        <v>46050.958333333103</v>
      </c>
      <c r="F99" s="156">
        <f ca="1">TblImps[[#This Row],[Population]]</f>
        <v>1</v>
      </c>
      <c r="G99" s="218"/>
      <c r="H99" s="218"/>
      <c r="I99" s="218"/>
      <c r="J99" s="218"/>
      <c r="K99" s="405"/>
      <c r="L99" s="218"/>
      <c r="M99" s="218"/>
      <c r="N99" s="218"/>
      <c r="O99" s="218"/>
      <c r="P99" s="218"/>
      <c r="Q99" s="218"/>
      <c r="R99" s="218"/>
      <c r="S99" s="218"/>
      <c r="T99" s="218"/>
      <c r="U99" s="218"/>
      <c r="V99" s="218"/>
      <c r="W99" s="218"/>
      <c r="X99" s="142"/>
      <c r="Y9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99" s="156">
        <f>SUMIF(TblMagic[[#This Row],[Gaia''s Watch]:[Useless spell]],1)*0.05</f>
        <v>0</v>
      </c>
      <c r="AA99" s="142"/>
      <c r="AB99" s="57">
        <f ca="1">IF(TblMagic[[#This Row],[Gaia''s Watch]],12,IF(OFFSET(TblMagic[[#This Row],[Active Gaia''s Watch]],-1,0)&gt;0,OFFSET(TblMagic[[#This Row],[Active Gaia''s Watch]],-1,0)-1,0))</f>
        <v>0</v>
      </c>
      <c r="AC99" s="57">
        <f ca="1">IF(TblMagic[[#This Row],[Mining Strength]],12,IF(OFFSET(TblMagic[[#This Row],[Active Mining Strength]],-1,0)&gt;0,OFFSET(TblMagic[[#This Row],[Active Mining Strength]],-1,0)-1,0))</f>
        <v>0</v>
      </c>
      <c r="AD99" s="57">
        <f ca="1">IF(TblMagic[[#This Row],[Ares Call]],12,IF(OFFSET(TblMagic[[#This Row],[Active Ares Call]],-1,0)&gt;0,OFFSET(TblMagic[[#This Row],[Active Ares Call]],-1,0)-1,0))</f>
        <v>0</v>
      </c>
      <c r="AE99" s="57">
        <f ca="1">IF(TblMagic[[#This Row],[Midas Touch]],12,IF(OFFSET(TblMagic[[#This Row],[Active Midas Touch]],-1,0)&gt;0,OFFSET(TblMagic[[#This Row],[Active Midas Touch]],-1,0)-1,0))</f>
        <v>0</v>
      </c>
      <c r="AF99" s="57">
        <f ca="1">IF(TblMagic[[#This Row],[Harmony]],12,IF(OFFSET(TblMagic[[#This Row],[Active Harmony]],-1,0)&gt;0,OFFSET(TblMagic[[#This Row],[Active Harmony]],-1,0)-1,0))</f>
        <v>0</v>
      </c>
      <c r="AG99" s="57">
        <f ca="1">IF(TblMagic[[#This Row],[Miner''s Sight]],12,IF(OFFSET(TblMagic[[#This Row],[Active Miner''s Sight]],-1,0)&gt;0,OFFSET(TblMagic[[#This Row],[Active Miner''s Sight]],-1,0)-1,0))</f>
        <v>0</v>
      </c>
      <c r="AH99" s="57">
        <f ca="1">IF(TblMagic[[#This Row],[Mechanical Genius]],12,IF(OFFSET(TblMagic[[#This Row],[Active Mechanical Genius]],-1,0)&gt;0,OFFSET(TblMagic[[#This Row],[Active Mechanical Genius]],-1,0)-1,0))</f>
        <v>0</v>
      </c>
      <c r="AI99" s="57">
        <f ca="1">IF(TblMagic[[#This Row],[Death and Decay]],12,IF(OFFSET(TblMagic[[#This Row],[Active DnD]],-1,0)&gt;0,OFFSET(TblMagic[[#This Row],[Active DnD]],-1,0)-1,0))</f>
        <v>0</v>
      </c>
      <c r="AJ99" s="57">
        <f ca="1">IF(TblMagic[[#This Row],[Killing Rage / Bloodrage / Crusade]],12,IF(OFFSET(TblMagic[[#This Row],[Active Warsong / Killing Rage / Bloodrage]],-1,0)&gt;0,OFFSET(TblMagic[[#This Row],[Active Warsong / Killing Rage / Bloodrage]],-1,0)-1,0))</f>
        <v>0</v>
      </c>
      <c r="AK99" s="57">
        <f ca="1">IF(TblMagic[[#This Row],[Gaia''s Blessing]],12,IF(OFFSET(TblMagic[[#This Row],[Active Gaia''s Blessing]],-1,0)&gt;0,OFFSET(TblMagic[[#This Row],[Active Gaia''s Blessing]],-1,0)-1,0))</f>
        <v>0</v>
      </c>
      <c r="AL99" s="57">
        <f ca="1">IF(TblMagic[[#This Row],[Howling]],12,IF(OFFSET(TblMagic[[#This Row],[Active Howling]],-1,0)&gt;0,OFFSET(TblMagic[[#This Row],[Active Howling]],-1,0)-1,0))</f>
        <v>0</v>
      </c>
      <c r="AM99" s="57">
        <f ca="1">IF(TblMagic[[#This Row],[Alchemist Frost]],12,IF(OFFSET(TblMagic[[#This Row],[Active Alch Frost]],-1,0)&gt;0,OFFSET(TblMagic[[#This Row],[Active Alch Frost]],-1,0)-1,0))</f>
        <v>0</v>
      </c>
      <c r="AN99" s="57">
        <f ca="1">IF(TblMagic[[#This Row],[Alchemists Flame]],12,IF(OFFSET(TblMagic[[#This Row],[Active Alchemists Flame]],-1,0)&gt;0,OFFSET(TblMagic[[#This Row],[Active Alchemists Flame]],-1,0)-1,0))</f>
        <v>0</v>
      </c>
      <c r="AO99" s="57">
        <f ca="1">IF(TblMagic[[#This Row],[Nightfall]],12,IF(OFFSET(TblMagic[[#This Row],[Active Nightfall]],-1,0)&gt;0,OFFSET(TblMagic[[#This Row],[Active Nightfall]],-1,0)-1,0))</f>
        <v>0</v>
      </c>
      <c r="AP99" s="57">
        <f ca="1">IF(TblMagic[[#This Row],[Favorable Terrain]],12,IF(OFFSET(TblMagic[[#This Row],[Active Favorable Terrain]],-1,0)&gt;0,OFFSET(TblMagic[[#This Row],[Active Favorable Terrain]],-1,0)-1,0))</f>
        <v>0</v>
      </c>
      <c r="AQ99" s="57">
        <f ca="1">IF(TblMagic[[#This Row],[Infernal Command]],12,IF(OFFSET(TblMagic[[#This Row],[Active Infernal Command]],-1,0)&gt;0,OFFSET(TblMagic[[#This Row],[Active Infernal Command]],-1,0)-1,0))</f>
        <v>0</v>
      </c>
    </row>
    <row r="100" spans="1:43" x14ac:dyDescent="0.2">
      <c r="A100" s="137">
        <f>TblRezone[[#This Row],[Hour]]</f>
        <v>97</v>
      </c>
      <c r="B100" s="154">
        <f ca="1">TblConstr[[#This Row],[Land]]</f>
        <v>110</v>
      </c>
      <c r="C100" s="94">
        <f ca="1">TblProd[[#This Row],[Mana]]</f>
        <v>0</v>
      </c>
      <c r="D100" s="156">
        <f ca="1">MIN(1,OFFSET(TblMagic[[#This Row],[Wiz str]],-1,0)+0.04+ROUNDDOWN(10*OFFSET(TblMili[[#This Row],[WG''s]],-1,0),0)+ tech_2_7*OFFSET(TblTech[[#This Row],[2-7]],-1,0) + tech_5_6*OFFSET(TblTech[[#This Row],[5-6]],-1,0) )-TblMagic[[#This Row],[Wiz str cost]]</f>
        <v>1</v>
      </c>
      <c r="E100" s="159">
        <f ca="1">OFFSET(TblMagic[[#This Row],[Time]],-1,0)+1/24</f>
        <v>46050.999999999767</v>
      </c>
      <c r="F100" s="156">
        <f ca="1">TblImps[[#This Row],[Population]]</f>
        <v>1</v>
      </c>
      <c r="G100" s="218"/>
      <c r="H100" s="218"/>
      <c r="I100" s="218"/>
      <c r="J100" s="218"/>
      <c r="K100" s="405"/>
      <c r="L100" s="218"/>
      <c r="M100" s="218"/>
      <c r="N100" s="218"/>
      <c r="O100" s="218"/>
      <c r="P100" s="218"/>
      <c r="Q100" s="218"/>
      <c r="R100" s="218"/>
      <c r="S100" s="218"/>
      <c r="T100" s="218"/>
      <c r="U100" s="218"/>
      <c r="V100" s="218"/>
      <c r="W100" s="218"/>
      <c r="X100" s="142"/>
      <c r="Y10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0" s="156">
        <f>SUMIF(TblMagic[[#This Row],[Gaia''s Watch]:[Useless spell]],1)*0.05</f>
        <v>0</v>
      </c>
      <c r="AA100" s="142"/>
      <c r="AB100" s="57">
        <f ca="1">IF(TblMagic[[#This Row],[Gaia''s Watch]],12,IF(OFFSET(TblMagic[[#This Row],[Active Gaia''s Watch]],-1,0)&gt;0,OFFSET(TblMagic[[#This Row],[Active Gaia''s Watch]],-1,0)-1,0))</f>
        <v>0</v>
      </c>
      <c r="AC100" s="57">
        <f ca="1">IF(TblMagic[[#This Row],[Mining Strength]],12,IF(OFFSET(TblMagic[[#This Row],[Active Mining Strength]],-1,0)&gt;0,OFFSET(TblMagic[[#This Row],[Active Mining Strength]],-1,0)-1,0))</f>
        <v>0</v>
      </c>
      <c r="AD100" s="57">
        <f ca="1">IF(TblMagic[[#This Row],[Ares Call]],12,IF(OFFSET(TblMagic[[#This Row],[Active Ares Call]],-1,0)&gt;0,OFFSET(TblMagic[[#This Row],[Active Ares Call]],-1,0)-1,0))</f>
        <v>0</v>
      </c>
      <c r="AE100" s="57">
        <f ca="1">IF(TblMagic[[#This Row],[Midas Touch]],12,IF(OFFSET(TblMagic[[#This Row],[Active Midas Touch]],-1,0)&gt;0,OFFSET(TblMagic[[#This Row],[Active Midas Touch]],-1,0)-1,0))</f>
        <v>0</v>
      </c>
      <c r="AF100" s="57">
        <f ca="1">IF(TblMagic[[#This Row],[Harmony]],12,IF(OFFSET(TblMagic[[#This Row],[Active Harmony]],-1,0)&gt;0,OFFSET(TblMagic[[#This Row],[Active Harmony]],-1,0)-1,0))</f>
        <v>0</v>
      </c>
      <c r="AG100" s="57">
        <f ca="1">IF(TblMagic[[#This Row],[Miner''s Sight]],12,IF(OFFSET(TblMagic[[#This Row],[Active Miner''s Sight]],-1,0)&gt;0,OFFSET(TblMagic[[#This Row],[Active Miner''s Sight]],-1,0)-1,0))</f>
        <v>0</v>
      </c>
      <c r="AH100" s="57">
        <f ca="1">IF(TblMagic[[#This Row],[Mechanical Genius]],12,IF(OFFSET(TblMagic[[#This Row],[Active Mechanical Genius]],-1,0)&gt;0,OFFSET(TblMagic[[#This Row],[Active Mechanical Genius]],-1,0)-1,0))</f>
        <v>0</v>
      </c>
      <c r="AI100" s="57">
        <f ca="1">IF(TblMagic[[#This Row],[Death and Decay]],12,IF(OFFSET(TblMagic[[#This Row],[Active DnD]],-1,0)&gt;0,OFFSET(TblMagic[[#This Row],[Active DnD]],-1,0)-1,0))</f>
        <v>0</v>
      </c>
      <c r="AJ100" s="57">
        <f ca="1">IF(TblMagic[[#This Row],[Killing Rage / Bloodrage / Crusade]],12,IF(OFFSET(TblMagic[[#This Row],[Active Warsong / Killing Rage / Bloodrage]],-1,0)&gt;0,OFFSET(TblMagic[[#This Row],[Active Warsong / Killing Rage / Bloodrage]],-1,0)-1,0))</f>
        <v>0</v>
      </c>
      <c r="AK100" s="57">
        <f ca="1">IF(TblMagic[[#This Row],[Gaia''s Blessing]],12,IF(OFFSET(TblMagic[[#This Row],[Active Gaia''s Blessing]],-1,0)&gt;0,OFFSET(TblMagic[[#This Row],[Active Gaia''s Blessing]],-1,0)-1,0))</f>
        <v>0</v>
      </c>
      <c r="AL100" s="57">
        <f ca="1">IF(TblMagic[[#This Row],[Howling]],12,IF(OFFSET(TblMagic[[#This Row],[Active Howling]],-1,0)&gt;0,OFFSET(TblMagic[[#This Row],[Active Howling]],-1,0)-1,0))</f>
        <v>0</v>
      </c>
      <c r="AM100" s="57">
        <f ca="1">IF(TblMagic[[#This Row],[Alchemist Frost]],12,IF(OFFSET(TblMagic[[#This Row],[Active Alch Frost]],-1,0)&gt;0,OFFSET(TblMagic[[#This Row],[Active Alch Frost]],-1,0)-1,0))</f>
        <v>0</v>
      </c>
      <c r="AN100" s="57">
        <f ca="1">IF(TblMagic[[#This Row],[Alchemists Flame]],12,IF(OFFSET(TblMagic[[#This Row],[Active Alchemists Flame]],-1,0)&gt;0,OFFSET(TblMagic[[#This Row],[Active Alchemists Flame]],-1,0)-1,0))</f>
        <v>0</v>
      </c>
      <c r="AO100" s="57">
        <f ca="1">IF(TblMagic[[#This Row],[Nightfall]],12,IF(OFFSET(TblMagic[[#This Row],[Active Nightfall]],-1,0)&gt;0,OFFSET(TblMagic[[#This Row],[Active Nightfall]],-1,0)-1,0))</f>
        <v>0</v>
      </c>
      <c r="AP100" s="57">
        <f ca="1">IF(TblMagic[[#This Row],[Favorable Terrain]],12,IF(OFFSET(TblMagic[[#This Row],[Active Favorable Terrain]],-1,0)&gt;0,OFFSET(TblMagic[[#This Row],[Active Favorable Terrain]],-1,0)-1,0))</f>
        <v>0</v>
      </c>
      <c r="AQ100" s="57">
        <f ca="1">IF(TblMagic[[#This Row],[Infernal Command]],12,IF(OFFSET(TblMagic[[#This Row],[Active Infernal Command]],-1,0)&gt;0,OFFSET(TblMagic[[#This Row],[Active Infernal Command]],-1,0)-1,0))</f>
        <v>0</v>
      </c>
    </row>
    <row r="101" spans="1:43" x14ac:dyDescent="0.2">
      <c r="A101" s="137">
        <f>TblRezone[[#This Row],[Hour]]</f>
        <v>98</v>
      </c>
      <c r="B101" s="154">
        <f ca="1">TblConstr[[#This Row],[Land]]</f>
        <v>110</v>
      </c>
      <c r="C101" s="94">
        <f ca="1">TblProd[[#This Row],[Mana]]</f>
        <v>0</v>
      </c>
      <c r="D101" s="156">
        <f ca="1">MIN(1,OFFSET(TblMagic[[#This Row],[Wiz str]],-1,0)+0.04+ROUNDDOWN(10*OFFSET(TblMili[[#This Row],[WG''s]],-1,0),0)+ tech_2_7*OFFSET(TblTech[[#This Row],[2-7]],-1,0) + tech_5_6*OFFSET(TblTech[[#This Row],[5-6]],-1,0) )-TblMagic[[#This Row],[Wiz str cost]]</f>
        <v>1</v>
      </c>
      <c r="E101" s="159">
        <f ca="1">OFFSET(TblMagic[[#This Row],[Time]],-1,0)+1/24</f>
        <v>46051.041666666431</v>
      </c>
      <c r="F101" s="156">
        <f ca="1">TblImps[[#This Row],[Population]]</f>
        <v>1</v>
      </c>
      <c r="G101" s="218"/>
      <c r="H101" s="218"/>
      <c r="I101" s="218"/>
      <c r="J101" s="218"/>
      <c r="K101" s="405"/>
      <c r="L101" s="218"/>
      <c r="M101" s="218"/>
      <c r="N101" s="218"/>
      <c r="O101" s="218"/>
      <c r="P101" s="218"/>
      <c r="Q101" s="218"/>
      <c r="R101" s="218"/>
      <c r="S101" s="218"/>
      <c r="T101" s="218"/>
      <c r="U101" s="218"/>
      <c r="V101" s="218"/>
      <c r="W101" s="218"/>
      <c r="X101" s="142"/>
      <c r="Y10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1" s="156">
        <f>SUMIF(TblMagic[[#This Row],[Gaia''s Watch]:[Useless spell]],1)*0.05</f>
        <v>0</v>
      </c>
      <c r="AA101" s="142"/>
      <c r="AB101" s="57">
        <f ca="1">IF(TblMagic[[#This Row],[Gaia''s Watch]],12,IF(OFFSET(TblMagic[[#This Row],[Active Gaia''s Watch]],-1,0)&gt;0,OFFSET(TblMagic[[#This Row],[Active Gaia''s Watch]],-1,0)-1,0))</f>
        <v>0</v>
      </c>
      <c r="AC101" s="57">
        <f ca="1">IF(TblMagic[[#This Row],[Mining Strength]],12,IF(OFFSET(TblMagic[[#This Row],[Active Mining Strength]],-1,0)&gt;0,OFFSET(TblMagic[[#This Row],[Active Mining Strength]],-1,0)-1,0))</f>
        <v>0</v>
      </c>
      <c r="AD101" s="57">
        <f ca="1">IF(TblMagic[[#This Row],[Ares Call]],12,IF(OFFSET(TblMagic[[#This Row],[Active Ares Call]],-1,0)&gt;0,OFFSET(TblMagic[[#This Row],[Active Ares Call]],-1,0)-1,0))</f>
        <v>0</v>
      </c>
      <c r="AE101" s="57">
        <f ca="1">IF(TblMagic[[#This Row],[Midas Touch]],12,IF(OFFSET(TblMagic[[#This Row],[Active Midas Touch]],-1,0)&gt;0,OFFSET(TblMagic[[#This Row],[Active Midas Touch]],-1,0)-1,0))</f>
        <v>0</v>
      </c>
      <c r="AF101" s="57">
        <f ca="1">IF(TblMagic[[#This Row],[Harmony]],12,IF(OFFSET(TblMagic[[#This Row],[Active Harmony]],-1,0)&gt;0,OFFSET(TblMagic[[#This Row],[Active Harmony]],-1,0)-1,0))</f>
        <v>0</v>
      </c>
      <c r="AG101" s="57">
        <f ca="1">IF(TblMagic[[#This Row],[Miner''s Sight]],12,IF(OFFSET(TblMagic[[#This Row],[Active Miner''s Sight]],-1,0)&gt;0,OFFSET(TblMagic[[#This Row],[Active Miner''s Sight]],-1,0)-1,0))</f>
        <v>0</v>
      </c>
      <c r="AH101" s="57">
        <f ca="1">IF(TblMagic[[#This Row],[Mechanical Genius]],12,IF(OFFSET(TblMagic[[#This Row],[Active Mechanical Genius]],-1,0)&gt;0,OFFSET(TblMagic[[#This Row],[Active Mechanical Genius]],-1,0)-1,0))</f>
        <v>0</v>
      </c>
      <c r="AI101" s="57">
        <f ca="1">IF(TblMagic[[#This Row],[Death and Decay]],12,IF(OFFSET(TblMagic[[#This Row],[Active DnD]],-1,0)&gt;0,OFFSET(TblMagic[[#This Row],[Active DnD]],-1,0)-1,0))</f>
        <v>0</v>
      </c>
      <c r="AJ101" s="57">
        <f ca="1">IF(TblMagic[[#This Row],[Killing Rage / Bloodrage / Crusade]],12,IF(OFFSET(TblMagic[[#This Row],[Active Warsong / Killing Rage / Bloodrage]],-1,0)&gt;0,OFFSET(TblMagic[[#This Row],[Active Warsong / Killing Rage / Bloodrage]],-1,0)-1,0))</f>
        <v>0</v>
      </c>
      <c r="AK101" s="57">
        <f ca="1">IF(TblMagic[[#This Row],[Gaia''s Blessing]],12,IF(OFFSET(TblMagic[[#This Row],[Active Gaia''s Blessing]],-1,0)&gt;0,OFFSET(TblMagic[[#This Row],[Active Gaia''s Blessing]],-1,0)-1,0))</f>
        <v>0</v>
      </c>
      <c r="AL101" s="57">
        <f ca="1">IF(TblMagic[[#This Row],[Howling]],12,IF(OFFSET(TblMagic[[#This Row],[Active Howling]],-1,0)&gt;0,OFFSET(TblMagic[[#This Row],[Active Howling]],-1,0)-1,0))</f>
        <v>0</v>
      </c>
      <c r="AM101" s="57">
        <f ca="1">IF(TblMagic[[#This Row],[Alchemist Frost]],12,IF(OFFSET(TblMagic[[#This Row],[Active Alch Frost]],-1,0)&gt;0,OFFSET(TblMagic[[#This Row],[Active Alch Frost]],-1,0)-1,0))</f>
        <v>0</v>
      </c>
      <c r="AN101" s="57">
        <f ca="1">IF(TblMagic[[#This Row],[Alchemists Flame]],12,IF(OFFSET(TblMagic[[#This Row],[Active Alchemists Flame]],-1,0)&gt;0,OFFSET(TblMagic[[#This Row],[Active Alchemists Flame]],-1,0)-1,0))</f>
        <v>0</v>
      </c>
      <c r="AO101" s="57">
        <f ca="1">IF(TblMagic[[#This Row],[Nightfall]],12,IF(OFFSET(TblMagic[[#This Row],[Active Nightfall]],-1,0)&gt;0,OFFSET(TblMagic[[#This Row],[Active Nightfall]],-1,0)-1,0))</f>
        <v>0</v>
      </c>
      <c r="AP101" s="57">
        <f ca="1">IF(TblMagic[[#This Row],[Favorable Terrain]],12,IF(OFFSET(TblMagic[[#This Row],[Active Favorable Terrain]],-1,0)&gt;0,OFFSET(TblMagic[[#This Row],[Active Favorable Terrain]],-1,0)-1,0))</f>
        <v>0</v>
      </c>
      <c r="AQ101" s="57">
        <f ca="1">IF(TblMagic[[#This Row],[Infernal Command]],12,IF(OFFSET(TblMagic[[#This Row],[Active Infernal Command]],-1,0)&gt;0,OFFSET(TblMagic[[#This Row],[Active Infernal Command]],-1,0)-1,0))</f>
        <v>0</v>
      </c>
    </row>
    <row r="102" spans="1:43" x14ac:dyDescent="0.2">
      <c r="A102" s="137">
        <f>TblRezone[[#This Row],[Hour]]</f>
        <v>99</v>
      </c>
      <c r="B102" s="154">
        <f ca="1">TblConstr[[#This Row],[Land]]</f>
        <v>110</v>
      </c>
      <c r="C102" s="94">
        <f ca="1">TblProd[[#This Row],[Mana]]</f>
        <v>0</v>
      </c>
      <c r="D102" s="156">
        <f ca="1">MIN(1,OFFSET(TblMagic[[#This Row],[Wiz str]],-1,0)+0.04+ROUNDDOWN(10*OFFSET(TblMili[[#This Row],[WG''s]],-1,0),0)+ tech_2_7*OFFSET(TblTech[[#This Row],[2-7]],-1,0) + tech_5_6*OFFSET(TblTech[[#This Row],[5-6]],-1,0) )-TblMagic[[#This Row],[Wiz str cost]]</f>
        <v>1</v>
      </c>
      <c r="E102" s="159">
        <f ca="1">OFFSET(TblMagic[[#This Row],[Time]],-1,0)+1/24</f>
        <v>46051.083333333096</v>
      </c>
      <c r="F102" s="156">
        <f ca="1">TblImps[[#This Row],[Population]]</f>
        <v>1</v>
      </c>
      <c r="G102" s="218"/>
      <c r="H102" s="218"/>
      <c r="I102" s="218"/>
      <c r="J102" s="218"/>
      <c r="K102" s="405"/>
      <c r="L102" s="218"/>
      <c r="M102" s="218"/>
      <c r="N102" s="218"/>
      <c r="O102" s="218"/>
      <c r="P102" s="218"/>
      <c r="Q102" s="218"/>
      <c r="R102" s="218"/>
      <c r="S102" s="218"/>
      <c r="T102" s="218"/>
      <c r="U102" s="218"/>
      <c r="V102" s="218"/>
      <c r="W102" s="218"/>
      <c r="X102" s="142"/>
      <c r="Y10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2" s="156">
        <f>SUMIF(TblMagic[[#This Row],[Gaia''s Watch]:[Useless spell]],1)*0.05</f>
        <v>0</v>
      </c>
      <c r="AA102" s="142"/>
      <c r="AB102" s="57">
        <f ca="1">IF(TblMagic[[#This Row],[Gaia''s Watch]],12,IF(OFFSET(TblMagic[[#This Row],[Active Gaia''s Watch]],-1,0)&gt;0,OFFSET(TblMagic[[#This Row],[Active Gaia''s Watch]],-1,0)-1,0))</f>
        <v>0</v>
      </c>
      <c r="AC102" s="57">
        <f ca="1">IF(TblMagic[[#This Row],[Mining Strength]],12,IF(OFFSET(TblMagic[[#This Row],[Active Mining Strength]],-1,0)&gt;0,OFFSET(TblMagic[[#This Row],[Active Mining Strength]],-1,0)-1,0))</f>
        <v>0</v>
      </c>
      <c r="AD102" s="57">
        <f ca="1">IF(TblMagic[[#This Row],[Ares Call]],12,IF(OFFSET(TblMagic[[#This Row],[Active Ares Call]],-1,0)&gt;0,OFFSET(TblMagic[[#This Row],[Active Ares Call]],-1,0)-1,0))</f>
        <v>0</v>
      </c>
      <c r="AE102" s="57">
        <f ca="1">IF(TblMagic[[#This Row],[Midas Touch]],12,IF(OFFSET(TblMagic[[#This Row],[Active Midas Touch]],-1,0)&gt;0,OFFSET(TblMagic[[#This Row],[Active Midas Touch]],-1,0)-1,0))</f>
        <v>0</v>
      </c>
      <c r="AF102" s="57">
        <f ca="1">IF(TblMagic[[#This Row],[Harmony]],12,IF(OFFSET(TblMagic[[#This Row],[Active Harmony]],-1,0)&gt;0,OFFSET(TblMagic[[#This Row],[Active Harmony]],-1,0)-1,0))</f>
        <v>0</v>
      </c>
      <c r="AG102" s="57">
        <f ca="1">IF(TblMagic[[#This Row],[Miner''s Sight]],12,IF(OFFSET(TblMagic[[#This Row],[Active Miner''s Sight]],-1,0)&gt;0,OFFSET(TblMagic[[#This Row],[Active Miner''s Sight]],-1,0)-1,0))</f>
        <v>0</v>
      </c>
      <c r="AH102" s="57">
        <f ca="1">IF(TblMagic[[#This Row],[Mechanical Genius]],12,IF(OFFSET(TblMagic[[#This Row],[Active Mechanical Genius]],-1,0)&gt;0,OFFSET(TblMagic[[#This Row],[Active Mechanical Genius]],-1,0)-1,0))</f>
        <v>0</v>
      </c>
      <c r="AI102" s="57">
        <f ca="1">IF(TblMagic[[#This Row],[Death and Decay]],12,IF(OFFSET(TblMagic[[#This Row],[Active DnD]],-1,0)&gt;0,OFFSET(TblMagic[[#This Row],[Active DnD]],-1,0)-1,0))</f>
        <v>0</v>
      </c>
      <c r="AJ102" s="57">
        <f ca="1">IF(TblMagic[[#This Row],[Killing Rage / Bloodrage / Crusade]],12,IF(OFFSET(TblMagic[[#This Row],[Active Warsong / Killing Rage / Bloodrage]],-1,0)&gt;0,OFFSET(TblMagic[[#This Row],[Active Warsong / Killing Rage / Bloodrage]],-1,0)-1,0))</f>
        <v>0</v>
      </c>
      <c r="AK102" s="57">
        <f ca="1">IF(TblMagic[[#This Row],[Gaia''s Blessing]],12,IF(OFFSET(TblMagic[[#This Row],[Active Gaia''s Blessing]],-1,0)&gt;0,OFFSET(TblMagic[[#This Row],[Active Gaia''s Blessing]],-1,0)-1,0))</f>
        <v>0</v>
      </c>
      <c r="AL102" s="57">
        <f ca="1">IF(TblMagic[[#This Row],[Howling]],12,IF(OFFSET(TblMagic[[#This Row],[Active Howling]],-1,0)&gt;0,OFFSET(TblMagic[[#This Row],[Active Howling]],-1,0)-1,0))</f>
        <v>0</v>
      </c>
      <c r="AM102" s="57">
        <f ca="1">IF(TblMagic[[#This Row],[Alchemist Frost]],12,IF(OFFSET(TblMagic[[#This Row],[Active Alch Frost]],-1,0)&gt;0,OFFSET(TblMagic[[#This Row],[Active Alch Frost]],-1,0)-1,0))</f>
        <v>0</v>
      </c>
      <c r="AN102" s="57">
        <f ca="1">IF(TblMagic[[#This Row],[Alchemists Flame]],12,IF(OFFSET(TblMagic[[#This Row],[Active Alchemists Flame]],-1,0)&gt;0,OFFSET(TblMagic[[#This Row],[Active Alchemists Flame]],-1,0)-1,0))</f>
        <v>0</v>
      </c>
      <c r="AO102" s="57">
        <f ca="1">IF(TblMagic[[#This Row],[Nightfall]],12,IF(OFFSET(TblMagic[[#This Row],[Active Nightfall]],-1,0)&gt;0,OFFSET(TblMagic[[#This Row],[Active Nightfall]],-1,0)-1,0))</f>
        <v>0</v>
      </c>
      <c r="AP102" s="57">
        <f ca="1">IF(TblMagic[[#This Row],[Favorable Terrain]],12,IF(OFFSET(TblMagic[[#This Row],[Active Favorable Terrain]],-1,0)&gt;0,OFFSET(TblMagic[[#This Row],[Active Favorable Terrain]],-1,0)-1,0))</f>
        <v>0</v>
      </c>
      <c r="AQ102" s="57">
        <f ca="1">IF(TblMagic[[#This Row],[Infernal Command]],12,IF(OFFSET(TblMagic[[#This Row],[Active Infernal Command]],-1,0)&gt;0,OFFSET(TblMagic[[#This Row],[Active Infernal Command]],-1,0)-1,0))</f>
        <v>0</v>
      </c>
    </row>
    <row r="103" spans="1:43" x14ac:dyDescent="0.2">
      <c r="A103" s="137">
        <f>TblRezone[[#This Row],[Hour]]</f>
        <v>100</v>
      </c>
      <c r="B103" s="154">
        <f ca="1">TblConstr[[#This Row],[Land]]</f>
        <v>110</v>
      </c>
      <c r="C103" s="94">
        <f ca="1">TblProd[[#This Row],[Mana]]</f>
        <v>0</v>
      </c>
      <c r="D103" s="156">
        <f ca="1">MIN(1,OFFSET(TblMagic[[#This Row],[Wiz str]],-1,0)+0.04+ROUNDDOWN(10*OFFSET(TblMili[[#This Row],[WG''s]],-1,0),0)+ tech_2_7*OFFSET(TblTech[[#This Row],[2-7]],-1,0) + tech_5_6*OFFSET(TblTech[[#This Row],[5-6]],-1,0) )-TblMagic[[#This Row],[Wiz str cost]]</f>
        <v>1</v>
      </c>
      <c r="E103" s="159">
        <f ca="1">OFFSET(TblMagic[[#This Row],[Time]],-1,0)+1/24</f>
        <v>46051.12499999976</v>
      </c>
      <c r="F103" s="156">
        <f ca="1">TblImps[[#This Row],[Population]]</f>
        <v>1</v>
      </c>
      <c r="G103" s="218"/>
      <c r="H103" s="218"/>
      <c r="I103" s="218"/>
      <c r="J103" s="218"/>
      <c r="K103" s="405"/>
      <c r="L103" s="218"/>
      <c r="M103" s="218"/>
      <c r="N103" s="218"/>
      <c r="O103" s="218"/>
      <c r="P103" s="218"/>
      <c r="Q103" s="218"/>
      <c r="R103" s="218"/>
      <c r="S103" s="218"/>
      <c r="T103" s="218"/>
      <c r="U103" s="218"/>
      <c r="V103" s="218"/>
      <c r="W103" s="218"/>
      <c r="X103" s="142"/>
      <c r="Y10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3" s="156">
        <f>SUMIF(TblMagic[[#This Row],[Gaia''s Watch]:[Useless spell]],1)*0.05</f>
        <v>0</v>
      </c>
      <c r="AA103" s="142"/>
      <c r="AB103" s="57">
        <f ca="1">IF(TblMagic[[#This Row],[Gaia''s Watch]],12,IF(OFFSET(TblMagic[[#This Row],[Active Gaia''s Watch]],-1,0)&gt;0,OFFSET(TblMagic[[#This Row],[Active Gaia''s Watch]],-1,0)-1,0))</f>
        <v>0</v>
      </c>
      <c r="AC103" s="57">
        <f ca="1">IF(TblMagic[[#This Row],[Mining Strength]],12,IF(OFFSET(TblMagic[[#This Row],[Active Mining Strength]],-1,0)&gt;0,OFFSET(TblMagic[[#This Row],[Active Mining Strength]],-1,0)-1,0))</f>
        <v>0</v>
      </c>
      <c r="AD103" s="57">
        <f ca="1">IF(TblMagic[[#This Row],[Ares Call]],12,IF(OFFSET(TblMagic[[#This Row],[Active Ares Call]],-1,0)&gt;0,OFFSET(TblMagic[[#This Row],[Active Ares Call]],-1,0)-1,0))</f>
        <v>0</v>
      </c>
      <c r="AE103" s="57">
        <f ca="1">IF(TblMagic[[#This Row],[Midas Touch]],12,IF(OFFSET(TblMagic[[#This Row],[Active Midas Touch]],-1,0)&gt;0,OFFSET(TblMagic[[#This Row],[Active Midas Touch]],-1,0)-1,0))</f>
        <v>0</v>
      </c>
      <c r="AF103" s="57">
        <f ca="1">IF(TblMagic[[#This Row],[Harmony]],12,IF(OFFSET(TblMagic[[#This Row],[Active Harmony]],-1,0)&gt;0,OFFSET(TblMagic[[#This Row],[Active Harmony]],-1,0)-1,0))</f>
        <v>0</v>
      </c>
      <c r="AG103" s="57">
        <f ca="1">IF(TblMagic[[#This Row],[Miner''s Sight]],12,IF(OFFSET(TblMagic[[#This Row],[Active Miner''s Sight]],-1,0)&gt;0,OFFSET(TblMagic[[#This Row],[Active Miner''s Sight]],-1,0)-1,0))</f>
        <v>0</v>
      </c>
      <c r="AH103" s="57">
        <f ca="1">IF(TblMagic[[#This Row],[Mechanical Genius]],12,IF(OFFSET(TblMagic[[#This Row],[Active Mechanical Genius]],-1,0)&gt;0,OFFSET(TblMagic[[#This Row],[Active Mechanical Genius]],-1,0)-1,0))</f>
        <v>0</v>
      </c>
      <c r="AI103" s="57">
        <f ca="1">IF(TblMagic[[#This Row],[Death and Decay]],12,IF(OFFSET(TblMagic[[#This Row],[Active DnD]],-1,0)&gt;0,OFFSET(TblMagic[[#This Row],[Active DnD]],-1,0)-1,0))</f>
        <v>0</v>
      </c>
      <c r="AJ103" s="57">
        <f ca="1">IF(TblMagic[[#This Row],[Killing Rage / Bloodrage / Crusade]],12,IF(OFFSET(TblMagic[[#This Row],[Active Warsong / Killing Rage / Bloodrage]],-1,0)&gt;0,OFFSET(TblMagic[[#This Row],[Active Warsong / Killing Rage / Bloodrage]],-1,0)-1,0))</f>
        <v>0</v>
      </c>
      <c r="AK103" s="57">
        <f ca="1">IF(TblMagic[[#This Row],[Gaia''s Blessing]],12,IF(OFFSET(TblMagic[[#This Row],[Active Gaia''s Blessing]],-1,0)&gt;0,OFFSET(TblMagic[[#This Row],[Active Gaia''s Blessing]],-1,0)-1,0))</f>
        <v>0</v>
      </c>
      <c r="AL103" s="57">
        <f ca="1">IF(TblMagic[[#This Row],[Howling]],12,IF(OFFSET(TblMagic[[#This Row],[Active Howling]],-1,0)&gt;0,OFFSET(TblMagic[[#This Row],[Active Howling]],-1,0)-1,0))</f>
        <v>0</v>
      </c>
      <c r="AM103" s="57">
        <f ca="1">IF(TblMagic[[#This Row],[Alchemist Frost]],12,IF(OFFSET(TblMagic[[#This Row],[Active Alch Frost]],-1,0)&gt;0,OFFSET(TblMagic[[#This Row],[Active Alch Frost]],-1,0)-1,0))</f>
        <v>0</v>
      </c>
      <c r="AN103" s="57">
        <f ca="1">IF(TblMagic[[#This Row],[Alchemists Flame]],12,IF(OFFSET(TblMagic[[#This Row],[Active Alchemists Flame]],-1,0)&gt;0,OFFSET(TblMagic[[#This Row],[Active Alchemists Flame]],-1,0)-1,0))</f>
        <v>0</v>
      </c>
      <c r="AO103" s="57">
        <f ca="1">IF(TblMagic[[#This Row],[Nightfall]],12,IF(OFFSET(TblMagic[[#This Row],[Active Nightfall]],-1,0)&gt;0,OFFSET(TblMagic[[#This Row],[Active Nightfall]],-1,0)-1,0))</f>
        <v>0</v>
      </c>
      <c r="AP103" s="57">
        <f ca="1">IF(TblMagic[[#This Row],[Favorable Terrain]],12,IF(OFFSET(TblMagic[[#This Row],[Active Favorable Terrain]],-1,0)&gt;0,OFFSET(TblMagic[[#This Row],[Active Favorable Terrain]],-1,0)-1,0))</f>
        <v>0</v>
      </c>
      <c r="AQ103" s="57">
        <f ca="1">IF(TblMagic[[#This Row],[Infernal Command]],12,IF(OFFSET(TblMagic[[#This Row],[Active Infernal Command]],-1,0)&gt;0,OFFSET(TblMagic[[#This Row],[Active Infernal Command]],-1,0)-1,0))</f>
        <v>0</v>
      </c>
    </row>
    <row r="104" spans="1:43" x14ac:dyDescent="0.2">
      <c r="A104" s="137">
        <f>TblRezone[[#This Row],[Hour]]</f>
        <v>101</v>
      </c>
      <c r="B104" s="154">
        <f ca="1">TblConstr[[#This Row],[Land]]</f>
        <v>110</v>
      </c>
      <c r="C104" s="94">
        <f ca="1">TblProd[[#This Row],[Mana]]</f>
        <v>0</v>
      </c>
      <c r="D104" s="156">
        <f ca="1">MIN(1,OFFSET(TblMagic[[#This Row],[Wiz str]],-1,0)+0.04+ROUNDDOWN(10*OFFSET(TblMili[[#This Row],[WG''s]],-1,0),0)+ tech_2_7*OFFSET(TblTech[[#This Row],[2-7]],-1,0) + tech_5_6*OFFSET(TblTech[[#This Row],[5-6]],-1,0) )-TblMagic[[#This Row],[Wiz str cost]]</f>
        <v>1</v>
      </c>
      <c r="E104" s="159">
        <f ca="1">OFFSET(TblMagic[[#This Row],[Time]],-1,0)+1/24</f>
        <v>46051.166666666424</v>
      </c>
      <c r="F104" s="156">
        <f ca="1">TblImps[[#This Row],[Population]]</f>
        <v>1</v>
      </c>
      <c r="G104" s="218"/>
      <c r="H104" s="218"/>
      <c r="I104" s="218"/>
      <c r="J104" s="218"/>
      <c r="K104" s="405"/>
      <c r="L104" s="218"/>
      <c r="M104" s="218"/>
      <c r="N104" s="218"/>
      <c r="O104" s="218"/>
      <c r="P104" s="218"/>
      <c r="Q104" s="218"/>
      <c r="R104" s="218"/>
      <c r="S104" s="218"/>
      <c r="T104" s="218"/>
      <c r="U104" s="218"/>
      <c r="V104" s="218"/>
      <c r="W104" s="218"/>
      <c r="X104" s="142"/>
      <c r="Y10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4" s="156">
        <f>SUMIF(TblMagic[[#This Row],[Gaia''s Watch]:[Useless spell]],1)*0.05</f>
        <v>0</v>
      </c>
      <c r="AA104" s="142"/>
      <c r="AB104" s="57">
        <f ca="1">IF(TblMagic[[#This Row],[Gaia''s Watch]],12,IF(OFFSET(TblMagic[[#This Row],[Active Gaia''s Watch]],-1,0)&gt;0,OFFSET(TblMagic[[#This Row],[Active Gaia''s Watch]],-1,0)-1,0))</f>
        <v>0</v>
      </c>
      <c r="AC104" s="57">
        <f ca="1">IF(TblMagic[[#This Row],[Mining Strength]],12,IF(OFFSET(TblMagic[[#This Row],[Active Mining Strength]],-1,0)&gt;0,OFFSET(TblMagic[[#This Row],[Active Mining Strength]],-1,0)-1,0))</f>
        <v>0</v>
      </c>
      <c r="AD104" s="57">
        <f ca="1">IF(TblMagic[[#This Row],[Ares Call]],12,IF(OFFSET(TblMagic[[#This Row],[Active Ares Call]],-1,0)&gt;0,OFFSET(TblMagic[[#This Row],[Active Ares Call]],-1,0)-1,0))</f>
        <v>0</v>
      </c>
      <c r="AE104" s="57">
        <f ca="1">IF(TblMagic[[#This Row],[Midas Touch]],12,IF(OFFSET(TblMagic[[#This Row],[Active Midas Touch]],-1,0)&gt;0,OFFSET(TblMagic[[#This Row],[Active Midas Touch]],-1,0)-1,0))</f>
        <v>0</v>
      </c>
      <c r="AF104" s="57">
        <f ca="1">IF(TblMagic[[#This Row],[Harmony]],12,IF(OFFSET(TblMagic[[#This Row],[Active Harmony]],-1,0)&gt;0,OFFSET(TblMagic[[#This Row],[Active Harmony]],-1,0)-1,0))</f>
        <v>0</v>
      </c>
      <c r="AG104" s="57">
        <f ca="1">IF(TblMagic[[#This Row],[Miner''s Sight]],12,IF(OFFSET(TblMagic[[#This Row],[Active Miner''s Sight]],-1,0)&gt;0,OFFSET(TblMagic[[#This Row],[Active Miner''s Sight]],-1,0)-1,0))</f>
        <v>0</v>
      </c>
      <c r="AH104" s="57">
        <f ca="1">IF(TblMagic[[#This Row],[Mechanical Genius]],12,IF(OFFSET(TblMagic[[#This Row],[Active Mechanical Genius]],-1,0)&gt;0,OFFSET(TblMagic[[#This Row],[Active Mechanical Genius]],-1,0)-1,0))</f>
        <v>0</v>
      </c>
      <c r="AI104" s="57">
        <f ca="1">IF(TblMagic[[#This Row],[Death and Decay]],12,IF(OFFSET(TblMagic[[#This Row],[Active DnD]],-1,0)&gt;0,OFFSET(TblMagic[[#This Row],[Active DnD]],-1,0)-1,0))</f>
        <v>0</v>
      </c>
      <c r="AJ104" s="57">
        <f ca="1">IF(TblMagic[[#This Row],[Killing Rage / Bloodrage / Crusade]],12,IF(OFFSET(TblMagic[[#This Row],[Active Warsong / Killing Rage / Bloodrage]],-1,0)&gt;0,OFFSET(TblMagic[[#This Row],[Active Warsong / Killing Rage / Bloodrage]],-1,0)-1,0))</f>
        <v>0</v>
      </c>
      <c r="AK104" s="57">
        <f ca="1">IF(TblMagic[[#This Row],[Gaia''s Blessing]],12,IF(OFFSET(TblMagic[[#This Row],[Active Gaia''s Blessing]],-1,0)&gt;0,OFFSET(TblMagic[[#This Row],[Active Gaia''s Blessing]],-1,0)-1,0))</f>
        <v>0</v>
      </c>
      <c r="AL104" s="57">
        <f ca="1">IF(TblMagic[[#This Row],[Howling]],12,IF(OFFSET(TblMagic[[#This Row],[Active Howling]],-1,0)&gt;0,OFFSET(TblMagic[[#This Row],[Active Howling]],-1,0)-1,0))</f>
        <v>0</v>
      </c>
      <c r="AM104" s="57">
        <f ca="1">IF(TblMagic[[#This Row],[Alchemist Frost]],12,IF(OFFSET(TblMagic[[#This Row],[Active Alch Frost]],-1,0)&gt;0,OFFSET(TblMagic[[#This Row],[Active Alch Frost]],-1,0)-1,0))</f>
        <v>0</v>
      </c>
      <c r="AN104" s="57">
        <f ca="1">IF(TblMagic[[#This Row],[Alchemists Flame]],12,IF(OFFSET(TblMagic[[#This Row],[Active Alchemists Flame]],-1,0)&gt;0,OFFSET(TblMagic[[#This Row],[Active Alchemists Flame]],-1,0)-1,0))</f>
        <v>0</v>
      </c>
      <c r="AO104" s="57">
        <f ca="1">IF(TblMagic[[#This Row],[Nightfall]],12,IF(OFFSET(TblMagic[[#This Row],[Active Nightfall]],-1,0)&gt;0,OFFSET(TblMagic[[#This Row],[Active Nightfall]],-1,0)-1,0))</f>
        <v>0</v>
      </c>
      <c r="AP104" s="57">
        <f ca="1">IF(TblMagic[[#This Row],[Favorable Terrain]],12,IF(OFFSET(TblMagic[[#This Row],[Active Favorable Terrain]],-1,0)&gt;0,OFFSET(TblMagic[[#This Row],[Active Favorable Terrain]],-1,0)-1,0))</f>
        <v>0</v>
      </c>
      <c r="AQ104" s="57">
        <f ca="1">IF(TblMagic[[#This Row],[Infernal Command]],12,IF(OFFSET(TblMagic[[#This Row],[Active Infernal Command]],-1,0)&gt;0,OFFSET(TblMagic[[#This Row],[Active Infernal Command]],-1,0)-1,0))</f>
        <v>0</v>
      </c>
    </row>
    <row r="105" spans="1:43" x14ac:dyDescent="0.2">
      <c r="A105" s="137">
        <f>TblRezone[[#This Row],[Hour]]</f>
        <v>102</v>
      </c>
      <c r="B105" s="154">
        <f ca="1">TblConstr[[#This Row],[Land]]</f>
        <v>110</v>
      </c>
      <c r="C105" s="94">
        <f ca="1">TblProd[[#This Row],[Mana]]</f>
        <v>0</v>
      </c>
      <c r="D105" s="156">
        <f ca="1">MIN(1,OFFSET(TblMagic[[#This Row],[Wiz str]],-1,0)+0.04+ROUNDDOWN(10*OFFSET(TblMili[[#This Row],[WG''s]],-1,0),0)+ tech_2_7*OFFSET(TblTech[[#This Row],[2-7]],-1,0) + tech_5_6*OFFSET(TblTech[[#This Row],[5-6]],-1,0) )-TblMagic[[#This Row],[Wiz str cost]]</f>
        <v>1</v>
      </c>
      <c r="E105" s="159">
        <f ca="1">OFFSET(TblMagic[[#This Row],[Time]],-1,0)+1/24</f>
        <v>46051.208333333088</v>
      </c>
      <c r="F105" s="156">
        <f ca="1">TblImps[[#This Row],[Population]]</f>
        <v>1</v>
      </c>
      <c r="G105" s="218"/>
      <c r="H105" s="218"/>
      <c r="I105" s="218"/>
      <c r="J105" s="218"/>
      <c r="K105" s="405"/>
      <c r="L105" s="218"/>
      <c r="M105" s="218"/>
      <c r="N105" s="218"/>
      <c r="O105" s="218"/>
      <c r="P105" s="218"/>
      <c r="Q105" s="218"/>
      <c r="R105" s="218"/>
      <c r="S105" s="218"/>
      <c r="T105" s="218"/>
      <c r="U105" s="218"/>
      <c r="V105" s="218"/>
      <c r="W105" s="218"/>
      <c r="X105" s="142"/>
      <c r="Y10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5" s="156">
        <f>SUMIF(TblMagic[[#This Row],[Gaia''s Watch]:[Useless spell]],1)*0.05</f>
        <v>0</v>
      </c>
      <c r="AA105" s="142"/>
      <c r="AB105" s="57">
        <f ca="1">IF(TblMagic[[#This Row],[Gaia''s Watch]],12,IF(OFFSET(TblMagic[[#This Row],[Active Gaia''s Watch]],-1,0)&gt;0,OFFSET(TblMagic[[#This Row],[Active Gaia''s Watch]],-1,0)-1,0))</f>
        <v>0</v>
      </c>
      <c r="AC105" s="57">
        <f ca="1">IF(TblMagic[[#This Row],[Mining Strength]],12,IF(OFFSET(TblMagic[[#This Row],[Active Mining Strength]],-1,0)&gt;0,OFFSET(TblMagic[[#This Row],[Active Mining Strength]],-1,0)-1,0))</f>
        <v>0</v>
      </c>
      <c r="AD105" s="57">
        <f ca="1">IF(TblMagic[[#This Row],[Ares Call]],12,IF(OFFSET(TblMagic[[#This Row],[Active Ares Call]],-1,0)&gt;0,OFFSET(TblMagic[[#This Row],[Active Ares Call]],-1,0)-1,0))</f>
        <v>0</v>
      </c>
      <c r="AE105" s="57">
        <f ca="1">IF(TblMagic[[#This Row],[Midas Touch]],12,IF(OFFSET(TblMagic[[#This Row],[Active Midas Touch]],-1,0)&gt;0,OFFSET(TblMagic[[#This Row],[Active Midas Touch]],-1,0)-1,0))</f>
        <v>0</v>
      </c>
      <c r="AF105" s="57">
        <f ca="1">IF(TblMagic[[#This Row],[Harmony]],12,IF(OFFSET(TblMagic[[#This Row],[Active Harmony]],-1,0)&gt;0,OFFSET(TblMagic[[#This Row],[Active Harmony]],-1,0)-1,0))</f>
        <v>0</v>
      </c>
      <c r="AG105" s="57">
        <f ca="1">IF(TblMagic[[#This Row],[Miner''s Sight]],12,IF(OFFSET(TblMagic[[#This Row],[Active Miner''s Sight]],-1,0)&gt;0,OFFSET(TblMagic[[#This Row],[Active Miner''s Sight]],-1,0)-1,0))</f>
        <v>0</v>
      </c>
      <c r="AH105" s="57">
        <f ca="1">IF(TblMagic[[#This Row],[Mechanical Genius]],12,IF(OFFSET(TblMagic[[#This Row],[Active Mechanical Genius]],-1,0)&gt;0,OFFSET(TblMagic[[#This Row],[Active Mechanical Genius]],-1,0)-1,0))</f>
        <v>0</v>
      </c>
      <c r="AI105" s="57">
        <f ca="1">IF(TblMagic[[#This Row],[Death and Decay]],12,IF(OFFSET(TblMagic[[#This Row],[Active DnD]],-1,0)&gt;0,OFFSET(TblMagic[[#This Row],[Active DnD]],-1,0)-1,0))</f>
        <v>0</v>
      </c>
      <c r="AJ105" s="57">
        <f ca="1">IF(TblMagic[[#This Row],[Killing Rage / Bloodrage / Crusade]],12,IF(OFFSET(TblMagic[[#This Row],[Active Warsong / Killing Rage / Bloodrage]],-1,0)&gt;0,OFFSET(TblMagic[[#This Row],[Active Warsong / Killing Rage / Bloodrage]],-1,0)-1,0))</f>
        <v>0</v>
      </c>
      <c r="AK105" s="57">
        <f ca="1">IF(TblMagic[[#This Row],[Gaia''s Blessing]],12,IF(OFFSET(TblMagic[[#This Row],[Active Gaia''s Blessing]],-1,0)&gt;0,OFFSET(TblMagic[[#This Row],[Active Gaia''s Blessing]],-1,0)-1,0))</f>
        <v>0</v>
      </c>
      <c r="AL105" s="57">
        <f ca="1">IF(TblMagic[[#This Row],[Howling]],12,IF(OFFSET(TblMagic[[#This Row],[Active Howling]],-1,0)&gt;0,OFFSET(TblMagic[[#This Row],[Active Howling]],-1,0)-1,0))</f>
        <v>0</v>
      </c>
      <c r="AM105" s="57">
        <f ca="1">IF(TblMagic[[#This Row],[Alchemist Frost]],12,IF(OFFSET(TblMagic[[#This Row],[Active Alch Frost]],-1,0)&gt;0,OFFSET(TblMagic[[#This Row],[Active Alch Frost]],-1,0)-1,0))</f>
        <v>0</v>
      </c>
      <c r="AN105" s="57">
        <f ca="1">IF(TblMagic[[#This Row],[Alchemists Flame]],12,IF(OFFSET(TblMagic[[#This Row],[Active Alchemists Flame]],-1,0)&gt;0,OFFSET(TblMagic[[#This Row],[Active Alchemists Flame]],-1,0)-1,0))</f>
        <v>0</v>
      </c>
      <c r="AO105" s="57">
        <f ca="1">IF(TblMagic[[#This Row],[Nightfall]],12,IF(OFFSET(TblMagic[[#This Row],[Active Nightfall]],-1,0)&gt;0,OFFSET(TblMagic[[#This Row],[Active Nightfall]],-1,0)-1,0))</f>
        <v>0</v>
      </c>
      <c r="AP105" s="57">
        <f ca="1">IF(TblMagic[[#This Row],[Favorable Terrain]],12,IF(OFFSET(TblMagic[[#This Row],[Active Favorable Terrain]],-1,0)&gt;0,OFFSET(TblMagic[[#This Row],[Active Favorable Terrain]],-1,0)-1,0))</f>
        <v>0</v>
      </c>
      <c r="AQ105" s="57">
        <f ca="1">IF(TblMagic[[#This Row],[Infernal Command]],12,IF(OFFSET(TblMagic[[#This Row],[Active Infernal Command]],-1,0)&gt;0,OFFSET(TblMagic[[#This Row],[Active Infernal Command]],-1,0)-1,0))</f>
        <v>0</v>
      </c>
    </row>
    <row r="106" spans="1:43" x14ac:dyDescent="0.2">
      <c r="A106" s="137">
        <f>TblRezone[[#This Row],[Hour]]</f>
        <v>103</v>
      </c>
      <c r="B106" s="154">
        <f ca="1">TblConstr[[#This Row],[Land]]</f>
        <v>110</v>
      </c>
      <c r="C106" s="94">
        <f ca="1">TblProd[[#This Row],[Mana]]</f>
        <v>0</v>
      </c>
      <c r="D106" s="156">
        <f ca="1">MIN(1,OFFSET(TblMagic[[#This Row],[Wiz str]],-1,0)+0.04+ROUNDDOWN(10*OFFSET(TblMili[[#This Row],[WG''s]],-1,0),0)+ tech_2_7*OFFSET(TblTech[[#This Row],[2-7]],-1,0) + tech_5_6*OFFSET(TblTech[[#This Row],[5-6]],-1,0) )-TblMagic[[#This Row],[Wiz str cost]]</f>
        <v>1</v>
      </c>
      <c r="E106" s="159">
        <f ca="1">OFFSET(TblMagic[[#This Row],[Time]],-1,0)+1/24</f>
        <v>46051.249999999753</v>
      </c>
      <c r="F106" s="156">
        <f ca="1">TblImps[[#This Row],[Population]]</f>
        <v>1</v>
      </c>
      <c r="G106" s="218"/>
      <c r="H106" s="218"/>
      <c r="I106" s="218"/>
      <c r="J106" s="218"/>
      <c r="K106" s="405"/>
      <c r="L106" s="218"/>
      <c r="M106" s="218"/>
      <c r="N106" s="218"/>
      <c r="O106" s="218"/>
      <c r="P106" s="218"/>
      <c r="Q106" s="218"/>
      <c r="R106" s="218"/>
      <c r="S106" s="218"/>
      <c r="T106" s="218"/>
      <c r="U106" s="218"/>
      <c r="V106" s="218"/>
      <c r="W106" s="218"/>
      <c r="X106" s="142"/>
      <c r="Y10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6" s="156">
        <f>SUMIF(TblMagic[[#This Row],[Gaia''s Watch]:[Useless spell]],1)*0.05</f>
        <v>0</v>
      </c>
      <c r="AA106" s="142"/>
      <c r="AB106" s="57">
        <f ca="1">IF(TblMagic[[#This Row],[Gaia''s Watch]],12,IF(OFFSET(TblMagic[[#This Row],[Active Gaia''s Watch]],-1,0)&gt;0,OFFSET(TblMagic[[#This Row],[Active Gaia''s Watch]],-1,0)-1,0))</f>
        <v>0</v>
      </c>
      <c r="AC106" s="57">
        <f ca="1">IF(TblMagic[[#This Row],[Mining Strength]],12,IF(OFFSET(TblMagic[[#This Row],[Active Mining Strength]],-1,0)&gt;0,OFFSET(TblMagic[[#This Row],[Active Mining Strength]],-1,0)-1,0))</f>
        <v>0</v>
      </c>
      <c r="AD106" s="57">
        <f ca="1">IF(TblMagic[[#This Row],[Ares Call]],12,IF(OFFSET(TblMagic[[#This Row],[Active Ares Call]],-1,0)&gt;0,OFFSET(TblMagic[[#This Row],[Active Ares Call]],-1,0)-1,0))</f>
        <v>0</v>
      </c>
      <c r="AE106" s="57">
        <f ca="1">IF(TblMagic[[#This Row],[Midas Touch]],12,IF(OFFSET(TblMagic[[#This Row],[Active Midas Touch]],-1,0)&gt;0,OFFSET(TblMagic[[#This Row],[Active Midas Touch]],-1,0)-1,0))</f>
        <v>0</v>
      </c>
      <c r="AF106" s="57">
        <f ca="1">IF(TblMagic[[#This Row],[Harmony]],12,IF(OFFSET(TblMagic[[#This Row],[Active Harmony]],-1,0)&gt;0,OFFSET(TblMagic[[#This Row],[Active Harmony]],-1,0)-1,0))</f>
        <v>0</v>
      </c>
      <c r="AG106" s="57">
        <f ca="1">IF(TblMagic[[#This Row],[Miner''s Sight]],12,IF(OFFSET(TblMagic[[#This Row],[Active Miner''s Sight]],-1,0)&gt;0,OFFSET(TblMagic[[#This Row],[Active Miner''s Sight]],-1,0)-1,0))</f>
        <v>0</v>
      </c>
      <c r="AH106" s="57">
        <f ca="1">IF(TblMagic[[#This Row],[Mechanical Genius]],12,IF(OFFSET(TblMagic[[#This Row],[Active Mechanical Genius]],-1,0)&gt;0,OFFSET(TblMagic[[#This Row],[Active Mechanical Genius]],-1,0)-1,0))</f>
        <v>0</v>
      </c>
      <c r="AI106" s="57">
        <f ca="1">IF(TblMagic[[#This Row],[Death and Decay]],12,IF(OFFSET(TblMagic[[#This Row],[Active DnD]],-1,0)&gt;0,OFFSET(TblMagic[[#This Row],[Active DnD]],-1,0)-1,0))</f>
        <v>0</v>
      </c>
      <c r="AJ106" s="57">
        <f ca="1">IF(TblMagic[[#This Row],[Killing Rage / Bloodrage / Crusade]],12,IF(OFFSET(TblMagic[[#This Row],[Active Warsong / Killing Rage / Bloodrage]],-1,0)&gt;0,OFFSET(TblMagic[[#This Row],[Active Warsong / Killing Rage / Bloodrage]],-1,0)-1,0))</f>
        <v>0</v>
      </c>
      <c r="AK106" s="57">
        <f ca="1">IF(TblMagic[[#This Row],[Gaia''s Blessing]],12,IF(OFFSET(TblMagic[[#This Row],[Active Gaia''s Blessing]],-1,0)&gt;0,OFFSET(TblMagic[[#This Row],[Active Gaia''s Blessing]],-1,0)-1,0))</f>
        <v>0</v>
      </c>
      <c r="AL106" s="57">
        <f ca="1">IF(TblMagic[[#This Row],[Howling]],12,IF(OFFSET(TblMagic[[#This Row],[Active Howling]],-1,0)&gt;0,OFFSET(TblMagic[[#This Row],[Active Howling]],-1,0)-1,0))</f>
        <v>0</v>
      </c>
      <c r="AM106" s="57">
        <f ca="1">IF(TblMagic[[#This Row],[Alchemist Frost]],12,IF(OFFSET(TblMagic[[#This Row],[Active Alch Frost]],-1,0)&gt;0,OFFSET(TblMagic[[#This Row],[Active Alch Frost]],-1,0)-1,0))</f>
        <v>0</v>
      </c>
      <c r="AN106" s="57">
        <f ca="1">IF(TblMagic[[#This Row],[Alchemists Flame]],12,IF(OFFSET(TblMagic[[#This Row],[Active Alchemists Flame]],-1,0)&gt;0,OFFSET(TblMagic[[#This Row],[Active Alchemists Flame]],-1,0)-1,0))</f>
        <v>0</v>
      </c>
      <c r="AO106" s="57">
        <f ca="1">IF(TblMagic[[#This Row],[Nightfall]],12,IF(OFFSET(TblMagic[[#This Row],[Active Nightfall]],-1,0)&gt;0,OFFSET(TblMagic[[#This Row],[Active Nightfall]],-1,0)-1,0))</f>
        <v>0</v>
      </c>
      <c r="AP106" s="57">
        <f ca="1">IF(TblMagic[[#This Row],[Favorable Terrain]],12,IF(OFFSET(TblMagic[[#This Row],[Active Favorable Terrain]],-1,0)&gt;0,OFFSET(TblMagic[[#This Row],[Active Favorable Terrain]],-1,0)-1,0))</f>
        <v>0</v>
      </c>
      <c r="AQ106" s="57">
        <f ca="1">IF(TblMagic[[#This Row],[Infernal Command]],12,IF(OFFSET(TblMagic[[#This Row],[Active Infernal Command]],-1,0)&gt;0,OFFSET(TblMagic[[#This Row],[Active Infernal Command]],-1,0)-1,0))</f>
        <v>0</v>
      </c>
    </row>
    <row r="107" spans="1:43" x14ac:dyDescent="0.2">
      <c r="A107" s="137">
        <f>TblRezone[[#This Row],[Hour]]</f>
        <v>104</v>
      </c>
      <c r="B107" s="154">
        <f ca="1">TblConstr[[#This Row],[Land]]</f>
        <v>110</v>
      </c>
      <c r="C107" s="94">
        <f ca="1">TblProd[[#This Row],[Mana]]</f>
        <v>0</v>
      </c>
      <c r="D107" s="156">
        <f ca="1">MIN(1,OFFSET(TblMagic[[#This Row],[Wiz str]],-1,0)+0.04+ROUNDDOWN(10*OFFSET(TblMili[[#This Row],[WG''s]],-1,0),0)+ tech_2_7*OFFSET(TblTech[[#This Row],[2-7]],-1,0) + tech_5_6*OFFSET(TblTech[[#This Row],[5-6]],-1,0) )-TblMagic[[#This Row],[Wiz str cost]]</f>
        <v>1</v>
      </c>
      <c r="E107" s="159">
        <f ca="1">OFFSET(TblMagic[[#This Row],[Time]],-1,0)+1/24</f>
        <v>46051.291666666417</v>
      </c>
      <c r="F107" s="156">
        <f ca="1">TblImps[[#This Row],[Population]]</f>
        <v>1</v>
      </c>
      <c r="G107" s="218"/>
      <c r="H107" s="218"/>
      <c r="I107" s="218"/>
      <c r="J107" s="218"/>
      <c r="K107" s="405"/>
      <c r="L107" s="218"/>
      <c r="M107" s="218"/>
      <c r="N107" s="218"/>
      <c r="O107" s="218"/>
      <c r="P107" s="218"/>
      <c r="Q107" s="218"/>
      <c r="R107" s="218"/>
      <c r="S107" s="218"/>
      <c r="T107" s="218"/>
      <c r="U107" s="218"/>
      <c r="V107" s="218"/>
      <c r="W107" s="218"/>
      <c r="X107" s="142"/>
      <c r="Y10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7" s="156">
        <f>SUMIF(TblMagic[[#This Row],[Gaia''s Watch]:[Useless spell]],1)*0.05</f>
        <v>0</v>
      </c>
      <c r="AA107" s="142"/>
      <c r="AB107" s="57">
        <f ca="1">IF(TblMagic[[#This Row],[Gaia''s Watch]],12,IF(OFFSET(TblMagic[[#This Row],[Active Gaia''s Watch]],-1,0)&gt;0,OFFSET(TblMagic[[#This Row],[Active Gaia''s Watch]],-1,0)-1,0))</f>
        <v>0</v>
      </c>
      <c r="AC107" s="57">
        <f ca="1">IF(TblMagic[[#This Row],[Mining Strength]],12,IF(OFFSET(TblMagic[[#This Row],[Active Mining Strength]],-1,0)&gt;0,OFFSET(TblMagic[[#This Row],[Active Mining Strength]],-1,0)-1,0))</f>
        <v>0</v>
      </c>
      <c r="AD107" s="57">
        <f ca="1">IF(TblMagic[[#This Row],[Ares Call]],12,IF(OFFSET(TblMagic[[#This Row],[Active Ares Call]],-1,0)&gt;0,OFFSET(TblMagic[[#This Row],[Active Ares Call]],-1,0)-1,0))</f>
        <v>0</v>
      </c>
      <c r="AE107" s="57">
        <f ca="1">IF(TblMagic[[#This Row],[Midas Touch]],12,IF(OFFSET(TblMagic[[#This Row],[Active Midas Touch]],-1,0)&gt;0,OFFSET(TblMagic[[#This Row],[Active Midas Touch]],-1,0)-1,0))</f>
        <v>0</v>
      </c>
      <c r="AF107" s="57">
        <f ca="1">IF(TblMagic[[#This Row],[Harmony]],12,IF(OFFSET(TblMagic[[#This Row],[Active Harmony]],-1,0)&gt;0,OFFSET(TblMagic[[#This Row],[Active Harmony]],-1,0)-1,0))</f>
        <v>0</v>
      </c>
      <c r="AG107" s="57">
        <f ca="1">IF(TblMagic[[#This Row],[Miner''s Sight]],12,IF(OFFSET(TblMagic[[#This Row],[Active Miner''s Sight]],-1,0)&gt;0,OFFSET(TblMagic[[#This Row],[Active Miner''s Sight]],-1,0)-1,0))</f>
        <v>0</v>
      </c>
      <c r="AH107" s="57">
        <f ca="1">IF(TblMagic[[#This Row],[Mechanical Genius]],12,IF(OFFSET(TblMagic[[#This Row],[Active Mechanical Genius]],-1,0)&gt;0,OFFSET(TblMagic[[#This Row],[Active Mechanical Genius]],-1,0)-1,0))</f>
        <v>0</v>
      </c>
      <c r="AI107" s="57">
        <f ca="1">IF(TblMagic[[#This Row],[Death and Decay]],12,IF(OFFSET(TblMagic[[#This Row],[Active DnD]],-1,0)&gt;0,OFFSET(TblMagic[[#This Row],[Active DnD]],-1,0)-1,0))</f>
        <v>0</v>
      </c>
      <c r="AJ107" s="57">
        <f ca="1">IF(TblMagic[[#This Row],[Killing Rage / Bloodrage / Crusade]],12,IF(OFFSET(TblMagic[[#This Row],[Active Warsong / Killing Rage / Bloodrage]],-1,0)&gt;0,OFFSET(TblMagic[[#This Row],[Active Warsong / Killing Rage / Bloodrage]],-1,0)-1,0))</f>
        <v>0</v>
      </c>
      <c r="AK107" s="57">
        <f ca="1">IF(TblMagic[[#This Row],[Gaia''s Blessing]],12,IF(OFFSET(TblMagic[[#This Row],[Active Gaia''s Blessing]],-1,0)&gt;0,OFFSET(TblMagic[[#This Row],[Active Gaia''s Blessing]],-1,0)-1,0))</f>
        <v>0</v>
      </c>
      <c r="AL107" s="57">
        <f ca="1">IF(TblMagic[[#This Row],[Howling]],12,IF(OFFSET(TblMagic[[#This Row],[Active Howling]],-1,0)&gt;0,OFFSET(TblMagic[[#This Row],[Active Howling]],-1,0)-1,0))</f>
        <v>0</v>
      </c>
      <c r="AM107" s="57">
        <f ca="1">IF(TblMagic[[#This Row],[Alchemist Frost]],12,IF(OFFSET(TblMagic[[#This Row],[Active Alch Frost]],-1,0)&gt;0,OFFSET(TblMagic[[#This Row],[Active Alch Frost]],-1,0)-1,0))</f>
        <v>0</v>
      </c>
      <c r="AN107" s="57">
        <f ca="1">IF(TblMagic[[#This Row],[Alchemists Flame]],12,IF(OFFSET(TblMagic[[#This Row],[Active Alchemists Flame]],-1,0)&gt;0,OFFSET(TblMagic[[#This Row],[Active Alchemists Flame]],-1,0)-1,0))</f>
        <v>0</v>
      </c>
      <c r="AO107" s="57">
        <f ca="1">IF(TblMagic[[#This Row],[Nightfall]],12,IF(OFFSET(TblMagic[[#This Row],[Active Nightfall]],-1,0)&gt;0,OFFSET(TblMagic[[#This Row],[Active Nightfall]],-1,0)-1,0))</f>
        <v>0</v>
      </c>
      <c r="AP107" s="57">
        <f ca="1">IF(TblMagic[[#This Row],[Favorable Terrain]],12,IF(OFFSET(TblMagic[[#This Row],[Active Favorable Terrain]],-1,0)&gt;0,OFFSET(TblMagic[[#This Row],[Active Favorable Terrain]],-1,0)-1,0))</f>
        <v>0</v>
      </c>
      <c r="AQ107" s="57">
        <f ca="1">IF(TblMagic[[#This Row],[Infernal Command]],12,IF(OFFSET(TblMagic[[#This Row],[Active Infernal Command]],-1,0)&gt;0,OFFSET(TblMagic[[#This Row],[Active Infernal Command]],-1,0)-1,0))</f>
        <v>0</v>
      </c>
    </row>
    <row r="108" spans="1:43" x14ac:dyDescent="0.2">
      <c r="A108" s="137">
        <f>TblRezone[[#This Row],[Hour]]</f>
        <v>105</v>
      </c>
      <c r="B108" s="154">
        <f ca="1">TblConstr[[#This Row],[Land]]</f>
        <v>110</v>
      </c>
      <c r="C108" s="94">
        <f ca="1">TblProd[[#This Row],[Mana]]</f>
        <v>0</v>
      </c>
      <c r="D108" s="156">
        <f ca="1">MIN(1,OFFSET(TblMagic[[#This Row],[Wiz str]],-1,0)+0.04+ROUNDDOWN(10*OFFSET(TblMili[[#This Row],[WG''s]],-1,0),0)+ tech_2_7*OFFSET(TblTech[[#This Row],[2-7]],-1,0) + tech_5_6*OFFSET(TblTech[[#This Row],[5-6]],-1,0) )-TblMagic[[#This Row],[Wiz str cost]]</f>
        <v>1</v>
      </c>
      <c r="E108" s="159">
        <f ca="1">OFFSET(TblMagic[[#This Row],[Time]],-1,0)+1/24</f>
        <v>46051.333333333081</v>
      </c>
      <c r="F108" s="156">
        <f ca="1">TblImps[[#This Row],[Population]]</f>
        <v>1</v>
      </c>
      <c r="G108" s="218"/>
      <c r="H108" s="218"/>
      <c r="I108" s="218"/>
      <c r="J108" s="218"/>
      <c r="K108" s="405"/>
      <c r="L108" s="218"/>
      <c r="M108" s="218"/>
      <c r="N108" s="218"/>
      <c r="O108" s="218"/>
      <c r="P108" s="218"/>
      <c r="Q108" s="218"/>
      <c r="R108" s="218"/>
      <c r="S108" s="218"/>
      <c r="T108" s="218"/>
      <c r="U108" s="218"/>
      <c r="V108" s="218"/>
      <c r="W108" s="218"/>
      <c r="X108" s="142"/>
      <c r="Y10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8" s="156">
        <f>SUMIF(TblMagic[[#This Row],[Gaia''s Watch]:[Useless spell]],1)*0.05</f>
        <v>0</v>
      </c>
      <c r="AA108" s="142"/>
      <c r="AB108" s="57">
        <f ca="1">IF(TblMagic[[#This Row],[Gaia''s Watch]],12,IF(OFFSET(TblMagic[[#This Row],[Active Gaia''s Watch]],-1,0)&gt;0,OFFSET(TblMagic[[#This Row],[Active Gaia''s Watch]],-1,0)-1,0))</f>
        <v>0</v>
      </c>
      <c r="AC108" s="57">
        <f ca="1">IF(TblMagic[[#This Row],[Mining Strength]],12,IF(OFFSET(TblMagic[[#This Row],[Active Mining Strength]],-1,0)&gt;0,OFFSET(TblMagic[[#This Row],[Active Mining Strength]],-1,0)-1,0))</f>
        <v>0</v>
      </c>
      <c r="AD108" s="57">
        <f ca="1">IF(TblMagic[[#This Row],[Ares Call]],12,IF(OFFSET(TblMagic[[#This Row],[Active Ares Call]],-1,0)&gt;0,OFFSET(TblMagic[[#This Row],[Active Ares Call]],-1,0)-1,0))</f>
        <v>0</v>
      </c>
      <c r="AE108" s="57">
        <f ca="1">IF(TblMagic[[#This Row],[Midas Touch]],12,IF(OFFSET(TblMagic[[#This Row],[Active Midas Touch]],-1,0)&gt;0,OFFSET(TblMagic[[#This Row],[Active Midas Touch]],-1,0)-1,0))</f>
        <v>0</v>
      </c>
      <c r="AF108" s="57">
        <f ca="1">IF(TblMagic[[#This Row],[Harmony]],12,IF(OFFSET(TblMagic[[#This Row],[Active Harmony]],-1,0)&gt;0,OFFSET(TblMagic[[#This Row],[Active Harmony]],-1,0)-1,0))</f>
        <v>0</v>
      </c>
      <c r="AG108" s="57">
        <f ca="1">IF(TblMagic[[#This Row],[Miner''s Sight]],12,IF(OFFSET(TblMagic[[#This Row],[Active Miner''s Sight]],-1,0)&gt;0,OFFSET(TblMagic[[#This Row],[Active Miner''s Sight]],-1,0)-1,0))</f>
        <v>0</v>
      </c>
      <c r="AH108" s="57">
        <f ca="1">IF(TblMagic[[#This Row],[Mechanical Genius]],12,IF(OFFSET(TblMagic[[#This Row],[Active Mechanical Genius]],-1,0)&gt;0,OFFSET(TblMagic[[#This Row],[Active Mechanical Genius]],-1,0)-1,0))</f>
        <v>0</v>
      </c>
      <c r="AI108" s="57">
        <f ca="1">IF(TblMagic[[#This Row],[Death and Decay]],12,IF(OFFSET(TblMagic[[#This Row],[Active DnD]],-1,0)&gt;0,OFFSET(TblMagic[[#This Row],[Active DnD]],-1,0)-1,0))</f>
        <v>0</v>
      </c>
      <c r="AJ108" s="57">
        <f ca="1">IF(TblMagic[[#This Row],[Killing Rage / Bloodrage / Crusade]],12,IF(OFFSET(TblMagic[[#This Row],[Active Warsong / Killing Rage / Bloodrage]],-1,0)&gt;0,OFFSET(TblMagic[[#This Row],[Active Warsong / Killing Rage / Bloodrage]],-1,0)-1,0))</f>
        <v>0</v>
      </c>
      <c r="AK108" s="57">
        <f ca="1">IF(TblMagic[[#This Row],[Gaia''s Blessing]],12,IF(OFFSET(TblMagic[[#This Row],[Active Gaia''s Blessing]],-1,0)&gt;0,OFFSET(TblMagic[[#This Row],[Active Gaia''s Blessing]],-1,0)-1,0))</f>
        <v>0</v>
      </c>
      <c r="AL108" s="57">
        <f ca="1">IF(TblMagic[[#This Row],[Howling]],12,IF(OFFSET(TblMagic[[#This Row],[Active Howling]],-1,0)&gt;0,OFFSET(TblMagic[[#This Row],[Active Howling]],-1,0)-1,0))</f>
        <v>0</v>
      </c>
      <c r="AM108" s="57">
        <f ca="1">IF(TblMagic[[#This Row],[Alchemist Frost]],12,IF(OFFSET(TblMagic[[#This Row],[Active Alch Frost]],-1,0)&gt;0,OFFSET(TblMagic[[#This Row],[Active Alch Frost]],-1,0)-1,0))</f>
        <v>0</v>
      </c>
      <c r="AN108" s="57">
        <f ca="1">IF(TblMagic[[#This Row],[Alchemists Flame]],12,IF(OFFSET(TblMagic[[#This Row],[Active Alchemists Flame]],-1,0)&gt;0,OFFSET(TblMagic[[#This Row],[Active Alchemists Flame]],-1,0)-1,0))</f>
        <v>0</v>
      </c>
      <c r="AO108" s="57">
        <f ca="1">IF(TblMagic[[#This Row],[Nightfall]],12,IF(OFFSET(TblMagic[[#This Row],[Active Nightfall]],-1,0)&gt;0,OFFSET(TblMagic[[#This Row],[Active Nightfall]],-1,0)-1,0))</f>
        <v>0</v>
      </c>
      <c r="AP108" s="57">
        <f ca="1">IF(TblMagic[[#This Row],[Favorable Terrain]],12,IF(OFFSET(TblMagic[[#This Row],[Active Favorable Terrain]],-1,0)&gt;0,OFFSET(TblMagic[[#This Row],[Active Favorable Terrain]],-1,0)-1,0))</f>
        <v>0</v>
      </c>
      <c r="AQ108" s="57">
        <f ca="1">IF(TblMagic[[#This Row],[Infernal Command]],12,IF(OFFSET(TblMagic[[#This Row],[Active Infernal Command]],-1,0)&gt;0,OFFSET(TblMagic[[#This Row],[Active Infernal Command]],-1,0)-1,0))</f>
        <v>0</v>
      </c>
    </row>
    <row r="109" spans="1:43" x14ac:dyDescent="0.2">
      <c r="A109" s="137">
        <f>TblRezone[[#This Row],[Hour]]</f>
        <v>106</v>
      </c>
      <c r="B109" s="154">
        <f ca="1">TblConstr[[#This Row],[Land]]</f>
        <v>110</v>
      </c>
      <c r="C109" s="94">
        <f ca="1">TblProd[[#This Row],[Mana]]</f>
        <v>0</v>
      </c>
      <c r="D109" s="156">
        <f ca="1">MIN(1,OFFSET(TblMagic[[#This Row],[Wiz str]],-1,0)+0.04+ROUNDDOWN(10*OFFSET(TblMili[[#This Row],[WG''s]],-1,0),0)+ tech_2_7*OFFSET(TblTech[[#This Row],[2-7]],-1,0) + tech_5_6*OFFSET(TblTech[[#This Row],[5-6]],-1,0) )-TblMagic[[#This Row],[Wiz str cost]]</f>
        <v>1</v>
      </c>
      <c r="E109" s="159">
        <f ca="1">OFFSET(TblMagic[[#This Row],[Time]],-1,0)+1/24</f>
        <v>46051.374999999745</v>
      </c>
      <c r="F109" s="156">
        <f ca="1">TblImps[[#This Row],[Population]]</f>
        <v>1</v>
      </c>
      <c r="G109" s="218"/>
      <c r="H109" s="218"/>
      <c r="I109" s="218"/>
      <c r="J109" s="218"/>
      <c r="K109" s="405"/>
      <c r="L109" s="218"/>
      <c r="M109" s="218"/>
      <c r="N109" s="218"/>
      <c r="O109" s="218"/>
      <c r="P109" s="218"/>
      <c r="Q109" s="218"/>
      <c r="R109" s="218"/>
      <c r="S109" s="218"/>
      <c r="T109" s="218"/>
      <c r="U109" s="218"/>
      <c r="V109" s="218"/>
      <c r="W109" s="218"/>
      <c r="X109" s="142"/>
      <c r="Y10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09" s="156">
        <f>SUMIF(TblMagic[[#This Row],[Gaia''s Watch]:[Useless spell]],1)*0.05</f>
        <v>0</v>
      </c>
      <c r="AA109" s="142"/>
      <c r="AB109" s="57">
        <f ca="1">IF(TblMagic[[#This Row],[Gaia''s Watch]],12,IF(OFFSET(TblMagic[[#This Row],[Active Gaia''s Watch]],-1,0)&gt;0,OFFSET(TblMagic[[#This Row],[Active Gaia''s Watch]],-1,0)-1,0))</f>
        <v>0</v>
      </c>
      <c r="AC109" s="57">
        <f ca="1">IF(TblMagic[[#This Row],[Mining Strength]],12,IF(OFFSET(TblMagic[[#This Row],[Active Mining Strength]],-1,0)&gt;0,OFFSET(TblMagic[[#This Row],[Active Mining Strength]],-1,0)-1,0))</f>
        <v>0</v>
      </c>
      <c r="AD109" s="57">
        <f ca="1">IF(TblMagic[[#This Row],[Ares Call]],12,IF(OFFSET(TblMagic[[#This Row],[Active Ares Call]],-1,0)&gt;0,OFFSET(TblMagic[[#This Row],[Active Ares Call]],-1,0)-1,0))</f>
        <v>0</v>
      </c>
      <c r="AE109" s="57">
        <f ca="1">IF(TblMagic[[#This Row],[Midas Touch]],12,IF(OFFSET(TblMagic[[#This Row],[Active Midas Touch]],-1,0)&gt;0,OFFSET(TblMagic[[#This Row],[Active Midas Touch]],-1,0)-1,0))</f>
        <v>0</v>
      </c>
      <c r="AF109" s="57">
        <f ca="1">IF(TblMagic[[#This Row],[Harmony]],12,IF(OFFSET(TblMagic[[#This Row],[Active Harmony]],-1,0)&gt;0,OFFSET(TblMagic[[#This Row],[Active Harmony]],-1,0)-1,0))</f>
        <v>0</v>
      </c>
      <c r="AG109" s="57">
        <f ca="1">IF(TblMagic[[#This Row],[Miner''s Sight]],12,IF(OFFSET(TblMagic[[#This Row],[Active Miner''s Sight]],-1,0)&gt;0,OFFSET(TblMagic[[#This Row],[Active Miner''s Sight]],-1,0)-1,0))</f>
        <v>0</v>
      </c>
      <c r="AH109" s="57">
        <f ca="1">IF(TblMagic[[#This Row],[Mechanical Genius]],12,IF(OFFSET(TblMagic[[#This Row],[Active Mechanical Genius]],-1,0)&gt;0,OFFSET(TblMagic[[#This Row],[Active Mechanical Genius]],-1,0)-1,0))</f>
        <v>0</v>
      </c>
      <c r="AI109" s="57">
        <f ca="1">IF(TblMagic[[#This Row],[Death and Decay]],12,IF(OFFSET(TblMagic[[#This Row],[Active DnD]],-1,0)&gt;0,OFFSET(TblMagic[[#This Row],[Active DnD]],-1,0)-1,0))</f>
        <v>0</v>
      </c>
      <c r="AJ109" s="57">
        <f ca="1">IF(TblMagic[[#This Row],[Killing Rage / Bloodrage / Crusade]],12,IF(OFFSET(TblMagic[[#This Row],[Active Warsong / Killing Rage / Bloodrage]],-1,0)&gt;0,OFFSET(TblMagic[[#This Row],[Active Warsong / Killing Rage / Bloodrage]],-1,0)-1,0))</f>
        <v>0</v>
      </c>
      <c r="AK109" s="57">
        <f ca="1">IF(TblMagic[[#This Row],[Gaia''s Blessing]],12,IF(OFFSET(TblMagic[[#This Row],[Active Gaia''s Blessing]],-1,0)&gt;0,OFFSET(TblMagic[[#This Row],[Active Gaia''s Blessing]],-1,0)-1,0))</f>
        <v>0</v>
      </c>
      <c r="AL109" s="57">
        <f ca="1">IF(TblMagic[[#This Row],[Howling]],12,IF(OFFSET(TblMagic[[#This Row],[Active Howling]],-1,0)&gt;0,OFFSET(TblMagic[[#This Row],[Active Howling]],-1,0)-1,0))</f>
        <v>0</v>
      </c>
      <c r="AM109" s="57">
        <f ca="1">IF(TblMagic[[#This Row],[Alchemist Frost]],12,IF(OFFSET(TblMagic[[#This Row],[Active Alch Frost]],-1,0)&gt;0,OFFSET(TblMagic[[#This Row],[Active Alch Frost]],-1,0)-1,0))</f>
        <v>0</v>
      </c>
      <c r="AN109" s="57">
        <f ca="1">IF(TblMagic[[#This Row],[Alchemists Flame]],12,IF(OFFSET(TblMagic[[#This Row],[Active Alchemists Flame]],-1,0)&gt;0,OFFSET(TblMagic[[#This Row],[Active Alchemists Flame]],-1,0)-1,0))</f>
        <v>0</v>
      </c>
      <c r="AO109" s="57">
        <f ca="1">IF(TblMagic[[#This Row],[Nightfall]],12,IF(OFFSET(TblMagic[[#This Row],[Active Nightfall]],-1,0)&gt;0,OFFSET(TblMagic[[#This Row],[Active Nightfall]],-1,0)-1,0))</f>
        <v>0</v>
      </c>
      <c r="AP109" s="57">
        <f ca="1">IF(TblMagic[[#This Row],[Favorable Terrain]],12,IF(OFFSET(TblMagic[[#This Row],[Active Favorable Terrain]],-1,0)&gt;0,OFFSET(TblMagic[[#This Row],[Active Favorable Terrain]],-1,0)-1,0))</f>
        <v>0</v>
      </c>
      <c r="AQ109" s="57">
        <f ca="1">IF(TblMagic[[#This Row],[Infernal Command]],12,IF(OFFSET(TblMagic[[#This Row],[Active Infernal Command]],-1,0)&gt;0,OFFSET(TblMagic[[#This Row],[Active Infernal Command]],-1,0)-1,0))</f>
        <v>0</v>
      </c>
    </row>
    <row r="110" spans="1:43" x14ac:dyDescent="0.2">
      <c r="A110" s="137">
        <f>TblRezone[[#This Row],[Hour]]</f>
        <v>107</v>
      </c>
      <c r="B110" s="154">
        <f ca="1">TblConstr[[#This Row],[Land]]</f>
        <v>110</v>
      </c>
      <c r="C110" s="94">
        <f ca="1">TblProd[[#This Row],[Mana]]</f>
        <v>0</v>
      </c>
      <c r="D110" s="156">
        <f ca="1">MIN(1,OFFSET(TblMagic[[#This Row],[Wiz str]],-1,0)+0.04+ROUNDDOWN(10*OFFSET(TblMili[[#This Row],[WG''s]],-1,0),0)+ tech_2_7*OFFSET(TblTech[[#This Row],[2-7]],-1,0) + tech_5_6*OFFSET(TblTech[[#This Row],[5-6]],-1,0) )-TblMagic[[#This Row],[Wiz str cost]]</f>
        <v>1</v>
      </c>
      <c r="E110" s="159">
        <f ca="1">OFFSET(TblMagic[[#This Row],[Time]],-1,0)+1/24</f>
        <v>46051.41666666641</v>
      </c>
      <c r="F110" s="156">
        <f ca="1">TblImps[[#This Row],[Population]]</f>
        <v>1</v>
      </c>
      <c r="G110" s="218"/>
      <c r="H110" s="218"/>
      <c r="I110" s="218"/>
      <c r="J110" s="218"/>
      <c r="K110" s="405"/>
      <c r="L110" s="218"/>
      <c r="M110" s="218"/>
      <c r="N110" s="218"/>
      <c r="O110" s="218"/>
      <c r="P110" s="218"/>
      <c r="Q110" s="218"/>
      <c r="R110" s="218"/>
      <c r="S110" s="218"/>
      <c r="T110" s="218"/>
      <c r="U110" s="218"/>
      <c r="V110" s="218"/>
      <c r="W110" s="218"/>
      <c r="X110" s="142"/>
      <c r="Y11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0" s="156">
        <f>SUMIF(TblMagic[[#This Row],[Gaia''s Watch]:[Useless spell]],1)*0.05</f>
        <v>0</v>
      </c>
      <c r="AA110" s="142"/>
      <c r="AB110" s="57">
        <f ca="1">IF(TblMagic[[#This Row],[Gaia''s Watch]],12,IF(OFFSET(TblMagic[[#This Row],[Active Gaia''s Watch]],-1,0)&gt;0,OFFSET(TblMagic[[#This Row],[Active Gaia''s Watch]],-1,0)-1,0))</f>
        <v>0</v>
      </c>
      <c r="AC110" s="57">
        <f ca="1">IF(TblMagic[[#This Row],[Mining Strength]],12,IF(OFFSET(TblMagic[[#This Row],[Active Mining Strength]],-1,0)&gt;0,OFFSET(TblMagic[[#This Row],[Active Mining Strength]],-1,0)-1,0))</f>
        <v>0</v>
      </c>
      <c r="AD110" s="57">
        <f ca="1">IF(TblMagic[[#This Row],[Ares Call]],12,IF(OFFSET(TblMagic[[#This Row],[Active Ares Call]],-1,0)&gt;0,OFFSET(TblMagic[[#This Row],[Active Ares Call]],-1,0)-1,0))</f>
        <v>0</v>
      </c>
      <c r="AE110" s="57">
        <f ca="1">IF(TblMagic[[#This Row],[Midas Touch]],12,IF(OFFSET(TblMagic[[#This Row],[Active Midas Touch]],-1,0)&gt;0,OFFSET(TblMagic[[#This Row],[Active Midas Touch]],-1,0)-1,0))</f>
        <v>0</v>
      </c>
      <c r="AF110" s="57">
        <f ca="1">IF(TblMagic[[#This Row],[Harmony]],12,IF(OFFSET(TblMagic[[#This Row],[Active Harmony]],-1,0)&gt;0,OFFSET(TblMagic[[#This Row],[Active Harmony]],-1,0)-1,0))</f>
        <v>0</v>
      </c>
      <c r="AG110" s="57">
        <f ca="1">IF(TblMagic[[#This Row],[Miner''s Sight]],12,IF(OFFSET(TblMagic[[#This Row],[Active Miner''s Sight]],-1,0)&gt;0,OFFSET(TblMagic[[#This Row],[Active Miner''s Sight]],-1,0)-1,0))</f>
        <v>0</v>
      </c>
      <c r="AH110" s="57">
        <f ca="1">IF(TblMagic[[#This Row],[Mechanical Genius]],12,IF(OFFSET(TblMagic[[#This Row],[Active Mechanical Genius]],-1,0)&gt;0,OFFSET(TblMagic[[#This Row],[Active Mechanical Genius]],-1,0)-1,0))</f>
        <v>0</v>
      </c>
      <c r="AI110" s="57">
        <f ca="1">IF(TblMagic[[#This Row],[Death and Decay]],12,IF(OFFSET(TblMagic[[#This Row],[Active DnD]],-1,0)&gt;0,OFFSET(TblMagic[[#This Row],[Active DnD]],-1,0)-1,0))</f>
        <v>0</v>
      </c>
      <c r="AJ110" s="57">
        <f ca="1">IF(TblMagic[[#This Row],[Killing Rage / Bloodrage / Crusade]],12,IF(OFFSET(TblMagic[[#This Row],[Active Warsong / Killing Rage / Bloodrage]],-1,0)&gt;0,OFFSET(TblMagic[[#This Row],[Active Warsong / Killing Rage / Bloodrage]],-1,0)-1,0))</f>
        <v>0</v>
      </c>
      <c r="AK110" s="57">
        <f ca="1">IF(TblMagic[[#This Row],[Gaia''s Blessing]],12,IF(OFFSET(TblMagic[[#This Row],[Active Gaia''s Blessing]],-1,0)&gt;0,OFFSET(TblMagic[[#This Row],[Active Gaia''s Blessing]],-1,0)-1,0))</f>
        <v>0</v>
      </c>
      <c r="AL110" s="57">
        <f ca="1">IF(TblMagic[[#This Row],[Howling]],12,IF(OFFSET(TblMagic[[#This Row],[Active Howling]],-1,0)&gt;0,OFFSET(TblMagic[[#This Row],[Active Howling]],-1,0)-1,0))</f>
        <v>0</v>
      </c>
      <c r="AM110" s="57">
        <f ca="1">IF(TblMagic[[#This Row],[Alchemist Frost]],12,IF(OFFSET(TblMagic[[#This Row],[Active Alch Frost]],-1,0)&gt;0,OFFSET(TblMagic[[#This Row],[Active Alch Frost]],-1,0)-1,0))</f>
        <v>0</v>
      </c>
      <c r="AN110" s="57">
        <f ca="1">IF(TblMagic[[#This Row],[Alchemists Flame]],12,IF(OFFSET(TblMagic[[#This Row],[Active Alchemists Flame]],-1,0)&gt;0,OFFSET(TblMagic[[#This Row],[Active Alchemists Flame]],-1,0)-1,0))</f>
        <v>0</v>
      </c>
      <c r="AO110" s="57">
        <f ca="1">IF(TblMagic[[#This Row],[Nightfall]],12,IF(OFFSET(TblMagic[[#This Row],[Active Nightfall]],-1,0)&gt;0,OFFSET(TblMagic[[#This Row],[Active Nightfall]],-1,0)-1,0))</f>
        <v>0</v>
      </c>
      <c r="AP110" s="57">
        <f ca="1">IF(TblMagic[[#This Row],[Favorable Terrain]],12,IF(OFFSET(TblMagic[[#This Row],[Active Favorable Terrain]],-1,0)&gt;0,OFFSET(TblMagic[[#This Row],[Active Favorable Terrain]],-1,0)-1,0))</f>
        <v>0</v>
      </c>
      <c r="AQ110" s="57">
        <f ca="1">IF(TblMagic[[#This Row],[Infernal Command]],12,IF(OFFSET(TblMagic[[#This Row],[Active Infernal Command]],-1,0)&gt;0,OFFSET(TblMagic[[#This Row],[Active Infernal Command]],-1,0)-1,0))</f>
        <v>0</v>
      </c>
    </row>
    <row r="111" spans="1:43" x14ac:dyDescent="0.2">
      <c r="A111" s="137">
        <f>TblRezone[[#This Row],[Hour]]</f>
        <v>108</v>
      </c>
      <c r="B111" s="154">
        <f ca="1">TblConstr[[#This Row],[Land]]</f>
        <v>110</v>
      </c>
      <c r="C111" s="94">
        <f ca="1">TblProd[[#This Row],[Mana]]</f>
        <v>0</v>
      </c>
      <c r="D111" s="156">
        <f ca="1">MIN(1,OFFSET(TblMagic[[#This Row],[Wiz str]],-1,0)+0.04+ROUNDDOWN(10*OFFSET(TblMili[[#This Row],[WG''s]],-1,0),0)+ tech_2_7*OFFSET(TblTech[[#This Row],[2-7]],-1,0) + tech_5_6*OFFSET(TblTech[[#This Row],[5-6]],-1,0) )-TblMagic[[#This Row],[Wiz str cost]]</f>
        <v>1</v>
      </c>
      <c r="E111" s="159">
        <f ca="1">OFFSET(TblMagic[[#This Row],[Time]],-1,0)+1/24</f>
        <v>46051.458333333074</v>
      </c>
      <c r="F111" s="156">
        <f ca="1">TblImps[[#This Row],[Population]]</f>
        <v>1</v>
      </c>
      <c r="G111" s="218"/>
      <c r="H111" s="218"/>
      <c r="I111" s="218"/>
      <c r="J111" s="218"/>
      <c r="K111" s="405"/>
      <c r="L111" s="218"/>
      <c r="M111" s="218"/>
      <c r="N111" s="218"/>
      <c r="O111" s="218"/>
      <c r="P111" s="218"/>
      <c r="Q111" s="218"/>
      <c r="R111" s="218"/>
      <c r="S111" s="218"/>
      <c r="T111" s="218"/>
      <c r="U111" s="218"/>
      <c r="V111" s="218"/>
      <c r="W111" s="218"/>
      <c r="X111" s="142"/>
      <c r="Y11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1" s="156">
        <f>SUMIF(TblMagic[[#This Row],[Gaia''s Watch]:[Useless spell]],1)*0.05</f>
        <v>0</v>
      </c>
      <c r="AA111" s="142"/>
      <c r="AB111" s="57">
        <f ca="1">IF(TblMagic[[#This Row],[Gaia''s Watch]],12,IF(OFFSET(TblMagic[[#This Row],[Active Gaia''s Watch]],-1,0)&gt;0,OFFSET(TblMagic[[#This Row],[Active Gaia''s Watch]],-1,0)-1,0))</f>
        <v>0</v>
      </c>
      <c r="AC111" s="57">
        <f ca="1">IF(TblMagic[[#This Row],[Mining Strength]],12,IF(OFFSET(TblMagic[[#This Row],[Active Mining Strength]],-1,0)&gt;0,OFFSET(TblMagic[[#This Row],[Active Mining Strength]],-1,0)-1,0))</f>
        <v>0</v>
      </c>
      <c r="AD111" s="57">
        <f ca="1">IF(TblMagic[[#This Row],[Ares Call]],12,IF(OFFSET(TblMagic[[#This Row],[Active Ares Call]],-1,0)&gt;0,OFFSET(TblMagic[[#This Row],[Active Ares Call]],-1,0)-1,0))</f>
        <v>0</v>
      </c>
      <c r="AE111" s="57">
        <f ca="1">IF(TblMagic[[#This Row],[Midas Touch]],12,IF(OFFSET(TblMagic[[#This Row],[Active Midas Touch]],-1,0)&gt;0,OFFSET(TblMagic[[#This Row],[Active Midas Touch]],-1,0)-1,0))</f>
        <v>0</v>
      </c>
      <c r="AF111" s="57">
        <f ca="1">IF(TblMagic[[#This Row],[Harmony]],12,IF(OFFSET(TblMagic[[#This Row],[Active Harmony]],-1,0)&gt;0,OFFSET(TblMagic[[#This Row],[Active Harmony]],-1,0)-1,0))</f>
        <v>0</v>
      </c>
      <c r="AG111" s="57">
        <f ca="1">IF(TblMagic[[#This Row],[Miner''s Sight]],12,IF(OFFSET(TblMagic[[#This Row],[Active Miner''s Sight]],-1,0)&gt;0,OFFSET(TblMagic[[#This Row],[Active Miner''s Sight]],-1,0)-1,0))</f>
        <v>0</v>
      </c>
      <c r="AH111" s="57">
        <f ca="1">IF(TblMagic[[#This Row],[Mechanical Genius]],12,IF(OFFSET(TblMagic[[#This Row],[Active Mechanical Genius]],-1,0)&gt;0,OFFSET(TblMagic[[#This Row],[Active Mechanical Genius]],-1,0)-1,0))</f>
        <v>0</v>
      </c>
      <c r="AI111" s="57">
        <f ca="1">IF(TblMagic[[#This Row],[Death and Decay]],12,IF(OFFSET(TblMagic[[#This Row],[Active DnD]],-1,0)&gt;0,OFFSET(TblMagic[[#This Row],[Active DnD]],-1,0)-1,0))</f>
        <v>0</v>
      </c>
      <c r="AJ111" s="57">
        <f ca="1">IF(TblMagic[[#This Row],[Killing Rage / Bloodrage / Crusade]],12,IF(OFFSET(TblMagic[[#This Row],[Active Warsong / Killing Rage / Bloodrage]],-1,0)&gt;0,OFFSET(TblMagic[[#This Row],[Active Warsong / Killing Rage / Bloodrage]],-1,0)-1,0))</f>
        <v>0</v>
      </c>
      <c r="AK111" s="57">
        <f ca="1">IF(TblMagic[[#This Row],[Gaia''s Blessing]],12,IF(OFFSET(TblMagic[[#This Row],[Active Gaia''s Blessing]],-1,0)&gt;0,OFFSET(TblMagic[[#This Row],[Active Gaia''s Blessing]],-1,0)-1,0))</f>
        <v>0</v>
      </c>
      <c r="AL111" s="57">
        <f ca="1">IF(TblMagic[[#This Row],[Howling]],12,IF(OFFSET(TblMagic[[#This Row],[Active Howling]],-1,0)&gt;0,OFFSET(TblMagic[[#This Row],[Active Howling]],-1,0)-1,0))</f>
        <v>0</v>
      </c>
      <c r="AM111" s="57">
        <f ca="1">IF(TblMagic[[#This Row],[Alchemist Frost]],12,IF(OFFSET(TblMagic[[#This Row],[Active Alch Frost]],-1,0)&gt;0,OFFSET(TblMagic[[#This Row],[Active Alch Frost]],-1,0)-1,0))</f>
        <v>0</v>
      </c>
      <c r="AN111" s="57">
        <f ca="1">IF(TblMagic[[#This Row],[Alchemists Flame]],12,IF(OFFSET(TblMagic[[#This Row],[Active Alchemists Flame]],-1,0)&gt;0,OFFSET(TblMagic[[#This Row],[Active Alchemists Flame]],-1,0)-1,0))</f>
        <v>0</v>
      </c>
      <c r="AO111" s="57">
        <f ca="1">IF(TblMagic[[#This Row],[Nightfall]],12,IF(OFFSET(TblMagic[[#This Row],[Active Nightfall]],-1,0)&gt;0,OFFSET(TblMagic[[#This Row],[Active Nightfall]],-1,0)-1,0))</f>
        <v>0</v>
      </c>
      <c r="AP111" s="57">
        <f ca="1">IF(TblMagic[[#This Row],[Favorable Terrain]],12,IF(OFFSET(TblMagic[[#This Row],[Active Favorable Terrain]],-1,0)&gt;0,OFFSET(TblMagic[[#This Row],[Active Favorable Terrain]],-1,0)-1,0))</f>
        <v>0</v>
      </c>
      <c r="AQ111" s="57">
        <f ca="1">IF(TblMagic[[#This Row],[Infernal Command]],12,IF(OFFSET(TblMagic[[#This Row],[Active Infernal Command]],-1,0)&gt;0,OFFSET(TblMagic[[#This Row],[Active Infernal Command]],-1,0)-1,0))</f>
        <v>0</v>
      </c>
    </row>
    <row r="112" spans="1:43" x14ac:dyDescent="0.2">
      <c r="A112" s="137">
        <f>TblRezone[[#This Row],[Hour]]</f>
        <v>109</v>
      </c>
      <c r="B112" s="154">
        <f ca="1">TblConstr[[#This Row],[Land]]</f>
        <v>110</v>
      </c>
      <c r="C112" s="94">
        <f ca="1">TblProd[[#This Row],[Mana]]</f>
        <v>0</v>
      </c>
      <c r="D112" s="156">
        <f ca="1">MIN(1,OFFSET(TblMagic[[#This Row],[Wiz str]],-1,0)+0.04+ROUNDDOWN(10*OFFSET(TblMili[[#This Row],[WG''s]],-1,0),0)+ tech_2_7*OFFSET(TblTech[[#This Row],[2-7]],-1,0) + tech_5_6*OFFSET(TblTech[[#This Row],[5-6]],-1,0) )-TblMagic[[#This Row],[Wiz str cost]]</f>
        <v>1</v>
      </c>
      <c r="E112" s="159">
        <f ca="1">OFFSET(TblMagic[[#This Row],[Time]],-1,0)+1/24</f>
        <v>46051.499999999738</v>
      </c>
      <c r="F112" s="156">
        <f ca="1">TblImps[[#This Row],[Population]]</f>
        <v>1</v>
      </c>
      <c r="G112" s="218"/>
      <c r="H112" s="218"/>
      <c r="I112" s="218"/>
      <c r="J112" s="218"/>
      <c r="K112" s="405"/>
      <c r="L112" s="218"/>
      <c r="M112" s="218"/>
      <c r="N112" s="218"/>
      <c r="O112" s="218"/>
      <c r="P112" s="218"/>
      <c r="Q112" s="218"/>
      <c r="R112" s="218"/>
      <c r="S112" s="218"/>
      <c r="T112" s="218"/>
      <c r="U112" s="218"/>
      <c r="V112" s="218"/>
      <c r="W112" s="218"/>
      <c r="X112" s="142"/>
      <c r="Y11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2" s="156">
        <f>SUMIF(TblMagic[[#This Row],[Gaia''s Watch]:[Useless spell]],1)*0.05</f>
        <v>0</v>
      </c>
      <c r="AA112" s="142"/>
      <c r="AB112" s="57">
        <f ca="1">IF(TblMagic[[#This Row],[Gaia''s Watch]],12,IF(OFFSET(TblMagic[[#This Row],[Active Gaia''s Watch]],-1,0)&gt;0,OFFSET(TblMagic[[#This Row],[Active Gaia''s Watch]],-1,0)-1,0))</f>
        <v>0</v>
      </c>
      <c r="AC112" s="57">
        <f ca="1">IF(TblMagic[[#This Row],[Mining Strength]],12,IF(OFFSET(TblMagic[[#This Row],[Active Mining Strength]],-1,0)&gt;0,OFFSET(TblMagic[[#This Row],[Active Mining Strength]],-1,0)-1,0))</f>
        <v>0</v>
      </c>
      <c r="AD112" s="57">
        <f ca="1">IF(TblMagic[[#This Row],[Ares Call]],12,IF(OFFSET(TblMagic[[#This Row],[Active Ares Call]],-1,0)&gt;0,OFFSET(TblMagic[[#This Row],[Active Ares Call]],-1,0)-1,0))</f>
        <v>0</v>
      </c>
      <c r="AE112" s="57">
        <f ca="1">IF(TblMagic[[#This Row],[Midas Touch]],12,IF(OFFSET(TblMagic[[#This Row],[Active Midas Touch]],-1,0)&gt;0,OFFSET(TblMagic[[#This Row],[Active Midas Touch]],-1,0)-1,0))</f>
        <v>0</v>
      </c>
      <c r="AF112" s="57">
        <f ca="1">IF(TblMagic[[#This Row],[Harmony]],12,IF(OFFSET(TblMagic[[#This Row],[Active Harmony]],-1,0)&gt;0,OFFSET(TblMagic[[#This Row],[Active Harmony]],-1,0)-1,0))</f>
        <v>0</v>
      </c>
      <c r="AG112" s="57">
        <f ca="1">IF(TblMagic[[#This Row],[Miner''s Sight]],12,IF(OFFSET(TblMagic[[#This Row],[Active Miner''s Sight]],-1,0)&gt;0,OFFSET(TblMagic[[#This Row],[Active Miner''s Sight]],-1,0)-1,0))</f>
        <v>0</v>
      </c>
      <c r="AH112" s="57">
        <f ca="1">IF(TblMagic[[#This Row],[Mechanical Genius]],12,IF(OFFSET(TblMagic[[#This Row],[Active Mechanical Genius]],-1,0)&gt;0,OFFSET(TblMagic[[#This Row],[Active Mechanical Genius]],-1,0)-1,0))</f>
        <v>0</v>
      </c>
      <c r="AI112" s="57">
        <f ca="1">IF(TblMagic[[#This Row],[Death and Decay]],12,IF(OFFSET(TblMagic[[#This Row],[Active DnD]],-1,0)&gt;0,OFFSET(TblMagic[[#This Row],[Active DnD]],-1,0)-1,0))</f>
        <v>0</v>
      </c>
      <c r="AJ112" s="57">
        <f ca="1">IF(TblMagic[[#This Row],[Killing Rage / Bloodrage / Crusade]],12,IF(OFFSET(TblMagic[[#This Row],[Active Warsong / Killing Rage / Bloodrage]],-1,0)&gt;0,OFFSET(TblMagic[[#This Row],[Active Warsong / Killing Rage / Bloodrage]],-1,0)-1,0))</f>
        <v>0</v>
      </c>
      <c r="AK112" s="57">
        <f ca="1">IF(TblMagic[[#This Row],[Gaia''s Blessing]],12,IF(OFFSET(TblMagic[[#This Row],[Active Gaia''s Blessing]],-1,0)&gt;0,OFFSET(TblMagic[[#This Row],[Active Gaia''s Blessing]],-1,0)-1,0))</f>
        <v>0</v>
      </c>
      <c r="AL112" s="57">
        <f ca="1">IF(TblMagic[[#This Row],[Howling]],12,IF(OFFSET(TblMagic[[#This Row],[Active Howling]],-1,0)&gt;0,OFFSET(TblMagic[[#This Row],[Active Howling]],-1,0)-1,0))</f>
        <v>0</v>
      </c>
      <c r="AM112" s="57">
        <f ca="1">IF(TblMagic[[#This Row],[Alchemist Frost]],12,IF(OFFSET(TblMagic[[#This Row],[Active Alch Frost]],-1,0)&gt;0,OFFSET(TblMagic[[#This Row],[Active Alch Frost]],-1,0)-1,0))</f>
        <v>0</v>
      </c>
      <c r="AN112" s="57">
        <f ca="1">IF(TblMagic[[#This Row],[Alchemists Flame]],12,IF(OFFSET(TblMagic[[#This Row],[Active Alchemists Flame]],-1,0)&gt;0,OFFSET(TblMagic[[#This Row],[Active Alchemists Flame]],-1,0)-1,0))</f>
        <v>0</v>
      </c>
      <c r="AO112" s="57">
        <f ca="1">IF(TblMagic[[#This Row],[Nightfall]],12,IF(OFFSET(TblMagic[[#This Row],[Active Nightfall]],-1,0)&gt;0,OFFSET(TblMagic[[#This Row],[Active Nightfall]],-1,0)-1,0))</f>
        <v>0</v>
      </c>
      <c r="AP112" s="57">
        <f ca="1">IF(TblMagic[[#This Row],[Favorable Terrain]],12,IF(OFFSET(TblMagic[[#This Row],[Active Favorable Terrain]],-1,0)&gt;0,OFFSET(TblMagic[[#This Row],[Active Favorable Terrain]],-1,0)-1,0))</f>
        <v>0</v>
      </c>
      <c r="AQ112" s="57">
        <f ca="1">IF(TblMagic[[#This Row],[Infernal Command]],12,IF(OFFSET(TblMagic[[#This Row],[Active Infernal Command]],-1,0)&gt;0,OFFSET(TblMagic[[#This Row],[Active Infernal Command]],-1,0)-1,0))</f>
        <v>0</v>
      </c>
    </row>
    <row r="113" spans="1:43" x14ac:dyDescent="0.2">
      <c r="A113" s="137">
        <f>TblRezone[[#This Row],[Hour]]</f>
        <v>110</v>
      </c>
      <c r="B113" s="154">
        <f ca="1">TblConstr[[#This Row],[Land]]</f>
        <v>110</v>
      </c>
      <c r="C113" s="94">
        <f ca="1">TblProd[[#This Row],[Mana]]</f>
        <v>0</v>
      </c>
      <c r="D113" s="156">
        <f ca="1">MIN(1,OFFSET(TblMagic[[#This Row],[Wiz str]],-1,0)+0.04+ROUNDDOWN(10*OFFSET(TblMili[[#This Row],[WG''s]],-1,0),0)+ tech_2_7*OFFSET(TblTech[[#This Row],[2-7]],-1,0) + tech_5_6*OFFSET(TblTech[[#This Row],[5-6]],-1,0) )-TblMagic[[#This Row],[Wiz str cost]]</f>
        <v>1</v>
      </c>
      <c r="E113" s="159">
        <f ca="1">OFFSET(TblMagic[[#This Row],[Time]],-1,0)+1/24</f>
        <v>46051.541666666402</v>
      </c>
      <c r="F113" s="156">
        <f ca="1">TblImps[[#This Row],[Population]]</f>
        <v>1</v>
      </c>
      <c r="G113" s="218"/>
      <c r="H113" s="218"/>
      <c r="I113" s="218"/>
      <c r="J113" s="218"/>
      <c r="K113" s="405"/>
      <c r="L113" s="218"/>
      <c r="M113" s="218"/>
      <c r="N113" s="218"/>
      <c r="O113" s="218"/>
      <c r="P113" s="218"/>
      <c r="Q113" s="218"/>
      <c r="R113" s="218"/>
      <c r="S113" s="218"/>
      <c r="T113" s="218"/>
      <c r="U113" s="218"/>
      <c r="V113" s="218"/>
      <c r="W113" s="218"/>
      <c r="X113" s="142"/>
      <c r="Y11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3" s="156">
        <f>SUMIF(TblMagic[[#This Row],[Gaia''s Watch]:[Useless spell]],1)*0.05</f>
        <v>0</v>
      </c>
      <c r="AA113" s="142"/>
      <c r="AB113" s="57">
        <f ca="1">IF(TblMagic[[#This Row],[Gaia''s Watch]],12,IF(OFFSET(TblMagic[[#This Row],[Active Gaia''s Watch]],-1,0)&gt;0,OFFSET(TblMagic[[#This Row],[Active Gaia''s Watch]],-1,0)-1,0))</f>
        <v>0</v>
      </c>
      <c r="AC113" s="57">
        <f ca="1">IF(TblMagic[[#This Row],[Mining Strength]],12,IF(OFFSET(TblMagic[[#This Row],[Active Mining Strength]],-1,0)&gt;0,OFFSET(TblMagic[[#This Row],[Active Mining Strength]],-1,0)-1,0))</f>
        <v>0</v>
      </c>
      <c r="AD113" s="57">
        <f ca="1">IF(TblMagic[[#This Row],[Ares Call]],12,IF(OFFSET(TblMagic[[#This Row],[Active Ares Call]],-1,0)&gt;0,OFFSET(TblMagic[[#This Row],[Active Ares Call]],-1,0)-1,0))</f>
        <v>0</v>
      </c>
      <c r="AE113" s="57">
        <f ca="1">IF(TblMagic[[#This Row],[Midas Touch]],12,IF(OFFSET(TblMagic[[#This Row],[Active Midas Touch]],-1,0)&gt;0,OFFSET(TblMagic[[#This Row],[Active Midas Touch]],-1,0)-1,0))</f>
        <v>0</v>
      </c>
      <c r="AF113" s="57">
        <f ca="1">IF(TblMagic[[#This Row],[Harmony]],12,IF(OFFSET(TblMagic[[#This Row],[Active Harmony]],-1,0)&gt;0,OFFSET(TblMagic[[#This Row],[Active Harmony]],-1,0)-1,0))</f>
        <v>0</v>
      </c>
      <c r="AG113" s="57">
        <f ca="1">IF(TblMagic[[#This Row],[Miner''s Sight]],12,IF(OFFSET(TblMagic[[#This Row],[Active Miner''s Sight]],-1,0)&gt;0,OFFSET(TblMagic[[#This Row],[Active Miner''s Sight]],-1,0)-1,0))</f>
        <v>0</v>
      </c>
      <c r="AH113" s="57">
        <f ca="1">IF(TblMagic[[#This Row],[Mechanical Genius]],12,IF(OFFSET(TblMagic[[#This Row],[Active Mechanical Genius]],-1,0)&gt;0,OFFSET(TblMagic[[#This Row],[Active Mechanical Genius]],-1,0)-1,0))</f>
        <v>0</v>
      </c>
      <c r="AI113" s="57">
        <f ca="1">IF(TblMagic[[#This Row],[Death and Decay]],12,IF(OFFSET(TblMagic[[#This Row],[Active DnD]],-1,0)&gt;0,OFFSET(TblMagic[[#This Row],[Active DnD]],-1,0)-1,0))</f>
        <v>0</v>
      </c>
      <c r="AJ113" s="57">
        <f ca="1">IF(TblMagic[[#This Row],[Killing Rage / Bloodrage / Crusade]],12,IF(OFFSET(TblMagic[[#This Row],[Active Warsong / Killing Rage / Bloodrage]],-1,0)&gt;0,OFFSET(TblMagic[[#This Row],[Active Warsong / Killing Rage / Bloodrage]],-1,0)-1,0))</f>
        <v>0</v>
      </c>
      <c r="AK113" s="57">
        <f ca="1">IF(TblMagic[[#This Row],[Gaia''s Blessing]],12,IF(OFFSET(TblMagic[[#This Row],[Active Gaia''s Blessing]],-1,0)&gt;0,OFFSET(TblMagic[[#This Row],[Active Gaia''s Blessing]],-1,0)-1,0))</f>
        <v>0</v>
      </c>
      <c r="AL113" s="57">
        <f ca="1">IF(TblMagic[[#This Row],[Howling]],12,IF(OFFSET(TblMagic[[#This Row],[Active Howling]],-1,0)&gt;0,OFFSET(TblMagic[[#This Row],[Active Howling]],-1,0)-1,0))</f>
        <v>0</v>
      </c>
      <c r="AM113" s="57">
        <f ca="1">IF(TblMagic[[#This Row],[Alchemist Frost]],12,IF(OFFSET(TblMagic[[#This Row],[Active Alch Frost]],-1,0)&gt;0,OFFSET(TblMagic[[#This Row],[Active Alch Frost]],-1,0)-1,0))</f>
        <v>0</v>
      </c>
      <c r="AN113" s="57">
        <f ca="1">IF(TblMagic[[#This Row],[Alchemists Flame]],12,IF(OFFSET(TblMagic[[#This Row],[Active Alchemists Flame]],-1,0)&gt;0,OFFSET(TblMagic[[#This Row],[Active Alchemists Flame]],-1,0)-1,0))</f>
        <v>0</v>
      </c>
      <c r="AO113" s="57">
        <f ca="1">IF(TblMagic[[#This Row],[Nightfall]],12,IF(OFFSET(TblMagic[[#This Row],[Active Nightfall]],-1,0)&gt;0,OFFSET(TblMagic[[#This Row],[Active Nightfall]],-1,0)-1,0))</f>
        <v>0</v>
      </c>
      <c r="AP113" s="57">
        <f ca="1">IF(TblMagic[[#This Row],[Favorable Terrain]],12,IF(OFFSET(TblMagic[[#This Row],[Active Favorable Terrain]],-1,0)&gt;0,OFFSET(TblMagic[[#This Row],[Active Favorable Terrain]],-1,0)-1,0))</f>
        <v>0</v>
      </c>
      <c r="AQ113" s="57">
        <f ca="1">IF(TblMagic[[#This Row],[Infernal Command]],12,IF(OFFSET(TblMagic[[#This Row],[Active Infernal Command]],-1,0)&gt;0,OFFSET(TblMagic[[#This Row],[Active Infernal Command]],-1,0)-1,0))</f>
        <v>0</v>
      </c>
    </row>
    <row r="114" spans="1:43" x14ac:dyDescent="0.2">
      <c r="A114" s="137">
        <f>TblRezone[[#This Row],[Hour]]</f>
        <v>111</v>
      </c>
      <c r="B114" s="154">
        <f ca="1">TblConstr[[#This Row],[Land]]</f>
        <v>110</v>
      </c>
      <c r="C114" s="94">
        <f ca="1">TblProd[[#This Row],[Mana]]</f>
        <v>0</v>
      </c>
      <c r="D114" s="156">
        <f ca="1">MIN(1,OFFSET(TblMagic[[#This Row],[Wiz str]],-1,0)+0.04+ROUNDDOWN(10*OFFSET(TblMili[[#This Row],[WG''s]],-1,0),0)+ tech_2_7*OFFSET(TblTech[[#This Row],[2-7]],-1,0) + tech_5_6*OFFSET(TblTech[[#This Row],[5-6]],-1,0) )-TblMagic[[#This Row],[Wiz str cost]]</f>
        <v>1</v>
      </c>
      <c r="E114" s="159">
        <f ca="1">OFFSET(TblMagic[[#This Row],[Time]],-1,0)+1/24</f>
        <v>46051.583333333067</v>
      </c>
      <c r="F114" s="156">
        <f ca="1">TblImps[[#This Row],[Population]]</f>
        <v>1</v>
      </c>
      <c r="G114" s="218"/>
      <c r="H114" s="218"/>
      <c r="I114" s="218"/>
      <c r="J114" s="218"/>
      <c r="K114" s="405"/>
      <c r="L114" s="218"/>
      <c r="M114" s="218"/>
      <c r="N114" s="218"/>
      <c r="O114" s="218"/>
      <c r="P114" s="218"/>
      <c r="Q114" s="218"/>
      <c r="R114" s="218"/>
      <c r="S114" s="218"/>
      <c r="T114" s="218"/>
      <c r="U114" s="218"/>
      <c r="V114" s="218"/>
      <c r="W114" s="218"/>
      <c r="X114" s="142"/>
      <c r="Y11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4" s="156">
        <f>SUMIF(TblMagic[[#This Row],[Gaia''s Watch]:[Useless spell]],1)*0.05</f>
        <v>0</v>
      </c>
      <c r="AA114" s="142"/>
      <c r="AB114" s="57">
        <f ca="1">IF(TblMagic[[#This Row],[Gaia''s Watch]],12,IF(OFFSET(TblMagic[[#This Row],[Active Gaia''s Watch]],-1,0)&gt;0,OFFSET(TblMagic[[#This Row],[Active Gaia''s Watch]],-1,0)-1,0))</f>
        <v>0</v>
      </c>
      <c r="AC114" s="57">
        <f ca="1">IF(TblMagic[[#This Row],[Mining Strength]],12,IF(OFFSET(TblMagic[[#This Row],[Active Mining Strength]],-1,0)&gt;0,OFFSET(TblMagic[[#This Row],[Active Mining Strength]],-1,0)-1,0))</f>
        <v>0</v>
      </c>
      <c r="AD114" s="57">
        <f ca="1">IF(TblMagic[[#This Row],[Ares Call]],12,IF(OFFSET(TblMagic[[#This Row],[Active Ares Call]],-1,0)&gt;0,OFFSET(TblMagic[[#This Row],[Active Ares Call]],-1,0)-1,0))</f>
        <v>0</v>
      </c>
      <c r="AE114" s="57">
        <f ca="1">IF(TblMagic[[#This Row],[Midas Touch]],12,IF(OFFSET(TblMagic[[#This Row],[Active Midas Touch]],-1,0)&gt;0,OFFSET(TblMagic[[#This Row],[Active Midas Touch]],-1,0)-1,0))</f>
        <v>0</v>
      </c>
      <c r="AF114" s="57">
        <f ca="1">IF(TblMagic[[#This Row],[Harmony]],12,IF(OFFSET(TblMagic[[#This Row],[Active Harmony]],-1,0)&gt;0,OFFSET(TblMagic[[#This Row],[Active Harmony]],-1,0)-1,0))</f>
        <v>0</v>
      </c>
      <c r="AG114" s="57">
        <f ca="1">IF(TblMagic[[#This Row],[Miner''s Sight]],12,IF(OFFSET(TblMagic[[#This Row],[Active Miner''s Sight]],-1,0)&gt;0,OFFSET(TblMagic[[#This Row],[Active Miner''s Sight]],-1,0)-1,0))</f>
        <v>0</v>
      </c>
      <c r="AH114" s="57">
        <f ca="1">IF(TblMagic[[#This Row],[Mechanical Genius]],12,IF(OFFSET(TblMagic[[#This Row],[Active Mechanical Genius]],-1,0)&gt;0,OFFSET(TblMagic[[#This Row],[Active Mechanical Genius]],-1,0)-1,0))</f>
        <v>0</v>
      </c>
      <c r="AI114" s="57">
        <f ca="1">IF(TblMagic[[#This Row],[Death and Decay]],12,IF(OFFSET(TblMagic[[#This Row],[Active DnD]],-1,0)&gt;0,OFFSET(TblMagic[[#This Row],[Active DnD]],-1,0)-1,0))</f>
        <v>0</v>
      </c>
      <c r="AJ114" s="57">
        <f ca="1">IF(TblMagic[[#This Row],[Killing Rage / Bloodrage / Crusade]],12,IF(OFFSET(TblMagic[[#This Row],[Active Warsong / Killing Rage / Bloodrage]],-1,0)&gt;0,OFFSET(TblMagic[[#This Row],[Active Warsong / Killing Rage / Bloodrage]],-1,0)-1,0))</f>
        <v>0</v>
      </c>
      <c r="AK114" s="57">
        <f ca="1">IF(TblMagic[[#This Row],[Gaia''s Blessing]],12,IF(OFFSET(TblMagic[[#This Row],[Active Gaia''s Blessing]],-1,0)&gt;0,OFFSET(TblMagic[[#This Row],[Active Gaia''s Blessing]],-1,0)-1,0))</f>
        <v>0</v>
      </c>
      <c r="AL114" s="57">
        <f ca="1">IF(TblMagic[[#This Row],[Howling]],12,IF(OFFSET(TblMagic[[#This Row],[Active Howling]],-1,0)&gt;0,OFFSET(TblMagic[[#This Row],[Active Howling]],-1,0)-1,0))</f>
        <v>0</v>
      </c>
      <c r="AM114" s="57">
        <f ca="1">IF(TblMagic[[#This Row],[Alchemist Frost]],12,IF(OFFSET(TblMagic[[#This Row],[Active Alch Frost]],-1,0)&gt;0,OFFSET(TblMagic[[#This Row],[Active Alch Frost]],-1,0)-1,0))</f>
        <v>0</v>
      </c>
      <c r="AN114" s="57">
        <f ca="1">IF(TblMagic[[#This Row],[Alchemists Flame]],12,IF(OFFSET(TblMagic[[#This Row],[Active Alchemists Flame]],-1,0)&gt;0,OFFSET(TblMagic[[#This Row],[Active Alchemists Flame]],-1,0)-1,0))</f>
        <v>0</v>
      </c>
      <c r="AO114" s="57">
        <f ca="1">IF(TblMagic[[#This Row],[Nightfall]],12,IF(OFFSET(TblMagic[[#This Row],[Active Nightfall]],-1,0)&gt;0,OFFSET(TblMagic[[#This Row],[Active Nightfall]],-1,0)-1,0))</f>
        <v>0</v>
      </c>
      <c r="AP114" s="57">
        <f ca="1">IF(TblMagic[[#This Row],[Favorable Terrain]],12,IF(OFFSET(TblMagic[[#This Row],[Active Favorable Terrain]],-1,0)&gt;0,OFFSET(TblMagic[[#This Row],[Active Favorable Terrain]],-1,0)-1,0))</f>
        <v>0</v>
      </c>
      <c r="AQ114" s="57">
        <f ca="1">IF(TblMagic[[#This Row],[Infernal Command]],12,IF(OFFSET(TblMagic[[#This Row],[Active Infernal Command]],-1,0)&gt;0,OFFSET(TblMagic[[#This Row],[Active Infernal Command]],-1,0)-1,0))</f>
        <v>0</v>
      </c>
    </row>
    <row r="115" spans="1:43" x14ac:dyDescent="0.2">
      <c r="A115" s="137">
        <f>TblRezone[[#This Row],[Hour]]</f>
        <v>112</v>
      </c>
      <c r="B115" s="154">
        <f ca="1">TblConstr[[#This Row],[Land]]</f>
        <v>110</v>
      </c>
      <c r="C115" s="94">
        <f ca="1">TblProd[[#This Row],[Mana]]</f>
        <v>0</v>
      </c>
      <c r="D115" s="156">
        <f ca="1">MIN(1,OFFSET(TblMagic[[#This Row],[Wiz str]],-1,0)+0.04+ROUNDDOWN(10*OFFSET(TblMili[[#This Row],[WG''s]],-1,0),0)+ tech_2_7*OFFSET(TblTech[[#This Row],[2-7]],-1,0) + tech_5_6*OFFSET(TblTech[[#This Row],[5-6]],-1,0) )-TblMagic[[#This Row],[Wiz str cost]]</f>
        <v>1</v>
      </c>
      <c r="E115" s="159">
        <f ca="1">OFFSET(TblMagic[[#This Row],[Time]],-1,0)+1/24</f>
        <v>46051.624999999731</v>
      </c>
      <c r="F115" s="156">
        <f ca="1">TblImps[[#This Row],[Population]]</f>
        <v>1</v>
      </c>
      <c r="G115" s="218"/>
      <c r="H115" s="218"/>
      <c r="I115" s="218"/>
      <c r="J115" s="218"/>
      <c r="K115" s="405"/>
      <c r="L115" s="218"/>
      <c r="M115" s="218"/>
      <c r="N115" s="218"/>
      <c r="O115" s="218"/>
      <c r="P115" s="218"/>
      <c r="Q115" s="218"/>
      <c r="R115" s="218"/>
      <c r="S115" s="218"/>
      <c r="T115" s="218"/>
      <c r="U115" s="218"/>
      <c r="V115" s="218"/>
      <c r="W115" s="218"/>
      <c r="X115" s="142"/>
      <c r="Y11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5" s="156">
        <f>SUMIF(TblMagic[[#This Row],[Gaia''s Watch]:[Useless spell]],1)*0.05</f>
        <v>0</v>
      </c>
      <c r="AA115" s="142"/>
      <c r="AB115" s="57">
        <f ca="1">IF(TblMagic[[#This Row],[Gaia''s Watch]],12,IF(OFFSET(TblMagic[[#This Row],[Active Gaia''s Watch]],-1,0)&gt;0,OFFSET(TblMagic[[#This Row],[Active Gaia''s Watch]],-1,0)-1,0))</f>
        <v>0</v>
      </c>
      <c r="AC115" s="57">
        <f ca="1">IF(TblMagic[[#This Row],[Mining Strength]],12,IF(OFFSET(TblMagic[[#This Row],[Active Mining Strength]],-1,0)&gt;0,OFFSET(TblMagic[[#This Row],[Active Mining Strength]],-1,0)-1,0))</f>
        <v>0</v>
      </c>
      <c r="AD115" s="57">
        <f ca="1">IF(TblMagic[[#This Row],[Ares Call]],12,IF(OFFSET(TblMagic[[#This Row],[Active Ares Call]],-1,0)&gt;0,OFFSET(TblMagic[[#This Row],[Active Ares Call]],-1,0)-1,0))</f>
        <v>0</v>
      </c>
      <c r="AE115" s="57">
        <f ca="1">IF(TblMagic[[#This Row],[Midas Touch]],12,IF(OFFSET(TblMagic[[#This Row],[Active Midas Touch]],-1,0)&gt;0,OFFSET(TblMagic[[#This Row],[Active Midas Touch]],-1,0)-1,0))</f>
        <v>0</v>
      </c>
      <c r="AF115" s="57">
        <f ca="1">IF(TblMagic[[#This Row],[Harmony]],12,IF(OFFSET(TblMagic[[#This Row],[Active Harmony]],-1,0)&gt;0,OFFSET(TblMagic[[#This Row],[Active Harmony]],-1,0)-1,0))</f>
        <v>0</v>
      </c>
      <c r="AG115" s="57">
        <f ca="1">IF(TblMagic[[#This Row],[Miner''s Sight]],12,IF(OFFSET(TblMagic[[#This Row],[Active Miner''s Sight]],-1,0)&gt;0,OFFSET(TblMagic[[#This Row],[Active Miner''s Sight]],-1,0)-1,0))</f>
        <v>0</v>
      </c>
      <c r="AH115" s="57">
        <f ca="1">IF(TblMagic[[#This Row],[Mechanical Genius]],12,IF(OFFSET(TblMagic[[#This Row],[Active Mechanical Genius]],-1,0)&gt;0,OFFSET(TblMagic[[#This Row],[Active Mechanical Genius]],-1,0)-1,0))</f>
        <v>0</v>
      </c>
      <c r="AI115" s="57">
        <f ca="1">IF(TblMagic[[#This Row],[Death and Decay]],12,IF(OFFSET(TblMagic[[#This Row],[Active DnD]],-1,0)&gt;0,OFFSET(TblMagic[[#This Row],[Active DnD]],-1,0)-1,0))</f>
        <v>0</v>
      </c>
      <c r="AJ115" s="57">
        <f ca="1">IF(TblMagic[[#This Row],[Killing Rage / Bloodrage / Crusade]],12,IF(OFFSET(TblMagic[[#This Row],[Active Warsong / Killing Rage / Bloodrage]],-1,0)&gt;0,OFFSET(TblMagic[[#This Row],[Active Warsong / Killing Rage / Bloodrage]],-1,0)-1,0))</f>
        <v>0</v>
      </c>
      <c r="AK115" s="57">
        <f ca="1">IF(TblMagic[[#This Row],[Gaia''s Blessing]],12,IF(OFFSET(TblMagic[[#This Row],[Active Gaia''s Blessing]],-1,0)&gt;0,OFFSET(TblMagic[[#This Row],[Active Gaia''s Blessing]],-1,0)-1,0))</f>
        <v>0</v>
      </c>
      <c r="AL115" s="57">
        <f ca="1">IF(TblMagic[[#This Row],[Howling]],12,IF(OFFSET(TblMagic[[#This Row],[Active Howling]],-1,0)&gt;0,OFFSET(TblMagic[[#This Row],[Active Howling]],-1,0)-1,0))</f>
        <v>0</v>
      </c>
      <c r="AM115" s="57">
        <f ca="1">IF(TblMagic[[#This Row],[Alchemist Frost]],12,IF(OFFSET(TblMagic[[#This Row],[Active Alch Frost]],-1,0)&gt;0,OFFSET(TblMagic[[#This Row],[Active Alch Frost]],-1,0)-1,0))</f>
        <v>0</v>
      </c>
      <c r="AN115" s="57">
        <f ca="1">IF(TblMagic[[#This Row],[Alchemists Flame]],12,IF(OFFSET(TblMagic[[#This Row],[Active Alchemists Flame]],-1,0)&gt;0,OFFSET(TblMagic[[#This Row],[Active Alchemists Flame]],-1,0)-1,0))</f>
        <v>0</v>
      </c>
      <c r="AO115" s="57">
        <f ca="1">IF(TblMagic[[#This Row],[Nightfall]],12,IF(OFFSET(TblMagic[[#This Row],[Active Nightfall]],-1,0)&gt;0,OFFSET(TblMagic[[#This Row],[Active Nightfall]],-1,0)-1,0))</f>
        <v>0</v>
      </c>
      <c r="AP115" s="57">
        <f ca="1">IF(TblMagic[[#This Row],[Favorable Terrain]],12,IF(OFFSET(TblMagic[[#This Row],[Active Favorable Terrain]],-1,0)&gt;0,OFFSET(TblMagic[[#This Row],[Active Favorable Terrain]],-1,0)-1,0))</f>
        <v>0</v>
      </c>
      <c r="AQ115" s="57">
        <f ca="1">IF(TblMagic[[#This Row],[Infernal Command]],12,IF(OFFSET(TblMagic[[#This Row],[Active Infernal Command]],-1,0)&gt;0,OFFSET(TblMagic[[#This Row],[Active Infernal Command]],-1,0)-1,0))</f>
        <v>0</v>
      </c>
    </row>
    <row r="116" spans="1:43" x14ac:dyDescent="0.2">
      <c r="A116" s="137">
        <f>TblRezone[[#This Row],[Hour]]</f>
        <v>113</v>
      </c>
      <c r="B116" s="154">
        <f ca="1">TblConstr[[#This Row],[Land]]</f>
        <v>110</v>
      </c>
      <c r="C116" s="94">
        <f ca="1">TblProd[[#This Row],[Mana]]</f>
        <v>0</v>
      </c>
      <c r="D116" s="156">
        <f ca="1">MIN(1,OFFSET(TblMagic[[#This Row],[Wiz str]],-1,0)+0.04+ROUNDDOWN(10*OFFSET(TblMili[[#This Row],[WG''s]],-1,0),0)+ tech_2_7*OFFSET(TblTech[[#This Row],[2-7]],-1,0) + tech_5_6*OFFSET(TblTech[[#This Row],[5-6]],-1,0) )-TblMagic[[#This Row],[Wiz str cost]]</f>
        <v>1</v>
      </c>
      <c r="E116" s="159">
        <f ca="1">OFFSET(TblMagic[[#This Row],[Time]],-1,0)+1/24</f>
        <v>46051.666666666395</v>
      </c>
      <c r="F116" s="156">
        <f ca="1">TblImps[[#This Row],[Population]]</f>
        <v>1</v>
      </c>
      <c r="G116" s="218"/>
      <c r="H116" s="218"/>
      <c r="I116" s="218"/>
      <c r="J116" s="218"/>
      <c r="K116" s="405"/>
      <c r="L116" s="218"/>
      <c r="M116" s="218"/>
      <c r="N116" s="218"/>
      <c r="O116" s="218"/>
      <c r="P116" s="218"/>
      <c r="Q116" s="218"/>
      <c r="R116" s="218"/>
      <c r="S116" s="218"/>
      <c r="T116" s="218"/>
      <c r="U116" s="218"/>
      <c r="V116" s="218"/>
      <c r="W116" s="218"/>
      <c r="X116" s="142"/>
      <c r="Y11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6" s="156">
        <f>SUMIF(TblMagic[[#This Row],[Gaia''s Watch]:[Useless spell]],1)*0.05</f>
        <v>0</v>
      </c>
      <c r="AA116" s="142"/>
      <c r="AB116" s="57">
        <f ca="1">IF(TblMagic[[#This Row],[Gaia''s Watch]],12,IF(OFFSET(TblMagic[[#This Row],[Active Gaia''s Watch]],-1,0)&gt;0,OFFSET(TblMagic[[#This Row],[Active Gaia''s Watch]],-1,0)-1,0))</f>
        <v>0</v>
      </c>
      <c r="AC116" s="57">
        <f ca="1">IF(TblMagic[[#This Row],[Mining Strength]],12,IF(OFFSET(TblMagic[[#This Row],[Active Mining Strength]],-1,0)&gt;0,OFFSET(TblMagic[[#This Row],[Active Mining Strength]],-1,0)-1,0))</f>
        <v>0</v>
      </c>
      <c r="AD116" s="57">
        <f ca="1">IF(TblMagic[[#This Row],[Ares Call]],12,IF(OFFSET(TblMagic[[#This Row],[Active Ares Call]],-1,0)&gt;0,OFFSET(TblMagic[[#This Row],[Active Ares Call]],-1,0)-1,0))</f>
        <v>0</v>
      </c>
      <c r="AE116" s="57">
        <f ca="1">IF(TblMagic[[#This Row],[Midas Touch]],12,IF(OFFSET(TblMagic[[#This Row],[Active Midas Touch]],-1,0)&gt;0,OFFSET(TblMagic[[#This Row],[Active Midas Touch]],-1,0)-1,0))</f>
        <v>0</v>
      </c>
      <c r="AF116" s="57">
        <f ca="1">IF(TblMagic[[#This Row],[Harmony]],12,IF(OFFSET(TblMagic[[#This Row],[Active Harmony]],-1,0)&gt;0,OFFSET(TblMagic[[#This Row],[Active Harmony]],-1,0)-1,0))</f>
        <v>0</v>
      </c>
      <c r="AG116" s="57">
        <f ca="1">IF(TblMagic[[#This Row],[Miner''s Sight]],12,IF(OFFSET(TblMagic[[#This Row],[Active Miner''s Sight]],-1,0)&gt;0,OFFSET(TblMagic[[#This Row],[Active Miner''s Sight]],-1,0)-1,0))</f>
        <v>0</v>
      </c>
      <c r="AH116" s="57">
        <f ca="1">IF(TblMagic[[#This Row],[Mechanical Genius]],12,IF(OFFSET(TblMagic[[#This Row],[Active Mechanical Genius]],-1,0)&gt;0,OFFSET(TblMagic[[#This Row],[Active Mechanical Genius]],-1,0)-1,0))</f>
        <v>0</v>
      </c>
      <c r="AI116" s="57">
        <f ca="1">IF(TblMagic[[#This Row],[Death and Decay]],12,IF(OFFSET(TblMagic[[#This Row],[Active DnD]],-1,0)&gt;0,OFFSET(TblMagic[[#This Row],[Active DnD]],-1,0)-1,0))</f>
        <v>0</v>
      </c>
      <c r="AJ116" s="57">
        <f ca="1">IF(TblMagic[[#This Row],[Killing Rage / Bloodrage / Crusade]],12,IF(OFFSET(TblMagic[[#This Row],[Active Warsong / Killing Rage / Bloodrage]],-1,0)&gt;0,OFFSET(TblMagic[[#This Row],[Active Warsong / Killing Rage / Bloodrage]],-1,0)-1,0))</f>
        <v>0</v>
      </c>
      <c r="AK116" s="57">
        <f ca="1">IF(TblMagic[[#This Row],[Gaia''s Blessing]],12,IF(OFFSET(TblMagic[[#This Row],[Active Gaia''s Blessing]],-1,0)&gt;0,OFFSET(TblMagic[[#This Row],[Active Gaia''s Blessing]],-1,0)-1,0))</f>
        <v>0</v>
      </c>
      <c r="AL116" s="57">
        <f ca="1">IF(TblMagic[[#This Row],[Howling]],12,IF(OFFSET(TblMagic[[#This Row],[Active Howling]],-1,0)&gt;0,OFFSET(TblMagic[[#This Row],[Active Howling]],-1,0)-1,0))</f>
        <v>0</v>
      </c>
      <c r="AM116" s="57">
        <f ca="1">IF(TblMagic[[#This Row],[Alchemist Frost]],12,IF(OFFSET(TblMagic[[#This Row],[Active Alch Frost]],-1,0)&gt;0,OFFSET(TblMagic[[#This Row],[Active Alch Frost]],-1,0)-1,0))</f>
        <v>0</v>
      </c>
      <c r="AN116" s="57">
        <f ca="1">IF(TblMagic[[#This Row],[Alchemists Flame]],12,IF(OFFSET(TblMagic[[#This Row],[Active Alchemists Flame]],-1,0)&gt;0,OFFSET(TblMagic[[#This Row],[Active Alchemists Flame]],-1,0)-1,0))</f>
        <v>0</v>
      </c>
      <c r="AO116" s="57">
        <f ca="1">IF(TblMagic[[#This Row],[Nightfall]],12,IF(OFFSET(TblMagic[[#This Row],[Active Nightfall]],-1,0)&gt;0,OFFSET(TblMagic[[#This Row],[Active Nightfall]],-1,0)-1,0))</f>
        <v>0</v>
      </c>
      <c r="AP116" s="57">
        <f ca="1">IF(TblMagic[[#This Row],[Favorable Terrain]],12,IF(OFFSET(TblMagic[[#This Row],[Active Favorable Terrain]],-1,0)&gt;0,OFFSET(TblMagic[[#This Row],[Active Favorable Terrain]],-1,0)-1,0))</f>
        <v>0</v>
      </c>
      <c r="AQ116" s="57">
        <f ca="1">IF(TblMagic[[#This Row],[Infernal Command]],12,IF(OFFSET(TblMagic[[#This Row],[Active Infernal Command]],-1,0)&gt;0,OFFSET(TblMagic[[#This Row],[Active Infernal Command]],-1,0)-1,0))</f>
        <v>0</v>
      </c>
    </row>
    <row r="117" spans="1:43" x14ac:dyDescent="0.2">
      <c r="A117" s="137">
        <f>TblRezone[[#This Row],[Hour]]</f>
        <v>114</v>
      </c>
      <c r="B117" s="154">
        <f ca="1">TblConstr[[#This Row],[Land]]</f>
        <v>110</v>
      </c>
      <c r="C117" s="94">
        <f ca="1">TblProd[[#This Row],[Mana]]</f>
        <v>0</v>
      </c>
      <c r="D117" s="156">
        <f ca="1">MIN(1,OFFSET(TblMagic[[#This Row],[Wiz str]],-1,0)+0.04+ROUNDDOWN(10*OFFSET(TblMili[[#This Row],[WG''s]],-1,0),0)+ tech_2_7*OFFSET(TblTech[[#This Row],[2-7]],-1,0) + tech_5_6*OFFSET(TblTech[[#This Row],[5-6]],-1,0) )-TblMagic[[#This Row],[Wiz str cost]]</f>
        <v>1</v>
      </c>
      <c r="E117" s="159">
        <f ca="1">OFFSET(TblMagic[[#This Row],[Time]],-1,0)+1/24</f>
        <v>46051.708333333059</v>
      </c>
      <c r="F117" s="156">
        <f ca="1">TblImps[[#This Row],[Population]]</f>
        <v>1</v>
      </c>
      <c r="G117" s="218"/>
      <c r="H117" s="218"/>
      <c r="I117" s="218"/>
      <c r="J117" s="218"/>
      <c r="K117" s="405"/>
      <c r="L117" s="218"/>
      <c r="M117" s="218"/>
      <c r="N117" s="218"/>
      <c r="O117" s="218"/>
      <c r="P117" s="218"/>
      <c r="Q117" s="218"/>
      <c r="R117" s="218"/>
      <c r="S117" s="218"/>
      <c r="T117" s="218"/>
      <c r="U117" s="218"/>
      <c r="V117" s="218"/>
      <c r="W117" s="218"/>
      <c r="X117" s="142"/>
      <c r="Y11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7" s="156">
        <f>SUMIF(TblMagic[[#This Row],[Gaia''s Watch]:[Useless spell]],1)*0.05</f>
        <v>0</v>
      </c>
      <c r="AA117" s="142"/>
      <c r="AB117" s="57">
        <f ca="1">IF(TblMagic[[#This Row],[Gaia''s Watch]],12,IF(OFFSET(TblMagic[[#This Row],[Active Gaia''s Watch]],-1,0)&gt;0,OFFSET(TblMagic[[#This Row],[Active Gaia''s Watch]],-1,0)-1,0))</f>
        <v>0</v>
      </c>
      <c r="AC117" s="57">
        <f ca="1">IF(TblMagic[[#This Row],[Mining Strength]],12,IF(OFFSET(TblMagic[[#This Row],[Active Mining Strength]],-1,0)&gt;0,OFFSET(TblMagic[[#This Row],[Active Mining Strength]],-1,0)-1,0))</f>
        <v>0</v>
      </c>
      <c r="AD117" s="57">
        <f ca="1">IF(TblMagic[[#This Row],[Ares Call]],12,IF(OFFSET(TblMagic[[#This Row],[Active Ares Call]],-1,0)&gt;0,OFFSET(TblMagic[[#This Row],[Active Ares Call]],-1,0)-1,0))</f>
        <v>0</v>
      </c>
      <c r="AE117" s="57">
        <f ca="1">IF(TblMagic[[#This Row],[Midas Touch]],12,IF(OFFSET(TblMagic[[#This Row],[Active Midas Touch]],-1,0)&gt;0,OFFSET(TblMagic[[#This Row],[Active Midas Touch]],-1,0)-1,0))</f>
        <v>0</v>
      </c>
      <c r="AF117" s="57">
        <f ca="1">IF(TblMagic[[#This Row],[Harmony]],12,IF(OFFSET(TblMagic[[#This Row],[Active Harmony]],-1,0)&gt;0,OFFSET(TblMagic[[#This Row],[Active Harmony]],-1,0)-1,0))</f>
        <v>0</v>
      </c>
      <c r="AG117" s="57">
        <f ca="1">IF(TblMagic[[#This Row],[Miner''s Sight]],12,IF(OFFSET(TblMagic[[#This Row],[Active Miner''s Sight]],-1,0)&gt;0,OFFSET(TblMagic[[#This Row],[Active Miner''s Sight]],-1,0)-1,0))</f>
        <v>0</v>
      </c>
      <c r="AH117" s="57">
        <f ca="1">IF(TblMagic[[#This Row],[Mechanical Genius]],12,IF(OFFSET(TblMagic[[#This Row],[Active Mechanical Genius]],-1,0)&gt;0,OFFSET(TblMagic[[#This Row],[Active Mechanical Genius]],-1,0)-1,0))</f>
        <v>0</v>
      </c>
      <c r="AI117" s="57">
        <f ca="1">IF(TblMagic[[#This Row],[Death and Decay]],12,IF(OFFSET(TblMagic[[#This Row],[Active DnD]],-1,0)&gt;0,OFFSET(TblMagic[[#This Row],[Active DnD]],-1,0)-1,0))</f>
        <v>0</v>
      </c>
      <c r="AJ117" s="57">
        <f ca="1">IF(TblMagic[[#This Row],[Killing Rage / Bloodrage / Crusade]],12,IF(OFFSET(TblMagic[[#This Row],[Active Warsong / Killing Rage / Bloodrage]],-1,0)&gt;0,OFFSET(TblMagic[[#This Row],[Active Warsong / Killing Rage / Bloodrage]],-1,0)-1,0))</f>
        <v>0</v>
      </c>
      <c r="AK117" s="57">
        <f ca="1">IF(TblMagic[[#This Row],[Gaia''s Blessing]],12,IF(OFFSET(TblMagic[[#This Row],[Active Gaia''s Blessing]],-1,0)&gt;0,OFFSET(TblMagic[[#This Row],[Active Gaia''s Blessing]],-1,0)-1,0))</f>
        <v>0</v>
      </c>
      <c r="AL117" s="57">
        <f ca="1">IF(TblMagic[[#This Row],[Howling]],12,IF(OFFSET(TblMagic[[#This Row],[Active Howling]],-1,0)&gt;0,OFFSET(TblMagic[[#This Row],[Active Howling]],-1,0)-1,0))</f>
        <v>0</v>
      </c>
      <c r="AM117" s="57">
        <f ca="1">IF(TblMagic[[#This Row],[Alchemist Frost]],12,IF(OFFSET(TblMagic[[#This Row],[Active Alch Frost]],-1,0)&gt;0,OFFSET(TblMagic[[#This Row],[Active Alch Frost]],-1,0)-1,0))</f>
        <v>0</v>
      </c>
      <c r="AN117" s="57">
        <f ca="1">IF(TblMagic[[#This Row],[Alchemists Flame]],12,IF(OFFSET(TblMagic[[#This Row],[Active Alchemists Flame]],-1,0)&gt;0,OFFSET(TblMagic[[#This Row],[Active Alchemists Flame]],-1,0)-1,0))</f>
        <v>0</v>
      </c>
      <c r="AO117" s="57">
        <f ca="1">IF(TblMagic[[#This Row],[Nightfall]],12,IF(OFFSET(TblMagic[[#This Row],[Active Nightfall]],-1,0)&gt;0,OFFSET(TblMagic[[#This Row],[Active Nightfall]],-1,0)-1,0))</f>
        <v>0</v>
      </c>
      <c r="AP117" s="57">
        <f ca="1">IF(TblMagic[[#This Row],[Favorable Terrain]],12,IF(OFFSET(TblMagic[[#This Row],[Active Favorable Terrain]],-1,0)&gt;0,OFFSET(TblMagic[[#This Row],[Active Favorable Terrain]],-1,0)-1,0))</f>
        <v>0</v>
      </c>
      <c r="AQ117" s="57">
        <f ca="1">IF(TblMagic[[#This Row],[Infernal Command]],12,IF(OFFSET(TblMagic[[#This Row],[Active Infernal Command]],-1,0)&gt;0,OFFSET(TblMagic[[#This Row],[Active Infernal Command]],-1,0)-1,0))</f>
        <v>0</v>
      </c>
    </row>
    <row r="118" spans="1:43" x14ac:dyDescent="0.2">
      <c r="A118" s="137">
        <f>TblRezone[[#This Row],[Hour]]</f>
        <v>115</v>
      </c>
      <c r="B118" s="154">
        <f ca="1">TblConstr[[#This Row],[Land]]</f>
        <v>110</v>
      </c>
      <c r="C118" s="94">
        <f ca="1">TblProd[[#This Row],[Mana]]</f>
        <v>0</v>
      </c>
      <c r="D118" s="156">
        <f ca="1">MIN(1,OFFSET(TblMagic[[#This Row],[Wiz str]],-1,0)+0.04+ROUNDDOWN(10*OFFSET(TblMili[[#This Row],[WG''s]],-1,0),0)+ tech_2_7*OFFSET(TblTech[[#This Row],[2-7]],-1,0) + tech_5_6*OFFSET(TblTech[[#This Row],[5-6]],-1,0) )-TblMagic[[#This Row],[Wiz str cost]]</f>
        <v>1</v>
      </c>
      <c r="E118" s="159">
        <f ca="1">OFFSET(TblMagic[[#This Row],[Time]],-1,0)+1/24</f>
        <v>46051.749999999724</v>
      </c>
      <c r="F118" s="156">
        <f ca="1">TblImps[[#This Row],[Population]]</f>
        <v>1</v>
      </c>
      <c r="G118" s="218"/>
      <c r="H118" s="218"/>
      <c r="I118" s="218"/>
      <c r="J118" s="218"/>
      <c r="K118" s="405"/>
      <c r="L118" s="218"/>
      <c r="M118" s="218"/>
      <c r="N118" s="218"/>
      <c r="O118" s="218"/>
      <c r="P118" s="218"/>
      <c r="Q118" s="218"/>
      <c r="R118" s="218"/>
      <c r="S118" s="218"/>
      <c r="T118" s="218"/>
      <c r="U118" s="218"/>
      <c r="V118" s="218"/>
      <c r="W118" s="218"/>
      <c r="X118" s="142"/>
      <c r="Y11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8" s="156">
        <f>SUMIF(TblMagic[[#This Row],[Gaia''s Watch]:[Useless spell]],1)*0.05</f>
        <v>0</v>
      </c>
      <c r="AA118" s="142"/>
      <c r="AB118" s="57">
        <f ca="1">IF(TblMagic[[#This Row],[Gaia''s Watch]],12,IF(OFFSET(TblMagic[[#This Row],[Active Gaia''s Watch]],-1,0)&gt;0,OFFSET(TblMagic[[#This Row],[Active Gaia''s Watch]],-1,0)-1,0))</f>
        <v>0</v>
      </c>
      <c r="AC118" s="57">
        <f ca="1">IF(TblMagic[[#This Row],[Mining Strength]],12,IF(OFFSET(TblMagic[[#This Row],[Active Mining Strength]],-1,0)&gt;0,OFFSET(TblMagic[[#This Row],[Active Mining Strength]],-1,0)-1,0))</f>
        <v>0</v>
      </c>
      <c r="AD118" s="57">
        <f ca="1">IF(TblMagic[[#This Row],[Ares Call]],12,IF(OFFSET(TblMagic[[#This Row],[Active Ares Call]],-1,0)&gt;0,OFFSET(TblMagic[[#This Row],[Active Ares Call]],-1,0)-1,0))</f>
        <v>0</v>
      </c>
      <c r="AE118" s="57">
        <f ca="1">IF(TblMagic[[#This Row],[Midas Touch]],12,IF(OFFSET(TblMagic[[#This Row],[Active Midas Touch]],-1,0)&gt;0,OFFSET(TblMagic[[#This Row],[Active Midas Touch]],-1,0)-1,0))</f>
        <v>0</v>
      </c>
      <c r="AF118" s="57">
        <f ca="1">IF(TblMagic[[#This Row],[Harmony]],12,IF(OFFSET(TblMagic[[#This Row],[Active Harmony]],-1,0)&gt;0,OFFSET(TblMagic[[#This Row],[Active Harmony]],-1,0)-1,0))</f>
        <v>0</v>
      </c>
      <c r="AG118" s="57">
        <f ca="1">IF(TblMagic[[#This Row],[Miner''s Sight]],12,IF(OFFSET(TblMagic[[#This Row],[Active Miner''s Sight]],-1,0)&gt;0,OFFSET(TblMagic[[#This Row],[Active Miner''s Sight]],-1,0)-1,0))</f>
        <v>0</v>
      </c>
      <c r="AH118" s="57">
        <f ca="1">IF(TblMagic[[#This Row],[Mechanical Genius]],12,IF(OFFSET(TblMagic[[#This Row],[Active Mechanical Genius]],-1,0)&gt;0,OFFSET(TblMagic[[#This Row],[Active Mechanical Genius]],-1,0)-1,0))</f>
        <v>0</v>
      </c>
      <c r="AI118" s="57">
        <f ca="1">IF(TblMagic[[#This Row],[Death and Decay]],12,IF(OFFSET(TblMagic[[#This Row],[Active DnD]],-1,0)&gt;0,OFFSET(TblMagic[[#This Row],[Active DnD]],-1,0)-1,0))</f>
        <v>0</v>
      </c>
      <c r="AJ118" s="57">
        <f ca="1">IF(TblMagic[[#This Row],[Killing Rage / Bloodrage / Crusade]],12,IF(OFFSET(TblMagic[[#This Row],[Active Warsong / Killing Rage / Bloodrage]],-1,0)&gt;0,OFFSET(TblMagic[[#This Row],[Active Warsong / Killing Rage / Bloodrage]],-1,0)-1,0))</f>
        <v>0</v>
      </c>
      <c r="AK118" s="57">
        <f ca="1">IF(TblMagic[[#This Row],[Gaia''s Blessing]],12,IF(OFFSET(TblMagic[[#This Row],[Active Gaia''s Blessing]],-1,0)&gt;0,OFFSET(TblMagic[[#This Row],[Active Gaia''s Blessing]],-1,0)-1,0))</f>
        <v>0</v>
      </c>
      <c r="AL118" s="57">
        <f ca="1">IF(TblMagic[[#This Row],[Howling]],12,IF(OFFSET(TblMagic[[#This Row],[Active Howling]],-1,0)&gt;0,OFFSET(TblMagic[[#This Row],[Active Howling]],-1,0)-1,0))</f>
        <v>0</v>
      </c>
      <c r="AM118" s="57">
        <f ca="1">IF(TblMagic[[#This Row],[Alchemist Frost]],12,IF(OFFSET(TblMagic[[#This Row],[Active Alch Frost]],-1,0)&gt;0,OFFSET(TblMagic[[#This Row],[Active Alch Frost]],-1,0)-1,0))</f>
        <v>0</v>
      </c>
      <c r="AN118" s="57">
        <f ca="1">IF(TblMagic[[#This Row],[Alchemists Flame]],12,IF(OFFSET(TblMagic[[#This Row],[Active Alchemists Flame]],-1,0)&gt;0,OFFSET(TblMagic[[#This Row],[Active Alchemists Flame]],-1,0)-1,0))</f>
        <v>0</v>
      </c>
      <c r="AO118" s="57">
        <f ca="1">IF(TblMagic[[#This Row],[Nightfall]],12,IF(OFFSET(TblMagic[[#This Row],[Active Nightfall]],-1,0)&gt;0,OFFSET(TblMagic[[#This Row],[Active Nightfall]],-1,0)-1,0))</f>
        <v>0</v>
      </c>
      <c r="AP118" s="57">
        <f ca="1">IF(TblMagic[[#This Row],[Favorable Terrain]],12,IF(OFFSET(TblMagic[[#This Row],[Active Favorable Terrain]],-1,0)&gt;0,OFFSET(TblMagic[[#This Row],[Active Favorable Terrain]],-1,0)-1,0))</f>
        <v>0</v>
      </c>
      <c r="AQ118" s="57">
        <f ca="1">IF(TblMagic[[#This Row],[Infernal Command]],12,IF(OFFSET(TblMagic[[#This Row],[Active Infernal Command]],-1,0)&gt;0,OFFSET(TblMagic[[#This Row],[Active Infernal Command]],-1,0)-1,0))</f>
        <v>0</v>
      </c>
    </row>
    <row r="119" spans="1:43" x14ac:dyDescent="0.2">
      <c r="A119" s="137">
        <f>TblRezone[[#This Row],[Hour]]</f>
        <v>116</v>
      </c>
      <c r="B119" s="154">
        <f ca="1">TblConstr[[#This Row],[Land]]</f>
        <v>110</v>
      </c>
      <c r="C119" s="94">
        <f ca="1">TblProd[[#This Row],[Mana]]</f>
        <v>0</v>
      </c>
      <c r="D119" s="156">
        <f ca="1">MIN(1,OFFSET(TblMagic[[#This Row],[Wiz str]],-1,0)+0.04+ROUNDDOWN(10*OFFSET(TblMili[[#This Row],[WG''s]],-1,0),0)+ tech_2_7*OFFSET(TblTech[[#This Row],[2-7]],-1,0) + tech_5_6*OFFSET(TblTech[[#This Row],[5-6]],-1,0) )-TblMagic[[#This Row],[Wiz str cost]]</f>
        <v>1</v>
      </c>
      <c r="E119" s="159">
        <f ca="1">OFFSET(TblMagic[[#This Row],[Time]],-1,0)+1/24</f>
        <v>46051.791666666388</v>
      </c>
      <c r="F119" s="156">
        <f ca="1">TblImps[[#This Row],[Population]]</f>
        <v>1</v>
      </c>
      <c r="G119" s="218"/>
      <c r="H119" s="218"/>
      <c r="I119" s="218"/>
      <c r="J119" s="218"/>
      <c r="K119" s="405"/>
      <c r="L119" s="218"/>
      <c r="M119" s="218"/>
      <c r="N119" s="218"/>
      <c r="O119" s="218"/>
      <c r="P119" s="218"/>
      <c r="Q119" s="218"/>
      <c r="R119" s="218"/>
      <c r="S119" s="218"/>
      <c r="T119" s="218"/>
      <c r="U119" s="218"/>
      <c r="V119" s="218"/>
      <c r="W119" s="218"/>
      <c r="X119" s="142"/>
      <c r="Y11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19" s="156">
        <f>SUMIF(TblMagic[[#This Row],[Gaia''s Watch]:[Useless spell]],1)*0.05</f>
        <v>0</v>
      </c>
      <c r="AA119" s="142"/>
      <c r="AB119" s="57">
        <f ca="1">IF(TblMagic[[#This Row],[Gaia''s Watch]],12,IF(OFFSET(TblMagic[[#This Row],[Active Gaia''s Watch]],-1,0)&gt;0,OFFSET(TblMagic[[#This Row],[Active Gaia''s Watch]],-1,0)-1,0))</f>
        <v>0</v>
      </c>
      <c r="AC119" s="57">
        <f ca="1">IF(TblMagic[[#This Row],[Mining Strength]],12,IF(OFFSET(TblMagic[[#This Row],[Active Mining Strength]],-1,0)&gt;0,OFFSET(TblMagic[[#This Row],[Active Mining Strength]],-1,0)-1,0))</f>
        <v>0</v>
      </c>
      <c r="AD119" s="57">
        <f ca="1">IF(TblMagic[[#This Row],[Ares Call]],12,IF(OFFSET(TblMagic[[#This Row],[Active Ares Call]],-1,0)&gt;0,OFFSET(TblMagic[[#This Row],[Active Ares Call]],-1,0)-1,0))</f>
        <v>0</v>
      </c>
      <c r="AE119" s="57">
        <f ca="1">IF(TblMagic[[#This Row],[Midas Touch]],12,IF(OFFSET(TblMagic[[#This Row],[Active Midas Touch]],-1,0)&gt;0,OFFSET(TblMagic[[#This Row],[Active Midas Touch]],-1,0)-1,0))</f>
        <v>0</v>
      </c>
      <c r="AF119" s="57">
        <f ca="1">IF(TblMagic[[#This Row],[Harmony]],12,IF(OFFSET(TblMagic[[#This Row],[Active Harmony]],-1,0)&gt;0,OFFSET(TblMagic[[#This Row],[Active Harmony]],-1,0)-1,0))</f>
        <v>0</v>
      </c>
      <c r="AG119" s="57">
        <f ca="1">IF(TblMagic[[#This Row],[Miner''s Sight]],12,IF(OFFSET(TblMagic[[#This Row],[Active Miner''s Sight]],-1,0)&gt;0,OFFSET(TblMagic[[#This Row],[Active Miner''s Sight]],-1,0)-1,0))</f>
        <v>0</v>
      </c>
      <c r="AH119" s="57">
        <f ca="1">IF(TblMagic[[#This Row],[Mechanical Genius]],12,IF(OFFSET(TblMagic[[#This Row],[Active Mechanical Genius]],-1,0)&gt;0,OFFSET(TblMagic[[#This Row],[Active Mechanical Genius]],-1,0)-1,0))</f>
        <v>0</v>
      </c>
      <c r="AI119" s="57">
        <f ca="1">IF(TblMagic[[#This Row],[Death and Decay]],12,IF(OFFSET(TblMagic[[#This Row],[Active DnD]],-1,0)&gt;0,OFFSET(TblMagic[[#This Row],[Active DnD]],-1,0)-1,0))</f>
        <v>0</v>
      </c>
      <c r="AJ119" s="57">
        <f ca="1">IF(TblMagic[[#This Row],[Killing Rage / Bloodrage / Crusade]],12,IF(OFFSET(TblMagic[[#This Row],[Active Warsong / Killing Rage / Bloodrage]],-1,0)&gt;0,OFFSET(TblMagic[[#This Row],[Active Warsong / Killing Rage / Bloodrage]],-1,0)-1,0))</f>
        <v>0</v>
      </c>
      <c r="AK119" s="57">
        <f ca="1">IF(TblMagic[[#This Row],[Gaia''s Blessing]],12,IF(OFFSET(TblMagic[[#This Row],[Active Gaia''s Blessing]],-1,0)&gt;0,OFFSET(TblMagic[[#This Row],[Active Gaia''s Blessing]],-1,0)-1,0))</f>
        <v>0</v>
      </c>
      <c r="AL119" s="57">
        <f ca="1">IF(TblMagic[[#This Row],[Howling]],12,IF(OFFSET(TblMagic[[#This Row],[Active Howling]],-1,0)&gt;0,OFFSET(TblMagic[[#This Row],[Active Howling]],-1,0)-1,0))</f>
        <v>0</v>
      </c>
      <c r="AM119" s="57">
        <f ca="1">IF(TblMagic[[#This Row],[Alchemist Frost]],12,IF(OFFSET(TblMagic[[#This Row],[Active Alch Frost]],-1,0)&gt;0,OFFSET(TblMagic[[#This Row],[Active Alch Frost]],-1,0)-1,0))</f>
        <v>0</v>
      </c>
      <c r="AN119" s="57">
        <f ca="1">IF(TblMagic[[#This Row],[Alchemists Flame]],12,IF(OFFSET(TblMagic[[#This Row],[Active Alchemists Flame]],-1,0)&gt;0,OFFSET(TblMagic[[#This Row],[Active Alchemists Flame]],-1,0)-1,0))</f>
        <v>0</v>
      </c>
      <c r="AO119" s="57">
        <f ca="1">IF(TblMagic[[#This Row],[Nightfall]],12,IF(OFFSET(TblMagic[[#This Row],[Active Nightfall]],-1,0)&gt;0,OFFSET(TblMagic[[#This Row],[Active Nightfall]],-1,0)-1,0))</f>
        <v>0</v>
      </c>
      <c r="AP119" s="57">
        <f ca="1">IF(TblMagic[[#This Row],[Favorable Terrain]],12,IF(OFFSET(TblMagic[[#This Row],[Active Favorable Terrain]],-1,0)&gt;0,OFFSET(TblMagic[[#This Row],[Active Favorable Terrain]],-1,0)-1,0))</f>
        <v>0</v>
      </c>
      <c r="AQ119" s="57">
        <f ca="1">IF(TblMagic[[#This Row],[Infernal Command]],12,IF(OFFSET(TblMagic[[#This Row],[Active Infernal Command]],-1,0)&gt;0,OFFSET(TblMagic[[#This Row],[Active Infernal Command]],-1,0)-1,0))</f>
        <v>0</v>
      </c>
    </row>
    <row r="120" spans="1:43" x14ac:dyDescent="0.2">
      <c r="A120" s="137">
        <f>TblRezone[[#This Row],[Hour]]</f>
        <v>117</v>
      </c>
      <c r="B120" s="154">
        <f ca="1">TblConstr[[#This Row],[Land]]</f>
        <v>110</v>
      </c>
      <c r="C120" s="94">
        <f ca="1">TblProd[[#This Row],[Mana]]</f>
        <v>0</v>
      </c>
      <c r="D120" s="156">
        <f ca="1">MIN(1,OFFSET(TblMagic[[#This Row],[Wiz str]],-1,0)+0.04+ROUNDDOWN(10*OFFSET(TblMili[[#This Row],[WG''s]],-1,0),0)+ tech_2_7*OFFSET(TblTech[[#This Row],[2-7]],-1,0) + tech_5_6*OFFSET(TblTech[[#This Row],[5-6]],-1,0) )-TblMagic[[#This Row],[Wiz str cost]]</f>
        <v>1</v>
      </c>
      <c r="E120" s="159">
        <f ca="1">OFFSET(TblMagic[[#This Row],[Time]],-1,0)+1/24</f>
        <v>46051.833333333052</v>
      </c>
      <c r="F120" s="156">
        <f ca="1">TblImps[[#This Row],[Population]]</f>
        <v>1</v>
      </c>
      <c r="G120" s="218"/>
      <c r="H120" s="218"/>
      <c r="I120" s="218"/>
      <c r="J120" s="218"/>
      <c r="K120" s="405"/>
      <c r="L120" s="218"/>
      <c r="M120" s="218"/>
      <c r="N120" s="218"/>
      <c r="O120" s="218"/>
      <c r="P120" s="218"/>
      <c r="Q120" s="218"/>
      <c r="R120" s="218"/>
      <c r="S120" s="218"/>
      <c r="T120" s="218"/>
      <c r="U120" s="218"/>
      <c r="V120" s="218"/>
      <c r="W120" s="218"/>
      <c r="X120" s="142"/>
      <c r="Y12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0" s="156">
        <f>SUMIF(TblMagic[[#This Row],[Gaia''s Watch]:[Useless spell]],1)*0.05</f>
        <v>0</v>
      </c>
      <c r="AA120" s="142"/>
      <c r="AB120" s="57">
        <f ca="1">IF(TblMagic[[#This Row],[Gaia''s Watch]],12,IF(OFFSET(TblMagic[[#This Row],[Active Gaia''s Watch]],-1,0)&gt;0,OFFSET(TblMagic[[#This Row],[Active Gaia''s Watch]],-1,0)-1,0))</f>
        <v>0</v>
      </c>
      <c r="AC120" s="57">
        <f ca="1">IF(TblMagic[[#This Row],[Mining Strength]],12,IF(OFFSET(TblMagic[[#This Row],[Active Mining Strength]],-1,0)&gt;0,OFFSET(TblMagic[[#This Row],[Active Mining Strength]],-1,0)-1,0))</f>
        <v>0</v>
      </c>
      <c r="AD120" s="57">
        <f ca="1">IF(TblMagic[[#This Row],[Ares Call]],12,IF(OFFSET(TblMagic[[#This Row],[Active Ares Call]],-1,0)&gt;0,OFFSET(TblMagic[[#This Row],[Active Ares Call]],-1,0)-1,0))</f>
        <v>0</v>
      </c>
      <c r="AE120" s="57">
        <f ca="1">IF(TblMagic[[#This Row],[Midas Touch]],12,IF(OFFSET(TblMagic[[#This Row],[Active Midas Touch]],-1,0)&gt;0,OFFSET(TblMagic[[#This Row],[Active Midas Touch]],-1,0)-1,0))</f>
        <v>0</v>
      </c>
      <c r="AF120" s="57">
        <f ca="1">IF(TblMagic[[#This Row],[Harmony]],12,IF(OFFSET(TblMagic[[#This Row],[Active Harmony]],-1,0)&gt;0,OFFSET(TblMagic[[#This Row],[Active Harmony]],-1,0)-1,0))</f>
        <v>0</v>
      </c>
      <c r="AG120" s="57">
        <f ca="1">IF(TblMagic[[#This Row],[Miner''s Sight]],12,IF(OFFSET(TblMagic[[#This Row],[Active Miner''s Sight]],-1,0)&gt;0,OFFSET(TblMagic[[#This Row],[Active Miner''s Sight]],-1,0)-1,0))</f>
        <v>0</v>
      </c>
      <c r="AH120" s="57">
        <f ca="1">IF(TblMagic[[#This Row],[Mechanical Genius]],12,IF(OFFSET(TblMagic[[#This Row],[Active Mechanical Genius]],-1,0)&gt;0,OFFSET(TblMagic[[#This Row],[Active Mechanical Genius]],-1,0)-1,0))</f>
        <v>0</v>
      </c>
      <c r="AI120" s="57">
        <f ca="1">IF(TblMagic[[#This Row],[Death and Decay]],12,IF(OFFSET(TblMagic[[#This Row],[Active DnD]],-1,0)&gt;0,OFFSET(TblMagic[[#This Row],[Active DnD]],-1,0)-1,0))</f>
        <v>0</v>
      </c>
      <c r="AJ120" s="57">
        <f ca="1">IF(TblMagic[[#This Row],[Killing Rage / Bloodrage / Crusade]],12,IF(OFFSET(TblMagic[[#This Row],[Active Warsong / Killing Rage / Bloodrage]],-1,0)&gt;0,OFFSET(TblMagic[[#This Row],[Active Warsong / Killing Rage / Bloodrage]],-1,0)-1,0))</f>
        <v>0</v>
      </c>
      <c r="AK120" s="57">
        <f ca="1">IF(TblMagic[[#This Row],[Gaia''s Blessing]],12,IF(OFFSET(TblMagic[[#This Row],[Active Gaia''s Blessing]],-1,0)&gt;0,OFFSET(TblMagic[[#This Row],[Active Gaia''s Blessing]],-1,0)-1,0))</f>
        <v>0</v>
      </c>
      <c r="AL120" s="57">
        <f ca="1">IF(TblMagic[[#This Row],[Howling]],12,IF(OFFSET(TblMagic[[#This Row],[Active Howling]],-1,0)&gt;0,OFFSET(TblMagic[[#This Row],[Active Howling]],-1,0)-1,0))</f>
        <v>0</v>
      </c>
      <c r="AM120" s="57">
        <f ca="1">IF(TblMagic[[#This Row],[Alchemist Frost]],12,IF(OFFSET(TblMagic[[#This Row],[Active Alch Frost]],-1,0)&gt;0,OFFSET(TblMagic[[#This Row],[Active Alch Frost]],-1,0)-1,0))</f>
        <v>0</v>
      </c>
      <c r="AN120" s="57">
        <f ca="1">IF(TblMagic[[#This Row],[Alchemists Flame]],12,IF(OFFSET(TblMagic[[#This Row],[Active Alchemists Flame]],-1,0)&gt;0,OFFSET(TblMagic[[#This Row],[Active Alchemists Flame]],-1,0)-1,0))</f>
        <v>0</v>
      </c>
      <c r="AO120" s="57">
        <f ca="1">IF(TblMagic[[#This Row],[Nightfall]],12,IF(OFFSET(TblMagic[[#This Row],[Active Nightfall]],-1,0)&gt;0,OFFSET(TblMagic[[#This Row],[Active Nightfall]],-1,0)-1,0))</f>
        <v>0</v>
      </c>
      <c r="AP120" s="57">
        <f ca="1">IF(TblMagic[[#This Row],[Favorable Terrain]],12,IF(OFFSET(TblMagic[[#This Row],[Active Favorable Terrain]],-1,0)&gt;0,OFFSET(TblMagic[[#This Row],[Active Favorable Terrain]],-1,0)-1,0))</f>
        <v>0</v>
      </c>
      <c r="AQ120" s="57">
        <f ca="1">IF(TblMagic[[#This Row],[Infernal Command]],12,IF(OFFSET(TblMagic[[#This Row],[Active Infernal Command]],-1,0)&gt;0,OFFSET(TblMagic[[#This Row],[Active Infernal Command]],-1,0)-1,0))</f>
        <v>0</v>
      </c>
    </row>
    <row r="121" spans="1:43" x14ac:dyDescent="0.2">
      <c r="A121" s="137">
        <f>TblRezone[[#This Row],[Hour]]</f>
        <v>118</v>
      </c>
      <c r="B121" s="154">
        <f ca="1">TblConstr[[#This Row],[Land]]</f>
        <v>110</v>
      </c>
      <c r="C121" s="94">
        <f ca="1">TblProd[[#This Row],[Mana]]</f>
        <v>0</v>
      </c>
      <c r="D121" s="156">
        <f ca="1">MIN(1,OFFSET(TblMagic[[#This Row],[Wiz str]],-1,0)+0.04+ROUNDDOWN(10*OFFSET(TblMili[[#This Row],[WG''s]],-1,0),0)+ tech_2_7*OFFSET(TblTech[[#This Row],[2-7]],-1,0) + tech_5_6*OFFSET(TblTech[[#This Row],[5-6]],-1,0) )-TblMagic[[#This Row],[Wiz str cost]]</f>
        <v>1</v>
      </c>
      <c r="E121" s="159">
        <f ca="1">OFFSET(TblMagic[[#This Row],[Time]],-1,0)+1/24</f>
        <v>46051.874999999716</v>
      </c>
      <c r="F121" s="156">
        <f ca="1">TblImps[[#This Row],[Population]]</f>
        <v>1</v>
      </c>
      <c r="G121" s="218"/>
      <c r="H121" s="218"/>
      <c r="I121" s="218"/>
      <c r="J121" s="218"/>
      <c r="K121" s="405"/>
      <c r="L121" s="218"/>
      <c r="M121" s="218"/>
      <c r="N121" s="218"/>
      <c r="O121" s="218"/>
      <c r="P121" s="218"/>
      <c r="Q121" s="218"/>
      <c r="R121" s="218"/>
      <c r="S121" s="218"/>
      <c r="T121" s="218"/>
      <c r="U121" s="218"/>
      <c r="V121" s="218"/>
      <c r="W121" s="218"/>
      <c r="X121" s="142"/>
      <c r="Y12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1" s="156">
        <f>SUMIF(TblMagic[[#This Row],[Gaia''s Watch]:[Useless spell]],1)*0.05</f>
        <v>0</v>
      </c>
      <c r="AA121" s="142"/>
      <c r="AB121" s="57">
        <f ca="1">IF(TblMagic[[#This Row],[Gaia''s Watch]],12,IF(OFFSET(TblMagic[[#This Row],[Active Gaia''s Watch]],-1,0)&gt;0,OFFSET(TblMagic[[#This Row],[Active Gaia''s Watch]],-1,0)-1,0))</f>
        <v>0</v>
      </c>
      <c r="AC121" s="57">
        <f ca="1">IF(TblMagic[[#This Row],[Mining Strength]],12,IF(OFFSET(TblMagic[[#This Row],[Active Mining Strength]],-1,0)&gt;0,OFFSET(TblMagic[[#This Row],[Active Mining Strength]],-1,0)-1,0))</f>
        <v>0</v>
      </c>
      <c r="AD121" s="57">
        <f ca="1">IF(TblMagic[[#This Row],[Ares Call]],12,IF(OFFSET(TblMagic[[#This Row],[Active Ares Call]],-1,0)&gt;0,OFFSET(TblMagic[[#This Row],[Active Ares Call]],-1,0)-1,0))</f>
        <v>0</v>
      </c>
      <c r="AE121" s="57">
        <f ca="1">IF(TblMagic[[#This Row],[Midas Touch]],12,IF(OFFSET(TblMagic[[#This Row],[Active Midas Touch]],-1,0)&gt;0,OFFSET(TblMagic[[#This Row],[Active Midas Touch]],-1,0)-1,0))</f>
        <v>0</v>
      </c>
      <c r="AF121" s="57">
        <f ca="1">IF(TblMagic[[#This Row],[Harmony]],12,IF(OFFSET(TblMagic[[#This Row],[Active Harmony]],-1,0)&gt;0,OFFSET(TblMagic[[#This Row],[Active Harmony]],-1,0)-1,0))</f>
        <v>0</v>
      </c>
      <c r="AG121" s="57">
        <f ca="1">IF(TblMagic[[#This Row],[Miner''s Sight]],12,IF(OFFSET(TblMagic[[#This Row],[Active Miner''s Sight]],-1,0)&gt;0,OFFSET(TblMagic[[#This Row],[Active Miner''s Sight]],-1,0)-1,0))</f>
        <v>0</v>
      </c>
      <c r="AH121" s="57">
        <f ca="1">IF(TblMagic[[#This Row],[Mechanical Genius]],12,IF(OFFSET(TblMagic[[#This Row],[Active Mechanical Genius]],-1,0)&gt;0,OFFSET(TblMagic[[#This Row],[Active Mechanical Genius]],-1,0)-1,0))</f>
        <v>0</v>
      </c>
      <c r="AI121" s="57">
        <f ca="1">IF(TblMagic[[#This Row],[Death and Decay]],12,IF(OFFSET(TblMagic[[#This Row],[Active DnD]],-1,0)&gt;0,OFFSET(TblMagic[[#This Row],[Active DnD]],-1,0)-1,0))</f>
        <v>0</v>
      </c>
      <c r="AJ121" s="57">
        <f ca="1">IF(TblMagic[[#This Row],[Killing Rage / Bloodrage / Crusade]],12,IF(OFFSET(TblMagic[[#This Row],[Active Warsong / Killing Rage / Bloodrage]],-1,0)&gt;0,OFFSET(TblMagic[[#This Row],[Active Warsong / Killing Rage / Bloodrage]],-1,0)-1,0))</f>
        <v>0</v>
      </c>
      <c r="AK121" s="57">
        <f ca="1">IF(TblMagic[[#This Row],[Gaia''s Blessing]],12,IF(OFFSET(TblMagic[[#This Row],[Active Gaia''s Blessing]],-1,0)&gt;0,OFFSET(TblMagic[[#This Row],[Active Gaia''s Blessing]],-1,0)-1,0))</f>
        <v>0</v>
      </c>
      <c r="AL121" s="57">
        <f ca="1">IF(TblMagic[[#This Row],[Howling]],12,IF(OFFSET(TblMagic[[#This Row],[Active Howling]],-1,0)&gt;0,OFFSET(TblMagic[[#This Row],[Active Howling]],-1,0)-1,0))</f>
        <v>0</v>
      </c>
      <c r="AM121" s="57">
        <f ca="1">IF(TblMagic[[#This Row],[Alchemist Frost]],12,IF(OFFSET(TblMagic[[#This Row],[Active Alch Frost]],-1,0)&gt;0,OFFSET(TblMagic[[#This Row],[Active Alch Frost]],-1,0)-1,0))</f>
        <v>0</v>
      </c>
      <c r="AN121" s="57">
        <f ca="1">IF(TblMagic[[#This Row],[Alchemists Flame]],12,IF(OFFSET(TblMagic[[#This Row],[Active Alchemists Flame]],-1,0)&gt;0,OFFSET(TblMagic[[#This Row],[Active Alchemists Flame]],-1,0)-1,0))</f>
        <v>0</v>
      </c>
      <c r="AO121" s="57">
        <f ca="1">IF(TblMagic[[#This Row],[Nightfall]],12,IF(OFFSET(TblMagic[[#This Row],[Active Nightfall]],-1,0)&gt;0,OFFSET(TblMagic[[#This Row],[Active Nightfall]],-1,0)-1,0))</f>
        <v>0</v>
      </c>
      <c r="AP121" s="57">
        <f ca="1">IF(TblMagic[[#This Row],[Favorable Terrain]],12,IF(OFFSET(TblMagic[[#This Row],[Active Favorable Terrain]],-1,0)&gt;0,OFFSET(TblMagic[[#This Row],[Active Favorable Terrain]],-1,0)-1,0))</f>
        <v>0</v>
      </c>
      <c r="AQ121" s="57">
        <f ca="1">IF(TblMagic[[#This Row],[Infernal Command]],12,IF(OFFSET(TblMagic[[#This Row],[Active Infernal Command]],-1,0)&gt;0,OFFSET(TblMagic[[#This Row],[Active Infernal Command]],-1,0)-1,0))</f>
        <v>0</v>
      </c>
    </row>
    <row r="122" spans="1:43" x14ac:dyDescent="0.2">
      <c r="A122" s="137">
        <f>TblRezone[[#This Row],[Hour]]</f>
        <v>119</v>
      </c>
      <c r="B122" s="154">
        <f ca="1">TblConstr[[#This Row],[Land]]</f>
        <v>110</v>
      </c>
      <c r="C122" s="94">
        <f ca="1">TblProd[[#This Row],[Mana]]</f>
        <v>0</v>
      </c>
      <c r="D122" s="156">
        <f ca="1">MIN(1,OFFSET(TblMagic[[#This Row],[Wiz str]],-1,0)+0.04+ROUNDDOWN(10*OFFSET(TblMili[[#This Row],[WG''s]],-1,0),0)+ tech_2_7*OFFSET(TblTech[[#This Row],[2-7]],-1,0) + tech_5_6*OFFSET(TblTech[[#This Row],[5-6]],-1,0) )-TblMagic[[#This Row],[Wiz str cost]]</f>
        <v>1</v>
      </c>
      <c r="E122" s="159">
        <f ca="1">OFFSET(TblMagic[[#This Row],[Time]],-1,0)+1/24</f>
        <v>46051.91666666638</v>
      </c>
      <c r="F122" s="156">
        <f ca="1">TblImps[[#This Row],[Population]]</f>
        <v>1</v>
      </c>
      <c r="G122" s="218"/>
      <c r="H122" s="218"/>
      <c r="I122" s="218"/>
      <c r="J122" s="218"/>
      <c r="K122" s="405"/>
      <c r="L122" s="218"/>
      <c r="M122" s="218"/>
      <c r="N122" s="218"/>
      <c r="O122" s="218"/>
      <c r="P122" s="218"/>
      <c r="Q122" s="218"/>
      <c r="R122" s="218"/>
      <c r="S122" s="218"/>
      <c r="T122" s="218"/>
      <c r="U122" s="218"/>
      <c r="V122" s="218"/>
      <c r="W122" s="218"/>
      <c r="X122" s="142"/>
      <c r="Y12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2" s="156">
        <f>SUMIF(TblMagic[[#This Row],[Gaia''s Watch]:[Useless spell]],1)*0.05</f>
        <v>0</v>
      </c>
      <c r="AA122" s="142"/>
      <c r="AB122" s="57">
        <f ca="1">IF(TblMagic[[#This Row],[Gaia''s Watch]],12,IF(OFFSET(TblMagic[[#This Row],[Active Gaia''s Watch]],-1,0)&gt;0,OFFSET(TblMagic[[#This Row],[Active Gaia''s Watch]],-1,0)-1,0))</f>
        <v>0</v>
      </c>
      <c r="AC122" s="57">
        <f ca="1">IF(TblMagic[[#This Row],[Mining Strength]],12,IF(OFFSET(TblMagic[[#This Row],[Active Mining Strength]],-1,0)&gt;0,OFFSET(TblMagic[[#This Row],[Active Mining Strength]],-1,0)-1,0))</f>
        <v>0</v>
      </c>
      <c r="AD122" s="57">
        <f ca="1">IF(TblMagic[[#This Row],[Ares Call]],12,IF(OFFSET(TblMagic[[#This Row],[Active Ares Call]],-1,0)&gt;0,OFFSET(TblMagic[[#This Row],[Active Ares Call]],-1,0)-1,0))</f>
        <v>0</v>
      </c>
      <c r="AE122" s="57">
        <f ca="1">IF(TblMagic[[#This Row],[Midas Touch]],12,IF(OFFSET(TblMagic[[#This Row],[Active Midas Touch]],-1,0)&gt;0,OFFSET(TblMagic[[#This Row],[Active Midas Touch]],-1,0)-1,0))</f>
        <v>0</v>
      </c>
      <c r="AF122" s="57">
        <f ca="1">IF(TblMagic[[#This Row],[Harmony]],12,IF(OFFSET(TblMagic[[#This Row],[Active Harmony]],-1,0)&gt;0,OFFSET(TblMagic[[#This Row],[Active Harmony]],-1,0)-1,0))</f>
        <v>0</v>
      </c>
      <c r="AG122" s="57">
        <f ca="1">IF(TblMagic[[#This Row],[Miner''s Sight]],12,IF(OFFSET(TblMagic[[#This Row],[Active Miner''s Sight]],-1,0)&gt;0,OFFSET(TblMagic[[#This Row],[Active Miner''s Sight]],-1,0)-1,0))</f>
        <v>0</v>
      </c>
      <c r="AH122" s="57">
        <f ca="1">IF(TblMagic[[#This Row],[Mechanical Genius]],12,IF(OFFSET(TblMagic[[#This Row],[Active Mechanical Genius]],-1,0)&gt;0,OFFSET(TblMagic[[#This Row],[Active Mechanical Genius]],-1,0)-1,0))</f>
        <v>0</v>
      </c>
      <c r="AI122" s="57">
        <f ca="1">IF(TblMagic[[#This Row],[Death and Decay]],12,IF(OFFSET(TblMagic[[#This Row],[Active DnD]],-1,0)&gt;0,OFFSET(TblMagic[[#This Row],[Active DnD]],-1,0)-1,0))</f>
        <v>0</v>
      </c>
      <c r="AJ122" s="57">
        <f ca="1">IF(TblMagic[[#This Row],[Killing Rage / Bloodrage / Crusade]],12,IF(OFFSET(TblMagic[[#This Row],[Active Warsong / Killing Rage / Bloodrage]],-1,0)&gt;0,OFFSET(TblMagic[[#This Row],[Active Warsong / Killing Rage / Bloodrage]],-1,0)-1,0))</f>
        <v>0</v>
      </c>
      <c r="AK122" s="57">
        <f ca="1">IF(TblMagic[[#This Row],[Gaia''s Blessing]],12,IF(OFFSET(TblMagic[[#This Row],[Active Gaia''s Blessing]],-1,0)&gt;0,OFFSET(TblMagic[[#This Row],[Active Gaia''s Blessing]],-1,0)-1,0))</f>
        <v>0</v>
      </c>
      <c r="AL122" s="57">
        <f ca="1">IF(TblMagic[[#This Row],[Howling]],12,IF(OFFSET(TblMagic[[#This Row],[Active Howling]],-1,0)&gt;0,OFFSET(TblMagic[[#This Row],[Active Howling]],-1,0)-1,0))</f>
        <v>0</v>
      </c>
      <c r="AM122" s="57">
        <f ca="1">IF(TblMagic[[#This Row],[Alchemist Frost]],12,IF(OFFSET(TblMagic[[#This Row],[Active Alch Frost]],-1,0)&gt;0,OFFSET(TblMagic[[#This Row],[Active Alch Frost]],-1,0)-1,0))</f>
        <v>0</v>
      </c>
      <c r="AN122" s="57">
        <f ca="1">IF(TblMagic[[#This Row],[Alchemists Flame]],12,IF(OFFSET(TblMagic[[#This Row],[Active Alchemists Flame]],-1,0)&gt;0,OFFSET(TblMagic[[#This Row],[Active Alchemists Flame]],-1,0)-1,0))</f>
        <v>0</v>
      </c>
      <c r="AO122" s="57">
        <f ca="1">IF(TblMagic[[#This Row],[Nightfall]],12,IF(OFFSET(TblMagic[[#This Row],[Active Nightfall]],-1,0)&gt;0,OFFSET(TblMagic[[#This Row],[Active Nightfall]],-1,0)-1,0))</f>
        <v>0</v>
      </c>
      <c r="AP122" s="57">
        <f ca="1">IF(TblMagic[[#This Row],[Favorable Terrain]],12,IF(OFFSET(TblMagic[[#This Row],[Active Favorable Terrain]],-1,0)&gt;0,OFFSET(TblMagic[[#This Row],[Active Favorable Terrain]],-1,0)-1,0))</f>
        <v>0</v>
      </c>
      <c r="AQ122" s="57">
        <f ca="1">IF(TblMagic[[#This Row],[Infernal Command]],12,IF(OFFSET(TblMagic[[#This Row],[Active Infernal Command]],-1,0)&gt;0,OFFSET(TblMagic[[#This Row],[Active Infernal Command]],-1,0)-1,0))</f>
        <v>0</v>
      </c>
    </row>
    <row r="123" spans="1:43" x14ac:dyDescent="0.2">
      <c r="A123" s="137">
        <f>TblRezone[[#This Row],[Hour]]</f>
        <v>120</v>
      </c>
      <c r="B123" s="154">
        <f ca="1">TblConstr[[#This Row],[Land]]</f>
        <v>110</v>
      </c>
      <c r="C123" s="94">
        <f ca="1">TblProd[[#This Row],[Mana]]</f>
        <v>0</v>
      </c>
      <c r="D123" s="156">
        <f ca="1">MIN(1,OFFSET(TblMagic[[#This Row],[Wiz str]],-1,0)+0.04+ROUNDDOWN(10*OFFSET(TblMili[[#This Row],[WG''s]],-1,0),0)+ tech_2_7*OFFSET(TblTech[[#This Row],[2-7]],-1,0) + tech_5_6*OFFSET(TblTech[[#This Row],[5-6]],-1,0) )-TblMagic[[#This Row],[Wiz str cost]]</f>
        <v>1</v>
      </c>
      <c r="E123" s="159">
        <f ca="1">OFFSET(TblMagic[[#This Row],[Time]],-1,0)+1/24</f>
        <v>46051.958333333045</v>
      </c>
      <c r="F123" s="156">
        <f ca="1">TblImps[[#This Row],[Population]]</f>
        <v>1</v>
      </c>
      <c r="G123" s="218"/>
      <c r="H123" s="218"/>
      <c r="I123" s="218"/>
      <c r="J123" s="218"/>
      <c r="K123" s="405"/>
      <c r="L123" s="218"/>
      <c r="M123" s="218"/>
      <c r="N123" s="218"/>
      <c r="O123" s="218"/>
      <c r="P123" s="218"/>
      <c r="Q123" s="218"/>
      <c r="R123" s="218"/>
      <c r="S123" s="218"/>
      <c r="T123" s="218"/>
      <c r="U123" s="218"/>
      <c r="V123" s="218"/>
      <c r="W123" s="218"/>
      <c r="X123" s="142"/>
      <c r="Y12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3" s="156">
        <f>SUMIF(TblMagic[[#This Row],[Gaia''s Watch]:[Useless spell]],1)*0.05</f>
        <v>0</v>
      </c>
      <c r="AA123" s="142"/>
      <c r="AB123" s="57">
        <f ca="1">IF(TblMagic[[#This Row],[Gaia''s Watch]],12,IF(OFFSET(TblMagic[[#This Row],[Active Gaia''s Watch]],-1,0)&gt;0,OFFSET(TblMagic[[#This Row],[Active Gaia''s Watch]],-1,0)-1,0))</f>
        <v>0</v>
      </c>
      <c r="AC123" s="57">
        <f ca="1">IF(TblMagic[[#This Row],[Mining Strength]],12,IF(OFFSET(TblMagic[[#This Row],[Active Mining Strength]],-1,0)&gt;0,OFFSET(TblMagic[[#This Row],[Active Mining Strength]],-1,0)-1,0))</f>
        <v>0</v>
      </c>
      <c r="AD123" s="57">
        <f ca="1">IF(TblMagic[[#This Row],[Ares Call]],12,IF(OFFSET(TblMagic[[#This Row],[Active Ares Call]],-1,0)&gt;0,OFFSET(TblMagic[[#This Row],[Active Ares Call]],-1,0)-1,0))</f>
        <v>0</v>
      </c>
      <c r="AE123" s="57">
        <f ca="1">IF(TblMagic[[#This Row],[Midas Touch]],12,IF(OFFSET(TblMagic[[#This Row],[Active Midas Touch]],-1,0)&gt;0,OFFSET(TblMagic[[#This Row],[Active Midas Touch]],-1,0)-1,0))</f>
        <v>0</v>
      </c>
      <c r="AF123" s="57">
        <f ca="1">IF(TblMagic[[#This Row],[Harmony]],12,IF(OFFSET(TblMagic[[#This Row],[Active Harmony]],-1,0)&gt;0,OFFSET(TblMagic[[#This Row],[Active Harmony]],-1,0)-1,0))</f>
        <v>0</v>
      </c>
      <c r="AG123" s="57">
        <f ca="1">IF(TblMagic[[#This Row],[Miner''s Sight]],12,IF(OFFSET(TblMagic[[#This Row],[Active Miner''s Sight]],-1,0)&gt;0,OFFSET(TblMagic[[#This Row],[Active Miner''s Sight]],-1,0)-1,0))</f>
        <v>0</v>
      </c>
      <c r="AH123" s="57">
        <f ca="1">IF(TblMagic[[#This Row],[Mechanical Genius]],12,IF(OFFSET(TblMagic[[#This Row],[Active Mechanical Genius]],-1,0)&gt;0,OFFSET(TblMagic[[#This Row],[Active Mechanical Genius]],-1,0)-1,0))</f>
        <v>0</v>
      </c>
      <c r="AI123" s="57">
        <f ca="1">IF(TblMagic[[#This Row],[Death and Decay]],12,IF(OFFSET(TblMagic[[#This Row],[Active DnD]],-1,0)&gt;0,OFFSET(TblMagic[[#This Row],[Active DnD]],-1,0)-1,0))</f>
        <v>0</v>
      </c>
      <c r="AJ123" s="57">
        <f ca="1">IF(TblMagic[[#This Row],[Killing Rage / Bloodrage / Crusade]],12,IF(OFFSET(TblMagic[[#This Row],[Active Warsong / Killing Rage / Bloodrage]],-1,0)&gt;0,OFFSET(TblMagic[[#This Row],[Active Warsong / Killing Rage / Bloodrage]],-1,0)-1,0))</f>
        <v>0</v>
      </c>
      <c r="AK123" s="57">
        <f ca="1">IF(TblMagic[[#This Row],[Gaia''s Blessing]],12,IF(OFFSET(TblMagic[[#This Row],[Active Gaia''s Blessing]],-1,0)&gt;0,OFFSET(TblMagic[[#This Row],[Active Gaia''s Blessing]],-1,0)-1,0))</f>
        <v>0</v>
      </c>
      <c r="AL123" s="57">
        <f ca="1">IF(TblMagic[[#This Row],[Howling]],12,IF(OFFSET(TblMagic[[#This Row],[Active Howling]],-1,0)&gt;0,OFFSET(TblMagic[[#This Row],[Active Howling]],-1,0)-1,0))</f>
        <v>0</v>
      </c>
      <c r="AM123" s="57">
        <f ca="1">IF(TblMagic[[#This Row],[Alchemist Frost]],12,IF(OFFSET(TblMagic[[#This Row],[Active Alch Frost]],-1,0)&gt;0,OFFSET(TblMagic[[#This Row],[Active Alch Frost]],-1,0)-1,0))</f>
        <v>0</v>
      </c>
      <c r="AN123" s="57">
        <f ca="1">IF(TblMagic[[#This Row],[Alchemists Flame]],12,IF(OFFSET(TblMagic[[#This Row],[Active Alchemists Flame]],-1,0)&gt;0,OFFSET(TblMagic[[#This Row],[Active Alchemists Flame]],-1,0)-1,0))</f>
        <v>0</v>
      </c>
      <c r="AO123" s="57">
        <f ca="1">IF(TblMagic[[#This Row],[Nightfall]],12,IF(OFFSET(TblMagic[[#This Row],[Active Nightfall]],-1,0)&gt;0,OFFSET(TblMagic[[#This Row],[Active Nightfall]],-1,0)-1,0))</f>
        <v>0</v>
      </c>
      <c r="AP123" s="57">
        <f ca="1">IF(TblMagic[[#This Row],[Favorable Terrain]],12,IF(OFFSET(TblMagic[[#This Row],[Active Favorable Terrain]],-1,0)&gt;0,OFFSET(TblMagic[[#This Row],[Active Favorable Terrain]],-1,0)-1,0))</f>
        <v>0</v>
      </c>
      <c r="AQ123" s="57">
        <f ca="1">IF(TblMagic[[#This Row],[Infernal Command]],12,IF(OFFSET(TblMagic[[#This Row],[Active Infernal Command]],-1,0)&gt;0,OFFSET(TblMagic[[#This Row],[Active Infernal Command]],-1,0)-1,0))</f>
        <v>0</v>
      </c>
    </row>
    <row r="124" spans="1:43" x14ac:dyDescent="0.2">
      <c r="A124" s="137">
        <f>TblRezone[[#This Row],[Hour]]</f>
        <v>121</v>
      </c>
      <c r="B124" s="154">
        <f ca="1">TblConstr[[#This Row],[Land]]</f>
        <v>110</v>
      </c>
      <c r="C124" s="94">
        <f ca="1">TblProd[[#This Row],[Mana]]</f>
        <v>0</v>
      </c>
      <c r="D124" s="156">
        <f ca="1">MIN(1,OFFSET(TblMagic[[#This Row],[Wiz str]],-1,0)+0.04+ROUNDDOWN(10*OFFSET(TblMili[[#This Row],[WG''s]],-1,0),0)+ tech_2_7*OFFSET(TblTech[[#This Row],[2-7]],-1,0) + tech_5_6*OFFSET(TblTech[[#This Row],[5-6]],-1,0) )-TblMagic[[#This Row],[Wiz str cost]]</f>
        <v>1</v>
      </c>
      <c r="E124" s="159">
        <f ca="1">OFFSET(TblMagic[[#This Row],[Time]],-1,0)+1/24</f>
        <v>46051.999999999709</v>
      </c>
      <c r="F124" s="156">
        <f ca="1">TblImps[[#This Row],[Population]]</f>
        <v>1</v>
      </c>
      <c r="G124" s="218"/>
      <c r="H124" s="218"/>
      <c r="I124" s="218"/>
      <c r="J124" s="218"/>
      <c r="K124" s="405"/>
      <c r="L124" s="218"/>
      <c r="M124" s="218"/>
      <c r="N124" s="218"/>
      <c r="O124" s="218"/>
      <c r="P124" s="218"/>
      <c r="Q124" s="218"/>
      <c r="R124" s="218"/>
      <c r="S124" s="218"/>
      <c r="T124" s="218"/>
      <c r="U124" s="218"/>
      <c r="V124" s="218"/>
      <c r="W124" s="218"/>
      <c r="X124" s="142"/>
      <c r="Y12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4" s="156">
        <f>SUMIF(TblMagic[[#This Row],[Gaia''s Watch]:[Useless spell]],1)*0.05</f>
        <v>0</v>
      </c>
      <c r="AA124" s="142"/>
      <c r="AB124" s="57">
        <f ca="1">IF(TblMagic[[#This Row],[Gaia''s Watch]],12,IF(OFFSET(TblMagic[[#This Row],[Active Gaia''s Watch]],-1,0)&gt;0,OFFSET(TblMagic[[#This Row],[Active Gaia''s Watch]],-1,0)-1,0))</f>
        <v>0</v>
      </c>
      <c r="AC124" s="57">
        <f ca="1">IF(TblMagic[[#This Row],[Mining Strength]],12,IF(OFFSET(TblMagic[[#This Row],[Active Mining Strength]],-1,0)&gt;0,OFFSET(TblMagic[[#This Row],[Active Mining Strength]],-1,0)-1,0))</f>
        <v>0</v>
      </c>
      <c r="AD124" s="57">
        <f ca="1">IF(TblMagic[[#This Row],[Ares Call]],12,IF(OFFSET(TblMagic[[#This Row],[Active Ares Call]],-1,0)&gt;0,OFFSET(TblMagic[[#This Row],[Active Ares Call]],-1,0)-1,0))</f>
        <v>0</v>
      </c>
      <c r="AE124" s="57">
        <f ca="1">IF(TblMagic[[#This Row],[Midas Touch]],12,IF(OFFSET(TblMagic[[#This Row],[Active Midas Touch]],-1,0)&gt;0,OFFSET(TblMagic[[#This Row],[Active Midas Touch]],-1,0)-1,0))</f>
        <v>0</v>
      </c>
      <c r="AF124" s="57">
        <f ca="1">IF(TblMagic[[#This Row],[Harmony]],12,IF(OFFSET(TblMagic[[#This Row],[Active Harmony]],-1,0)&gt;0,OFFSET(TblMagic[[#This Row],[Active Harmony]],-1,0)-1,0))</f>
        <v>0</v>
      </c>
      <c r="AG124" s="57">
        <f ca="1">IF(TblMagic[[#This Row],[Miner''s Sight]],12,IF(OFFSET(TblMagic[[#This Row],[Active Miner''s Sight]],-1,0)&gt;0,OFFSET(TblMagic[[#This Row],[Active Miner''s Sight]],-1,0)-1,0))</f>
        <v>0</v>
      </c>
      <c r="AH124" s="57">
        <f ca="1">IF(TblMagic[[#This Row],[Mechanical Genius]],12,IF(OFFSET(TblMagic[[#This Row],[Active Mechanical Genius]],-1,0)&gt;0,OFFSET(TblMagic[[#This Row],[Active Mechanical Genius]],-1,0)-1,0))</f>
        <v>0</v>
      </c>
      <c r="AI124" s="57">
        <f ca="1">IF(TblMagic[[#This Row],[Death and Decay]],12,IF(OFFSET(TblMagic[[#This Row],[Active DnD]],-1,0)&gt;0,OFFSET(TblMagic[[#This Row],[Active DnD]],-1,0)-1,0))</f>
        <v>0</v>
      </c>
      <c r="AJ124" s="57">
        <f ca="1">IF(TblMagic[[#This Row],[Killing Rage / Bloodrage / Crusade]],12,IF(OFFSET(TblMagic[[#This Row],[Active Warsong / Killing Rage / Bloodrage]],-1,0)&gt;0,OFFSET(TblMagic[[#This Row],[Active Warsong / Killing Rage / Bloodrage]],-1,0)-1,0))</f>
        <v>0</v>
      </c>
      <c r="AK124" s="57">
        <f ca="1">IF(TblMagic[[#This Row],[Gaia''s Blessing]],12,IF(OFFSET(TblMagic[[#This Row],[Active Gaia''s Blessing]],-1,0)&gt;0,OFFSET(TblMagic[[#This Row],[Active Gaia''s Blessing]],-1,0)-1,0))</f>
        <v>0</v>
      </c>
      <c r="AL124" s="57">
        <f ca="1">IF(TblMagic[[#This Row],[Howling]],12,IF(OFFSET(TblMagic[[#This Row],[Active Howling]],-1,0)&gt;0,OFFSET(TblMagic[[#This Row],[Active Howling]],-1,0)-1,0))</f>
        <v>0</v>
      </c>
      <c r="AM124" s="57">
        <f ca="1">IF(TblMagic[[#This Row],[Alchemist Frost]],12,IF(OFFSET(TblMagic[[#This Row],[Active Alch Frost]],-1,0)&gt;0,OFFSET(TblMagic[[#This Row],[Active Alch Frost]],-1,0)-1,0))</f>
        <v>0</v>
      </c>
      <c r="AN124" s="57">
        <f ca="1">IF(TblMagic[[#This Row],[Alchemists Flame]],12,IF(OFFSET(TblMagic[[#This Row],[Active Alchemists Flame]],-1,0)&gt;0,OFFSET(TblMagic[[#This Row],[Active Alchemists Flame]],-1,0)-1,0))</f>
        <v>0</v>
      </c>
      <c r="AO124" s="57">
        <f ca="1">IF(TblMagic[[#This Row],[Nightfall]],12,IF(OFFSET(TblMagic[[#This Row],[Active Nightfall]],-1,0)&gt;0,OFFSET(TblMagic[[#This Row],[Active Nightfall]],-1,0)-1,0))</f>
        <v>0</v>
      </c>
      <c r="AP124" s="57">
        <f ca="1">IF(TblMagic[[#This Row],[Favorable Terrain]],12,IF(OFFSET(TblMagic[[#This Row],[Active Favorable Terrain]],-1,0)&gt;0,OFFSET(TblMagic[[#This Row],[Active Favorable Terrain]],-1,0)-1,0))</f>
        <v>0</v>
      </c>
      <c r="AQ124" s="57">
        <f ca="1">IF(TblMagic[[#This Row],[Infernal Command]],12,IF(OFFSET(TblMagic[[#This Row],[Active Infernal Command]],-1,0)&gt;0,OFFSET(TblMagic[[#This Row],[Active Infernal Command]],-1,0)-1,0))</f>
        <v>0</v>
      </c>
    </row>
    <row r="125" spans="1:43" x14ac:dyDescent="0.2">
      <c r="A125" s="137">
        <f>TblRezone[[#This Row],[Hour]]</f>
        <v>122</v>
      </c>
      <c r="B125" s="154">
        <f ca="1">TblConstr[[#This Row],[Land]]</f>
        <v>110</v>
      </c>
      <c r="C125" s="94">
        <f ca="1">TblProd[[#This Row],[Mana]]</f>
        <v>0</v>
      </c>
      <c r="D125" s="156">
        <f ca="1">MIN(1,OFFSET(TblMagic[[#This Row],[Wiz str]],-1,0)+0.04+ROUNDDOWN(10*OFFSET(TblMili[[#This Row],[WG''s]],-1,0),0)+ tech_2_7*OFFSET(TblTech[[#This Row],[2-7]],-1,0) + tech_5_6*OFFSET(TblTech[[#This Row],[5-6]],-1,0) )-TblMagic[[#This Row],[Wiz str cost]]</f>
        <v>1</v>
      </c>
      <c r="E125" s="159">
        <f ca="1">OFFSET(TblMagic[[#This Row],[Time]],-1,0)+1/24</f>
        <v>46052.041666666373</v>
      </c>
      <c r="F125" s="156">
        <f ca="1">TblImps[[#This Row],[Population]]</f>
        <v>1</v>
      </c>
      <c r="G125" s="218"/>
      <c r="H125" s="218"/>
      <c r="I125" s="218"/>
      <c r="J125" s="218"/>
      <c r="K125" s="405"/>
      <c r="L125" s="218"/>
      <c r="M125" s="218"/>
      <c r="N125" s="218"/>
      <c r="O125" s="218"/>
      <c r="P125" s="218"/>
      <c r="Q125" s="218"/>
      <c r="R125" s="218"/>
      <c r="S125" s="218"/>
      <c r="T125" s="218"/>
      <c r="U125" s="218"/>
      <c r="V125" s="218"/>
      <c r="W125" s="218"/>
      <c r="X125" s="142"/>
      <c r="Y12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5" s="156">
        <f>SUMIF(TblMagic[[#This Row],[Gaia''s Watch]:[Useless spell]],1)*0.05</f>
        <v>0</v>
      </c>
      <c r="AA125" s="142"/>
      <c r="AB125" s="57">
        <f ca="1">IF(TblMagic[[#This Row],[Gaia''s Watch]],12,IF(OFFSET(TblMagic[[#This Row],[Active Gaia''s Watch]],-1,0)&gt;0,OFFSET(TblMagic[[#This Row],[Active Gaia''s Watch]],-1,0)-1,0))</f>
        <v>0</v>
      </c>
      <c r="AC125" s="57">
        <f ca="1">IF(TblMagic[[#This Row],[Mining Strength]],12,IF(OFFSET(TblMagic[[#This Row],[Active Mining Strength]],-1,0)&gt;0,OFFSET(TblMagic[[#This Row],[Active Mining Strength]],-1,0)-1,0))</f>
        <v>0</v>
      </c>
      <c r="AD125" s="57">
        <f ca="1">IF(TblMagic[[#This Row],[Ares Call]],12,IF(OFFSET(TblMagic[[#This Row],[Active Ares Call]],-1,0)&gt;0,OFFSET(TblMagic[[#This Row],[Active Ares Call]],-1,0)-1,0))</f>
        <v>0</v>
      </c>
      <c r="AE125" s="57">
        <f ca="1">IF(TblMagic[[#This Row],[Midas Touch]],12,IF(OFFSET(TblMagic[[#This Row],[Active Midas Touch]],-1,0)&gt;0,OFFSET(TblMagic[[#This Row],[Active Midas Touch]],-1,0)-1,0))</f>
        <v>0</v>
      </c>
      <c r="AF125" s="57">
        <f ca="1">IF(TblMagic[[#This Row],[Harmony]],12,IF(OFFSET(TblMagic[[#This Row],[Active Harmony]],-1,0)&gt;0,OFFSET(TblMagic[[#This Row],[Active Harmony]],-1,0)-1,0))</f>
        <v>0</v>
      </c>
      <c r="AG125" s="57">
        <f ca="1">IF(TblMagic[[#This Row],[Miner''s Sight]],12,IF(OFFSET(TblMagic[[#This Row],[Active Miner''s Sight]],-1,0)&gt;0,OFFSET(TblMagic[[#This Row],[Active Miner''s Sight]],-1,0)-1,0))</f>
        <v>0</v>
      </c>
      <c r="AH125" s="57">
        <f ca="1">IF(TblMagic[[#This Row],[Mechanical Genius]],12,IF(OFFSET(TblMagic[[#This Row],[Active Mechanical Genius]],-1,0)&gt;0,OFFSET(TblMagic[[#This Row],[Active Mechanical Genius]],-1,0)-1,0))</f>
        <v>0</v>
      </c>
      <c r="AI125" s="57">
        <f ca="1">IF(TblMagic[[#This Row],[Death and Decay]],12,IF(OFFSET(TblMagic[[#This Row],[Active DnD]],-1,0)&gt;0,OFFSET(TblMagic[[#This Row],[Active DnD]],-1,0)-1,0))</f>
        <v>0</v>
      </c>
      <c r="AJ125" s="57">
        <f ca="1">IF(TblMagic[[#This Row],[Killing Rage / Bloodrage / Crusade]],12,IF(OFFSET(TblMagic[[#This Row],[Active Warsong / Killing Rage / Bloodrage]],-1,0)&gt;0,OFFSET(TblMagic[[#This Row],[Active Warsong / Killing Rage / Bloodrage]],-1,0)-1,0))</f>
        <v>0</v>
      </c>
      <c r="AK125" s="57">
        <f ca="1">IF(TblMagic[[#This Row],[Gaia''s Blessing]],12,IF(OFFSET(TblMagic[[#This Row],[Active Gaia''s Blessing]],-1,0)&gt;0,OFFSET(TblMagic[[#This Row],[Active Gaia''s Blessing]],-1,0)-1,0))</f>
        <v>0</v>
      </c>
      <c r="AL125" s="57">
        <f ca="1">IF(TblMagic[[#This Row],[Howling]],12,IF(OFFSET(TblMagic[[#This Row],[Active Howling]],-1,0)&gt;0,OFFSET(TblMagic[[#This Row],[Active Howling]],-1,0)-1,0))</f>
        <v>0</v>
      </c>
      <c r="AM125" s="57">
        <f ca="1">IF(TblMagic[[#This Row],[Alchemist Frost]],12,IF(OFFSET(TblMagic[[#This Row],[Active Alch Frost]],-1,0)&gt;0,OFFSET(TblMagic[[#This Row],[Active Alch Frost]],-1,0)-1,0))</f>
        <v>0</v>
      </c>
      <c r="AN125" s="57">
        <f ca="1">IF(TblMagic[[#This Row],[Alchemists Flame]],12,IF(OFFSET(TblMagic[[#This Row],[Active Alchemists Flame]],-1,0)&gt;0,OFFSET(TblMagic[[#This Row],[Active Alchemists Flame]],-1,0)-1,0))</f>
        <v>0</v>
      </c>
      <c r="AO125" s="57">
        <f ca="1">IF(TblMagic[[#This Row],[Nightfall]],12,IF(OFFSET(TblMagic[[#This Row],[Active Nightfall]],-1,0)&gt;0,OFFSET(TblMagic[[#This Row],[Active Nightfall]],-1,0)-1,0))</f>
        <v>0</v>
      </c>
      <c r="AP125" s="57">
        <f ca="1">IF(TblMagic[[#This Row],[Favorable Terrain]],12,IF(OFFSET(TblMagic[[#This Row],[Active Favorable Terrain]],-1,0)&gt;0,OFFSET(TblMagic[[#This Row],[Active Favorable Terrain]],-1,0)-1,0))</f>
        <v>0</v>
      </c>
      <c r="AQ125" s="57">
        <f ca="1">IF(TblMagic[[#This Row],[Infernal Command]],12,IF(OFFSET(TblMagic[[#This Row],[Active Infernal Command]],-1,0)&gt;0,OFFSET(TblMagic[[#This Row],[Active Infernal Command]],-1,0)-1,0))</f>
        <v>0</v>
      </c>
    </row>
    <row r="126" spans="1:43" x14ac:dyDescent="0.2">
      <c r="A126" s="137">
        <f>TblRezone[[#This Row],[Hour]]</f>
        <v>123</v>
      </c>
      <c r="B126" s="154">
        <f ca="1">TblConstr[[#This Row],[Land]]</f>
        <v>110</v>
      </c>
      <c r="C126" s="94">
        <f ca="1">TblProd[[#This Row],[Mana]]</f>
        <v>0</v>
      </c>
      <c r="D126" s="156">
        <f ca="1">MIN(1,OFFSET(TblMagic[[#This Row],[Wiz str]],-1,0)+0.04+ROUNDDOWN(10*OFFSET(TblMili[[#This Row],[WG''s]],-1,0),0)+ tech_2_7*OFFSET(TblTech[[#This Row],[2-7]],-1,0) + tech_5_6*OFFSET(TblTech[[#This Row],[5-6]],-1,0) )-TblMagic[[#This Row],[Wiz str cost]]</f>
        <v>1</v>
      </c>
      <c r="E126" s="159">
        <f ca="1">OFFSET(TblMagic[[#This Row],[Time]],-1,0)+1/24</f>
        <v>46052.083333333037</v>
      </c>
      <c r="F126" s="156">
        <f ca="1">TblImps[[#This Row],[Population]]</f>
        <v>1</v>
      </c>
      <c r="G126" s="218"/>
      <c r="H126" s="218"/>
      <c r="I126" s="218"/>
      <c r="J126" s="218"/>
      <c r="K126" s="405"/>
      <c r="L126" s="218"/>
      <c r="M126" s="218"/>
      <c r="N126" s="218"/>
      <c r="O126" s="218"/>
      <c r="P126" s="218"/>
      <c r="Q126" s="218"/>
      <c r="R126" s="218"/>
      <c r="S126" s="218"/>
      <c r="T126" s="218"/>
      <c r="U126" s="218"/>
      <c r="V126" s="218"/>
      <c r="W126" s="218"/>
      <c r="X126" s="142"/>
      <c r="Y12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6" s="156">
        <f>SUMIF(TblMagic[[#This Row],[Gaia''s Watch]:[Useless spell]],1)*0.05</f>
        <v>0</v>
      </c>
      <c r="AA126" s="142"/>
      <c r="AB126" s="57">
        <f ca="1">IF(TblMagic[[#This Row],[Gaia''s Watch]],12,IF(OFFSET(TblMagic[[#This Row],[Active Gaia''s Watch]],-1,0)&gt;0,OFFSET(TblMagic[[#This Row],[Active Gaia''s Watch]],-1,0)-1,0))</f>
        <v>0</v>
      </c>
      <c r="AC126" s="57">
        <f ca="1">IF(TblMagic[[#This Row],[Mining Strength]],12,IF(OFFSET(TblMagic[[#This Row],[Active Mining Strength]],-1,0)&gt;0,OFFSET(TblMagic[[#This Row],[Active Mining Strength]],-1,0)-1,0))</f>
        <v>0</v>
      </c>
      <c r="AD126" s="57">
        <f ca="1">IF(TblMagic[[#This Row],[Ares Call]],12,IF(OFFSET(TblMagic[[#This Row],[Active Ares Call]],-1,0)&gt;0,OFFSET(TblMagic[[#This Row],[Active Ares Call]],-1,0)-1,0))</f>
        <v>0</v>
      </c>
      <c r="AE126" s="57">
        <f ca="1">IF(TblMagic[[#This Row],[Midas Touch]],12,IF(OFFSET(TblMagic[[#This Row],[Active Midas Touch]],-1,0)&gt;0,OFFSET(TblMagic[[#This Row],[Active Midas Touch]],-1,0)-1,0))</f>
        <v>0</v>
      </c>
      <c r="AF126" s="57">
        <f ca="1">IF(TblMagic[[#This Row],[Harmony]],12,IF(OFFSET(TblMagic[[#This Row],[Active Harmony]],-1,0)&gt;0,OFFSET(TblMagic[[#This Row],[Active Harmony]],-1,0)-1,0))</f>
        <v>0</v>
      </c>
      <c r="AG126" s="57">
        <f ca="1">IF(TblMagic[[#This Row],[Miner''s Sight]],12,IF(OFFSET(TblMagic[[#This Row],[Active Miner''s Sight]],-1,0)&gt;0,OFFSET(TblMagic[[#This Row],[Active Miner''s Sight]],-1,0)-1,0))</f>
        <v>0</v>
      </c>
      <c r="AH126" s="57">
        <f ca="1">IF(TblMagic[[#This Row],[Mechanical Genius]],12,IF(OFFSET(TblMagic[[#This Row],[Active Mechanical Genius]],-1,0)&gt;0,OFFSET(TblMagic[[#This Row],[Active Mechanical Genius]],-1,0)-1,0))</f>
        <v>0</v>
      </c>
      <c r="AI126" s="57">
        <f ca="1">IF(TblMagic[[#This Row],[Death and Decay]],12,IF(OFFSET(TblMagic[[#This Row],[Active DnD]],-1,0)&gt;0,OFFSET(TblMagic[[#This Row],[Active DnD]],-1,0)-1,0))</f>
        <v>0</v>
      </c>
      <c r="AJ126" s="57">
        <f ca="1">IF(TblMagic[[#This Row],[Killing Rage / Bloodrage / Crusade]],12,IF(OFFSET(TblMagic[[#This Row],[Active Warsong / Killing Rage / Bloodrage]],-1,0)&gt;0,OFFSET(TblMagic[[#This Row],[Active Warsong / Killing Rage / Bloodrage]],-1,0)-1,0))</f>
        <v>0</v>
      </c>
      <c r="AK126" s="57">
        <f ca="1">IF(TblMagic[[#This Row],[Gaia''s Blessing]],12,IF(OFFSET(TblMagic[[#This Row],[Active Gaia''s Blessing]],-1,0)&gt;0,OFFSET(TblMagic[[#This Row],[Active Gaia''s Blessing]],-1,0)-1,0))</f>
        <v>0</v>
      </c>
      <c r="AL126" s="57">
        <f ca="1">IF(TblMagic[[#This Row],[Howling]],12,IF(OFFSET(TblMagic[[#This Row],[Active Howling]],-1,0)&gt;0,OFFSET(TblMagic[[#This Row],[Active Howling]],-1,0)-1,0))</f>
        <v>0</v>
      </c>
      <c r="AM126" s="57">
        <f ca="1">IF(TblMagic[[#This Row],[Alchemist Frost]],12,IF(OFFSET(TblMagic[[#This Row],[Active Alch Frost]],-1,0)&gt;0,OFFSET(TblMagic[[#This Row],[Active Alch Frost]],-1,0)-1,0))</f>
        <v>0</v>
      </c>
      <c r="AN126" s="57">
        <f ca="1">IF(TblMagic[[#This Row],[Alchemists Flame]],12,IF(OFFSET(TblMagic[[#This Row],[Active Alchemists Flame]],-1,0)&gt;0,OFFSET(TblMagic[[#This Row],[Active Alchemists Flame]],-1,0)-1,0))</f>
        <v>0</v>
      </c>
      <c r="AO126" s="57">
        <f ca="1">IF(TblMagic[[#This Row],[Nightfall]],12,IF(OFFSET(TblMagic[[#This Row],[Active Nightfall]],-1,0)&gt;0,OFFSET(TblMagic[[#This Row],[Active Nightfall]],-1,0)-1,0))</f>
        <v>0</v>
      </c>
      <c r="AP126" s="57">
        <f ca="1">IF(TblMagic[[#This Row],[Favorable Terrain]],12,IF(OFFSET(TblMagic[[#This Row],[Active Favorable Terrain]],-1,0)&gt;0,OFFSET(TblMagic[[#This Row],[Active Favorable Terrain]],-1,0)-1,0))</f>
        <v>0</v>
      </c>
      <c r="AQ126" s="57">
        <f ca="1">IF(TblMagic[[#This Row],[Infernal Command]],12,IF(OFFSET(TblMagic[[#This Row],[Active Infernal Command]],-1,0)&gt;0,OFFSET(TblMagic[[#This Row],[Active Infernal Command]],-1,0)-1,0))</f>
        <v>0</v>
      </c>
    </row>
    <row r="127" spans="1:43" x14ac:dyDescent="0.2">
      <c r="A127" s="137">
        <f>TblRezone[[#This Row],[Hour]]</f>
        <v>124</v>
      </c>
      <c r="B127" s="154">
        <f ca="1">TblConstr[[#This Row],[Land]]</f>
        <v>110</v>
      </c>
      <c r="C127" s="94">
        <f ca="1">TblProd[[#This Row],[Mana]]</f>
        <v>0</v>
      </c>
      <c r="D127" s="156">
        <f ca="1">MIN(1,OFFSET(TblMagic[[#This Row],[Wiz str]],-1,0)+0.04+ROUNDDOWN(10*OFFSET(TblMili[[#This Row],[WG''s]],-1,0),0)+ tech_2_7*OFFSET(TblTech[[#This Row],[2-7]],-1,0) + tech_5_6*OFFSET(TblTech[[#This Row],[5-6]],-1,0) )-TblMagic[[#This Row],[Wiz str cost]]</f>
        <v>1</v>
      </c>
      <c r="E127" s="159">
        <f ca="1">OFFSET(TblMagic[[#This Row],[Time]],-1,0)+1/24</f>
        <v>46052.124999999702</v>
      </c>
      <c r="F127" s="156">
        <f ca="1">TblImps[[#This Row],[Population]]</f>
        <v>1</v>
      </c>
      <c r="G127" s="218"/>
      <c r="H127" s="218"/>
      <c r="I127" s="218"/>
      <c r="J127" s="218"/>
      <c r="K127" s="405"/>
      <c r="L127" s="218"/>
      <c r="M127" s="218"/>
      <c r="N127" s="218"/>
      <c r="O127" s="218"/>
      <c r="P127" s="218"/>
      <c r="Q127" s="218"/>
      <c r="R127" s="218"/>
      <c r="S127" s="218"/>
      <c r="T127" s="218"/>
      <c r="U127" s="218"/>
      <c r="V127" s="218"/>
      <c r="W127" s="218"/>
      <c r="X127" s="142"/>
      <c r="Y127"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7" s="156">
        <f>SUMIF(TblMagic[[#This Row],[Gaia''s Watch]:[Useless spell]],1)*0.05</f>
        <v>0</v>
      </c>
      <c r="AA127" s="142"/>
      <c r="AB127" s="57">
        <f ca="1">IF(TblMagic[[#This Row],[Gaia''s Watch]],12,IF(OFFSET(TblMagic[[#This Row],[Active Gaia''s Watch]],-1,0)&gt;0,OFFSET(TblMagic[[#This Row],[Active Gaia''s Watch]],-1,0)-1,0))</f>
        <v>0</v>
      </c>
      <c r="AC127" s="57">
        <f ca="1">IF(TblMagic[[#This Row],[Mining Strength]],12,IF(OFFSET(TblMagic[[#This Row],[Active Mining Strength]],-1,0)&gt;0,OFFSET(TblMagic[[#This Row],[Active Mining Strength]],-1,0)-1,0))</f>
        <v>0</v>
      </c>
      <c r="AD127" s="57">
        <f ca="1">IF(TblMagic[[#This Row],[Ares Call]],12,IF(OFFSET(TblMagic[[#This Row],[Active Ares Call]],-1,0)&gt;0,OFFSET(TblMagic[[#This Row],[Active Ares Call]],-1,0)-1,0))</f>
        <v>0</v>
      </c>
      <c r="AE127" s="57">
        <f ca="1">IF(TblMagic[[#This Row],[Midas Touch]],12,IF(OFFSET(TblMagic[[#This Row],[Active Midas Touch]],-1,0)&gt;0,OFFSET(TblMagic[[#This Row],[Active Midas Touch]],-1,0)-1,0))</f>
        <v>0</v>
      </c>
      <c r="AF127" s="57">
        <f ca="1">IF(TblMagic[[#This Row],[Harmony]],12,IF(OFFSET(TblMagic[[#This Row],[Active Harmony]],-1,0)&gt;0,OFFSET(TblMagic[[#This Row],[Active Harmony]],-1,0)-1,0))</f>
        <v>0</v>
      </c>
      <c r="AG127" s="57">
        <f ca="1">IF(TblMagic[[#This Row],[Miner''s Sight]],12,IF(OFFSET(TblMagic[[#This Row],[Active Miner''s Sight]],-1,0)&gt;0,OFFSET(TblMagic[[#This Row],[Active Miner''s Sight]],-1,0)-1,0))</f>
        <v>0</v>
      </c>
      <c r="AH127" s="57">
        <f ca="1">IF(TblMagic[[#This Row],[Mechanical Genius]],12,IF(OFFSET(TblMagic[[#This Row],[Active Mechanical Genius]],-1,0)&gt;0,OFFSET(TblMagic[[#This Row],[Active Mechanical Genius]],-1,0)-1,0))</f>
        <v>0</v>
      </c>
      <c r="AI127" s="57">
        <f ca="1">IF(TblMagic[[#This Row],[Death and Decay]],12,IF(OFFSET(TblMagic[[#This Row],[Active DnD]],-1,0)&gt;0,OFFSET(TblMagic[[#This Row],[Active DnD]],-1,0)-1,0))</f>
        <v>0</v>
      </c>
      <c r="AJ127" s="57">
        <f ca="1">IF(TblMagic[[#This Row],[Killing Rage / Bloodrage / Crusade]],12,IF(OFFSET(TblMagic[[#This Row],[Active Warsong / Killing Rage / Bloodrage]],-1,0)&gt;0,OFFSET(TblMagic[[#This Row],[Active Warsong / Killing Rage / Bloodrage]],-1,0)-1,0))</f>
        <v>0</v>
      </c>
      <c r="AK127" s="57">
        <f ca="1">IF(TblMagic[[#This Row],[Gaia''s Blessing]],12,IF(OFFSET(TblMagic[[#This Row],[Active Gaia''s Blessing]],-1,0)&gt;0,OFFSET(TblMagic[[#This Row],[Active Gaia''s Blessing]],-1,0)-1,0))</f>
        <v>0</v>
      </c>
      <c r="AL127" s="57">
        <f ca="1">IF(TblMagic[[#This Row],[Howling]],12,IF(OFFSET(TblMagic[[#This Row],[Active Howling]],-1,0)&gt;0,OFFSET(TblMagic[[#This Row],[Active Howling]],-1,0)-1,0))</f>
        <v>0</v>
      </c>
      <c r="AM127" s="57">
        <f ca="1">IF(TblMagic[[#This Row],[Alchemist Frost]],12,IF(OFFSET(TblMagic[[#This Row],[Active Alch Frost]],-1,0)&gt;0,OFFSET(TblMagic[[#This Row],[Active Alch Frost]],-1,0)-1,0))</f>
        <v>0</v>
      </c>
      <c r="AN127" s="57">
        <f ca="1">IF(TblMagic[[#This Row],[Alchemists Flame]],12,IF(OFFSET(TblMagic[[#This Row],[Active Alchemists Flame]],-1,0)&gt;0,OFFSET(TblMagic[[#This Row],[Active Alchemists Flame]],-1,0)-1,0))</f>
        <v>0</v>
      </c>
      <c r="AO127" s="57">
        <f ca="1">IF(TblMagic[[#This Row],[Nightfall]],12,IF(OFFSET(TblMagic[[#This Row],[Active Nightfall]],-1,0)&gt;0,OFFSET(TblMagic[[#This Row],[Active Nightfall]],-1,0)-1,0))</f>
        <v>0</v>
      </c>
      <c r="AP127" s="57">
        <f ca="1">IF(TblMagic[[#This Row],[Favorable Terrain]],12,IF(OFFSET(TblMagic[[#This Row],[Active Favorable Terrain]],-1,0)&gt;0,OFFSET(TblMagic[[#This Row],[Active Favorable Terrain]],-1,0)-1,0))</f>
        <v>0</v>
      </c>
      <c r="AQ127" s="57">
        <f ca="1">IF(TblMagic[[#This Row],[Infernal Command]],12,IF(OFFSET(TblMagic[[#This Row],[Active Infernal Command]],-1,0)&gt;0,OFFSET(TblMagic[[#This Row],[Active Infernal Command]],-1,0)-1,0))</f>
        <v>0</v>
      </c>
    </row>
    <row r="128" spans="1:43" x14ac:dyDescent="0.2">
      <c r="A128" s="137">
        <f>TblRezone[[#This Row],[Hour]]</f>
        <v>125</v>
      </c>
      <c r="B128" s="154">
        <f ca="1">TblConstr[[#This Row],[Land]]</f>
        <v>110</v>
      </c>
      <c r="C128" s="94">
        <f ca="1">TblProd[[#This Row],[Mana]]</f>
        <v>0</v>
      </c>
      <c r="D128" s="156">
        <f ca="1">MIN(1,OFFSET(TblMagic[[#This Row],[Wiz str]],-1,0)+0.04+ROUNDDOWN(10*OFFSET(TblMili[[#This Row],[WG''s]],-1,0),0)+ tech_2_7*OFFSET(TblTech[[#This Row],[2-7]],-1,0) + tech_5_6*OFFSET(TblTech[[#This Row],[5-6]],-1,0) )-TblMagic[[#This Row],[Wiz str cost]]</f>
        <v>1</v>
      </c>
      <c r="E128" s="159">
        <f ca="1">OFFSET(TblMagic[[#This Row],[Time]],-1,0)+1/24</f>
        <v>46052.166666666366</v>
      </c>
      <c r="F128" s="156">
        <f ca="1">TblImps[[#This Row],[Population]]</f>
        <v>1</v>
      </c>
      <c r="G128" s="218"/>
      <c r="H128" s="218"/>
      <c r="I128" s="218"/>
      <c r="J128" s="218"/>
      <c r="K128" s="405"/>
      <c r="L128" s="218"/>
      <c r="M128" s="218"/>
      <c r="N128" s="218"/>
      <c r="O128" s="218"/>
      <c r="P128" s="218"/>
      <c r="Q128" s="218"/>
      <c r="R128" s="218"/>
      <c r="S128" s="218"/>
      <c r="T128" s="218"/>
      <c r="U128" s="218"/>
      <c r="V128" s="218"/>
      <c r="W128" s="218"/>
      <c r="X128" s="142"/>
      <c r="Y128"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8" s="156">
        <f>SUMIF(TblMagic[[#This Row],[Gaia''s Watch]:[Useless spell]],1)*0.05</f>
        <v>0</v>
      </c>
      <c r="AA128" s="142"/>
      <c r="AB128" s="57">
        <f ca="1">IF(TblMagic[[#This Row],[Gaia''s Watch]],12,IF(OFFSET(TblMagic[[#This Row],[Active Gaia''s Watch]],-1,0)&gt;0,OFFSET(TblMagic[[#This Row],[Active Gaia''s Watch]],-1,0)-1,0))</f>
        <v>0</v>
      </c>
      <c r="AC128" s="57">
        <f ca="1">IF(TblMagic[[#This Row],[Mining Strength]],12,IF(OFFSET(TblMagic[[#This Row],[Active Mining Strength]],-1,0)&gt;0,OFFSET(TblMagic[[#This Row],[Active Mining Strength]],-1,0)-1,0))</f>
        <v>0</v>
      </c>
      <c r="AD128" s="57">
        <f ca="1">IF(TblMagic[[#This Row],[Ares Call]],12,IF(OFFSET(TblMagic[[#This Row],[Active Ares Call]],-1,0)&gt;0,OFFSET(TblMagic[[#This Row],[Active Ares Call]],-1,0)-1,0))</f>
        <v>0</v>
      </c>
      <c r="AE128" s="57">
        <f ca="1">IF(TblMagic[[#This Row],[Midas Touch]],12,IF(OFFSET(TblMagic[[#This Row],[Active Midas Touch]],-1,0)&gt;0,OFFSET(TblMagic[[#This Row],[Active Midas Touch]],-1,0)-1,0))</f>
        <v>0</v>
      </c>
      <c r="AF128" s="57">
        <f ca="1">IF(TblMagic[[#This Row],[Harmony]],12,IF(OFFSET(TblMagic[[#This Row],[Active Harmony]],-1,0)&gt;0,OFFSET(TblMagic[[#This Row],[Active Harmony]],-1,0)-1,0))</f>
        <v>0</v>
      </c>
      <c r="AG128" s="57">
        <f ca="1">IF(TblMagic[[#This Row],[Miner''s Sight]],12,IF(OFFSET(TblMagic[[#This Row],[Active Miner''s Sight]],-1,0)&gt;0,OFFSET(TblMagic[[#This Row],[Active Miner''s Sight]],-1,0)-1,0))</f>
        <v>0</v>
      </c>
      <c r="AH128" s="57">
        <f ca="1">IF(TblMagic[[#This Row],[Mechanical Genius]],12,IF(OFFSET(TblMagic[[#This Row],[Active Mechanical Genius]],-1,0)&gt;0,OFFSET(TblMagic[[#This Row],[Active Mechanical Genius]],-1,0)-1,0))</f>
        <v>0</v>
      </c>
      <c r="AI128" s="57">
        <f ca="1">IF(TblMagic[[#This Row],[Death and Decay]],12,IF(OFFSET(TblMagic[[#This Row],[Active DnD]],-1,0)&gt;0,OFFSET(TblMagic[[#This Row],[Active DnD]],-1,0)-1,0))</f>
        <v>0</v>
      </c>
      <c r="AJ128" s="57">
        <f ca="1">IF(TblMagic[[#This Row],[Killing Rage / Bloodrage / Crusade]],12,IF(OFFSET(TblMagic[[#This Row],[Active Warsong / Killing Rage / Bloodrage]],-1,0)&gt;0,OFFSET(TblMagic[[#This Row],[Active Warsong / Killing Rage / Bloodrage]],-1,0)-1,0))</f>
        <v>0</v>
      </c>
      <c r="AK128" s="57">
        <f ca="1">IF(TblMagic[[#This Row],[Gaia''s Blessing]],12,IF(OFFSET(TblMagic[[#This Row],[Active Gaia''s Blessing]],-1,0)&gt;0,OFFSET(TblMagic[[#This Row],[Active Gaia''s Blessing]],-1,0)-1,0))</f>
        <v>0</v>
      </c>
      <c r="AL128" s="57">
        <f ca="1">IF(TblMagic[[#This Row],[Howling]],12,IF(OFFSET(TblMagic[[#This Row],[Active Howling]],-1,0)&gt;0,OFFSET(TblMagic[[#This Row],[Active Howling]],-1,0)-1,0))</f>
        <v>0</v>
      </c>
      <c r="AM128" s="57">
        <f ca="1">IF(TblMagic[[#This Row],[Alchemist Frost]],12,IF(OFFSET(TblMagic[[#This Row],[Active Alch Frost]],-1,0)&gt;0,OFFSET(TblMagic[[#This Row],[Active Alch Frost]],-1,0)-1,0))</f>
        <v>0</v>
      </c>
      <c r="AN128" s="57">
        <f ca="1">IF(TblMagic[[#This Row],[Alchemists Flame]],12,IF(OFFSET(TblMagic[[#This Row],[Active Alchemists Flame]],-1,0)&gt;0,OFFSET(TblMagic[[#This Row],[Active Alchemists Flame]],-1,0)-1,0))</f>
        <v>0</v>
      </c>
      <c r="AO128" s="57">
        <f ca="1">IF(TblMagic[[#This Row],[Nightfall]],12,IF(OFFSET(TblMagic[[#This Row],[Active Nightfall]],-1,0)&gt;0,OFFSET(TblMagic[[#This Row],[Active Nightfall]],-1,0)-1,0))</f>
        <v>0</v>
      </c>
      <c r="AP128" s="57">
        <f ca="1">IF(TblMagic[[#This Row],[Favorable Terrain]],12,IF(OFFSET(TblMagic[[#This Row],[Active Favorable Terrain]],-1,0)&gt;0,OFFSET(TblMagic[[#This Row],[Active Favorable Terrain]],-1,0)-1,0))</f>
        <v>0</v>
      </c>
      <c r="AQ128" s="57">
        <f ca="1">IF(TblMagic[[#This Row],[Infernal Command]],12,IF(OFFSET(TblMagic[[#This Row],[Active Infernal Command]],-1,0)&gt;0,OFFSET(TblMagic[[#This Row],[Active Infernal Command]],-1,0)-1,0))</f>
        <v>0</v>
      </c>
    </row>
    <row r="129" spans="1:43" x14ac:dyDescent="0.2">
      <c r="A129" s="137">
        <f>TblRezone[[#This Row],[Hour]]</f>
        <v>126</v>
      </c>
      <c r="B129" s="154">
        <f ca="1">TblConstr[[#This Row],[Land]]</f>
        <v>110</v>
      </c>
      <c r="C129" s="94">
        <f ca="1">TblProd[[#This Row],[Mana]]</f>
        <v>0</v>
      </c>
      <c r="D129" s="156">
        <f ca="1">MIN(1,OFFSET(TblMagic[[#This Row],[Wiz str]],-1,0)+0.04+ROUNDDOWN(10*OFFSET(TblMili[[#This Row],[WG''s]],-1,0),0)+ tech_2_7*OFFSET(TblTech[[#This Row],[2-7]],-1,0) + tech_5_6*OFFSET(TblTech[[#This Row],[5-6]],-1,0) )-TblMagic[[#This Row],[Wiz str cost]]</f>
        <v>1</v>
      </c>
      <c r="E129" s="159">
        <f ca="1">OFFSET(TblMagic[[#This Row],[Time]],-1,0)+1/24</f>
        <v>46052.20833333303</v>
      </c>
      <c r="F129" s="156">
        <f ca="1">TblImps[[#This Row],[Population]]</f>
        <v>1</v>
      </c>
      <c r="G129" s="218"/>
      <c r="H129" s="218"/>
      <c r="I129" s="218"/>
      <c r="J129" s="218"/>
      <c r="K129" s="405"/>
      <c r="L129" s="218"/>
      <c r="M129" s="218"/>
      <c r="N129" s="218"/>
      <c r="O129" s="218"/>
      <c r="P129" s="218"/>
      <c r="Q129" s="218"/>
      <c r="R129" s="218"/>
      <c r="S129" s="218"/>
      <c r="T129" s="218"/>
      <c r="U129" s="218"/>
      <c r="V129" s="218"/>
      <c r="W129" s="218"/>
      <c r="X129" s="142"/>
      <c r="Y129"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29" s="156">
        <f>SUMIF(TblMagic[[#This Row],[Gaia''s Watch]:[Useless spell]],1)*0.05</f>
        <v>0</v>
      </c>
      <c r="AA129" s="142"/>
      <c r="AB129" s="57">
        <f ca="1">IF(TblMagic[[#This Row],[Gaia''s Watch]],12,IF(OFFSET(TblMagic[[#This Row],[Active Gaia''s Watch]],-1,0)&gt;0,OFFSET(TblMagic[[#This Row],[Active Gaia''s Watch]],-1,0)-1,0))</f>
        <v>0</v>
      </c>
      <c r="AC129" s="57">
        <f ca="1">IF(TblMagic[[#This Row],[Mining Strength]],12,IF(OFFSET(TblMagic[[#This Row],[Active Mining Strength]],-1,0)&gt;0,OFFSET(TblMagic[[#This Row],[Active Mining Strength]],-1,0)-1,0))</f>
        <v>0</v>
      </c>
      <c r="AD129" s="57">
        <f ca="1">IF(TblMagic[[#This Row],[Ares Call]],12,IF(OFFSET(TblMagic[[#This Row],[Active Ares Call]],-1,0)&gt;0,OFFSET(TblMagic[[#This Row],[Active Ares Call]],-1,0)-1,0))</f>
        <v>0</v>
      </c>
      <c r="AE129" s="57">
        <f ca="1">IF(TblMagic[[#This Row],[Midas Touch]],12,IF(OFFSET(TblMagic[[#This Row],[Active Midas Touch]],-1,0)&gt;0,OFFSET(TblMagic[[#This Row],[Active Midas Touch]],-1,0)-1,0))</f>
        <v>0</v>
      </c>
      <c r="AF129" s="57">
        <f ca="1">IF(TblMagic[[#This Row],[Harmony]],12,IF(OFFSET(TblMagic[[#This Row],[Active Harmony]],-1,0)&gt;0,OFFSET(TblMagic[[#This Row],[Active Harmony]],-1,0)-1,0))</f>
        <v>0</v>
      </c>
      <c r="AG129" s="57">
        <f ca="1">IF(TblMagic[[#This Row],[Miner''s Sight]],12,IF(OFFSET(TblMagic[[#This Row],[Active Miner''s Sight]],-1,0)&gt;0,OFFSET(TblMagic[[#This Row],[Active Miner''s Sight]],-1,0)-1,0))</f>
        <v>0</v>
      </c>
      <c r="AH129" s="57">
        <f ca="1">IF(TblMagic[[#This Row],[Mechanical Genius]],12,IF(OFFSET(TblMagic[[#This Row],[Active Mechanical Genius]],-1,0)&gt;0,OFFSET(TblMagic[[#This Row],[Active Mechanical Genius]],-1,0)-1,0))</f>
        <v>0</v>
      </c>
      <c r="AI129" s="57">
        <f ca="1">IF(TblMagic[[#This Row],[Death and Decay]],12,IF(OFFSET(TblMagic[[#This Row],[Active DnD]],-1,0)&gt;0,OFFSET(TblMagic[[#This Row],[Active DnD]],-1,0)-1,0))</f>
        <v>0</v>
      </c>
      <c r="AJ129" s="57">
        <f ca="1">IF(TblMagic[[#This Row],[Killing Rage / Bloodrage / Crusade]],12,IF(OFFSET(TblMagic[[#This Row],[Active Warsong / Killing Rage / Bloodrage]],-1,0)&gt;0,OFFSET(TblMagic[[#This Row],[Active Warsong / Killing Rage / Bloodrage]],-1,0)-1,0))</f>
        <v>0</v>
      </c>
      <c r="AK129" s="57">
        <f ca="1">IF(TblMagic[[#This Row],[Gaia''s Blessing]],12,IF(OFFSET(TblMagic[[#This Row],[Active Gaia''s Blessing]],-1,0)&gt;0,OFFSET(TblMagic[[#This Row],[Active Gaia''s Blessing]],-1,0)-1,0))</f>
        <v>0</v>
      </c>
      <c r="AL129" s="57">
        <f ca="1">IF(TblMagic[[#This Row],[Howling]],12,IF(OFFSET(TblMagic[[#This Row],[Active Howling]],-1,0)&gt;0,OFFSET(TblMagic[[#This Row],[Active Howling]],-1,0)-1,0))</f>
        <v>0</v>
      </c>
      <c r="AM129" s="57">
        <f ca="1">IF(TblMagic[[#This Row],[Alchemist Frost]],12,IF(OFFSET(TblMagic[[#This Row],[Active Alch Frost]],-1,0)&gt;0,OFFSET(TblMagic[[#This Row],[Active Alch Frost]],-1,0)-1,0))</f>
        <v>0</v>
      </c>
      <c r="AN129" s="57">
        <f ca="1">IF(TblMagic[[#This Row],[Alchemists Flame]],12,IF(OFFSET(TblMagic[[#This Row],[Active Alchemists Flame]],-1,0)&gt;0,OFFSET(TblMagic[[#This Row],[Active Alchemists Flame]],-1,0)-1,0))</f>
        <v>0</v>
      </c>
      <c r="AO129" s="57">
        <f ca="1">IF(TblMagic[[#This Row],[Nightfall]],12,IF(OFFSET(TblMagic[[#This Row],[Active Nightfall]],-1,0)&gt;0,OFFSET(TblMagic[[#This Row],[Active Nightfall]],-1,0)-1,0))</f>
        <v>0</v>
      </c>
      <c r="AP129" s="57">
        <f ca="1">IF(TblMagic[[#This Row],[Favorable Terrain]],12,IF(OFFSET(TblMagic[[#This Row],[Active Favorable Terrain]],-1,0)&gt;0,OFFSET(TblMagic[[#This Row],[Active Favorable Terrain]],-1,0)-1,0))</f>
        <v>0</v>
      </c>
      <c r="AQ129" s="57">
        <f ca="1">IF(TblMagic[[#This Row],[Infernal Command]],12,IF(OFFSET(TblMagic[[#This Row],[Active Infernal Command]],-1,0)&gt;0,OFFSET(TblMagic[[#This Row],[Active Infernal Command]],-1,0)-1,0))</f>
        <v>0</v>
      </c>
    </row>
    <row r="130" spans="1:43" x14ac:dyDescent="0.2">
      <c r="A130" s="137">
        <f>TblRezone[[#This Row],[Hour]]</f>
        <v>127</v>
      </c>
      <c r="B130" s="154">
        <f ca="1">TblConstr[[#This Row],[Land]]</f>
        <v>110</v>
      </c>
      <c r="C130" s="94">
        <f ca="1">TblProd[[#This Row],[Mana]]</f>
        <v>0</v>
      </c>
      <c r="D130" s="156">
        <f ca="1">MIN(1,OFFSET(TblMagic[[#This Row],[Wiz str]],-1,0)+0.04+ROUNDDOWN(10*OFFSET(TblMili[[#This Row],[WG''s]],-1,0),0)+ tech_2_7*OFFSET(TblTech[[#This Row],[2-7]],-1,0) + tech_5_6*OFFSET(TblTech[[#This Row],[5-6]],-1,0) )-TblMagic[[#This Row],[Wiz str cost]]</f>
        <v>1</v>
      </c>
      <c r="E130" s="159">
        <f ca="1">OFFSET(TblMagic[[#This Row],[Time]],-1,0)+1/24</f>
        <v>46052.249999999694</v>
      </c>
      <c r="F130" s="156">
        <f ca="1">TblImps[[#This Row],[Population]]</f>
        <v>1</v>
      </c>
      <c r="G130" s="218"/>
      <c r="H130" s="218"/>
      <c r="I130" s="218"/>
      <c r="J130" s="218"/>
      <c r="K130" s="405"/>
      <c r="L130" s="218"/>
      <c r="M130" s="218"/>
      <c r="N130" s="218"/>
      <c r="O130" s="218"/>
      <c r="P130" s="218"/>
      <c r="Q130" s="218"/>
      <c r="R130" s="218"/>
      <c r="S130" s="218"/>
      <c r="T130" s="218"/>
      <c r="U130" s="218"/>
      <c r="V130" s="218"/>
      <c r="W130" s="218"/>
      <c r="X130" s="142"/>
      <c r="Y130"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0" s="156">
        <f>SUMIF(TblMagic[[#This Row],[Gaia''s Watch]:[Useless spell]],1)*0.05</f>
        <v>0</v>
      </c>
      <c r="AA130" s="142"/>
      <c r="AB130" s="57">
        <f ca="1">IF(TblMagic[[#This Row],[Gaia''s Watch]],12,IF(OFFSET(TblMagic[[#This Row],[Active Gaia''s Watch]],-1,0)&gt;0,OFFSET(TblMagic[[#This Row],[Active Gaia''s Watch]],-1,0)-1,0))</f>
        <v>0</v>
      </c>
      <c r="AC130" s="57">
        <f ca="1">IF(TblMagic[[#This Row],[Mining Strength]],12,IF(OFFSET(TblMagic[[#This Row],[Active Mining Strength]],-1,0)&gt;0,OFFSET(TblMagic[[#This Row],[Active Mining Strength]],-1,0)-1,0))</f>
        <v>0</v>
      </c>
      <c r="AD130" s="57">
        <f ca="1">IF(TblMagic[[#This Row],[Ares Call]],12,IF(OFFSET(TblMagic[[#This Row],[Active Ares Call]],-1,0)&gt;0,OFFSET(TblMagic[[#This Row],[Active Ares Call]],-1,0)-1,0))</f>
        <v>0</v>
      </c>
      <c r="AE130" s="57">
        <f ca="1">IF(TblMagic[[#This Row],[Midas Touch]],12,IF(OFFSET(TblMagic[[#This Row],[Active Midas Touch]],-1,0)&gt;0,OFFSET(TblMagic[[#This Row],[Active Midas Touch]],-1,0)-1,0))</f>
        <v>0</v>
      </c>
      <c r="AF130" s="57">
        <f ca="1">IF(TblMagic[[#This Row],[Harmony]],12,IF(OFFSET(TblMagic[[#This Row],[Active Harmony]],-1,0)&gt;0,OFFSET(TblMagic[[#This Row],[Active Harmony]],-1,0)-1,0))</f>
        <v>0</v>
      </c>
      <c r="AG130" s="57">
        <f ca="1">IF(TblMagic[[#This Row],[Miner''s Sight]],12,IF(OFFSET(TblMagic[[#This Row],[Active Miner''s Sight]],-1,0)&gt;0,OFFSET(TblMagic[[#This Row],[Active Miner''s Sight]],-1,0)-1,0))</f>
        <v>0</v>
      </c>
      <c r="AH130" s="57">
        <f ca="1">IF(TblMagic[[#This Row],[Mechanical Genius]],12,IF(OFFSET(TblMagic[[#This Row],[Active Mechanical Genius]],-1,0)&gt;0,OFFSET(TblMagic[[#This Row],[Active Mechanical Genius]],-1,0)-1,0))</f>
        <v>0</v>
      </c>
      <c r="AI130" s="57">
        <f ca="1">IF(TblMagic[[#This Row],[Death and Decay]],12,IF(OFFSET(TblMagic[[#This Row],[Active DnD]],-1,0)&gt;0,OFFSET(TblMagic[[#This Row],[Active DnD]],-1,0)-1,0))</f>
        <v>0</v>
      </c>
      <c r="AJ130" s="57">
        <f ca="1">IF(TblMagic[[#This Row],[Killing Rage / Bloodrage / Crusade]],12,IF(OFFSET(TblMagic[[#This Row],[Active Warsong / Killing Rage / Bloodrage]],-1,0)&gt;0,OFFSET(TblMagic[[#This Row],[Active Warsong / Killing Rage / Bloodrage]],-1,0)-1,0))</f>
        <v>0</v>
      </c>
      <c r="AK130" s="57">
        <f ca="1">IF(TblMagic[[#This Row],[Gaia''s Blessing]],12,IF(OFFSET(TblMagic[[#This Row],[Active Gaia''s Blessing]],-1,0)&gt;0,OFFSET(TblMagic[[#This Row],[Active Gaia''s Blessing]],-1,0)-1,0))</f>
        <v>0</v>
      </c>
      <c r="AL130" s="57">
        <f ca="1">IF(TblMagic[[#This Row],[Howling]],12,IF(OFFSET(TblMagic[[#This Row],[Active Howling]],-1,0)&gt;0,OFFSET(TblMagic[[#This Row],[Active Howling]],-1,0)-1,0))</f>
        <v>0</v>
      </c>
      <c r="AM130" s="57">
        <f ca="1">IF(TblMagic[[#This Row],[Alchemist Frost]],12,IF(OFFSET(TblMagic[[#This Row],[Active Alch Frost]],-1,0)&gt;0,OFFSET(TblMagic[[#This Row],[Active Alch Frost]],-1,0)-1,0))</f>
        <v>0</v>
      </c>
      <c r="AN130" s="57">
        <f ca="1">IF(TblMagic[[#This Row],[Alchemists Flame]],12,IF(OFFSET(TblMagic[[#This Row],[Active Alchemists Flame]],-1,0)&gt;0,OFFSET(TblMagic[[#This Row],[Active Alchemists Flame]],-1,0)-1,0))</f>
        <v>0</v>
      </c>
      <c r="AO130" s="57">
        <f ca="1">IF(TblMagic[[#This Row],[Nightfall]],12,IF(OFFSET(TblMagic[[#This Row],[Active Nightfall]],-1,0)&gt;0,OFFSET(TblMagic[[#This Row],[Active Nightfall]],-1,0)-1,0))</f>
        <v>0</v>
      </c>
      <c r="AP130" s="57">
        <f ca="1">IF(TblMagic[[#This Row],[Favorable Terrain]],12,IF(OFFSET(TblMagic[[#This Row],[Active Favorable Terrain]],-1,0)&gt;0,OFFSET(TblMagic[[#This Row],[Active Favorable Terrain]],-1,0)-1,0))</f>
        <v>0</v>
      </c>
      <c r="AQ130" s="57">
        <f ca="1">IF(TblMagic[[#This Row],[Infernal Command]],12,IF(OFFSET(TblMagic[[#This Row],[Active Infernal Command]],-1,0)&gt;0,OFFSET(TblMagic[[#This Row],[Active Infernal Command]],-1,0)-1,0))</f>
        <v>0</v>
      </c>
    </row>
    <row r="131" spans="1:43" x14ac:dyDescent="0.2">
      <c r="A131" s="137">
        <f>TblRezone[[#This Row],[Hour]]</f>
        <v>128</v>
      </c>
      <c r="B131" s="154">
        <f ca="1">TblConstr[[#This Row],[Land]]</f>
        <v>110</v>
      </c>
      <c r="C131" s="94">
        <f ca="1">TblProd[[#This Row],[Mana]]</f>
        <v>0</v>
      </c>
      <c r="D131" s="156">
        <f ca="1">MIN(1,OFFSET(TblMagic[[#This Row],[Wiz str]],-1,0)+0.04+ROUNDDOWN(10*OFFSET(TblMili[[#This Row],[WG''s]],-1,0),0)+ tech_2_7*OFFSET(TblTech[[#This Row],[2-7]],-1,0) + tech_5_6*OFFSET(TblTech[[#This Row],[5-6]],-1,0) )-TblMagic[[#This Row],[Wiz str cost]]</f>
        <v>1</v>
      </c>
      <c r="E131" s="159">
        <f ca="1">OFFSET(TblMagic[[#This Row],[Time]],-1,0)+1/24</f>
        <v>46052.291666666359</v>
      </c>
      <c r="F131" s="156">
        <f ca="1">TblImps[[#This Row],[Population]]</f>
        <v>1</v>
      </c>
      <c r="G131" s="218"/>
      <c r="H131" s="218"/>
      <c r="I131" s="218"/>
      <c r="J131" s="218"/>
      <c r="K131" s="405"/>
      <c r="L131" s="218"/>
      <c r="M131" s="218"/>
      <c r="N131" s="218"/>
      <c r="O131" s="218"/>
      <c r="P131" s="218"/>
      <c r="Q131" s="218"/>
      <c r="R131" s="218"/>
      <c r="S131" s="218"/>
      <c r="T131" s="218"/>
      <c r="U131" s="218"/>
      <c r="V131" s="218"/>
      <c r="W131" s="218"/>
      <c r="X131" s="142"/>
      <c r="Y131"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1" s="156">
        <f>SUMIF(TblMagic[[#This Row],[Gaia''s Watch]:[Useless spell]],1)*0.05</f>
        <v>0</v>
      </c>
      <c r="AA131" s="142"/>
      <c r="AB131" s="57">
        <f ca="1">IF(TblMagic[[#This Row],[Gaia''s Watch]],12,IF(OFFSET(TblMagic[[#This Row],[Active Gaia''s Watch]],-1,0)&gt;0,OFFSET(TblMagic[[#This Row],[Active Gaia''s Watch]],-1,0)-1,0))</f>
        <v>0</v>
      </c>
      <c r="AC131" s="57">
        <f ca="1">IF(TblMagic[[#This Row],[Mining Strength]],12,IF(OFFSET(TblMagic[[#This Row],[Active Mining Strength]],-1,0)&gt;0,OFFSET(TblMagic[[#This Row],[Active Mining Strength]],-1,0)-1,0))</f>
        <v>0</v>
      </c>
      <c r="AD131" s="57">
        <f ca="1">IF(TblMagic[[#This Row],[Ares Call]],12,IF(OFFSET(TblMagic[[#This Row],[Active Ares Call]],-1,0)&gt;0,OFFSET(TblMagic[[#This Row],[Active Ares Call]],-1,0)-1,0))</f>
        <v>0</v>
      </c>
      <c r="AE131" s="57">
        <f ca="1">IF(TblMagic[[#This Row],[Midas Touch]],12,IF(OFFSET(TblMagic[[#This Row],[Active Midas Touch]],-1,0)&gt;0,OFFSET(TblMagic[[#This Row],[Active Midas Touch]],-1,0)-1,0))</f>
        <v>0</v>
      </c>
      <c r="AF131" s="57">
        <f ca="1">IF(TblMagic[[#This Row],[Harmony]],12,IF(OFFSET(TblMagic[[#This Row],[Active Harmony]],-1,0)&gt;0,OFFSET(TblMagic[[#This Row],[Active Harmony]],-1,0)-1,0))</f>
        <v>0</v>
      </c>
      <c r="AG131" s="57">
        <f ca="1">IF(TblMagic[[#This Row],[Miner''s Sight]],12,IF(OFFSET(TblMagic[[#This Row],[Active Miner''s Sight]],-1,0)&gt;0,OFFSET(TblMagic[[#This Row],[Active Miner''s Sight]],-1,0)-1,0))</f>
        <v>0</v>
      </c>
      <c r="AH131" s="57">
        <f ca="1">IF(TblMagic[[#This Row],[Mechanical Genius]],12,IF(OFFSET(TblMagic[[#This Row],[Active Mechanical Genius]],-1,0)&gt;0,OFFSET(TblMagic[[#This Row],[Active Mechanical Genius]],-1,0)-1,0))</f>
        <v>0</v>
      </c>
      <c r="AI131" s="57">
        <f ca="1">IF(TblMagic[[#This Row],[Death and Decay]],12,IF(OFFSET(TblMagic[[#This Row],[Active DnD]],-1,0)&gt;0,OFFSET(TblMagic[[#This Row],[Active DnD]],-1,0)-1,0))</f>
        <v>0</v>
      </c>
      <c r="AJ131" s="57">
        <f ca="1">IF(TblMagic[[#This Row],[Killing Rage / Bloodrage / Crusade]],12,IF(OFFSET(TblMagic[[#This Row],[Active Warsong / Killing Rage / Bloodrage]],-1,0)&gt;0,OFFSET(TblMagic[[#This Row],[Active Warsong / Killing Rage / Bloodrage]],-1,0)-1,0))</f>
        <v>0</v>
      </c>
      <c r="AK131" s="57">
        <f ca="1">IF(TblMagic[[#This Row],[Gaia''s Blessing]],12,IF(OFFSET(TblMagic[[#This Row],[Active Gaia''s Blessing]],-1,0)&gt;0,OFFSET(TblMagic[[#This Row],[Active Gaia''s Blessing]],-1,0)-1,0))</f>
        <v>0</v>
      </c>
      <c r="AL131" s="57">
        <f ca="1">IF(TblMagic[[#This Row],[Howling]],12,IF(OFFSET(TblMagic[[#This Row],[Active Howling]],-1,0)&gt;0,OFFSET(TblMagic[[#This Row],[Active Howling]],-1,0)-1,0))</f>
        <v>0</v>
      </c>
      <c r="AM131" s="57">
        <f ca="1">IF(TblMagic[[#This Row],[Alchemist Frost]],12,IF(OFFSET(TblMagic[[#This Row],[Active Alch Frost]],-1,0)&gt;0,OFFSET(TblMagic[[#This Row],[Active Alch Frost]],-1,0)-1,0))</f>
        <v>0</v>
      </c>
      <c r="AN131" s="57">
        <f ca="1">IF(TblMagic[[#This Row],[Alchemists Flame]],12,IF(OFFSET(TblMagic[[#This Row],[Active Alchemists Flame]],-1,0)&gt;0,OFFSET(TblMagic[[#This Row],[Active Alchemists Flame]],-1,0)-1,0))</f>
        <v>0</v>
      </c>
      <c r="AO131" s="57">
        <f ca="1">IF(TblMagic[[#This Row],[Nightfall]],12,IF(OFFSET(TblMagic[[#This Row],[Active Nightfall]],-1,0)&gt;0,OFFSET(TblMagic[[#This Row],[Active Nightfall]],-1,0)-1,0))</f>
        <v>0</v>
      </c>
      <c r="AP131" s="57">
        <f ca="1">IF(TblMagic[[#This Row],[Favorable Terrain]],12,IF(OFFSET(TblMagic[[#This Row],[Active Favorable Terrain]],-1,0)&gt;0,OFFSET(TblMagic[[#This Row],[Active Favorable Terrain]],-1,0)-1,0))</f>
        <v>0</v>
      </c>
      <c r="AQ131" s="57">
        <f ca="1">IF(TblMagic[[#This Row],[Infernal Command]],12,IF(OFFSET(TblMagic[[#This Row],[Active Infernal Command]],-1,0)&gt;0,OFFSET(TblMagic[[#This Row],[Active Infernal Command]],-1,0)-1,0))</f>
        <v>0</v>
      </c>
    </row>
    <row r="132" spans="1:43" x14ac:dyDescent="0.2">
      <c r="A132" s="137">
        <f>TblRezone[[#This Row],[Hour]]</f>
        <v>129</v>
      </c>
      <c r="B132" s="154">
        <f ca="1">TblConstr[[#This Row],[Land]]</f>
        <v>110</v>
      </c>
      <c r="C132" s="94">
        <f ca="1">TblProd[[#This Row],[Mana]]</f>
        <v>0</v>
      </c>
      <c r="D132" s="156">
        <f ca="1">MIN(1,OFFSET(TblMagic[[#This Row],[Wiz str]],-1,0)+0.04+ROUNDDOWN(10*OFFSET(TblMili[[#This Row],[WG''s]],-1,0),0)+ tech_2_7*OFFSET(TblTech[[#This Row],[2-7]],-1,0) + tech_5_6*OFFSET(TblTech[[#This Row],[5-6]],-1,0) )-TblMagic[[#This Row],[Wiz str cost]]</f>
        <v>1</v>
      </c>
      <c r="E132" s="159">
        <f ca="1">OFFSET(TblMagic[[#This Row],[Time]],-1,0)+1/24</f>
        <v>46052.333333333023</v>
      </c>
      <c r="F132" s="156">
        <f ca="1">TblImps[[#This Row],[Population]]</f>
        <v>1</v>
      </c>
      <c r="G132" s="218"/>
      <c r="H132" s="218"/>
      <c r="I132" s="218"/>
      <c r="J132" s="218"/>
      <c r="K132" s="405"/>
      <c r="L132" s="218"/>
      <c r="M132" s="218"/>
      <c r="N132" s="218"/>
      <c r="O132" s="218"/>
      <c r="P132" s="218"/>
      <c r="Q132" s="218"/>
      <c r="R132" s="218"/>
      <c r="S132" s="218"/>
      <c r="T132" s="218"/>
      <c r="U132" s="218"/>
      <c r="V132" s="218"/>
      <c r="W132" s="218"/>
      <c r="X132" s="142"/>
      <c r="Y132"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2" s="156">
        <f>SUMIF(TblMagic[[#This Row],[Gaia''s Watch]:[Useless spell]],1)*0.05</f>
        <v>0</v>
      </c>
      <c r="AA132" s="142"/>
      <c r="AB132" s="57">
        <f ca="1">IF(TblMagic[[#This Row],[Gaia''s Watch]],12,IF(OFFSET(TblMagic[[#This Row],[Active Gaia''s Watch]],-1,0)&gt;0,OFFSET(TblMagic[[#This Row],[Active Gaia''s Watch]],-1,0)-1,0))</f>
        <v>0</v>
      </c>
      <c r="AC132" s="57">
        <f ca="1">IF(TblMagic[[#This Row],[Mining Strength]],12,IF(OFFSET(TblMagic[[#This Row],[Active Mining Strength]],-1,0)&gt;0,OFFSET(TblMagic[[#This Row],[Active Mining Strength]],-1,0)-1,0))</f>
        <v>0</v>
      </c>
      <c r="AD132" s="57">
        <f ca="1">IF(TblMagic[[#This Row],[Ares Call]],12,IF(OFFSET(TblMagic[[#This Row],[Active Ares Call]],-1,0)&gt;0,OFFSET(TblMagic[[#This Row],[Active Ares Call]],-1,0)-1,0))</f>
        <v>0</v>
      </c>
      <c r="AE132" s="57">
        <f ca="1">IF(TblMagic[[#This Row],[Midas Touch]],12,IF(OFFSET(TblMagic[[#This Row],[Active Midas Touch]],-1,0)&gt;0,OFFSET(TblMagic[[#This Row],[Active Midas Touch]],-1,0)-1,0))</f>
        <v>0</v>
      </c>
      <c r="AF132" s="57">
        <f ca="1">IF(TblMagic[[#This Row],[Harmony]],12,IF(OFFSET(TblMagic[[#This Row],[Active Harmony]],-1,0)&gt;0,OFFSET(TblMagic[[#This Row],[Active Harmony]],-1,0)-1,0))</f>
        <v>0</v>
      </c>
      <c r="AG132" s="57">
        <f ca="1">IF(TblMagic[[#This Row],[Miner''s Sight]],12,IF(OFFSET(TblMagic[[#This Row],[Active Miner''s Sight]],-1,0)&gt;0,OFFSET(TblMagic[[#This Row],[Active Miner''s Sight]],-1,0)-1,0))</f>
        <v>0</v>
      </c>
      <c r="AH132" s="57">
        <f ca="1">IF(TblMagic[[#This Row],[Mechanical Genius]],12,IF(OFFSET(TblMagic[[#This Row],[Active Mechanical Genius]],-1,0)&gt;0,OFFSET(TblMagic[[#This Row],[Active Mechanical Genius]],-1,0)-1,0))</f>
        <v>0</v>
      </c>
      <c r="AI132" s="57">
        <f ca="1">IF(TblMagic[[#This Row],[Death and Decay]],12,IF(OFFSET(TblMagic[[#This Row],[Active DnD]],-1,0)&gt;0,OFFSET(TblMagic[[#This Row],[Active DnD]],-1,0)-1,0))</f>
        <v>0</v>
      </c>
      <c r="AJ132" s="57">
        <f ca="1">IF(TblMagic[[#This Row],[Killing Rage / Bloodrage / Crusade]],12,IF(OFFSET(TblMagic[[#This Row],[Active Warsong / Killing Rage / Bloodrage]],-1,0)&gt;0,OFFSET(TblMagic[[#This Row],[Active Warsong / Killing Rage / Bloodrage]],-1,0)-1,0))</f>
        <v>0</v>
      </c>
      <c r="AK132" s="57">
        <f ca="1">IF(TblMagic[[#This Row],[Gaia''s Blessing]],12,IF(OFFSET(TblMagic[[#This Row],[Active Gaia''s Blessing]],-1,0)&gt;0,OFFSET(TblMagic[[#This Row],[Active Gaia''s Blessing]],-1,0)-1,0))</f>
        <v>0</v>
      </c>
      <c r="AL132" s="57">
        <f ca="1">IF(TblMagic[[#This Row],[Howling]],12,IF(OFFSET(TblMagic[[#This Row],[Active Howling]],-1,0)&gt;0,OFFSET(TblMagic[[#This Row],[Active Howling]],-1,0)-1,0))</f>
        <v>0</v>
      </c>
      <c r="AM132" s="57">
        <f ca="1">IF(TblMagic[[#This Row],[Alchemist Frost]],12,IF(OFFSET(TblMagic[[#This Row],[Active Alch Frost]],-1,0)&gt;0,OFFSET(TblMagic[[#This Row],[Active Alch Frost]],-1,0)-1,0))</f>
        <v>0</v>
      </c>
      <c r="AN132" s="57">
        <f ca="1">IF(TblMagic[[#This Row],[Alchemists Flame]],12,IF(OFFSET(TblMagic[[#This Row],[Active Alchemists Flame]],-1,0)&gt;0,OFFSET(TblMagic[[#This Row],[Active Alchemists Flame]],-1,0)-1,0))</f>
        <v>0</v>
      </c>
      <c r="AO132" s="57">
        <f ca="1">IF(TblMagic[[#This Row],[Nightfall]],12,IF(OFFSET(TblMagic[[#This Row],[Active Nightfall]],-1,0)&gt;0,OFFSET(TblMagic[[#This Row],[Active Nightfall]],-1,0)-1,0))</f>
        <v>0</v>
      </c>
      <c r="AP132" s="57">
        <f ca="1">IF(TblMagic[[#This Row],[Favorable Terrain]],12,IF(OFFSET(TblMagic[[#This Row],[Active Favorable Terrain]],-1,0)&gt;0,OFFSET(TblMagic[[#This Row],[Active Favorable Terrain]],-1,0)-1,0))</f>
        <v>0</v>
      </c>
      <c r="AQ132" s="57">
        <f ca="1">IF(TblMagic[[#This Row],[Infernal Command]],12,IF(OFFSET(TblMagic[[#This Row],[Active Infernal Command]],-1,0)&gt;0,OFFSET(TblMagic[[#This Row],[Active Infernal Command]],-1,0)-1,0))</f>
        <v>0</v>
      </c>
    </row>
    <row r="133" spans="1:43" x14ac:dyDescent="0.2">
      <c r="A133" s="137">
        <f>TblRezone[[#This Row],[Hour]]</f>
        <v>130</v>
      </c>
      <c r="B133" s="154">
        <f ca="1">TblConstr[[#This Row],[Land]]</f>
        <v>110</v>
      </c>
      <c r="C133" s="94">
        <f ca="1">TblProd[[#This Row],[Mana]]</f>
        <v>0</v>
      </c>
      <c r="D133" s="156">
        <f ca="1">MIN(1,OFFSET(TblMagic[[#This Row],[Wiz str]],-1,0)+0.04+ROUNDDOWN(10*OFFSET(TblMili[[#This Row],[WG''s]],-1,0),0)+ tech_2_7*OFFSET(TblTech[[#This Row],[2-7]],-1,0) + tech_5_6*OFFSET(TblTech[[#This Row],[5-6]],-1,0) )-TblMagic[[#This Row],[Wiz str cost]]</f>
        <v>1</v>
      </c>
      <c r="E133" s="159">
        <f ca="1">OFFSET(TblMagic[[#This Row],[Time]],-1,0)+1/24</f>
        <v>46052.374999999687</v>
      </c>
      <c r="F133" s="156">
        <f ca="1">TblImps[[#This Row],[Population]]</f>
        <v>1</v>
      </c>
      <c r="G133" s="218"/>
      <c r="H133" s="218"/>
      <c r="I133" s="218"/>
      <c r="J133" s="218"/>
      <c r="K133" s="405"/>
      <c r="L133" s="218"/>
      <c r="M133" s="218"/>
      <c r="N133" s="218"/>
      <c r="O133" s="218"/>
      <c r="P133" s="218"/>
      <c r="Q133" s="218"/>
      <c r="R133" s="218"/>
      <c r="S133" s="218"/>
      <c r="T133" s="218"/>
      <c r="U133" s="218"/>
      <c r="V133" s="218"/>
      <c r="W133" s="218"/>
      <c r="X133" s="142"/>
      <c r="Y133"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3" s="156">
        <f>SUMIF(TblMagic[[#This Row],[Gaia''s Watch]:[Useless spell]],1)*0.05</f>
        <v>0</v>
      </c>
      <c r="AA133" s="142"/>
      <c r="AB133" s="57">
        <f ca="1">IF(TblMagic[[#This Row],[Gaia''s Watch]],12,IF(OFFSET(TblMagic[[#This Row],[Active Gaia''s Watch]],-1,0)&gt;0,OFFSET(TblMagic[[#This Row],[Active Gaia''s Watch]],-1,0)-1,0))</f>
        <v>0</v>
      </c>
      <c r="AC133" s="57">
        <f ca="1">IF(TblMagic[[#This Row],[Mining Strength]],12,IF(OFFSET(TblMagic[[#This Row],[Active Mining Strength]],-1,0)&gt;0,OFFSET(TblMagic[[#This Row],[Active Mining Strength]],-1,0)-1,0))</f>
        <v>0</v>
      </c>
      <c r="AD133" s="57">
        <f ca="1">IF(TblMagic[[#This Row],[Ares Call]],12,IF(OFFSET(TblMagic[[#This Row],[Active Ares Call]],-1,0)&gt;0,OFFSET(TblMagic[[#This Row],[Active Ares Call]],-1,0)-1,0))</f>
        <v>0</v>
      </c>
      <c r="AE133" s="57">
        <f ca="1">IF(TblMagic[[#This Row],[Midas Touch]],12,IF(OFFSET(TblMagic[[#This Row],[Active Midas Touch]],-1,0)&gt;0,OFFSET(TblMagic[[#This Row],[Active Midas Touch]],-1,0)-1,0))</f>
        <v>0</v>
      </c>
      <c r="AF133" s="57">
        <f ca="1">IF(TblMagic[[#This Row],[Harmony]],12,IF(OFFSET(TblMagic[[#This Row],[Active Harmony]],-1,0)&gt;0,OFFSET(TblMagic[[#This Row],[Active Harmony]],-1,0)-1,0))</f>
        <v>0</v>
      </c>
      <c r="AG133" s="57">
        <f ca="1">IF(TblMagic[[#This Row],[Miner''s Sight]],12,IF(OFFSET(TblMagic[[#This Row],[Active Miner''s Sight]],-1,0)&gt;0,OFFSET(TblMagic[[#This Row],[Active Miner''s Sight]],-1,0)-1,0))</f>
        <v>0</v>
      </c>
      <c r="AH133" s="57">
        <f ca="1">IF(TblMagic[[#This Row],[Mechanical Genius]],12,IF(OFFSET(TblMagic[[#This Row],[Active Mechanical Genius]],-1,0)&gt;0,OFFSET(TblMagic[[#This Row],[Active Mechanical Genius]],-1,0)-1,0))</f>
        <v>0</v>
      </c>
      <c r="AI133" s="57">
        <f ca="1">IF(TblMagic[[#This Row],[Death and Decay]],12,IF(OFFSET(TblMagic[[#This Row],[Active DnD]],-1,0)&gt;0,OFFSET(TblMagic[[#This Row],[Active DnD]],-1,0)-1,0))</f>
        <v>0</v>
      </c>
      <c r="AJ133" s="57">
        <f ca="1">IF(TblMagic[[#This Row],[Killing Rage / Bloodrage / Crusade]],12,IF(OFFSET(TblMagic[[#This Row],[Active Warsong / Killing Rage / Bloodrage]],-1,0)&gt;0,OFFSET(TblMagic[[#This Row],[Active Warsong / Killing Rage / Bloodrage]],-1,0)-1,0))</f>
        <v>0</v>
      </c>
      <c r="AK133" s="57">
        <f ca="1">IF(TblMagic[[#This Row],[Gaia''s Blessing]],12,IF(OFFSET(TblMagic[[#This Row],[Active Gaia''s Blessing]],-1,0)&gt;0,OFFSET(TblMagic[[#This Row],[Active Gaia''s Blessing]],-1,0)-1,0))</f>
        <v>0</v>
      </c>
      <c r="AL133" s="57">
        <f ca="1">IF(TblMagic[[#This Row],[Howling]],12,IF(OFFSET(TblMagic[[#This Row],[Active Howling]],-1,0)&gt;0,OFFSET(TblMagic[[#This Row],[Active Howling]],-1,0)-1,0))</f>
        <v>0</v>
      </c>
      <c r="AM133" s="57">
        <f ca="1">IF(TblMagic[[#This Row],[Alchemist Frost]],12,IF(OFFSET(TblMagic[[#This Row],[Active Alch Frost]],-1,0)&gt;0,OFFSET(TblMagic[[#This Row],[Active Alch Frost]],-1,0)-1,0))</f>
        <v>0</v>
      </c>
      <c r="AN133" s="57">
        <f ca="1">IF(TblMagic[[#This Row],[Alchemists Flame]],12,IF(OFFSET(TblMagic[[#This Row],[Active Alchemists Flame]],-1,0)&gt;0,OFFSET(TblMagic[[#This Row],[Active Alchemists Flame]],-1,0)-1,0))</f>
        <v>0</v>
      </c>
      <c r="AO133" s="57">
        <f ca="1">IF(TblMagic[[#This Row],[Nightfall]],12,IF(OFFSET(TblMagic[[#This Row],[Active Nightfall]],-1,0)&gt;0,OFFSET(TblMagic[[#This Row],[Active Nightfall]],-1,0)-1,0))</f>
        <v>0</v>
      </c>
      <c r="AP133" s="57">
        <f ca="1">IF(TblMagic[[#This Row],[Favorable Terrain]],12,IF(OFFSET(TblMagic[[#This Row],[Active Favorable Terrain]],-1,0)&gt;0,OFFSET(TblMagic[[#This Row],[Active Favorable Terrain]],-1,0)-1,0))</f>
        <v>0</v>
      </c>
      <c r="AQ133" s="57">
        <f ca="1">IF(TblMagic[[#This Row],[Infernal Command]],12,IF(OFFSET(TblMagic[[#This Row],[Active Infernal Command]],-1,0)&gt;0,OFFSET(TblMagic[[#This Row],[Active Infernal Command]],-1,0)-1,0))</f>
        <v>0</v>
      </c>
    </row>
    <row r="134" spans="1:43" x14ac:dyDescent="0.2">
      <c r="A134" s="137">
        <f>TblRezone[[#This Row],[Hour]]</f>
        <v>131</v>
      </c>
      <c r="B134" s="154">
        <f ca="1">TblConstr[[#This Row],[Land]]</f>
        <v>110</v>
      </c>
      <c r="C134" s="94">
        <f ca="1">TblProd[[#This Row],[Mana]]</f>
        <v>0</v>
      </c>
      <c r="D134" s="156">
        <f ca="1">MIN(1,OFFSET(TblMagic[[#This Row],[Wiz str]],-1,0)+0.04+ROUNDDOWN(10*OFFSET(TblMili[[#This Row],[WG''s]],-1,0),0)+ tech_2_7*OFFSET(TblTech[[#This Row],[2-7]],-1,0) + tech_5_6*OFFSET(TblTech[[#This Row],[5-6]],-1,0) )-TblMagic[[#This Row],[Wiz str cost]]</f>
        <v>1</v>
      </c>
      <c r="E134" s="159">
        <f ca="1">OFFSET(TblMagic[[#This Row],[Time]],-1,0)+1/24</f>
        <v>46052.416666666351</v>
      </c>
      <c r="F134" s="156">
        <f ca="1">TblImps[[#This Row],[Population]]</f>
        <v>1</v>
      </c>
      <c r="G134" s="218"/>
      <c r="H134" s="218"/>
      <c r="I134" s="218"/>
      <c r="J134" s="218"/>
      <c r="K134" s="405"/>
      <c r="L134" s="218"/>
      <c r="M134" s="218"/>
      <c r="N134" s="218"/>
      <c r="O134" s="218"/>
      <c r="P134" s="218"/>
      <c r="Q134" s="218"/>
      <c r="R134" s="218"/>
      <c r="S134" s="218"/>
      <c r="T134" s="218"/>
      <c r="U134" s="218"/>
      <c r="V134" s="218"/>
      <c r="W134" s="218"/>
      <c r="X134" s="142"/>
      <c r="Y134"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4" s="156">
        <f>SUMIF(TblMagic[[#This Row],[Gaia''s Watch]:[Useless spell]],1)*0.05</f>
        <v>0</v>
      </c>
      <c r="AA134" s="142"/>
      <c r="AB134" s="57">
        <f ca="1">IF(TblMagic[[#This Row],[Gaia''s Watch]],12,IF(OFFSET(TblMagic[[#This Row],[Active Gaia''s Watch]],-1,0)&gt;0,OFFSET(TblMagic[[#This Row],[Active Gaia''s Watch]],-1,0)-1,0))</f>
        <v>0</v>
      </c>
      <c r="AC134" s="57">
        <f ca="1">IF(TblMagic[[#This Row],[Mining Strength]],12,IF(OFFSET(TblMagic[[#This Row],[Active Mining Strength]],-1,0)&gt;0,OFFSET(TblMagic[[#This Row],[Active Mining Strength]],-1,0)-1,0))</f>
        <v>0</v>
      </c>
      <c r="AD134" s="57">
        <f ca="1">IF(TblMagic[[#This Row],[Ares Call]],12,IF(OFFSET(TblMagic[[#This Row],[Active Ares Call]],-1,0)&gt;0,OFFSET(TblMagic[[#This Row],[Active Ares Call]],-1,0)-1,0))</f>
        <v>0</v>
      </c>
      <c r="AE134" s="57">
        <f ca="1">IF(TblMagic[[#This Row],[Midas Touch]],12,IF(OFFSET(TblMagic[[#This Row],[Active Midas Touch]],-1,0)&gt;0,OFFSET(TblMagic[[#This Row],[Active Midas Touch]],-1,0)-1,0))</f>
        <v>0</v>
      </c>
      <c r="AF134" s="57">
        <f ca="1">IF(TblMagic[[#This Row],[Harmony]],12,IF(OFFSET(TblMagic[[#This Row],[Active Harmony]],-1,0)&gt;0,OFFSET(TblMagic[[#This Row],[Active Harmony]],-1,0)-1,0))</f>
        <v>0</v>
      </c>
      <c r="AG134" s="57">
        <f ca="1">IF(TblMagic[[#This Row],[Miner''s Sight]],12,IF(OFFSET(TblMagic[[#This Row],[Active Miner''s Sight]],-1,0)&gt;0,OFFSET(TblMagic[[#This Row],[Active Miner''s Sight]],-1,0)-1,0))</f>
        <v>0</v>
      </c>
      <c r="AH134" s="57">
        <f ca="1">IF(TblMagic[[#This Row],[Mechanical Genius]],12,IF(OFFSET(TblMagic[[#This Row],[Active Mechanical Genius]],-1,0)&gt;0,OFFSET(TblMagic[[#This Row],[Active Mechanical Genius]],-1,0)-1,0))</f>
        <v>0</v>
      </c>
      <c r="AI134" s="57">
        <f ca="1">IF(TblMagic[[#This Row],[Death and Decay]],12,IF(OFFSET(TblMagic[[#This Row],[Active DnD]],-1,0)&gt;0,OFFSET(TblMagic[[#This Row],[Active DnD]],-1,0)-1,0))</f>
        <v>0</v>
      </c>
      <c r="AJ134" s="57">
        <f ca="1">IF(TblMagic[[#This Row],[Killing Rage / Bloodrage / Crusade]],12,IF(OFFSET(TblMagic[[#This Row],[Active Warsong / Killing Rage / Bloodrage]],-1,0)&gt;0,OFFSET(TblMagic[[#This Row],[Active Warsong / Killing Rage / Bloodrage]],-1,0)-1,0))</f>
        <v>0</v>
      </c>
      <c r="AK134" s="57">
        <f ca="1">IF(TblMagic[[#This Row],[Gaia''s Blessing]],12,IF(OFFSET(TblMagic[[#This Row],[Active Gaia''s Blessing]],-1,0)&gt;0,OFFSET(TblMagic[[#This Row],[Active Gaia''s Blessing]],-1,0)-1,0))</f>
        <v>0</v>
      </c>
      <c r="AL134" s="57">
        <f ca="1">IF(TblMagic[[#This Row],[Howling]],12,IF(OFFSET(TblMagic[[#This Row],[Active Howling]],-1,0)&gt;0,OFFSET(TblMagic[[#This Row],[Active Howling]],-1,0)-1,0))</f>
        <v>0</v>
      </c>
      <c r="AM134" s="57">
        <f ca="1">IF(TblMagic[[#This Row],[Alchemist Frost]],12,IF(OFFSET(TblMagic[[#This Row],[Active Alch Frost]],-1,0)&gt;0,OFFSET(TblMagic[[#This Row],[Active Alch Frost]],-1,0)-1,0))</f>
        <v>0</v>
      </c>
      <c r="AN134" s="57">
        <f ca="1">IF(TblMagic[[#This Row],[Alchemists Flame]],12,IF(OFFSET(TblMagic[[#This Row],[Active Alchemists Flame]],-1,0)&gt;0,OFFSET(TblMagic[[#This Row],[Active Alchemists Flame]],-1,0)-1,0))</f>
        <v>0</v>
      </c>
      <c r="AO134" s="57">
        <f ca="1">IF(TblMagic[[#This Row],[Nightfall]],12,IF(OFFSET(TblMagic[[#This Row],[Active Nightfall]],-1,0)&gt;0,OFFSET(TblMagic[[#This Row],[Active Nightfall]],-1,0)-1,0))</f>
        <v>0</v>
      </c>
      <c r="AP134" s="57">
        <f ca="1">IF(TblMagic[[#This Row],[Favorable Terrain]],12,IF(OFFSET(TblMagic[[#This Row],[Active Favorable Terrain]],-1,0)&gt;0,OFFSET(TblMagic[[#This Row],[Active Favorable Terrain]],-1,0)-1,0))</f>
        <v>0</v>
      </c>
      <c r="AQ134" s="57">
        <f ca="1">IF(TblMagic[[#This Row],[Infernal Command]],12,IF(OFFSET(TblMagic[[#This Row],[Active Infernal Command]],-1,0)&gt;0,OFFSET(TblMagic[[#This Row],[Active Infernal Command]],-1,0)-1,0))</f>
        <v>0</v>
      </c>
    </row>
    <row r="135" spans="1:43" x14ac:dyDescent="0.2">
      <c r="A135" s="137">
        <f>TblRezone[[#This Row],[Hour]]</f>
        <v>132</v>
      </c>
      <c r="B135" s="154">
        <f ca="1">TblConstr[[#This Row],[Land]]</f>
        <v>110</v>
      </c>
      <c r="C135" s="94">
        <f ca="1">TblProd[[#This Row],[Mana]]</f>
        <v>0</v>
      </c>
      <c r="D135" s="156">
        <f ca="1">MIN(1,OFFSET(TblMagic[[#This Row],[Wiz str]],-1,0)+0.04+ROUNDDOWN(10*OFFSET(TblMili[[#This Row],[WG''s]],-1,0),0)+ tech_2_7*OFFSET(TblTech[[#This Row],[2-7]],-1,0) + tech_5_6*OFFSET(TblTech[[#This Row],[5-6]],-1,0) )-TblMagic[[#This Row],[Wiz str cost]]</f>
        <v>1</v>
      </c>
      <c r="E135" s="159">
        <f ca="1">OFFSET(TblMagic[[#This Row],[Time]],-1,0)+1/24</f>
        <v>46052.458333333016</v>
      </c>
      <c r="F135" s="156">
        <f ca="1">TblImps[[#This Row],[Population]]</f>
        <v>1</v>
      </c>
      <c r="G135" s="218"/>
      <c r="H135" s="218"/>
      <c r="I135" s="218"/>
      <c r="J135" s="218"/>
      <c r="K135" s="405"/>
      <c r="L135" s="218"/>
      <c r="M135" s="218"/>
      <c r="N135" s="218"/>
      <c r="O135" s="218"/>
      <c r="P135" s="218"/>
      <c r="Q135" s="218"/>
      <c r="R135" s="218"/>
      <c r="S135" s="218"/>
      <c r="T135" s="218"/>
      <c r="U135" s="218"/>
      <c r="V135" s="218"/>
      <c r="W135" s="218"/>
      <c r="X135" s="142"/>
      <c r="Y135"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5" s="156">
        <f>SUMIF(TblMagic[[#This Row],[Gaia''s Watch]:[Useless spell]],1)*0.05</f>
        <v>0</v>
      </c>
      <c r="AA135" s="142"/>
      <c r="AB135" s="57">
        <f ca="1">IF(TblMagic[[#This Row],[Gaia''s Watch]],12,IF(OFFSET(TblMagic[[#This Row],[Active Gaia''s Watch]],-1,0)&gt;0,OFFSET(TblMagic[[#This Row],[Active Gaia''s Watch]],-1,0)-1,0))</f>
        <v>0</v>
      </c>
      <c r="AC135" s="57">
        <f ca="1">IF(TblMagic[[#This Row],[Mining Strength]],12,IF(OFFSET(TblMagic[[#This Row],[Active Mining Strength]],-1,0)&gt;0,OFFSET(TblMagic[[#This Row],[Active Mining Strength]],-1,0)-1,0))</f>
        <v>0</v>
      </c>
      <c r="AD135" s="57">
        <f ca="1">IF(TblMagic[[#This Row],[Ares Call]],12,IF(OFFSET(TblMagic[[#This Row],[Active Ares Call]],-1,0)&gt;0,OFFSET(TblMagic[[#This Row],[Active Ares Call]],-1,0)-1,0))</f>
        <v>0</v>
      </c>
      <c r="AE135" s="57">
        <f ca="1">IF(TblMagic[[#This Row],[Midas Touch]],12,IF(OFFSET(TblMagic[[#This Row],[Active Midas Touch]],-1,0)&gt;0,OFFSET(TblMagic[[#This Row],[Active Midas Touch]],-1,0)-1,0))</f>
        <v>0</v>
      </c>
      <c r="AF135" s="57">
        <f ca="1">IF(TblMagic[[#This Row],[Harmony]],12,IF(OFFSET(TblMagic[[#This Row],[Active Harmony]],-1,0)&gt;0,OFFSET(TblMagic[[#This Row],[Active Harmony]],-1,0)-1,0))</f>
        <v>0</v>
      </c>
      <c r="AG135" s="57">
        <f ca="1">IF(TblMagic[[#This Row],[Miner''s Sight]],12,IF(OFFSET(TblMagic[[#This Row],[Active Miner''s Sight]],-1,0)&gt;0,OFFSET(TblMagic[[#This Row],[Active Miner''s Sight]],-1,0)-1,0))</f>
        <v>0</v>
      </c>
      <c r="AH135" s="57">
        <f ca="1">IF(TblMagic[[#This Row],[Mechanical Genius]],12,IF(OFFSET(TblMagic[[#This Row],[Active Mechanical Genius]],-1,0)&gt;0,OFFSET(TblMagic[[#This Row],[Active Mechanical Genius]],-1,0)-1,0))</f>
        <v>0</v>
      </c>
      <c r="AI135" s="57">
        <f ca="1">IF(TblMagic[[#This Row],[Death and Decay]],12,IF(OFFSET(TblMagic[[#This Row],[Active DnD]],-1,0)&gt;0,OFFSET(TblMagic[[#This Row],[Active DnD]],-1,0)-1,0))</f>
        <v>0</v>
      </c>
      <c r="AJ135" s="57">
        <f ca="1">IF(TblMagic[[#This Row],[Killing Rage / Bloodrage / Crusade]],12,IF(OFFSET(TblMagic[[#This Row],[Active Warsong / Killing Rage / Bloodrage]],-1,0)&gt;0,OFFSET(TblMagic[[#This Row],[Active Warsong / Killing Rage / Bloodrage]],-1,0)-1,0))</f>
        <v>0</v>
      </c>
      <c r="AK135" s="57">
        <f ca="1">IF(TblMagic[[#This Row],[Gaia''s Blessing]],12,IF(OFFSET(TblMagic[[#This Row],[Active Gaia''s Blessing]],-1,0)&gt;0,OFFSET(TblMagic[[#This Row],[Active Gaia''s Blessing]],-1,0)-1,0))</f>
        <v>0</v>
      </c>
      <c r="AL135" s="57">
        <f ca="1">IF(TblMagic[[#This Row],[Howling]],12,IF(OFFSET(TblMagic[[#This Row],[Active Howling]],-1,0)&gt;0,OFFSET(TblMagic[[#This Row],[Active Howling]],-1,0)-1,0))</f>
        <v>0</v>
      </c>
      <c r="AM135" s="57">
        <f ca="1">IF(TblMagic[[#This Row],[Alchemist Frost]],12,IF(OFFSET(TblMagic[[#This Row],[Active Alch Frost]],-1,0)&gt;0,OFFSET(TblMagic[[#This Row],[Active Alch Frost]],-1,0)-1,0))</f>
        <v>0</v>
      </c>
      <c r="AN135" s="57">
        <f ca="1">IF(TblMagic[[#This Row],[Alchemists Flame]],12,IF(OFFSET(TblMagic[[#This Row],[Active Alchemists Flame]],-1,0)&gt;0,OFFSET(TblMagic[[#This Row],[Active Alchemists Flame]],-1,0)-1,0))</f>
        <v>0</v>
      </c>
      <c r="AO135" s="57">
        <f ca="1">IF(TblMagic[[#This Row],[Nightfall]],12,IF(OFFSET(TblMagic[[#This Row],[Active Nightfall]],-1,0)&gt;0,OFFSET(TblMagic[[#This Row],[Active Nightfall]],-1,0)-1,0))</f>
        <v>0</v>
      </c>
      <c r="AP135" s="57">
        <f ca="1">IF(TblMagic[[#This Row],[Favorable Terrain]],12,IF(OFFSET(TblMagic[[#This Row],[Active Favorable Terrain]],-1,0)&gt;0,OFFSET(TblMagic[[#This Row],[Active Favorable Terrain]],-1,0)-1,0))</f>
        <v>0</v>
      </c>
      <c r="AQ135" s="57">
        <f ca="1">IF(TblMagic[[#This Row],[Infernal Command]],12,IF(OFFSET(TblMagic[[#This Row],[Active Infernal Command]],-1,0)&gt;0,OFFSET(TblMagic[[#This Row],[Active Infernal Command]],-1,0)-1,0))</f>
        <v>0</v>
      </c>
    </row>
    <row r="136" spans="1:43" x14ac:dyDescent="0.2">
      <c r="A136" s="137">
        <f>TblRezone[[#This Row],[Hour]]</f>
        <v>133</v>
      </c>
      <c r="B136" s="154">
        <f ca="1">TblConstr[[#This Row],[Land]]</f>
        <v>110</v>
      </c>
      <c r="C136" s="94">
        <f ca="1">TblProd[[#This Row],[Mana]]</f>
        <v>0</v>
      </c>
      <c r="D136" s="156">
        <f ca="1">MIN(1,OFFSET(TblMagic[[#This Row],[Wiz str]],-1,0)+0.04+ROUNDDOWN(10*OFFSET(TblMili[[#This Row],[WG''s]],-1,0),0)+ tech_2_7*OFFSET(TblTech[[#This Row],[2-7]],-1,0) + tech_5_6*OFFSET(TblTech[[#This Row],[5-6]],-1,0) )-TblMagic[[#This Row],[Wiz str cost]]</f>
        <v>1</v>
      </c>
      <c r="E136" s="159">
        <f ca="1">OFFSET(TblMagic[[#This Row],[Time]],-1,0)+1/24</f>
        <v>46052.49999999968</v>
      </c>
      <c r="F136" s="156">
        <f ca="1">TblImps[[#This Row],[Population]]</f>
        <v>1</v>
      </c>
      <c r="G136" s="218"/>
      <c r="H136" s="218"/>
      <c r="I136" s="218"/>
      <c r="J136" s="218"/>
      <c r="K136" s="405"/>
      <c r="L136" s="218"/>
      <c r="M136" s="218"/>
      <c r="N136" s="218"/>
      <c r="O136" s="218"/>
      <c r="P136" s="218"/>
      <c r="Q136" s="218"/>
      <c r="R136" s="218"/>
      <c r="S136" s="218"/>
      <c r="T136" s="218"/>
      <c r="U136" s="218"/>
      <c r="V136" s="218"/>
      <c r="W136" s="218"/>
      <c r="X136" s="142"/>
      <c r="Y136" s="94">
        <f ca="1">(MAX(1-wg_spell_cost_cap,1-wg_spell_cost_red*ROUND(TblConstr[[#This Row],[Tot WG]]/TblConstr[[#This Row],[Land]],4))+ tech_3_9*TblTech[[#This Row],[3-9]] + tech_6_2_2*TblTech[[#This Row],[6-2]] )*(TblMagic[[#This Row],[Land]]-TblExplore[[#This Row],[Land Bonus]]*20)*( TblMagic[[#This Row],[Gaia''s Watch]]*Constants!$B$75 + TblMagic[[#This Row],[Mining Strength]]*Constants!$B$76 + TblMagic[[#This Row],[Ares Call]]*Constants!$B$77 + TblMagic[[#This Row],[Midas Touch]]*Constants!$B$79 + TblMagic[[#This Row],[Harmony]]*Constants!$B$78  + SUM(TblMagic[[#This Row],[Miner''s Sight]:[Useless spell]])*Constants!$B$80*(1+tech_9_3*TblTech[[#This Row],[9-3]]))</f>
        <v>0</v>
      </c>
      <c r="Z136" s="156">
        <f>SUMIF(TblMagic[[#This Row],[Gaia''s Watch]:[Useless spell]],1)*0.05</f>
        <v>0</v>
      </c>
      <c r="AA136" s="142"/>
      <c r="AB136" s="57">
        <f ca="1">IF(TblMagic[[#This Row],[Gaia''s Watch]],12,IF(OFFSET(TblMagic[[#This Row],[Active Gaia''s Watch]],-1,0)&gt;0,OFFSET(TblMagic[[#This Row],[Active Gaia''s Watch]],-1,0)-1,0))</f>
        <v>0</v>
      </c>
      <c r="AC136" s="57">
        <f ca="1">IF(TblMagic[[#This Row],[Mining Strength]],12,IF(OFFSET(TblMagic[[#This Row],[Active Mining Strength]],-1,0)&gt;0,OFFSET(TblMagic[[#This Row],[Active Mining Strength]],-1,0)-1,0))</f>
        <v>0</v>
      </c>
      <c r="AD136" s="57">
        <f ca="1">IF(TblMagic[[#This Row],[Ares Call]],12,IF(OFFSET(TblMagic[[#This Row],[Active Ares Call]],-1,0)&gt;0,OFFSET(TblMagic[[#This Row],[Active Ares Call]],-1,0)-1,0))</f>
        <v>0</v>
      </c>
      <c r="AE136" s="57">
        <f ca="1">IF(TblMagic[[#This Row],[Midas Touch]],12,IF(OFFSET(TblMagic[[#This Row],[Active Midas Touch]],-1,0)&gt;0,OFFSET(TblMagic[[#This Row],[Active Midas Touch]],-1,0)-1,0))</f>
        <v>0</v>
      </c>
      <c r="AF136" s="57">
        <f ca="1">IF(TblMagic[[#This Row],[Harmony]],12,IF(OFFSET(TblMagic[[#This Row],[Active Harmony]],-1,0)&gt;0,OFFSET(TblMagic[[#This Row],[Active Harmony]],-1,0)-1,0))</f>
        <v>0</v>
      </c>
      <c r="AG136" s="57">
        <f ca="1">IF(TblMagic[[#This Row],[Miner''s Sight]],12,IF(OFFSET(TblMagic[[#This Row],[Active Miner''s Sight]],-1,0)&gt;0,OFFSET(TblMagic[[#This Row],[Active Miner''s Sight]],-1,0)-1,0))</f>
        <v>0</v>
      </c>
      <c r="AH136" s="57">
        <f ca="1">IF(TblMagic[[#This Row],[Mechanical Genius]],12,IF(OFFSET(TblMagic[[#This Row],[Active Mechanical Genius]],-1,0)&gt;0,OFFSET(TblMagic[[#This Row],[Active Mechanical Genius]],-1,0)-1,0))</f>
        <v>0</v>
      </c>
      <c r="AI136" s="57">
        <f ca="1">IF(TblMagic[[#This Row],[Death and Decay]],12,IF(OFFSET(TblMagic[[#This Row],[Active DnD]],-1,0)&gt;0,OFFSET(TblMagic[[#This Row],[Active DnD]],-1,0)-1,0))</f>
        <v>0</v>
      </c>
      <c r="AJ136" s="57">
        <f ca="1">IF(TblMagic[[#This Row],[Killing Rage / Bloodrage / Crusade]],12,IF(OFFSET(TblMagic[[#This Row],[Active Warsong / Killing Rage / Bloodrage]],-1,0)&gt;0,OFFSET(TblMagic[[#This Row],[Active Warsong / Killing Rage / Bloodrage]],-1,0)-1,0))</f>
        <v>0</v>
      </c>
      <c r="AK136" s="57">
        <f ca="1">IF(TblMagic[[#This Row],[Gaia''s Blessing]],12,IF(OFFSET(TblMagic[[#This Row],[Active Gaia''s Blessing]],-1,0)&gt;0,OFFSET(TblMagic[[#This Row],[Active Gaia''s Blessing]],-1,0)-1,0))</f>
        <v>0</v>
      </c>
      <c r="AL136" s="57">
        <f ca="1">IF(TblMagic[[#This Row],[Howling]],12,IF(OFFSET(TblMagic[[#This Row],[Active Howling]],-1,0)&gt;0,OFFSET(TblMagic[[#This Row],[Active Howling]],-1,0)-1,0))</f>
        <v>0</v>
      </c>
      <c r="AM136" s="57">
        <f ca="1">IF(TblMagic[[#This Row],[Alchemist Frost]],12,IF(OFFSET(TblMagic[[#This Row],[Active Alch Frost]],-1,0)&gt;0,OFFSET(TblMagic[[#This Row],[Active Alch Frost]],-1,0)-1,0))</f>
        <v>0</v>
      </c>
      <c r="AN136" s="57">
        <f ca="1">IF(TblMagic[[#This Row],[Alchemists Flame]],12,IF(OFFSET(TblMagic[[#This Row],[Active Alchemists Flame]],-1,0)&gt;0,OFFSET(TblMagic[[#This Row],[Active Alchemists Flame]],-1,0)-1,0))</f>
        <v>0</v>
      </c>
      <c r="AO136" s="57">
        <f ca="1">IF(TblMagic[[#This Row],[Nightfall]],12,IF(OFFSET(TblMagic[[#This Row],[Active Nightfall]],-1,0)&gt;0,OFFSET(TblMagic[[#This Row],[Active Nightfall]],-1,0)-1,0))</f>
        <v>0</v>
      </c>
      <c r="AP136" s="57">
        <f ca="1">IF(TblMagic[[#This Row],[Favorable Terrain]],12,IF(OFFSET(TblMagic[[#This Row],[Active Favorable Terrain]],-1,0)&gt;0,OFFSET(TblMagic[[#This Row],[Active Favorable Terrain]],-1,0)-1,0))</f>
        <v>0</v>
      </c>
      <c r="AQ136" s="57">
        <f ca="1">IF(TblMagic[[#This Row],[Infernal Command]],12,IF(OFFSET(TblMagic[[#This Row],[Active Infernal Command]],-1,0)&gt;0,OFFSET(TblMagic[[#This Row],[Active Infernal Command]],-1,0)-1,0))</f>
        <v>0</v>
      </c>
    </row>
    <row r="1269" spans="3:4" x14ac:dyDescent="0.2">
      <c r="C1269" s="530" t="s">
        <v>314</v>
      </c>
      <c r="D1269" s="486"/>
    </row>
    <row r="1270" spans="3:4" x14ac:dyDescent="0.2">
      <c r="C1270" s="28">
        <f>Overview!E17</f>
        <v>0</v>
      </c>
      <c r="D1270" s="28"/>
    </row>
  </sheetData>
  <mergeCells count="2">
    <mergeCell ref="C1269:D1269"/>
    <mergeCell ref="O1:O2"/>
  </mergeCells>
  <phoneticPr fontId="0" type="noConversion"/>
  <conditionalFormatting sqref="Z18614:AO29782 B12459:C20616 AP18583:IX29751 AP8199:IX8199 B8250:AO8250">
    <cfRule type="expression" dxfId="270" priority="18" stopIfTrue="1">
      <formula>ROW()-2=#REF!</formula>
    </cfRule>
  </conditionalFormatting>
  <conditionalFormatting sqref="A1269:XFD1270">
    <cfRule type="expression" dxfId="269" priority="19" stopIfTrue="1">
      <formula>$C$1270&gt;144</formula>
    </cfRule>
  </conditionalFormatting>
  <conditionalFormatting sqref="A4:AQ136">
    <cfRule type="expression" dxfId="268" priority="1" stopIfTrue="1">
      <formula>ROW()-3=$C$1270</formula>
    </cfRule>
    <cfRule type="expression" dxfId="267" priority="2" stopIfTrue="1">
      <formula>OR(ROW()-3=$C$1270,A4&lt;0)</formula>
    </cfRule>
    <cfRule type="expression" dxfId="266" priority="3">
      <formula>$A4=37</formula>
    </cfRule>
    <cfRule type="expression" dxfId="265" priority="7">
      <formula>ROUND(($A4-1)/12,0)=INT($A4-1)/12</formula>
    </cfRule>
  </conditionalFormatting>
  <conditionalFormatting sqref="A2:N2 A1:S1 U1:XFD1 P2:XFD2 A3:XFD3">
    <cfRule type="expression" dxfId="264" priority="15">
      <formula>$C$1270&lt;0</formula>
    </cfRule>
  </conditionalFormatting>
  <conditionalFormatting sqref="G4:W136">
    <cfRule type="expression" dxfId="263" priority="12">
      <formula>INDEX($AB4:$AQ4, COLUMN()-COLUMN($G$1)+1)&gt;0</formula>
    </cfRule>
  </conditionalFormatting>
  <dataValidations count="1">
    <dataValidation type="whole" operator="equal" allowBlank="1" showInputMessage="1" showErrorMessage="1" sqref="G4:W136" xr:uid="{00000000-0002-0000-0700-000000000000}">
      <formula1>1</formula1>
    </dataValidation>
  </dataValidations>
  <pageMargins left="0.75" right="0.75" top="1" bottom="1" header="0.5" footer="0.5"/>
  <pageSetup paperSize="9" orientation="portrait" horizontalDpi="300" verticalDpi="300" r:id="rId1"/>
  <headerFooter alignWithMargins="0"/>
  <tableParts count="1">
    <tablePart r:id="rId2"/>
  </tableParts>
  <extLst>
    <ext xmlns:x14="http://schemas.microsoft.com/office/spreadsheetml/2009/9/main" uri="{78C0D931-6437-407d-A8EE-F0AAD7539E65}">
      <x14:conditionalFormattings>
        <x14:conditionalFormatting xmlns:xm="http://schemas.microsoft.com/office/excel/2006/main">
          <x14:cfRule type="iconSet" priority="4" id="{5B25A9E1-D5A6-443D-B62C-68477581DE85}">
            <x14:iconSet iconSet="3Symbols2" showValue="0" custom="1">
              <x14:cfvo type="percent">
                <xm:f>0</xm:f>
              </x14:cfvo>
              <x14:cfvo type="num">
                <xm:f>0</xm:f>
              </x14:cfvo>
              <x14:cfvo type="num">
                <xm:f>1</xm:f>
              </x14:cfvo>
              <x14:cfIcon iconSet="NoIcons" iconId="0"/>
              <x14:cfIcon iconSet="NoIcons" iconId="0"/>
              <x14:cfIcon iconSet="3Symbols2" iconId="2"/>
            </x14:iconSet>
          </x14:cfRule>
          <xm:sqref>G4:W136</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tabColor theme="2" tint="-0.499984740745262"/>
  </sheetPr>
  <dimension ref="A1:CA1270"/>
  <sheetViews>
    <sheetView zoomScale="85" zoomScaleNormal="85" workbookViewId="0">
      <pane ySplit="3" topLeftCell="A4" activePane="bottomLeft" state="frozen"/>
      <selection pane="bottomLeft" activeCell="F4" sqref="F4"/>
    </sheetView>
  </sheetViews>
  <sheetFormatPr defaultColWidth="30.42578125" defaultRowHeight="12.75" x14ac:dyDescent="0.2"/>
  <cols>
    <col min="1" max="1" width="7.5703125" style="45" customWidth="1"/>
    <col min="2" max="2" width="7.7109375" style="45" customWidth="1"/>
    <col min="3" max="3" width="13.5703125" style="45" customWidth="1"/>
    <col min="4" max="4" width="12.5703125" style="45" customWidth="1"/>
    <col min="5" max="5" width="3.28515625" style="45" customWidth="1"/>
    <col min="6" max="6" width="10.5703125" style="45" customWidth="1"/>
    <col min="7" max="7" width="11.42578125" style="45" customWidth="1"/>
    <col min="8" max="8" width="21.7109375" style="45" customWidth="1"/>
    <col min="9" max="9" width="68.140625" style="45" customWidth="1"/>
    <col min="10" max="10" width="3.5703125" style="45" customWidth="1"/>
    <col min="11" max="11" width="8.5703125" style="57" customWidth="1"/>
    <col min="12" max="12" width="9.85546875" style="45" customWidth="1"/>
    <col min="13" max="78" width="5.7109375" style="45" customWidth="1"/>
    <col min="79" max="79" width="16.28515625" style="45" customWidth="1"/>
    <col min="80" max="16384" width="30.42578125" style="45"/>
  </cols>
  <sheetData>
    <row r="1" spans="1:79" x14ac:dyDescent="0.2">
      <c r="F1" s="265">
        <f ca="1">(INDIRECT("D" &amp; (INDIRECT("A4")+2)) &gt;= INDIRECT("E" &amp; (INDIRECT("A5")+2)))*1</f>
        <v>1</v>
      </c>
    </row>
    <row r="2" spans="1:79" ht="15.75" x14ac:dyDescent="0.25">
      <c r="E2" s="177" t="s">
        <v>998</v>
      </c>
      <c r="F2" s="281">
        <f>IFERROR(SMALL(TblTech[Activate @ hour],1),0)</f>
        <v>0</v>
      </c>
      <c r="G2" s="45" t="s">
        <v>1060</v>
      </c>
      <c r="M2" s="266">
        <f>INDEX(TblTech[[Activate @ hour]:[Number]],MATCH(TblTech[[#Headers],[1-1]],TblTech[[Number]:[Number]],0),1)</f>
        <v>0</v>
      </c>
      <c r="N2" s="266">
        <f>INDEX(TblTech[[Activate @ hour]:[Number]],MATCH(TblTech[[#Headers],[1-2]],TblTech[[Number]:[Number]],0),1)</f>
        <v>0</v>
      </c>
      <c r="O2" s="266">
        <f>INDEX(TblTech[[Activate @ hour]:[Number]],MATCH(TblTech[[#Headers],[1-3]],TblTech[[Number]:[Number]],0),1)</f>
        <v>0</v>
      </c>
      <c r="P2" s="266">
        <f>INDEX(TblTech[[Activate @ hour]:[Number]],MATCH(TblTech[[#Headers],[1-4]],TblTech[[Number]:[Number]],0),1)</f>
        <v>0</v>
      </c>
      <c r="Q2" s="266">
        <f>INDEX(TblTech[[Activate @ hour]:[Number]],MATCH(TblTech[[#Headers],[1-5]],TblTech[[Number]:[Number]],0),1)</f>
        <v>0</v>
      </c>
      <c r="R2" s="266">
        <f>INDEX(TblTech[[Activate @ hour]:[Number]],MATCH(TblTech[[#Headers],[1-6]],TblTech[[Number]:[Number]],0),1)</f>
        <v>0</v>
      </c>
      <c r="S2" s="266">
        <f>INDEX(TblTech[[Activate @ hour]:[Number]],MATCH(TblTech[[#Headers],[1-7]],TblTech[[Number]:[Number]],0),1)</f>
        <v>0</v>
      </c>
      <c r="T2" s="266">
        <f>INDEX(TblTech[[Activate @ hour]:[Number]],MATCH(TblTech[[#Headers],[1-8]],TblTech[[Number]:[Number]],0),1)</f>
        <v>0</v>
      </c>
      <c r="U2" s="266">
        <f>INDEX(TblTech[[Activate @ hour]:[Number]],MATCH(TblTech[[#Headers],[1-9]],TblTech[[Number]:[Number]],0),1)</f>
        <v>0</v>
      </c>
      <c r="V2" s="266">
        <f>INDEX(TblTech[[Activate @ hour]:[Number]],MATCH(TblTech[[#Headers],[1-10]],TblTech[[Number]:[Number]],0),1)</f>
        <v>0</v>
      </c>
      <c r="W2" s="266">
        <f>INDEX(TblTech[[Activate @ hour]:[Number]],MATCH(TblTech[[#Headers],[1-11]],TblTech[[Number]:[Number]],0),1)</f>
        <v>0</v>
      </c>
      <c r="X2" s="266">
        <f>INDEX(TblTech[[Activate @ hour]:[Number]],MATCH(TblTech[[#Headers],[2-1]],TblTech[[Number]:[Number]],0),1)</f>
        <v>0</v>
      </c>
      <c r="Y2" s="266">
        <f>INDEX(TblTech[[Activate @ hour]:[Number]],MATCH(TblTech[[#Headers],[2-2]],TblTech[[Number]:[Number]],0),1)</f>
        <v>0</v>
      </c>
      <c r="Z2" s="266">
        <f>INDEX(TblTech[[Activate @ hour]:[Number]],MATCH(TblTech[[#Headers],[2-3]],TblTech[[Number]:[Number]],0),1)</f>
        <v>0</v>
      </c>
      <c r="AA2" s="266">
        <f>INDEX(TblTech[[Activate @ hour]:[Number]],MATCH(TblTech[[#Headers],[2-4]],TblTech[[Number]:[Number]],0),1)</f>
        <v>0</v>
      </c>
      <c r="AB2" s="266">
        <f>INDEX(TblTech[[Activate @ hour]:[Number]],MATCH(TblTech[[#Headers],[2-5]],TblTech[[Number]:[Number]],0),1)</f>
        <v>0</v>
      </c>
      <c r="AC2" s="266">
        <f>INDEX(TblTech[[Activate @ hour]:[Number]],MATCH(TblTech[[#Headers],[2-6]],TblTech[[Number]:[Number]],0),1)</f>
        <v>0</v>
      </c>
      <c r="AD2" s="266">
        <f>INDEX(TblTech[[Activate @ hour]:[Number]],MATCH(TblTech[[#Headers],[2-7]],TblTech[[Number]:[Number]],0),1)</f>
        <v>0</v>
      </c>
      <c r="AE2" s="266">
        <f>INDEX(TblTech[[Activate @ hour]:[Number]],MATCH(TblTech[[#Headers],[2-8]],TblTech[[Number]:[Number]],0),1)</f>
        <v>0</v>
      </c>
      <c r="AF2" s="266">
        <f>INDEX(TblTech[[Activate @ hour]:[Number]],MATCH(TblTech[[#Headers],[2-9]],TblTech[[Number]:[Number]],0),1)</f>
        <v>0</v>
      </c>
      <c r="AG2" s="266">
        <f>INDEX(TblTech[[Activate @ hour]:[Number]],MATCH(TblTech[[#Headers],[2-10]],TblTech[[Number]:[Number]],0),1)</f>
        <v>0</v>
      </c>
      <c r="AH2" s="266">
        <f>INDEX(TblTech[[Activate @ hour]:[Number]],MATCH(TblTech[[#Headers],[3-1]],TblTech[[Number]:[Number]],0),1)</f>
        <v>0</v>
      </c>
      <c r="AI2" s="266">
        <f>INDEX(TblTech[[Activate @ hour]:[Number]],MATCH(TblTech[[#Headers],[3-2]],TblTech[[Number]:[Number]],0),1)</f>
        <v>0</v>
      </c>
      <c r="AJ2" s="266">
        <f>INDEX(TblTech[[Activate @ hour]:[Number]],MATCH(TblTech[[#Headers],[3-3]],TblTech[[Number]:[Number]],0),1)</f>
        <v>0</v>
      </c>
      <c r="AK2" s="266">
        <f>INDEX(TblTech[[Activate @ hour]:[Number]],MATCH(TblTech[[#Headers],[3-4]],TblTech[[Number]:[Number]],0),1)</f>
        <v>0</v>
      </c>
      <c r="AL2" s="266">
        <f>INDEX(TblTech[[Activate @ hour]:[Number]],MATCH(TblTech[[#Headers],[3-5]],TblTech[[Number]:[Number]],0),1)</f>
        <v>0</v>
      </c>
      <c r="AM2" s="266">
        <f>INDEX(TblTech[[Activate @ hour]:[Number]],MATCH(TblTech[[#Headers],[3-6]],TblTech[[Number]:[Number]],0),1)</f>
        <v>0</v>
      </c>
      <c r="AN2" s="266">
        <f>INDEX(TblTech[[Activate @ hour]:[Number]],MATCH(TblTech[[#Headers],[3-7]],TblTech[[Number]:[Number]],0),1)</f>
        <v>0</v>
      </c>
      <c r="AO2" s="266">
        <f>INDEX(TblTech[[Activate @ hour]:[Number]],MATCH(TblTech[[#Headers],[3-8]],TblTech[[Number]:[Number]],0),1)</f>
        <v>0</v>
      </c>
      <c r="AP2" s="266">
        <f>INDEX(TblTech[[Activate @ hour]:[Number]],MATCH(TblTech[[#Headers],[3-9]],TblTech[[Number]:[Number]],0),1)</f>
        <v>0</v>
      </c>
      <c r="AQ2" s="266">
        <f>INDEX(TblTech[[Activate @ hour]:[Number]],MATCH(TblTech[[#Headers],[4-1]],TblTech[[Number]:[Number]],0),1)</f>
        <v>0</v>
      </c>
      <c r="AR2" s="266">
        <f>INDEX(TblTech[[Activate @ hour]:[Number]],MATCH(TblTech[[#Headers],[4-2]],TblTech[[Number]:[Number]],0),1)</f>
        <v>0</v>
      </c>
      <c r="AS2" s="266">
        <f>INDEX(TblTech[[Activate @ hour]:[Number]],MATCH(TblTech[[#Headers],[4-3]],TblTech[[Number]:[Number]],0),1)</f>
        <v>0</v>
      </c>
      <c r="AT2" s="266">
        <f>INDEX(TblTech[[Activate @ hour]:[Number]],MATCH(TblTech[[#Headers],[4-4]],TblTech[[Number]:[Number]],0),1)</f>
        <v>0</v>
      </c>
      <c r="AU2" s="266">
        <f>INDEX(TblTech[[Activate @ hour]:[Number]],MATCH(TblTech[[#Headers],[4-5]],TblTech[[Number]:[Number]],0),1)</f>
        <v>0</v>
      </c>
      <c r="AV2" s="266">
        <f>INDEX(TblTech[[Activate @ hour]:[Number]],MATCH(TblTech[[#Headers],[4-6]],TblTech[[Number]:[Number]],0),1)</f>
        <v>0</v>
      </c>
      <c r="AW2" s="266">
        <f>INDEX(TblTech[[Activate @ hour]:[Number]],MATCH(TblTech[[#Headers],[4-7]],TblTech[[Number]:[Number]],0),1)</f>
        <v>0</v>
      </c>
      <c r="AX2" s="266">
        <f>INDEX(TblTech[[Activate @ hour]:[Number]],MATCH(TblTech[[#Headers],[4-8]],TblTech[[Number]:[Number]],0),1)</f>
        <v>0</v>
      </c>
      <c r="AY2" s="266">
        <f>INDEX(TblTech[[Activate @ hour]:[Number]],MATCH(TblTech[[#Headers],[5-1]],TblTech[[Number]:[Number]],0),1)</f>
        <v>0</v>
      </c>
      <c r="AZ2" s="266">
        <f>INDEX(TblTech[[Activate @ hour]:[Number]],MATCH(TblTech[[#Headers],[5-2]],TblTech[[Number]:[Number]],0),1)</f>
        <v>0</v>
      </c>
      <c r="BA2" s="266">
        <f>INDEX(TblTech[[Activate @ hour]:[Number]],MATCH(TblTech[[#Headers],[5-3]],TblTech[[Number]:[Number]],0),1)</f>
        <v>0</v>
      </c>
      <c r="BB2" s="266">
        <f>INDEX(TblTech[[Activate @ hour]:[Number]],MATCH(TblTech[[#Headers],[5-4]],TblTech[[Number]:[Number]],0),1)</f>
        <v>0</v>
      </c>
      <c r="BC2" s="266">
        <f>INDEX(TblTech[[Activate @ hour]:[Number]],MATCH(TblTech[[#Headers],[5-5]],TblTech[[Number]:[Number]],0),1)</f>
        <v>0</v>
      </c>
      <c r="BD2" s="266">
        <f>INDEX(TblTech[[Activate @ hour]:[Number]],MATCH(TblTech[[#Headers],[5-6]],TblTech[[Number]:[Number]],0),1)</f>
        <v>0</v>
      </c>
      <c r="BE2" s="266">
        <f>INDEX(TblTech[[Activate @ hour]:[Number]],MATCH(TblTech[[#Headers],[5-7]],TblTech[[Number]:[Number]],0),1)</f>
        <v>0</v>
      </c>
      <c r="BF2" s="266">
        <f>INDEX(TblTech[[Activate @ hour]:[Number]],MATCH(TblTech[[#Headers],[6-1]],TblTech[[Number]:[Number]],0),1)</f>
        <v>0</v>
      </c>
      <c r="BG2" s="266">
        <f>INDEX(TblTech[[Activate @ hour]:[Number]],MATCH(TblTech[[#Headers],[6-2]],TblTech[[Number]:[Number]],0),1)</f>
        <v>0</v>
      </c>
      <c r="BH2" s="266">
        <f>INDEX(TblTech[[Activate @ hour]:[Number]],MATCH(TblTech[[#Headers],[6-3]],TblTech[[Number]:[Number]],0),1)</f>
        <v>0</v>
      </c>
      <c r="BI2" s="266">
        <f>INDEX(TblTech[[Activate @ hour]:[Number]],MATCH(TblTech[[#Headers],[6-4]],TblTech[[Number]:[Number]],0),1)</f>
        <v>0</v>
      </c>
      <c r="BJ2" s="266">
        <f>INDEX(TblTech[[Activate @ hour]:[Number]],MATCH(TblTech[[#Headers],[6-5]],TblTech[[Number]:[Number]],0),1)</f>
        <v>0</v>
      </c>
      <c r="BK2" s="266">
        <f>INDEX(TblTech[[Activate @ hour]:[Number]],MATCH(TblTech[[#Headers],[6-6]],TblTech[[Number]:[Number]],0),1)</f>
        <v>0</v>
      </c>
      <c r="BL2" s="266">
        <f>INDEX(TblTech[[Activate @ hour]:[Number]],MATCH(TblTech[[#Headers],[7-1]],TblTech[[Number]:[Number]],0),1)</f>
        <v>0</v>
      </c>
      <c r="BM2" s="266">
        <f>INDEX(TblTech[[Activate @ hour]:[Number]],MATCH(TblTech[[#Headers],[7-2]],TblTech[[Number]:[Number]],0),1)</f>
        <v>0</v>
      </c>
      <c r="BN2" s="266">
        <f>INDEX(TblTech[[Activate @ hour]:[Number]],MATCH(TblTech[[#Headers],[7-3]],TblTech[[Number]:[Number]],0),1)</f>
        <v>0</v>
      </c>
      <c r="BO2" s="266">
        <f>INDEX(TblTech[[Activate @ hour]:[Number]],MATCH(TblTech[[#Headers],[7-4]],TblTech[[Number]:[Number]],0),1)</f>
        <v>0</v>
      </c>
      <c r="BP2" s="266">
        <f>INDEX(TblTech[[Activate @ hour]:[Number]],MATCH(TblTech[[#Headers],[7-5]],TblTech[[Number]:[Number]],0),1)</f>
        <v>0</v>
      </c>
      <c r="BQ2" s="266">
        <f>INDEX(TblTech[[Activate @ hour]:[Number]],MATCH(TblTech[[#Headers],[8-1]],TblTech[[Number]:[Number]],0),1)</f>
        <v>0</v>
      </c>
      <c r="BR2" s="266">
        <f>INDEX(TblTech[[Activate @ hour]:[Number]],MATCH(TblTech[[#Headers],[8-2]],TblTech[[Number]:[Number]],0),1)</f>
        <v>0</v>
      </c>
      <c r="BS2" s="266">
        <f>INDEX(TblTech[[Activate @ hour]:[Number]],MATCH(TblTech[[#Headers],[8-3]],TblTech[[Number]:[Number]],0),1)</f>
        <v>0</v>
      </c>
      <c r="BT2" s="266">
        <f>INDEX(TblTech[[Activate @ hour]:[Number]],MATCH(TblTech[[#Headers],[8-4]],TblTech[[Number]:[Number]],0),1)</f>
        <v>0</v>
      </c>
      <c r="BU2" s="266">
        <f>INDEX(TblTech[[Activate @ hour]:[Number]],MATCH(TblTech[[#Headers],[9-1]],TblTech[[Number]:[Number]],0),1)</f>
        <v>0</v>
      </c>
      <c r="BV2" s="266">
        <f>INDEX(TblTech[[Activate @ hour]:[Number]],MATCH(TblTech[[#Headers],[9-2]],TblTech[[Number]:[Number]],0),1)</f>
        <v>0</v>
      </c>
      <c r="BW2" s="266">
        <f>INDEX(TblTech[[Activate @ hour]:[Number]],MATCH(TblTech[[#Headers],[9-3]],TblTech[[Number]:[Number]],0),1)</f>
        <v>0</v>
      </c>
      <c r="BX2" s="266">
        <f>INDEX(TblTech[[Activate @ hour]:[Number]],MATCH(TblTech[[#Headers],[10-1]],TblTech[[Number]:[Number]],0),1)</f>
        <v>0</v>
      </c>
      <c r="BY2" s="266">
        <f>INDEX(TblTech[[Activate @ hour]:[Number]],MATCH(TblTech[[#Headers],[10-2]],TblTech[[Number]:[Number]],0),1)</f>
        <v>0</v>
      </c>
      <c r="BZ2" s="266">
        <f>INDEX(TblTech[[Activate @ hour]:[Number]],MATCH(TblTech[[#Headers],[11-1]],TblTech[[Number]:[Number]],0),1)</f>
        <v>0</v>
      </c>
    </row>
    <row r="3" spans="1:79" s="267" customFormat="1" ht="33.75" customHeight="1" x14ac:dyDescent="0.2">
      <c r="A3" s="267" t="s">
        <v>0</v>
      </c>
      <c r="B3" s="267" t="s">
        <v>1</v>
      </c>
      <c r="C3" s="267" t="s">
        <v>370</v>
      </c>
      <c r="D3" s="267" t="s">
        <v>33</v>
      </c>
      <c r="E3" s="267" t="s">
        <v>769</v>
      </c>
      <c r="F3" s="267" t="s">
        <v>999</v>
      </c>
      <c r="G3" s="267" t="s">
        <v>928</v>
      </c>
      <c r="H3" s="267" t="s">
        <v>970</v>
      </c>
      <c r="I3" s="267" t="s">
        <v>971</v>
      </c>
      <c r="J3" s="267" t="s">
        <v>770</v>
      </c>
      <c r="K3" s="243" t="s">
        <v>771</v>
      </c>
      <c r="L3" s="267" t="s">
        <v>929</v>
      </c>
      <c r="M3" s="213" t="s">
        <v>536</v>
      </c>
      <c r="N3" s="213" t="s">
        <v>538</v>
      </c>
      <c r="O3" s="213" t="s">
        <v>539</v>
      </c>
      <c r="P3" s="213" t="s">
        <v>541</v>
      </c>
      <c r="Q3" s="213" t="s">
        <v>543</v>
      </c>
      <c r="R3" s="213" t="s">
        <v>544</v>
      </c>
      <c r="S3" s="213" t="s">
        <v>545</v>
      </c>
      <c r="T3" s="213" t="s">
        <v>546</v>
      </c>
      <c r="U3" s="213" t="s">
        <v>547</v>
      </c>
      <c r="V3" s="213" t="s">
        <v>549</v>
      </c>
      <c r="W3" s="213" t="s">
        <v>551</v>
      </c>
      <c r="X3" s="213" t="s">
        <v>552</v>
      </c>
      <c r="Y3" s="213" t="s">
        <v>553</v>
      </c>
      <c r="Z3" s="213" t="s">
        <v>554</v>
      </c>
      <c r="AA3" s="213" t="s">
        <v>556</v>
      </c>
      <c r="AB3" s="213" t="s">
        <v>557</v>
      </c>
      <c r="AC3" s="213" t="s">
        <v>558</v>
      </c>
      <c r="AD3" s="213" t="s">
        <v>560</v>
      </c>
      <c r="AE3" s="213" t="s">
        <v>562</v>
      </c>
      <c r="AF3" s="213" t="s">
        <v>563</v>
      </c>
      <c r="AG3" s="213" t="s">
        <v>564</v>
      </c>
      <c r="AH3" s="213" t="s">
        <v>566</v>
      </c>
      <c r="AI3" s="213" t="s">
        <v>568</v>
      </c>
      <c r="AJ3" s="213" t="s">
        <v>570</v>
      </c>
      <c r="AK3" s="213" t="s">
        <v>571</v>
      </c>
      <c r="AL3" s="213" t="s">
        <v>572</v>
      </c>
      <c r="AM3" s="213" t="s">
        <v>573</v>
      </c>
      <c r="AN3" s="213" t="s">
        <v>574</v>
      </c>
      <c r="AO3" s="213" t="s">
        <v>575</v>
      </c>
      <c r="AP3" s="213" t="s">
        <v>576</v>
      </c>
      <c r="AQ3" s="213" t="s">
        <v>578</v>
      </c>
      <c r="AR3" s="213" t="s">
        <v>579</v>
      </c>
      <c r="AS3" s="213" t="s">
        <v>580</v>
      </c>
      <c r="AT3" s="213" t="s">
        <v>581</v>
      </c>
      <c r="AU3" s="213" t="s">
        <v>582</v>
      </c>
      <c r="AV3" s="213" t="s">
        <v>583</v>
      </c>
      <c r="AW3" s="213" t="s">
        <v>585</v>
      </c>
      <c r="AX3" s="213" t="s">
        <v>586</v>
      </c>
      <c r="AY3" s="213" t="s">
        <v>587</v>
      </c>
      <c r="AZ3" s="213" t="s">
        <v>588</v>
      </c>
      <c r="BA3" s="213" t="s">
        <v>589</v>
      </c>
      <c r="BB3" s="213" t="s">
        <v>590</v>
      </c>
      <c r="BC3" s="213" t="s">
        <v>591</v>
      </c>
      <c r="BD3" s="213" t="s">
        <v>592</v>
      </c>
      <c r="BE3" s="213" t="s">
        <v>593</v>
      </c>
      <c r="BF3" s="213" t="s">
        <v>594</v>
      </c>
      <c r="BG3" s="213" t="s">
        <v>595</v>
      </c>
      <c r="BH3" s="213" t="s">
        <v>597</v>
      </c>
      <c r="BI3" s="213" t="s">
        <v>598</v>
      </c>
      <c r="BJ3" s="213" t="s">
        <v>600</v>
      </c>
      <c r="BK3" s="213" t="s">
        <v>601</v>
      </c>
      <c r="BL3" s="213" t="s">
        <v>602</v>
      </c>
      <c r="BM3" s="213" t="s">
        <v>604</v>
      </c>
      <c r="BN3" s="213" t="s">
        <v>606</v>
      </c>
      <c r="BO3" s="213" t="s">
        <v>607</v>
      </c>
      <c r="BP3" s="213" t="s">
        <v>608</v>
      </c>
      <c r="BQ3" s="213" t="s">
        <v>610</v>
      </c>
      <c r="BR3" s="213" t="s">
        <v>611</v>
      </c>
      <c r="BS3" s="213" t="s">
        <v>613</v>
      </c>
      <c r="BT3" s="213" t="s">
        <v>615</v>
      </c>
      <c r="BU3" s="213" t="s">
        <v>616</v>
      </c>
      <c r="BV3" s="213" t="s">
        <v>618</v>
      </c>
      <c r="BW3" s="213" t="s">
        <v>619</v>
      </c>
      <c r="BX3" s="213" t="s">
        <v>620</v>
      </c>
      <c r="BY3" s="213" t="s">
        <v>622</v>
      </c>
      <c r="BZ3" s="213" t="s">
        <v>623</v>
      </c>
      <c r="CA3" s="213" t="s">
        <v>677</v>
      </c>
    </row>
    <row r="4" spans="1:79" x14ac:dyDescent="0.2">
      <c r="A4" s="268">
        <f>TblRezone[[#This Row],[Hour]]</f>
        <v>1</v>
      </c>
      <c r="B4" s="269">
        <f ca="1">TblExplore[[#This Row],[Land-DB]]</f>
        <v>50</v>
      </c>
      <c r="C4" s="270">
        <f ca="1">TblProd[[#This Row],[Techpoints]]</f>
        <v>0</v>
      </c>
      <c r="D4" s="270">
        <f ca="1">TblProd[[#This Row],[Required]]</f>
        <v>3750</v>
      </c>
      <c r="E4" s="271"/>
      <c r="F4" s="272"/>
      <c r="G4" s="273" t="s">
        <v>536</v>
      </c>
      <c r="H4" s="274" t="s">
        <v>678</v>
      </c>
      <c r="I4" s="273" t="s">
        <v>537</v>
      </c>
      <c r="J4" s="269"/>
      <c r="K4" s="93">
        <f>TblTech[[#This Row],[Sum of tech]]</f>
        <v>0</v>
      </c>
      <c r="L4" s="275">
        <f>COUNTIF(TblTech[[#This Row],[1-1]:[11-1]],1)</f>
        <v>0</v>
      </c>
      <c r="M4" s="276" cm="1">
        <f t="array" ref="M4">IF(AND(M$2&lt;&gt;0,TblTech[[#This Row],[Hour]:[Hour]]&gt;=M$2),1,0)</f>
        <v>0</v>
      </c>
      <c r="N4" s="276" cm="1">
        <f t="array" ref="N4">IF(AND(N$2&lt;&gt;0,TblTech[[#This Row],[Hour]:[Hour]]&gt;=N$2),1,0)</f>
        <v>0</v>
      </c>
      <c r="O4" s="276" cm="1">
        <f t="array" ref="O4">IF(AND(O$2&lt;&gt;0,TblTech[[#This Row],[Hour]:[Hour]]&gt;=O$2),1,0)</f>
        <v>0</v>
      </c>
      <c r="P4" s="276" cm="1">
        <f t="array" ref="P4">IF(AND(P$2&lt;&gt;0,TblTech[[#This Row],[Hour]:[Hour]]&gt;=P$2),1,0)</f>
        <v>0</v>
      </c>
      <c r="Q4" s="276" cm="1">
        <f t="array" ref="Q4">IF(AND(Q$2&lt;&gt;0,TblTech[[#This Row],[Hour]:[Hour]]&gt;=Q$2),1,0)</f>
        <v>0</v>
      </c>
      <c r="R4" s="276" cm="1">
        <f t="array" ref="R4">IF(AND(R$2&lt;&gt;0,TblTech[[#This Row],[Hour]:[Hour]]&gt;=R$2),1,0)</f>
        <v>0</v>
      </c>
      <c r="S4" s="276" cm="1">
        <f t="array" ref="S4">IF(AND(S$2&lt;&gt;0,TblTech[[#This Row],[Hour]:[Hour]]&gt;=S$2),1,0)</f>
        <v>0</v>
      </c>
      <c r="T4" s="276" cm="1">
        <f t="array" ref="T4">IF(AND(T$2&lt;&gt;0,TblTech[[#This Row],[Hour]:[Hour]]&gt;=T$2),1,0)</f>
        <v>0</v>
      </c>
      <c r="U4" s="276" cm="1">
        <f t="array" ref="U4">IF(AND(U$2&lt;&gt;0,TblTech[[#This Row],[Hour]:[Hour]]&gt;=U$2),1,0)</f>
        <v>0</v>
      </c>
      <c r="V4" s="276" cm="1">
        <f t="array" ref="V4">IF(AND(V$2&lt;&gt;0,TblTech[[#This Row],[Hour]:[Hour]]&gt;=V$2),1,0)</f>
        <v>0</v>
      </c>
      <c r="W4" s="276" cm="1">
        <f t="array" ref="W4">IF(AND(W$2&lt;&gt;0,TblTech[[#This Row],[Hour]:[Hour]]&gt;=W$2),1,0)</f>
        <v>0</v>
      </c>
      <c r="X4" s="276" cm="1">
        <f t="array" ref="X4">IF(AND(X$2&lt;&gt;0,TblTech[[#This Row],[Hour]:[Hour]]&gt;=X$2),1,0)</f>
        <v>0</v>
      </c>
      <c r="Y4" s="276" cm="1">
        <f t="array" ref="Y4">IF(AND(Y$2&lt;&gt;0,TblTech[[#This Row],[Hour]:[Hour]]&gt;=Y$2),1,0)</f>
        <v>0</v>
      </c>
      <c r="Z4" s="276" cm="1">
        <f t="array" ref="Z4">IF(AND(Z$2&lt;&gt;0,TblTech[[#This Row],[Hour]:[Hour]]&gt;=Z$2),1,0)</f>
        <v>0</v>
      </c>
      <c r="AA4" s="276" cm="1">
        <f t="array" ref="AA4">IF(AND(AA$2&lt;&gt;0,TblTech[[#This Row],[Hour]:[Hour]]&gt;=AA$2),1,0)</f>
        <v>0</v>
      </c>
      <c r="AB4" s="276" cm="1">
        <f t="array" ref="AB4">IF(AND(AB$2&lt;&gt;0,TblTech[[#This Row],[Hour]:[Hour]]&gt;=AB$2),1,0)</f>
        <v>0</v>
      </c>
      <c r="AC4" s="276" cm="1">
        <f t="array" ref="AC4">IF(AND(AC$2&lt;&gt;0,TblTech[[#This Row],[Hour]:[Hour]]&gt;=AC$2),1,0)</f>
        <v>0</v>
      </c>
      <c r="AD4" s="276" cm="1">
        <f t="array" ref="AD4">IF(AND(AD$2&lt;&gt;0,TblTech[[#This Row],[Hour]:[Hour]]&gt;=AD$2),1,0)</f>
        <v>0</v>
      </c>
      <c r="AE4" s="276" cm="1">
        <f t="array" ref="AE4">IF(AND(AE$2&lt;&gt;0,TblTech[[#This Row],[Hour]:[Hour]]&gt;=AE$2),1,0)</f>
        <v>0</v>
      </c>
      <c r="AF4" s="276" cm="1">
        <f t="array" ref="AF4">IF(AND(AF$2&lt;&gt;0,TblTech[[#This Row],[Hour]:[Hour]]&gt;=AF$2),1,0)</f>
        <v>0</v>
      </c>
      <c r="AG4" s="276" cm="1">
        <f t="array" ref="AG4">IF(AND(AG$2&lt;&gt;0,TblTech[[#This Row],[Hour]:[Hour]]&gt;=AG$2),1,0)</f>
        <v>0</v>
      </c>
      <c r="AH4" s="276" cm="1">
        <f t="array" ref="AH4">IF(AND(AH$2&lt;&gt;0,TblTech[[#This Row],[Hour]:[Hour]]&gt;=AH$2),1,0)</f>
        <v>0</v>
      </c>
      <c r="AI4" s="276" cm="1">
        <f t="array" ref="AI4">IF(AND(AI$2&lt;&gt;0,TblTech[[#This Row],[Hour]:[Hour]]&gt;=AI$2),1,0)</f>
        <v>0</v>
      </c>
      <c r="AJ4" s="276" cm="1">
        <f t="array" ref="AJ4">IF(AND(AJ$2&lt;&gt;0,TblTech[[#This Row],[Hour]:[Hour]]&gt;=AJ$2),1,0)</f>
        <v>0</v>
      </c>
      <c r="AK4" s="276" cm="1">
        <f t="array" ref="AK4">IF(AND(AK$2&lt;&gt;0,TblTech[[#This Row],[Hour]:[Hour]]&gt;=AK$2),1,0)</f>
        <v>0</v>
      </c>
      <c r="AL4" s="276" cm="1">
        <f t="array" ref="AL4">IF(AND(AL$2&lt;&gt;0,TblTech[[#This Row],[Hour]:[Hour]]&gt;=AL$2),1,0)</f>
        <v>0</v>
      </c>
      <c r="AM4" s="276" cm="1">
        <f t="array" ref="AM4">IF(AND(AM$2&lt;&gt;0,TblTech[[#This Row],[Hour]:[Hour]]&gt;=AM$2),1,0)</f>
        <v>0</v>
      </c>
      <c r="AN4" s="276" cm="1">
        <f t="array" ref="AN4">IF(AND(AN$2&lt;&gt;0,TblTech[[#This Row],[Hour]:[Hour]]&gt;=AN$2),1,0)</f>
        <v>0</v>
      </c>
      <c r="AO4" s="276" cm="1">
        <f t="array" ref="AO4">IF(AND(AO$2&lt;&gt;0,TblTech[[#This Row],[Hour]:[Hour]]&gt;=AO$2),1,0)</f>
        <v>0</v>
      </c>
      <c r="AP4" s="276" cm="1">
        <f t="array" ref="AP4">IF(AND(AP$2&lt;&gt;0,TblTech[[#This Row],[Hour]:[Hour]]&gt;=AP$2),1,0)</f>
        <v>0</v>
      </c>
      <c r="AQ4" s="276" cm="1">
        <f t="array" ref="AQ4">IF(AND(AQ$2&lt;&gt;0,TblTech[[#This Row],[Hour]:[Hour]]&gt;=AQ$2),1,0)</f>
        <v>0</v>
      </c>
      <c r="AR4" s="276" cm="1">
        <f t="array" ref="AR4">IF(AND(AR$2&lt;&gt;0,TblTech[[#This Row],[Hour]:[Hour]]&gt;=AR$2),1,0)</f>
        <v>0</v>
      </c>
      <c r="AS4" s="276" cm="1">
        <f t="array" ref="AS4">IF(AND(AS$2&lt;&gt;0,TblTech[[#This Row],[Hour]:[Hour]]&gt;=AS$2),1,0)</f>
        <v>0</v>
      </c>
      <c r="AT4" s="276" cm="1">
        <f t="array" ref="AT4">IF(AND(AT$2&lt;&gt;0,TblTech[[#This Row],[Hour]:[Hour]]&gt;=AT$2),1,0)</f>
        <v>0</v>
      </c>
      <c r="AU4" s="276" cm="1">
        <f t="array" ref="AU4">IF(AND(AU$2&lt;&gt;0,TblTech[[#This Row],[Hour]:[Hour]]&gt;=AU$2),1,0)</f>
        <v>0</v>
      </c>
      <c r="AV4" s="276" cm="1">
        <f t="array" ref="AV4">IF(AND(AV$2&lt;&gt;0,TblTech[[#This Row],[Hour]:[Hour]]&gt;=AV$2),1,0)</f>
        <v>0</v>
      </c>
      <c r="AW4" s="276" cm="1">
        <f t="array" ref="AW4">IF(AND(AW$2&lt;&gt;0,TblTech[[#This Row],[Hour]:[Hour]]&gt;=AW$2),1,0)</f>
        <v>0</v>
      </c>
      <c r="AX4" s="276" cm="1">
        <f t="array" ref="AX4">IF(AND(AX$2&lt;&gt;0,TblTech[[#This Row],[Hour]:[Hour]]&gt;=AX$2),1,0)</f>
        <v>0</v>
      </c>
      <c r="AY4" s="276" cm="1">
        <f t="array" ref="AY4">IF(AND(AY$2&lt;&gt;0,TblTech[[#This Row],[Hour]:[Hour]]&gt;=AY$2),1,0)</f>
        <v>0</v>
      </c>
      <c r="AZ4" s="276" cm="1">
        <f t="array" ref="AZ4">IF(AND(AZ$2&lt;&gt;0,TblTech[[#This Row],[Hour]:[Hour]]&gt;=AZ$2),1,0)</f>
        <v>0</v>
      </c>
      <c r="BA4" s="276" cm="1">
        <f t="array" ref="BA4">IF(AND(BA$2&lt;&gt;0,TblTech[[#This Row],[Hour]:[Hour]]&gt;=BA$2),1,0)</f>
        <v>0</v>
      </c>
      <c r="BB4" s="276" cm="1">
        <f t="array" ref="BB4">IF(AND(BB$2&lt;&gt;0,TblTech[[#This Row],[Hour]:[Hour]]&gt;=BB$2),1,0)</f>
        <v>0</v>
      </c>
      <c r="BC4" s="276" cm="1">
        <f t="array" ref="BC4">IF(AND(BC$2&lt;&gt;0,TblTech[[#This Row],[Hour]:[Hour]]&gt;=BC$2),1,0)</f>
        <v>0</v>
      </c>
      <c r="BD4" s="276" cm="1">
        <f t="array" ref="BD4">IF(AND(BD$2&lt;&gt;0,TblTech[[#This Row],[Hour]:[Hour]]&gt;=BD$2),1,0)</f>
        <v>0</v>
      </c>
      <c r="BE4" s="276" cm="1">
        <f t="array" ref="BE4">IF(AND(BE$2&lt;&gt;0,TblTech[[#This Row],[Hour]:[Hour]]&gt;=BE$2),1,0)</f>
        <v>0</v>
      </c>
      <c r="BF4" s="276" cm="1">
        <f t="array" ref="BF4">IF(AND(BF$2&lt;&gt;0,TblTech[[#This Row],[Hour]:[Hour]]&gt;=BF$2),1,0)</f>
        <v>0</v>
      </c>
      <c r="BG4" s="276" cm="1">
        <f t="array" ref="BG4">IF(AND(BG$2&lt;&gt;0,TblTech[[#This Row],[Hour]:[Hour]]&gt;=BG$2),1,0)</f>
        <v>0</v>
      </c>
      <c r="BH4" s="276" cm="1">
        <f t="array" ref="BH4">IF(AND(BH$2&lt;&gt;0,TblTech[[#This Row],[Hour]:[Hour]]&gt;=BH$2),1,0)</f>
        <v>0</v>
      </c>
      <c r="BI4" s="276" cm="1">
        <f t="array" ref="BI4">IF(AND(BI$2&lt;&gt;0,TblTech[[#This Row],[Hour]:[Hour]]&gt;=BI$2),1,0)</f>
        <v>0</v>
      </c>
      <c r="BJ4" s="276" cm="1">
        <f t="array" ref="BJ4">IF(AND(BJ$2&lt;&gt;0,TblTech[[#This Row],[Hour]:[Hour]]&gt;=BJ$2),1,0)</f>
        <v>0</v>
      </c>
      <c r="BK4" s="276" cm="1">
        <f t="array" ref="BK4">IF(AND(BK$2&lt;&gt;0,TblTech[[#This Row],[Hour]:[Hour]]&gt;=BK$2),1,0)</f>
        <v>0</v>
      </c>
      <c r="BL4" s="276" cm="1">
        <f t="array" ref="BL4">IF(AND(BL$2&lt;&gt;0,TblTech[[#This Row],[Hour]:[Hour]]&gt;=BL$2),1,0)</f>
        <v>0</v>
      </c>
      <c r="BM4" s="276" cm="1">
        <f t="array" ref="BM4">IF(AND(BM$2&lt;&gt;0,TblTech[[#This Row],[Hour]:[Hour]]&gt;=BM$2),1,0)</f>
        <v>0</v>
      </c>
      <c r="BN4" s="276" cm="1">
        <f t="array" ref="BN4">IF(AND(BN$2&lt;&gt;0,TblTech[[#This Row],[Hour]:[Hour]]&gt;=BN$2),1,0)</f>
        <v>0</v>
      </c>
      <c r="BO4" s="276" cm="1">
        <f t="array" ref="BO4">IF(AND(BO$2&lt;&gt;0,TblTech[[#This Row],[Hour]:[Hour]]&gt;=BO$2),1,0)</f>
        <v>0</v>
      </c>
      <c r="BP4" s="276" cm="1">
        <f t="array" ref="BP4">IF(AND(BP$2&lt;&gt;0,TblTech[[#This Row],[Hour]:[Hour]]&gt;=BP$2),1,0)</f>
        <v>0</v>
      </c>
      <c r="BQ4" s="276" cm="1">
        <f t="array" ref="BQ4">IF(AND(BQ$2&lt;&gt;0,TblTech[[#This Row],[Hour]:[Hour]]&gt;=BQ$2),1,0)</f>
        <v>0</v>
      </c>
      <c r="BR4" s="276" cm="1">
        <f t="array" ref="BR4">IF(AND(BR$2&lt;&gt;0,TblTech[[#This Row],[Hour]:[Hour]]&gt;=BR$2),1,0)</f>
        <v>0</v>
      </c>
      <c r="BS4" s="276" cm="1">
        <f t="array" ref="BS4">IF(AND(BS$2&lt;&gt;0,TblTech[[#This Row],[Hour]:[Hour]]&gt;=BS$2),1,0)</f>
        <v>0</v>
      </c>
      <c r="BT4" s="276" cm="1">
        <f t="array" ref="BT4">IF(AND(BT$2&lt;&gt;0,TblTech[[#This Row],[Hour]:[Hour]]&gt;=BT$2),1,0)</f>
        <v>0</v>
      </c>
      <c r="BU4" s="276" cm="1">
        <f t="array" ref="BU4">IF(AND(BU$2&lt;&gt;0,TblTech[[#This Row],[Hour]:[Hour]]&gt;=BU$2),1,0)</f>
        <v>0</v>
      </c>
      <c r="BV4" s="276" cm="1">
        <f t="array" ref="BV4">IF(AND(BV$2&lt;&gt;0,TblTech[[#This Row],[Hour]:[Hour]]&gt;=BV$2),1,0)</f>
        <v>0</v>
      </c>
      <c r="BW4" s="276" cm="1">
        <f t="array" ref="BW4">IF(AND(BW$2&lt;&gt;0,TblTech[[#This Row],[Hour]:[Hour]]&gt;=BW$2),1,0)</f>
        <v>0</v>
      </c>
      <c r="BX4" s="276" cm="1">
        <f t="array" ref="BX4">IF(AND(BX$2&lt;&gt;0,TblTech[[#This Row],[Hour]:[Hour]]&gt;=BX$2),1,0)</f>
        <v>0</v>
      </c>
      <c r="BY4" s="276" cm="1">
        <f t="array" ref="BY4">IF(AND(BY$2&lt;&gt;0,TblTech[[#This Row],[Hour]:[Hour]]&gt;=BY$2),1,0)</f>
        <v>0</v>
      </c>
      <c r="BZ4" s="276" cm="1">
        <f t="array" ref="BZ4">IF(AND(BZ$2&lt;&gt;0,TblTech[[#This Row],[Hour]:[Hour]]&gt;=BZ$2),1,0)</f>
        <v>0</v>
      </c>
      <c r="CA4" s="377">
        <f>IFERROR(INDEX($H$4:$H$79,MATCH(INDEX(TblTech[[#Headers],[1-1]:[11-1]],1,MATCH(TblTech[[#This Row],[Hour]],$M$2:$BZ$2,0)),$G$4:$G$79,0)),)</f>
        <v>0</v>
      </c>
    </row>
    <row r="5" spans="1:79" x14ac:dyDescent="0.2">
      <c r="A5" s="268">
        <f>TblRezone[[#This Row],[Hour]]</f>
        <v>2</v>
      </c>
      <c r="B5" s="269">
        <f ca="1">TblExplore[[#This Row],[Land-DB]]</f>
        <v>50</v>
      </c>
      <c r="C5" s="270">
        <f ca="1">TblProd[[#This Row],[Techpoints]]</f>
        <v>0</v>
      </c>
      <c r="D5" s="270">
        <f ca="1">TblProd[[#This Row],[Required]]</f>
        <v>3750</v>
      </c>
      <c r="E5" s="271"/>
      <c r="F5" s="272"/>
      <c r="G5" s="273" t="s">
        <v>538</v>
      </c>
      <c r="H5" s="274" t="s">
        <v>679</v>
      </c>
      <c r="I5" s="273" t="s">
        <v>1095</v>
      </c>
      <c r="J5" s="269"/>
      <c r="K5" s="93">
        <f ca="1">IF(TblTech[[#This Row],[Sum of tech]]&lt;&gt;OFFSET(TblTech[[#This Row],[Sum of tech]],-1,0),1,0)</f>
        <v>0</v>
      </c>
      <c r="L5" s="275">
        <f>COUNTIF(TblTech[[#This Row],[1-1]:[11-1]],1)</f>
        <v>0</v>
      </c>
      <c r="M5" s="276" cm="1">
        <f t="array" ref="M5">IF(AND(M$2&lt;&gt;0,TblTech[[#This Row],[Hour]:[Hour]]&gt;=M$2),1,0)</f>
        <v>0</v>
      </c>
      <c r="N5" s="276" cm="1">
        <f t="array" ref="N5">IF(AND(N$2&lt;&gt;0,TblTech[[#This Row],[Hour]:[Hour]]&gt;=N$2),1,0)</f>
        <v>0</v>
      </c>
      <c r="O5" s="276" cm="1">
        <f t="array" ref="O5">IF(AND(O$2&lt;&gt;0,TblTech[[#This Row],[Hour]:[Hour]]&gt;=O$2),1,0)</f>
        <v>0</v>
      </c>
      <c r="P5" s="276" cm="1">
        <f t="array" ref="P5">IF(AND(P$2&lt;&gt;0,TblTech[[#This Row],[Hour]:[Hour]]&gt;=P$2),1,0)</f>
        <v>0</v>
      </c>
      <c r="Q5" s="276" cm="1">
        <f t="array" ref="Q5">IF(AND(Q$2&lt;&gt;0,TblTech[[#This Row],[Hour]:[Hour]]&gt;=Q$2),1,0)</f>
        <v>0</v>
      </c>
      <c r="R5" s="276" cm="1">
        <f t="array" ref="R5">IF(AND(R$2&lt;&gt;0,TblTech[[#This Row],[Hour]:[Hour]]&gt;=R$2),1,0)</f>
        <v>0</v>
      </c>
      <c r="S5" s="276" cm="1">
        <f t="array" ref="S5">IF(AND(S$2&lt;&gt;0,TblTech[[#This Row],[Hour]:[Hour]]&gt;=S$2),1,0)</f>
        <v>0</v>
      </c>
      <c r="T5" s="276" cm="1">
        <f t="array" ref="T5">IF(AND(T$2&lt;&gt;0,TblTech[[#This Row],[Hour]:[Hour]]&gt;=T$2),1,0)</f>
        <v>0</v>
      </c>
      <c r="U5" s="276" cm="1">
        <f t="array" ref="U5">IF(AND(U$2&lt;&gt;0,TblTech[[#This Row],[Hour]:[Hour]]&gt;=U$2),1,0)</f>
        <v>0</v>
      </c>
      <c r="V5" s="276" cm="1">
        <f t="array" ref="V5">IF(AND(V$2&lt;&gt;0,TblTech[[#This Row],[Hour]:[Hour]]&gt;=V$2),1,0)</f>
        <v>0</v>
      </c>
      <c r="W5" s="276" cm="1">
        <f t="array" ref="W5">IF(AND(W$2&lt;&gt;0,TblTech[[#This Row],[Hour]:[Hour]]&gt;=W$2),1,0)</f>
        <v>0</v>
      </c>
      <c r="X5" s="276" cm="1">
        <f t="array" ref="X5">IF(AND(X$2&lt;&gt;0,TblTech[[#This Row],[Hour]:[Hour]]&gt;=X$2),1,0)</f>
        <v>0</v>
      </c>
      <c r="Y5" s="276" cm="1">
        <f t="array" ref="Y5">IF(AND(Y$2&lt;&gt;0,TblTech[[#This Row],[Hour]:[Hour]]&gt;=Y$2),1,0)</f>
        <v>0</v>
      </c>
      <c r="Z5" s="276" cm="1">
        <f t="array" ref="Z5">IF(AND(Z$2&lt;&gt;0,TblTech[[#This Row],[Hour]:[Hour]]&gt;=Z$2),1,0)</f>
        <v>0</v>
      </c>
      <c r="AA5" s="276" cm="1">
        <f t="array" ref="AA5">IF(AND(AA$2&lt;&gt;0,TblTech[[#This Row],[Hour]:[Hour]]&gt;=AA$2),1,0)</f>
        <v>0</v>
      </c>
      <c r="AB5" s="276" cm="1">
        <f t="array" ref="AB5">IF(AND(AB$2&lt;&gt;0,TblTech[[#This Row],[Hour]:[Hour]]&gt;=AB$2),1,0)</f>
        <v>0</v>
      </c>
      <c r="AC5" s="276" cm="1">
        <f t="array" ref="AC5">IF(AND(AC$2&lt;&gt;0,TblTech[[#This Row],[Hour]:[Hour]]&gt;=AC$2),1,0)</f>
        <v>0</v>
      </c>
      <c r="AD5" s="276" cm="1">
        <f t="array" ref="AD5">IF(AND(AD$2&lt;&gt;0,TblTech[[#This Row],[Hour]:[Hour]]&gt;=AD$2),1,0)</f>
        <v>0</v>
      </c>
      <c r="AE5" s="276" cm="1">
        <f t="array" ref="AE5">IF(AND(AE$2&lt;&gt;0,TblTech[[#This Row],[Hour]:[Hour]]&gt;=AE$2),1,0)</f>
        <v>0</v>
      </c>
      <c r="AF5" s="276" cm="1">
        <f t="array" ref="AF5">IF(AND(AF$2&lt;&gt;0,TblTech[[#This Row],[Hour]:[Hour]]&gt;=AF$2),1,0)</f>
        <v>0</v>
      </c>
      <c r="AG5" s="276" cm="1">
        <f t="array" ref="AG5">IF(AND(AG$2&lt;&gt;0,TblTech[[#This Row],[Hour]:[Hour]]&gt;=AG$2),1,0)</f>
        <v>0</v>
      </c>
      <c r="AH5" s="276" cm="1">
        <f t="array" ref="AH5">IF(AND(AH$2&lt;&gt;0,TblTech[[#This Row],[Hour]:[Hour]]&gt;=AH$2),1,0)</f>
        <v>0</v>
      </c>
      <c r="AI5" s="276" cm="1">
        <f t="array" ref="AI5">IF(AND(AI$2&lt;&gt;0,TblTech[[#This Row],[Hour]:[Hour]]&gt;=AI$2),1,0)</f>
        <v>0</v>
      </c>
      <c r="AJ5" s="276" cm="1">
        <f t="array" ref="AJ5">IF(AND(AJ$2&lt;&gt;0,TblTech[[#This Row],[Hour]:[Hour]]&gt;=AJ$2),1,0)</f>
        <v>0</v>
      </c>
      <c r="AK5" s="276" cm="1">
        <f t="array" ref="AK5">IF(AND(AK$2&lt;&gt;0,TblTech[[#This Row],[Hour]:[Hour]]&gt;=AK$2),1,0)</f>
        <v>0</v>
      </c>
      <c r="AL5" s="276" cm="1">
        <f t="array" ref="AL5">IF(AND(AL$2&lt;&gt;0,TblTech[[#This Row],[Hour]:[Hour]]&gt;=AL$2),1,0)</f>
        <v>0</v>
      </c>
      <c r="AM5" s="276" cm="1">
        <f t="array" ref="AM5">IF(AND(AM$2&lt;&gt;0,TblTech[[#This Row],[Hour]:[Hour]]&gt;=AM$2),1,0)</f>
        <v>0</v>
      </c>
      <c r="AN5" s="276" cm="1">
        <f t="array" ref="AN5">IF(AND(AN$2&lt;&gt;0,TblTech[[#This Row],[Hour]:[Hour]]&gt;=AN$2),1,0)</f>
        <v>0</v>
      </c>
      <c r="AO5" s="276" cm="1">
        <f t="array" ref="AO5">IF(AND(AO$2&lt;&gt;0,TblTech[[#This Row],[Hour]:[Hour]]&gt;=AO$2),1,0)</f>
        <v>0</v>
      </c>
      <c r="AP5" s="276" cm="1">
        <f t="array" ref="AP5">IF(AND(AP$2&lt;&gt;0,TblTech[[#This Row],[Hour]:[Hour]]&gt;=AP$2),1,0)</f>
        <v>0</v>
      </c>
      <c r="AQ5" s="276" cm="1">
        <f t="array" ref="AQ5">IF(AND(AQ$2&lt;&gt;0,TblTech[[#This Row],[Hour]:[Hour]]&gt;=AQ$2),1,0)</f>
        <v>0</v>
      </c>
      <c r="AR5" s="276" cm="1">
        <f t="array" ref="AR5">IF(AND(AR$2&lt;&gt;0,TblTech[[#This Row],[Hour]:[Hour]]&gt;=AR$2),1,0)</f>
        <v>0</v>
      </c>
      <c r="AS5" s="276" cm="1">
        <f t="array" ref="AS5">IF(AND(AS$2&lt;&gt;0,TblTech[[#This Row],[Hour]:[Hour]]&gt;=AS$2),1,0)</f>
        <v>0</v>
      </c>
      <c r="AT5" s="276" cm="1">
        <f t="array" ref="AT5">IF(AND(AT$2&lt;&gt;0,TblTech[[#This Row],[Hour]:[Hour]]&gt;=AT$2),1,0)</f>
        <v>0</v>
      </c>
      <c r="AU5" s="276" cm="1">
        <f t="array" ref="AU5">IF(AND(AU$2&lt;&gt;0,TblTech[[#This Row],[Hour]:[Hour]]&gt;=AU$2),1,0)</f>
        <v>0</v>
      </c>
      <c r="AV5" s="276" cm="1">
        <f t="array" ref="AV5">IF(AND(AV$2&lt;&gt;0,TblTech[[#This Row],[Hour]:[Hour]]&gt;=AV$2),1,0)</f>
        <v>0</v>
      </c>
      <c r="AW5" s="276" cm="1">
        <f t="array" ref="AW5">IF(AND(AW$2&lt;&gt;0,TblTech[[#This Row],[Hour]:[Hour]]&gt;=AW$2),1,0)</f>
        <v>0</v>
      </c>
      <c r="AX5" s="276" cm="1">
        <f t="array" ref="AX5">IF(AND(AX$2&lt;&gt;0,TblTech[[#This Row],[Hour]:[Hour]]&gt;=AX$2),1,0)</f>
        <v>0</v>
      </c>
      <c r="AY5" s="276" cm="1">
        <f t="array" ref="AY5">IF(AND(AY$2&lt;&gt;0,TblTech[[#This Row],[Hour]:[Hour]]&gt;=AY$2),1,0)</f>
        <v>0</v>
      </c>
      <c r="AZ5" s="276" cm="1">
        <f t="array" ref="AZ5">IF(AND(AZ$2&lt;&gt;0,TblTech[[#This Row],[Hour]:[Hour]]&gt;=AZ$2),1,0)</f>
        <v>0</v>
      </c>
      <c r="BA5" s="276" cm="1">
        <f t="array" ref="BA5">IF(AND(BA$2&lt;&gt;0,TblTech[[#This Row],[Hour]:[Hour]]&gt;=BA$2),1,0)</f>
        <v>0</v>
      </c>
      <c r="BB5" s="276" cm="1">
        <f t="array" ref="BB5">IF(AND(BB$2&lt;&gt;0,TblTech[[#This Row],[Hour]:[Hour]]&gt;=BB$2),1,0)</f>
        <v>0</v>
      </c>
      <c r="BC5" s="276" cm="1">
        <f t="array" ref="BC5">IF(AND(BC$2&lt;&gt;0,TblTech[[#This Row],[Hour]:[Hour]]&gt;=BC$2),1,0)</f>
        <v>0</v>
      </c>
      <c r="BD5" s="276" cm="1">
        <f t="array" ref="BD5">IF(AND(BD$2&lt;&gt;0,TblTech[[#This Row],[Hour]:[Hour]]&gt;=BD$2),1,0)</f>
        <v>0</v>
      </c>
      <c r="BE5" s="276" cm="1">
        <f t="array" ref="BE5">IF(AND(BE$2&lt;&gt;0,TblTech[[#This Row],[Hour]:[Hour]]&gt;=BE$2),1,0)</f>
        <v>0</v>
      </c>
      <c r="BF5" s="276" cm="1">
        <f t="array" ref="BF5">IF(AND(BF$2&lt;&gt;0,TblTech[[#This Row],[Hour]:[Hour]]&gt;=BF$2),1,0)</f>
        <v>0</v>
      </c>
      <c r="BG5" s="276" cm="1">
        <f t="array" ref="BG5">IF(AND(BG$2&lt;&gt;0,TblTech[[#This Row],[Hour]:[Hour]]&gt;=BG$2),1,0)</f>
        <v>0</v>
      </c>
      <c r="BH5" s="276" cm="1">
        <f t="array" ref="BH5">IF(AND(BH$2&lt;&gt;0,TblTech[[#This Row],[Hour]:[Hour]]&gt;=BH$2),1,0)</f>
        <v>0</v>
      </c>
      <c r="BI5" s="276" cm="1">
        <f t="array" ref="BI5">IF(AND(BI$2&lt;&gt;0,TblTech[[#This Row],[Hour]:[Hour]]&gt;=BI$2),1,0)</f>
        <v>0</v>
      </c>
      <c r="BJ5" s="276" cm="1">
        <f t="array" ref="BJ5">IF(AND(BJ$2&lt;&gt;0,TblTech[[#This Row],[Hour]:[Hour]]&gt;=BJ$2),1,0)</f>
        <v>0</v>
      </c>
      <c r="BK5" s="276" cm="1">
        <f t="array" ref="BK5">IF(AND(BK$2&lt;&gt;0,TblTech[[#This Row],[Hour]:[Hour]]&gt;=BK$2),1,0)</f>
        <v>0</v>
      </c>
      <c r="BL5" s="276" cm="1">
        <f t="array" ref="BL5">IF(AND(BL$2&lt;&gt;0,TblTech[[#This Row],[Hour]:[Hour]]&gt;=BL$2),1,0)</f>
        <v>0</v>
      </c>
      <c r="BM5" s="276" cm="1">
        <f t="array" ref="BM5">IF(AND(BM$2&lt;&gt;0,TblTech[[#This Row],[Hour]:[Hour]]&gt;=BM$2),1,0)</f>
        <v>0</v>
      </c>
      <c r="BN5" s="276" cm="1">
        <f t="array" ref="BN5">IF(AND(BN$2&lt;&gt;0,TblTech[[#This Row],[Hour]:[Hour]]&gt;=BN$2),1,0)</f>
        <v>0</v>
      </c>
      <c r="BO5" s="276" cm="1">
        <f t="array" ref="BO5">IF(AND(BO$2&lt;&gt;0,TblTech[[#This Row],[Hour]:[Hour]]&gt;=BO$2),1,0)</f>
        <v>0</v>
      </c>
      <c r="BP5" s="276" cm="1">
        <f t="array" ref="BP5">IF(AND(BP$2&lt;&gt;0,TblTech[[#This Row],[Hour]:[Hour]]&gt;=BP$2),1,0)</f>
        <v>0</v>
      </c>
      <c r="BQ5" s="276" cm="1">
        <f t="array" ref="BQ5">IF(AND(BQ$2&lt;&gt;0,TblTech[[#This Row],[Hour]:[Hour]]&gt;=BQ$2),1,0)</f>
        <v>0</v>
      </c>
      <c r="BR5" s="276" cm="1">
        <f t="array" ref="BR5">IF(AND(BR$2&lt;&gt;0,TblTech[[#This Row],[Hour]:[Hour]]&gt;=BR$2),1,0)</f>
        <v>0</v>
      </c>
      <c r="BS5" s="276" cm="1">
        <f t="array" ref="BS5">IF(AND(BS$2&lt;&gt;0,TblTech[[#This Row],[Hour]:[Hour]]&gt;=BS$2),1,0)</f>
        <v>0</v>
      </c>
      <c r="BT5" s="276" cm="1">
        <f t="array" ref="BT5">IF(AND(BT$2&lt;&gt;0,TblTech[[#This Row],[Hour]:[Hour]]&gt;=BT$2),1,0)</f>
        <v>0</v>
      </c>
      <c r="BU5" s="276" cm="1">
        <f t="array" ref="BU5">IF(AND(BU$2&lt;&gt;0,TblTech[[#This Row],[Hour]:[Hour]]&gt;=BU$2),1,0)</f>
        <v>0</v>
      </c>
      <c r="BV5" s="276" cm="1">
        <f t="array" ref="BV5">IF(AND(BV$2&lt;&gt;0,TblTech[[#This Row],[Hour]:[Hour]]&gt;=BV$2),1,0)</f>
        <v>0</v>
      </c>
      <c r="BW5" s="276" cm="1">
        <f t="array" ref="BW5">IF(AND(BW$2&lt;&gt;0,TblTech[[#This Row],[Hour]:[Hour]]&gt;=BW$2),1,0)</f>
        <v>0</v>
      </c>
      <c r="BX5" s="276" cm="1">
        <f t="array" ref="BX5">IF(AND(BX$2&lt;&gt;0,TblTech[[#This Row],[Hour]:[Hour]]&gt;=BX$2),1,0)</f>
        <v>0</v>
      </c>
      <c r="BY5" s="276" cm="1">
        <f t="array" ref="BY5">IF(AND(BY$2&lt;&gt;0,TblTech[[#This Row],[Hour]:[Hour]]&gt;=BY$2),1,0)</f>
        <v>0</v>
      </c>
      <c r="BZ5" s="276" cm="1">
        <f t="array" ref="BZ5">IF(AND(BZ$2&lt;&gt;0,TblTech[[#This Row],[Hour]:[Hour]]&gt;=BZ$2),1,0)</f>
        <v>0</v>
      </c>
      <c r="CA5" s="377">
        <f>IFERROR(INDEX($H$4:$H$79,MATCH(INDEX(TblTech[[#Headers],[1-1]:[11-1]],1,MATCH(TblTech[[#This Row],[Hour]],$M$2:$BZ$2,0)),$G$4:$G$79,0)),)</f>
        <v>0</v>
      </c>
    </row>
    <row r="6" spans="1:79" x14ac:dyDescent="0.2">
      <c r="A6" s="268">
        <f>TblRezone[[#This Row],[Hour]]</f>
        <v>3</v>
      </c>
      <c r="B6" s="269">
        <f ca="1">TblExplore[[#This Row],[Land-DB]]</f>
        <v>50</v>
      </c>
      <c r="C6" s="270">
        <f ca="1">TblProd[[#This Row],[Techpoints]]</f>
        <v>0</v>
      </c>
      <c r="D6" s="270">
        <f ca="1">TblProd[[#This Row],[Required]]</f>
        <v>3750</v>
      </c>
      <c r="E6" s="271"/>
      <c r="F6" s="272"/>
      <c r="G6" s="273" t="s">
        <v>539</v>
      </c>
      <c r="H6" s="274" t="s">
        <v>680</v>
      </c>
      <c r="I6" s="273" t="s">
        <v>540</v>
      </c>
      <c r="J6" s="269"/>
      <c r="K6" s="93">
        <f ca="1">IF(TblTech[[#This Row],[Sum of tech]]&lt;&gt;OFFSET(TblTech[[#This Row],[Sum of tech]],-1,0),1,0)</f>
        <v>0</v>
      </c>
      <c r="L6" s="275">
        <f>COUNTIF(TblTech[[#This Row],[1-1]:[11-1]],1)</f>
        <v>0</v>
      </c>
      <c r="M6" s="276" cm="1">
        <f t="array" ref="M6">IF(AND(M$2&lt;&gt;0,TblTech[[#This Row],[Hour]:[Hour]]&gt;=M$2),1,0)</f>
        <v>0</v>
      </c>
      <c r="N6" s="276" cm="1">
        <f t="array" ref="N6">IF(AND(N$2&lt;&gt;0,TblTech[[#This Row],[Hour]:[Hour]]&gt;=N$2),1,0)</f>
        <v>0</v>
      </c>
      <c r="O6" s="276" cm="1">
        <f t="array" ref="O6">IF(AND(O$2&lt;&gt;0,TblTech[[#This Row],[Hour]:[Hour]]&gt;=O$2),1,0)</f>
        <v>0</v>
      </c>
      <c r="P6" s="276" cm="1">
        <f t="array" ref="P6">IF(AND(P$2&lt;&gt;0,TblTech[[#This Row],[Hour]:[Hour]]&gt;=P$2),1,0)</f>
        <v>0</v>
      </c>
      <c r="Q6" s="276" cm="1">
        <f t="array" ref="Q6">IF(AND(Q$2&lt;&gt;0,TblTech[[#This Row],[Hour]:[Hour]]&gt;=Q$2),1,0)</f>
        <v>0</v>
      </c>
      <c r="R6" s="276" cm="1">
        <f t="array" ref="R6">IF(AND(R$2&lt;&gt;0,TblTech[[#This Row],[Hour]:[Hour]]&gt;=R$2),1,0)</f>
        <v>0</v>
      </c>
      <c r="S6" s="276" cm="1">
        <f t="array" ref="S6">IF(AND(S$2&lt;&gt;0,TblTech[[#This Row],[Hour]:[Hour]]&gt;=S$2),1,0)</f>
        <v>0</v>
      </c>
      <c r="T6" s="276" cm="1">
        <f t="array" ref="T6">IF(AND(T$2&lt;&gt;0,TblTech[[#This Row],[Hour]:[Hour]]&gt;=T$2),1,0)</f>
        <v>0</v>
      </c>
      <c r="U6" s="276" cm="1">
        <f t="array" ref="U6">IF(AND(U$2&lt;&gt;0,TblTech[[#This Row],[Hour]:[Hour]]&gt;=U$2),1,0)</f>
        <v>0</v>
      </c>
      <c r="V6" s="276" cm="1">
        <f t="array" ref="V6">IF(AND(V$2&lt;&gt;0,TblTech[[#This Row],[Hour]:[Hour]]&gt;=V$2),1,0)</f>
        <v>0</v>
      </c>
      <c r="W6" s="276" cm="1">
        <f t="array" ref="W6">IF(AND(W$2&lt;&gt;0,TblTech[[#This Row],[Hour]:[Hour]]&gt;=W$2),1,0)</f>
        <v>0</v>
      </c>
      <c r="X6" s="276" cm="1">
        <f t="array" ref="X6">IF(AND(X$2&lt;&gt;0,TblTech[[#This Row],[Hour]:[Hour]]&gt;=X$2),1,0)</f>
        <v>0</v>
      </c>
      <c r="Y6" s="276" cm="1">
        <f t="array" ref="Y6">IF(AND(Y$2&lt;&gt;0,TblTech[[#This Row],[Hour]:[Hour]]&gt;=Y$2),1,0)</f>
        <v>0</v>
      </c>
      <c r="Z6" s="276" cm="1">
        <f t="array" ref="Z6">IF(AND(Z$2&lt;&gt;0,TblTech[[#This Row],[Hour]:[Hour]]&gt;=Z$2),1,0)</f>
        <v>0</v>
      </c>
      <c r="AA6" s="276" cm="1">
        <f t="array" ref="AA6">IF(AND(AA$2&lt;&gt;0,TblTech[[#This Row],[Hour]:[Hour]]&gt;=AA$2),1,0)</f>
        <v>0</v>
      </c>
      <c r="AB6" s="276" cm="1">
        <f t="array" ref="AB6">IF(AND(AB$2&lt;&gt;0,TblTech[[#This Row],[Hour]:[Hour]]&gt;=AB$2),1,0)</f>
        <v>0</v>
      </c>
      <c r="AC6" s="276" cm="1">
        <f t="array" ref="AC6">IF(AND(AC$2&lt;&gt;0,TblTech[[#This Row],[Hour]:[Hour]]&gt;=AC$2),1,0)</f>
        <v>0</v>
      </c>
      <c r="AD6" s="276" cm="1">
        <f t="array" ref="AD6">IF(AND(AD$2&lt;&gt;0,TblTech[[#This Row],[Hour]:[Hour]]&gt;=AD$2),1,0)</f>
        <v>0</v>
      </c>
      <c r="AE6" s="276" cm="1">
        <f t="array" ref="AE6">IF(AND(AE$2&lt;&gt;0,TblTech[[#This Row],[Hour]:[Hour]]&gt;=AE$2),1,0)</f>
        <v>0</v>
      </c>
      <c r="AF6" s="276" cm="1">
        <f t="array" ref="AF6">IF(AND(AF$2&lt;&gt;0,TblTech[[#This Row],[Hour]:[Hour]]&gt;=AF$2),1,0)</f>
        <v>0</v>
      </c>
      <c r="AG6" s="276" cm="1">
        <f t="array" ref="AG6">IF(AND(AG$2&lt;&gt;0,TblTech[[#This Row],[Hour]:[Hour]]&gt;=AG$2),1,0)</f>
        <v>0</v>
      </c>
      <c r="AH6" s="276" cm="1">
        <f t="array" ref="AH6">IF(AND(AH$2&lt;&gt;0,TblTech[[#This Row],[Hour]:[Hour]]&gt;=AH$2),1,0)</f>
        <v>0</v>
      </c>
      <c r="AI6" s="276" cm="1">
        <f t="array" ref="AI6">IF(AND(AI$2&lt;&gt;0,TblTech[[#This Row],[Hour]:[Hour]]&gt;=AI$2),1,0)</f>
        <v>0</v>
      </c>
      <c r="AJ6" s="276" cm="1">
        <f t="array" ref="AJ6">IF(AND(AJ$2&lt;&gt;0,TblTech[[#This Row],[Hour]:[Hour]]&gt;=AJ$2),1,0)</f>
        <v>0</v>
      </c>
      <c r="AK6" s="276" cm="1">
        <f t="array" ref="AK6">IF(AND(AK$2&lt;&gt;0,TblTech[[#This Row],[Hour]:[Hour]]&gt;=AK$2),1,0)</f>
        <v>0</v>
      </c>
      <c r="AL6" s="276" cm="1">
        <f t="array" ref="AL6">IF(AND(AL$2&lt;&gt;0,TblTech[[#This Row],[Hour]:[Hour]]&gt;=AL$2),1,0)</f>
        <v>0</v>
      </c>
      <c r="AM6" s="276" cm="1">
        <f t="array" ref="AM6">IF(AND(AM$2&lt;&gt;0,TblTech[[#This Row],[Hour]:[Hour]]&gt;=AM$2),1,0)</f>
        <v>0</v>
      </c>
      <c r="AN6" s="276" cm="1">
        <f t="array" ref="AN6">IF(AND(AN$2&lt;&gt;0,TblTech[[#This Row],[Hour]:[Hour]]&gt;=AN$2),1,0)</f>
        <v>0</v>
      </c>
      <c r="AO6" s="276" cm="1">
        <f t="array" ref="AO6">IF(AND(AO$2&lt;&gt;0,TblTech[[#This Row],[Hour]:[Hour]]&gt;=AO$2),1,0)</f>
        <v>0</v>
      </c>
      <c r="AP6" s="276" cm="1">
        <f t="array" ref="AP6">IF(AND(AP$2&lt;&gt;0,TblTech[[#This Row],[Hour]:[Hour]]&gt;=AP$2),1,0)</f>
        <v>0</v>
      </c>
      <c r="AQ6" s="276" cm="1">
        <f t="array" ref="AQ6">IF(AND(AQ$2&lt;&gt;0,TblTech[[#This Row],[Hour]:[Hour]]&gt;=AQ$2),1,0)</f>
        <v>0</v>
      </c>
      <c r="AR6" s="276" cm="1">
        <f t="array" ref="AR6">IF(AND(AR$2&lt;&gt;0,TblTech[[#This Row],[Hour]:[Hour]]&gt;=AR$2),1,0)</f>
        <v>0</v>
      </c>
      <c r="AS6" s="276" cm="1">
        <f t="array" ref="AS6">IF(AND(AS$2&lt;&gt;0,TblTech[[#This Row],[Hour]:[Hour]]&gt;=AS$2),1,0)</f>
        <v>0</v>
      </c>
      <c r="AT6" s="276" cm="1">
        <f t="array" ref="AT6">IF(AND(AT$2&lt;&gt;0,TblTech[[#This Row],[Hour]:[Hour]]&gt;=AT$2),1,0)</f>
        <v>0</v>
      </c>
      <c r="AU6" s="276" cm="1">
        <f t="array" ref="AU6">IF(AND(AU$2&lt;&gt;0,TblTech[[#This Row],[Hour]:[Hour]]&gt;=AU$2),1,0)</f>
        <v>0</v>
      </c>
      <c r="AV6" s="276" cm="1">
        <f t="array" ref="AV6">IF(AND(AV$2&lt;&gt;0,TblTech[[#This Row],[Hour]:[Hour]]&gt;=AV$2),1,0)</f>
        <v>0</v>
      </c>
      <c r="AW6" s="276" cm="1">
        <f t="array" ref="AW6">IF(AND(AW$2&lt;&gt;0,TblTech[[#This Row],[Hour]:[Hour]]&gt;=AW$2),1,0)</f>
        <v>0</v>
      </c>
      <c r="AX6" s="276" cm="1">
        <f t="array" ref="AX6">IF(AND(AX$2&lt;&gt;0,TblTech[[#This Row],[Hour]:[Hour]]&gt;=AX$2),1,0)</f>
        <v>0</v>
      </c>
      <c r="AY6" s="276" cm="1">
        <f t="array" ref="AY6">IF(AND(AY$2&lt;&gt;0,TblTech[[#This Row],[Hour]:[Hour]]&gt;=AY$2),1,0)</f>
        <v>0</v>
      </c>
      <c r="AZ6" s="276" cm="1">
        <f t="array" ref="AZ6">IF(AND(AZ$2&lt;&gt;0,TblTech[[#This Row],[Hour]:[Hour]]&gt;=AZ$2),1,0)</f>
        <v>0</v>
      </c>
      <c r="BA6" s="276" cm="1">
        <f t="array" ref="BA6">IF(AND(BA$2&lt;&gt;0,TblTech[[#This Row],[Hour]:[Hour]]&gt;=BA$2),1,0)</f>
        <v>0</v>
      </c>
      <c r="BB6" s="276" cm="1">
        <f t="array" ref="BB6">IF(AND(BB$2&lt;&gt;0,TblTech[[#This Row],[Hour]:[Hour]]&gt;=BB$2),1,0)</f>
        <v>0</v>
      </c>
      <c r="BC6" s="276" cm="1">
        <f t="array" ref="BC6">IF(AND(BC$2&lt;&gt;0,TblTech[[#This Row],[Hour]:[Hour]]&gt;=BC$2),1,0)</f>
        <v>0</v>
      </c>
      <c r="BD6" s="276" cm="1">
        <f t="array" ref="BD6">IF(AND(BD$2&lt;&gt;0,TblTech[[#This Row],[Hour]:[Hour]]&gt;=BD$2),1,0)</f>
        <v>0</v>
      </c>
      <c r="BE6" s="276" cm="1">
        <f t="array" ref="BE6">IF(AND(BE$2&lt;&gt;0,TblTech[[#This Row],[Hour]:[Hour]]&gt;=BE$2),1,0)</f>
        <v>0</v>
      </c>
      <c r="BF6" s="276" cm="1">
        <f t="array" ref="BF6">IF(AND(BF$2&lt;&gt;0,TblTech[[#This Row],[Hour]:[Hour]]&gt;=BF$2),1,0)</f>
        <v>0</v>
      </c>
      <c r="BG6" s="276" cm="1">
        <f t="array" ref="BG6">IF(AND(BG$2&lt;&gt;0,TblTech[[#This Row],[Hour]:[Hour]]&gt;=BG$2),1,0)</f>
        <v>0</v>
      </c>
      <c r="BH6" s="276" cm="1">
        <f t="array" ref="BH6">IF(AND(BH$2&lt;&gt;0,TblTech[[#This Row],[Hour]:[Hour]]&gt;=BH$2),1,0)</f>
        <v>0</v>
      </c>
      <c r="BI6" s="276" cm="1">
        <f t="array" ref="BI6">IF(AND(BI$2&lt;&gt;0,TblTech[[#This Row],[Hour]:[Hour]]&gt;=BI$2),1,0)</f>
        <v>0</v>
      </c>
      <c r="BJ6" s="276" cm="1">
        <f t="array" ref="BJ6">IF(AND(BJ$2&lt;&gt;0,TblTech[[#This Row],[Hour]:[Hour]]&gt;=BJ$2),1,0)</f>
        <v>0</v>
      </c>
      <c r="BK6" s="276" cm="1">
        <f t="array" ref="BK6">IF(AND(BK$2&lt;&gt;0,TblTech[[#This Row],[Hour]:[Hour]]&gt;=BK$2),1,0)</f>
        <v>0</v>
      </c>
      <c r="BL6" s="276" cm="1">
        <f t="array" ref="BL6">IF(AND(BL$2&lt;&gt;0,TblTech[[#This Row],[Hour]:[Hour]]&gt;=BL$2),1,0)</f>
        <v>0</v>
      </c>
      <c r="BM6" s="276" cm="1">
        <f t="array" ref="BM6">IF(AND(BM$2&lt;&gt;0,TblTech[[#This Row],[Hour]:[Hour]]&gt;=BM$2),1,0)</f>
        <v>0</v>
      </c>
      <c r="BN6" s="276" cm="1">
        <f t="array" ref="BN6">IF(AND(BN$2&lt;&gt;0,TblTech[[#This Row],[Hour]:[Hour]]&gt;=BN$2),1,0)</f>
        <v>0</v>
      </c>
      <c r="BO6" s="276" cm="1">
        <f t="array" ref="BO6">IF(AND(BO$2&lt;&gt;0,TblTech[[#This Row],[Hour]:[Hour]]&gt;=BO$2),1,0)</f>
        <v>0</v>
      </c>
      <c r="BP6" s="276" cm="1">
        <f t="array" ref="BP6">IF(AND(BP$2&lt;&gt;0,TblTech[[#This Row],[Hour]:[Hour]]&gt;=BP$2),1,0)</f>
        <v>0</v>
      </c>
      <c r="BQ6" s="276" cm="1">
        <f t="array" ref="BQ6">IF(AND(BQ$2&lt;&gt;0,TblTech[[#This Row],[Hour]:[Hour]]&gt;=BQ$2),1,0)</f>
        <v>0</v>
      </c>
      <c r="BR6" s="276" cm="1">
        <f t="array" ref="BR6">IF(AND(BR$2&lt;&gt;0,TblTech[[#This Row],[Hour]:[Hour]]&gt;=BR$2),1,0)</f>
        <v>0</v>
      </c>
      <c r="BS6" s="276" cm="1">
        <f t="array" ref="BS6">IF(AND(BS$2&lt;&gt;0,TblTech[[#This Row],[Hour]:[Hour]]&gt;=BS$2),1,0)</f>
        <v>0</v>
      </c>
      <c r="BT6" s="276" cm="1">
        <f t="array" ref="BT6">IF(AND(BT$2&lt;&gt;0,TblTech[[#This Row],[Hour]:[Hour]]&gt;=BT$2),1,0)</f>
        <v>0</v>
      </c>
      <c r="BU6" s="276" cm="1">
        <f t="array" ref="BU6">IF(AND(BU$2&lt;&gt;0,TblTech[[#This Row],[Hour]:[Hour]]&gt;=BU$2),1,0)</f>
        <v>0</v>
      </c>
      <c r="BV6" s="276" cm="1">
        <f t="array" ref="BV6">IF(AND(BV$2&lt;&gt;0,TblTech[[#This Row],[Hour]:[Hour]]&gt;=BV$2),1,0)</f>
        <v>0</v>
      </c>
      <c r="BW6" s="276" cm="1">
        <f t="array" ref="BW6">IF(AND(BW$2&lt;&gt;0,TblTech[[#This Row],[Hour]:[Hour]]&gt;=BW$2),1,0)</f>
        <v>0</v>
      </c>
      <c r="BX6" s="276" cm="1">
        <f t="array" ref="BX6">IF(AND(BX$2&lt;&gt;0,TblTech[[#This Row],[Hour]:[Hour]]&gt;=BX$2),1,0)</f>
        <v>0</v>
      </c>
      <c r="BY6" s="276" cm="1">
        <f t="array" ref="BY6">IF(AND(BY$2&lt;&gt;0,TblTech[[#This Row],[Hour]:[Hour]]&gt;=BY$2),1,0)</f>
        <v>0</v>
      </c>
      <c r="BZ6" s="276" cm="1">
        <f t="array" ref="BZ6">IF(AND(BZ$2&lt;&gt;0,TblTech[[#This Row],[Hour]:[Hour]]&gt;=BZ$2),1,0)</f>
        <v>0</v>
      </c>
      <c r="CA6" s="377">
        <f>IFERROR(INDEX($H$4:$H$79,MATCH(INDEX(TblTech[[#Headers],[1-1]:[11-1]],1,MATCH(TblTech[[#This Row],[Hour]],$M$2:$BZ$2,0)),$G$4:$G$79,0)),)</f>
        <v>0</v>
      </c>
    </row>
    <row r="7" spans="1:79" x14ac:dyDescent="0.2">
      <c r="A7" s="268">
        <f>TblRezone[[#This Row],[Hour]]</f>
        <v>4</v>
      </c>
      <c r="B7" s="269">
        <f ca="1">TblExplore[[#This Row],[Land-DB]]</f>
        <v>50</v>
      </c>
      <c r="C7" s="270">
        <f ca="1">TblProd[[#This Row],[Techpoints]]</f>
        <v>0</v>
      </c>
      <c r="D7" s="270">
        <f ca="1">TblProd[[#This Row],[Required]]</f>
        <v>3750</v>
      </c>
      <c r="E7" s="271"/>
      <c r="F7" s="272"/>
      <c r="G7" s="273" t="s">
        <v>541</v>
      </c>
      <c r="H7" s="274" t="s">
        <v>681</v>
      </c>
      <c r="I7" s="273" t="s">
        <v>542</v>
      </c>
      <c r="J7" s="269"/>
      <c r="K7" s="93">
        <f ca="1">IF(TblTech[[#This Row],[Sum of tech]]&lt;&gt;OFFSET(TblTech[[#This Row],[Sum of tech]],-1,0),1,0)</f>
        <v>0</v>
      </c>
      <c r="L7" s="275">
        <f>COUNTIF(TblTech[[#This Row],[1-1]:[11-1]],1)</f>
        <v>0</v>
      </c>
      <c r="M7" s="276" cm="1">
        <f t="array" ref="M7">IF(AND(M$2&lt;&gt;0,TblTech[[#This Row],[Hour]:[Hour]]&gt;=M$2),1,0)</f>
        <v>0</v>
      </c>
      <c r="N7" s="276" cm="1">
        <f t="array" ref="N7">IF(AND(N$2&lt;&gt;0,TblTech[[#This Row],[Hour]:[Hour]]&gt;=N$2),1,0)</f>
        <v>0</v>
      </c>
      <c r="O7" s="276" cm="1">
        <f t="array" ref="O7">IF(AND(O$2&lt;&gt;0,TblTech[[#This Row],[Hour]:[Hour]]&gt;=O$2),1,0)</f>
        <v>0</v>
      </c>
      <c r="P7" s="276" cm="1">
        <f t="array" ref="P7">IF(AND(P$2&lt;&gt;0,TblTech[[#This Row],[Hour]:[Hour]]&gt;=P$2),1,0)</f>
        <v>0</v>
      </c>
      <c r="Q7" s="276" cm="1">
        <f t="array" ref="Q7">IF(AND(Q$2&lt;&gt;0,TblTech[[#This Row],[Hour]:[Hour]]&gt;=Q$2),1,0)</f>
        <v>0</v>
      </c>
      <c r="R7" s="276" cm="1">
        <f t="array" ref="R7">IF(AND(R$2&lt;&gt;0,TblTech[[#This Row],[Hour]:[Hour]]&gt;=R$2),1,0)</f>
        <v>0</v>
      </c>
      <c r="S7" s="276" cm="1">
        <f t="array" ref="S7">IF(AND(S$2&lt;&gt;0,TblTech[[#This Row],[Hour]:[Hour]]&gt;=S$2),1,0)</f>
        <v>0</v>
      </c>
      <c r="T7" s="276" cm="1">
        <f t="array" ref="T7">IF(AND(T$2&lt;&gt;0,TblTech[[#This Row],[Hour]:[Hour]]&gt;=T$2),1,0)</f>
        <v>0</v>
      </c>
      <c r="U7" s="276" cm="1">
        <f t="array" ref="U7">IF(AND(U$2&lt;&gt;0,TblTech[[#This Row],[Hour]:[Hour]]&gt;=U$2),1,0)</f>
        <v>0</v>
      </c>
      <c r="V7" s="276" cm="1">
        <f t="array" ref="V7">IF(AND(V$2&lt;&gt;0,TblTech[[#This Row],[Hour]:[Hour]]&gt;=V$2),1,0)</f>
        <v>0</v>
      </c>
      <c r="W7" s="276" cm="1">
        <f t="array" ref="W7">IF(AND(W$2&lt;&gt;0,TblTech[[#This Row],[Hour]:[Hour]]&gt;=W$2),1,0)</f>
        <v>0</v>
      </c>
      <c r="X7" s="276" cm="1">
        <f t="array" ref="X7">IF(AND(X$2&lt;&gt;0,TblTech[[#This Row],[Hour]:[Hour]]&gt;=X$2),1,0)</f>
        <v>0</v>
      </c>
      <c r="Y7" s="276" cm="1">
        <f t="array" ref="Y7">IF(AND(Y$2&lt;&gt;0,TblTech[[#This Row],[Hour]:[Hour]]&gt;=Y$2),1,0)</f>
        <v>0</v>
      </c>
      <c r="Z7" s="276" cm="1">
        <f t="array" ref="Z7">IF(AND(Z$2&lt;&gt;0,TblTech[[#This Row],[Hour]:[Hour]]&gt;=Z$2),1,0)</f>
        <v>0</v>
      </c>
      <c r="AA7" s="276" cm="1">
        <f t="array" ref="AA7">IF(AND(AA$2&lt;&gt;0,TblTech[[#This Row],[Hour]:[Hour]]&gt;=AA$2),1,0)</f>
        <v>0</v>
      </c>
      <c r="AB7" s="276" cm="1">
        <f t="array" ref="AB7">IF(AND(AB$2&lt;&gt;0,TblTech[[#This Row],[Hour]:[Hour]]&gt;=AB$2),1,0)</f>
        <v>0</v>
      </c>
      <c r="AC7" s="276" cm="1">
        <f t="array" ref="AC7">IF(AND(AC$2&lt;&gt;0,TblTech[[#This Row],[Hour]:[Hour]]&gt;=AC$2),1,0)</f>
        <v>0</v>
      </c>
      <c r="AD7" s="276" cm="1">
        <f t="array" ref="AD7">IF(AND(AD$2&lt;&gt;0,TblTech[[#This Row],[Hour]:[Hour]]&gt;=AD$2),1,0)</f>
        <v>0</v>
      </c>
      <c r="AE7" s="276" cm="1">
        <f t="array" ref="AE7">IF(AND(AE$2&lt;&gt;0,TblTech[[#This Row],[Hour]:[Hour]]&gt;=AE$2),1,0)</f>
        <v>0</v>
      </c>
      <c r="AF7" s="276" cm="1">
        <f t="array" ref="AF7">IF(AND(AF$2&lt;&gt;0,TblTech[[#This Row],[Hour]:[Hour]]&gt;=AF$2),1,0)</f>
        <v>0</v>
      </c>
      <c r="AG7" s="276" cm="1">
        <f t="array" ref="AG7">IF(AND(AG$2&lt;&gt;0,TblTech[[#This Row],[Hour]:[Hour]]&gt;=AG$2),1,0)</f>
        <v>0</v>
      </c>
      <c r="AH7" s="276" cm="1">
        <f t="array" ref="AH7">IF(AND(AH$2&lt;&gt;0,TblTech[[#This Row],[Hour]:[Hour]]&gt;=AH$2),1,0)</f>
        <v>0</v>
      </c>
      <c r="AI7" s="276" cm="1">
        <f t="array" ref="AI7">IF(AND(AI$2&lt;&gt;0,TblTech[[#This Row],[Hour]:[Hour]]&gt;=AI$2),1,0)</f>
        <v>0</v>
      </c>
      <c r="AJ7" s="276" cm="1">
        <f t="array" ref="AJ7">IF(AND(AJ$2&lt;&gt;0,TblTech[[#This Row],[Hour]:[Hour]]&gt;=AJ$2),1,0)</f>
        <v>0</v>
      </c>
      <c r="AK7" s="276" cm="1">
        <f t="array" ref="AK7">IF(AND(AK$2&lt;&gt;0,TblTech[[#This Row],[Hour]:[Hour]]&gt;=AK$2),1,0)</f>
        <v>0</v>
      </c>
      <c r="AL7" s="276" cm="1">
        <f t="array" ref="AL7">IF(AND(AL$2&lt;&gt;0,TblTech[[#This Row],[Hour]:[Hour]]&gt;=AL$2),1,0)</f>
        <v>0</v>
      </c>
      <c r="AM7" s="276" cm="1">
        <f t="array" ref="AM7">IF(AND(AM$2&lt;&gt;0,TblTech[[#This Row],[Hour]:[Hour]]&gt;=AM$2),1,0)</f>
        <v>0</v>
      </c>
      <c r="AN7" s="276" cm="1">
        <f t="array" ref="AN7">IF(AND(AN$2&lt;&gt;0,TblTech[[#This Row],[Hour]:[Hour]]&gt;=AN$2),1,0)</f>
        <v>0</v>
      </c>
      <c r="AO7" s="276" cm="1">
        <f t="array" ref="AO7">IF(AND(AO$2&lt;&gt;0,TblTech[[#This Row],[Hour]:[Hour]]&gt;=AO$2),1,0)</f>
        <v>0</v>
      </c>
      <c r="AP7" s="276" cm="1">
        <f t="array" ref="AP7">IF(AND(AP$2&lt;&gt;0,TblTech[[#This Row],[Hour]:[Hour]]&gt;=AP$2),1,0)</f>
        <v>0</v>
      </c>
      <c r="AQ7" s="276" cm="1">
        <f t="array" ref="AQ7">IF(AND(AQ$2&lt;&gt;0,TblTech[[#This Row],[Hour]:[Hour]]&gt;=AQ$2),1,0)</f>
        <v>0</v>
      </c>
      <c r="AR7" s="276" cm="1">
        <f t="array" ref="AR7">IF(AND(AR$2&lt;&gt;0,TblTech[[#This Row],[Hour]:[Hour]]&gt;=AR$2),1,0)</f>
        <v>0</v>
      </c>
      <c r="AS7" s="276" cm="1">
        <f t="array" ref="AS7">IF(AND(AS$2&lt;&gt;0,TblTech[[#This Row],[Hour]:[Hour]]&gt;=AS$2),1,0)</f>
        <v>0</v>
      </c>
      <c r="AT7" s="276" cm="1">
        <f t="array" ref="AT7">IF(AND(AT$2&lt;&gt;0,TblTech[[#This Row],[Hour]:[Hour]]&gt;=AT$2),1,0)</f>
        <v>0</v>
      </c>
      <c r="AU7" s="276" cm="1">
        <f t="array" ref="AU7">IF(AND(AU$2&lt;&gt;0,TblTech[[#This Row],[Hour]:[Hour]]&gt;=AU$2),1,0)</f>
        <v>0</v>
      </c>
      <c r="AV7" s="276" cm="1">
        <f t="array" ref="AV7">IF(AND(AV$2&lt;&gt;0,TblTech[[#This Row],[Hour]:[Hour]]&gt;=AV$2),1,0)</f>
        <v>0</v>
      </c>
      <c r="AW7" s="276" cm="1">
        <f t="array" ref="AW7">IF(AND(AW$2&lt;&gt;0,TblTech[[#This Row],[Hour]:[Hour]]&gt;=AW$2),1,0)</f>
        <v>0</v>
      </c>
      <c r="AX7" s="276" cm="1">
        <f t="array" ref="AX7">IF(AND(AX$2&lt;&gt;0,TblTech[[#This Row],[Hour]:[Hour]]&gt;=AX$2),1,0)</f>
        <v>0</v>
      </c>
      <c r="AY7" s="276" cm="1">
        <f t="array" ref="AY7">IF(AND(AY$2&lt;&gt;0,TblTech[[#This Row],[Hour]:[Hour]]&gt;=AY$2),1,0)</f>
        <v>0</v>
      </c>
      <c r="AZ7" s="276" cm="1">
        <f t="array" ref="AZ7">IF(AND(AZ$2&lt;&gt;0,TblTech[[#This Row],[Hour]:[Hour]]&gt;=AZ$2),1,0)</f>
        <v>0</v>
      </c>
      <c r="BA7" s="276" cm="1">
        <f t="array" ref="BA7">IF(AND(BA$2&lt;&gt;0,TblTech[[#This Row],[Hour]:[Hour]]&gt;=BA$2),1,0)</f>
        <v>0</v>
      </c>
      <c r="BB7" s="276" cm="1">
        <f t="array" ref="BB7">IF(AND(BB$2&lt;&gt;0,TblTech[[#This Row],[Hour]:[Hour]]&gt;=BB$2),1,0)</f>
        <v>0</v>
      </c>
      <c r="BC7" s="276" cm="1">
        <f t="array" ref="BC7">IF(AND(BC$2&lt;&gt;0,TblTech[[#This Row],[Hour]:[Hour]]&gt;=BC$2),1,0)</f>
        <v>0</v>
      </c>
      <c r="BD7" s="276" cm="1">
        <f t="array" ref="BD7">IF(AND(BD$2&lt;&gt;0,TblTech[[#This Row],[Hour]:[Hour]]&gt;=BD$2),1,0)</f>
        <v>0</v>
      </c>
      <c r="BE7" s="276" cm="1">
        <f t="array" ref="BE7">IF(AND(BE$2&lt;&gt;0,TblTech[[#This Row],[Hour]:[Hour]]&gt;=BE$2),1,0)</f>
        <v>0</v>
      </c>
      <c r="BF7" s="276" cm="1">
        <f t="array" ref="BF7">IF(AND(BF$2&lt;&gt;0,TblTech[[#This Row],[Hour]:[Hour]]&gt;=BF$2),1,0)</f>
        <v>0</v>
      </c>
      <c r="BG7" s="276" cm="1">
        <f t="array" ref="BG7">IF(AND(BG$2&lt;&gt;0,TblTech[[#This Row],[Hour]:[Hour]]&gt;=BG$2),1,0)</f>
        <v>0</v>
      </c>
      <c r="BH7" s="276" cm="1">
        <f t="array" ref="BH7">IF(AND(BH$2&lt;&gt;0,TblTech[[#This Row],[Hour]:[Hour]]&gt;=BH$2),1,0)</f>
        <v>0</v>
      </c>
      <c r="BI7" s="276" cm="1">
        <f t="array" ref="BI7">IF(AND(BI$2&lt;&gt;0,TblTech[[#This Row],[Hour]:[Hour]]&gt;=BI$2),1,0)</f>
        <v>0</v>
      </c>
      <c r="BJ7" s="276" cm="1">
        <f t="array" ref="BJ7">IF(AND(BJ$2&lt;&gt;0,TblTech[[#This Row],[Hour]:[Hour]]&gt;=BJ$2),1,0)</f>
        <v>0</v>
      </c>
      <c r="BK7" s="276" cm="1">
        <f t="array" ref="BK7">IF(AND(BK$2&lt;&gt;0,TblTech[[#This Row],[Hour]:[Hour]]&gt;=BK$2),1,0)</f>
        <v>0</v>
      </c>
      <c r="BL7" s="276" cm="1">
        <f t="array" ref="BL7">IF(AND(BL$2&lt;&gt;0,TblTech[[#This Row],[Hour]:[Hour]]&gt;=BL$2),1,0)</f>
        <v>0</v>
      </c>
      <c r="BM7" s="276" cm="1">
        <f t="array" ref="BM7">IF(AND(BM$2&lt;&gt;0,TblTech[[#This Row],[Hour]:[Hour]]&gt;=BM$2),1,0)</f>
        <v>0</v>
      </c>
      <c r="BN7" s="276" cm="1">
        <f t="array" ref="BN7">IF(AND(BN$2&lt;&gt;0,TblTech[[#This Row],[Hour]:[Hour]]&gt;=BN$2),1,0)</f>
        <v>0</v>
      </c>
      <c r="BO7" s="276" cm="1">
        <f t="array" ref="BO7">IF(AND(BO$2&lt;&gt;0,TblTech[[#This Row],[Hour]:[Hour]]&gt;=BO$2),1,0)</f>
        <v>0</v>
      </c>
      <c r="BP7" s="276" cm="1">
        <f t="array" ref="BP7">IF(AND(BP$2&lt;&gt;0,TblTech[[#This Row],[Hour]:[Hour]]&gt;=BP$2),1,0)</f>
        <v>0</v>
      </c>
      <c r="BQ7" s="276" cm="1">
        <f t="array" ref="BQ7">IF(AND(BQ$2&lt;&gt;0,TblTech[[#This Row],[Hour]:[Hour]]&gt;=BQ$2),1,0)</f>
        <v>0</v>
      </c>
      <c r="BR7" s="276" cm="1">
        <f t="array" ref="BR7">IF(AND(BR$2&lt;&gt;0,TblTech[[#This Row],[Hour]:[Hour]]&gt;=BR$2),1,0)</f>
        <v>0</v>
      </c>
      <c r="BS7" s="276" cm="1">
        <f t="array" ref="BS7">IF(AND(BS$2&lt;&gt;0,TblTech[[#This Row],[Hour]:[Hour]]&gt;=BS$2),1,0)</f>
        <v>0</v>
      </c>
      <c r="BT7" s="276" cm="1">
        <f t="array" ref="BT7">IF(AND(BT$2&lt;&gt;0,TblTech[[#This Row],[Hour]:[Hour]]&gt;=BT$2),1,0)</f>
        <v>0</v>
      </c>
      <c r="BU7" s="276" cm="1">
        <f t="array" ref="BU7">IF(AND(BU$2&lt;&gt;0,TblTech[[#This Row],[Hour]:[Hour]]&gt;=BU$2),1,0)</f>
        <v>0</v>
      </c>
      <c r="BV7" s="276" cm="1">
        <f t="array" ref="BV7">IF(AND(BV$2&lt;&gt;0,TblTech[[#This Row],[Hour]:[Hour]]&gt;=BV$2),1,0)</f>
        <v>0</v>
      </c>
      <c r="BW7" s="276" cm="1">
        <f t="array" ref="BW7">IF(AND(BW$2&lt;&gt;0,TblTech[[#This Row],[Hour]:[Hour]]&gt;=BW$2),1,0)</f>
        <v>0</v>
      </c>
      <c r="BX7" s="276" cm="1">
        <f t="array" ref="BX7">IF(AND(BX$2&lt;&gt;0,TblTech[[#This Row],[Hour]:[Hour]]&gt;=BX$2),1,0)</f>
        <v>0</v>
      </c>
      <c r="BY7" s="276" cm="1">
        <f t="array" ref="BY7">IF(AND(BY$2&lt;&gt;0,TblTech[[#This Row],[Hour]:[Hour]]&gt;=BY$2),1,0)</f>
        <v>0</v>
      </c>
      <c r="BZ7" s="276" cm="1">
        <f t="array" ref="BZ7">IF(AND(BZ$2&lt;&gt;0,TblTech[[#This Row],[Hour]:[Hour]]&gt;=BZ$2),1,0)</f>
        <v>0</v>
      </c>
      <c r="CA7" s="377">
        <f>IFERROR(INDEX($H$4:$H$79,MATCH(INDEX(TblTech[[#Headers],[1-1]:[11-1]],1,MATCH(TblTech[[#This Row],[Hour]],$M$2:$BZ$2,0)),$G$4:$G$79,0)),)</f>
        <v>0</v>
      </c>
    </row>
    <row r="8" spans="1:79" x14ac:dyDescent="0.2">
      <c r="A8" s="268">
        <f>TblRezone[[#This Row],[Hour]]</f>
        <v>5</v>
      </c>
      <c r="B8" s="269">
        <f ca="1">TblExplore[[#This Row],[Land-DB]]</f>
        <v>50</v>
      </c>
      <c r="C8" s="270">
        <f ca="1">TblProd[[#This Row],[Techpoints]]</f>
        <v>0</v>
      </c>
      <c r="D8" s="270">
        <f ca="1">TblProd[[#This Row],[Required]]</f>
        <v>3750</v>
      </c>
      <c r="E8" s="271"/>
      <c r="F8" s="272"/>
      <c r="G8" s="273" t="s">
        <v>543</v>
      </c>
      <c r="H8" s="274" t="s">
        <v>682</v>
      </c>
      <c r="I8" s="273" t="s">
        <v>1092</v>
      </c>
      <c r="J8" s="269"/>
      <c r="K8" s="93">
        <f ca="1">IF(TblTech[[#This Row],[Sum of tech]]&lt;&gt;OFFSET(TblTech[[#This Row],[Sum of tech]],-1,0),1,0)</f>
        <v>0</v>
      </c>
      <c r="L8" s="275">
        <f>COUNTIF(TblTech[[#This Row],[1-1]:[11-1]],1)</f>
        <v>0</v>
      </c>
      <c r="M8" s="276" cm="1">
        <f t="array" ref="M8">IF(AND(M$2&lt;&gt;0,TblTech[[#This Row],[Hour]:[Hour]]&gt;=M$2),1,0)</f>
        <v>0</v>
      </c>
      <c r="N8" s="276" cm="1">
        <f t="array" ref="N8">IF(AND(N$2&lt;&gt;0,TblTech[[#This Row],[Hour]:[Hour]]&gt;=N$2),1,0)</f>
        <v>0</v>
      </c>
      <c r="O8" s="276" cm="1">
        <f t="array" ref="O8">IF(AND(O$2&lt;&gt;0,TblTech[[#This Row],[Hour]:[Hour]]&gt;=O$2),1,0)</f>
        <v>0</v>
      </c>
      <c r="P8" s="276" cm="1">
        <f t="array" ref="P8">IF(AND(P$2&lt;&gt;0,TblTech[[#This Row],[Hour]:[Hour]]&gt;=P$2),1,0)</f>
        <v>0</v>
      </c>
      <c r="Q8" s="276" cm="1">
        <f t="array" ref="Q8">IF(AND(Q$2&lt;&gt;0,TblTech[[#This Row],[Hour]:[Hour]]&gt;=Q$2),1,0)</f>
        <v>0</v>
      </c>
      <c r="R8" s="276" cm="1">
        <f t="array" ref="R8">IF(AND(R$2&lt;&gt;0,TblTech[[#This Row],[Hour]:[Hour]]&gt;=R$2),1,0)</f>
        <v>0</v>
      </c>
      <c r="S8" s="276" cm="1">
        <f t="array" ref="S8">IF(AND(S$2&lt;&gt;0,TblTech[[#This Row],[Hour]:[Hour]]&gt;=S$2),1,0)</f>
        <v>0</v>
      </c>
      <c r="T8" s="276" cm="1">
        <f t="array" ref="T8">IF(AND(T$2&lt;&gt;0,TblTech[[#This Row],[Hour]:[Hour]]&gt;=T$2),1,0)</f>
        <v>0</v>
      </c>
      <c r="U8" s="276" cm="1">
        <f t="array" ref="U8">IF(AND(U$2&lt;&gt;0,TblTech[[#This Row],[Hour]:[Hour]]&gt;=U$2),1,0)</f>
        <v>0</v>
      </c>
      <c r="V8" s="276" cm="1">
        <f t="array" ref="V8">IF(AND(V$2&lt;&gt;0,TblTech[[#This Row],[Hour]:[Hour]]&gt;=V$2),1,0)</f>
        <v>0</v>
      </c>
      <c r="W8" s="276" cm="1">
        <f t="array" ref="W8">IF(AND(W$2&lt;&gt;0,TblTech[[#This Row],[Hour]:[Hour]]&gt;=W$2),1,0)</f>
        <v>0</v>
      </c>
      <c r="X8" s="276" cm="1">
        <f t="array" ref="X8">IF(AND(X$2&lt;&gt;0,TblTech[[#This Row],[Hour]:[Hour]]&gt;=X$2),1,0)</f>
        <v>0</v>
      </c>
      <c r="Y8" s="276" cm="1">
        <f t="array" ref="Y8">IF(AND(Y$2&lt;&gt;0,TblTech[[#This Row],[Hour]:[Hour]]&gt;=Y$2),1,0)</f>
        <v>0</v>
      </c>
      <c r="Z8" s="276" cm="1">
        <f t="array" ref="Z8">IF(AND(Z$2&lt;&gt;0,TblTech[[#This Row],[Hour]:[Hour]]&gt;=Z$2),1,0)</f>
        <v>0</v>
      </c>
      <c r="AA8" s="276" cm="1">
        <f t="array" ref="AA8">IF(AND(AA$2&lt;&gt;0,TblTech[[#This Row],[Hour]:[Hour]]&gt;=AA$2),1,0)</f>
        <v>0</v>
      </c>
      <c r="AB8" s="276" cm="1">
        <f t="array" ref="AB8">IF(AND(AB$2&lt;&gt;0,TblTech[[#This Row],[Hour]:[Hour]]&gt;=AB$2),1,0)</f>
        <v>0</v>
      </c>
      <c r="AC8" s="276" cm="1">
        <f t="array" ref="AC8">IF(AND(AC$2&lt;&gt;0,TblTech[[#This Row],[Hour]:[Hour]]&gt;=AC$2),1,0)</f>
        <v>0</v>
      </c>
      <c r="AD8" s="276" cm="1">
        <f t="array" ref="AD8">IF(AND(AD$2&lt;&gt;0,TblTech[[#This Row],[Hour]:[Hour]]&gt;=AD$2),1,0)</f>
        <v>0</v>
      </c>
      <c r="AE8" s="276" cm="1">
        <f t="array" ref="AE8">IF(AND(AE$2&lt;&gt;0,TblTech[[#This Row],[Hour]:[Hour]]&gt;=AE$2),1,0)</f>
        <v>0</v>
      </c>
      <c r="AF8" s="276" cm="1">
        <f t="array" ref="AF8">IF(AND(AF$2&lt;&gt;0,TblTech[[#This Row],[Hour]:[Hour]]&gt;=AF$2),1,0)</f>
        <v>0</v>
      </c>
      <c r="AG8" s="276" cm="1">
        <f t="array" ref="AG8">IF(AND(AG$2&lt;&gt;0,TblTech[[#This Row],[Hour]:[Hour]]&gt;=AG$2),1,0)</f>
        <v>0</v>
      </c>
      <c r="AH8" s="276" cm="1">
        <f t="array" ref="AH8">IF(AND(AH$2&lt;&gt;0,TblTech[[#This Row],[Hour]:[Hour]]&gt;=AH$2),1,0)</f>
        <v>0</v>
      </c>
      <c r="AI8" s="276" cm="1">
        <f t="array" ref="AI8">IF(AND(AI$2&lt;&gt;0,TblTech[[#This Row],[Hour]:[Hour]]&gt;=AI$2),1,0)</f>
        <v>0</v>
      </c>
      <c r="AJ8" s="276" cm="1">
        <f t="array" ref="AJ8">IF(AND(AJ$2&lt;&gt;0,TblTech[[#This Row],[Hour]:[Hour]]&gt;=AJ$2),1,0)</f>
        <v>0</v>
      </c>
      <c r="AK8" s="276" cm="1">
        <f t="array" ref="AK8">IF(AND(AK$2&lt;&gt;0,TblTech[[#This Row],[Hour]:[Hour]]&gt;=AK$2),1,0)</f>
        <v>0</v>
      </c>
      <c r="AL8" s="276" cm="1">
        <f t="array" ref="AL8">IF(AND(AL$2&lt;&gt;0,TblTech[[#This Row],[Hour]:[Hour]]&gt;=AL$2),1,0)</f>
        <v>0</v>
      </c>
      <c r="AM8" s="276" cm="1">
        <f t="array" ref="AM8">IF(AND(AM$2&lt;&gt;0,TblTech[[#This Row],[Hour]:[Hour]]&gt;=AM$2),1,0)</f>
        <v>0</v>
      </c>
      <c r="AN8" s="276" cm="1">
        <f t="array" ref="AN8">IF(AND(AN$2&lt;&gt;0,TblTech[[#This Row],[Hour]:[Hour]]&gt;=AN$2),1,0)</f>
        <v>0</v>
      </c>
      <c r="AO8" s="276" cm="1">
        <f t="array" ref="AO8">IF(AND(AO$2&lt;&gt;0,TblTech[[#This Row],[Hour]:[Hour]]&gt;=AO$2),1,0)</f>
        <v>0</v>
      </c>
      <c r="AP8" s="276" cm="1">
        <f t="array" ref="AP8">IF(AND(AP$2&lt;&gt;0,TblTech[[#This Row],[Hour]:[Hour]]&gt;=AP$2),1,0)</f>
        <v>0</v>
      </c>
      <c r="AQ8" s="276" cm="1">
        <f t="array" ref="AQ8">IF(AND(AQ$2&lt;&gt;0,TblTech[[#This Row],[Hour]:[Hour]]&gt;=AQ$2),1,0)</f>
        <v>0</v>
      </c>
      <c r="AR8" s="276" cm="1">
        <f t="array" ref="AR8">IF(AND(AR$2&lt;&gt;0,TblTech[[#This Row],[Hour]:[Hour]]&gt;=AR$2),1,0)</f>
        <v>0</v>
      </c>
      <c r="AS8" s="276" cm="1">
        <f t="array" ref="AS8">IF(AND(AS$2&lt;&gt;0,TblTech[[#This Row],[Hour]:[Hour]]&gt;=AS$2),1,0)</f>
        <v>0</v>
      </c>
      <c r="AT8" s="276" cm="1">
        <f t="array" ref="AT8">IF(AND(AT$2&lt;&gt;0,TblTech[[#This Row],[Hour]:[Hour]]&gt;=AT$2),1,0)</f>
        <v>0</v>
      </c>
      <c r="AU8" s="276" cm="1">
        <f t="array" ref="AU8">IF(AND(AU$2&lt;&gt;0,TblTech[[#This Row],[Hour]:[Hour]]&gt;=AU$2),1,0)</f>
        <v>0</v>
      </c>
      <c r="AV8" s="276" cm="1">
        <f t="array" ref="AV8">IF(AND(AV$2&lt;&gt;0,TblTech[[#This Row],[Hour]:[Hour]]&gt;=AV$2),1,0)</f>
        <v>0</v>
      </c>
      <c r="AW8" s="276" cm="1">
        <f t="array" ref="AW8">IF(AND(AW$2&lt;&gt;0,TblTech[[#This Row],[Hour]:[Hour]]&gt;=AW$2),1,0)</f>
        <v>0</v>
      </c>
      <c r="AX8" s="276" cm="1">
        <f t="array" ref="AX8">IF(AND(AX$2&lt;&gt;0,TblTech[[#This Row],[Hour]:[Hour]]&gt;=AX$2),1,0)</f>
        <v>0</v>
      </c>
      <c r="AY8" s="276" cm="1">
        <f t="array" ref="AY8">IF(AND(AY$2&lt;&gt;0,TblTech[[#This Row],[Hour]:[Hour]]&gt;=AY$2),1,0)</f>
        <v>0</v>
      </c>
      <c r="AZ8" s="276" cm="1">
        <f t="array" ref="AZ8">IF(AND(AZ$2&lt;&gt;0,TblTech[[#This Row],[Hour]:[Hour]]&gt;=AZ$2),1,0)</f>
        <v>0</v>
      </c>
      <c r="BA8" s="276" cm="1">
        <f t="array" ref="BA8">IF(AND(BA$2&lt;&gt;0,TblTech[[#This Row],[Hour]:[Hour]]&gt;=BA$2),1,0)</f>
        <v>0</v>
      </c>
      <c r="BB8" s="276" cm="1">
        <f t="array" ref="BB8">IF(AND(BB$2&lt;&gt;0,TblTech[[#This Row],[Hour]:[Hour]]&gt;=BB$2),1,0)</f>
        <v>0</v>
      </c>
      <c r="BC8" s="276" cm="1">
        <f t="array" ref="BC8">IF(AND(BC$2&lt;&gt;0,TblTech[[#This Row],[Hour]:[Hour]]&gt;=BC$2),1,0)</f>
        <v>0</v>
      </c>
      <c r="BD8" s="276" cm="1">
        <f t="array" ref="BD8">IF(AND(BD$2&lt;&gt;0,TblTech[[#This Row],[Hour]:[Hour]]&gt;=BD$2),1,0)</f>
        <v>0</v>
      </c>
      <c r="BE8" s="276" cm="1">
        <f t="array" ref="BE8">IF(AND(BE$2&lt;&gt;0,TblTech[[#This Row],[Hour]:[Hour]]&gt;=BE$2),1,0)</f>
        <v>0</v>
      </c>
      <c r="BF8" s="276" cm="1">
        <f t="array" ref="BF8">IF(AND(BF$2&lt;&gt;0,TblTech[[#This Row],[Hour]:[Hour]]&gt;=BF$2),1,0)</f>
        <v>0</v>
      </c>
      <c r="BG8" s="276" cm="1">
        <f t="array" ref="BG8">IF(AND(BG$2&lt;&gt;0,TblTech[[#This Row],[Hour]:[Hour]]&gt;=BG$2),1,0)</f>
        <v>0</v>
      </c>
      <c r="BH8" s="276" cm="1">
        <f t="array" ref="BH8">IF(AND(BH$2&lt;&gt;0,TblTech[[#This Row],[Hour]:[Hour]]&gt;=BH$2),1,0)</f>
        <v>0</v>
      </c>
      <c r="BI8" s="276" cm="1">
        <f t="array" ref="BI8">IF(AND(BI$2&lt;&gt;0,TblTech[[#This Row],[Hour]:[Hour]]&gt;=BI$2),1,0)</f>
        <v>0</v>
      </c>
      <c r="BJ8" s="276" cm="1">
        <f t="array" ref="BJ8">IF(AND(BJ$2&lt;&gt;0,TblTech[[#This Row],[Hour]:[Hour]]&gt;=BJ$2),1,0)</f>
        <v>0</v>
      </c>
      <c r="BK8" s="276" cm="1">
        <f t="array" ref="BK8">IF(AND(BK$2&lt;&gt;0,TblTech[[#This Row],[Hour]:[Hour]]&gt;=BK$2),1,0)</f>
        <v>0</v>
      </c>
      <c r="BL8" s="276" cm="1">
        <f t="array" ref="BL8">IF(AND(BL$2&lt;&gt;0,TblTech[[#This Row],[Hour]:[Hour]]&gt;=BL$2),1,0)</f>
        <v>0</v>
      </c>
      <c r="BM8" s="276" cm="1">
        <f t="array" ref="BM8">IF(AND(BM$2&lt;&gt;0,TblTech[[#This Row],[Hour]:[Hour]]&gt;=BM$2),1,0)</f>
        <v>0</v>
      </c>
      <c r="BN8" s="276" cm="1">
        <f t="array" ref="BN8">IF(AND(BN$2&lt;&gt;0,TblTech[[#This Row],[Hour]:[Hour]]&gt;=BN$2),1,0)</f>
        <v>0</v>
      </c>
      <c r="BO8" s="276" cm="1">
        <f t="array" ref="BO8">IF(AND(BO$2&lt;&gt;0,TblTech[[#This Row],[Hour]:[Hour]]&gt;=BO$2),1,0)</f>
        <v>0</v>
      </c>
      <c r="BP8" s="276" cm="1">
        <f t="array" ref="BP8">IF(AND(BP$2&lt;&gt;0,TblTech[[#This Row],[Hour]:[Hour]]&gt;=BP$2),1,0)</f>
        <v>0</v>
      </c>
      <c r="BQ8" s="276" cm="1">
        <f t="array" ref="BQ8">IF(AND(BQ$2&lt;&gt;0,TblTech[[#This Row],[Hour]:[Hour]]&gt;=BQ$2),1,0)</f>
        <v>0</v>
      </c>
      <c r="BR8" s="276" cm="1">
        <f t="array" ref="BR8">IF(AND(BR$2&lt;&gt;0,TblTech[[#This Row],[Hour]:[Hour]]&gt;=BR$2),1,0)</f>
        <v>0</v>
      </c>
      <c r="BS8" s="276" cm="1">
        <f t="array" ref="BS8">IF(AND(BS$2&lt;&gt;0,TblTech[[#This Row],[Hour]:[Hour]]&gt;=BS$2),1,0)</f>
        <v>0</v>
      </c>
      <c r="BT8" s="276" cm="1">
        <f t="array" ref="BT8">IF(AND(BT$2&lt;&gt;0,TblTech[[#This Row],[Hour]:[Hour]]&gt;=BT$2),1,0)</f>
        <v>0</v>
      </c>
      <c r="BU8" s="276" cm="1">
        <f t="array" ref="BU8">IF(AND(BU$2&lt;&gt;0,TblTech[[#This Row],[Hour]:[Hour]]&gt;=BU$2),1,0)</f>
        <v>0</v>
      </c>
      <c r="BV8" s="276" cm="1">
        <f t="array" ref="BV8">IF(AND(BV$2&lt;&gt;0,TblTech[[#This Row],[Hour]:[Hour]]&gt;=BV$2),1,0)</f>
        <v>0</v>
      </c>
      <c r="BW8" s="276" cm="1">
        <f t="array" ref="BW8">IF(AND(BW$2&lt;&gt;0,TblTech[[#This Row],[Hour]:[Hour]]&gt;=BW$2),1,0)</f>
        <v>0</v>
      </c>
      <c r="BX8" s="276" cm="1">
        <f t="array" ref="BX8">IF(AND(BX$2&lt;&gt;0,TblTech[[#This Row],[Hour]:[Hour]]&gt;=BX$2),1,0)</f>
        <v>0</v>
      </c>
      <c r="BY8" s="276" cm="1">
        <f t="array" ref="BY8">IF(AND(BY$2&lt;&gt;0,TblTech[[#This Row],[Hour]:[Hour]]&gt;=BY$2),1,0)</f>
        <v>0</v>
      </c>
      <c r="BZ8" s="276" cm="1">
        <f t="array" ref="BZ8">IF(AND(BZ$2&lt;&gt;0,TblTech[[#This Row],[Hour]:[Hour]]&gt;=BZ$2),1,0)</f>
        <v>0</v>
      </c>
      <c r="CA8" s="377">
        <f>IFERROR(INDEX($H$4:$H$79,MATCH(INDEX(TblTech[[#Headers],[1-1]:[11-1]],1,MATCH(TblTech[[#This Row],[Hour]],$M$2:$BZ$2,0)),$G$4:$G$79,0)),)</f>
        <v>0</v>
      </c>
    </row>
    <row r="9" spans="1:79" x14ac:dyDescent="0.2">
      <c r="A9" s="268">
        <f>TblRezone[[#This Row],[Hour]]</f>
        <v>6</v>
      </c>
      <c r="B9" s="269">
        <f ca="1">TblExplore[[#This Row],[Land-DB]]</f>
        <v>50</v>
      </c>
      <c r="C9" s="270">
        <f ca="1">TblProd[[#This Row],[Techpoints]]</f>
        <v>0</v>
      </c>
      <c r="D9" s="270">
        <f ca="1">TblProd[[#This Row],[Required]]</f>
        <v>3750</v>
      </c>
      <c r="E9" s="271"/>
      <c r="F9" s="272"/>
      <c r="G9" s="273" t="s">
        <v>544</v>
      </c>
      <c r="H9" s="274" t="s">
        <v>693</v>
      </c>
      <c r="I9" s="273" t="s">
        <v>559</v>
      </c>
      <c r="J9" s="269"/>
      <c r="K9" s="93">
        <f ca="1">IF(TblTech[[#This Row],[Sum of tech]]&lt;&gt;OFFSET(TblTech[[#This Row],[Sum of tech]],-1,0),1,0)</f>
        <v>0</v>
      </c>
      <c r="L9" s="275">
        <f>COUNTIF(TblTech[[#This Row],[1-1]:[11-1]],1)</f>
        <v>0</v>
      </c>
      <c r="M9" s="276" cm="1">
        <f t="array" ref="M9">IF(AND(M$2&lt;&gt;0,TblTech[[#This Row],[Hour]:[Hour]]&gt;=M$2),1,0)</f>
        <v>0</v>
      </c>
      <c r="N9" s="276" cm="1">
        <f t="array" ref="N9">IF(AND(N$2&lt;&gt;0,TblTech[[#This Row],[Hour]:[Hour]]&gt;=N$2),1,0)</f>
        <v>0</v>
      </c>
      <c r="O9" s="276" cm="1">
        <f t="array" ref="O9">IF(AND(O$2&lt;&gt;0,TblTech[[#This Row],[Hour]:[Hour]]&gt;=O$2),1,0)</f>
        <v>0</v>
      </c>
      <c r="P9" s="276" cm="1">
        <f t="array" ref="P9">IF(AND(P$2&lt;&gt;0,TblTech[[#This Row],[Hour]:[Hour]]&gt;=P$2),1,0)</f>
        <v>0</v>
      </c>
      <c r="Q9" s="276" cm="1">
        <f t="array" ref="Q9">IF(AND(Q$2&lt;&gt;0,TblTech[[#This Row],[Hour]:[Hour]]&gt;=Q$2),1,0)</f>
        <v>0</v>
      </c>
      <c r="R9" s="276" cm="1">
        <f t="array" ref="R9">IF(AND(R$2&lt;&gt;0,TblTech[[#This Row],[Hour]:[Hour]]&gt;=R$2),1,0)</f>
        <v>0</v>
      </c>
      <c r="S9" s="276" cm="1">
        <f t="array" ref="S9">IF(AND(S$2&lt;&gt;0,TblTech[[#This Row],[Hour]:[Hour]]&gt;=S$2),1,0)</f>
        <v>0</v>
      </c>
      <c r="T9" s="276" cm="1">
        <f t="array" ref="T9">IF(AND(T$2&lt;&gt;0,TblTech[[#This Row],[Hour]:[Hour]]&gt;=T$2),1,0)</f>
        <v>0</v>
      </c>
      <c r="U9" s="276" cm="1">
        <f t="array" ref="U9">IF(AND(U$2&lt;&gt;0,TblTech[[#This Row],[Hour]:[Hour]]&gt;=U$2),1,0)</f>
        <v>0</v>
      </c>
      <c r="V9" s="276" cm="1">
        <f t="array" ref="V9">IF(AND(V$2&lt;&gt;0,TblTech[[#This Row],[Hour]:[Hour]]&gt;=V$2),1,0)</f>
        <v>0</v>
      </c>
      <c r="W9" s="276" cm="1">
        <f t="array" ref="W9">IF(AND(W$2&lt;&gt;0,TblTech[[#This Row],[Hour]:[Hour]]&gt;=W$2),1,0)</f>
        <v>0</v>
      </c>
      <c r="X9" s="276" cm="1">
        <f t="array" ref="X9">IF(AND(X$2&lt;&gt;0,TblTech[[#This Row],[Hour]:[Hour]]&gt;=X$2),1,0)</f>
        <v>0</v>
      </c>
      <c r="Y9" s="276" cm="1">
        <f t="array" ref="Y9">IF(AND(Y$2&lt;&gt;0,TblTech[[#This Row],[Hour]:[Hour]]&gt;=Y$2),1,0)</f>
        <v>0</v>
      </c>
      <c r="Z9" s="276" cm="1">
        <f t="array" ref="Z9">IF(AND(Z$2&lt;&gt;0,TblTech[[#This Row],[Hour]:[Hour]]&gt;=Z$2),1,0)</f>
        <v>0</v>
      </c>
      <c r="AA9" s="276" cm="1">
        <f t="array" ref="AA9">IF(AND(AA$2&lt;&gt;0,TblTech[[#This Row],[Hour]:[Hour]]&gt;=AA$2),1,0)</f>
        <v>0</v>
      </c>
      <c r="AB9" s="276" cm="1">
        <f t="array" ref="AB9">IF(AND(AB$2&lt;&gt;0,TblTech[[#This Row],[Hour]:[Hour]]&gt;=AB$2),1,0)</f>
        <v>0</v>
      </c>
      <c r="AC9" s="276" cm="1">
        <f t="array" ref="AC9">IF(AND(AC$2&lt;&gt;0,TblTech[[#This Row],[Hour]:[Hour]]&gt;=AC$2),1,0)</f>
        <v>0</v>
      </c>
      <c r="AD9" s="276" cm="1">
        <f t="array" ref="AD9">IF(AND(AD$2&lt;&gt;0,TblTech[[#This Row],[Hour]:[Hour]]&gt;=AD$2),1,0)</f>
        <v>0</v>
      </c>
      <c r="AE9" s="276" cm="1">
        <f t="array" ref="AE9">IF(AND(AE$2&lt;&gt;0,TblTech[[#This Row],[Hour]:[Hour]]&gt;=AE$2),1,0)</f>
        <v>0</v>
      </c>
      <c r="AF9" s="276" cm="1">
        <f t="array" ref="AF9">IF(AND(AF$2&lt;&gt;0,TblTech[[#This Row],[Hour]:[Hour]]&gt;=AF$2),1,0)</f>
        <v>0</v>
      </c>
      <c r="AG9" s="276" cm="1">
        <f t="array" ref="AG9">IF(AND(AG$2&lt;&gt;0,TblTech[[#This Row],[Hour]:[Hour]]&gt;=AG$2),1,0)</f>
        <v>0</v>
      </c>
      <c r="AH9" s="276" cm="1">
        <f t="array" ref="AH9">IF(AND(AH$2&lt;&gt;0,TblTech[[#This Row],[Hour]:[Hour]]&gt;=AH$2),1,0)</f>
        <v>0</v>
      </c>
      <c r="AI9" s="276" cm="1">
        <f t="array" ref="AI9">IF(AND(AI$2&lt;&gt;0,TblTech[[#This Row],[Hour]:[Hour]]&gt;=AI$2),1,0)</f>
        <v>0</v>
      </c>
      <c r="AJ9" s="276" cm="1">
        <f t="array" ref="AJ9">IF(AND(AJ$2&lt;&gt;0,TblTech[[#This Row],[Hour]:[Hour]]&gt;=AJ$2),1,0)</f>
        <v>0</v>
      </c>
      <c r="AK9" s="276" cm="1">
        <f t="array" ref="AK9">IF(AND(AK$2&lt;&gt;0,TblTech[[#This Row],[Hour]:[Hour]]&gt;=AK$2),1,0)</f>
        <v>0</v>
      </c>
      <c r="AL9" s="276" cm="1">
        <f t="array" ref="AL9">IF(AND(AL$2&lt;&gt;0,TblTech[[#This Row],[Hour]:[Hour]]&gt;=AL$2),1,0)</f>
        <v>0</v>
      </c>
      <c r="AM9" s="276" cm="1">
        <f t="array" ref="AM9">IF(AND(AM$2&lt;&gt;0,TblTech[[#This Row],[Hour]:[Hour]]&gt;=AM$2),1,0)</f>
        <v>0</v>
      </c>
      <c r="AN9" s="276" cm="1">
        <f t="array" ref="AN9">IF(AND(AN$2&lt;&gt;0,TblTech[[#This Row],[Hour]:[Hour]]&gt;=AN$2),1,0)</f>
        <v>0</v>
      </c>
      <c r="AO9" s="276" cm="1">
        <f t="array" ref="AO9">IF(AND(AO$2&lt;&gt;0,TblTech[[#This Row],[Hour]:[Hour]]&gt;=AO$2),1,0)</f>
        <v>0</v>
      </c>
      <c r="AP9" s="276" cm="1">
        <f t="array" ref="AP9">IF(AND(AP$2&lt;&gt;0,TblTech[[#This Row],[Hour]:[Hour]]&gt;=AP$2),1,0)</f>
        <v>0</v>
      </c>
      <c r="AQ9" s="276" cm="1">
        <f t="array" ref="AQ9">IF(AND(AQ$2&lt;&gt;0,TblTech[[#This Row],[Hour]:[Hour]]&gt;=AQ$2),1,0)</f>
        <v>0</v>
      </c>
      <c r="AR9" s="276" cm="1">
        <f t="array" ref="AR9">IF(AND(AR$2&lt;&gt;0,TblTech[[#This Row],[Hour]:[Hour]]&gt;=AR$2),1,0)</f>
        <v>0</v>
      </c>
      <c r="AS9" s="276" cm="1">
        <f t="array" ref="AS9">IF(AND(AS$2&lt;&gt;0,TblTech[[#This Row],[Hour]:[Hour]]&gt;=AS$2),1,0)</f>
        <v>0</v>
      </c>
      <c r="AT9" s="276" cm="1">
        <f t="array" ref="AT9">IF(AND(AT$2&lt;&gt;0,TblTech[[#This Row],[Hour]:[Hour]]&gt;=AT$2),1,0)</f>
        <v>0</v>
      </c>
      <c r="AU9" s="276" cm="1">
        <f t="array" ref="AU9">IF(AND(AU$2&lt;&gt;0,TblTech[[#This Row],[Hour]:[Hour]]&gt;=AU$2),1,0)</f>
        <v>0</v>
      </c>
      <c r="AV9" s="276" cm="1">
        <f t="array" ref="AV9">IF(AND(AV$2&lt;&gt;0,TblTech[[#This Row],[Hour]:[Hour]]&gt;=AV$2),1,0)</f>
        <v>0</v>
      </c>
      <c r="AW9" s="276" cm="1">
        <f t="array" ref="AW9">IF(AND(AW$2&lt;&gt;0,TblTech[[#This Row],[Hour]:[Hour]]&gt;=AW$2),1,0)</f>
        <v>0</v>
      </c>
      <c r="AX9" s="276" cm="1">
        <f t="array" ref="AX9">IF(AND(AX$2&lt;&gt;0,TblTech[[#This Row],[Hour]:[Hour]]&gt;=AX$2),1,0)</f>
        <v>0</v>
      </c>
      <c r="AY9" s="276" cm="1">
        <f t="array" ref="AY9">IF(AND(AY$2&lt;&gt;0,TblTech[[#This Row],[Hour]:[Hour]]&gt;=AY$2),1,0)</f>
        <v>0</v>
      </c>
      <c r="AZ9" s="276" cm="1">
        <f t="array" ref="AZ9">IF(AND(AZ$2&lt;&gt;0,TblTech[[#This Row],[Hour]:[Hour]]&gt;=AZ$2),1,0)</f>
        <v>0</v>
      </c>
      <c r="BA9" s="276" cm="1">
        <f t="array" ref="BA9">IF(AND(BA$2&lt;&gt;0,TblTech[[#This Row],[Hour]:[Hour]]&gt;=BA$2),1,0)</f>
        <v>0</v>
      </c>
      <c r="BB9" s="276" cm="1">
        <f t="array" ref="BB9">IF(AND(BB$2&lt;&gt;0,TblTech[[#This Row],[Hour]:[Hour]]&gt;=BB$2),1,0)</f>
        <v>0</v>
      </c>
      <c r="BC9" s="276" cm="1">
        <f t="array" ref="BC9">IF(AND(BC$2&lt;&gt;0,TblTech[[#This Row],[Hour]:[Hour]]&gt;=BC$2),1,0)</f>
        <v>0</v>
      </c>
      <c r="BD9" s="276" cm="1">
        <f t="array" ref="BD9">IF(AND(BD$2&lt;&gt;0,TblTech[[#This Row],[Hour]:[Hour]]&gt;=BD$2),1,0)</f>
        <v>0</v>
      </c>
      <c r="BE9" s="276" cm="1">
        <f t="array" ref="BE9">IF(AND(BE$2&lt;&gt;0,TblTech[[#This Row],[Hour]:[Hour]]&gt;=BE$2),1,0)</f>
        <v>0</v>
      </c>
      <c r="BF9" s="276" cm="1">
        <f t="array" ref="BF9">IF(AND(BF$2&lt;&gt;0,TblTech[[#This Row],[Hour]:[Hour]]&gt;=BF$2),1,0)</f>
        <v>0</v>
      </c>
      <c r="BG9" s="276" cm="1">
        <f t="array" ref="BG9">IF(AND(BG$2&lt;&gt;0,TblTech[[#This Row],[Hour]:[Hour]]&gt;=BG$2),1,0)</f>
        <v>0</v>
      </c>
      <c r="BH9" s="276" cm="1">
        <f t="array" ref="BH9">IF(AND(BH$2&lt;&gt;0,TblTech[[#This Row],[Hour]:[Hour]]&gt;=BH$2),1,0)</f>
        <v>0</v>
      </c>
      <c r="BI9" s="276" cm="1">
        <f t="array" ref="BI9">IF(AND(BI$2&lt;&gt;0,TblTech[[#This Row],[Hour]:[Hour]]&gt;=BI$2),1,0)</f>
        <v>0</v>
      </c>
      <c r="BJ9" s="276" cm="1">
        <f t="array" ref="BJ9">IF(AND(BJ$2&lt;&gt;0,TblTech[[#This Row],[Hour]:[Hour]]&gt;=BJ$2),1,0)</f>
        <v>0</v>
      </c>
      <c r="BK9" s="276" cm="1">
        <f t="array" ref="BK9">IF(AND(BK$2&lt;&gt;0,TblTech[[#This Row],[Hour]:[Hour]]&gt;=BK$2),1,0)</f>
        <v>0</v>
      </c>
      <c r="BL9" s="276" cm="1">
        <f t="array" ref="BL9">IF(AND(BL$2&lt;&gt;0,TblTech[[#This Row],[Hour]:[Hour]]&gt;=BL$2),1,0)</f>
        <v>0</v>
      </c>
      <c r="BM9" s="276" cm="1">
        <f t="array" ref="BM9">IF(AND(BM$2&lt;&gt;0,TblTech[[#This Row],[Hour]:[Hour]]&gt;=BM$2),1,0)</f>
        <v>0</v>
      </c>
      <c r="BN9" s="276" cm="1">
        <f t="array" ref="BN9">IF(AND(BN$2&lt;&gt;0,TblTech[[#This Row],[Hour]:[Hour]]&gt;=BN$2),1,0)</f>
        <v>0</v>
      </c>
      <c r="BO9" s="276" cm="1">
        <f t="array" ref="BO9">IF(AND(BO$2&lt;&gt;0,TblTech[[#This Row],[Hour]:[Hour]]&gt;=BO$2),1,0)</f>
        <v>0</v>
      </c>
      <c r="BP9" s="276" cm="1">
        <f t="array" ref="BP9">IF(AND(BP$2&lt;&gt;0,TblTech[[#This Row],[Hour]:[Hour]]&gt;=BP$2),1,0)</f>
        <v>0</v>
      </c>
      <c r="BQ9" s="276" cm="1">
        <f t="array" ref="BQ9">IF(AND(BQ$2&lt;&gt;0,TblTech[[#This Row],[Hour]:[Hour]]&gt;=BQ$2),1,0)</f>
        <v>0</v>
      </c>
      <c r="BR9" s="276" cm="1">
        <f t="array" ref="BR9">IF(AND(BR$2&lt;&gt;0,TblTech[[#This Row],[Hour]:[Hour]]&gt;=BR$2),1,0)</f>
        <v>0</v>
      </c>
      <c r="BS9" s="276" cm="1">
        <f t="array" ref="BS9">IF(AND(BS$2&lt;&gt;0,TblTech[[#This Row],[Hour]:[Hour]]&gt;=BS$2),1,0)</f>
        <v>0</v>
      </c>
      <c r="BT9" s="276" cm="1">
        <f t="array" ref="BT9">IF(AND(BT$2&lt;&gt;0,TblTech[[#This Row],[Hour]:[Hour]]&gt;=BT$2),1,0)</f>
        <v>0</v>
      </c>
      <c r="BU9" s="276" cm="1">
        <f t="array" ref="BU9">IF(AND(BU$2&lt;&gt;0,TblTech[[#This Row],[Hour]:[Hour]]&gt;=BU$2),1,0)</f>
        <v>0</v>
      </c>
      <c r="BV9" s="276" cm="1">
        <f t="array" ref="BV9">IF(AND(BV$2&lt;&gt;0,TblTech[[#This Row],[Hour]:[Hour]]&gt;=BV$2),1,0)</f>
        <v>0</v>
      </c>
      <c r="BW9" s="276" cm="1">
        <f t="array" ref="BW9">IF(AND(BW$2&lt;&gt;0,TblTech[[#This Row],[Hour]:[Hour]]&gt;=BW$2),1,0)</f>
        <v>0</v>
      </c>
      <c r="BX9" s="276" cm="1">
        <f t="array" ref="BX9">IF(AND(BX$2&lt;&gt;0,TblTech[[#This Row],[Hour]:[Hour]]&gt;=BX$2),1,0)</f>
        <v>0</v>
      </c>
      <c r="BY9" s="276" cm="1">
        <f t="array" ref="BY9">IF(AND(BY$2&lt;&gt;0,TblTech[[#This Row],[Hour]:[Hour]]&gt;=BY$2),1,0)</f>
        <v>0</v>
      </c>
      <c r="BZ9" s="276" cm="1">
        <f t="array" ref="BZ9">IF(AND(BZ$2&lt;&gt;0,TblTech[[#This Row],[Hour]:[Hour]]&gt;=BZ$2),1,0)</f>
        <v>0</v>
      </c>
      <c r="CA9" s="377">
        <f>IFERROR(INDEX($H$4:$H$79,MATCH(INDEX(TblTech[[#Headers],[1-1]:[11-1]],1,MATCH(TblTech[[#This Row],[Hour]],$M$2:$BZ$2,0)),$G$4:$G$79,0)),)</f>
        <v>0</v>
      </c>
    </row>
    <row r="10" spans="1:79" x14ac:dyDescent="0.2">
      <c r="A10" s="268">
        <f>TblRezone[[#This Row],[Hour]]</f>
        <v>7</v>
      </c>
      <c r="B10" s="269">
        <f ca="1">TblExplore[[#This Row],[Land-DB]]</f>
        <v>50</v>
      </c>
      <c r="C10" s="270">
        <f ca="1">TblProd[[#This Row],[Techpoints]]</f>
        <v>0</v>
      </c>
      <c r="D10" s="270">
        <f ca="1">TblProd[[#This Row],[Required]]</f>
        <v>3750</v>
      </c>
      <c r="E10" s="271"/>
      <c r="F10" s="272"/>
      <c r="G10" s="273" t="s">
        <v>545</v>
      </c>
      <c r="H10" s="274" t="s">
        <v>721</v>
      </c>
      <c r="I10" s="273" t="s">
        <v>736</v>
      </c>
      <c r="J10" s="269"/>
      <c r="K10" s="93">
        <f ca="1">IF(TblTech[[#This Row],[Sum of tech]]&lt;&gt;OFFSET(TblTech[[#This Row],[Sum of tech]],-1,0),1,0)</f>
        <v>0</v>
      </c>
      <c r="L10" s="275">
        <f>COUNTIF(TblTech[[#This Row],[1-1]:[11-1]],1)</f>
        <v>0</v>
      </c>
      <c r="M10" s="276" cm="1">
        <f t="array" ref="M10">IF(AND(M$2&lt;&gt;0,TblTech[[#This Row],[Hour]:[Hour]]&gt;=M$2),1,0)</f>
        <v>0</v>
      </c>
      <c r="N10" s="276" cm="1">
        <f t="array" ref="N10">IF(AND(N$2&lt;&gt;0,TblTech[[#This Row],[Hour]:[Hour]]&gt;=N$2),1,0)</f>
        <v>0</v>
      </c>
      <c r="O10" s="276" cm="1">
        <f t="array" ref="O10">IF(AND(O$2&lt;&gt;0,TblTech[[#This Row],[Hour]:[Hour]]&gt;=O$2),1,0)</f>
        <v>0</v>
      </c>
      <c r="P10" s="276" cm="1">
        <f t="array" ref="P10">IF(AND(P$2&lt;&gt;0,TblTech[[#This Row],[Hour]:[Hour]]&gt;=P$2),1,0)</f>
        <v>0</v>
      </c>
      <c r="Q10" s="276" cm="1">
        <f t="array" ref="Q10">IF(AND(Q$2&lt;&gt;0,TblTech[[#This Row],[Hour]:[Hour]]&gt;=Q$2),1,0)</f>
        <v>0</v>
      </c>
      <c r="R10" s="276" cm="1">
        <f t="array" ref="R10">IF(AND(R$2&lt;&gt;0,TblTech[[#This Row],[Hour]:[Hour]]&gt;=R$2),1,0)</f>
        <v>0</v>
      </c>
      <c r="S10" s="276" cm="1">
        <f t="array" ref="S10">IF(AND(S$2&lt;&gt;0,TblTech[[#This Row],[Hour]:[Hour]]&gt;=S$2),1,0)</f>
        <v>0</v>
      </c>
      <c r="T10" s="276" cm="1">
        <f t="array" ref="T10">IF(AND(T$2&lt;&gt;0,TblTech[[#This Row],[Hour]:[Hour]]&gt;=T$2),1,0)</f>
        <v>0</v>
      </c>
      <c r="U10" s="276" cm="1">
        <f t="array" ref="U10">IF(AND(U$2&lt;&gt;0,TblTech[[#This Row],[Hour]:[Hour]]&gt;=U$2),1,0)</f>
        <v>0</v>
      </c>
      <c r="V10" s="276" cm="1">
        <f t="array" ref="V10">IF(AND(V$2&lt;&gt;0,TblTech[[#This Row],[Hour]:[Hour]]&gt;=V$2),1,0)</f>
        <v>0</v>
      </c>
      <c r="W10" s="276" cm="1">
        <f t="array" ref="W10">IF(AND(W$2&lt;&gt;0,TblTech[[#This Row],[Hour]:[Hour]]&gt;=W$2),1,0)</f>
        <v>0</v>
      </c>
      <c r="X10" s="276" cm="1">
        <f t="array" ref="X10">IF(AND(X$2&lt;&gt;0,TblTech[[#This Row],[Hour]:[Hour]]&gt;=X$2),1,0)</f>
        <v>0</v>
      </c>
      <c r="Y10" s="276" cm="1">
        <f t="array" ref="Y10">IF(AND(Y$2&lt;&gt;0,TblTech[[#This Row],[Hour]:[Hour]]&gt;=Y$2),1,0)</f>
        <v>0</v>
      </c>
      <c r="Z10" s="276" cm="1">
        <f t="array" ref="Z10">IF(AND(Z$2&lt;&gt;0,TblTech[[#This Row],[Hour]:[Hour]]&gt;=Z$2),1,0)</f>
        <v>0</v>
      </c>
      <c r="AA10" s="276" cm="1">
        <f t="array" ref="AA10">IF(AND(AA$2&lt;&gt;0,TblTech[[#This Row],[Hour]:[Hour]]&gt;=AA$2),1,0)</f>
        <v>0</v>
      </c>
      <c r="AB10" s="276" cm="1">
        <f t="array" ref="AB10">IF(AND(AB$2&lt;&gt;0,TblTech[[#This Row],[Hour]:[Hour]]&gt;=AB$2),1,0)</f>
        <v>0</v>
      </c>
      <c r="AC10" s="276" cm="1">
        <f t="array" ref="AC10">IF(AND(AC$2&lt;&gt;0,TblTech[[#This Row],[Hour]:[Hour]]&gt;=AC$2),1,0)</f>
        <v>0</v>
      </c>
      <c r="AD10" s="276" cm="1">
        <f t="array" ref="AD10">IF(AND(AD$2&lt;&gt;0,TblTech[[#This Row],[Hour]:[Hour]]&gt;=AD$2),1,0)</f>
        <v>0</v>
      </c>
      <c r="AE10" s="276" cm="1">
        <f t="array" ref="AE10">IF(AND(AE$2&lt;&gt;0,TblTech[[#This Row],[Hour]:[Hour]]&gt;=AE$2),1,0)</f>
        <v>0</v>
      </c>
      <c r="AF10" s="276" cm="1">
        <f t="array" ref="AF10">IF(AND(AF$2&lt;&gt;0,TblTech[[#This Row],[Hour]:[Hour]]&gt;=AF$2),1,0)</f>
        <v>0</v>
      </c>
      <c r="AG10" s="276" cm="1">
        <f t="array" ref="AG10">IF(AND(AG$2&lt;&gt;0,TblTech[[#This Row],[Hour]:[Hour]]&gt;=AG$2),1,0)</f>
        <v>0</v>
      </c>
      <c r="AH10" s="276" cm="1">
        <f t="array" ref="AH10">IF(AND(AH$2&lt;&gt;0,TblTech[[#This Row],[Hour]:[Hour]]&gt;=AH$2),1,0)</f>
        <v>0</v>
      </c>
      <c r="AI10" s="276" cm="1">
        <f t="array" ref="AI10">IF(AND(AI$2&lt;&gt;0,TblTech[[#This Row],[Hour]:[Hour]]&gt;=AI$2),1,0)</f>
        <v>0</v>
      </c>
      <c r="AJ10" s="276" cm="1">
        <f t="array" ref="AJ10">IF(AND(AJ$2&lt;&gt;0,TblTech[[#This Row],[Hour]:[Hour]]&gt;=AJ$2),1,0)</f>
        <v>0</v>
      </c>
      <c r="AK10" s="276" cm="1">
        <f t="array" ref="AK10">IF(AND(AK$2&lt;&gt;0,TblTech[[#This Row],[Hour]:[Hour]]&gt;=AK$2),1,0)</f>
        <v>0</v>
      </c>
      <c r="AL10" s="276" cm="1">
        <f t="array" ref="AL10">IF(AND(AL$2&lt;&gt;0,TblTech[[#This Row],[Hour]:[Hour]]&gt;=AL$2),1,0)</f>
        <v>0</v>
      </c>
      <c r="AM10" s="276" cm="1">
        <f t="array" ref="AM10">IF(AND(AM$2&lt;&gt;0,TblTech[[#This Row],[Hour]:[Hour]]&gt;=AM$2),1,0)</f>
        <v>0</v>
      </c>
      <c r="AN10" s="276" cm="1">
        <f t="array" ref="AN10">IF(AND(AN$2&lt;&gt;0,TblTech[[#This Row],[Hour]:[Hour]]&gt;=AN$2),1,0)</f>
        <v>0</v>
      </c>
      <c r="AO10" s="276" cm="1">
        <f t="array" ref="AO10">IF(AND(AO$2&lt;&gt;0,TblTech[[#This Row],[Hour]:[Hour]]&gt;=AO$2),1,0)</f>
        <v>0</v>
      </c>
      <c r="AP10" s="276" cm="1">
        <f t="array" ref="AP10">IF(AND(AP$2&lt;&gt;0,TblTech[[#This Row],[Hour]:[Hour]]&gt;=AP$2),1,0)</f>
        <v>0</v>
      </c>
      <c r="AQ10" s="276" cm="1">
        <f t="array" ref="AQ10">IF(AND(AQ$2&lt;&gt;0,TblTech[[#This Row],[Hour]:[Hour]]&gt;=AQ$2),1,0)</f>
        <v>0</v>
      </c>
      <c r="AR10" s="276" cm="1">
        <f t="array" ref="AR10">IF(AND(AR$2&lt;&gt;0,TblTech[[#This Row],[Hour]:[Hour]]&gt;=AR$2),1,0)</f>
        <v>0</v>
      </c>
      <c r="AS10" s="276" cm="1">
        <f t="array" ref="AS10">IF(AND(AS$2&lt;&gt;0,TblTech[[#This Row],[Hour]:[Hour]]&gt;=AS$2),1,0)</f>
        <v>0</v>
      </c>
      <c r="AT10" s="276" cm="1">
        <f t="array" ref="AT10">IF(AND(AT$2&lt;&gt;0,TblTech[[#This Row],[Hour]:[Hour]]&gt;=AT$2),1,0)</f>
        <v>0</v>
      </c>
      <c r="AU10" s="276" cm="1">
        <f t="array" ref="AU10">IF(AND(AU$2&lt;&gt;0,TblTech[[#This Row],[Hour]:[Hour]]&gt;=AU$2),1,0)</f>
        <v>0</v>
      </c>
      <c r="AV10" s="276" cm="1">
        <f t="array" ref="AV10">IF(AND(AV$2&lt;&gt;0,TblTech[[#This Row],[Hour]:[Hour]]&gt;=AV$2),1,0)</f>
        <v>0</v>
      </c>
      <c r="AW10" s="276" cm="1">
        <f t="array" ref="AW10">IF(AND(AW$2&lt;&gt;0,TblTech[[#This Row],[Hour]:[Hour]]&gt;=AW$2),1,0)</f>
        <v>0</v>
      </c>
      <c r="AX10" s="276" cm="1">
        <f t="array" ref="AX10">IF(AND(AX$2&lt;&gt;0,TblTech[[#This Row],[Hour]:[Hour]]&gt;=AX$2),1,0)</f>
        <v>0</v>
      </c>
      <c r="AY10" s="276" cm="1">
        <f t="array" ref="AY10">IF(AND(AY$2&lt;&gt;0,TblTech[[#This Row],[Hour]:[Hour]]&gt;=AY$2),1,0)</f>
        <v>0</v>
      </c>
      <c r="AZ10" s="276" cm="1">
        <f t="array" ref="AZ10">IF(AND(AZ$2&lt;&gt;0,TblTech[[#This Row],[Hour]:[Hour]]&gt;=AZ$2),1,0)</f>
        <v>0</v>
      </c>
      <c r="BA10" s="276" cm="1">
        <f t="array" ref="BA10">IF(AND(BA$2&lt;&gt;0,TblTech[[#This Row],[Hour]:[Hour]]&gt;=BA$2),1,0)</f>
        <v>0</v>
      </c>
      <c r="BB10" s="276" cm="1">
        <f t="array" ref="BB10">IF(AND(BB$2&lt;&gt;0,TblTech[[#This Row],[Hour]:[Hour]]&gt;=BB$2),1,0)</f>
        <v>0</v>
      </c>
      <c r="BC10" s="276" cm="1">
        <f t="array" ref="BC10">IF(AND(BC$2&lt;&gt;0,TblTech[[#This Row],[Hour]:[Hour]]&gt;=BC$2),1,0)</f>
        <v>0</v>
      </c>
      <c r="BD10" s="276" cm="1">
        <f t="array" ref="BD10">IF(AND(BD$2&lt;&gt;0,TblTech[[#This Row],[Hour]:[Hour]]&gt;=BD$2),1,0)</f>
        <v>0</v>
      </c>
      <c r="BE10" s="276" cm="1">
        <f t="array" ref="BE10">IF(AND(BE$2&lt;&gt;0,TblTech[[#This Row],[Hour]:[Hour]]&gt;=BE$2),1,0)</f>
        <v>0</v>
      </c>
      <c r="BF10" s="276" cm="1">
        <f t="array" ref="BF10">IF(AND(BF$2&lt;&gt;0,TblTech[[#This Row],[Hour]:[Hour]]&gt;=BF$2),1,0)</f>
        <v>0</v>
      </c>
      <c r="BG10" s="276" cm="1">
        <f t="array" ref="BG10">IF(AND(BG$2&lt;&gt;0,TblTech[[#This Row],[Hour]:[Hour]]&gt;=BG$2),1,0)</f>
        <v>0</v>
      </c>
      <c r="BH10" s="276" cm="1">
        <f t="array" ref="BH10">IF(AND(BH$2&lt;&gt;0,TblTech[[#This Row],[Hour]:[Hour]]&gt;=BH$2),1,0)</f>
        <v>0</v>
      </c>
      <c r="BI10" s="276" cm="1">
        <f t="array" ref="BI10">IF(AND(BI$2&lt;&gt;0,TblTech[[#This Row],[Hour]:[Hour]]&gt;=BI$2),1,0)</f>
        <v>0</v>
      </c>
      <c r="BJ10" s="276" cm="1">
        <f t="array" ref="BJ10">IF(AND(BJ$2&lt;&gt;0,TblTech[[#This Row],[Hour]:[Hour]]&gt;=BJ$2),1,0)</f>
        <v>0</v>
      </c>
      <c r="BK10" s="276" cm="1">
        <f t="array" ref="BK10">IF(AND(BK$2&lt;&gt;0,TblTech[[#This Row],[Hour]:[Hour]]&gt;=BK$2),1,0)</f>
        <v>0</v>
      </c>
      <c r="BL10" s="276" cm="1">
        <f t="array" ref="BL10">IF(AND(BL$2&lt;&gt;0,TblTech[[#This Row],[Hour]:[Hour]]&gt;=BL$2),1,0)</f>
        <v>0</v>
      </c>
      <c r="BM10" s="276" cm="1">
        <f t="array" ref="BM10">IF(AND(BM$2&lt;&gt;0,TblTech[[#This Row],[Hour]:[Hour]]&gt;=BM$2),1,0)</f>
        <v>0</v>
      </c>
      <c r="BN10" s="276" cm="1">
        <f t="array" ref="BN10">IF(AND(BN$2&lt;&gt;0,TblTech[[#This Row],[Hour]:[Hour]]&gt;=BN$2),1,0)</f>
        <v>0</v>
      </c>
      <c r="BO10" s="276" cm="1">
        <f t="array" ref="BO10">IF(AND(BO$2&lt;&gt;0,TblTech[[#This Row],[Hour]:[Hour]]&gt;=BO$2),1,0)</f>
        <v>0</v>
      </c>
      <c r="BP10" s="276" cm="1">
        <f t="array" ref="BP10">IF(AND(BP$2&lt;&gt;0,TblTech[[#This Row],[Hour]:[Hour]]&gt;=BP$2),1,0)</f>
        <v>0</v>
      </c>
      <c r="BQ10" s="276" cm="1">
        <f t="array" ref="BQ10">IF(AND(BQ$2&lt;&gt;0,TblTech[[#This Row],[Hour]:[Hour]]&gt;=BQ$2),1,0)</f>
        <v>0</v>
      </c>
      <c r="BR10" s="276" cm="1">
        <f t="array" ref="BR10">IF(AND(BR$2&lt;&gt;0,TblTech[[#This Row],[Hour]:[Hour]]&gt;=BR$2),1,0)</f>
        <v>0</v>
      </c>
      <c r="BS10" s="276" cm="1">
        <f t="array" ref="BS10">IF(AND(BS$2&lt;&gt;0,TblTech[[#This Row],[Hour]:[Hour]]&gt;=BS$2),1,0)</f>
        <v>0</v>
      </c>
      <c r="BT10" s="276" cm="1">
        <f t="array" ref="BT10">IF(AND(BT$2&lt;&gt;0,TblTech[[#This Row],[Hour]:[Hour]]&gt;=BT$2),1,0)</f>
        <v>0</v>
      </c>
      <c r="BU10" s="276" cm="1">
        <f t="array" ref="BU10">IF(AND(BU$2&lt;&gt;0,TblTech[[#This Row],[Hour]:[Hour]]&gt;=BU$2),1,0)</f>
        <v>0</v>
      </c>
      <c r="BV10" s="276" cm="1">
        <f t="array" ref="BV10">IF(AND(BV$2&lt;&gt;0,TblTech[[#This Row],[Hour]:[Hour]]&gt;=BV$2),1,0)</f>
        <v>0</v>
      </c>
      <c r="BW10" s="276" cm="1">
        <f t="array" ref="BW10">IF(AND(BW$2&lt;&gt;0,TblTech[[#This Row],[Hour]:[Hour]]&gt;=BW$2),1,0)</f>
        <v>0</v>
      </c>
      <c r="BX10" s="276" cm="1">
        <f t="array" ref="BX10">IF(AND(BX$2&lt;&gt;0,TblTech[[#This Row],[Hour]:[Hour]]&gt;=BX$2),1,0)</f>
        <v>0</v>
      </c>
      <c r="BY10" s="276" cm="1">
        <f t="array" ref="BY10">IF(AND(BY$2&lt;&gt;0,TblTech[[#This Row],[Hour]:[Hour]]&gt;=BY$2),1,0)</f>
        <v>0</v>
      </c>
      <c r="BZ10" s="276" cm="1">
        <f t="array" ref="BZ10">IF(AND(BZ$2&lt;&gt;0,TblTech[[#This Row],[Hour]:[Hour]]&gt;=BZ$2),1,0)</f>
        <v>0</v>
      </c>
      <c r="CA10" s="377">
        <f>IFERROR(INDEX($H$4:$H$79,MATCH(INDEX(TblTech[[#Headers],[1-1]:[11-1]],1,MATCH(TblTech[[#This Row],[Hour]],$M$2:$BZ$2,0)),$G$4:$G$79,0)),)</f>
        <v>0</v>
      </c>
    </row>
    <row r="11" spans="1:79" x14ac:dyDescent="0.2">
      <c r="A11" s="268">
        <f>TblRezone[[#This Row],[Hour]]</f>
        <v>8</v>
      </c>
      <c r="B11" s="269">
        <f ca="1">TblExplore[[#This Row],[Land-DB]]</f>
        <v>50</v>
      </c>
      <c r="C11" s="270">
        <f ca="1">TblProd[[#This Row],[Techpoints]]</f>
        <v>0</v>
      </c>
      <c r="D11" s="270">
        <f ca="1">TblProd[[#This Row],[Required]]</f>
        <v>3750</v>
      </c>
      <c r="E11" s="271"/>
      <c r="F11" s="272"/>
      <c r="G11" s="273" t="s">
        <v>546</v>
      </c>
      <c r="H11" s="274" t="s">
        <v>685</v>
      </c>
      <c r="I11" s="273" t="s">
        <v>1044</v>
      </c>
      <c r="J11" s="269"/>
      <c r="K11" s="93">
        <f ca="1">IF(TblTech[[#This Row],[Sum of tech]]&lt;&gt;OFFSET(TblTech[[#This Row],[Sum of tech]],-1,0),1,0)</f>
        <v>0</v>
      </c>
      <c r="L11" s="275">
        <f>COUNTIF(TblTech[[#This Row],[1-1]:[11-1]],1)</f>
        <v>0</v>
      </c>
      <c r="M11" s="276" cm="1">
        <f t="array" ref="M11">IF(AND(M$2&lt;&gt;0,TblTech[[#This Row],[Hour]:[Hour]]&gt;=M$2),1,0)</f>
        <v>0</v>
      </c>
      <c r="N11" s="276" cm="1">
        <f t="array" ref="N11">IF(AND(N$2&lt;&gt;0,TblTech[[#This Row],[Hour]:[Hour]]&gt;=N$2),1,0)</f>
        <v>0</v>
      </c>
      <c r="O11" s="276" cm="1">
        <f t="array" ref="O11">IF(AND(O$2&lt;&gt;0,TblTech[[#This Row],[Hour]:[Hour]]&gt;=O$2),1,0)</f>
        <v>0</v>
      </c>
      <c r="P11" s="276" cm="1">
        <f t="array" ref="P11">IF(AND(P$2&lt;&gt;0,TblTech[[#This Row],[Hour]:[Hour]]&gt;=P$2),1,0)</f>
        <v>0</v>
      </c>
      <c r="Q11" s="276" cm="1">
        <f t="array" ref="Q11">IF(AND(Q$2&lt;&gt;0,TblTech[[#This Row],[Hour]:[Hour]]&gt;=Q$2),1,0)</f>
        <v>0</v>
      </c>
      <c r="R11" s="276" cm="1">
        <f t="array" ref="R11">IF(AND(R$2&lt;&gt;0,TblTech[[#This Row],[Hour]:[Hour]]&gt;=R$2),1,0)</f>
        <v>0</v>
      </c>
      <c r="S11" s="276" cm="1">
        <f t="array" ref="S11">IF(AND(S$2&lt;&gt;0,TblTech[[#This Row],[Hour]:[Hour]]&gt;=S$2),1,0)</f>
        <v>0</v>
      </c>
      <c r="T11" s="276" cm="1">
        <f t="array" ref="T11">IF(AND(T$2&lt;&gt;0,TblTech[[#This Row],[Hour]:[Hour]]&gt;=T$2),1,0)</f>
        <v>0</v>
      </c>
      <c r="U11" s="276" cm="1">
        <f t="array" ref="U11">IF(AND(U$2&lt;&gt;0,TblTech[[#This Row],[Hour]:[Hour]]&gt;=U$2),1,0)</f>
        <v>0</v>
      </c>
      <c r="V11" s="276" cm="1">
        <f t="array" ref="V11">IF(AND(V$2&lt;&gt;0,TblTech[[#This Row],[Hour]:[Hour]]&gt;=V$2),1,0)</f>
        <v>0</v>
      </c>
      <c r="W11" s="276" cm="1">
        <f t="array" ref="W11">IF(AND(W$2&lt;&gt;0,TblTech[[#This Row],[Hour]:[Hour]]&gt;=W$2),1,0)</f>
        <v>0</v>
      </c>
      <c r="X11" s="276" cm="1">
        <f t="array" ref="X11">IF(AND(X$2&lt;&gt;0,TblTech[[#This Row],[Hour]:[Hour]]&gt;=X$2),1,0)</f>
        <v>0</v>
      </c>
      <c r="Y11" s="276" cm="1">
        <f t="array" ref="Y11">IF(AND(Y$2&lt;&gt;0,TblTech[[#This Row],[Hour]:[Hour]]&gt;=Y$2),1,0)</f>
        <v>0</v>
      </c>
      <c r="Z11" s="276" cm="1">
        <f t="array" ref="Z11">IF(AND(Z$2&lt;&gt;0,TblTech[[#This Row],[Hour]:[Hour]]&gt;=Z$2),1,0)</f>
        <v>0</v>
      </c>
      <c r="AA11" s="276" cm="1">
        <f t="array" ref="AA11">IF(AND(AA$2&lt;&gt;0,TblTech[[#This Row],[Hour]:[Hour]]&gt;=AA$2),1,0)</f>
        <v>0</v>
      </c>
      <c r="AB11" s="276" cm="1">
        <f t="array" ref="AB11">IF(AND(AB$2&lt;&gt;0,TblTech[[#This Row],[Hour]:[Hour]]&gt;=AB$2),1,0)</f>
        <v>0</v>
      </c>
      <c r="AC11" s="276" cm="1">
        <f t="array" ref="AC11">IF(AND(AC$2&lt;&gt;0,TblTech[[#This Row],[Hour]:[Hour]]&gt;=AC$2),1,0)</f>
        <v>0</v>
      </c>
      <c r="AD11" s="276" cm="1">
        <f t="array" ref="AD11">IF(AND(AD$2&lt;&gt;0,TblTech[[#This Row],[Hour]:[Hour]]&gt;=AD$2),1,0)</f>
        <v>0</v>
      </c>
      <c r="AE11" s="276" cm="1">
        <f t="array" ref="AE11">IF(AND(AE$2&lt;&gt;0,TblTech[[#This Row],[Hour]:[Hour]]&gt;=AE$2),1,0)</f>
        <v>0</v>
      </c>
      <c r="AF11" s="276" cm="1">
        <f t="array" ref="AF11">IF(AND(AF$2&lt;&gt;0,TblTech[[#This Row],[Hour]:[Hour]]&gt;=AF$2),1,0)</f>
        <v>0</v>
      </c>
      <c r="AG11" s="276" cm="1">
        <f t="array" ref="AG11">IF(AND(AG$2&lt;&gt;0,TblTech[[#This Row],[Hour]:[Hour]]&gt;=AG$2),1,0)</f>
        <v>0</v>
      </c>
      <c r="AH11" s="276" cm="1">
        <f t="array" ref="AH11">IF(AND(AH$2&lt;&gt;0,TblTech[[#This Row],[Hour]:[Hour]]&gt;=AH$2),1,0)</f>
        <v>0</v>
      </c>
      <c r="AI11" s="276" cm="1">
        <f t="array" ref="AI11">IF(AND(AI$2&lt;&gt;0,TblTech[[#This Row],[Hour]:[Hour]]&gt;=AI$2),1,0)</f>
        <v>0</v>
      </c>
      <c r="AJ11" s="276" cm="1">
        <f t="array" ref="AJ11">IF(AND(AJ$2&lt;&gt;0,TblTech[[#This Row],[Hour]:[Hour]]&gt;=AJ$2),1,0)</f>
        <v>0</v>
      </c>
      <c r="AK11" s="276" cm="1">
        <f t="array" ref="AK11">IF(AND(AK$2&lt;&gt;0,TblTech[[#This Row],[Hour]:[Hour]]&gt;=AK$2),1,0)</f>
        <v>0</v>
      </c>
      <c r="AL11" s="276" cm="1">
        <f t="array" ref="AL11">IF(AND(AL$2&lt;&gt;0,TblTech[[#This Row],[Hour]:[Hour]]&gt;=AL$2),1,0)</f>
        <v>0</v>
      </c>
      <c r="AM11" s="276" cm="1">
        <f t="array" ref="AM11">IF(AND(AM$2&lt;&gt;0,TblTech[[#This Row],[Hour]:[Hour]]&gt;=AM$2),1,0)</f>
        <v>0</v>
      </c>
      <c r="AN11" s="276" cm="1">
        <f t="array" ref="AN11">IF(AND(AN$2&lt;&gt;0,TblTech[[#This Row],[Hour]:[Hour]]&gt;=AN$2),1,0)</f>
        <v>0</v>
      </c>
      <c r="AO11" s="276" cm="1">
        <f t="array" ref="AO11">IF(AND(AO$2&lt;&gt;0,TblTech[[#This Row],[Hour]:[Hour]]&gt;=AO$2),1,0)</f>
        <v>0</v>
      </c>
      <c r="AP11" s="276" cm="1">
        <f t="array" ref="AP11">IF(AND(AP$2&lt;&gt;0,TblTech[[#This Row],[Hour]:[Hour]]&gt;=AP$2),1,0)</f>
        <v>0</v>
      </c>
      <c r="AQ11" s="276" cm="1">
        <f t="array" ref="AQ11">IF(AND(AQ$2&lt;&gt;0,TblTech[[#This Row],[Hour]:[Hour]]&gt;=AQ$2),1,0)</f>
        <v>0</v>
      </c>
      <c r="AR11" s="276" cm="1">
        <f t="array" ref="AR11">IF(AND(AR$2&lt;&gt;0,TblTech[[#This Row],[Hour]:[Hour]]&gt;=AR$2),1,0)</f>
        <v>0</v>
      </c>
      <c r="AS11" s="276" cm="1">
        <f t="array" ref="AS11">IF(AND(AS$2&lt;&gt;0,TblTech[[#This Row],[Hour]:[Hour]]&gt;=AS$2),1,0)</f>
        <v>0</v>
      </c>
      <c r="AT11" s="276" cm="1">
        <f t="array" ref="AT11">IF(AND(AT$2&lt;&gt;0,TblTech[[#This Row],[Hour]:[Hour]]&gt;=AT$2),1,0)</f>
        <v>0</v>
      </c>
      <c r="AU11" s="276" cm="1">
        <f t="array" ref="AU11">IF(AND(AU$2&lt;&gt;0,TblTech[[#This Row],[Hour]:[Hour]]&gt;=AU$2),1,0)</f>
        <v>0</v>
      </c>
      <c r="AV11" s="276" cm="1">
        <f t="array" ref="AV11">IF(AND(AV$2&lt;&gt;0,TblTech[[#This Row],[Hour]:[Hour]]&gt;=AV$2),1,0)</f>
        <v>0</v>
      </c>
      <c r="AW11" s="276" cm="1">
        <f t="array" ref="AW11">IF(AND(AW$2&lt;&gt;0,TblTech[[#This Row],[Hour]:[Hour]]&gt;=AW$2),1,0)</f>
        <v>0</v>
      </c>
      <c r="AX11" s="276" cm="1">
        <f t="array" ref="AX11">IF(AND(AX$2&lt;&gt;0,TblTech[[#This Row],[Hour]:[Hour]]&gt;=AX$2),1,0)</f>
        <v>0</v>
      </c>
      <c r="AY11" s="276" cm="1">
        <f t="array" ref="AY11">IF(AND(AY$2&lt;&gt;0,TblTech[[#This Row],[Hour]:[Hour]]&gt;=AY$2),1,0)</f>
        <v>0</v>
      </c>
      <c r="AZ11" s="276" cm="1">
        <f t="array" ref="AZ11">IF(AND(AZ$2&lt;&gt;0,TblTech[[#This Row],[Hour]:[Hour]]&gt;=AZ$2),1,0)</f>
        <v>0</v>
      </c>
      <c r="BA11" s="276" cm="1">
        <f t="array" ref="BA11">IF(AND(BA$2&lt;&gt;0,TblTech[[#This Row],[Hour]:[Hour]]&gt;=BA$2),1,0)</f>
        <v>0</v>
      </c>
      <c r="BB11" s="276" cm="1">
        <f t="array" ref="BB11">IF(AND(BB$2&lt;&gt;0,TblTech[[#This Row],[Hour]:[Hour]]&gt;=BB$2),1,0)</f>
        <v>0</v>
      </c>
      <c r="BC11" s="276" cm="1">
        <f t="array" ref="BC11">IF(AND(BC$2&lt;&gt;0,TblTech[[#This Row],[Hour]:[Hour]]&gt;=BC$2),1,0)</f>
        <v>0</v>
      </c>
      <c r="BD11" s="276" cm="1">
        <f t="array" ref="BD11">IF(AND(BD$2&lt;&gt;0,TblTech[[#This Row],[Hour]:[Hour]]&gt;=BD$2),1,0)</f>
        <v>0</v>
      </c>
      <c r="BE11" s="276" cm="1">
        <f t="array" ref="BE11">IF(AND(BE$2&lt;&gt;0,TblTech[[#This Row],[Hour]:[Hour]]&gt;=BE$2),1,0)</f>
        <v>0</v>
      </c>
      <c r="BF11" s="276" cm="1">
        <f t="array" ref="BF11">IF(AND(BF$2&lt;&gt;0,TblTech[[#This Row],[Hour]:[Hour]]&gt;=BF$2),1,0)</f>
        <v>0</v>
      </c>
      <c r="BG11" s="276" cm="1">
        <f t="array" ref="BG11">IF(AND(BG$2&lt;&gt;0,TblTech[[#This Row],[Hour]:[Hour]]&gt;=BG$2),1,0)</f>
        <v>0</v>
      </c>
      <c r="BH11" s="276" cm="1">
        <f t="array" ref="BH11">IF(AND(BH$2&lt;&gt;0,TblTech[[#This Row],[Hour]:[Hour]]&gt;=BH$2),1,0)</f>
        <v>0</v>
      </c>
      <c r="BI11" s="276" cm="1">
        <f t="array" ref="BI11">IF(AND(BI$2&lt;&gt;0,TblTech[[#This Row],[Hour]:[Hour]]&gt;=BI$2),1,0)</f>
        <v>0</v>
      </c>
      <c r="BJ11" s="276" cm="1">
        <f t="array" ref="BJ11">IF(AND(BJ$2&lt;&gt;0,TblTech[[#This Row],[Hour]:[Hour]]&gt;=BJ$2),1,0)</f>
        <v>0</v>
      </c>
      <c r="BK11" s="276" cm="1">
        <f t="array" ref="BK11">IF(AND(BK$2&lt;&gt;0,TblTech[[#This Row],[Hour]:[Hour]]&gt;=BK$2),1,0)</f>
        <v>0</v>
      </c>
      <c r="BL11" s="276" cm="1">
        <f t="array" ref="BL11">IF(AND(BL$2&lt;&gt;0,TblTech[[#This Row],[Hour]:[Hour]]&gt;=BL$2),1,0)</f>
        <v>0</v>
      </c>
      <c r="BM11" s="276" cm="1">
        <f t="array" ref="BM11">IF(AND(BM$2&lt;&gt;0,TblTech[[#This Row],[Hour]:[Hour]]&gt;=BM$2),1,0)</f>
        <v>0</v>
      </c>
      <c r="BN11" s="276" cm="1">
        <f t="array" ref="BN11">IF(AND(BN$2&lt;&gt;0,TblTech[[#This Row],[Hour]:[Hour]]&gt;=BN$2),1,0)</f>
        <v>0</v>
      </c>
      <c r="BO11" s="276" cm="1">
        <f t="array" ref="BO11">IF(AND(BO$2&lt;&gt;0,TblTech[[#This Row],[Hour]:[Hour]]&gt;=BO$2),1,0)</f>
        <v>0</v>
      </c>
      <c r="BP11" s="276" cm="1">
        <f t="array" ref="BP11">IF(AND(BP$2&lt;&gt;0,TblTech[[#This Row],[Hour]:[Hour]]&gt;=BP$2),1,0)</f>
        <v>0</v>
      </c>
      <c r="BQ11" s="276" cm="1">
        <f t="array" ref="BQ11">IF(AND(BQ$2&lt;&gt;0,TblTech[[#This Row],[Hour]:[Hour]]&gt;=BQ$2),1,0)</f>
        <v>0</v>
      </c>
      <c r="BR11" s="276" cm="1">
        <f t="array" ref="BR11">IF(AND(BR$2&lt;&gt;0,TblTech[[#This Row],[Hour]:[Hour]]&gt;=BR$2),1,0)</f>
        <v>0</v>
      </c>
      <c r="BS11" s="276" cm="1">
        <f t="array" ref="BS11">IF(AND(BS$2&lt;&gt;0,TblTech[[#This Row],[Hour]:[Hour]]&gt;=BS$2),1,0)</f>
        <v>0</v>
      </c>
      <c r="BT11" s="276" cm="1">
        <f t="array" ref="BT11">IF(AND(BT$2&lt;&gt;0,TblTech[[#This Row],[Hour]:[Hour]]&gt;=BT$2),1,0)</f>
        <v>0</v>
      </c>
      <c r="BU11" s="276" cm="1">
        <f t="array" ref="BU11">IF(AND(BU$2&lt;&gt;0,TblTech[[#This Row],[Hour]:[Hour]]&gt;=BU$2),1,0)</f>
        <v>0</v>
      </c>
      <c r="BV11" s="276" cm="1">
        <f t="array" ref="BV11">IF(AND(BV$2&lt;&gt;0,TblTech[[#This Row],[Hour]:[Hour]]&gt;=BV$2),1,0)</f>
        <v>0</v>
      </c>
      <c r="BW11" s="276" cm="1">
        <f t="array" ref="BW11">IF(AND(BW$2&lt;&gt;0,TblTech[[#This Row],[Hour]:[Hour]]&gt;=BW$2),1,0)</f>
        <v>0</v>
      </c>
      <c r="BX11" s="276" cm="1">
        <f t="array" ref="BX11">IF(AND(BX$2&lt;&gt;0,TblTech[[#This Row],[Hour]:[Hour]]&gt;=BX$2),1,0)</f>
        <v>0</v>
      </c>
      <c r="BY11" s="276" cm="1">
        <f t="array" ref="BY11">IF(AND(BY$2&lt;&gt;0,TblTech[[#This Row],[Hour]:[Hour]]&gt;=BY$2),1,0)</f>
        <v>0</v>
      </c>
      <c r="BZ11" s="276" cm="1">
        <f t="array" ref="BZ11">IF(AND(BZ$2&lt;&gt;0,TblTech[[#This Row],[Hour]:[Hour]]&gt;=BZ$2),1,0)</f>
        <v>0</v>
      </c>
      <c r="CA11" s="377">
        <f>IFERROR(INDEX($H$4:$H$79,MATCH(INDEX(TblTech[[#Headers],[1-1]:[11-1]],1,MATCH(TblTech[[#This Row],[Hour]],$M$2:$BZ$2,0)),$G$4:$G$79,0)),)</f>
        <v>0</v>
      </c>
    </row>
    <row r="12" spans="1:79" x14ac:dyDescent="0.2">
      <c r="A12" s="268">
        <f>TblRezone[[#This Row],[Hour]]</f>
        <v>9</v>
      </c>
      <c r="B12" s="269">
        <f ca="1">TblExplore[[#This Row],[Land-DB]]</f>
        <v>50</v>
      </c>
      <c r="C12" s="270">
        <f ca="1">TblProd[[#This Row],[Techpoints]]</f>
        <v>0</v>
      </c>
      <c r="D12" s="270">
        <f ca="1">TblProd[[#This Row],[Required]]</f>
        <v>3750</v>
      </c>
      <c r="E12" s="271"/>
      <c r="F12" s="272"/>
      <c r="G12" s="273" t="s">
        <v>547</v>
      </c>
      <c r="H12" s="274" t="s">
        <v>703</v>
      </c>
      <c r="I12" s="273" t="s">
        <v>577</v>
      </c>
      <c r="J12" s="269"/>
      <c r="K12" s="93">
        <f ca="1">IF(TblTech[[#This Row],[Sum of tech]]&lt;&gt;OFFSET(TblTech[[#This Row],[Sum of tech]],-1,0),1,0)</f>
        <v>0</v>
      </c>
      <c r="L12" s="275">
        <f>COUNTIF(TblTech[[#This Row],[1-1]:[11-1]],1)</f>
        <v>0</v>
      </c>
      <c r="M12" s="276" cm="1">
        <f t="array" ref="M12">IF(AND(M$2&lt;&gt;0,TblTech[[#This Row],[Hour]:[Hour]]&gt;=M$2),1,0)</f>
        <v>0</v>
      </c>
      <c r="N12" s="276" cm="1">
        <f t="array" ref="N12">IF(AND(N$2&lt;&gt;0,TblTech[[#This Row],[Hour]:[Hour]]&gt;=N$2),1,0)</f>
        <v>0</v>
      </c>
      <c r="O12" s="276" cm="1">
        <f t="array" ref="O12">IF(AND(O$2&lt;&gt;0,TblTech[[#This Row],[Hour]:[Hour]]&gt;=O$2),1,0)</f>
        <v>0</v>
      </c>
      <c r="P12" s="276" cm="1">
        <f t="array" ref="P12">IF(AND(P$2&lt;&gt;0,TblTech[[#This Row],[Hour]:[Hour]]&gt;=P$2),1,0)</f>
        <v>0</v>
      </c>
      <c r="Q12" s="276" cm="1">
        <f t="array" ref="Q12">IF(AND(Q$2&lt;&gt;0,TblTech[[#This Row],[Hour]:[Hour]]&gt;=Q$2),1,0)</f>
        <v>0</v>
      </c>
      <c r="R12" s="276" cm="1">
        <f t="array" ref="R12">IF(AND(R$2&lt;&gt;0,TblTech[[#This Row],[Hour]:[Hour]]&gt;=R$2),1,0)</f>
        <v>0</v>
      </c>
      <c r="S12" s="276" cm="1">
        <f t="array" ref="S12">IF(AND(S$2&lt;&gt;0,TblTech[[#This Row],[Hour]:[Hour]]&gt;=S$2),1,0)</f>
        <v>0</v>
      </c>
      <c r="T12" s="276" cm="1">
        <f t="array" ref="T12">IF(AND(T$2&lt;&gt;0,TblTech[[#This Row],[Hour]:[Hour]]&gt;=T$2),1,0)</f>
        <v>0</v>
      </c>
      <c r="U12" s="276" cm="1">
        <f t="array" ref="U12">IF(AND(U$2&lt;&gt;0,TblTech[[#This Row],[Hour]:[Hour]]&gt;=U$2),1,0)</f>
        <v>0</v>
      </c>
      <c r="V12" s="276" cm="1">
        <f t="array" ref="V12">IF(AND(V$2&lt;&gt;0,TblTech[[#This Row],[Hour]:[Hour]]&gt;=V$2),1,0)</f>
        <v>0</v>
      </c>
      <c r="W12" s="276" cm="1">
        <f t="array" ref="W12">IF(AND(W$2&lt;&gt;0,TblTech[[#This Row],[Hour]:[Hour]]&gt;=W$2),1,0)</f>
        <v>0</v>
      </c>
      <c r="X12" s="276" cm="1">
        <f t="array" ref="X12">IF(AND(X$2&lt;&gt;0,TblTech[[#This Row],[Hour]:[Hour]]&gt;=X$2),1,0)</f>
        <v>0</v>
      </c>
      <c r="Y12" s="276" cm="1">
        <f t="array" ref="Y12">IF(AND(Y$2&lt;&gt;0,TblTech[[#This Row],[Hour]:[Hour]]&gt;=Y$2),1,0)</f>
        <v>0</v>
      </c>
      <c r="Z12" s="276" cm="1">
        <f t="array" ref="Z12">IF(AND(Z$2&lt;&gt;0,TblTech[[#This Row],[Hour]:[Hour]]&gt;=Z$2),1,0)</f>
        <v>0</v>
      </c>
      <c r="AA12" s="276" cm="1">
        <f t="array" ref="AA12">IF(AND(AA$2&lt;&gt;0,TblTech[[#This Row],[Hour]:[Hour]]&gt;=AA$2),1,0)</f>
        <v>0</v>
      </c>
      <c r="AB12" s="276" cm="1">
        <f t="array" ref="AB12">IF(AND(AB$2&lt;&gt;0,TblTech[[#This Row],[Hour]:[Hour]]&gt;=AB$2),1,0)</f>
        <v>0</v>
      </c>
      <c r="AC12" s="276" cm="1">
        <f t="array" ref="AC12">IF(AND(AC$2&lt;&gt;0,TblTech[[#This Row],[Hour]:[Hour]]&gt;=AC$2),1,0)</f>
        <v>0</v>
      </c>
      <c r="AD12" s="276" cm="1">
        <f t="array" ref="AD12">IF(AND(AD$2&lt;&gt;0,TblTech[[#This Row],[Hour]:[Hour]]&gt;=AD$2),1,0)</f>
        <v>0</v>
      </c>
      <c r="AE12" s="276" cm="1">
        <f t="array" ref="AE12">IF(AND(AE$2&lt;&gt;0,TblTech[[#This Row],[Hour]:[Hour]]&gt;=AE$2),1,0)</f>
        <v>0</v>
      </c>
      <c r="AF12" s="276" cm="1">
        <f t="array" ref="AF12">IF(AND(AF$2&lt;&gt;0,TblTech[[#This Row],[Hour]:[Hour]]&gt;=AF$2),1,0)</f>
        <v>0</v>
      </c>
      <c r="AG12" s="276" cm="1">
        <f t="array" ref="AG12">IF(AND(AG$2&lt;&gt;0,TblTech[[#This Row],[Hour]:[Hour]]&gt;=AG$2),1,0)</f>
        <v>0</v>
      </c>
      <c r="AH12" s="276" cm="1">
        <f t="array" ref="AH12">IF(AND(AH$2&lt;&gt;0,TblTech[[#This Row],[Hour]:[Hour]]&gt;=AH$2),1,0)</f>
        <v>0</v>
      </c>
      <c r="AI12" s="276" cm="1">
        <f t="array" ref="AI12">IF(AND(AI$2&lt;&gt;0,TblTech[[#This Row],[Hour]:[Hour]]&gt;=AI$2),1,0)</f>
        <v>0</v>
      </c>
      <c r="AJ12" s="276" cm="1">
        <f t="array" ref="AJ12">IF(AND(AJ$2&lt;&gt;0,TblTech[[#This Row],[Hour]:[Hour]]&gt;=AJ$2),1,0)</f>
        <v>0</v>
      </c>
      <c r="AK12" s="276" cm="1">
        <f t="array" ref="AK12">IF(AND(AK$2&lt;&gt;0,TblTech[[#This Row],[Hour]:[Hour]]&gt;=AK$2),1,0)</f>
        <v>0</v>
      </c>
      <c r="AL12" s="276" cm="1">
        <f t="array" ref="AL12">IF(AND(AL$2&lt;&gt;0,TblTech[[#This Row],[Hour]:[Hour]]&gt;=AL$2),1,0)</f>
        <v>0</v>
      </c>
      <c r="AM12" s="276" cm="1">
        <f t="array" ref="AM12">IF(AND(AM$2&lt;&gt;0,TblTech[[#This Row],[Hour]:[Hour]]&gt;=AM$2),1,0)</f>
        <v>0</v>
      </c>
      <c r="AN12" s="276" cm="1">
        <f t="array" ref="AN12">IF(AND(AN$2&lt;&gt;0,TblTech[[#This Row],[Hour]:[Hour]]&gt;=AN$2),1,0)</f>
        <v>0</v>
      </c>
      <c r="AO12" s="276" cm="1">
        <f t="array" ref="AO12">IF(AND(AO$2&lt;&gt;0,TblTech[[#This Row],[Hour]:[Hour]]&gt;=AO$2),1,0)</f>
        <v>0</v>
      </c>
      <c r="AP12" s="276" cm="1">
        <f t="array" ref="AP12">IF(AND(AP$2&lt;&gt;0,TblTech[[#This Row],[Hour]:[Hour]]&gt;=AP$2),1,0)</f>
        <v>0</v>
      </c>
      <c r="AQ12" s="276" cm="1">
        <f t="array" ref="AQ12">IF(AND(AQ$2&lt;&gt;0,TblTech[[#This Row],[Hour]:[Hour]]&gt;=AQ$2),1,0)</f>
        <v>0</v>
      </c>
      <c r="AR12" s="276" cm="1">
        <f t="array" ref="AR12">IF(AND(AR$2&lt;&gt;0,TblTech[[#This Row],[Hour]:[Hour]]&gt;=AR$2),1,0)</f>
        <v>0</v>
      </c>
      <c r="AS12" s="276" cm="1">
        <f t="array" ref="AS12">IF(AND(AS$2&lt;&gt;0,TblTech[[#This Row],[Hour]:[Hour]]&gt;=AS$2),1,0)</f>
        <v>0</v>
      </c>
      <c r="AT12" s="276" cm="1">
        <f t="array" ref="AT12">IF(AND(AT$2&lt;&gt;0,TblTech[[#This Row],[Hour]:[Hour]]&gt;=AT$2),1,0)</f>
        <v>0</v>
      </c>
      <c r="AU12" s="276" cm="1">
        <f t="array" ref="AU12">IF(AND(AU$2&lt;&gt;0,TblTech[[#This Row],[Hour]:[Hour]]&gt;=AU$2),1,0)</f>
        <v>0</v>
      </c>
      <c r="AV12" s="276" cm="1">
        <f t="array" ref="AV12">IF(AND(AV$2&lt;&gt;0,TblTech[[#This Row],[Hour]:[Hour]]&gt;=AV$2),1,0)</f>
        <v>0</v>
      </c>
      <c r="AW12" s="276" cm="1">
        <f t="array" ref="AW12">IF(AND(AW$2&lt;&gt;0,TblTech[[#This Row],[Hour]:[Hour]]&gt;=AW$2),1,0)</f>
        <v>0</v>
      </c>
      <c r="AX12" s="276" cm="1">
        <f t="array" ref="AX12">IF(AND(AX$2&lt;&gt;0,TblTech[[#This Row],[Hour]:[Hour]]&gt;=AX$2),1,0)</f>
        <v>0</v>
      </c>
      <c r="AY12" s="276" cm="1">
        <f t="array" ref="AY12">IF(AND(AY$2&lt;&gt;0,TblTech[[#This Row],[Hour]:[Hour]]&gt;=AY$2),1,0)</f>
        <v>0</v>
      </c>
      <c r="AZ12" s="276" cm="1">
        <f t="array" ref="AZ12">IF(AND(AZ$2&lt;&gt;0,TblTech[[#This Row],[Hour]:[Hour]]&gt;=AZ$2),1,0)</f>
        <v>0</v>
      </c>
      <c r="BA12" s="276" cm="1">
        <f t="array" ref="BA12">IF(AND(BA$2&lt;&gt;0,TblTech[[#This Row],[Hour]:[Hour]]&gt;=BA$2),1,0)</f>
        <v>0</v>
      </c>
      <c r="BB12" s="276" cm="1">
        <f t="array" ref="BB12">IF(AND(BB$2&lt;&gt;0,TblTech[[#This Row],[Hour]:[Hour]]&gt;=BB$2),1,0)</f>
        <v>0</v>
      </c>
      <c r="BC12" s="276" cm="1">
        <f t="array" ref="BC12">IF(AND(BC$2&lt;&gt;0,TblTech[[#This Row],[Hour]:[Hour]]&gt;=BC$2),1,0)</f>
        <v>0</v>
      </c>
      <c r="BD12" s="276" cm="1">
        <f t="array" ref="BD12">IF(AND(BD$2&lt;&gt;0,TblTech[[#This Row],[Hour]:[Hour]]&gt;=BD$2),1,0)</f>
        <v>0</v>
      </c>
      <c r="BE12" s="276" cm="1">
        <f t="array" ref="BE12">IF(AND(BE$2&lt;&gt;0,TblTech[[#This Row],[Hour]:[Hour]]&gt;=BE$2),1,0)</f>
        <v>0</v>
      </c>
      <c r="BF12" s="276" cm="1">
        <f t="array" ref="BF12">IF(AND(BF$2&lt;&gt;0,TblTech[[#This Row],[Hour]:[Hour]]&gt;=BF$2),1,0)</f>
        <v>0</v>
      </c>
      <c r="BG12" s="276" cm="1">
        <f t="array" ref="BG12">IF(AND(BG$2&lt;&gt;0,TblTech[[#This Row],[Hour]:[Hour]]&gt;=BG$2),1,0)</f>
        <v>0</v>
      </c>
      <c r="BH12" s="276" cm="1">
        <f t="array" ref="BH12">IF(AND(BH$2&lt;&gt;0,TblTech[[#This Row],[Hour]:[Hour]]&gt;=BH$2),1,0)</f>
        <v>0</v>
      </c>
      <c r="BI12" s="276" cm="1">
        <f t="array" ref="BI12">IF(AND(BI$2&lt;&gt;0,TblTech[[#This Row],[Hour]:[Hour]]&gt;=BI$2),1,0)</f>
        <v>0</v>
      </c>
      <c r="BJ12" s="276" cm="1">
        <f t="array" ref="BJ12">IF(AND(BJ$2&lt;&gt;0,TblTech[[#This Row],[Hour]:[Hour]]&gt;=BJ$2),1,0)</f>
        <v>0</v>
      </c>
      <c r="BK12" s="276" cm="1">
        <f t="array" ref="BK12">IF(AND(BK$2&lt;&gt;0,TblTech[[#This Row],[Hour]:[Hour]]&gt;=BK$2),1,0)</f>
        <v>0</v>
      </c>
      <c r="BL12" s="276" cm="1">
        <f t="array" ref="BL12">IF(AND(BL$2&lt;&gt;0,TblTech[[#This Row],[Hour]:[Hour]]&gt;=BL$2),1,0)</f>
        <v>0</v>
      </c>
      <c r="BM12" s="276" cm="1">
        <f t="array" ref="BM12">IF(AND(BM$2&lt;&gt;0,TblTech[[#This Row],[Hour]:[Hour]]&gt;=BM$2),1,0)</f>
        <v>0</v>
      </c>
      <c r="BN12" s="276" cm="1">
        <f t="array" ref="BN12">IF(AND(BN$2&lt;&gt;0,TblTech[[#This Row],[Hour]:[Hour]]&gt;=BN$2),1,0)</f>
        <v>0</v>
      </c>
      <c r="BO12" s="276" cm="1">
        <f t="array" ref="BO12">IF(AND(BO$2&lt;&gt;0,TblTech[[#This Row],[Hour]:[Hour]]&gt;=BO$2),1,0)</f>
        <v>0</v>
      </c>
      <c r="BP12" s="276" cm="1">
        <f t="array" ref="BP12">IF(AND(BP$2&lt;&gt;0,TblTech[[#This Row],[Hour]:[Hour]]&gt;=BP$2),1,0)</f>
        <v>0</v>
      </c>
      <c r="BQ12" s="276" cm="1">
        <f t="array" ref="BQ12">IF(AND(BQ$2&lt;&gt;0,TblTech[[#This Row],[Hour]:[Hour]]&gt;=BQ$2),1,0)</f>
        <v>0</v>
      </c>
      <c r="BR12" s="276" cm="1">
        <f t="array" ref="BR12">IF(AND(BR$2&lt;&gt;0,TblTech[[#This Row],[Hour]:[Hour]]&gt;=BR$2),1,0)</f>
        <v>0</v>
      </c>
      <c r="BS12" s="276" cm="1">
        <f t="array" ref="BS12">IF(AND(BS$2&lt;&gt;0,TblTech[[#This Row],[Hour]:[Hour]]&gt;=BS$2),1,0)</f>
        <v>0</v>
      </c>
      <c r="BT12" s="276" cm="1">
        <f t="array" ref="BT12">IF(AND(BT$2&lt;&gt;0,TblTech[[#This Row],[Hour]:[Hour]]&gt;=BT$2),1,0)</f>
        <v>0</v>
      </c>
      <c r="BU12" s="276" cm="1">
        <f t="array" ref="BU12">IF(AND(BU$2&lt;&gt;0,TblTech[[#This Row],[Hour]:[Hour]]&gt;=BU$2),1,0)</f>
        <v>0</v>
      </c>
      <c r="BV12" s="276" cm="1">
        <f t="array" ref="BV12">IF(AND(BV$2&lt;&gt;0,TblTech[[#This Row],[Hour]:[Hour]]&gt;=BV$2),1,0)</f>
        <v>0</v>
      </c>
      <c r="BW12" s="276" cm="1">
        <f t="array" ref="BW12">IF(AND(BW$2&lt;&gt;0,TblTech[[#This Row],[Hour]:[Hour]]&gt;=BW$2),1,0)</f>
        <v>0</v>
      </c>
      <c r="BX12" s="276" cm="1">
        <f t="array" ref="BX12">IF(AND(BX$2&lt;&gt;0,TblTech[[#This Row],[Hour]:[Hour]]&gt;=BX$2),1,0)</f>
        <v>0</v>
      </c>
      <c r="BY12" s="276" cm="1">
        <f t="array" ref="BY12">IF(AND(BY$2&lt;&gt;0,TblTech[[#This Row],[Hour]:[Hour]]&gt;=BY$2),1,0)</f>
        <v>0</v>
      </c>
      <c r="BZ12" s="276" cm="1">
        <f t="array" ref="BZ12">IF(AND(BZ$2&lt;&gt;0,TblTech[[#This Row],[Hour]:[Hour]]&gt;=BZ$2),1,0)</f>
        <v>0</v>
      </c>
      <c r="CA12" s="377">
        <f>IFERROR(INDEX($H$4:$H$79,MATCH(INDEX(TblTech[[#Headers],[1-1]:[11-1]],1,MATCH(TblTech[[#This Row],[Hour]],$M$2:$BZ$2,0)),$G$4:$G$79,0)),)</f>
        <v>0</v>
      </c>
    </row>
    <row r="13" spans="1:79" x14ac:dyDescent="0.2">
      <c r="A13" s="268">
        <f>TblRezone[[#This Row],[Hour]]</f>
        <v>10</v>
      </c>
      <c r="B13" s="269">
        <f ca="1">TblExplore[[#This Row],[Land-DB]]</f>
        <v>50</v>
      </c>
      <c r="C13" s="270">
        <f ca="1">TblProd[[#This Row],[Techpoints]]</f>
        <v>0</v>
      </c>
      <c r="D13" s="270">
        <f ca="1">TblProd[[#This Row],[Required]]</f>
        <v>3750</v>
      </c>
      <c r="E13" s="271"/>
      <c r="F13" s="272"/>
      <c r="G13" s="273" t="s">
        <v>549</v>
      </c>
      <c r="H13" s="274" t="s">
        <v>686</v>
      </c>
      <c r="I13" s="273" t="s">
        <v>548</v>
      </c>
      <c r="J13" s="269"/>
      <c r="K13" s="93">
        <f ca="1">IF(TblTech[[#This Row],[Sum of tech]]&lt;&gt;OFFSET(TblTech[[#This Row],[Sum of tech]],-1,0),1,0)</f>
        <v>0</v>
      </c>
      <c r="L13" s="275">
        <f>COUNTIF(TblTech[[#This Row],[1-1]:[11-1]],1)</f>
        <v>0</v>
      </c>
      <c r="M13" s="276" cm="1">
        <f t="array" ref="M13">IF(AND(M$2&lt;&gt;0,TblTech[[#This Row],[Hour]:[Hour]]&gt;=M$2),1,0)</f>
        <v>0</v>
      </c>
      <c r="N13" s="276" cm="1">
        <f t="array" ref="N13">IF(AND(N$2&lt;&gt;0,TblTech[[#This Row],[Hour]:[Hour]]&gt;=N$2),1,0)</f>
        <v>0</v>
      </c>
      <c r="O13" s="276" cm="1">
        <f t="array" ref="O13">IF(AND(O$2&lt;&gt;0,TblTech[[#This Row],[Hour]:[Hour]]&gt;=O$2),1,0)</f>
        <v>0</v>
      </c>
      <c r="P13" s="276" cm="1">
        <f t="array" ref="P13">IF(AND(P$2&lt;&gt;0,TblTech[[#This Row],[Hour]:[Hour]]&gt;=P$2),1,0)</f>
        <v>0</v>
      </c>
      <c r="Q13" s="276" cm="1">
        <f t="array" ref="Q13">IF(AND(Q$2&lt;&gt;0,TblTech[[#This Row],[Hour]:[Hour]]&gt;=Q$2),1,0)</f>
        <v>0</v>
      </c>
      <c r="R13" s="276" cm="1">
        <f t="array" ref="R13">IF(AND(R$2&lt;&gt;0,TblTech[[#This Row],[Hour]:[Hour]]&gt;=R$2),1,0)</f>
        <v>0</v>
      </c>
      <c r="S13" s="276" cm="1">
        <f t="array" ref="S13">IF(AND(S$2&lt;&gt;0,TblTech[[#This Row],[Hour]:[Hour]]&gt;=S$2),1,0)</f>
        <v>0</v>
      </c>
      <c r="T13" s="276" cm="1">
        <f t="array" ref="T13">IF(AND(T$2&lt;&gt;0,TblTech[[#This Row],[Hour]:[Hour]]&gt;=T$2),1,0)</f>
        <v>0</v>
      </c>
      <c r="U13" s="276" cm="1">
        <f t="array" ref="U13">IF(AND(U$2&lt;&gt;0,TblTech[[#This Row],[Hour]:[Hour]]&gt;=U$2),1,0)</f>
        <v>0</v>
      </c>
      <c r="V13" s="276" cm="1">
        <f t="array" ref="V13">IF(AND(V$2&lt;&gt;0,TblTech[[#This Row],[Hour]:[Hour]]&gt;=V$2),1,0)</f>
        <v>0</v>
      </c>
      <c r="W13" s="276" cm="1">
        <f t="array" ref="W13">IF(AND(W$2&lt;&gt;0,TblTech[[#This Row],[Hour]:[Hour]]&gt;=W$2),1,0)</f>
        <v>0</v>
      </c>
      <c r="X13" s="276" cm="1">
        <f t="array" ref="X13">IF(AND(X$2&lt;&gt;0,TblTech[[#This Row],[Hour]:[Hour]]&gt;=X$2),1,0)</f>
        <v>0</v>
      </c>
      <c r="Y13" s="276" cm="1">
        <f t="array" ref="Y13">IF(AND(Y$2&lt;&gt;0,TblTech[[#This Row],[Hour]:[Hour]]&gt;=Y$2),1,0)</f>
        <v>0</v>
      </c>
      <c r="Z13" s="276" cm="1">
        <f t="array" ref="Z13">IF(AND(Z$2&lt;&gt;0,TblTech[[#This Row],[Hour]:[Hour]]&gt;=Z$2),1,0)</f>
        <v>0</v>
      </c>
      <c r="AA13" s="276" cm="1">
        <f t="array" ref="AA13">IF(AND(AA$2&lt;&gt;0,TblTech[[#This Row],[Hour]:[Hour]]&gt;=AA$2),1,0)</f>
        <v>0</v>
      </c>
      <c r="AB13" s="276" cm="1">
        <f t="array" ref="AB13">IF(AND(AB$2&lt;&gt;0,TblTech[[#This Row],[Hour]:[Hour]]&gt;=AB$2),1,0)</f>
        <v>0</v>
      </c>
      <c r="AC13" s="276" cm="1">
        <f t="array" ref="AC13">IF(AND(AC$2&lt;&gt;0,TblTech[[#This Row],[Hour]:[Hour]]&gt;=AC$2),1,0)</f>
        <v>0</v>
      </c>
      <c r="AD13" s="276" cm="1">
        <f t="array" ref="AD13">IF(AND(AD$2&lt;&gt;0,TblTech[[#This Row],[Hour]:[Hour]]&gt;=AD$2),1,0)</f>
        <v>0</v>
      </c>
      <c r="AE13" s="276" cm="1">
        <f t="array" ref="AE13">IF(AND(AE$2&lt;&gt;0,TblTech[[#This Row],[Hour]:[Hour]]&gt;=AE$2),1,0)</f>
        <v>0</v>
      </c>
      <c r="AF13" s="276" cm="1">
        <f t="array" ref="AF13">IF(AND(AF$2&lt;&gt;0,TblTech[[#This Row],[Hour]:[Hour]]&gt;=AF$2),1,0)</f>
        <v>0</v>
      </c>
      <c r="AG13" s="276" cm="1">
        <f t="array" ref="AG13">IF(AND(AG$2&lt;&gt;0,TblTech[[#This Row],[Hour]:[Hour]]&gt;=AG$2),1,0)</f>
        <v>0</v>
      </c>
      <c r="AH13" s="276" cm="1">
        <f t="array" ref="AH13">IF(AND(AH$2&lt;&gt;0,TblTech[[#This Row],[Hour]:[Hour]]&gt;=AH$2),1,0)</f>
        <v>0</v>
      </c>
      <c r="AI13" s="276" cm="1">
        <f t="array" ref="AI13">IF(AND(AI$2&lt;&gt;0,TblTech[[#This Row],[Hour]:[Hour]]&gt;=AI$2),1,0)</f>
        <v>0</v>
      </c>
      <c r="AJ13" s="276" cm="1">
        <f t="array" ref="AJ13">IF(AND(AJ$2&lt;&gt;0,TblTech[[#This Row],[Hour]:[Hour]]&gt;=AJ$2),1,0)</f>
        <v>0</v>
      </c>
      <c r="AK13" s="276" cm="1">
        <f t="array" ref="AK13">IF(AND(AK$2&lt;&gt;0,TblTech[[#This Row],[Hour]:[Hour]]&gt;=AK$2),1,0)</f>
        <v>0</v>
      </c>
      <c r="AL13" s="276" cm="1">
        <f t="array" ref="AL13">IF(AND(AL$2&lt;&gt;0,TblTech[[#This Row],[Hour]:[Hour]]&gt;=AL$2),1,0)</f>
        <v>0</v>
      </c>
      <c r="AM13" s="276" cm="1">
        <f t="array" ref="AM13">IF(AND(AM$2&lt;&gt;0,TblTech[[#This Row],[Hour]:[Hour]]&gt;=AM$2),1,0)</f>
        <v>0</v>
      </c>
      <c r="AN13" s="276" cm="1">
        <f t="array" ref="AN13">IF(AND(AN$2&lt;&gt;0,TblTech[[#This Row],[Hour]:[Hour]]&gt;=AN$2),1,0)</f>
        <v>0</v>
      </c>
      <c r="AO13" s="276" cm="1">
        <f t="array" ref="AO13">IF(AND(AO$2&lt;&gt;0,TblTech[[#This Row],[Hour]:[Hour]]&gt;=AO$2),1,0)</f>
        <v>0</v>
      </c>
      <c r="AP13" s="276" cm="1">
        <f t="array" ref="AP13">IF(AND(AP$2&lt;&gt;0,TblTech[[#This Row],[Hour]:[Hour]]&gt;=AP$2),1,0)</f>
        <v>0</v>
      </c>
      <c r="AQ13" s="276" cm="1">
        <f t="array" ref="AQ13">IF(AND(AQ$2&lt;&gt;0,TblTech[[#This Row],[Hour]:[Hour]]&gt;=AQ$2),1,0)</f>
        <v>0</v>
      </c>
      <c r="AR13" s="276" cm="1">
        <f t="array" ref="AR13">IF(AND(AR$2&lt;&gt;0,TblTech[[#This Row],[Hour]:[Hour]]&gt;=AR$2),1,0)</f>
        <v>0</v>
      </c>
      <c r="AS13" s="276" cm="1">
        <f t="array" ref="AS13">IF(AND(AS$2&lt;&gt;0,TblTech[[#This Row],[Hour]:[Hour]]&gt;=AS$2),1,0)</f>
        <v>0</v>
      </c>
      <c r="AT13" s="276" cm="1">
        <f t="array" ref="AT13">IF(AND(AT$2&lt;&gt;0,TblTech[[#This Row],[Hour]:[Hour]]&gt;=AT$2),1,0)</f>
        <v>0</v>
      </c>
      <c r="AU13" s="276" cm="1">
        <f t="array" ref="AU13">IF(AND(AU$2&lt;&gt;0,TblTech[[#This Row],[Hour]:[Hour]]&gt;=AU$2),1,0)</f>
        <v>0</v>
      </c>
      <c r="AV13" s="276" cm="1">
        <f t="array" ref="AV13">IF(AND(AV$2&lt;&gt;0,TblTech[[#This Row],[Hour]:[Hour]]&gt;=AV$2),1,0)</f>
        <v>0</v>
      </c>
      <c r="AW13" s="276" cm="1">
        <f t="array" ref="AW13">IF(AND(AW$2&lt;&gt;0,TblTech[[#This Row],[Hour]:[Hour]]&gt;=AW$2),1,0)</f>
        <v>0</v>
      </c>
      <c r="AX13" s="276" cm="1">
        <f t="array" ref="AX13">IF(AND(AX$2&lt;&gt;0,TblTech[[#This Row],[Hour]:[Hour]]&gt;=AX$2),1,0)</f>
        <v>0</v>
      </c>
      <c r="AY13" s="276" cm="1">
        <f t="array" ref="AY13">IF(AND(AY$2&lt;&gt;0,TblTech[[#This Row],[Hour]:[Hour]]&gt;=AY$2),1,0)</f>
        <v>0</v>
      </c>
      <c r="AZ13" s="276" cm="1">
        <f t="array" ref="AZ13">IF(AND(AZ$2&lt;&gt;0,TblTech[[#This Row],[Hour]:[Hour]]&gt;=AZ$2),1,0)</f>
        <v>0</v>
      </c>
      <c r="BA13" s="276" cm="1">
        <f t="array" ref="BA13">IF(AND(BA$2&lt;&gt;0,TblTech[[#This Row],[Hour]:[Hour]]&gt;=BA$2),1,0)</f>
        <v>0</v>
      </c>
      <c r="BB13" s="276" cm="1">
        <f t="array" ref="BB13">IF(AND(BB$2&lt;&gt;0,TblTech[[#This Row],[Hour]:[Hour]]&gt;=BB$2),1,0)</f>
        <v>0</v>
      </c>
      <c r="BC13" s="276" cm="1">
        <f t="array" ref="BC13">IF(AND(BC$2&lt;&gt;0,TblTech[[#This Row],[Hour]:[Hour]]&gt;=BC$2),1,0)</f>
        <v>0</v>
      </c>
      <c r="BD13" s="276" cm="1">
        <f t="array" ref="BD13">IF(AND(BD$2&lt;&gt;0,TblTech[[#This Row],[Hour]:[Hour]]&gt;=BD$2),1,0)</f>
        <v>0</v>
      </c>
      <c r="BE13" s="276" cm="1">
        <f t="array" ref="BE13">IF(AND(BE$2&lt;&gt;0,TblTech[[#This Row],[Hour]:[Hour]]&gt;=BE$2),1,0)</f>
        <v>0</v>
      </c>
      <c r="BF13" s="276" cm="1">
        <f t="array" ref="BF13">IF(AND(BF$2&lt;&gt;0,TblTech[[#This Row],[Hour]:[Hour]]&gt;=BF$2),1,0)</f>
        <v>0</v>
      </c>
      <c r="BG13" s="276" cm="1">
        <f t="array" ref="BG13">IF(AND(BG$2&lt;&gt;0,TblTech[[#This Row],[Hour]:[Hour]]&gt;=BG$2),1,0)</f>
        <v>0</v>
      </c>
      <c r="BH13" s="276" cm="1">
        <f t="array" ref="BH13">IF(AND(BH$2&lt;&gt;0,TblTech[[#This Row],[Hour]:[Hour]]&gt;=BH$2),1,0)</f>
        <v>0</v>
      </c>
      <c r="BI13" s="276" cm="1">
        <f t="array" ref="BI13">IF(AND(BI$2&lt;&gt;0,TblTech[[#This Row],[Hour]:[Hour]]&gt;=BI$2),1,0)</f>
        <v>0</v>
      </c>
      <c r="BJ13" s="276" cm="1">
        <f t="array" ref="BJ13">IF(AND(BJ$2&lt;&gt;0,TblTech[[#This Row],[Hour]:[Hour]]&gt;=BJ$2),1,0)</f>
        <v>0</v>
      </c>
      <c r="BK13" s="276" cm="1">
        <f t="array" ref="BK13">IF(AND(BK$2&lt;&gt;0,TblTech[[#This Row],[Hour]:[Hour]]&gt;=BK$2),1,0)</f>
        <v>0</v>
      </c>
      <c r="BL13" s="276" cm="1">
        <f t="array" ref="BL13">IF(AND(BL$2&lt;&gt;0,TblTech[[#This Row],[Hour]:[Hour]]&gt;=BL$2),1,0)</f>
        <v>0</v>
      </c>
      <c r="BM13" s="276" cm="1">
        <f t="array" ref="BM13">IF(AND(BM$2&lt;&gt;0,TblTech[[#This Row],[Hour]:[Hour]]&gt;=BM$2),1,0)</f>
        <v>0</v>
      </c>
      <c r="BN13" s="276" cm="1">
        <f t="array" ref="BN13">IF(AND(BN$2&lt;&gt;0,TblTech[[#This Row],[Hour]:[Hour]]&gt;=BN$2),1,0)</f>
        <v>0</v>
      </c>
      <c r="BO13" s="276" cm="1">
        <f t="array" ref="BO13">IF(AND(BO$2&lt;&gt;0,TblTech[[#This Row],[Hour]:[Hour]]&gt;=BO$2),1,0)</f>
        <v>0</v>
      </c>
      <c r="BP13" s="276" cm="1">
        <f t="array" ref="BP13">IF(AND(BP$2&lt;&gt;0,TblTech[[#This Row],[Hour]:[Hour]]&gt;=BP$2),1,0)</f>
        <v>0</v>
      </c>
      <c r="BQ13" s="276" cm="1">
        <f t="array" ref="BQ13">IF(AND(BQ$2&lt;&gt;0,TblTech[[#This Row],[Hour]:[Hour]]&gt;=BQ$2),1,0)</f>
        <v>0</v>
      </c>
      <c r="BR13" s="276" cm="1">
        <f t="array" ref="BR13">IF(AND(BR$2&lt;&gt;0,TblTech[[#This Row],[Hour]:[Hour]]&gt;=BR$2),1,0)</f>
        <v>0</v>
      </c>
      <c r="BS13" s="276" cm="1">
        <f t="array" ref="BS13">IF(AND(BS$2&lt;&gt;0,TblTech[[#This Row],[Hour]:[Hour]]&gt;=BS$2),1,0)</f>
        <v>0</v>
      </c>
      <c r="BT13" s="276" cm="1">
        <f t="array" ref="BT13">IF(AND(BT$2&lt;&gt;0,TblTech[[#This Row],[Hour]:[Hour]]&gt;=BT$2),1,0)</f>
        <v>0</v>
      </c>
      <c r="BU13" s="276" cm="1">
        <f t="array" ref="BU13">IF(AND(BU$2&lt;&gt;0,TblTech[[#This Row],[Hour]:[Hour]]&gt;=BU$2),1,0)</f>
        <v>0</v>
      </c>
      <c r="BV13" s="276" cm="1">
        <f t="array" ref="BV13">IF(AND(BV$2&lt;&gt;0,TblTech[[#This Row],[Hour]:[Hour]]&gt;=BV$2),1,0)</f>
        <v>0</v>
      </c>
      <c r="BW13" s="276" cm="1">
        <f t="array" ref="BW13">IF(AND(BW$2&lt;&gt;0,TblTech[[#This Row],[Hour]:[Hour]]&gt;=BW$2),1,0)</f>
        <v>0</v>
      </c>
      <c r="BX13" s="276" cm="1">
        <f t="array" ref="BX13">IF(AND(BX$2&lt;&gt;0,TblTech[[#This Row],[Hour]:[Hour]]&gt;=BX$2),1,0)</f>
        <v>0</v>
      </c>
      <c r="BY13" s="276" cm="1">
        <f t="array" ref="BY13">IF(AND(BY$2&lt;&gt;0,TblTech[[#This Row],[Hour]:[Hour]]&gt;=BY$2),1,0)</f>
        <v>0</v>
      </c>
      <c r="BZ13" s="276" cm="1">
        <f t="array" ref="BZ13">IF(AND(BZ$2&lt;&gt;0,TblTech[[#This Row],[Hour]:[Hour]]&gt;=BZ$2),1,0)</f>
        <v>0</v>
      </c>
      <c r="CA13" s="377">
        <f>IFERROR(INDEX($H$4:$H$79,MATCH(INDEX(TblTech[[#Headers],[1-1]:[11-1]],1,MATCH(TblTech[[#This Row],[Hour]],$M$2:$BZ$2,0)),$G$4:$G$79,0)),)</f>
        <v>0</v>
      </c>
    </row>
    <row r="14" spans="1:79" x14ac:dyDescent="0.2">
      <c r="A14" s="268">
        <f>TblRezone[[#This Row],[Hour]]</f>
        <v>11</v>
      </c>
      <c r="B14" s="269">
        <f ca="1">TblExplore[[#This Row],[Land-DB]]</f>
        <v>50</v>
      </c>
      <c r="C14" s="270">
        <f ca="1">TblProd[[#This Row],[Techpoints]]</f>
        <v>0</v>
      </c>
      <c r="D14" s="270">
        <f ca="1">TblProd[[#This Row],[Required]]</f>
        <v>3750</v>
      </c>
      <c r="E14" s="271"/>
      <c r="F14" s="272"/>
      <c r="G14" s="273" t="s">
        <v>551</v>
      </c>
      <c r="H14" s="274" t="s">
        <v>1054</v>
      </c>
      <c r="I14" s="273" t="s">
        <v>737</v>
      </c>
      <c r="J14" s="269"/>
      <c r="K14" s="93">
        <f ca="1">IF(TblTech[[#This Row],[Sum of tech]]&lt;&gt;OFFSET(TblTech[[#This Row],[Sum of tech]],-1,0),1,0)</f>
        <v>0</v>
      </c>
      <c r="L14" s="275">
        <f>COUNTIF(TblTech[[#This Row],[1-1]:[11-1]],1)</f>
        <v>0</v>
      </c>
      <c r="M14" s="276" cm="1">
        <f t="array" ref="M14">IF(AND(M$2&lt;&gt;0,TblTech[[#This Row],[Hour]:[Hour]]&gt;=M$2),1,0)</f>
        <v>0</v>
      </c>
      <c r="N14" s="276" cm="1">
        <f t="array" ref="N14">IF(AND(N$2&lt;&gt;0,TblTech[[#This Row],[Hour]:[Hour]]&gt;=N$2),1,0)</f>
        <v>0</v>
      </c>
      <c r="O14" s="276" cm="1">
        <f t="array" ref="O14">IF(AND(O$2&lt;&gt;0,TblTech[[#This Row],[Hour]:[Hour]]&gt;=O$2),1,0)</f>
        <v>0</v>
      </c>
      <c r="P14" s="276" cm="1">
        <f t="array" ref="P14">IF(AND(P$2&lt;&gt;0,TblTech[[#This Row],[Hour]:[Hour]]&gt;=P$2),1,0)</f>
        <v>0</v>
      </c>
      <c r="Q14" s="276" cm="1">
        <f t="array" ref="Q14">IF(AND(Q$2&lt;&gt;0,TblTech[[#This Row],[Hour]:[Hour]]&gt;=Q$2),1,0)</f>
        <v>0</v>
      </c>
      <c r="R14" s="276" cm="1">
        <f t="array" ref="R14">IF(AND(R$2&lt;&gt;0,TblTech[[#This Row],[Hour]:[Hour]]&gt;=R$2),1,0)</f>
        <v>0</v>
      </c>
      <c r="S14" s="276" cm="1">
        <f t="array" ref="S14">IF(AND(S$2&lt;&gt;0,TblTech[[#This Row],[Hour]:[Hour]]&gt;=S$2),1,0)</f>
        <v>0</v>
      </c>
      <c r="T14" s="276" cm="1">
        <f t="array" ref="T14">IF(AND(T$2&lt;&gt;0,TblTech[[#This Row],[Hour]:[Hour]]&gt;=T$2),1,0)</f>
        <v>0</v>
      </c>
      <c r="U14" s="276" cm="1">
        <f t="array" ref="U14">IF(AND(U$2&lt;&gt;0,TblTech[[#This Row],[Hour]:[Hour]]&gt;=U$2),1,0)</f>
        <v>0</v>
      </c>
      <c r="V14" s="276" cm="1">
        <f t="array" ref="V14">IF(AND(V$2&lt;&gt;0,TblTech[[#This Row],[Hour]:[Hour]]&gt;=V$2),1,0)</f>
        <v>0</v>
      </c>
      <c r="W14" s="276" cm="1">
        <f t="array" ref="W14">IF(AND(W$2&lt;&gt;0,TblTech[[#This Row],[Hour]:[Hour]]&gt;=W$2),1,0)</f>
        <v>0</v>
      </c>
      <c r="X14" s="276" cm="1">
        <f t="array" ref="X14">IF(AND(X$2&lt;&gt;0,TblTech[[#This Row],[Hour]:[Hour]]&gt;=X$2),1,0)</f>
        <v>0</v>
      </c>
      <c r="Y14" s="276" cm="1">
        <f t="array" ref="Y14">IF(AND(Y$2&lt;&gt;0,TblTech[[#This Row],[Hour]:[Hour]]&gt;=Y$2),1,0)</f>
        <v>0</v>
      </c>
      <c r="Z14" s="276" cm="1">
        <f t="array" ref="Z14">IF(AND(Z$2&lt;&gt;0,TblTech[[#This Row],[Hour]:[Hour]]&gt;=Z$2),1,0)</f>
        <v>0</v>
      </c>
      <c r="AA14" s="276" cm="1">
        <f t="array" ref="AA14">IF(AND(AA$2&lt;&gt;0,TblTech[[#This Row],[Hour]:[Hour]]&gt;=AA$2),1,0)</f>
        <v>0</v>
      </c>
      <c r="AB14" s="276" cm="1">
        <f t="array" ref="AB14">IF(AND(AB$2&lt;&gt;0,TblTech[[#This Row],[Hour]:[Hour]]&gt;=AB$2),1,0)</f>
        <v>0</v>
      </c>
      <c r="AC14" s="276" cm="1">
        <f t="array" ref="AC14">IF(AND(AC$2&lt;&gt;0,TblTech[[#This Row],[Hour]:[Hour]]&gt;=AC$2),1,0)</f>
        <v>0</v>
      </c>
      <c r="AD14" s="276" cm="1">
        <f t="array" ref="AD14">IF(AND(AD$2&lt;&gt;0,TblTech[[#This Row],[Hour]:[Hour]]&gt;=AD$2),1,0)</f>
        <v>0</v>
      </c>
      <c r="AE14" s="276" cm="1">
        <f t="array" ref="AE14">IF(AND(AE$2&lt;&gt;0,TblTech[[#This Row],[Hour]:[Hour]]&gt;=AE$2),1,0)</f>
        <v>0</v>
      </c>
      <c r="AF14" s="276" cm="1">
        <f t="array" ref="AF14">IF(AND(AF$2&lt;&gt;0,TblTech[[#This Row],[Hour]:[Hour]]&gt;=AF$2),1,0)</f>
        <v>0</v>
      </c>
      <c r="AG14" s="276" cm="1">
        <f t="array" ref="AG14">IF(AND(AG$2&lt;&gt;0,TblTech[[#This Row],[Hour]:[Hour]]&gt;=AG$2),1,0)</f>
        <v>0</v>
      </c>
      <c r="AH14" s="276" cm="1">
        <f t="array" ref="AH14">IF(AND(AH$2&lt;&gt;0,TblTech[[#This Row],[Hour]:[Hour]]&gt;=AH$2),1,0)</f>
        <v>0</v>
      </c>
      <c r="AI14" s="276" cm="1">
        <f t="array" ref="AI14">IF(AND(AI$2&lt;&gt;0,TblTech[[#This Row],[Hour]:[Hour]]&gt;=AI$2),1,0)</f>
        <v>0</v>
      </c>
      <c r="AJ14" s="276" cm="1">
        <f t="array" ref="AJ14">IF(AND(AJ$2&lt;&gt;0,TblTech[[#This Row],[Hour]:[Hour]]&gt;=AJ$2),1,0)</f>
        <v>0</v>
      </c>
      <c r="AK14" s="276" cm="1">
        <f t="array" ref="AK14">IF(AND(AK$2&lt;&gt;0,TblTech[[#This Row],[Hour]:[Hour]]&gt;=AK$2),1,0)</f>
        <v>0</v>
      </c>
      <c r="AL14" s="276" cm="1">
        <f t="array" ref="AL14">IF(AND(AL$2&lt;&gt;0,TblTech[[#This Row],[Hour]:[Hour]]&gt;=AL$2),1,0)</f>
        <v>0</v>
      </c>
      <c r="AM14" s="276" cm="1">
        <f t="array" ref="AM14">IF(AND(AM$2&lt;&gt;0,TblTech[[#This Row],[Hour]:[Hour]]&gt;=AM$2),1,0)</f>
        <v>0</v>
      </c>
      <c r="AN14" s="276" cm="1">
        <f t="array" ref="AN14">IF(AND(AN$2&lt;&gt;0,TblTech[[#This Row],[Hour]:[Hour]]&gt;=AN$2),1,0)</f>
        <v>0</v>
      </c>
      <c r="AO14" s="276" cm="1">
        <f t="array" ref="AO14">IF(AND(AO$2&lt;&gt;0,TblTech[[#This Row],[Hour]:[Hour]]&gt;=AO$2),1,0)</f>
        <v>0</v>
      </c>
      <c r="AP14" s="276" cm="1">
        <f t="array" ref="AP14">IF(AND(AP$2&lt;&gt;0,TblTech[[#This Row],[Hour]:[Hour]]&gt;=AP$2),1,0)</f>
        <v>0</v>
      </c>
      <c r="AQ14" s="276" cm="1">
        <f t="array" ref="AQ14">IF(AND(AQ$2&lt;&gt;0,TblTech[[#This Row],[Hour]:[Hour]]&gt;=AQ$2),1,0)</f>
        <v>0</v>
      </c>
      <c r="AR14" s="276" cm="1">
        <f t="array" ref="AR14">IF(AND(AR$2&lt;&gt;0,TblTech[[#This Row],[Hour]:[Hour]]&gt;=AR$2),1,0)</f>
        <v>0</v>
      </c>
      <c r="AS14" s="276" cm="1">
        <f t="array" ref="AS14">IF(AND(AS$2&lt;&gt;0,TblTech[[#This Row],[Hour]:[Hour]]&gt;=AS$2),1,0)</f>
        <v>0</v>
      </c>
      <c r="AT14" s="276" cm="1">
        <f t="array" ref="AT14">IF(AND(AT$2&lt;&gt;0,TblTech[[#This Row],[Hour]:[Hour]]&gt;=AT$2),1,0)</f>
        <v>0</v>
      </c>
      <c r="AU14" s="276" cm="1">
        <f t="array" ref="AU14">IF(AND(AU$2&lt;&gt;0,TblTech[[#This Row],[Hour]:[Hour]]&gt;=AU$2),1,0)</f>
        <v>0</v>
      </c>
      <c r="AV14" s="276" cm="1">
        <f t="array" ref="AV14">IF(AND(AV$2&lt;&gt;0,TblTech[[#This Row],[Hour]:[Hour]]&gt;=AV$2),1,0)</f>
        <v>0</v>
      </c>
      <c r="AW14" s="276" cm="1">
        <f t="array" ref="AW14">IF(AND(AW$2&lt;&gt;0,TblTech[[#This Row],[Hour]:[Hour]]&gt;=AW$2),1,0)</f>
        <v>0</v>
      </c>
      <c r="AX14" s="276" cm="1">
        <f t="array" ref="AX14">IF(AND(AX$2&lt;&gt;0,TblTech[[#This Row],[Hour]:[Hour]]&gt;=AX$2),1,0)</f>
        <v>0</v>
      </c>
      <c r="AY14" s="276" cm="1">
        <f t="array" ref="AY14">IF(AND(AY$2&lt;&gt;0,TblTech[[#This Row],[Hour]:[Hour]]&gt;=AY$2),1,0)</f>
        <v>0</v>
      </c>
      <c r="AZ14" s="276" cm="1">
        <f t="array" ref="AZ14">IF(AND(AZ$2&lt;&gt;0,TblTech[[#This Row],[Hour]:[Hour]]&gt;=AZ$2),1,0)</f>
        <v>0</v>
      </c>
      <c r="BA14" s="276" cm="1">
        <f t="array" ref="BA14">IF(AND(BA$2&lt;&gt;0,TblTech[[#This Row],[Hour]:[Hour]]&gt;=BA$2),1,0)</f>
        <v>0</v>
      </c>
      <c r="BB14" s="276" cm="1">
        <f t="array" ref="BB14">IF(AND(BB$2&lt;&gt;0,TblTech[[#This Row],[Hour]:[Hour]]&gt;=BB$2),1,0)</f>
        <v>0</v>
      </c>
      <c r="BC14" s="276" cm="1">
        <f t="array" ref="BC14">IF(AND(BC$2&lt;&gt;0,TblTech[[#This Row],[Hour]:[Hour]]&gt;=BC$2),1,0)</f>
        <v>0</v>
      </c>
      <c r="BD14" s="276" cm="1">
        <f t="array" ref="BD14">IF(AND(BD$2&lt;&gt;0,TblTech[[#This Row],[Hour]:[Hour]]&gt;=BD$2),1,0)</f>
        <v>0</v>
      </c>
      <c r="BE14" s="276" cm="1">
        <f t="array" ref="BE14">IF(AND(BE$2&lt;&gt;0,TblTech[[#This Row],[Hour]:[Hour]]&gt;=BE$2),1,0)</f>
        <v>0</v>
      </c>
      <c r="BF14" s="276" cm="1">
        <f t="array" ref="BF14">IF(AND(BF$2&lt;&gt;0,TblTech[[#This Row],[Hour]:[Hour]]&gt;=BF$2),1,0)</f>
        <v>0</v>
      </c>
      <c r="BG14" s="276" cm="1">
        <f t="array" ref="BG14">IF(AND(BG$2&lt;&gt;0,TblTech[[#This Row],[Hour]:[Hour]]&gt;=BG$2),1,0)</f>
        <v>0</v>
      </c>
      <c r="BH14" s="276" cm="1">
        <f t="array" ref="BH14">IF(AND(BH$2&lt;&gt;0,TblTech[[#This Row],[Hour]:[Hour]]&gt;=BH$2),1,0)</f>
        <v>0</v>
      </c>
      <c r="BI14" s="276" cm="1">
        <f t="array" ref="BI14">IF(AND(BI$2&lt;&gt;0,TblTech[[#This Row],[Hour]:[Hour]]&gt;=BI$2),1,0)</f>
        <v>0</v>
      </c>
      <c r="BJ14" s="276" cm="1">
        <f t="array" ref="BJ14">IF(AND(BJ$2&lt;&gt;0,TblTech[[#This Row],[Hour]:[Hour]]&gt;=BJ$2),1,0)</f>
        <v>0</v>
      </c>
      <c r="BK14" s="276" cm="1">
        <f t="array" ref="BK14">IF(AND(BK$2&lt;&gt;0,TblTech[[#This Row],[Hour]:[Hour]]&gt;=BK$2),1,0)</f>
        <v>0</v>
      </c>
      <c r="BL14" s="276" cm="1">
        <f t="array" ref="BL14">IF(AND(BL$2&lt;&gt;0,TblTech[[#This Row],[Hour]:[Hour]]&gt;=BL$2),1,0)</f>
        <v>0</v>
      </c>
      <c r="BM14" s="276" cm="1">
        <f t="array" ref="BM14">IF(AND(BM$2&lt;&gt;0,TblTech[[#This Row],[Hour]:[Hour]]&gt;=BM$2),1,0)</f>
        <v>0</v>
      </c>
      <c r="BN14" s="276" cm="1">
        <f t="array" ref="BN14">IF(AND(BN$2&lt;&gt;0,TblTech[[#This Row],[Hour]:[Hour]]&gt;=BN$2),1,0)</f>
        <v>0</v>
      </c>
      <c r="BO14" s="276" cm="1">
        <f t="array" ref="BO14">IF(AND(BO$2&lt;&gt;0,TblTech[[#This Row],[Hour]:[Hour]]&gt;=BO$2),1,0)</f>
        <v>0</v>
      </c>
      <c r="BP14" s="276" cm="1">
        <f t="array" ref="BP14">IF(AND(BP$2&lt;&gt;0,TblTech[[#This Row],[Hour]:[Hour]]&gt;=BP$2),1,0)</f>
        <v>0</v>
      </c>
      <c r="BQ14" s="276" cm="1">
        <f t="array" ref="BQ14">IF(AND(BQ$2&lt;&gt;0,TblTech[[#This Row],[Hour]:[Hour]]&gt;=BQ$2),1,0)</f>
        <v>0</v>
      </c>
      <c r="BR14" s="276" cm="1">
        <f t="array" ref="BR14">IF(AND(BR$2&lt;&gt;0,TblTech[[#This Row],[Hour]:[Hour]]&gt;=BR$2),1,0)</f>
        <v>0</v>
      </c>
      <c r="BS14" s="276" cm="1">
        <f t="array" ref="BS14">IF(AND(BS$2&lt;&gt;0,TblTech[[#This Row],[Hour]:[Hour]]&gt;=BS$2),1,0)</f>
        <v>0</v>
      </c>
      <c r="BT14" s="276" cm="1">
        <f t="array" ref="BT14">IF(AND(BT$2&lt;&gt;0,TblTech[[#This Row],[Hour]:[Hour]]&gt;=BT$2),1,0)</f>
        <v>0</v>
      </c>
      <c r="BU14" s="276" cm="1">
        <f t="array" ref="BU14">IF(AND(BU$2&lt;&gt;0,TblTech[[#This Row],[Hour]:[Hour]]&gt;=BU$2),1,0)</f>
        <v>0</v>
      </c>
      <c r="BV14" s="276" cm="1">
        <f t="array" ref="BV14">IF(AND(BV$2&lt;&gt;0,TblTech[[#This Row],[Hour]:[Hour]]&gt;=BV$2),1,0)</f>
        <v>0</v>
      </c>
      <c r="BW14" s="276" cm="1">
        <f t="array" ref="BW14">IF(AND(BW$2&lt;&gt;0,TblTech[[#This Row],[Hour]:[Hour]]&gt;=BW$2),1,0)</f>
        <v>0</v>
      </c>
      <c r="BX14" s="276" cm="1">
        <f t="array" ref="BX14">IF(AND(BX$2&lt;&gt;0,TblTech[[#This Row],[Hour]:[Hour]]&gt;=BX$2),1,0)</f>
        <v>0</v>
      </c>
      <c r="BY14" s="276" cm="1">
        <f t="array" ref="BY14">IF(AND(BY$2&lt;&gt;0,TblTech[[#This Row],[Hour]:[Hour]]&gt;=BY$2),1,0)</f>
        <v>0</v>
      </c>
      <c r="BZ14" s="276" cm="1">
        <f t="array" ref="BZ14">IF(AND(BZ$2&lt;&gt;0,TblTech[[#This Row],[Hour]:[Hour]]&gt;=BZ$2),1,0)</f>
        <v>0</v>
      </c>
      <c r="CA14" s="377">
        <f>IFERROR(INDEX($H$4:$H$79,MATCH(INDEX(TblTech[[#Headers],[1-1]:[11-1]],1,MATCH(TblTech[[#This Row],[Hour]],$M$2:$BZ$2,0)),$G$4:$G$79,0)),)</f>
        <v>0</v>
      </c>
    </row>
    <row r="15" spans="1:79" x14ac:dyDescent="0.2">
      <c r="A15" s="268">
        <f>TblRezone[[#This Row],[Hour]]</f>
        <v>12</v>
      </c>
      <c r="B15" s="269">
        <f ca="1">TblExplore[[#This Row],[Land-DB]]</f>
        <v>50</v>
      </c>
      <c r="C15" s="270">
        <f ca="1">TblProd[[#This Row],[Techpoints]]</f>
        <v>0</v>
      </c>
      <c r="D15" s="270">
        <f ca="1">TblProd[[#This Row],[Required]]</f>
        <v>3750</v>
      </c>
      <c r="E15" s="271"/>
      <c r="F15" s="272"/>
      <c r="G15" s="273"/>
      <c r="H15" s="274"/>
      <c r="I15" s="273"/>
      <c r="J15" s="269"/>
      <c r="K15" s="93">
        <f ca="1">IF(TblTech[[#This Row],[Sum of tech]]&lt;&gt;OFFSET(TblTech[[#This Row],[Sum of tech]],-1,0),1,0)</f>
        <v>0</v>
      </c>
      <c r="L15" s="275">
        <f>COUNTIF(TblTech[[#This Row],[1-1]:[11-1]],1)</f>
        <v>0</v>
      </c>
      <c r="M15" s="276" cm="1">
        <f t="array" ref="M15">IF(AND(M$2&lt;&gt;0,TblTech[[#This Row],[Hour]:[Hour]]&gt;=M$2),1,0)</f>
        <v>0</v>
      </c>
      <c r="N15" s="276" cm="1">
        <f t="array" ref="N15">IF(AND(N$2&lt;&gt;0,TblTech[[#This Row],[Hour]:[Hour]]&gt;=N$2),1,0)</f>
        <v>0</v>
      </c>
      <c r="O15" s="276" cm="1">
        <f t="array" ref="O15">IF(AND(O$2&lt;&gt;0,TblTech[[#This Row],[Hour]:[Hour]]&gt;=O$2),1,0)</f>
        <v>0</v>
      </c>
      <c r="P15" s="276" cm="1">
        <f t="array" ref="P15">IF(AND(P$2&lt;&gt;0,TblTech[[#This Row],[Hour]:[Hour]]&gt;=P$2),1,0)</f>
        <v>0</v>
      </c>
      <c r="Q15" s="276" cm="1">
        <f t="array" ref="Q15">IF(AND(Q$2&lt;&gt;0,TblTech[[#This Row],[Hour]:[Hour]]&gt;=Q$2),1,0)</f>
        <v>0</v>
      </c>
      <c r="R15" s="276" cm="1">
        <f t="array" ref="R15">IF(AND(R$2&lt;&gt;0,TblTech[[#This Row],[Hour]:[Hour]]&gt;=R$2),1,0)</f>
        <v>0</v>
      </c>
      <c r="S15" s="276" cm="1">
        <f t="array" ref="S15">IF(AND(S$2&lt;&gt;0,TblTech[[#This Row],[Hour]:[Hour]]&gt;=S$2),1,0)</f>
        <v>0</v>
      </c>
      <c r="T15" s="276" cm="1">
        <f t="array" ref="T15">IF(AND(T$2&lt;&gt;0,TblTech[[#This Row],[Hour]:[Hour]]&gt;=T$2),1,0)</f>
        <v>0</v>
      </c>
      <c r="U15" s="276" cm="1">
        <f t="array" ref="U15">IF(AND(U$2&lt;&gt;0,TblTech[[#This Row],[Hour]:[Hour]]&gt;=U$2),1,0)</f>
        <v>0</v>
      </c>
      <c r="V15" s="276" cm="1">
        <f t="array" ref="V15">IF(AND(V$2&lt;&gt;0,TblTech[[#This Row],[Hour]:[Hour]]&gt;=V$2),1,0)</f>
        <v>0</v>
      </c>
      <c r="W15" s="276" cm="1">
        <f t="array" ref="W15">IF(AND(W$2&lt;&gt;0,TblTech[[#This Row],[Hour]:[Hour]]&gt;=W$2),1,0)</f>
        <v>0</v>
      </c>
      <c r="X15" s="276" cm="1">
        <f t="array" ref="X15">IF(AND(X$2&lt;&gt;0,TblTech[[#This Row],[Hour]:[Hour]]&gt;=X$2),1,0)</f>
        <v>0</v>
      </c>
      <c r="Y15" s="276" cm="1">
        <f t="array" ref="Y15">IF(AND(Y$2&lt;&gt;0,TblTech[[#This Row],[Hour]:[Hour]]&gt;=Y$2),1,0)</f>
        <v>0</v>
      </c>
      <c r="Z15" s="276" cm="1">
        <f t="array" ref="Z15">IF(AND(Z$2&lt;&gt;0,TblTech[[#This Row],[Hour]:[Hour]]&gt;=Z$2),1,0)</f>
        <v>0</v>
      </c>
      <c r="AA15" s="276" cm="1">
        <f t="array" ref="AA15">IF(AND(AA$2&lt;&gt;0,TblTech[[#This Row],[Hour]:[Hour]]&gt;=AA$2),1,0)</f>
        <v>0</v>
      </c>
      <c r="AB15" s="276" cm="1">
        <f t="array" ref="AB15">IF(AND(AB$2&lt;&gt;0,TblTech[[#This Row],[Hour]:[Hour]]&gt;=AB$2),1,0)</f>
        <v>0</v>
      </c>
      <c r="AC15" s="276" cm="1">
        <f t="array" ref="AC15">IF(AND(AC$2&lt;&gt;0,TblTech[[#This Row],[Hour]:[Hour]]&gt;=AC$2),1,0)</f>
        <v>0</v>
      </c>
      <c r="AD15" s="276" cm="1">
        <f t="array" ref="AD15">IF(AND(AD$2&lt;&gt;0,TblTech[[#This Row],[Hour]:[Hour]]&gt;=AD$2),1,0)</f>
        <v>0</v>
      </c>
      <c r="AE15" s="276" cm="1">
        <f t="array" ref="AE15">IF(AND(AE$2&lt;&gt;0,TblTech[[#This Row],[Hour]:[Hour]]&gt;=AE$2),1,0)</f>
        <v>0</v>
      </c>
      <c r="AF15" s="276" cm="1">
        <f t="array" ref="AF15">IF(AND(AF$2&lt;&gt;0,TblTech[[#This Row],[Hour]:[Hour]]&gt;=AF$2),1,0)</f>
        <v>0</v>
      </c>
      <c r="AG15" s="276" cm="1">
        <f t="array" ref="AG15">IF(AND(AG$2&lt;&gt;0,TblTech[[#This Row],[Hour]:[Hour]]&gt;=AG$2),1,0)</f>
        <v>0</v>
      </c>
      <c r="AH15" s="276" cm="1">
        <f t="array" ref="AH15">IF(AND(AH$2&lt;&gt;0,TblTech[[#This Row],[Hour]:[Hour]]&gt;=AH$2),1,0)</f>
        <v>0</v>
      </c>
      <c r="AI15" s="276" cm="1">
        <f t="array" ref="AI15">IF(AND(AI$2&lt;&gt;0,TblTech[[#This Row],[Hour]:[Hour]]&gt;=AI$2),1,0)</f>
        <v>0</v>
      </c>
      <c r="AJ15" s="276" cm="1">
        <f t="array" ref="AJ15">IF(AND(AJ$2&lt;&gt;0,TblTech[[#This Row],[Hour]:[Hour]]&gt;=AJ$2),1,0)</f>
        <v>0</v>
      </c>
      <c r="AK15" s="276" cm="1">
        <f t="array" ref="AK15">IF(AND(AK$2&lt;&gt;0,TblTech[[#This Row],[Hour]:[Hour]]&gt;=AK$2),1,0)</f>
        <v>0</v>
      </c>
      <c r="AL15" s="276" cm="1">
        <f t="array" ref="AL15">IF(AND(AL$2&lt;&gt;0,TblTech[[#This Row],[Hour]:[Hour]]&gt;=AL$2),1,0)</f>
        <v>0</v>
      </c>
      <c r="AM15" s="276" cm="1">
        <f t="array" ref="AM15">IF(AND(AM$2&lt;&gt;0,TblTech[[#This Row],[Hour]:[Hour]]&gt;=AM$2),1,0)</f>
        <v>0</v>
      </c>
      <c r="AN15" s="276" cm="1">
        <f t="array" ref="AN15">IF(AND(AN$2&lt;&gt;0,TblTech[[#This Row],[Hour]:[Hour]]&gt;=AN$2),1,0)</f>
        <v>0</v>
      </c>
      <c r="AO15" s="276" cm="1">
        <f t="array" ref="AO15">IF(AND(AO$2&lt;&gt;0,TblTech[[#This Row],[Hour]:[Hour]]&gt;=AO$2),1,0)</f>
        <v>0</v>
      </c>
      <c r="AP15" s="276" cm="1">
        <f t="array" ref="AP15">IF(AND(AP$2&lt;&gt;0,TblTech[[#This Row],[Hour]:[Hour]]&gt;=AP$2),1,0)</f>
        <v>0</v>
      </c>
      <c r="AQ15" s="276" cm="1">
        <f t="array" ref="AQ15">IF(AND(AQ$2&lt;&gt;0,TblTech[[#This Row],[Hour]:[Hour]]&gt;=AQ$2),1,0)</f>
        <v>0</v>
      </c>
      <c r="AR15" s="276" cm="1">
        <f t="array" ref="AR15">IF(AND(AR$2&lt;&gt;0,TblTech[[#This Row],[Hour]:[Hour]]&gt;=AR$2),1,0)</f>
        <v>0</v>
      </c>
      <c r="AS15" s="276" cm="1">
        <f t="array" ref="AS15">IF(AND(AS$2&lt;&gt;0,TblTech[[#This Row],[Hour]:[Hour]]&gt;=AS$2),1,0)</f>
        <v>0</v>
      </c>
      <c r="AT15" s="276" cm="1">
        <f t="array" ref="AT15">IF(AND(AT$2&lt;&gt;0,TblTech[[#This Row],[Hour]:[Hour]]&gt;=AT$2),1,0)</f>
        <v>0</v>
      </c>
      <c r="AU15" s="276" cm="1">
        <f t="array" ref="AU15">IF(AND(AU$2&lt;&gt;0,TblTech[[#This Row],[Hour]:[Hour]]&gt;=AU$2),1,0)</f>
        <v>0</v>
      </c>
      <c r="AV15" s="276" cm="1">
        <f t="array" ref="AV15">IF(AND(AV$2&lt;&gt;0,TblTech[[#This Row],[Hour]:[Hour]]&gt;=AV$2),1,0)</f>
        <v>0</v>
      </c>
      <c r="AW15" s="276" cm="1">
        <f t="array" ref="AW15">IF(AND(AW$2&lt;&gt;0,TblTech[[#This Row],[Hour]:[Hour]]&gt;=AW$2),1,0)</f>
        <v>0</v>
      </c>
      <c r="AX15" s="276" cm="1">
        <f t="array" ref="AX15">IF(AND(AX$2&lt;&gt;0,TblTech[[#This Row],[Hour]:[Hour]]&gt;=AX$2),1,0)</f>
        <v>0</v>
      </c>
      <c r="AY15" s="276" cm="1">
        <f t="array" ref="AY15">IF(AND(AY$2&lt;&gt;0,TblTech[[#This Row],[Hour]:[Hour]]&gt;=AY$2),1,0)</f>
        <v>0</v>
      </c>
      <c r="AZ15" s="276" cm="1">
        <f t="array" ref="AZ15">IF(AND(AZ$2&lt;&gt;0,TblTech[[#This Row],[Hour]:[Hour]]&gt;=AZ$2),1,0)</f>
        <v>0</v>
      </c>
      <c r="BA15" s="276" cm="1">
        <f t="array" ref="BA15">IF(AND(BA$2&lt;&gt;0,TblTech[[#This Row],[Hour]:[Hour]]&gt;=BA$2),1,0)</f>
        <v>0</v>
      </c>
      <c r="BB15" s="276" cm="1">
        <f t="array" ref="BB15">IF(AND(BB$2&lt;&gt;0,TblTech[[#This Row],[Hour]:[Hour]]&gt;=BB$2),1,0)</f>
        <v>0</v>
      </c>
      <c r="BC15" s="276" cm="1">
        <f t="array" ref="BC15">IF(AND(BC$2&lt;&gt;0,TblTech[[#This Row],[Hour]:[Hour]]&gt;=BC$2),1,0)</f>
        <v>0</v>
      </c>
      <c r="BD15" s="276" cm="1">
        <f t="array" ref="BD15">IF(AND(BD$2&lt;&gt;0,TblTech[[#This Row],[Hour]:[Hour]]&gt;=BD$2),1,0)</f>
        <v>0</v>
      </c>
      <c r="BE15" s="276" cm="1">
        <f t="array" ref="BE15">IF(AND(BE$2&lt;&gt;0,TblTech[[#This Row],[Hour]:[Hour]]&gt;=BE$2),1,0)</f>
        <v>0</v>
      </c>
      <c r="BF15" s="276" cm="1">
        <f t="array" ref="BF15">IF(AND(BF$2&lt;&gt;0,TblTech[[#This Row],[Hour]:[Hour]]&gt;=BF$2),1,0)</f>
        <v>0</v>
      </c>
      <c r="BG15" s="276" cm="1">
        <f t="array" ref="BG15">IF(AND(BG$2&lt;&gt;0,TblTech[[#This Row],[Hour]:[Hour]]&gt;=BG$2),1,0)</f>
        <v>0</v>
      </c>
      <c r="BH15" s="276" cm="1">
        <f t="array" ref="BH15">IF(AND(BH$2&lt;&gt;0,TblTech[[#This Row],[Hour]:[Hour]]&gt;=BH$2),1,0)</f>
        <v>0</v>
      </c>
      <c r="BI15" s="276" cm="1">
        <f t="array" ref="BI15">IF(AND(BI$2&lt;&gt;0,TblTech[[#This Row],[Hour]:[Hour]]&gt;=BI$2),1,0)</f>
        <v>0</v>
      </c>
      <c r="BJ15" s="276" cm="1">
        <f t="array" ref="BJ15">IF(AND(BJ$2&lt;&gt;0,TblTech[[#This Row],[Hour]:[Hour]]&gt;=BJ$2),1,0)</f>
        <v>0</v>
      </c>
      <c r="BK15" s="276" cm="1">
        <f t="array" ref="BK15">IF(AND(BK$2&lt;&gt;0,TblTech[[#This Row],[Hour]:[Hour]]&gt;=BK$2),1,0)</f>
        <v>0</v>
      </c>
      <c r="BL15" s="276" cm="1">
        <f t="array" ref="BL15">IF(AND(BL$2&lt;&gt;0,TblTech[[#This Row],[Hour]:[Hour]]&gt;=BL$2),1,0)</f>
        <v>0</v>
      </c>
      <c r="BM15" s="276" cm="1">
        <f t="array" ref="BM15">IF(AND(BM$2&lt;&gt;0,TblTech[[#This Row],[Hour]:[Hour]]&gt;=BM$2),1,0)</f>
        <v>0</v>
      </c>
      <c r="BN15" s="276" cm="1">
        <f t="array" ref="BN15">IF(AND(BN$2&lt;&gt;0,TblTech[[#This Row],[Hour]:[Hour]]&gt;=BN$2),1,0)</f>
        <v>0</v>
      </c>
      <c r="BO15" s="276" cm="1">
        <f t="array" ref="BO15">IF(AND(BO$2&lt;&gt;0,TblTech[[#This Row],[Hour]:[Hour]]&gt;=BO$2),1,0)</f>
        <v>0</v>
      </c>
      <c r="BP15" s="276" cm="1">
        <f t="array" ref="BP15">IF(AND(BP$2&lt;&gt;0,TblTech[[#This Row],[Hour]:[Hour]]&gt;=BP$2),1,0)</f>
        <v>0</v>
      </c>
      <c r="BQ15" s="276" cm="1">
        <f t="array" ref="BQ15">IF(AND(BQ$2&lt;&gt;0,TblTech[[#This Row],[Hour]:[Hour]]&gt;=BQ$2),1,0)</f>
        <v>0</v>
      </c>
      <c r="BR15" s="276" cm="1">
        <f t="array" ref="BR15">IF(AND(BR$2&lt;&gt;0,TblTech[[#This Row],[Hour]:[Hour]]&gt;=BR$2),1,0)</f>
        <v>0</v>
      </c>
      <c r="BS15" s="276" cm="1">
        <f t="array" ref="BS15">IF(AND(BS$2&lt;&gt;0,TblTech[[#This Row],[Hour]:[Hour]]&gt;=BS$2),1,0)</f>
        <v>0</v>
      </c>
      <c r="BT15" s="276" cm="1">
        <f t="array" ref="BT15">IF(AND(BT$2&lt;&gt;0,TblTech[[#This Row],[Hour]:[Hour]]&gt;=BT$2),1,0)</f>
        <v>0</v>
      </c>
      <c r="BU15" s="276" cm="1">
        <f t="array" ref="BU15">IF(AND(BU$2&lt;&gt;0,TblTech[[#This Row],[Hour]:[Hour]]&gt;=BU$2),1,0)</f>
        <v>0</v>
      </c>
      <c r="BV15" s="276" cm="1">
        <f t="array" ref="BV15">IF(AND(BV$2&lt;&gt;0,TblTech[[#This Row],[Hour]:[Hour]]&gt;=BV$2),1,0)</f>
        <v>0</v>
      </c>
      <c r="BW15" s="276" cm="1">
        <f t="array" ref="BW15">IF(AND(BW$2&lt;&gt;0,TblTech[[#This Row],[Hour]:[Hour]]&gt;=BW$2),1,0)</f>
        <v>0</v>
      </c>
      <c r="BX15" s="276" cm="1">
        <f t="array" ref="BX15">IF(AND(BX$2&lt;&gt;0,TblTech[[#This Row],[Hour]:[Hour]]&gt;=BX$2),1,0)</f>
        <v>0</v>
      </c>
      <c r="BY15" s="276" cm="1">
        <f t="array" ref="BY15">IF(AND(BY$2&lt;&gt;0,TblTech[[#This Row],[Hour]:[Hour]]&gt;=BY$2),1,0)</f>
        <v>0</v>
      </c>
      <c r="BZ15" s="276" cm="1">
        <f t="array" ref="BZ15">IF(AND(BZ$2&lt;&gt;0,TblTech[[#This Row],[Hour]:[Hour]]&gt;=BZ$2),1,0)</f>
        <v>0</v>
      </c>
      <c r="CA15" s="377">
        <f>IFERROR(INDEX($H$4:$H$79,MATCH(INDEX(TblTech[[#Headers],[1-1]:[11-1]],1,MATCH(TblTech[[#This Row],[Hour]],$M$2:$BZ$2,0)),$G$4:$G$79,0)),)</f>
        <v>0</v>
      </c>
    </row>
    <row r="16" spans="1:79" x14ac:dyDescent="0.2">
      <c r="A16" s="268">
        <f>TblRezone[[#This Row],[Hour]]</f>
        <v>13</v>
      </c>
      <c r="B16" s="269">
        <f ca="1">TblExplore[[#This Row],[Land-DB]]</f>
        <v>110</v>
      </c>
      <c r="C16" s="270">
        <f ca="1">TblProd[[#This Row],[Techpoints]]</f>
        <v>0</v>
      </c>
      <c r="D16" s="270">
        <f ca="1">TblProd[[#This Row],[Required]]</f>
        <v>3750</v>
      </c>
      <c r="E16" s="271"/>
      <c r="F16" s="272"/>
      <c r="G16" s="273" t="s">
        <v>552</v>
      </c>
      <c r="H16" s="274" t="s">
        <v>688</v>
      </c>
      <c r="I16" s="273" t="s">
        <v>745</v>
      </c>
      <c r="J16" s="269"/>
      <c r="K16" s="93">
        <f ca="1">IF(TblTech[[#This Row],[Sum of tech]]&lt;&gt;OFFSET(TblTech[[#This Row],[Sum of tech]],-1,0),1,0)</f>
        <v>0</v>
      </c>
      <c r="L16" s="275">
        <f>COUNTIF(TblTech[[#This Row],[1-1]:[11-1]],1)</f>
        <v>0</v>
      </c>
      <c r="M16" s="276" cm="1">
        <f t="array" ref="M16">IF(AND(M$2&lt;&gt;0,TblTech[[#This Row],[Hour]:[Hour]]&gt;=M$2),1,0)</f>
        <v>0</v>
      </c>
      <c r="N16" s="276" cm="1">
        <f t="array" ref="N16">IF(AND(N$2&lt;&gt;0,TblTech[[#This Row],[Hour]:[Hour]]&gt;=N$2),1,0)</f>
        <v>0</v>
      </c>
      <c r="O16" s="276" cm="1">
        <f t="array" ref="O16">IF(AND(O$2&lt;&gt;0,TblTech[[#This Row],[Hour]:[Hour]]&gt;=O$2),1,0)</f>
        <v>0</v>
      </c>
      <c r="P16" s="276" cm="1">
        <f t="array" ref="P16">IF(AND(P$2&lt;&gt;0,TblTech[[#This Row],[Hour]:[Hour]]&gt;=P$2),1,0)</f>
        <v>0</v>
      </c>
      <c r="Q16" s="276" cm="1">
        <f t="array" ref="Q16">IF(AND(Q$2&lt;&gt;0,TblTech[[#This Row],[Hour]:[Hour]]&gt;=Q$2),1,0)</f>
        <v>0</v>
      </c>
      <c r="R16" s="276" cm="1">
        <f t="array" ref="R16">IF(AND(R$2&lt;&gt;0,TblTech[[#This Row],[Hour]:[Hour]]&gt;=R$2),1,0)</f>
        <v>0</v>
      </c>
      <c r="S16" s="276" cm="1">
        <f t="array" ref="S16">IF(AND(S$2&lt;&gt;0,TblTech[[#This Row],[Hour]:[Hour]]&gt;=S$2),1,0)</f>
        <v>0</v>
      </c>
      <c r="T16" s="276" cm="1">
        <f t="array" ref="T16">IF(AND(T$2&lt;&gt;0,TblTech[[#This Row],[Hour]:[Hour]]&gt;=T$2),1,0)</f>
        <v>0</v>
      </c>
      <c r="U16" s="276" cm="1">
        <f t="array" ref="U16">IF(AND(U$2&lt;&gt;0,TblTech[[#This Row],[Hour]:[Hour]]&gt;=U$2),1,0)</f>
        <v>0</v>
      </c>
      <c r="V16" s="276" cm="1">
        <f t="array" ref="V16">IF(AND(V$2&lt;&gt;0,TblTech[[#This Row],[Hour]:[Hour]]&gt;=V$2),1,0)</f>
        <v>0</v>
      </c>
      <c r="W16" s="276" cm="1">
        <f t="array" ref="W16">IF(AND(W$2&lt;&gt;0,TblTech[[#This Row],[Hour]:[Hour]]&gt;=W$2),1,0)</f>
        <v>0</v>
      </c>
      <c r="X16" s="276" cm="1">
        <f t="array" ref="X16">IF(AND(X$2&lt;&gt;0,TblTech[[#This Row],[Hour]:[Hour]]&gt;=X$2),1,0)</f>
        <v>0</v>
      </c>
      <c r="Y16" s="276" cm="1">
        <f t="array" ref="Y16">IF(AND(Y$2&lt;&gt;0,TblTech[[#This Row],[Hour]:[Hour]]&gt;=Y$2),1,0)</f>
        <v>0</v>
      </c>
      <c r="Z16" s="276" cm="1">
        <f t="array" ref="Z16">IF(AND(Z$2&lt;&gt;0,TblTech[[#This Row],[Hour]:[Hour]]&gt;=Z$2),1,0)</f>
        <v>0</v>
      </c>
      <c r="AA16" s="276" cm="1">
        <f t="array" ref="AA16">IF(AND(AA$2&lt;&gt;0,TblTech[[#This Row],[Hour]:[Hour]]&gt;=AA$2),1,0)</f>
        <v>0</v>
      </c>
      <c r="AB16" s="276" cm="1">
        <f t="array" ref="AB16">IF(AND(AB$2&lt;&gt;0,TblTech[[#This Row],[Hour]:[Hour]]&gt;=AB$2),1,0)</f>
        <v>0</v>
      </c>
      <c r="AC16" s="276" cm="1">
        <f t="array" ref="AC16">IF(AND(AC$2&lt;&gt;0,TblTech[[#This Row],[Hour]:[Hour]]&gt;=AC$2),1,0)</f>
        <v>0</v>
      </c>
      <c r="AD16" s="276" cm="1">
        <f t="array" ref="AD16">IF(AND(AD$2&lt;&gt;0,TblTech[[#This Row],[Hour]:[Hour]]&gt;=AD$2),1,0)</f>
        <v>0</v>
      </c>
      <c r="AE16" s="276" cm="1">
        <f t="array" ref="AE16">IF(AND(AE$2&lt;&gt;0,TblTech[[#This Row],[Hour]:[Hour]]&gt;=AE$2),1,0)</f>
        <v>0</v>
      </c>
      <c r="AF16" s="276" cm="1">
        <f t="array" ref="AF16">IF(AND(AF$2&lt;&gt;0,TblTech[[#This Row],[Hour]:[Hour]]&gt;=AF$2),1,0)</f>
        <v>0</v>
      </c>
      <c r="AG16" s="276" cm="1">
        <f t="array" ref="AG16">IF(AND(AG$2&lt;&gt;0,TblTech[[#This Row],[Hour]:[Hour]]&gt;=AG$2),1,0)</f>
        <v>0</v>
      </c>
      <c r="AH16" s="276" cm="1">
        <f t="array" ref="AH16">IF(AND(AH$2&lt;&gt;0,TblTech[[#This Row],[Hour]:[Hour]]&gt;=AH$2),1,0)</f>
        <v>0</v>
      </c>
      <c r="AI16" s="276" cm="1">
        <f t="array" ref="AI16">IF(AND(AI$2&lt;&gt;0,TblTech[[#This Row],[Hour]:[Hour]]&gt;=AI$2),1,0)</f>
        <v>0</v>
      </c>
      <c r="AJ16" s="276" cm="1">
        <f t="array" ref="AJ16">IF(AND(AJ$2&lt;&gt;0,TblTech[[#This Row],[Hour]:[Hour]]&gt;=AJ$2),1,0)</f>
        <v>0</v>
      </c>
      <c r="AK16" s="276" cm="1">
        <f t="array" ref="AK16">IF(AND(AK$2&lt;&gt;0,TblTech[[#This Row],[Hour]:[Hour]]&gt;=AK$2),1,0)</f>
        <v>0</v>
      </c>
      <c r="AL16" s="276" cm="1">
        <f t="array" ref="AL16">IF(AND(AL$2&lt;&gt;0,TblTech[[#This Row],[Hour]:[Hour]]&gt;=AL$2),1,0)</f>
        <v>0</v>
      </c>
      <c r="AM16" s="276" cm="1">
        <f t="array" ref="AM16">IF(AND(AM$2&lt;&gt;0,TblTech[[#This Row],[Hour]:[Hour]]&gt;=AM$2),1,0)</f>
        <v>0</v>
      </c>
      <c r="AN16" s="276" cm="1">
        <f t="array" ref="AN16">IF(AND(AN$2&lt;&gt;0,TblTech[[#This Row],[Hour]:[Hour]]&gt;=AN$2),1,0)</f>
        <v>0</v>
      </c>
      <c r="AO16" s="276" cm="1">
        <f t="array" ref="AO16">IF(AND(AO$2&lt;&gt;0,TblTech[[#This Row],[Hour]:[Hour]]&gt;=AO$2),1,0)</f>
        <v>0</v>
      </c>
      <c r="AP16" s="276" cm="1">
        <f t="array" ref="AP16">IF(AND(AP$2&lt;&gt;0,TblTech[[#This Row],[Hour]:[Hour]]&gt;=AP$2),1,0)</f>
        <v>0</v>
      </c>
      <c r="AQ16" s="276" cm="1">
        <f t="array" ref="AQ16">IF(AND(AQ$2&lt;&gt;0,TblTech[[#This Row],[Hour]:[Hour]]&gt;=AQ$2),1,0)</f>
        <v>0</v>
      </c>
      <c r="AR16" s="276" cm="1">
        <f t="array" ref="AR16">IF(AND(AR$2&lt;&gt;0,TblTech[[#This Row],[Hour]:[Hour]]&gt;=AR$2),1,0)</f>
        <v>0</v>
      </c>
      <c r="AS16" s="276" cm="1">
        <f t="array" ref="AS16">IF(AND(AS$2&lt;&gt;0,TblTech[[#This Row],[Hour]:[Hour]]&gt;=AS$2),1,0)</f>
        <v>0</v>
      </c>
      <c r="AT16" s="276" cm="1">
        <f t="array" ref="AT16">IF(AND(AT$2&lt;&gt;0,TblTech[[#This Row],[Hour]:[Hour]]&gt;=AT$2),1,0)</f>
        <v>0</v>
      </c>
      <c r="AU16" s="276" cm="1">
        <f t="array" ref="AU16">IF(AND(AU$2&lt;&gt;0,TblTech[[#This Row],[Hour]:[Hour]]&gt;=AU$2),1,0)</f>
        <v>0</v>
      </c>
      <c r="AV16" s="276" cm="1">
        <f t="array" ref="AV16">IF(AND(AV$2&lt;&gt;0,TblTech[[#This Row],[Hour]:[Hour]]&gt;=AV$2),1,0)</f>
        <v>0</v>
      </c>
      <c r="AW16" s="276" cm="1">
        <f t="array" ref="AW16">IF(AND(AW$2&lt;&gt;0,TblTech[[#This Row],[Hour]:[Hour]]&gt;=AW$2),1,0)</f>
        <v>0</v>
      </c>
      <c r="AX16" s="276" cm="1">
        <f t="array" ref="AX16">IF(AND(AX$2&lt;&gt;0,TblTech[[#This Row],[Hour]:[Hour]]&gt;=AX$2),1,0)</f>
        <v>0</v>
      </c>
      <c r="AY16" s="276" cm="1">
        <f t="array" ref="AY16">IF(AND(AY$2&lt;&gt;0,TblTech[[#This Row],[Hour]:[Hour]]&gt;=AY$2),1,0)</f>
        <v>0</v>
      </c>
      <c r="AZ16" s="276" cm="1">
        <f t="array" ref="AZ16">IF(AND(AZ$2&lt;&gt;0,TblTech[[#This Row],[Hour]:[Hour]]&gt;=AZ$2),1,0)</f>
        <v>0</v>
      </c>
      <c r="BA16" s="276" cm="1">
        <f t="array" ref="BA16">IF(AND(BA$2&lt;&gt;0,TblTech[[#This Row],[Hour]:[Hour]]&gt;=BA$2),1,0)</f>
        <v>0</v>
      </c>
      <c r="BB16" s="276" cm="1">
        <f t="array" ref="BB16">IF(AND(BB$2&lt;&gt;0,TblTech[[#This Row],[Hour]:[Hour]]&gt;=BB$2),1,0)</f>
        <v>0</v>
      </c>
      <c r="BC16" s="276" cm="1">
        <f t="array" ref="BC16">IF(AND(BC$2&lt;&gt;0,TblTech[[#This Row],[Hour]:[Hour]]&gt;=BC$2),1,0)</f>
        <v>0</v>
      </c>
      <c r="BD16" s="276" cm="1">
        <f t="array" ref="BD16">IF(AND(BD$2&lt;&gt;0,TblTech[[#This Row],[Hour]:[Hour]]&gt;=BD$2),1,0)</f>
        <v>0</v>
      </c>
      <c r="BE16" s="276" cm="1">
        <f t="array" ref="BE16">IF(AND(BE$2&lt;&gt;0,TblTech[[#This Row],[Hour]:[Hour]]&gt;=BE$2),1,0)</f>
        <v>0</v>
      </c>
      <c r="BF16" s="276" cm="1">
        <f t="array" ref="BF16">IF(AND(BF$2&lt;&gt;0,TblTech[[#This Row],[Hour]:[Hour]]&gt;=BF$2),1,0)</f>
        <v>0</v>
      </c>
      <c r="BG16" s="276" cm="1">
        <f t="array" ref="BG16">IF(AND(BG$2&lt;&gt;0,TblTech[[#This Row],[Hour]:[Hour]]&gt;=BG$2),1,0)</f>
        <v>0</v>
      </c>
      <c r="BH16" s="276" cm="1">
        <f t="array" ref="BH16">IF(AND(BH$2&lt;&gt;0,TblTech[[#This Row],[Hour]:[Hour]]&gt;=BH$2),1,0)</f>
        <v>0</v>
      </c>
      <c r="BI16" s="276" cm="1">
        <f t="array" ref="BI16">IF(AND(BI$2&lt;&gt;0,TblTech[[#This Row],[Hour]:[Hour]]&gt;=BI$2),1,0)</f>
        <v>0</v>
      </c>
      <c r="BJ16" s="276" cm="1">
        <f t="array" ref="BJ16">IF(AND(BJ$2&lt;&gt;0,TblTech[[#This Row],[Hour]:[Hour]]&gt;=BJ$2),1,0)</f>
        <v>0</v>
      </c>
      <c r="BK16" s="276" cm="1">
        <f t="array" ref="BK16">IF(AND(BK$2&lt;&gt;0,TblTech[[#This Row],[Hour]:[Hour]]&gt;=BK$2),1,0)</f>
        <v>0</v>
      </c>
      <c r="BL16" s="276" cm="1">
        <f t="array" ref="BL16">IF(AND(BL$2&lt;&gt;0,TblTech[[#This Row],[Hour]:[Hour]]&gt;=BL$2),1,0)</f>
        <v>0</v>
      </c>
      <c r="BM16" s="276" cm="1">
        <f t="array" ref="BM16">IF(AND(BM$2&lt;&gt;0,TblTech[[#This Row],[Hour]:[Hour]]&gt;=BM$2),1,0)</f>
        <v>0</v>
      </c>
      <c r="BN16" s="276" cm="1">
        <f t="array" ref="BN16">IF(AND(BN$2&lt;&gt;0,TblTech[[#This Row],[Hour]:[Hour]]&gt;=BN$2),1,0)</f>
        <v>0</v>
      </c>
      <c r="BO16" s="276" cm="1">
        <f t="array" ref="BO16">IF(AND(BO$2&lt;&gt;0,TblTech[[#This Row],[Hour]:[Hour]]&gt;=BO$2),1,0)</f>
        <v>0</v>
      </c>
      <c r="BP16" s="276" cm="1">
        <f t="array" ref="BP16">IF(AND(BP$2&lt;&gt;0,TblTech[[#This Row],[Hour]:[Hour]]&gt;=BP$2),1,0)</f>
        <v>0</v>
      </c>
      <c r="BQ16" s="276" cm="1">
        <f t="array" ref="BQ16">IF(AND(BQ$2&lt;&gt;0,TblTech[[#This Row],[Hour]:[Hour]]&gt;=BQ$2),1,0)</f>
        <v>0</v>
      </c>
      <c r="BR16" s="276" cm="1">
        <f t="array" ref="BR16">IF(AND(BR$2&lt;&gt;0,TblTech[[#This Row],[Hour]:[Hour]]&gt;=BR$2),1,0)</f>
        <v>0</v>
      </c>
      <c r="BS16" s="276" cm="1">
        <f t="array" ref="BS16">IF(AND(BS$2&lt;&gt;0,TblTech[[#This Row],[Hour]:[Hour]]&gt;=BS$2),1,0)</f>
        <v>0</v>
      </c>
      <c r="BT16" s="276" cm="1">
        <f t="array" ref="BT16">IF(AND(BT$2&lt;&gt;0,TblTech[[#This Row],[Hour]:[Hour]]&gt;=BT$2),1,0)</f>
        <v>0</v>
      </c>
      <c r="BU16" s="276" cm="1">
        <f t="array" ref="BU16">IF(AND(BU$2&lt;&gt;0,TblTech[[#This Row],[Hour]:[Hour]]&gt;=BU$2),1,0)</f>
        <v>0</v>
      </c>
      <c r="BV16" s="276" cm="1">
        <f t="array" ref="BV16">IF(AND(BV$2&lt;&gt;0,TblTech[[#This Row],[Hour]:[Hour]]&gt;=BV$2),1,0)</f>
        <v>0</v>
      </c>
      <c r="BW16" s="276" cm="1">
        <f t="array" ref="BW16">IF(AND(BW$2&lt;&gt;0,TblTech[[#This Row],[Hour]:[Hour]]&gt;=BW$2),1,0)</f>
        <v>0</v>
      </c>
      <c r="BX16" s="276" cm="1">
        <f t="array" ref="BX16">IF(AND(BX$2&lt;&gt;0,TblTech[[#This Row],[Hour]:[Hour]]&gt;=BX$2),1,0)</f>
        <v>0</v>
      </c>
      <c r="BY16" s="276" cm="1">
        <f t="array" ref="BY16">IF(AND(BY$2&lt;&gt;0,TblTech[[#This Row],[Hour]:[Hour]]&gt;=BY$2),1,0)</f>
        <v>0</v>
      </c>
      <c r="BZ16" s="276" cm="1">
        <f t="array" ref="BZ16">IF(AND(BZ$2&lt;&gt;0,TblTech[[#This Row],[Hour]:[Hour]]&gt;=BZ$2),1,0)</f>
        <v>0</v>
      </c>
      <c r="CA16" s="377">
        <f>IFERROR(INDEX($H$4:$H$79,MATCH(INDEX(TblTech[[#Headers],[1-1]:[11-1]],1,MATCH(TblTech[[#This Row],[Hour]],$M$2:$BZ$2,0)),$G$4:$G$79,0)),)</f>
        <v>0</v>
      </c>
    </row>
    <row r="17" spans="1:79" x14ac:dyDescent="0.2">
      <c r="A17" s="268">
        <f>TblRezone[[#This Row],[Hour]]</f>
        <v>14</v>
      </c>
      <c r="B17" s="269">
        <f ca="1">TblExplore[[#This Row],[Land-DB]]</f>
        <v>110</v>
      </c>
      <c r="C17" s="270">
        <f ca="1">TblProd[[#This Row],[Techpoints]]</f>
        <v>0</v>
      </c>
      <c r="D17" s="270">
        <f ca="1">TblProd[[#This Row],[Required]]</f>
        <v>3750</v>
      </c>
      <c r="E17" s="271"/>
      <c r="F17" s="272"/>
      <c r="G17" s="273" t="s">
        <v>553</v>
      </c>
      <c r="H17" s="274" t="s">
        <v>689</v>
      </c>
      <c r="I17" s="273" t="s">
        <v>746</v>
      </c>
      <c r="J17" s="269"/>
      <c r="K17" s="93">
        <f ca="1">IF(TblTech[[#This Row],[Sum of tech]]&lt;&gt;OFFSET(TblTech[[#This Row],[Sum of tech]],-1,0),1,0)</f>
        <v>0</v>
      </c>
      <c r="L17" s="275">
        <f>COUNTIF(TblTech[[#This Row],[1-1]:[11-1]],1)</f>
        <v>0</v>
      </c>
      <c r="M17" s="276" cm="1">
        <f t="array" ref="M17">IF(AND(M$2&lt;&gt;0,TblTech[[#This Row],[Hour]:[Hour]]&gt;=M$2),1,0)</f>
        <v>0</v>
      </c>
      <c r="N17" s="276" cm="1">
        <f t="array" ref="N17">IF(AND(N$2&lt;&gt;0,TblTech[[#This Row],[Hour]:[Hour]]&gt;=N$2),1,0)</f>
        <v>0</v>
      </c>
      <c r="O17" s="276" cm="1">
        <f t="array" ref="O17">IF(AND(O$2&lt;&gt;0,TblTech[[#This Row],[Hour]:[Hour]]&gt;=O$2),1,0)</f>
        <v>0</v>
      </c>
      <c r="P17" s="276" cm="1">
        <f t="array" ref="P17">IF(AND(P$2&lt;&gt;0,TblTech[[#This Row],[Hour]:[Hour]]&gt;=P$2),1,0)</f>
        <v>0</v>
      </c>
      <c r="Q17" s="276" cm="1">
        <f t="array" ref="Q17">IF(AND(Q$2&lt;&gt;0,TblTech[[#This Row],[Hour]:[Hour]]&gt;=Q$2),1,0)</f>
        <v>0</v>
      </c>
      <c r="R17" s="276" cm="1">
        <f t="array" ref="R17">IF(AND(R$2&lt;&gt;0,TblTech[[#This Row],[Hour]:[Hour]]&gt;=R$2),1,0)</f>
        <v>0</v>
      </c>
      <c r="S17" s="276" cm="1">
        <f t="array" ref="S17">IF(AND(S$2&lt;&gt;0,TblTech[[#This Row],[Hour]:[Hour]]&gt;=S$2),1,0)</f>
        <v>0</v>
      </c>
      <c r="T17" s="276" cm="1">
        <f t="array" ref="T17">IF(AND(T$2&lt;&gt;0,TblTech[[#This Row],[Hour]:[Hour]]&gt;=T$2),1,0)</f>
        <v>0</v>
      </c>
      <c r="U17" s="276" cm="1">
        <f t="array" ref="U17">IF(AND(U$2&lt;&gt;0,TblTech[[#This Row],[Hour]:[Hour]]&gt;=U$2),1,0)</f>
        <v>0</v>
      </c>
      <c r="V17" s="276" cm="1">
        <f t="array" ref="V17">IF(AND(V$2&lt;&gt;0,TblTech[[#This Row],[Hour]:[Hour]]&gt;=V$2),1,0)</f>
        <v>0</v>
      </c>
      <c r="W17" s="276" cm="1">
        <f t="array" ref="W17">IF(AND(W$2&lt;&gt;0,TblTech[[#This Row],[Hour]:[Hour]]&gt;=W$2),1,0)</f>
        <v>0</v>
      </c>
      <c r="X17" s="276" cm="1">
        <f t="array" ref="X17">IF(AND(X$2&lt;&gt;0,TblTech[[#This Row],[Hour]:[Hour]]&gt;=X$2),1,0)</f>
        <v>0</v>
      </c>
      <c r="Y17" s="276" cm="1">
        <f t="array" ref="Y17">IF(AND(Y$2&lt;&gt;0,TblTech[[#This Row],[Hour]:[Hour]]&gt;=Y$2),1,0)</f>
        <v>0</v>
      </c>
      <c r="Z17" s="276" cm="1">
        <f t="array" ref="Z17">IF(AND(Z$2&lt;&gt;0,TblTech[[#This Row],[Hour]:[Hour]]&gt;=Z$2),1,0)</f>
        <v>0</v>
      </c>
      <c r="AA17" s="276" cm="1">
        <f t="array" ref="AA17">IF(AND(AA$2&lt;&gt;0,TblTech[[#This Row],[Hour]:[Hour]]&gt;=AA$2),1,0)</f>
        <v>0</v>
      </c>
      <c r="AB17" s="276" cm="1">
        <f t="array" ref="AB17">IF(AND(AB$2&lt;&gt;0,TblTech[[#This Row],[Hour]:[Hour]]&gt;=AB$2),1,0)</f>
        <v>0</v>
      </c>
      <c r="AC17" s="276" cm="1">
        <f t="array" ref="AC17">IF(AND(AC$2&lt;&gt;0,TblTech[[#This Row],[Hour]:[Hour]]&gt;=AC$2),1,0)</f>
        <v>0</v>
      </c>
      <c r="AD17" s="276" cm="1">
        <f t="array" ref="AD17">IF(AND(AD$2&lt;&gt;0,TblTech[[#This Row],[Hour]:[Hour]]&gt;=AD$2),1,0)</f>
        <v>0</v>
      </c>
      <c r="AE17" s="276" cm="1">
        <f t="array" ref="AE17">IF(AND(AE$2&lt;&gt;0,TblTech[[#This Row],[Hour]:[Hour]]&gt;=AE$2),1,0)</f>
        <v>0</v>
      </c>
      <c r="AF17" s="276" cm="1">
        <f t="array" ref="AF17">IF(AND(AF$2&lt;&gt;0,TblTech[[#This Row],[Hour]:[Hour]]&gt;=AF$2),1,0)</f>
        <v>0</v>
      </c>
      <c r="AG17" s="276" cm="1">
        <f t="array" ref="AG17">IF(AND(AG$2&lt;&gt;0,TblTech[[#This Row],[Hour]:[Hour]]&gt;=AG$2),1,0)</f>
        <v>0</v>
      </c>
      <c r="AH17" s="276" cm="1">
        <f t="array" ref="AH17">IF(AND(AH$2&lt;&gt;0,TblTech[[#This Row],[Hour]:[Hour]]&gt;=AH$2),1,0)</f>
        <v>0</v>
      </c>
      <c r="AI17" s="276" cm="1">
        <f t="array" ref="AI17">IF(AND(AI$2&lt;&gt;0,TblTech[[#This Row],[Hour]:[Hour]]&gt;=AI$2),1,0)</f>
        <v>0</v>
      </c>
      <c r="AJ17" s="276" cm="1">
        <f t="array" ref="AJ17">IF(AND(AJ$2&lt;&gt;0,TblTech[[#This Row],[Hour]:[Hour]]&gt;=AJ$2),1,0)</f>
        <v>0</v>
      </c>
      <c r="AK17" s="276" cm="1">
        <f t="array" ref="AK17">IF(AND(AK$2&lt;&gt;0,TblTech[[#This Row],[Hour]:[Hour]]&gt;=AK$2),1,0)</f>
        <v>0</v>
      </c>
      <c r="AL17" s="276" cm="1">
        <f t="array" ref="AL17">IF(AND(AL$2&lt;&gt;0,TblTech[[#This Row],[Hour]:[Hour]]&gt;=AL$2),1,0)</f>
        <v>0</v>
      </c>
      <c r="AM17" s="276" cm="1">
        <f t="array" ref="AM17">IF(AND(AM$2&lt;&gt;0,TblTech[[#This Row],[Hour]:[Hour]]&gt;=AM$2),1,0)</f>
        <v>0</v>
      </c>
      <c r="AN17" s="276" cm="1">
        <f t="array" ref="AN17">IF(AND(AN$2&lt;&gt;0,TblTech[[#This Row],[Hour]:[Hour]]&gt;=AN$2),1,0)</f>
        <v>0</v>
      </c>
      <c r="AO17" s="276" cm="1">
        <f t="array" ref="AO17">IF(AND(AO$2&lt;&gt;0,TblTech[[#This Row],[Hour]:[Hour]]&gt;=AO$2),1,0)</f>
        <v>0</v>
      </c>
      <c r="AP17" s="276" cm="1">
        <f t="array" ref="AP17">IF(AND(AP$2&lt;&gt;0,TblTech[[#This Row],[Hour]:[Hour]]&gt;=AP$2),1,0)</f>
        <v>0</v>
      </c>
      <c r="AQ17" s="276" cm="1">
        <f t="array" ref="AQ17">IF(AND(AQ$2&lt;&gt;0,TblTech[[#This Row],[Hour]:[Hour]]&gt;=AQ$2),1,0)</f>
        <v>0</v>
      </c>
      <c r="AR17" s="276" cm="1">
        <f t="array" ref="AR17">IF(AND(AR$2&lt;&gt;0,TblTech[[#This Row],[Hour]:[Hour]]&gt;=AR$2),1,0)</f>
        <v>0</v>
      </c>
      <c r="AS17" s="276" cm="1">
        <f t="array" ref="AS17">IF(AND(AS$2&lt;&gt;0,TblTech[[#This Row],[Hour]:[Hour]]&gt;=AS$2),1,0)</f>
        <v>0</v>
      </c>
      <c r="AT17" s="276" cm="1">
        <f t="array" ref="AT17">IF(AND(AT$2&lt;&gt;0,TblTech[[#This Row],[Hour]:[Hour]]&gt;=AT$2),1,0)</f>
        <v>0</v>
      </c>
      <c r="AU17" s="276" cm="1">
        <f t="array" ref="AU17">IF(AND(AU$2&lt;&gt;0,TblTech[[#This Row],[Hour]:[Hour]]&gt;=AU$2),1,0)</f>
        <v>0</v>
      </c>
      <c r="AV17" s="276" cm="1">
        <f t="array" ref="AV17">IF(AND(AV$2&lt;&gt;0,TblTech[[#This Row],[Hour]:[Hour]]&gt;=AV$2),1,0)</f>
        <v>0</v>
      </c>
      <c r="AW17" s="276" cm="1">
        <f t="array" ref="AW17">IF(AND(AW$2&lt;&gt;0,TblTech[[#This Row],[Hour]:[Hour]]&gt;=AW$2),1,0)</f>
        <v>0</v>
      </c>
      <c r="AX17" s="276" cm="1">
        <f t="array" ref="AX17">IF(AND(AX$2&lt;&gt;0,TblTech[[#This Row],[Hour]:[Hour]]&gt;=AX$2),1,0)</f>
        <v>0</v>
      </c>
      <c r="AY17" s="276" cm="1">
        <f t="array" ref="AY17">IF(AND(AY$2&lt;&gt;0,TblTech[[#This Row],[Hour]:[Hour]]&gt;=AY$2),1,0)</f>
        <v>0</v>
      </c>
      <c r="AZ17" s="276" cm="1">
        <f t="array" ref="AZ17">IF(AND(AZ$2&lt;&gt;0,TblTech[[#This Row],[Hour]:[Hour]]&gt;=AZ$2),1,0)</f>
        <v>0</v>
      </c>
      <c r="BA17" s="276" cm="1">
        <f t="array" ref="BA17">IF(AND(BA$2&lt;&gt;0,TblTech[[#This Row],[Hour]:[Hour]]&gt;=BA$2),1,0)</f>
        <v>0</v>
      </c>
      <c r="BB17" s="276" cm="1">
        <f t="array" ref="BB17">IF(AND(BB$2&lt;&gt;0,TblTech[[#This Row],[Hour]:[Hour]]&gt;=BB$2),1,0)</f>
        <v>0</v>
      </c>
      <c r="BC17" s="276" cm="1">
        <f t="array" ref="BC17">IF(AND(BC$2&lt;&gt;0,TblTech[[#This Row],[Hour]:[Hour]]&gt;=BC$2),1,0)</f>
        <v>0</v>
      </c>
      <c r="BD17" s="276" cm="1">
        <f t="array" ref="BD17">IF(AND(BD$2&lt;&gt;0,TblTech[[#This Row],[Hour]:[Hour]]&gt;=BD$2),1,0)</f>
        <v>0</v>
      </c>
      <c r="BE17" s="276" cm="1">
        <f t="array" ref="BE17">IF(AND(BE$2&lt;&gt;0,TblTech[[#This Row],[Hour]:[Hour]]&gt;=BE$2),1,0)</f>
        <v>0</v>
      </c>
      <c r="BF17" s="276" cm="1">
        <f t="array" ref="BF17">IF(AND(BF$2&lt;&gt;0,TblTech[[#This Row],[Hour]:[Hour]]&gt;=BF$2),1,0)</f>
        <v>0</v>
      </c>
      <c r="BG17" s="276" cm="1">
        <f t="array" ref="BG17">IF(AND(BG$2&lt;&gt;0,TblTech[[#This Row],[Hour]:[Hour]]&gt;=BG$2),1,0)</f>
        <v>0</v>
      </c>
      <c r="BH17" s="276" cm="1">
        <f t="array" ref="BH17">IF(AND(BH$2&lt;&gt;0,TblTech[[#This Row],[Hour]:[Hour]]&gt;=BH$2),1,0)</f>
        <v>0</v>
      </c>
      <c r="BI17" s="276" cm="1">
        <f t="array" ref="BI17">IF(AND(BI$2&lt;&gt;0,TblTech[[#This Row],[Hour]:[Hour]]&gt;=BI$2),1,0)</f>
        <v>0</v>
      </c>
      <c r="BJ17" s="276" cm="1">
        <f t="array" ref="BJ17">IF(AND(BJ$2&lt;&gt;0,TblTech[[#This Row],[Hour]:[Hour]]&gt;=BJ$2),1,0)</f>
        <v>0</v>
      </c>
      <c r="BK17" s="276" cm="1">
        <f t="array" ref="BK17">IF(AND(BK$2&lt;&gt;0,TblTech[[#This Row],[Hour]:[Hour]]&gt;=BK$2),1,0)</f>
        <v>0</v>
      </c>
      <c r="BL17" s="276" cm="1">
        <f t="array" ref="BL17">IF(AND(BL$2&lt;&gt;0,TblTech[[#This Row],[Hour]:[Hour]]&gt;=BL$2),1,0)</f>
        <v>0</v>
      </c>
      <c r="BM17" s="276" cm="1">
        <f t="array" ref="BM17">IF(AND(BM$2&lt;&gt;0,TblTech[[#This Row],[Hour]:[Hour]]&gt;=BM$2),1,0)</f>
        <v>0</v>
      </c>
      <c r="BN17" s="276" cm="1">
        <f t="array" ref="BN17">IF(AND(BN$2&lt;&gt;0,TblTech[[#This Row],[Hour]:[Hour]]&gt;=BN$2),1,0)</f>
        <v>0</v>
      </c>
      <c r="BO17" s="276" cm="1">
        <f t="array" ref="BO17">IF(AND(BO$2&lt;&gt;0,TblTech[[#This Row],[Hour]:[Hour]]&gt;=BO$2),1,0)</f>
        <v>0</v>
      </c>
      <c r="BP17" s="276" cm="1">
        <f t="array" ref="BP17">IF(AND(BP$2&lt;&gt;0,TblTech[[#This Row],[Hour]:[Hour]]&gt;=BP$2),1,0)</f>
        <v>0</v>
      </c>
      <c r="BQ17" s="276" cm="1">
        <f t="array" ref="BQ17">IF(AND(BQ$2&lt;&gt;0,TblTech[[#This Row],[Hour]:[Hour]]&gt;=BQ$2),1,0)</f>
        <v>0</v>
      </c>
      <c r="BR17" s="276" cm="1">
        <f t="array" ref="BR17">IF(AND(BR$2&lt;&gt;0,TblTech[[#This Row],[Hour]:[Hour]]&gt;=BR$2),1,0)</f>
        <v>0</v>
      </c>
      <c r="BS17" s="276" cm="1">
        <f t="array" ref="BS17">IF(AND(BS$2&lt;&gt;0,TblTech[[#This Row],[Hour]:[Hour]]&gt;=BS$2),1,0)</f>
        <v>0</v>
      </c>
      <c r="BT17" s="276" cm="1">
        <f t="array" ref="BT17">IF(AND(BT$2&lt;&gt;0,TblTech[[#This Row],[Hour]:[Hour]]&gt;=BT$2),1,0)</f>
        <v>0</v>
      </c>
      <c r="BU17" s="276" cm="1">
        <f t="array" ref="BU17">IF(AND(BU$2&lt;&gt;0,TblTech[[#This Row],[Hour]:[Hour]]&gt;=BU$2),1,0)</f>
        <v>0</v>
      </c>
      <c r="BV17" s="276" cm="1">
        <f t="array" ref="BV17">IF(AND(BV$2&lt;&gt;0,TblTech[[#This Row],[Hour]:[Hour]]&gt;=BV$2),1,0)</f>
        <v>0</v>
      </c>
      <c r="BW17" s="276" cm="1">
        <f t="array" ref="BW17">IF(AND(BW$2&lt;&gt;0,TblTech[[#This Row],[Hour]:[Hour]]&gt;=BW$2),1,0)</f>
        <v>0</v>
      </c>
      <c r="BX17" s="276" cm="1">
        <f t="array" ref="BX17">IF(AND(BX$2&lt;&gt;0,TblTech[[#This Row],[Hour]:[Hour]]&gt;=BX$2),1,0)</f>
        <v>0</v>
      </c>
      <c r="BY17" s="276" cm="1">
        <f t="array" ref="BY17">IF(AND(BY$2&lt;&gt;0,TblTech[[#This Row],[Hour]:[Hour]]&gt;=BY$2),1,0)</f>
        <v>0</v>
      </c>
      <c r="BZ17" s="276" cm="1">
        <f t="array" ref="BZ17">IF(AND(BZ$2&lt;&gt;0,TblTech[[#This Row],[Hour]:[Hour]]&gt;=BZ$2),1,0)</f>
        <v>0</v>
      </c>
      <c r="CA17" s="377">
        <f>IFERROR(INDEX($H$4:$H$79,MATCH(INDEX(TblTech[[#Headers],[1-1]:[11-1]],1,MATCH(TblTech[[#This Row],[Hour]],$M$2:$BZ$2,0)),$G$4:$G$79,0)),)</f>
        <v>0</v>
      </c>
    </row>
    <row r="18" spans="1:79" x14ac:dyDescent="0.2">
      <c r="A18" s="268">
        <f>TblRezone[[#This Row],[Hour]]</f>
        <v>15</v>
      </c>
      <c r="B18" s="269">
        <f ca="1">TblExplore[[#This Row],[Land-DB]]</f>
        <v>110</v>
      </c>
      <c r="C18" s="270">
        <f ca="1">TblProd[[#This Row],[Techpoints]]</f>
        <v>0</v>
      </c>
      <c r="D18" s="270">
        <f ca="1">TblProd[[#This Row],[Required]]</f>
        <v>3750</v>
      </c>
      <c r="E18" s="271"/>
      <c r="F18" s="272"/>
      <c r="G18" s="273" t="s">
        <v>554</v>
      </c>
      <c r="H18" s="274" t="s">
        <v>690</v>
      </c>
      <c r="I18" s="273" t="s">
        <v>1088</v>
      </c>
      <c r="J18" s="269"/>
      <c r="K18" s="93">
        <f ca="1">IF(TblTech[[#This Row],[Sum of tech]]&lt;&gt;OFFSET(TblTech[[#This Row],[Sum of tech]],-1,0),1,0)</f>
        <v>0</v>
      </c>
      <c r="L18" s="275">
        <f>COUNTIF(TblTech[[#This Row],[1-1]:[11-1]],1)</f>
        <v>0</v>
      </c>
      <c r="M18" s="276" cm="1">
        <f t="array" ref="M18">IF(AND(M$2&lt;&gt;0,TblTech[[#This Row],[Hour]:[Hour]]&gt;=M$2),1,0)</f>
        <v>0</v>
      </c>
      <c r="N18" s="276" cm="1">
        <f t="array" ref="N18">IF(AND(N$2&lt;&gt;0,TblTech[[#This Row],[Hour]:[Hour]]&gt;=N$2),1,0)</f>
        <v>0</v>
      </c>
      <c r="O18" s="276" cm="1">
        <f t="array" ref="O18">IF(AND(O$2&lt;&gt;0,TblTech[[#This Row],[Hour]:[Hour]]&gt;=O$2),1,0)</f>
        <v>0</v>
      </c>
      <c r="P18" s="276" cm="1">
        <f t="array" ref="P18">IF(AND(P$2&lt;&gt;0,TblTech[[#This Row],[Hour]:[Hour]]&gt;=P$2),1,0)</f>
        <v>0</v>
      </c>
      <c r="Q18" s="276" cm="1">
        <f t="array" ref="Q18">IF(AND(Q$2&lt;&gt;0,TblTech[[#This Row],[Hour]:[Hour]]&gt;=Q$2),1,0)</f>
        <v>0</v>
      </c>
      <c r="R18" s="276" cm="1">
        <f t="array" ref="R18">IF(AND(R$2&lt;&gt;0,TblTech[[#This Row],[Hour]:[Hour]]&gt;=R$2),1,0)</f>
        <v>0</v>
      </c>
      <c r="S18" s="276" cm="1">
        <f t="array" ref="S18">IF(AND(S$2&lt;&gt;0,TblTech[[#This Row],[Hour]:[Hour]]&gt;=S$2),1,0)</f>
        <v>0</v>
      </c>
      <c r="T18" s="276" cm="1">
        <f t="array" ref="T18">IF(AND(T$2&lt;&gt;0,TblTech[[#This Row],[Hour]:[Hour]]&gt;=T$2),1,0)</f>
        <v>0</v>
      </c>
      <c r="U18" s="276" cm="1">
        <f t="array" ref="U18">IF(AND(U$2&lt;&gt;0,TblTech[[#This Row],[Hour]:[Hour]]&gt;=U$2),1,0)</f>
        <v>0</v>
      </c>
      <c r="V18" s="276" cm="1">
        <f t="array" ref="V18">IF(AND(V$2&lt;&gt;0,TblTech[[#This Row],[Hour]:[Hour]]&gt;=V$2),1,0)</f>
        <v>0</v>
      </c>
      <c r="W18" s="276" cm="1">
        <f t="array" ref="W18">IF(AND(W$2&lt;&gt;0,TblTech[[#This Row],[Hour]:[Hour]]&gt;=W$2),1,0)</f>
        <v>0</v>
      </c>
      <c r="X18" s="276" cm="1">
        <f t="array" ref="X18">IF(AND(X$2&lt;&gt;0,TblTech[[#This Row],[Hour]:[Hour]]&gt;=X$2),1,0)</f>
        <v>0</v>
      </c>
      <c r="Y18" s="276" cm="1">
        <f t="array" ref="Y18">IF(AND(Y$2&lt;&gt;0,TblTech[[#This Row],[Hour]:[Hour]]&gt;=Y$2),1,0)</f>
        <v>0</v>
      </c>
      <c r="Z18" s="276" cm="1">
        <f t="array" ref="Z18">IF(AND(Z$2&lt;&gt;0,TblTech[[#This Row],[Hour]:[Hour]]&gt;=Z$2),1,0)</f>
        <v>0</v>
      </c>
      <c r="AA18" s="276" cm="1">
        <f t="array" ref="AA18">IF(AND(AA$2&lt;&gt;0,TblTech[[#This Row],[Hour]:[Hour]]&gt;=AA$2),1,0)</f>
        <v>0</v>
      </c>
      <c r="AB18" s="276" cm="1">
        <f t="array" ref="AB18">IF(AND(AB$2&lt;&gt;0,TblTech[[#This Row],[Hour]:[Hour]]&gt;=AB$2),1,0)</f>
        <v>0</v>
      </c>
      <c r="AC18" s="276" cm="1">
        <f t="array" ref="AC18">IF(AND(AC$2&lt;&gt;0,TblTech[[#This Row],[Hour]:[Hour]]&gt;=AC$2),1,0)</f>
        <v>0</v>
      </c>
      <c r="AD18" s="276" cm="1">
        <f t="array" ref="AD18">IF(AND(AD$2&lt;&gt;0,TblTech[[#This Row],[Hour]:[Hour]]&gt;=AD$2),1,0)</f>
        <v>0</v>
      </c>
      <c r="AE18" s="276" cm="1">
        <f t="array" ref="AE18">IF(AND(AE$2&lt;&gt;0,TblTech[[#This Row],[Hour]:[Hour]]&gt;=AE$2),1,0)</f>
        <v>0</v>
      </c>
      <c r="AF18" s="276" cm="1">
        <f t="array" ref="AF18">IF(AND(AF$2&lt;&gt;0,TblTech[[#This Row],[Hour]:[Hour]]&gt;=AF$2),1,0)</f>
        <v>0</v>
      </c>
      <c r="AG18" s="276" cm="1">
        <f t="array" ref="AG18">IF(AND(AG$2&lt;&gt;0,TblTech[[#This Row],[Hour]:[Hour]]&gt;=AG$2),1,0)</f>
        <v>0</v>
      </c>
      <c r="AH18" s="276" cm="1">
        <f t="array" ref="AH18">IF(AND(AH$2&lt;&gt;0,TblTech[[#This Row],[Hour]:[Hour]]&gt;=AH$2),1,0)</f>
        <v>0</v>
      </c>
      <c r="AI18" s="276" cm="1">
        <f t="array" ref="AI18">IF(AND(AI$2&lt;&gt;0,TblTech[[#This Row],[Hour]:[Hour]]&gt;=AI$2),1,0)</f>
        <v>0</v>
      </c>
      <c r="AJ18" s="276" cm="1">
        <f t="array" ref="AJ18">IF(AND(AJ$2&lt;&gt;0,TblTech[[#This Row],[Hour]:[Hour]]&gt;=AJ$2),1,0)</f>
        <v>0</v>
      </c>
      <c r="AK18" s="276" cm="1">
        <f t="array" ref="AK18">IF(AND(AK$2&lt;&gt;0,TblTech[[#This Row],[Hour]:[Hour]]&gt;=AK$2),1,0)</f>
        <v>0</v>
      </c>
      <c r="AL18" s="276" cm="1">
        <f t="array" ref="AL18">IF(AND(AL$2&lt;&gt;0,TblTech[[#This Row],[Hour]:[Hour]]&gt;=AL$2),1,0)</f>
        <v>0</v>
      </c>
      <c r="AM18" s="276" cm="1">
        <f t="array" ref="AM18">IF(AND(AM$2&lt;&gt;0,TblTech[[#This Row],[Hour]:[Hour]]&gt;=AM$2),1,0)</f>
        <v>0</v>
      </c>
      <c r="AN18" s="276" cm="1">
        <f t="array" ref="AN18">IF(AND(AN$2&lt;&gt;0,TblTech[[#This Row],[Hour]:[Hour]]&gt;=AN$2),1,0)</f>
        <v>0</v>
      </c>
      <c r="AO18" s="276" cm="1">
        <f t="array" ref="AO18">IF(AND(AO$2&lt;&gt;0,TblTech[[#This Row],[Hour]:[Hour]]&gt;=AO$2),1,0)</f>
        <v>0</v>
      </c>
      <c r="AP18" s="276" cm="1">
        <f t="array" ref="AP18">IF(AND(AP$2&lt;&gt;0,TblTech[[#This Row],[Hour]:[Hour]]&gt;=AP$2),1,0)</f>
        <v>0</v>
      </c>
      <c r="AQ18" s="276" cm="1">
        <f t="array" ref="AQ18">IF(AND(AQ$2&lt;&gt;0,TblTech[[#This Row],[Hour]:[Hour]]&gt;=AQ$2),1,0)</f>
        <v>0</v>
      </c>
      <c r="AR18" s="276" cm="1">
        <f t="array" ref="AR18">IF(AND(AR$2&lt;&gt;0,TblTech[[#This Row],[Hour]:[Hour]]&gt;=AR$2),1,0)</f>
        <v>0</v>
      </c>
      <c r="AS18" s="276" cm="1">
        <f t="array" ref="AS18">IF(AND(AS$2&lt;&gt;0,TblTech[[#This Row],[Hour]:[Hour]]&gt;=AS$2),1,0)</f>
        <v>0</v>
      </c>
      <c r="AT18" s="276" cm="1">
        <f t="array" ref="AT18">IF(AND(AT$2&lt;&gt;0,TblTech[[#This Row],[Hour]:[Hour]]&gt;=AT$2),1,0)</f>
        <v>0</v>
      </c>
      <c r="AU18" s="276" cm="1">
        <f t="array" ref="AU18">IF(AND(AU$2&lt;&gt;0,TblTech[[#This Row],[Hour]:[Hour]]&gt;=AU$2),1,0)</f>
        <v>0</v>
      </c>
      <c r="AV18" s="276" cm="1">
        <f t="array" ref="AV18">IF(AND(AV$2&lt;&gt;0,TblTech[[#This Row],[Hour]:[Hour]]&gt;=AV$2),1,0)</f>
        <v>0</v>
      </c>
      <c r="AW18" s="276" cm="1">
        <f t="array" ref="AW18">IF(AND(AW$2&lt;&gt;0,TblTech[[#This Row],[Hour]:[Hour]]&gt;=AW$2),1,0)</f>
        <v>0</v>
      </c>
      <c r="AX18" s="276" cm="1">
        <f t="array" ref="AX18">IF(AND(AX$2&lt;&gt;0,TblTech[[#This Row],[Hour]:[Hour]]&gt;=AX$2),1,0)</f>
        <v>0</v>
      </c>
      <c r="AY18" s="276" cm="1">
        <f t="array" ref="AY18">IF(AND(AY$2&lt;&gt;0,TblTech[[#This Row],[Hour]:[Hour]]&gt;=AY$2),1,0)</f>
        <v>0</v>
      </c>
      <c r="AZ18" s="276" cm="1">
        <f t="array" ref="AZ18">IF(AND(AZ$2&lt;&gt;0,TblTech[[#This Row],[Hour]:[Hour]]&gt;=AZ$2),1,0)</f>
        <v>0</v>
      </c>
      <c r="BA18" s="276" cm="1">
        <f t="array" ref="BA18">IF(AND(BA$2&lt;&gt;0,TblTech[[#This Row],[Hour]:[Hour]]&gt;=BA$2),1,0)</f>
        <v>0</v>
      </c>
      <c r="BB18" s="276" cm="1">
        <f t="array" ref="BB18">IF(AND(BB$2&lt;&gt;0,TblTech[[#This Row],[Hour]:[Hour]]&gt;=BB$2),1,0)</f>
        <v>0</v>
      </c>
      <c r="BC18" s="276" cm="1">
        <f t="array" ref="BC18">IF(AND(BC$2&lt;&gt;0,TblTech[[#This Row],[Hour]:[Hour]]&gt;=BC$2),1,0)</f>
        <v>0</v>
      </c>
      <c r="BD18" s="276" cm="1">
        <f t="array" ref="BD18">IF(AND(BD$2&lt;&gt;0,TblTech[[#This Row],[Hour]:[Hour]]&gt;=BD$2),1,0)</f>
        <v>0</v>
      </c>
      <c r="BE18" s="276" cm="1">
        <f t="array" ref="BE18">IF(AND(BE$2&lt;&gt;0,TblTech[[#This Row],[Hour]:[Hour]]&gt;=BE$2),1,0)</f>
        <v>0</v>
      </c>
      <c r="BF18" s="276" cm="1">
        <f t="array" ref="BF18">IF(AND(BF$2&lt;&gt;0,TblTech[[#This Row],[Hour]:[Hour]]&gt;=BF$2),1,0)</f>
        <v>0</v>
      </c>
      <c r="BG18" s="276" cm="1">
        <f t="array" ref="BG18">IF(AND(BG$2&lt;&gt;0,TblTech[[#This Row],[Hour]:[Hour]]&gt;=BG$2),1,0)</f>
        <v>0</v>
      </c>
      <c r="BH18" s="276" cm="1">
        <f t="array" ref="BH18">IF(AND(BH$2&lt;&gt;0,TblTech[[#This Row],[Hour]:[Hour]]&gt;=BH$2),1,0)</f>
        <v>0</v>
      </c>
      <c r="BI18" s="276" cm="1">
        <f t="array" ref="BI18">IF(AND(BI$2&lt;&gt;0,TblTech[[#This Row],[Hour]:[Hour]]&gt;=BI$2),1,0)</f>
        <v>0</v>
      </c>
      <c r="BJ18" s="276" cm="1">
        <f t="array" ref="BJ18">IF(AND(BJ$2&lt;&gt;0,TblTech[[#This Row],[Hour]:[Hour]]&gt;=BJ$2),1,0)</f>
        <v>0</v>
      </c>
      <c r="BK18" s="276" cm="1">
        <f t="array" ref="BK18">IF(AND(BK$2&lt;&gt;0,TblTech[[#This Row],[Hour]:[Hour]]&gt;=BK$2),1,0)</f>
        <v>0</v>
      </c>
      <c r="BL18" s="276" cm="1">
        <f t="array" ref="BL18">IF(AND(BL$2&lt;&gt;0,TblTech[[#This Row],[Hour]:[Hour]]&gt;=BL$2),1,0)</f>
        <v>0</v>
      </c>
      <c r="BM18" s="276" cm="1">
        <f t="array" ref="BM18">IF(AND(BM$2&lt;&gt;0,TblTech[[#This Row],[Hour]:[Hour]]&gt;=BM$2),1,0)</f>
        <v>0</v>
      </c>
      <c r="BN18" s="276" cm="1">
        <f t="array" ref="BN18">IF(AND(BN$2&lt;&gt;0,TblTech[[#This Row],[Hour]:[Hour]]&gt;=BN$2),1,0)</f>
        <v>0</v>
      </c>
      <c r="BO18" s="276" cm="1">
        <f t="array" ref="BO18">IF(AND(BO$2&lt;&gt;0,TblTech[[#This Row],[Hour]:[Hour]]&gt;=BO$2),1,0)</f>
        <v>0</v>
      </c>
      <c r="BP18" s="276" cm="1">
        <f t="array" ref="BP18">IF(AND(BP$2&lt;&gt;0,TblTech[[#This Row],[Hour]:[Hour]]&gt;=BP$2),1,0)</f>
        <v>0</v>
      </c>
      <c r="BQ18" s="276" cm="1">
        <f t="array" ref="BQ18">IF(AND(BQ$2&lt;&gt;0,TblTech[[#This Row],[Hour]:[Hour]]&gt;=BQ$2),1,0)</f>
        <v>0</v>
      </c>
      <c r="BR18" s="276" cm="1">
        <f t="array" ref="BR18">IF(AND(BR$2&lt;&gt;0,TblTech[[#This Row],[Hour]:[Hour]]&gt;=BR$2),1,0)</f>
        <v>0</v>
      </c>
      <c r="BS18" s="276" cm="1">
        <f t="array" ref="BS18">IF(AND(BS$2&lt;&gt;0,TblTech[[#This Row],[Hour]:[Hour]]&gt;=BS$2),1,0)</f>
        <v>0</v>
      </c>
      <c r="BT18" s="276" cm="1">
        <f t="array" ref="BT18">IF(AND(BT$2&lt;&gt;0,TblTech[[#This Row],[Hour]:[Hour]]&gt;=BT$2),1,0)</f>
        <v>0</v>
      </c>
      <c r="BU18" s="276" cm="1">
        <f t="array" ref="BU18">IF(AND(BU$2&lt;&gt;0,TblTech[[#This Row],[Hour]:[Hour]]&gt;=BU$2),1,0)</f>
        <v>0</v>
      </c>
      <c r="BV18" s="276" cm="1">
        <f t="array" ref="BV18">IF(AND(BV$2&lt;&gt;0,TblTech[[#This Row],[Hour]:[Hour]]&gt;=BV$2),1,0)</f>
        <v>0</v>
      </c>
      <c r="BW18" s="276" cm="1">
        <f t="array" ref="BW18">IF(AND(BW$2&lt;&gt;0,TblTech[[#This Row],[Hour]:[Hour]]&gt;=BW$2),1,0)</f>
        <v>0</v>
      </c>
      <c r="BX18" s="276" cm="1">
        <f t="array" ref="BX18">IF(AND(BX$2&lt;&gt;0,TblTech[[#This Row],[Hour]:[Hour]]&gt;=BX$2),1,0)</f>
        <v>0</v>
      </c>
      <c r="BY18" s="276" cm="1">
        <f t="array" ref="BY18">IF(AND(BY$2&lt;&gt;0,TblTech[[#This Row],[Hour]:[Hour]]&gt;=BY$2),1,0)</f>
        <v>0</v>
      </c>
      <c r="BZ18" s="276" cm="1">
        <f t="array" ref="BZ18">IF(AND(BZ$2&lt;&gt;0,TblTech[[#This Row],[Hour]:[Hour]]&gt;=BZ$2),1,0)</f>
        <v>0</v>
      </c>
      <c r="CA18" s="377">
        <f>IFERROR(INDEX($H$4:$H$79,MATCH(INDEX(TblTech[[#Headers],[1-1]:[11-1]],1,MATCH(TblTech[[#This Row],[Hour]],$M$2:$BZ$2,0)),$G$4:$G$79,0)),)</f>
        <v>0</v>
      </c>
    </row>
    <row r="19" spans="1:79" x14ac:dyDescent="0.2">
      <c r="A19" s="268">
        <f>TblRezone[[#This Row],[Hour]]</f>
        <v>16</v>
      </c>
      <c r="B19" s="269">
        <f ca="1">TblExplore[[#This Row],[Land-DB]]</f>
        <v>110</v>
      </c>
      <c r="C19" s="270">
        <f ca="1">TblProd[[#This Row],[Techpoints]]</f>
        <v>0</v>
      </c>
      <c r="D19" s="270">
        <f ca="1">TblProd[[#This Row],[Required]]</f>
        <v>3750</v>
      </c>
      <c r="E19" s="271"/>
      <c r="F19" s="272"/>
      <c r="G19" s="273" t="s">
        <v>556</v>
      </c>
      <c r="H19" s="274" t="s">
        <v>691</v>
      </c>
      <c r="I19" s="273" t="s">
        <v>1094</v>
      </c>
      <c r="J19" s="269"/>
      <c r="K19" s="93">
        <f ca="1">IF(TblTech[[#This Row],[Sum of tech]]&lt;&gt;OFFSET(TblTech[[#This Row],[Sum of tech]],-1,0),1,0)</f>
        <v>0</v>
      </c>
      <c r="L19" s="275">
        <f>COUNTIF(TblTech[[#This Row],[1-1]:[11-1]],1)</f>
        <v>0</v>
      </c>
      <c r="M19" s="276" cm="1">
        <f t="array" ref="M19">IF(AND(M$2&lt;&gt;0,TblTech[[#This Row],[Hour]:[Hour]]&gt;=M$2),1,0)</f>
        <v>0</v>
      </c>
      <c r="N19" s="276" cm="1">
        <f t="array" ref="N19">IF(AND(N$2&lt;&gt;0,TblTech[[#This Row],[Hour]:[Hour]]&gt;=N$2),1,0)</f>
        <v>0</v>
      </c>
      <c r="O19" s="276" cm="1">
        <f t="array" ref="O19">IF(AND(O$2&lt;&gt;0,TblTech[[#This Row],[Hour]:[Hour]]&gt;=O$2),1,0)</f>
        <v>0</v>
      </c>
      <c r="P19" s="276" cm="1">
        <f t="array" ref="P19">IF(AND(P$2&lt;&gt;0,TblTech[[#This Row],[Hour]:[Hour]]&gt;=P$2),1,0)</f>
        <v>0</v>
      </c>
      <c r="Q19" s="276" cm="1">
        <f t="array" ref="Q19">IF(AND(Q$2&lt;&gt;0,TblTech[[#This Row],[Hour]:[Hour]]&gt;=Q$2),1,0)</f>
        <v>0</v>
      </c>
      <c r="R19" s="276" cm="1">
        <f t="array" ref="R19">IF(AND(R$2&lt;&gt;0,TblTech[[#This Row],[Hour]:[Hour]]&gt;=R$2),1,0)</f>
        <v>0</v>
      </c>
      <c r="S19" s="276" cm="1">
        <f t="array" ref="S19">IF(AND(S$2&lt;&gt;0,TblTech[[#This Row],[Hour]:[Hour]]&gt;=S$2),1,0)</f>
        <v>0</v>
      </c>
      <c r="T19" s="276" cm="1">
        <f t="array" ref="T19">IF(AND(T$2&lt;&gt;0,TblTech[[#This Row],[Hour]:[Hour]]&gt;=T$2),1,0)</f>
        <v>0</v>
      </c>
      <c r="U19" s="276" cm="1">
        <f t="array" ref="U19">IF(AND(U$2&lt;&gt;0,TblTech[[#This Row],[Hour]:[Hour]]&gt;=U$2),1,0)</f>
        <v>0</v>
      </c>
      <c r="V19" s="276" cm="1">
        <f t="array" ref="V19">IF(AND(V$2&lt;&gt;0,TblTech[[#This Row],[Hour]:[Hour]]&gt;=V$2),1,0)</f>
        <v>0</v>
      </c>
      <c r="W19" s="276" cm="1">
        <f t="array" ref="W19">IF(AND(W$2&lt;&gt;0,TblTech[[#This Row],[Hour]:[Hour]]&gt;=W$2),1,0)</f>
        <v>0</v>
      </c>
      <c r="X19" s="276" cm="1">
        <f t="array" ref="X19">IF(AND(X$2&lt;&gt;0,TblTech[[#This Row],[Hour]:[Hour]]&gt;=X$2),1,0)</f>
        <v>0</v>
      </c>
      <c r="Y19" s="276" cm="1">
        <f t="array" ref="Y19">IF(AND(Y$2&lt;&gt;0,TblTech[[#This Row],[Hour]:[Hour]]&gt;=Y$2),1,0)</f>
        <v>0</v>
      </c>
      <c r="Z19" s="276" cm="1">
        <f t="array" ref="Z19">IF(AND(Z$2&lt;&gt;0,TblTech[[#This Row],[Hour]:[Hour]]&gt;=Z$2),1,0)</f>
        <v>0</v>
      </c>
      <c r="AA19" s="276" cm="1">
        <f t="array" ref="AA19">IF(AND(AA$2&lt;&gt;0,TblTech[[#This Row],[Hour]:[Hour]]&gt;=AA$2),1,0)</f>
        <v>0</v>
      </c>
      <c r="AB19" s="276" cm="1">
        <f t="array" ref="AB19">IF(AND(AB$2&lt;&gt;0,TblTech[[#This Row],[Hour]:[Hour]]&gt;=AB$2),1,0)</f>
        <v>0</v>
      </c>
      <c r="AC19" s="276" cm="1">
        <f t="array" ref="AC19">IF(AND(AC$2&lt;&gt;0,TblTech[[#This Row],[Hour]:[Hour]]&gt;=AC$2),1,0)</f>
        <v>0</v>
      </c>
      <c r="AD19" s="276" cm="1">
        <f t="array" ref="AD19">IF(AND(AD$2&lt;&gt;0,TblTech[[#This Row],[Hour]:[Hour]]&gt;=AD$2),1,0)</f>
        <v>0</v>
      </c>
      <c r="AE19" s="276" cm="1">
        <f t="array" ref="AE19">IF(AND(AE$2&lt;&gt;0,TblTech[[#This Row],[Hour]:[Hour]]&gt;=AE$2),1,0)</f>
        <v>0</v>
      </c>
      <c r="AF19" s="276" cm="1">
        <f t="array" ref="AF19">IF(AND(AF$2&lt;&gt;0,TblTech[[#This Row],[Hour]:[Hour]]&gt;=AF$2),1,0)</f>
        <v>0</v>
      </c>
      <c r="AG19" s="276" cm="1">
        <f t="array" ref="AG19">IF(AND(AG$2&lt;&gt;0,TblTech[[#This Row],[Hour]:[Hour]]&gt;=AG$2),1,0)</f>
        <v>0</v>
      </c>
      <c r="AH19" s="276" cm="1">
        <f t="array" ref="AH19">IF(AND(AH$2&lt;&gt;0,TblTech[[#This Row],[Hour]:[Hour]]&gt;=AH$2),1,0)</f>
        <v>0</v>
      </c>
      <c r="AI19" s="276" cm="1">
        <f t="array" ref="AI19">IF(AND(AI$2&lt;&gt;0,TblTech[[#This Row],[Hour]:[Hour]]&gt;=AI$2),1,0)</f>
        <v>0</v>
      </c>
      <c r="AJ19" s="276" cm="1">
        <f t="array" ref="AJ19">IF(AND(AJ$2&lt;&gt;0,TblTech[[#This Row],[Hour]:[Hour]]&gt;=AJ$2),1,0)</f>
        <v>0</v>
      </c>
      <c r="AK19" s="276" cm="1">
        <f t="array" ref="AK19">IF(AND(AK$2&lt;&gt;0,TblTech[[#This Row],[Hour]:[Hour]]&gt;=AK$2),1,0)</f>
        <v>0</v>
      </c>
      <c r="AL19" s="276" cm="1">
        <f t="array" ref="AL19">IF(AND(AL$2&lt;&gt;0,TblTech[[#This Row],[Hour]:[Hour]]&gt;=AL$2),1,0)</f>
        <v>0</v>
      </c>
      <c r="AM19" s="276" cm="1">
        <f t="array" ref="AM19">IF(AND(AM$2&lt;&gt;0,TblTech[[#This Row],[Hour]:[Hour]]&gt;=AM$2),1,0)</f>
        <v>0</v>
      </c>
      <c r="AN19" s="276" cm="1">
        <f t="array" ref="AN19">IF(AND(AN$2&lt;&gt;0,TblTech[[#This Row],[Hour]:[Hour]]&gt;=AN$2),1,0)</f>
        <v>0</v>
      </c>
      <c r="AO19" s="276" cm="1">
        <f t="array" ref="AO19">IF(AND(AO$2&lt;&gt;0,TblTech[[#This Row],[Hour]:[Hour]]&gt;=AO$2),1,0)</f>
        <v>0</v>
      </c>
      <c r="AP19" s="276" cm="1">
        <f t="array" ref="AP19">IF(AND(AP$2&lt;&gt;0,TblTech[[#This Row],[Hour]:[Hour]]&gt;=AP$2),1,0)</f>
        <v>0</v>
      </c>
      <c r="AQ19" s="276" cm="1">
        <f t="array" ref="AQ19">IF(AND(AQ$2&lt;&gt;0,TblTech[[#This Row],[Hour]:[Hour]]&gt;=AQ$2),1,0)</f>
        <v>0</v>
      </c>
      <c r="AR19" s="276" cm="1">
        <f t="array" ref="AR19">IF(AND(AR$2&lt;&gt;0,TblTech[[#This Row],[Hour]:[Hour]]&gt;=AR$2),1,0)</f>
        <v>0</v>
      </c>
      <c r="AS19" s="276" cm="1">
        <f t="array" ref="AS19">IF(AND(AS$2&lt;&gt;0,TblTech[[#This Row],[Hour]:[Hour]]&gt;=AS$2),1,0)</f>
        <v>0</v>
      </c>
      <c r="AT19" s="276" cm="1">
        <f t="array" ref="AT19">IF(AND(AT$2&lt;&gt;0,TblTech[[#This Row],[Hour]:[Hour]]&gt;=AT$2),1,0)</f>
        <v>0</v>
      </c>
      <c r="AU19" s="276" cm="1">
        <f t="array" ref="AU19">IF(AND(AU$2&lt;&gt;0,TblTech[[#This Row],[Hour]:[Hour]]&gt;=AU$2),1,0)</f>
        <v>0</v>
      </c>
      <c r="AV19" s="276" cm="1">
        <f t="array" ref="AV19">IF(AND(AV$2&lt;&gt;0,TblTech[[#This Row],[Hour]:[Hour]]&gt;=AV$2),1,0)</f>
        <v>0</v>
      </c>
      <c r="AW19" s="276" cm="1">
        <f t="array" ref="AW19">IF(AND(AW$2&lt;&gt;0,TblTech[[#This Row],[Hour]:[Hour]]&gt;=AW$2),1,0)</f>
        <v>0</v>
      </c>
      <c r="AX19" s="276" cm="1">
        <f t="array" ref="AX19">IF(AND(AX$2&lt;&gt;0,TblTech[[#This Row],[Hour]:[Hour]]&gt;=AX$2),1,0)</f>
        <v>0</v>
      </c>
      <c r="AY19" s="276" cm="1">
        <f t="array" ref="AY19">IF(AND(AY$2&lt;&gt;0,TblTech[[#This Row],[Hour]:[Hour]]&gt;=AY$2),1,0)</f>
        <v>0</v>
      </c>
      <c r="AZ19" s="276" cm="1">
        <f t="array" ref="AZ19">IF(AND(AZ$2&lt;&gt;0,TblTech[[#This Row],[Hour]:[Hour]]&gt;=AZ$2),1,0)</f>
        <v>0</v>
      </c>
      <c r="BA19" s="276" cm="1">
        <f t="array" ref="BA19">IF(AND(BA$2&lt;&gt;0,TblTech[[#This Row],[Hour]:[Hour]]&gt;=BA$2),1,0)</f>
        <v>0</v>
      </c>
      <c r="BB19" s="276" cm="1">
        <f t="array" ref="BB19">IF(AND(BB$2&lt;&gt;0,TblTech[[#This Row],[Hour]:[Hour]]&gt;=BB$2),1,0)</f>
        <v>0</v>
      </c>
      <c r="BC19" s="276" cm="1">
        <f t="array" ref="BC19">IF(AND(BC$2&lt;&gt;0,TblTech[[#This Row],[Hour]:[Hour]]&gt;=BC$2),1,0)</f>
        <v>0</v>
      </c>
      <c r="BD19" s="276" cm="1">
        <f t="array" ref="BD19">IF(AND(BD$2&lt;&gt;0,TblTech[[#This Row],[Hour]:[Hour]]&gt;=BD$2),1,0)</f>
        <v>0</v>
      </c>
      <c r="BE19" s="276" cm="1">
        <f t="array" ref="BE19">IF(AND(BE$2&lt;&gt;0,TblTech[[#This Row],[Hour]:[Hour]]&gt;=BE$2),1,0)</f>
        <v>0</v>
      </c>
      <c r="BF19" s="276" cm="1">
        <f t="array" ref="BF19">IF(AND(BF$2&lt;&gt;0,TblTech[[#This Row],[Hour]:[Hour]]&gt;=BF$2),1,0)</f>
        <v>0</v>
      </c>
      <c r="BG19" s="276" cm="1">
        <f t="array" ref="BG19">IF(AND(BG$2&lt;&gt;0,TblTech[[#This Row],[Hour]:[Hour]]&gt;=BG$2),1,0)</f>
        <v>0</v>
      </c>
      <c r="BH19" s="276" cm="1">
        <f t="array" ref="BH19">IF(AND(BH$2&lt;&gt;0,TblTech[[#This Row],[Hour]:[Hour]]&gt;=BH$2),1,0)</f>
        <v>0</v>
      </c>
      <c r="BI19" s="276" cm="1">
        <f t="array" ref="BI19">IF(AND(BI$2&lt;&gt;0,TblTech[[#This Row],[Hour]:[Hour]]&gt;=BI$2),1,0)</f>
        <v>0</v>
      </c>
      <c r="BJ19" s="276" cm="1">
        <f t="array" ref="BJ19">IF(AND(BJ$2&lt;&gt;0,TblTech[[#This Row],[Hour]:[Hour]]&gt;=BJ$2),1,0)</f>
        <v>0</v>
      </c>
      <c r="BK19" s="276" cm="1">
        <f t="array" ref="BK19">IF(AND(BK$2&lt;&gt;0,TblTech[[#This Row],[Hour]:[Hour]]&gt;=BK$2),1,0)</f>
        <v>0</v>
      </c>
      <c r="BL19" s="276" cm="1">
        <f t="array" ref="BL19">IF(AND(BL$2&lt;&gt;0,TblTech[[#This Row],[Hour]:[Hour]]&gt;=BL$2),1,0)</f>
        <v>0</v>
      </c>
      <c r="BM19" s="276" cm="1">
        <f t="array" ref="BM19">IF(AND(BM$2&lt;&gt;0,TblTech[[#This Row],[Hour]:[Hour]]&gt;=BM$2),1,0)</f>
        <v>0</v>
      </c>
      <c r="BN19" s="276" cm="1">
        <f t="array" ref="BN19">IF(AND(BN$2&lt;&gt;0,TblTech[[#This Row],[Hour]:[Hour]]&gt;=BN$2),1,0)</f>
        <v>0</v>
      </c>
      <c r="BO19" s="276" cm="1">
        <f t="array" ref="BO19">IF(AND(BO$2&lt;&gt;0,TblTech[[#This Row],[Hour]:[Hour]]&gt;=BO$2),1,0)</f>
        <v>0</v>
      </c>
      <c r="BP19" s="276" cm="1">
        <f t="array" ref="BP19">IF(AND(BP$2&lt;&gt;0,TblTech[[#This Row],[Hour]:[Hour]]&gt;=BP$2),1,0)</f>
        <v>0</v>
      </c>
      <c r="BQ19" s="276" cm="1">
        <f t="array" ref="BQ19">IF(AND(BQ$2&lt;&gt;0,TblTech[[#This Row],[Hour]:[Hour]]&gt;=BQ$2),1,0)</f>
        <v>0</v>
      </c>
      <c r="BR19" s="276" cm="1">
        <f t="array" ref="BR19">IF(AND(BR$2&lt;&gt;0,TblTech[[#This Row],[Hour]:[Hour]]&gt;=BR$2),1,0)</f>
        <v>0</v>
      </c>
      <c r="BS19" s="276" cm="1">
        <f t="array" ref="BS19">IF(AND(BS$2&lt;&gt;0,TblTech[[#This Row],[Hour]:[Hour]]&gt;=BS$2),1,0)</f>
        <v>0</v>
      </c>
      <c r="BT19" s="276" cm="1">
        <f t="array" ref="BT19">IF(AND(BT$2&lt;&gt;0,TblTech[[#This Row],[Hour]:[Hour]]&gt;=BT$2),1,0)</f>
        <v>0</v>
      </c>
      <c r="BU19" s="276" cm="1">
        <f t="array" ref="BU19">IF(AND(BU$2&lt;&gt;0,TblTech[[#This Row],[Hour]:[Hour]]&gt;=BU$2),1,0)</f>
        <v>0</v>
      </c>
      <c r="BV19" s="276" cm="1">
        <f t="array" ref="BV19">IF(AND(BV$2&lt;&gt;0,TblTech[[#This Row],[Hour]:[Hour]]&gt;=BV$2),1,0)</f>
        <v>0</v>
      </c>
      <c r="BW19" s="276" cm="1">
        <f t="array" ref="BW19">IF(AND(BW$2&lt;&gt;0,TblTech[[#This Row],[Hour]:[Hour]]&gt;=BW$2),1,0)</f>
        <v>0</v>
      </c>
      <c r="BX19" s="276" cm="1">
        <f t="array" ref="BX19">IF(AND(BX$2&lt;&gt;0,TblTech[[#This Row],[Hour]:[Hour]]&gt;=BX$2),1,0)</f>
        <v>0</v>
      </c>
      <c r="BY19" s="276" cm="1">
        <f t="array" ref="BY19">IF(AND(BY$2&lt;&gt;0,TblTech[[#This Row],[Hour]:[Hour]]&gt;=BY$2),1,0)</f>
        <v>0</v>
      </c>
      <c r="BZ19" s="276" cm="1">
        <f t="array" ref="BZ19">IF(AND(BZ$2&lt;&gt;0,TblTech[[#This Row],[Hour]:[Hour]]&gt;=BZ$2),1,0)</f>
        <v>0</v>
      </c>
      <c r="CA19" s="377">
        <f>IFERROR(INDEX($H$4:$H$79,MATCH(INDEX(TblTech[[#Headers],[1-1]:[11-1]],1,MATCH(TblTech[[#This Row],[Hour]],$M$2:$BZ$2,0)),$G$4:$G$79,0)),)</f>
        <v>0</v>
      </c>
    </row>
    <row r="20" spans="1:79" x14ac:dyDescent="0.2">
      <c r="A20" s="268">
        <f>TblRezone[[#This Row],[Hour]]</f>
        <v>17</v>
      </c>
      <c r="B20" s="269">
        <f ca="1">TblExplore[[#This Row],[Land-DB]]</f>
        <v>110</v>
      </c>
      <c r="C20" s="270">
        <f ca="1">TblProd[[#This Row],[Techpoints]]</f>
        <v>0</v>
      </c>
      <c r="D20" s="270">
        <f ca="1">TblProd[[#This Row],[Required]]</f>
        <v>3750</v>
      </c>
      <c r="E20" s="271"/>
      <c r="F20" s="272"/>
      <c r="G20" s="273" t="s">
        <v>557</v>
      </c>
      <c r="H20" s="274" t="s">
        <v>692</v>
      </c>
      <c r="I20" s="273" t="s">
        <v>1045</v>
      </c>
      <c r="J20" s="269"/>
      <c r="K20" s="93">
        <f ca="1">IF(TblTech[[#This Row],[Sum of tech]]&lt;&gt;OFFSET(TblTech[[#This Row],[Sum of tech]],-1,0),1,0)</f>
        <v>0</v>
      </c>
      <c r="L20" s="275">
        <f>COUNTIF(TblTech[[#This Row],[1-1]:[11-1]],1)</f>
        <v>0</v>
      </c>
      <c r="M20" s="276" cm="1">
        <f t="array" ref="M20">IF(AND(M$2&lt;&gt;0,TblTech[[#This Row],[Hour]:[Hour]]&gt;=M$2),1,0)</f>
        <v>0</v>
      </c>
      <c r="N20" s="276" cm="1">
        <f t="array" ref="N20">IF(AND(N$2&lt;&gt;0,TblTech[[#This Row],[Hour]:[Hour]]&gt;=N$2),1,0)</f>
        <v>0</v>
      </c>
      <c r="O20" s="276" cm="1">
        <f t="array" ref="O20">IF(AND(O$2&lt;&gt;0,TblTech[[#This Row],[Hour]:[Hour]]&gt;=O$2),1,0)</f>
        <v>0</v>
      </c>
      <c r="P20" s="276" cm="1">
        <f t="array" ref="P20">IF(AND(P$2&lt;&gt;0,TblTech[[#This Row],[Hour]:[Hour]]&gt;=P$2),1,0)</f>
        <v>0</v>
      </c>
      <c r="Q20" s="276" cm="1">
        <f t="array" ref="Q20">IF(AND(Q$2&lt;&gt;0,TblTech[[#This Row],[Hour]:[Hour]]&gt;=Q$2),1,0)</f>
        <v>0</v>
      </c>
      <c r="R20" s="276" cm="1">
        <f t="array" ref="R20">IF(AND(R$2&lt;&gt;0,TblTech[[#This Row],[Hour]:[Hour]]&gt;=R$2),1,0)</f>
        <v>0</v>
      </c>
      <c r="S20" s="276" cm="1">
        <f t="array" ref="S20">IF(AND(S$2&lt;&gt;0,TblTech[[#This Row],[Hour]:[Hour]]&gt;=S$2),1,0)</f>
        <v>0</v>
      </c>
      <c r="T20" s="276" cm="1">
        <f t="array" ref="T20">IF(AND(T$2&lt;&gt;0,TblTech[[#This Row],[Hour]:[Hour]]&gt;=T$2),1,0)</f>
        <v>0</v>
      </c>
      <c r="U20" s="276" cm="1">
        <f t="array" ref="U20">IF(AND(U$2&lt;&gt;0,TblTech[[#This Row],[Hour]:[Hour]]&gt;=U$2),1,0)</f>
        <v>0</v>
      </c>
      <c r="V20" s="276" cm="1">
        <f t="array" ref="V20">IF(AND(V$2&lt;&gt;0,TblTech[[#This Row],[Hour]:[Hour]]&gt;=V$2),1,0)</f>
        <v>0</v>
      </c>
      <c r="W20" s="276" cm="1">
        <f t="array" ref="W20">IF(AND(W$2&lt;&gt;0,TblTech[[#This Row],[Hour]:[Hour]]&gt;=W$2),1,0)</f>
        <v>0</v>
      </c>
      <c r="X20" s="276" cm="1">
        <f t="array" ref="X20">IF(AND(X$2&lt;&gt;0,TblTech[[#This Row],[Hour]:[Hour]]&gt;=X$2),1,0)</f>
        <v>0</v>
      </c>
      <c r="Y20" s="276" cm="1">
        <f t="array" ref="Y20">IF(AND(Y$2&lt;&gt;0,TblTech[[#This Row],[Hour]:[Hour]]&gt;=Y$2),1,0)</f>
        <v>0</v>
      </c>
      <c r="Z20" s="276" cm="1">
        <f t="array" ref="Z20">IF(AND(Z$2&lt;&gt;0,TblTech[[#This Row],[Hour]:[Hour]]&gt;=Z$2),1,0)</f>
        <v>0</v>
      </c>
      <c r="AA20" s="276" cm="1">
        <f t="array" ref="AA20">IF(AND(AA$2&lt;&gt;0,TblTech[[#This Row],[Hour]:[Hour]]&gt;=AA$2),1,0)</f>
        <v>0</v>
      </c>
      <c r="AB20" s="276" cm="1">
        <f t="array" ref="AB20">IF(AND(AB$2&lt;&gt;0,TblTech[[#This Row],[Hour]:[Hour]]&gt;=AB$2),1,0)</f>
        <v>0</v>
      </c>
      <c r="AC20" s="276" cm="1">
        <f t="array" ref="AC20">IF(AND(AC$2&lt;&gt;0,TblTech[[#This Row],[Hour]:[Hour]]&gt;=AC$2),1,0)</f>
        <v>0</v>
      </c>
      <c r="AD20" s="276" cm="1">
        <f t="array" ref="AD20">IF(AND(AD$2&lt;&gt;0,TblTech[[#This Row],[Hour]:[Hour]]&gt;=AD$2),1,0)</f>
        <v>0</v>
      </c>
      <c r="AE20" s="276" cm="1">
        <f t="array" ref="AE20">IF(AND(AE$2&lt;&gt;0,TblTech[[#This Row],[Hour]:[Hour]]&gt;=AE$2),1,0)</f>
        <v>0</v>
      </c>
      <c r="AF20" s="276" cm="1">
        <f t="array" ref="AF20">IF(AND(AF$2&lt;&gt;0,TblTech[[#This Row],[Hour]:[Hour]]&gt;=AF$2),1,0)</f>
        <v>0</v>
      </c>
      <c r="AG20" s="276" cm="1">
        <f t="array" ref="AG20">IF(AND(AG$2&lt;&gt;0,TblTech[[#This Row],[Hour]:[Hour]]&gt;=AG$2),1,0)</f>
        <v>0</v>
      </c>
      <c r="AH20" s="276" cm="1">
        <f t="array" ref="AH20">IF(AND(AH$2&lt;&gt;0,TblTech[[#This Row],[Hour]:[Hour]]&gt;=AH$2),1,0)</f>
        <v>0</v>
      </c>
      <c r="AI20" s="276" cm="1">
        <f t="array" ref="AI20">IF(AND(AI$2&lt;&gt;0,TblTech[[#This Row],[Hour]:[Hour]]&gt;=AI$2),1,0)</f>
        <v>0</v>
      </c>
      <c r="AJ20" s="276" cm="1">
        <f t="array" ref="AJ20">IF(AND(AJ$2&lt;&gt;0,TblTech[[#This Row],[Hour]:[Hour]]&gt;=AJ$2),1,0)</f>
        <v>0</v>
      </c>
      <c r="AK20" s="276" cm="1">
        <f t="array" ref="AK20">IF(AND(AK$2&lt;&gt;0,TblTech[[#This Row],[Hour]:[Hour]]&gt;=AK$2),1,0)</f>
        <v>0</v>
      </c>
      <c r="AL20" s="276" cm="1">
        <f t="array" ref="AL20">IF(AND(AL$2&lt;&gt;0,TblTech[[#This Row],[Hour]:[Hour]]&gt;=AL$2),1,0)</f>
        <v>0</v>
      </c>
      <c r="AM20" s="276" cm="1">
        <f t="array" ref="AM20">IF(AND(AM$2&lt;&gt;0,TblTech[[#This Row],[Hour]:[Hour]]&gt;=AM$2),1,0)</f>
        <v>0</v>
      </c>
      <c r="AN20" s="276" cm="1">
        <f t="array" ref="AN20">IF(AND(AN$2&lt;&gt;0,TblTech[[#This Row],[Hour]:[Hour]]&gt;=AN$2),1,0)</f>
        <v>0</v>
      </c>
      <c r="AO20" s="276" cm="1">
        <f t="array" ref="AO20">IF(AND(AO$2&lt;&gt;0,TblTech[[#This Row],[Hour]:[Hour]]&gt;=AO$2),1,0)</f>
        <v>0</v>
      </c>
      <c r="AP20" s="276" cm="1">
        <f t="array" ref="AP20">IF(AND(AP$2&lt;&gt;0,TblTech[[#This Row],[Hour]:[Hour]]&gt;=AP$2),1,0)</f>
        <v>0</v>
      </c>
      <c r="AQ20" s="276" cm="1">
        <f t="array" ref="AQ20">IF(AND(AQ$2&lt;&gt;0,TblTech[[#This Row],[Hour]:[Hour]]&gt;=AQ$2),1,0)</f>
        <v>0</v>
      </c>
      <c r="AR20" s="276" cm="1">
        <f t="array" ref="AR20">IF(AND(AR$2&lt;&gt;0,TblTech[[#This Row],[Hour]:[Hour]]&gt;=AR$2),1,0)</f>
        <v>0</v>
      </c>
      <c r="AS20" s="276" cm="1">
        <f t="array" ref="AS20">IF(AND(AS$2&lt;&gt;0,TblTech[[#This Row],[Hour]:[Hour]]&gt;=AS$2),1,0)</f>
        <v>0</v>
      </c>
      <c r="AT20" s="276" cm="1">
        <f t="array" ref="AT20">IF(AND(AT$2&lt;&gt;0,TblTech[[#This Row],[Hour]:[Hour]]&gt;=AT$2),1,0)</f>
        <v>0</v>
      </c>
      <c r="AU20" s="276" cm="1">
        <f t="array" ref="AU20">IF(AND(AU$2&lt;&gt;0,TblTech[[#This Row],[Hour]:[Hour]]&gt;=AU$2),1,0)</f>
        <v>0</v>
      </c>
      <c r="AV20" s="276" cm="1">
        <f t="array" ref="AV20">IF(AND(AV$2&lt;&gt;0,TblTech[[#This Row],[Hour]:[Hour]]&gt;=AV$2),1,0)</f>
        <v>0</v>
      </c>
      <c r="AW20" s="276" cm="1">
        <f t="array" ref="AW20">IF(AND(AW$2&lt;&gt;0,TblTech[[#This Row],[Hour]:[Hour]]&gt;=AW$2),1,0)</f>
        <v>0</v>
      </c>
      <c r="AX20" s="276" cm="1">
        <f t="array" ref="AX20">IF(AND(AX$2&lt;&gt;0,TblTech[[#This Row],[Hour]:[Hour]]&gt;=AX$2),1,0)</f>
        <v>0</v>
      </c>
      <c r="AY20" s="276" cm="1">
        <f t="array" ref="AY20">IF(AND(AY$2&lt;&gt;0,TblTech[[#This Row],[Hour]:[Hour]]&gt;=AY$2),1,0)</f>
        <v>0</v>
      </c>
      <c r="AZ20" s="276" cm="1">
        <f t="array" ref="AZ20">IF(AND(AZ$2&lt;&gt;0,TblTech[[#This Row],[Hour]:[Hour]]&gt;=AZ$2),1,0)</f>
        <v>0</v>
      </c>
      <c r="BA20" s="276" cm="1">
        <f t="array" ref="BA20">IF(AND(BA$2&lt;&gt;0,TblTech[[#This Row],[Hour]:[Hour]]&gt;=BA$2),1,0)</f>
        <v>0</v>
      </c>
      <c r="BB20" s="276" cm="1">
        <f t="array" ref="BB20">IF(AND(BB$2&lt;&gt;0,TblTech[[#This Row],[Hour]:[Hour]]&gt;=BB$2),1,0)</f>
        <v>0</v>
      </c>
      <c r="BC20" s="276" cm="1">
        <f t="array" ref="BC20">IF(AND(BC$2&lt;&gt;0,TblTech[[#This Row],[Hour]:[Hour]]&gt;=BC$2),1,0)</f>
        <v>0</v>
      </c>
      <c r="BD20" s="276" cm="1">
        <f t="array" ref="BD20">IF(AND(BD$2&lt;&gt;0,TblTech[[#This Row],[Hour]:[Hour]]&gt;=BD$2),1,0)</f>
        <v>0</v>
      </c>
      <c r="BE20" s="276" cm="1">
        <f t="array" ref="BE20">IF(AND(BE$2&lt;&gt;0,TblTech[[#This Row],[Hour]:[Hour]]&gt;=BE$2),1,0)</f>
        <v>0</v>
      </c>
      <c r="BF20" s="276" cm="1">
        <f t="array" ref="BF20">IF(AND(BF$2&lt;&gt;0,TblTech[[#This Row],[Hour]:[Hour]]&gt;=BF$2),1,0)</f>
        <v>0</v>
      </c>
      <c r="BG20" s="276" cm="1">
        <f t="array" ref="BG20">IF(AND(BG$2&lt;&gt;0,TblTech[[#This Row],[Hour]:[Hour]]&gt;=BG$2),1,0)</f>
        <v>0</v>
      </c>
      <c r="BH20" s="276" cm="1">
        <f t="array" ref="BH20">IF(AND(BH$2&lt;&gt;0,TblTech[[#This Row],[Hour]:[Hour]]&gt;=BH$2),1,0)</f>
        <v>0</v>
      </c>
      <c r="BI20" s="276" cm="1">
        <f t="array" ref="BI20">IF(AND(BI$2&lt;&gt;0,TblTech[[#This Row],[Hour]:[Hour]]&gt;=BI$2),1,0)</f>
        <v>0</v>
      </c>
      <c r="BJ20" s="276" cm="1">
        <f t="array" ref="BJ20">IF(AND(BJ$2&lt;&gt;0,TblTech[[#This Row],[Hour]:[Hour]]&gt;=BJ$2),1,0)</f>
        <v>0</v>
      </c>
      <c r="BK20" s="276" cm="1">
        <f t="array" ref="BK20">IF(AND(BK$2&lt;&gt;0,TblTech[[#This Row],[Hour]:[Hour]]&gt;=BK$2),1,0)</f>
        <v>0</v>
      </c>
      <c r="BL20" s="276" cm="1">
        <f t="array" ref="BL20">IF(AND(BL$2&lt;&gt;0,TblTech[[#This Row],[Hour]:[Hour]]&gt;=BL$2),1,0)</f>
        <v>0</v>
      </c>
      <c r="BM20" s="276" cm="1">
        <f t="array" ref="BM20">IF(AND(BM$2&lt;&gt;0,TblTech[[#This Row],[Hour]:[Hour]]&gt;=BM$2),1,0)</f>
        <v>0</v>
      </c>
      <c r="BN20" s="276" cm="1">
        <f t="array" ref="BN20">IF(AND(BN$2&lt;&gt;0,TblTech[[#This Row],[Hour]:[Hour]]&gt;=BN$2),1,0)</f>
        <v>0</v>
      </c>
      <c r="BO20" s="276" cm="1">
        <f t="array" ref="BO20">IF(AND(BO$2&lt;&gt;0,TblTech[[#This Row],[Hour]:[Hour]]&gt;=BO$2),1,0)</f>
        <v>0</v>
      </c>
      <c r="BP20" s="276" cm="1">
        <f t="array" ref="BP20">IF(AND(BP$2&lt;&gt;0,TblTech[[#This Row],[Hour]:[Hour]]&gt;=BP$2),1,0)</f>
        <v>0</v>
      </c>
      <c r="BQ20" s="276" cm="1">
        <f t="array" ref="BQ20">IF(AND(BQ$2&lt;&gt;0,TblTech[[#This Row],[Hour]:[Hour]]&gt;=BQ$2),1,0)</f>
        <v>0</v>
      </c>
      <c r="BR20" s="276" cm="1">
        <f t="array" ref="BR20">IF(AND(BR$2&lt;&gt;0,TblTech[[#This Row],[Hour]:[Hour]]&gt;=BR$2),1,0)</f>
        <v>0</v>
      </c>
      <c r="BS20" s="276" cm="1">
        <f t="array" ref="BS20">IF(AND(BS$2&lt;&gt;0,TblTech[[#This Row],[Hour]:[Hour]]&gt;=BS$2),1,0)</f>
        <v>0</v>
      </c>
      <c r="BT20" s="276" cm="1">
        <f t="array" ref="BT20">IF(AND(BT$2&lt;&gt;0,TblTech[[#This Row],[Hour]:[Hour]]&gt;=BT$2),1,0)</f>
        <v>0</v>
      </c>
      <c r="BU20" s="276" cm="1">
        <f t="array" ref="BU20">IF(AND(BU$2&lt;&gt;0,TblTech[[#This Row],[Hour]:[Hour]]&gt;=BU$2),1,0)</f>
        <v>0</v>
      </c>
      <c r="BV20" s="276" cm="1">
        <f t="array" ref="BV20">IF(AND(BV$2&lt;&gt;0,TblTech[[#This Row],[Hour]:[Hour]]&gt;=BV$2),1,0)</f>
        <v>0</v>
      </c>
      <c r="BW20" s="276" cm="1">
        <f t="array" ref="BW20">IF(AND(BW$2&lt;&gt;0,TblTech[[#This Row],[Hour]:[Hour]]&gt;=BW$2),1,0)</f>
        <v>0</v>
      </c>
      <c r="BX20" s="276" cm="1">
        <f t="array" ref="BX20">IF(AND(BX$2&lt;&gt;0,TblTech[[#This Row],[Hour]:[Hour]]&gt;=BX$2),1,0)</f>
        <v>0</v>
      </c>
      <c r="BY20" s="276" cm="1">
        <f t="array" ref="BY20">IF(AND(BY$2&lt;&gt;0,TblTech[[#This Row],[Hour]:[Hour]]&gt;=BY$2),1,0)</f>
        <v>0</v>
      </c>
      <c r="BZ20" s="276" cm="1">
        <f t="array" ref="BZ20">IF(AND(BZ$2&lt;&gt;0,TblTech[[#This Row],[Hour]:[Hour]]&gt;=BZ$2),1,0)</f>
        <v>0</v>
      </c>
      <c r="CA20" s="377">
        <f>IFERROR(INDEX($H$4:$H$79,MATCH(INDEX(TblTech[[#Headers],[1-1]:[11-1]],1,MATCH(TblTech[[#This Row],[Hour]],$M$2:$BZ$2,0)),$G$4:$G$79,0)),)</f>
        <v>0</v>
      </c>
    </row>
    <row r="21" spans="1:79" x14ac:dyDescent="0.2">
      <c r="A21" s="268">
        <f>TblRezone[[#This Row],[Hour]]</f>
        <v>18</v>
      </c>
      <c r="B21" s="269">
        <f ca="1">TblExplore[[#This Row],[Land-DB]]</f>
        <v>110</v>
      </c>
      <c r="C21" s="270">
        <f ca="1">TblProd[[#This Row],[Techpoints]]</f>
        <v>0</v>
      </c>
      <c r="D21" s="270">
        <f ca="1">TblProd[[#This Row],[Required]]</f>
        <v>3750</v>
      </c>
      <c r="E21" s="271"/>
      <c r="F21" s="272"/>
      <c r="G21" s="273" t="s">
        <v>558</v>
      </c>
      <c r="H21" s="274" t="s">
        <v>684</v>
      </c>
      <c r="I21" s="273" t="s">
        <v>1090</v>
      </c>
      <c r="J21" s="269"/>
      <c r="K21" s="93">
        <f ca="1">IF(TblTech[[#This Row],[Sum of tech]]&lt;&gt;OFFSET(TblTech[[#This Row],[Sum of tech]],-1,0),1,0)</f>
        <v>0</v>
      </c>
      <c r="L21" s="275">
        <f>COUNTIF(TblTech[[#This Row],[1-1]:[11-1]],1)</f>
        <v>0</v>
      </c>
      <c r="M21" s="276" cm="1">
        <f t="array" ref="M21">IF(AND(M$2&lt;&gt;0,TblTech[[#This Row],[Hour]:[Hour]]&gt;=M$2),1,0)</f>
        <v>0</v>
      </c>
      <c r="N21" s="276" cm="1">
        <f t="array" ref="N21">IF(AND(N$2&lt;&gt;0,TblTech[[#This Row],[Hour]:[Hour]]&gt;=N$2),1,0)</f>
        <v>0</v>
      </c>
      <c r="O21" s="276" cm="1">
        <f t="array" ref="O21">IF(AND(O$2&lt;&gt;0,TblTech[[#This Row],[Hour]:[Hour]]&gt;=O$2),1,0)</f>
        <v>0</v>
      </c>
      <c r="P21" s="276" cm="1">
        <f t="array" ref="P21">IF(AND(P$2&lt;&gt;0,TblTech[[#This Row],[Hour]:[Hour]]&gt;=P$2),1,0)</f>
        <v>0</v>
      </c>
      <c r="Q21" s="276" cm="1">
        <f t="array" ref="Q21">IF(AND(Q$2&lt;&gt;0,TblTech[[#This Row],[Hour]:[Hour]]&gt;=Q$2),1,0)</f>
        <v>0</v>
      </c>
      <c r="R21" s="276" cm="1">
        <f t="array" ref="R21">IF(AND(R$2&lt;&gt;0,TblTech[[#This Row],[Hour]:[Hour]]&gt;=R$2),1,0)</f>
        <v>0</v>
      </c>
      <c r="S21" s="276" cm="1">
        <f t="array" ref="S21">IF(AND(S$2&lt;&gt;0,TblTech[[#This Row],[Hour]:[Hour]]&gt;=S$2),1,0)</f>
        <v>0</v>
      </c>
      <c r="T21" s="276" cm="1">
        <f t="array" ref="T21">IF(AND(T$2&lt;&gt;0,TblTech[[#This Row],[Hour]:[Hour]]&gt;=T$2),1,0)</f>
        <v>0</v>
      </c>
      <c r="U21" s="276" cm="1">
        <f t="array" ref="U21">IF(AND(U$2&lt;&gt;0,TblTech[[#This Row],[Hour]:[Hour]]&gt;=U$2),1,0)</f>
        <v>0</v>
      </c>
      <c r="V21" s="276" cm="1">
        <f t="array" ref="V21">IF(AND(V$2&lt;&gt;0,TblTech[[#This Row],[Hour]:[Hour]]&gt;=V$2),1,0)</f>
        <v>0</v>
      </c>
      <c r="W21" s="276" cm="1">
        <f t="array" ref="W21">IF(AND(W$2&lt;&gt;0,TblTech[[#This Row],[Hour]:[Hour]]&gt;=W$2),1,0)</f>
        <v>0</v>
      </c>
      <c r="X21" s="276" cm="1">
        <f t="array" ref="X21">IF(AND(X$2&lt;&gt;0,TblTech[[#This Row],[Hour]:[Hour]]&gt;=X$2),1,0)</f>
        <v>0</v>
      </c>
      <c r="Y21" s="276" cm="1">
        <f t="array" ref="Y21">IF(AND(Y$2&lt;&gt;0,TblTech[[#This Row],[Hour]:[Hour]]&gt;=Y$2),1,0)</f>
        <v>0</v>
      </c>
      <c r="Z21" s="276" cm="1">
        <f t="array" ref="Z21">IF(AND(Z$2&lt;&gt;0,TblTech[[#This Row],[Hour]:[Hour]]&gt;=Z$2),1,0)</f>
        <v>0</v>
      </c>
      <c r="AA21" s="276" cm="1">
        <f t="array" ref="AA21">IF(AND(AA$2&lt;&gt;0,TblTech[[#This Row],[Hour]:[Hour]]&gt;=AA$2),1,0)</f>
        <v>0</v>
      </c>
      <c r="AB21" s="276" cm="1">
        <f t="array" ref="AB21">IF(AND(AB$2&lt;&gt;0,TblTech[[#This Row],[Hour]:[Hour]]&gt;=AB$2),1,0)</f>
        <v>0</v>
      </c>
      <c r="AC21" s="276" cm="1">
        <f t="array" ref="AC21">IF(AND(AC$2&lt;&gt;0,TblTech[[#This Row],[Hour]:[Hour]]&gt;=AC$2),1,0)</f>
        <v>0</v>
      </c>
      <c r="AD21" s="276" cm="1">
        <f t="array" ref="AD21">IF(AND(AD$2&lt;&gt;0,TblTech[[#This Row],[Hour]:[Hour]]&gt;=AD$2),1,0)</f>
        <v>0</v>
      </c>
      <c r="AE21" s="276" cm="1">
        <f t="array" ref="AE21">IF(AND(AE$2&lt;&gt;0,TblTech[[#This Row],[Hour]:[Hour]]&gt;=AE$2),1,0)</f>
        <v>0</v>
      </c>
      <c r="AF21" s="276" cm="1">
        <f t="array" ref="AF21">IF(AND(AF$2&lt;&gt;0,TblTech[[#This Row],[Hour]:[Hour]]&gt;=AF$2),1,0)</f>
        <v>0</v>
      </c>
      <c r="AG21" s="276" cm="1">
        <f t="array" ref="AG21">IF(AND(AG$2&lt;&gt;0,TblTech[[#This Row],[Hour]:[Hour]]&gt;=AG$2),1,0)</f>
        <v>0</v>
      </c>
      <c r="AH21" s="276" cm="1">
        <f t="array" ref="AH21">IF(AND(AH$2&lt;&gt;0,TblTech[[#This Row],[Hour]:[Hour]]&gt;=AH$2),1,0)</f>
        <v>0</v>
      </c>
      <c r="AI21" s="276" cm="1">
        <f t="array" ref="AI21">IF(AND(AI$2&lt;&gt;0,TblTech[[#This Row],[Hour]:[Hour]]&gt;=AI$2),1,0)</f>
        <v>0</v>
      </c>
      <c r="AJ21" s="276" cm="1">
        <f t="array" ref="AJ21">IF(AND(AJ$2&lt;&gt;0,TblTech[[#This Row],[Hour]:[Hour]]&gt;=AJ$2),1,0)</f>
        <v>0</v>
      </c>
      <c r="AK21" s="276" cm="1">
        <f t="array" ref="AK21">IF(AND(AK$2&lt;&gt;0,TblTech[[#This Row],[Hour]:[Hour]]&gt;=AK$2),1,0)</f>
        <v>0</v>
      </c>
      <c r="AL21" s="276" cm="1">
        <f t="array" ref="AL21">IF(AND(AL$2&lt;&gt;0,TblTech[[#This Row],[Hour]:[Hour]]&gt;=AL$2),1,0)</f>
        <v>0</v>
      </c>
      <c r="AM21" s="276" cm="1">
        <f t="array" ref="AM21">IF(AND(AM$2&lt;&gt;0,TblTech[[#This Row],[Hour]:[Hour]]&gt;=AM$2),1,0)</f>
        <v>0</v>
      </c>
      <c r="AN21" s="276" cm="1">
        <f t="array" ref="AN21">IF(AND(AN$2&lt;&gt;0,TblTech[[#This Row],[Hour]:[Hour]]&gt;=AN$2),1,0)</f>
        <v>0</v>
      </c>
      <c r="AO21" s="276" cm="1">
        <f t="array" ref="AO21">IF(AND(AO$2&lt;&gt;0,TblTech[[#This Row],[Hour]:[Hour]]&gt;=AO$2),1,0)</f>
        <v>0</v>
      </c>
      <c r="AP21" s="276" cm="1">
        <f t="array" ref="AP21">IF(AND(AP$2&lt;&gt;0,TblTech[[#This Row],[Hour]:[Hour]]&gt;=AP$2),1,0)</f>
        <v>0</v>
      </c>
      <c r="AQ21" s="276" cm="1">
        <f t="array" ref="AQ21">IF(AND(AQ$2&lt;&gt;0,TblTech[[#This Row],[Hour]:[Hour]]&gt;=AQ$2),1,0)</f>
        <v>0</v>
      </c>
      <c r="AR21" s="276" cm="1">
        <f t="array" ref="AR21">IF(AND(AR$2&lt;&gt;0,TblTech[[#This Row],[Hour]:[Hour]]&gt;=AR$2),1,0)</f>
        <v>0</v>
      </c>
      <c r="AS21" s="276" cm="1">
        <f t="array" ref="AS21">IF(AND(AS$2&lt;&gt;0,TblTech[[#This Row],[Hour]:[Hour]]&gt;=AS$2),1,0)</f>
        <v>0</v>
      </c>
      <c r="AT21" s="276" cm="1">
        <f t="array" ref="AT21">IF(AND(AT$2&lt;&gt;0,TblTech[[#This Row],[Hour]:[Hour]]&gt;=AT$2),1,0)</f>
        <v>0</v>
      </c>
      <c r="AU21" s="276" cm="1">
        <f t="array" ref="AU21">IF(AND(AU$2&lt;&gt;0,TblTech[[#This Row],[Hour]:[Hour]]&gt;=AU$2),1,0)</f>
        <v>0</v>
      </c>
      <c r="AV21" s="276" cm="1">
        <f t="array" ref="AV21">IF(AND(AV$2&lt;&gt;0,TblTech[[#This Row],[Hour]:[Hour]]&gt;=AV$2),1,0)</f>
        <v>0</v>
      </c>
      <c r="AW21" s="276" cm="1">
        <f t="array" ref="AW21">IF(AND(AW$2&lt;&gt;0,TblTech[[#This Row],[Hour]:[Hour]]&gt;=AW$2),1,0)</f>
        <v>0</v>
      </c>
      <c r="AX21" s="276" cm="1">
        <f t="array" ref="AX21">IF(AND(AX$2&lt;&gt;0,TblTech[[#This Row],[Hour]:[Hour]]&gt;=AX$2),1,0)</f>
        <v>0</v>
      </c>
      <c r="AY21" s="276" cm="1">
        <f t="array" ref="AY21">IF(AND(AY$2&lt;&gt;0,TblTech[[#This Row],[Hour]:[Hour]]&gt;=AY$2),1,0)</f>
        <v>0</v>
      </c>
      <c r="AZ21" s="276" cm="1">
        <f t="array" ref="AZ21">IF(AND(AZ$2&lt;&gt;0,TblTech[[#This Row],[Hour]:[Hour]]&gt;=AZ$2),1,0)</f>
        <v>0</v>
      </c>
      <c r="BA21" s="276" cm="1">
        <f t="array" ref="BA21">IF(AND(BA$2&lt;&gt;0,TblTech[[#This Row],[Hour]:[Hour]]&gt;=BA$2),1,0)</f>
        <v>0</v>
      </c>
      <c r="BB21" s="276" cm="1">
        <f t="array" ref="BB21">IF(AND(BB$2&lt;&gt;0,TblTech[[#This Row],[Hour]:[Hour]]&gt;=BB$2),1,0)</f>
        <v>0</v>
      </c>
      <c r="BC21" s="276" cm="1">
        <f t="array" ref="BC21">IF(AND(BC$2&lt;&gt;0,TblTech[[#This Row],[Hour]:[Hour]]&gt;=BC$2),1,0)</f>
        <v>0</v>
      </c>
      <c r="BD21" s="276" cm="1">
        <f t="array" ref="BD21">IF(AND(BD$2&lt;&gt;0,TblTech[[#This Row],[Hour]:[Hour]]&gt;=BD$2),1,0)</f>
        <v>0</v>
      </c>
      <c r="BE21" s="276" cm="1">
        <f t="array" ref="BE21">IF(AND(BE$2&lt;&gt;0,TblTech[[#This Row],[Hour]:[Hour]]&gt;=BE$2),1,0)</f>
        <v>0</v>
      </c>
      <c r="BF21" s="276" cm="1">
        <f t="array" ref="BF21">IF(AND(BF$2&lt;&gt;0,TblTech[[#This Row],[Hour]:[Hour]]&gt;=BF$2),1,0)</f>
        <v>0</v>
      </c>
      <c r="BG21" s="276" cm="1">
        <f t="array" ref="BG21">IF(AND(BG$2&lt;&gt;0,TblTech[[#This Row],[Hour]:[Hour]]&gt;=BG$2),1,0)</f>
        <v>0</v>
      </c>
      <c r="BH21" s="276" cm="1">
        <f t="array" ref="BH21">IF(AND(BH$2&lt;&gt;0,TblTech[[#This Row],[Hour]:[Hour]]&gt;=BH$2),1,0)</f>
        <v>0</v>
      </c>
      <c r="BI21" s="276" cm="1">
        <f t="array" ref="BI21">IF(AND(BI$2&lt;&gt;0,TblTech[[#This Row],[Hour]:[Hour]]&gt;=BI$2),1,0)</f>
        <v>0</v>
      </c>
      <c r="BJ21" s="276" cm="1">
        <f t="array" ref="BJ21">IF(AND(BJ$2&lt;&gt;0,TblTech[[#This Row],[Hour]:[Hour]]&gt;=BJ$2),1,0)</f>
        <v>0</v>
      </c>
      <c r="BK21" s="276" cm="1">
        <f t="array" ref="BK21">IF(AND(BK$2&lt;&gt;0,TblTech[[#This Row],[Hour]:[Hour]]&gt;=BK$2),1,0)</f>
        <v>0</v>
      </c>
      <c r="BL21" s="276" cm="1">
        <f t="array" ref="BL21">IF(AND(BL$2&lt;&gt;0,TblTech[[#This Row],[Hour]:[Hour]]&gt;=BL$2),1,0)</f>
        <v>0</v>
      </c>
      <c r="BM21" s="276" cm="1">
        <f t="array" ref="BM21">IF(AND(BM$2&lt;&gt;0,TblTech[[#This Row],[Hour]:[Hour]]&gt;=BM$2),1,0)</f>
        <v>0</v>
      </c>
      <c r="BN21" s="276" cm="1">
        <f t="array" ref="BN21">IF(AND(BN$2&lt;&gt;0,TblTech[[#This Row],[Hour]:[Hour]]&gt;=BN$2),1,0)</f>
        <v>0</v>
      </c>
      <c r="BO21" s="276" cm="1">
        <f t="array" ref="BO21">IF(AND(BO$2&lt;&gt;0,TblTech[[#This Row],[Hour]:[Hour]]&gt;=BO$2),1,0)</f>
        <v>0</v>
      </c>
      <c r="BP21" s="276" cm="1">
        <f t="array" ref="BP21">IF(AND(BP$2&lt;&gt;0,TblTech[[#This Row],[Hour]:[Hour]]&gt;=BP$2),1,0)</f>
        <v>0</v>
      </c>
      <c r="BQ21" s="276" cm="1">
        <f t="array" ref="BQ21">IF(AND(BQ$2&lt;&gt;0,TblTech[[#This Row],[Hour]:[Hour]]&gt;=BQ$2),1,0)</f>
        <v>0</v>
      </c>
      <c r="BR21" s="276" cm="1">
        <f t="array" ref="BR21">IF(AND(BR$2&lt;&gt;0,TblTech[[#This Row],[Hour]:[Hour]]&gt;=BR$2),1,0)</f>
        <v>0</v>
      </c>
      <c r="BS21" s="276" cm="1">
        <f t="array" ref="BS21">IF(AND(BS$2&lt;&gt;0,TblTech[[#This Row],[Hour]:[Hour]]&gt;=BS$2),1,0)</f>
        <v>0</v>
      </c>
      <c r="BT21" s="276" cm="1">
        <f t="array" ref="BT21">IF(AND(BT$2&lt;&gt;0,TblTech[[#This Row],[Hour]:[Hour]]&gt;=BT$2),1,0)</f>
        <v>0</v>
      </c>
      <c r="BU21" s="276" cm="1">
        <f t="array" ref="BU21">IF(AND(BU$2&lt;&gt;0,TblTech[[#This Row],[Hour]:[Hour]]&gt;=BU$2),1,0)</f>
        <v>0</v>
      </c>
      <c r="BV21" s="276" cm="1">
        <f t="array" ref="BV21">IF(AND(BV$2&lt;&gt;0,TblTech[[#This Row],[Hour]:[Hour]]&gt;=BV$2),1,0)</f>
        <v>0</v>
      </c>
      <c r="BW21" s="276" cm="1">
        <f t="array" ref="BW21">IF(AND(BW$2&lt;&gt;0,TblTech[[#This Row],[Hour]:[Hour]]&gt;=BW$2),1,0)</f>
        <v>0</v>
      </c>
      <c r="BX21" s="276" cm="1">
        <f t="array" ref="BX21">IF(AND(BX$2&lt;&gt;0,TblTech[[#This Row],[Hour]:[Hour]]&gt;=BX$2),1,0)</f>
        <v>0</v>
      </c>
      <c r="BY21" s="276" cm="1">
        <f t="array" ref="BY21">IF(AND(BY$2&lt;&gt;0,TblTech[[#This Row],[Hour]:[Hour]]&gt;=BY$2),1,0)</f>
        <v>0</v>
      </c>
      <c r="BZ21" s="276" cm="1">
        <f t="array" ref="BZ21">IF(AND(BZ$2&lt;&gt;0,TblTech[[#This Row],[Hour]:[Hour]]&gt;=BZ$2),1,0)</f>
        <v>0</v>
      </c>
      <c r="CA21" s="377">
        <f>IFERROR(INDEX($H$4:$H$79,MATCH(INDEX(TblTech[[#Headers],[1-1]:[11-1]],1,MATCH(TblTech[[#This Row],[Hour]],$M$2:$BZ$2,0)),$G$4:$G$79,0)),)</f>
        <v>0</v>
      </c>
    </row>
    <row r="22" spans="1:79" x14ac:dyDescent="0.2">
      <c r="A22" s="268">
        <f>TblRezone[[#This Row],[Hour]]</f>
        <v>19</v>
      </c>
      <c r="B22" s="269">
        <f ca="1">TblExplore[[#This Row],[Land-DB]]</f>
        <v>110</v>
      </c>
      <c r="C22" s="270">
        <f ca="1">TblProd[[#This Row],[Techpoints]]</f>
        <v>0</v>
      </c>
      <c r="D22" s="270">
        <f ca="1">TblProd[[#This Row],[Required]]</f>
        <v>3750</v>
      </c>
      <c r="E22" s="271"/>
      <c r="F22" s="272"/>
      <c r="G22" s="273" t="s">
        <v>560</v>
      </c>
      <c r="H22" s="274" t="s">
        <v>710</v>
      </c>
      <c r="I22" s="273" t="s">
        <v>1046</v>
      </c>
      <c r="J22" s="269"/>
      <c r="K22" s="93">
        <f ca="1">IF(TblTech[[#This Row],[Sum of tech]]&lt;&gt;OFFSET(TblTech[[#This Row],[Sum of tech]],-1,0),1,0)</f>
        <v>0</v>
      </c>
      <c r="L22" s="275">
        <f>COUNTIF(TblTech[[#This Row],[1-1]:[11-1]],1)</f>
        <v>0</v>
      </c>
      <c r="M22" s="276" cm="1">
        <f t="array" ref="M22">IF(AND(M$2&lt;&gt;0,TblTech[[#This Row],[Hour]:[Hour]]&gt;=M$2),1,0)</f>
        <v>0</v>
      </c>
      <c r="N22" s="276" cm="1">
        <f t="array" ref="N22">IF(AND(N$2&lt;&gt;0,TblTech[[#This Row],[Hour]:[Hour]]&gt;=N$2),1,0)</f>
        <v>0</v>
      </c>
      <c r="O22" s="276" cm="1">
        <f t="array" ref="O22">IF(AND(O$2&lt;&gt;0,TblTech[[#This Row],[Hour]:[Hour]]&gt;=O$2),1,0)</f>
        <v>0</v>
      </c>
      <c r="P22" s="276" cm="1">
        <f t="array" ref="P22">IF(AND(P$2&lt;&gt;0,TblTech[[#This Row],[Hour]:[Hour]]&gt;=P$2),1,0)</f>
        <v>0</v>
      </c>
      <c r="Q22" s="276" cm="1">
        <f t="array" ref="Q22">IF(AND(Q$2&lt;&gt;0,TblTech[[#This Row],[Hour]:[Hour]]&gt;=Q$2),1,0)</f>
        <v>0</v>
      </c>
      <c r="R22" s="276" cm="1">
        <f t="array" ref="R22">IF(AND(R$2&lt;&gt;0,TblTech[[#This Row],[Hour]:[Hour]]&gt;=R$2),1,0)</f>
        <v>0</v>
      </c>
      <c r="S22" s="276" cm="1">
        <f t="array" ref="S22">IF(AND(S$2&lt;&gt;0,TblTech[[#This Row],[Hour]:[Hour]]&gt;=S$2),1,0)</f>
        <v>0</v>
      </c>
      <c r="T22" s="276" cm="1">
        <f t="array" ref="T22">IF(AND(T$2&lt;&gt;0,TblTech[[#This Row],[Hour]:[Hour]]&gt;=T$2),1,0)</f>
        <v>0</v>
      </c>
      <c r="U22" s="276" cm="1">
        <f t="array" ref="U22">IF(AND(U$2&lt;&gt;0,TblTech[[#This Row],[Hour]:[Hour]]&gt;=U$2),1,0)</f>
        <v>0</v>
      </c>
      <c r="V22" s="276" cm="1">
        <f t="array" ref="V22">IF(AND(V$2&lt;&gt;0,TblTech[[#This Row],[Hour]:[Hour]]&gt;=V$2),1,0)</f>
        <v>0</v>
      </c>
      <c r="W22" s="276" cm="1">
        <f t="array" ref="W22">IF(AND(W$2&lt;&gt;0,TblTech[[#This Row],[Hour]:[Hour]]&gt;=W$2),1,0)</f>
        <v>0</v>
      </c>
      <c r="X22" s="276" cm="1">
        <f t="array" ref="X22">IF(AND(X$2&lt;&gt;0,TblTech[[#This Row],[Hour]:[Hour]]&gt;=X$2),1,0)</f>
        <v>0</v>
      </c>
      <c r="Y22" s="276" cm="1">
        <f t="array" ref="Y22">IF(AND(Y$2&lt;&gt;0,TblTech[[#This Row],[Hour]:[Hour]]&gt;=Y$2),1,0)</f>
        <v>0</v>
      </c>
      <c r="Z22" s="276" cm="1">
        <f t="array" ref="Z22">IF(AND(Z$2&lt;&gt;0,TblTech[[#This Row],[Hour]:[Hour]]&gt;=Z$2),1,0)</f>
        <v>0</v>
      </c>
      <c r="AA22" s="276" cm="1">
        <f t="array" ref="AA22">IF(AND(AA$2&lt;&gt;0,TblTech[[#This Row],[Hour]:[Hour]]&gt;=AA$2),1,0)</f>
        <v>0</v>
      </c>
      <c r="AB22" s="276" cm="1">
        <f t="array" ref="AB22">IF(AND(AB$2&lt;&gt;0,TblTech[[#This Row],[Hour]:[Hour]]&gt;=AB$2),1,0)</f>
        <v>0</v>
      </c>
      <c r="AC22" s="276" cm="1">
        <f t="array" ref="AC22">IF(AND(AC$2&lt;&gt;0,TblTech[[#This Row],[Hour]:[Hour]]&gt;=AC$2),1,0)</f>
        <v>0</v>
      </c>
      <c r="AD22" s="276" cm="1">
        <f t="array" ref="AD22">IF(AND(AD$2&lt;&gt;0,TblTech[[#This Row],[Hour]:[Hour]]&gt;=AD$2),1,0)</f>
        <v>0</v>
      </c>
      <c r="AE22" s="276" cm="1">
        <f t="array" ref="AE22">IF(AND(AE$2&lt;&gt;0,TblTech[[#This Row],[Hour]:[Hour]]&gt;=AE$2),1,0)</f>
        <v>0</v>
      </c>
      <c r="AF22" s="276" cm="1">
        <f t="array" ref="AF22">IF(AND(AF$2&lt;&gt;0,TblTech[[#This Row],[Hour]:[Hour]]&gt;=AF$2),1,0)</f>
        <v>0</v>
      </c>
      <c r="AG22" s="276" cm="1">
        <f t="array" ref="AG22">IF(AND(AG$2&lt;&gt;0,TblTech[[#This Row],[Hour]:[Hour]]&gt;=AG$2),1,0)</f>
        <v>0</v>
      </c>
      <c r="AH22" s="276" cm="1">
        <f t="array" ref="AH22">IF(AND(AH$2&lt;&gt;0,TblTech[[#This Row],[Hour]:[Hour]]&gt;=AH$2),1,0)</f>
        <v>0</v>
      </c>
      <c r="AI22" s="276" cm="1">
        <f t="array" ref="AI22">IF(AND(AI$2&lt;&gt;0,TblTech[[#This Row],[Hour]:[Hour]]&gt;=AI$2),1,0)</f>
        <v>0</v>
      </c>
      <c r="AJ22" s="276" cm="1">
        <f t="array" ref="AJ22">IF(AND(AJ$2&lt;&gt;0,TblTech[[#This Row],[Hour]:[Hour]]&gt;=AJ$2),1,0)</f>
        <v>0</v>
      </c>
      <c r="AK22" s="276" cm="1">
        <f t="array" ref="AK22">IF(AND(AK$2&lt;&gt;0,TblTech[[#This Row],[Hour]:[Hour]]&gt;=AK$2),1,0)</f>
        <v>0</v>
      </c>
      <c r="AL22" s="276" cm="1">
        <f t="array" ref="AL22">IF(AND(AL$2&lt;&gt;0,TblTech[[#This Row],[Hour]:[Hour]]&gt;=AL$2),1,0)</f>
        <v>0</v>
      </c>
      <c r="AM22" s="276" cm="1">
        <f t="array" ref="AM22">IF(AND(AM$2&lt;&gt;0,TblTech[[#This Row],[Hour]:[Hour]]&gt;=AM$2),1,0)</f>
        <v>0</v>
      </c>
      <c r="AN22" s="276" cm="1">
        <f t="array" ref="AN22">IF(AND(AN$2&lt;&gt;0,TblTech[[#This Row],[Hour]:[Hour]]&gt;=AN$2),1,0)</f>
        <v>0</v>
      </c>
      <c r="AO22" s="276" cm="1">
        <f t="array" ref="AO22">IF(AND(AO$2&lt;&gt;0,TblTech[[#This Row],[Hour]:[Hour]]&gt;=AO$2),1,0)</f>
        <v>0</v>
      </c>
      <c r="AP22" s="276" cm="1">
        <f t="array" ref="AP22">IF(AND(AP$2&lt;&gt;0,TblTech[[#This Row],[Hour]:[Hour]]&gt;=AP$2),1,0)</f>
        <v>0</v>
      </c>
      <c r="AQ22" s="276" cm="1">
        <f t="array" ref="AQ22">IF(AND(AQ$2&lt;&gt;0,TblTech[[#This Row],[Hour]:[Hour]]&gt;=AQ$2),1,0)</f>
        <v>0</v>
      </c>
      <c r="AR22" s="276" cm="1">
        <f t="array" ref="AR22">IF(AND(AR$2&lt;&gt;0,TblTech[[#This Row],[Hour]:[Hour]]&gt;=AR$2),1,0)</f>
        <v>0</v>
      </c>
      <c r="AS22" s="276" cm="1">
        <f t="array" ref="AS22">IF(AND(AS$2&lt;&gt;0,TblTech[[#This Row],[Hour]:[Hour]]&gt;=AS$2),1,0)</f>
        <v>0</v>
      </c>
      <c r="AT22" s="276" cm="1">
        <f t="array" ref="AT22">IF(AND(AT$2&lt;&gt;0,TblTech[[#This Row],[Hour]:[Hour]]&gt;=AT$2),1,0)</f>
        <v>0</v>
      </c>
      <c r="AU22" s="276" cm="1">
        <f t="array" ref="AU22">IF(AND(AU$2&lt;&gt;0,TblTech[[#This Row],[Hour]:[Hour]]&gt;=AU$2),1,0)</f>
        <v>0</v>
      </c>
      <c r="AV22" s="276" cm="1">
        <f t="array" ref="AV22">IF(AND(AV$2&lt;&gt;0,TblTech[[#This Row],[Hour]:[Hour]]&gt;=AV$2),1,0)</f>
        <v>0</v>
      </c>
      <c r="AW22" s="276" cm="1">
        <f t="array" ref="AW22">IF(AND(AW$2&lt;&gt;0,TblTech[[#This Row],[Hour]:[Hour]]&gt;=AW$2),1,0)</f>
        <v>0</v>
      </c>
      <c r="AX22" s="276" cm="1">
        <f t="array" ref="AX22">IF(AND(AX$2&lt;&gt;0,TblTech[[#This Row],[Hour]:[Hour]]&gt;=AX$2),1,0)</f>
        <v>0</v>
      </c>
      <c r="AY22" s="276" cm="1">
        <f t="array" ref="AY22">IF(AND(AY$2&lt;&gt;0,TblTech[[#This Row],[Hour]:[Hour]]&gt;=AY$2),1,0)</f>
        <v>0</v>
      </c>
      <c r="AZ22" s="276" cm="1">
        <f t="array" ref="AZ22">IF(AND(AZ$2&lt;&gt;0,TblTech[[#This Row],[Hour]:[Hour]]&gt;=AZ$2),1,0)</f>
        <v>0</v>
      </c>
      <c r="BA22" s="276" cm="1">
        <f t="array" ref="BA22">IF(AND(BA$2&lt;&gt;0,TblTech[[#This Row],[Hour]:[Hour]]&gt;=BA$2),1,0)</f>
        <v>0</v>
      </c>
      <c r="BB22" s="276" cm="1">
        <f t="array" ref="BB22">IF(AND(BB$2&lt;&gt;0,TblTech[[#This Row],[Hour]:[Hour]]&gt;=BB$2),1,0)</f>
        <v>0</v>
      </c>
      <c r="BC22" s="276" cm="1">
        <f t="array" ref="BC22">IF(AND(BC$2&lt;&gt;0,TblTech[[#This Row],[Hour]:[Hour]]&gt;=BC$2),1,0)</f>
        <v>0</v>
      </c>
      <c r="BD22" s="276" cm="1">
        <f t="array" ref="BD22">IF(AND(BD$2&lt;&gt;0,TblTech[[#This Row],[Hour]:[Hour]]&gt;=BD$2),1,0)</f>
        <v>0</v>
      </c>
      <c r="BE22" s="276" cm="1">
        <f t="array" ref="BE22">IF(AND(BE$2&lt;&gt;0,TblTech[[#This Row],[Hour]:[Hour]]&gt;=BE$2),1,0)</f>
        <v>0</v>
      </c>
      <c r="BF22" s="276" cm="1">
        <f t="array" ref="BF22">IF(AND(BF$2&lt;&gt;0,TblTech[[#This Row],[Hour]:[Hour]]&gt;=BF$2),1,0)</f>
        <v>0</v>
      </c>
      <c r="BG22" s="276" cm="1">
        <f t="array" ref="BG22">IF(AND(BG$2&lt;&gt;0,TblTech[[#This Row],[Hour]:[Hour]]&gt;=BG$2),1,0)</f>
        <v>0</v>
      </c>
      <c r="BH22" s="276" cm="1">
        <f t="array" ref="BH22">IF(AND(BH$2&lt;&gt;0,TblTech[[#This Row],[Hour]:[Hour]]&gt;=BH$2),1,0)</f>
        <v>0</v>
      </c>
      <c r="BI22" s="276" cm="1">
        <f t="array" ref="BI22">IF(AND(BI$2&lt;&gt;0,TblTech[[#This Row],[Hour]:[Hour]]&gt;=BI$2),1,0)</f>
        <v>0</v>
      </c>
      <c r="BJ22" s="276" cm="1">
        <f t="array" ref="BJ22">IF(AND(BJ$2&lt;&gt;0,TblTech[[#This Row],[Hour]:[Hour]]&gt;=BJ$2),1,0)</f>
        <v>0</v>
      </c>
      <c r="BK22" s="276" cm="1">
        <f t="array" ref="BK22">IF(AND(BK$2&lt;&gt;0,TblTech[[#This Row],[Hour]:[Hour]]&gt;=BK$2),1,0)</f>
        <v>0</v>
      </c>
      <c r="BL22" s="276" cm="1">
        <f t="array" ref="BL22">IF(AND(BL$2&lt;&gt;0,TblTech[[#This Row],[Hour]:[Hour]]&gt;=BL$2),1,0)</f>
        <v>0</v>
      </c>
      <c r="BM22" s="276" cm="1">
        <f t="array" ref="BM22">IF(AND(BM$2&lt;&gt;0,TblTech[[#This Row],[Hour]:[Hour]]&gt;=BM$2),1,0)</f>
        <v>0</v>
      </c>
      <c r="BN22" s="276" cm="1">
        <f t="array" ref="BN22">IF(AND(BN$2&lt;&gt;0,TblTech[[#This Row],[Hour]:[Hour]]&gt;=BN$2),1,0)</f>
        <v>0</v>
      </c>
      <c r="BO22" s="276" cm="1">
        <f t="array" ref="BO22">IF(AND(BO$2&lt;&gt;0,TblTech[[#This Row],[Hour]:[Hour]]&gt;=BO$2),1,0)</f>
        <v>0</v>
      </c>
      <c r="BP22" s="276" cm="1">
        <f t="array" ref="BP22">IF(AND(BP$2&lt;&gt;0,TblTech[[#This Row],[Hour]:[Hour]]&gt;=BP$2),1,0)</f>
        <v>0</v>
      </c>
      <c r="BQ22" s="276" cm="1">
        <f t="array" ref="BQ22">IF(AND(BQ$2&lt;&gt;0,TblTech[[#This Row],[Hour]:[Hour]]&gt;=BQ$2),1,0)</f>
        <v>0</v>
      </c>
      <c r="BR22" s="276" cm="1">
        <f t="array" ref="BR22">IF(AND(BR$2&lt;&gt;0,TblTech[[#This Row],[Hour]:[Hour]]&gt;=BR$2),1,0)</f>
        <v>0</v>
      </c>
      <c r="BS22" s="276" cm="1">
        <f t="array" ref="BS22">IF(AND(BS$2&lt;&gt;0,TblTech[[#This Row],[Hour]:[Hour]]&gt;=BS$2),1,0)</f>
        <v>0</v>
      </c>
      <c r="BT22" s="276" cm="1">
        <f t="array" ref="BT22">IF(AND(BT$2&lt;&gt;0,TblTech[[#This Row],[Hour]:[Hour]]&gt;=BT$2),1,0)</f>
        <v>0</v>
      </c>
      <c r="BU22" s="276" cm="1">
        <f t="array" ref="BU22">IF(AND(BU$2&lt;&gt;0,TblTech[[#This Row],[Hour]:[Hour]]&gt;=BU$2),1,0)</f>
        <v>0</v>
      </c>
      <c r="BV22" s="276" cm="1">
        <f t="array" ref="BV22">IF(AND(BV$2&lt;&gt;0,TblTech[[#This Row],[Hour]:[Hour]]&gt;=BV$2),1,0)</f>
        <v>0</v>
      </c>
      <c r="BW22" s="276" cm="1">
        <f t="array" ref="BW22">IF(AND(BW$2&lt;&gt;0,TblTech[[#This Row],[Hour]:[Hour]]&gt;=BW$2),1,0)</f>
        <v>0</v>
      </c>
      <c r="BX22" s="276" cm="1">
        <f t="array" ref="BX22">IF(AND(BX$2&lt;&gt;0,TblTech[[#This Row],[Hour]:[Hour]]&gt;=BX$2),1,0)</f>
        <v>0</v>
      </c>
      <c r="BY22" s="276" cm="1">
        <f t="array" ref="BY22">IF(AND(BY$2&lt;&gt;0,TblTech[[#This Row],[Hour]:[Hour]]&gt;=BY$2),1,0)</f>
        <v>0</v>
      </c>
      <c r="BZ22" s="276" cm="1">
        <f t="array" ref="BZ22">IF(AND(BZ$2&lt;&gt;0,TblTech[[#This Row],[Hour]:[Hour]]&gt;=BZ$2),1,0)</f>
        <v>0</v>
      </c>
      <c r="CA22" s="377">
        <f>IFERROR(INDEX($H$4:$H$79,MATCH(INDEX(TblTech[[#Headers],[1-1]:[11-1]],1,MATCH(TblTech[[#This Row],[Hour]],$M$2:$BZ$2,0)),$G$4:$G$79,0)),)</f>
        <v>0</v>
      </c>
    </row>
    <row r="23" spans="1:79" x14ac:dyDescent="0.2">
      <c r="A23" s="268">
        <f>TblRezone[[#This Row],[Hour]]</f>
        <v>20</v>
      </c>
      <c r="B23" s="269">
        <f ca="1">TblExplore[[#This Row],[Land-DB]]</f>
        <v>110</v>
      </c>
      <c r="C23" s="270">
        <f ca="1">TblProd[[#This Row],[Techpoints]]</f>
        <v>0</v>
      </c>
      <c r="D23" s="270">
        <f ca="1">TblProd[[#This Row],[Required]]</f>
        <v>3750</v>
      </c>
      <c r="E23" s="271"/>
      <c r="F23" s="272"/>
      <c r="G23" s="273" t="s">
        <v>562</v>
      </c>
      <c r="H23" s="274" t="s">
        <v>695</v>
      </c>
      <c r="I23" s="273" t="s">
        <v>738</v>
      </c>
      <c r="J23" s="269"/>
      <c r="K23" s="93">
        <f ca="1">IF(TblTech[[#This Row],[Sum of tech]]&lt;&gt;OFFSET(TblTech[[#This Row],[Sum of tech]],-1,0),1,0)</f>
        <v>0</v>
      </c>
      <c r="L23" s="275">
        <f>COUNTIF(TblTech[[#This Row],[1-1]:[11-1]],1)</f>
        <v>0</v>
      </c>
      <c r="M23" s="276" cm="1">
        <f t="array" ref="M23">IF(AND(M$2&lt;&gt;0,TblTech[[#This Row],[Hour]:[Hour]]&gt;=M$2),1,0)</f>
        <v>0</v>
      </c>
      <c r="N23" s="276" cm="1">
        <f t="array" ref="N23">IF(AND(N$2&lt;&gt;0,TblTech[[#This Row],[Hour]:[Hour]]&gt;=N$2),1,0)</f>
        <v>0</v>
      </c>
      <c r="O23" s="276" cm="1">
        <f t="array" ref="O23">IF(AND(O$2&lt;&gt;0,TblTech[[#This Row],[Hour]:[Hour]]&gt;=O$2),1,0)</f>
        <v>0</v>
      </c>
      <c r="P23" s="276" cm="1">
        <f t="array" ref="P23">IF(AND(P$2&lt;&gt;0,TblTech[[#This Row],[Hour]:[Hour]]&gt;=P$2),1,0)</f>
        <v>0</v>
      </c>
      <c r="Q23" s="276" cm="1">
        <f t="array" ref="Q23">IF(AND(Q$2&lt;&gt;0,TblTech[[#This Row],[Hour]:[Hour]]&gt;=Q$2),1,0)</f>
        <v>0</v>
      </c>
      <c r="R23" s="276" cm="1">
        <f t="array" ref="R23">IF(AND(R$2&lt;&gt;0,TblTech[[#This Row],[Hour]:[Hour]]&gt;=R$2),1,0)</f>
        <v>0</v>
      </c>
      <c r="S23" s="276" cm="1">
        <f t="array" ref="S23">IF(AND(S$2&lt;&gt;0,TblTech[[#This Row],[Hour]:[Hour]]&gt;=S$2),1,0)</f>
        <v>0</v>
      </c>
      <c r="T23" s="276" cm="1">
        <f t="array" ref="T23">IF(AND(T$2&lt;&gt;0,TblTech[[#This Row],[Hour]:[Hour]]&gt;=T$2),1,0)</f>
        <v>0</v>
      </c>
      <c r="U23" s="276" cm="1">
        <f t="array" ref="U23">IF(AND(U$2&lt;&gt;0,TblTech[[#This Row],[Hour]:[Hour]]&gt;=U$2),1,0)</f>
        <v>0</v>
      </c>
      <c r="V23" s="276" cm="1">
        <f t="array" ref="V23">IF(AND(V$2&lt;&gt;0,TblTech[[#This Row],[Hour]:[Hour]]&gt;=V$2),1,0)</f>
        <v>0</v>
      </c>
      <c r="W23" s="276" cm="1">
        <f t="array" ref="W23">IF(AND(W$2&lt;&gt;0,TblTech[[#This Row],[Hour]:[Hour]]&gt;=W$2),1,0)</f>
        <v>0</v>
      </c>
      <c r="X23" s="276" cm="1">
        <f t="array" ref="X23">IF(AND(X$2&lt;&gt;0,TblTech[[#This Row],[Hour]:[Hour]]&gt;=X$2),1,0)</f>
        <v>0</v>
      </c>
      <c r="Y23" s="276" cm="1">
        <f t="array" ref="Y23">IF(AND(Y$2&lt;&gt;0,TblTech[[#This Row],[Hour]:[Hour]]&gt;=Y$2),1,0)</f>
        <v>0</v>
      </c>
      <c r="Z23" s="276" cm="1">
        <f t="array" ref="Z23">IF(AND(Z$2&lt;&gt;0,TblTech[[#This Row],[Hour]:[Hour]]&gt;=Z$2),1,0)</f>
        <v>0</v>
      </c>
      <c r="AA23" s="276" cm="1">
        <f t="array" ref="AA23">IF(AND(AA$2&lt;&gt;0,TblTech[[#This Row],[Hour]:[Hour]]&gt;=AA$2),1,0)</f>
        <v>0</v>
      </c>
      <c r="AB23" s="276" cm="1">
        <f t="array" ref="AB23">IF(AND(AB$2&lt;&gt;0,TblTech[[#This Row],[Hour]:[Hour]]&gt;=AB$2),1,0)</f>
        <v>0</v>
      </c>
      <c r="AC23" s="276" cm="1">
        <f t="array" ref="AC23">IF(AND(AC$2&lt;&gt;0,TblTech[[#This Row],[Hour]:[Hour]]&gt;=AC$2),1,0)</f>
        <v>0</v>
      </c>
      <c r="AD23" s="276" cm="1">
        <f t="array" ref="AD23">IF(AND(AD$2&lt;&gt;0,TblTech[[#This Row],[Hour]:[Hour]]&gt;=AD$2),1,0)</f>
        <v>0</v>
      </c>
      <c r="AE23" s="276" cm="1">
        <f t="array" ref="AE23">IF(AND(AE$2&lt;&gt;0,TblTech[[#This Row],[Hour]:[Hour]]&gt;=AE$2),1,0)</f>
        <v>0</v>
      </c>
      <c r="AF23" s="276" cm="1">
        <f t="array" ref="AF23">IF(AND(AF$2&lt;&gt;0,TblTech[[#This Row],[Hour]:[Hour]]&gt;=AF$2),1,0)</f>
        <v>0</v>
      </c>
      <c r="AG23" s="276" cm="1">
        <f t="array" ref="AG23">IF(AND(AG$2&lt;&gt;0,TblTech[[#This Row],[Hour]:[Hour]]&gt;=AG$2),1,0)</f>
        <v>0</v>
      </c>
      <c r="AH23" s="276" cm="1">
        <f t="array" ref="AH23">IF(AND(AH$2&lt;&gt;0,TblTech[[#This Row],[Hour]:[Hour]]&gt;=AH$2),1,0)</f>
        <v>0</v>
      </c>
      <c r="AI23" s="276" cm="1">
        <f t="array" ref="AI23">IF(AND(AI$2&lt;&gt;0,TblTech[[#This Row],[Hour]:[Hour]]&gt;=AI$2),1,0)</f>
        <v>0</v>
      </c>
      <c r="AJ23" s="276" cm="1">
        <f t="array" ref="AJ23">IF(AND(AJ$2&lt;&gt;0,TblTech[[#This Row],[Hour]:[Hour]]&gt;=AJ$2),1,0)</f>
        <v>0</v>
      </c>
      <c r="AK23" s="276" cm="1">
        <f t="array" ref="AK23">IF(AND(AK$2&lt;&gt;0,TblTech[[#This Row],[Hour]:[Hour]]&gt;=AK$2),1,0)</f>
        <v>0</v>
      </c>
      <c r="AL23" s="276" cm="1">
        <f t="array" ref="AL23">IF(AND(AL$2&lt;&gt;0,TblTech[[#This Row],[Hour]:[Hour]]&gt;=AL$2),1,0)</f>
        <v>0</v>
      </c>
      <c r="AM23" s="276" cm="1">
        <f t="array" ref="AM23">IF(AND(AM$2&lt;&gt;0,TblTech[[#This Row],[Hour]:[Hour]]&gt;=AM$2),1,0)</f>
        <v>0</v>
      </c>
      <c r="AN23" s="276" cm="1">
        <f t="array" ref="AN23">IF(AND(AN$2&lt;&gt;0,TblTech[[#This Row],[Hour]:[Hour]]&gt;=AN$2),1,0)</f>
        <v>0</v>
      </c>
      <c r="AO23" s="276" cm="1">
        <f t="array" ref="AO23">IF(AND(AO$2&lt;&gt;0,TblTech[[#This Row],[Hour]:[Hour]]&gt;=AO$2),1,0)</f>
        <v>0</v>
      </c>
      <c r="AP23" s="276" cm="1">
        <f t="array" ref="AP23">IF(AND(AP$2&lt;&gt;0,TblTech[[#This Row],[Hour]:[Hour]]&gt;=AP$2),1,0)</f>
        <v>0</v>
      </c>
      <c r="AQ23" s="276" cm="1">
        <f t="array" ref="AQ23">IF(AND(AQ$2&lt;&gt;0,TblTech[[#This Row],[Hour]:[Hour]]&gt;=AQ$2),1,0)</f>
        <v>0</v>
      </c>
      <c r="AR23" s="276" cm="1">
        <f t="array" ref="AR23">IF(AND(AR$2&lt;&gt;0,TblTech[[#This Row],[Hour]:[Hour]]&gt;=AR$2),1,0)</f>
        <v>0</v>
      </c>
      <c r="AS23" s="276" cm="1">
        <f t="array" ref="AS23">IF(AND(AS$2&lt;&gt;0,TblTech[[#This Row],[Hour]:[Hour]]&gt;=AS$2),1,0)</f>
        <v>0</v>
      </c>
      <c r="AT23" s="276" cm="1">
        <f t="array" ref="AT23">IF(AND(AT$2&lt;&gt;0,TblTech[[#This Row],[Hour]:[Hour]]&gt;=AT$2),1,0)</f>
        <v>0</v>
      </c>
      <c r="AU23" s="276" cm="1">
        <f t="array" ref="AU23">IF(AND(AU$2&lt;&gt;0,TblTech[[#This Row],[Hour]:[Hour]]&gt;=AU$2),1,0)</f>
        <v>0</v>
      </c>
      <c r="AV23" s="276" cm="1">
        <f t="array" ref="AV23">IF(AND(AV$2&lt;&gt;0,TblTech[[#This Row],[Hour]:[Hour]]&gt;=AV$2),1,0)</f>
        <v>0</v>
      </c>
      <c r="AW23" s="276" cm="1">
        <f t="array" ref="AW23">IF(AND(AW$2&lt;&gt;0,TblTech[[#This Row],[Hour]:[Hour]]&gt;=AW$2),1,0)</f>
        <v>0</v>
      </c>
      <c r="AX23" s="276" cm="1">
        <f t="array" ref="AX23">IF(AND(AX$2&lt;&gt;0,TblTech[[#This Row],[Hour]:[Hour]]&gt;=AX$2),1,0)</f>
        <v>0</v>
      </c>
      <c r="AY23" s="276" cm="1">
        <f t="array" ref="AY23">IF(AND(AY$2&lt;&gt;0,TblTech[[#This Row],[Hour]:[Hour]]&gt;=AY$2),1,0)</f>
        <v>0</v>
      </c>
      <c r="AZ23" s="276" cm="1">
        <f t="array" ref="AZ23">IF(AND(AZ$2&lt;&gt;0,TblTech[[#This Row],[Hour]:[Hour]]&gt;=AZ$2),1,0)</f>
        <v>0</v>
      </c>
      <c r="BA23" s="276" cm="1">
        <f t="array" ref="BA23">IF(AND(BA$2&lt;&gt;0,TblTech[[#This Row],[Hour]:[Hour]]&gt;=BA$2),1,0)</f>
        <v>0</v>
      </c>
      <c r="BB23" s="276" cm="1">
        <f t="array" ref="BB23">IF(AND(BB$2&lt;&gt;0,TblTech[[#This Row],[Hour]:[Hour]]&gt;=BB$2),1,0)</f>
        <v>0</v>
      </c>
      <c r="BC23" s="276" cm="1">
        <f t="array" ref="BC23">IF(AND(BC$2&lt;&gt;0,TblTech[[#This Row],[Hour]:[Hour]]&gt;=BC$2),1,0)</f>
        <v>0</v>
      </c>
      <c r="BD23" s="276" cm="1">
        <f t="array" ref="BD23">IF(AND(BD$2&lt;&gt;0,TblTech[[#This Row],[Hour]:[Hour]]&gt;=BD$2),1,0)</f>
        <v>0</v>
      </c>
      <c r="BE23" s="276" cm="1">
        <f t="array" ref="BE23">IF(AND(BE$2&lt;&gt;0,TblTech[[#This Row],[Hour]:[Hour]]&gt;=BE$2),1,0)</f>
        <v>0</v>
      </c>
      <c r="BF23" s="276" cm="1">
        <f t="array" ref="BF23">IF(AND(BF$2&lt;&gt;0,TblTech[[#This Row],[Hour]:[Hour]]&gt;=BF$2),1,0)</f>
        <v>0</v>
      </c>
      <c r="BG23" s="276" cm="1">
        <f t="array" ref="BG23">IF(AND(BG$2&lt;&gt;0,TblTech[[#This Row],[Hour]:[Hour]]&gt;=BG$2),1,0)</f>
        <v>0</v>
      </c>
      <c r="BH23" s="276" cm="1">
        <f t="array" ref="BH23">IF(AND(BH$2&lt;&gt;0,TblTech[[#This Row],[Hour]:[Hour]]&gt;=BH$2),1,0)</f>
        <v>0</v>
      </c>
      <c r="BI23" s="276" cm="1">
        <f t="array" ref="BI23">IF(AND(BI$2&lt;&gt;0,TblTech[[#This Row],[Hour]:[Hour]]&gt;=BI$2),1,0)</f>
        <v>0</v>
      </c>
      <c r="BJ23" s="276" cm="1">
        <f t="array" ref="BJ23">IF(AND(BJ$2&lt;&gt;0,TblTech[[#This Row],[Hour]:[Hour]]&gt;=BJ$2),1,0)</f>
        <v>0</v>
      </c>
      <c r="BK23" s="276" cm="1">
        <f t="array" ref="BK23">IF(AND(BK$2&lt;&gt;0,TblTech[[#This Row],[Hour]:[Hour]]&gt;=BK$2),1,0)</f>
        <v>0</v>
      </c>
      <c r="BL23" s="276" cm="1">
        <f t="array" ref="BL23">IF(AND(BL$2&lt;&gt;0,TblTech[[#This Row],[Hour]:[Hour]]&gt;=BL$2),1,0)</f>
        <v>0</v>
      </c>
      <c r="BM23" s="276" cm="1">
        <f t="array" ref="BM23">IF(AND(BM$2&lt;&gt;0,TblTech[[#This Row],[Hour]:[Hour]]&gt;=BM$2),1,0)</f>
        <v>0</v>
      </c>
      <c r="BN23" s="276" cm="1">
        <f t="array" ref="BN23">IF(AND(BN$2&lt;&gt;0,TblTech[[#This Row],[Hour]:[Hour]]&gt;=BN$2),1,0)</f>
        <v>0</v>
      </c>
      <c r="BO23" s="276" cm="1">
        <f t="array" ref="BO23">IF(AND(BO$2&lt;&gt;0,TblTech[[#This Row],[Hour]:[Hour]]&gt;=BO$2),1,0)</f>
        <v>0</v>
      </c>
      <c r="BP23" s="276" cm="1">
        <f t="array" ref="BP23">IF(AND(BP$2&lt;&gt;0,TblTech[[#This Row],[Hour]:[Hour]]&gt;=BP$2),1,0)</f>
        <v>0</v>
      </c>
      <c r="BQ23" s="276" cm="1">
        <f t="array" ref="BQ23">IF(AND(BQ$2&lt;&gt;0,TblTech[[#This Row],[Hour]:[Hour]]&gt;=BQ$2),1,0)</f>
        <v>0</v>
      </c>
      <c r="BR23" s="276" cm="1">
        <f t="array" ref="BR23">IF(AND(BR$2&lt;&gt;0,TblTech[[#This Row],[Hour]:[Hour]]&gt;=BR$2),1,0)</f>
        <v>0</v>
      </c>
      <c r="BS23" s="276" cm="1">
        <f t="array" ref="BS23">IF(AND(BS$2&lt;&gt;0,TblTech[[#This Row],[Hour]:[Hour]]&gt;=BS$2),1,0)</f>
        <v>0</v>
      </c>
      <c r="BT23" s="276" cm="1">
        <f t="array" ref="BT23">IF(AND(BT$2&lt;&gt;0,TblTech[[#This Row],[Hour]:[Hour]]&gt;=BT$2),1,0)</f>
        <v>0</v>
      </c>
      <c r="BU23" s="276" cm="1">
        <f t="array" ref="BU23">IF(AND(BU$2&lt;&gt;0,TblTech[[#This Row],[Hour]:[Hour]]&gt;=BU$2),1,0)</f>
        <v>0</v>
      </c>
      <c r="BV23" s="276" cm="1">
        <f t="array" ref="BV23">IF(AND(BV$2&lt;&gt;0,TblTech[[#This Row],[Hour]:[Hour]]&gt;=BV$2),1,0)</f>
        <v>0</v>
      </c>
      <c r="BW23" s="276" cm="1">
        <f t="array" ref="BW23">IF(AND(BW$2&lt;&gt;0,TblTech[[#This Row],[Hour]:[Hour]]&gt;=BW$2),1,0)</f>
        <v>0</v>
      </c>
      <c r="BX23" s="276" cm="1">
        <f t="array" ref="BX23">IF(AND(BX$2&lt;&gt;0,TblTech[[#This Row],[Hour]:[Hour]]&gt;=BX$2),1,0)</f>
        <v>0</v>
      </c>
      <c r="BY23" s="276" cm="1">
        <f t="array" ref="BY23">IF(AND(BY$2&lt;&gt;0,TblTech[[#This Row],[Hour]:[Hour]]&gt;=BY$2),1,0)</f>
        <v>0</v>
      </c>
      <c r="BZ23" s="276" cm="1">
        <f t="array" ref="BZ23">IF(AND(BZ$2&lt;&gt;0,TblTech[[#This Row],[Hour]:[Hour]]&gt;=BZ$2),1,0)</f>
        <v>0</v>
      </c>
      <c r="CA23" s="377">
        <f>IFERROR(INDEX($H$4:$H$79,MATCH(INDEX(TblTech[[#Headers],[1-1]:[11-1]],1,MATCH(TblTech[[#This Row],[Hour]],$M$2:$BZ$2,0)),$G$4:$G$79,0)),)</f>
        <v>0</v>
      </c>
    </row>
    <row r="24" spans="1:79" x14ac:dyDescent="0.2">
      <c r="A24" s="268">
        <f>TblRezone[[#This Row],[Hour]]</f>
        <v>21</v>
      </c>
      <c r="B24" s="269">
        <f ca="1">TblExplore[[#This Row],[Land-DB]]</f>
        <v>110</v>
      </c>
      <c r="C24" s="270">
        <f ca="1">TblProd[[#This Row],[Techpoints]]</f>
        <v>0</v>
      </c>
      <c r="D24" s="270">
        <f ca="1">TblProd[[#This Row],[Required]]</f>
        <v>3750</v>
      </c>
      <c r="E24" s="271"/>
      <c r="F24" s="272"/>
      <c r="G24" s="273" t="s">
        <v>563</v>
      </c>
      <c r="H24" s="274" t="s">
        <v>696</v>
      </c>
      <c r="I24" s="273" t="s">
        <v>739</v>
      </c>
      <c r="J24" s="269"/>
      <c r="K24" s="93">
        <f ca="1">IF(TblTech[[#This Row],[Sum of tech]]&lt;&gt;OFFSET(TblTech[[#This Row],[Sum of tech]],-1,0),1,0)</f>
        <v>0</v>
      </c>
      <c r="L24" s="275">
        <f>COUNTIF(TblTech[[#This Row],[1-1]:[11-1]],1)</f>
        <v>0</v>
      </c>
      <c r="M24" s="276" cm="1">
        <f t="array" ref="M24">IF(AND(M$2&lt;&gt;0,TblTech[[#This Row],[Hour]:[Hour]]&gt;=M$2),1,0)</f>
        <v>0</v>
      </c>
      <c r="N24" s="276" cm="1">
        <f t="array" ref="N24">IF(AND(N$2&lt;&gt;0,TblTech[[#This Row],[Hour]:[Hour]]&gt;=N$2),1,0)</f>
        <v>0</v>
      </c>
      <c r="O24" s="276" cm="1">
        <f t="array" ref="O24">IF(AND(O$2&lt;&gt;0,TblTech[[#This Row],[Hour]:[Hour]]&gt;=O$2),1,0)</f>
        <v>0</v>
      </c>
      <c r="P24" s="276" cm="1">
        <f t="array" ref="P24">IF(AND(P$2&lt;&gt;0,TblTech[[#This Row],[Hour]:[Hour]]&gt;=P$2),1,0)</f>
        <v>0</v>
      </c>
      <c r="Q24" s="276" cm="1">
        <f t="array" ref="Q24">IF(AND(Q$2&lt;&gt;0,TblTech[[#This Row],[Hour]:[Hour]]&gt;=Q$2),1,0)</f>
        <v>0</v>
      </c>
      <c r="R24" s="276" cm="1">
        <f t="array" ref="R24">IF(AND(R$2&lt;&gt;0,TblTech[[#This Row],[Hour]:[Hour]]&gt;=R$2),1,0)</f>
        <v>0</v>
      </c>
      <c r="S24" s="276" cm="1">
        <f t="array" ref="S24">IF(AND(S$2&lt;&gt;0,TblTech[[#This Row],[Hour]:[Hour]]&gt;=S$2),1,0)</f>
        <v>0</v>
      </c>
      <c r="T24" s="276" cm="1">
        <f t="array" ref="T24">IF(AND(T$2&lt;&gt;0,TblTech[[#This Row],[Hour]:[Hour]]&gt;=T$2),1,0)</f>
        <v>0</v>
      </c>
      <c r="U24" s="276" cm="1">
        <f t="array" ref="U24">IF(AND(U$2&lt;&gt;0,TblTech[[#This Row],[Hour]:[Hour]]&gt;=U$2),1,0)</f>
        <v>0</v>
      </c>
      <c r="V24" s="276" cm="1">
        <f t="array" ref="V24">IF(AND(V$2&lt;&gt;0,TblTech[[#This Row],[Hour]:[Hour]]&gt;=V$2),1,0)</f>
        <v>0</v>
      </c>
      <c r="W24" s="276" cm="1">
        <f t="array" ref="W24">IF(AND(W$2&lt;&gt;0,TblTech[[#This Row],[Hour]:[Hour]]&gt;=W$2),1,0)</f>
        <v>0</v>
      </c>
      <c r="X24" s="276" cm="1">
        <f t="array" ref="X24">IF(AND(X$2&lt;&gt;0,TblTech[[#This Row],[Hour]:[Hour]]&gt;=X$2),1,0)</f>
        <v>0</v>
      </c>
      <c r="Y24" s="276" cm="1">
        <f t="array" ref="Y24">IF(AND(Y$2&lt;&gt;0,TblTech[[#This Row],[Hour]:[Hour]]&gt;=Y$2),1,0)</f>
        <v>0</v>
      </c>
      <c r="Z24" s="276" cm="1">
        <f t="array" ref="Z24">IF(AND(Z$2&lt;&gt;0,TblTech[[#This Row],[Hour]:[Hour]]&gt;=Z$2),1,0)</f>
        <v>0</v>
      </c>
      <c r="AA24" s="276" cm="1">
        <f t="array" ref="AA24">IF(AND(AA$2&lt;&gt;0,TblTech[[#This Row],[Hour]:[Hour]]&gt;=AA$2),1,0)</f>
        <v>0</v>
      </c>
      <c r="AB24" s="276" cm="1">
        <f t="array" ref="AB24">IF(AND(AB$2&lt;&gt;0,TblTech[[#This Row],[Hour]:[Hour]]&gt;=AB$2),1,0)</f>
        <v>0</v>
      </c>
      <c r="AC24" s="276" cm="1">
        <f t="array" ref="AC24">IF(AND(AC$2&lt;&gt;0,TblTech[[#This Row],[Hour]:[Hour]]&gt;=AC$2),1,0)</f>
        <v>0</v>
      </c>
      <c r="AD24" s="276" cm="1">
        <f t="array" ref="AD24">IF(AND(AD$2&lt;&gt;0,TblTech[[#This Row],[Hour]:[Hour]]&gt;=AD$2),1,0)</f>
        <v>0</v>
      </c>
      <c r="AE24" s="276" cm="1">
        <f t="array" ref="AE24">IF(AND(AE$2&lt;&gt;0,TblTech[[#This Row],[Hour]:[Hour]]&gt;=AE$2),1,0)</f>
        <v>0</v>
      </c>
      <c r="AF24" s="276" cm="1">
        <f t="array" ref="AF24">IF(AND(AF$2&lt;&gt;0,TblTech[[#This Row],[Hour]:[Hour]]&gt;=AF$2),1,0)</f>
        <v>0</v>
      </c>
      <c r="AG24" s="276" cm="1">
        <f t="array" ref="AG24">IF(AND(AG$2&lt;&gt;0,TblTech[[#This Row],[Hour]:[Hour]]&gt;=AG$2),1,0)</f>
        <v>0</v>
      </c>
      <c r="AH24" s="276" cm="1">
        <f t="array" ref="AH24">IF(AND(AH$2&lt;&gt;0,TblTech[[#This Row],[Hour]:[Hour]]&gt;=AH$2),1,0)</f>
        <v>0</v>
      </c>
      <c r="AI24" s="276" cm="1">
        <f t="array" ref="AI24">IF(AND(AI$2&lt;&gt;0,TblTech[[#This Row],[Hour]:[Hour]]&gt;=AI$2),1,0)</f>
        <v>0</v>
      </c>
      <c r="AJ24" s="276" cm="1">
        <f t="array" ref="AJ24">IF(AND(AJ$2&lt;&gt;0,TblTech[[#This Row],[Hour]:[Hour]]&gt;=AJ$2),1,0)</f>
        <v>0</v>
      </c>
      <c r="AK24" s="276" cm="1">
        <f t="array" ref="AK24">IF(AND(AK$2&lt;&gt;0,TblTech[[#This Row],[Hour]:[Hour]]&gt;=AK$2),1,0)</f>
        <v>0</v>
      </c>
      <c r="AL24" s="276" cm="1">
        <f t="array" ref="AL24">IF(AND(AL$2&lt;&gt;0,TblTech[[#This Row],[Hour]:[Hour]]&gt;=AL$2),1,0)</f>
        <v>0</v>
      </c>
      <c r="AM24" s="276" cm="1">
        <f t="array" ref="AM24">IF(AND(AM$2&lt;&gt;0,TblTech[[#This Row],[Hour]:[Hour]]&gt;=AM$2),1,0)</f>
        <v>0</v>
      </c>
      <c r="AN24" s="276" cm="1">
        <f t="array" ref="AN24">IF(AND(AN$2&lt;&gt;0,TblTech[[#This Row],[Hour]:[Hour]]&gt;=AN$2),1,0)</f>
        <v>0</v>
      </c>
      <c r="AO24" s="276" cm="1">
        <f t="array" ref="AO24">IF(AND(AO$2&lt;&gt;0,TblTech[[#This Row],[Hour]:[Hour]]&gt;=AO$2),1,0)</f>
        <v>0</v>
      </c>
      <c r="AP24" s="276" cm="1">
        <f t="array" ref="AP24">IF(AND(AP$2&lt;&gt;0,TblTech[[#This Row],[Hour]:[Hour]]&gt;=AP$2),1,0)</f>
        <v>0</v>
      </c>
      <c r="AQ24" s="276" cm="1">
        <f t="array" ref="AQ24">IF(AND(AQ$2&lt;&gt;0,TblTech[[#This Row],[Hour]:[Hour]]&gt;=AQ$2),1,0)</f>
        <v>0</v>
      </c>
      <c r="AR24" s="276" cm="1">
        <f t="array" ref="AR24">IF(AND(AR$2&lt;&gt;0,TblTech[[#This Row],[Hour]:[Hour]]&gt;=AR$2),1,0)</f>
        <v>0</v>
      </c>
      <c r="AS24" s="276" cm="1">
        <f t="array" ref="AS24">IF(AND(AS$2&lt;&gt;0,TblTech[[#This Row],[Hour]:[Hour]]&gt;=AS$2),1,0)</f>
        <v>0</v>
      </c>
      <c r="AT24" s="276" cm="1">
        <f t="array" ref="AT24">IF(AND(AT$2&lt;&gt;0,TblTech[[#This Row],[Hour]:[Hour]]&gt;=AT$2),1,0)</f>
        <v>0</v>
      </c>
      <c r="AU24" s="276" cm="1">
        <f t="array" ref="AU24">IF(AND(AU$2&lt;&gt;0,TblTech[[#This Row],[Hour]:[Hour]]&gt;=AU$2),1,0)</f>
        <v>0</v>
      </c>
      <c r="AV24" s="276" cm="1">
        <f t="array" ref="AV24">IF(AND(AV$2&lt;&gt;0,TblTech[[#This Row],[Hour]:[Hour]]&gt;=AV$2),1,0)</f>
        <v>0</v>
      </c>
      <c r="AW24" s="276" cm="1">
        <f t="array" ref="AW24">IF(AND(AW$2&lt;&gt;0,TblTech[[#This Row],[Hour]:[Hour]]&gt;=AW$2),1,0)</f>
        <v>0</v>
      </c>
      <c r="AX24" s="276" cm="1">
        <f t="array" ref="AX24">IF(AND(AX$2&lt;&gt;0,TblTech[[#This Row],[Hour]:[Hour]]&gt;=AX$2),1,0)</f>
        <v>0</v>
      </c>
      <c r="AY24" s="276" cm="1">
        <f t="array" ref="AY24">IF(AND(AY$2&lt;&gt;0,TblTech[[#This Row],[Hour]:[Hour]]&gt;=AY$2),1,0)</f>
        <v>0</v>
      </c>
      <c r="AZ24" s="276" cm="1">
        <f t="array" ref="AZ24">IF(AND(AZ$2&lt;&gt;0,TblTech[[#This Row],[Hour]:[Hour]]&gt;=AZ$2),1,0)</f>
        <v>0</v>
      </c>
      <c r="BA24" s="276" cm="1">
        <f t="array" ref="BA24">IF(AND(BA$2&lt;&gt;0,TblTech[[#This Row],[Hour]:[Hour]]&gt;=BA$2),1,0)</f>
        <v>0</v>
      </c>
      <c r="BB24" s="276" cm="1">
        <f t="array" ref="BB24">IF(AND(BB$2&lt;&gt;0,TblTech[[#This Row],[Hour]:[Hour]]&gt;=BB$2),1,0)</f>
        <v>0</v>
      </c>
      <c r="BC24" s="276" cm="1">
        <f t="array" ref="BC24">IF(AND(BC$2&lt;&gt;0,TblTech[[#This Row],[Hour]:[Hour]]&gt;=BC$2),1,0)</f>
        <v>0</v>
      </c>
      <c r="BD24" s="276" cm="1">
        <f t="array" ref="BD24">IF(AND(BD$2&lt;&gt;0,TblTech[[#This Row],[Hour]:[Hour]]&gt;=BD$2),1,0)</f>
        <v>0</v>
      </c>
      <c r="BE24" s="276" cm="1">
        <f t="array" ref="BE24">IF(AND(BE$2&lt;&gt;0,TblTech[[#This Row],[Hour]:[Hour]]&gt;=BE$2),1,0)</f>
        <v>0</v>
      </c>
      <c r="BF24" s="276" cm="1">
        <f t="array" ref="BF24">IF(AND(BF$2&lt;&gt;0,TblTech[[#This Row],[Hour]:[Hour]]&gt;=BF$2),1,0)</f>
        <v>0</v>
      </c>
      <c r="BG24" s="276" cm="1">
        <f t="array" ref="BG24">IF(AND(BG$2&lt;&gt;0,TblTech[[#This Row],[Hour]:[Hour]]&gt;=BG$2),1,0)</f>
        <v>0</v>
      </c>
      <c r="BH24" s="276" cm="1">
        <f t="array" ref="BH24">IF(AND(BH$2&lt;&gt;0,TblTech[[#This Row],[Hour]:[Hour]]&gt;=BH$2),1,0)</f>
        <v>0</v>
      </c>
      <c r="BI24" s="276" cm="1">
        <f t="array" ref="BI24">IF(AND(BI$2&lt;&gt;0,TblTech[[#This Row],[Hour]:[Hour]]&gt;=BI$2),1,0)</f>
        <v>0</v>
      </c>
      <c r="BJ24" s="276" cm="1">
        <f t="array" ref="BJ24">IF(AND(BJ$2&lt;&gt;0,TblTech[[#This Row],[Hour]:[Hour]]&gt;=BJ$2),1,0)</f>
        <v>0</v>
      </c>
      <c r="BK24" s="276" cm="1">
        <f t="array" ref="BK24">IF(AND(BK$2&lt;&gt;0,TblTech[[#This Row],[Hour]:[Hour]]&gt;=BK$2),1,0)</f>
        <v>0</v>
      </c>
      <c r="BL24" s="276" cm="1">
        <f t="array" ref="BL24">IF(AND(BL$2&lt;&gt;0,TblTech[[#This Row],[Hour]:[Hour]]&gt;=BL$2),1,0)</f>
        <v>0</v>
      </c>
      <c r="BM24" s="276" cm="1">
        <f t="array" ref="BM24">IF(AND(BM$2&lt;&gt;0,TblTech[[#This Row],[Hour]:[Hour]]&gt;=BM$2),1,0)</f>
        <v>0</v>
      </c>
      <c r="BN24" s="276" cm="1">
        <f t="array" ref="BN24">IF(AND(BN$2&lt;&gt;0,TblTech[[#This Row],[Hour]:[Hour]]&gt;=BN$2),1,0)</f>
        <v>0</v>
      </c>
      <c r="BO24" s="276" cm="1">
        <f t="array" ref="BO24">IF(AND(BO$2&lt;&gt;0,TblTech[[#This Row],[Hour]:[Hour]]&gt;=BO$2),1,0)</f>
        <v>0</v>
      </c>
      <c r="BP24" s="276" cm="1">
        <f t="array" ref="BP24">IF(AND(BP$2&lt;&gt;0,TblTech[[#This Row],[Hour]:[Hour]]&gt;=BP$2),1,0)</f>
        <v>0</v>
      </c>
      <c r="BQ24" s="276" cm="1">
        <f t="array" ref="BQ24">IF(AND(BQ$2&lt;&gt;0,TblTech[[#This Row],[Hour]:[Hour]]&gt;=BQ$2),1,0)</f>
        <v>0</v>
      </c>
      <c r="BR24" s="276" cm="1">
        <f t="array" ref="BR24">IF(AND(BR$2&lt;&gt;0,TblTech[[#This Row],[Hour]:[Hour]]&gt;=BR$2),1,0)</f>
        <v>0</v>
      </c>
      <c r="BS24" s="276" cm="1">
        <f t="array" ref="BS24">IF(AND(BS$2&lt;&gt;0,TblTech[[#This Row],[Hour]:[Hour]]&gt;=BS$2),1,0)</f>
        <v>0</v>
      </c>
      <c r="BT24" s="276" cm="1">
        <f t="array" ref="BT24">IF(AND(BT$2&lt;&gt;0,TblTech[[#This Row],[Hour]:[Hour]]&gt;=BT$2),1,0)</f>
        <v>0</v>
      </c>
      <c r="BU24" s="276" cm="1">
        <f t="array" ref="BU24">IF(AND(BU$2&lt;&gt;0,TblTech[[#This Row],[Hour]:[Hour]]&gt;=BU$2),1,0)</f>
        <v>0</v>
      </c>
      <c r="BV24" s="276" cm="1">
        <f t="array" ref="BV24">IF(AND(BV$2&lt;&gt;0,TblTech[[#This Row],[Hour]:[Hour]]&gt;=BV$2),1,0)</f>
        <v>0</v>
      </c>
      <c r="BW24" s="276" cm="1">
        <f t="array" ref="BW24">IF(AND(BW$2&lt;&gt;0,TblTech[[#This Row],[Hour]:[Hour]]&gt;=BW$2),1,0)</f>
        <v>0</v>
      </c>
      <c r="BX24" s="276" cm="1">
        <f t="array" ref="BX24">IF(AND(BX$2&lt;&gt;0,TblTech[[#This Row],[Hour]:[Hour]]&gt;=BX$2),1,0)</f>
        <v>0</v>
      </c>
      <c r="BY24" s="276" cm="1">
        <f t="array" ref="BY24">IF(AND(BY$2&lt;&gt;0,TblTech[[#This Row],[Hour]:[Hour]]&gt;=BY$2),1,0)</f>
        <v>0</v>
      </c>
      <c r="BZ24" s="276" cm="1">
        <f t="array" ref="BZ24">IF(AND(BZ$2&lt;&gt;0,TblTech[[#This Row],[Hour]:[Hour]]&gt;=BZ$2),1,0)</f>
        <v>0</v>
      </c>
      <c r="CA24" s="377">
        <f>IFERROR(INDEX($H$4:$H$79,MATCH(INDEX(TblTech[[#Headers],[1-1]:[11-1]],1,MATCH(TblTech[[#This Row],[Hour]],$M$2:$BZ$2,0)),$G$4:$G$79,0)),)</f>
        <v>0</v>
      </c>
    </row>
    <row r="25" spans="1:79" x14ac:dyDescent="0.2">
      <c r="A25" s="268">
        <f>TblRezone[[#This Row],[Hour]]</f>
        <v>22</v>
      </c>
      <c r="B25" s="269">
        <f ca="1">TblExplore[[#This Row],[Land-DB]]</f>
        <v>110</v>
      </c>
      <c r="C25" s="270">
        <f ca="1">TblProd[[#This Row],[Techpoints]]</f>
        <v>0</v>
      </c>
      <c r="D25" s="270">
        <f ca="1">TblProd[[#This Row],[Required]]</f>
        <v>3750</v>
      </c>
      <c r="E25" s="271"/>
      <c r="F25" s="272"/>
      <c r="G25" s="273" t="s">
        <v>564</v>
      </c>
      <c r="H25" s="274" t="s">
        <v>697</v>
      </c>
      <c r="I25" s="273" t="s">
        <v>565</v>
      </c>
      <c r="J25" s="269"/>
      <c r="K25" s="93">
        <f ca="1">IF(TblTech[[#This Row],[Sum of tech]]&lt;&gt;OFFSET(TblTech[[#This Row],[Sum of tech]],-1,0),1,0)</f>
        <v>0</v>
      </c>
      <c r="L25" s="275">
        <f>COUNTIF(TblTech[[#This Row],[1-1]:[11-1]],1)</f>
        <v>0</v>
      </c>
      <c r="M25" s="276" cm="1">
        <f t="array" ref="M25">IF(AND(M$2&lt;&gt;0,TblTech[[#This Row],[Hour]:[Hour]]&gt;=M$2),1,0)</f>
        <v>0</v>
      </c>
      <c r="N25" s="276" cm="1">
        <f t="array" ref="N25">IF(AND(N$2&lt;&gt;0,TblTech[[#This Row],[Hour]:[Hour]]&gt;=N$2),1,0)</f>
        <v>0</v>
      </c>
      <c r="O25" s="276" cm="1">
        <f t="array" ref="O25">IF(AND(O$2&lt;&gt;0,TblTech[[#This Row],[Hour]:[Hour]]&gt;=O$2),1,0)</f>
        <v>0</v>
      </c>
      <c r="P25" s="276" cm="1">
        <f t="array" ref="P25">IF(AND(P$2&lt;&gt;0,TblTech[[#This Row],[Hour]:[Hour]]&gt;=P$2),1,0)</f>
        <v>0</v>
      </c>
      <c r="Q25" s="276" cm="1">
        <f t="array" ref="Q25">IF(AND(Q$2&lt;&gt;0,TblTech[[#This Row],[Hour]:[Hour]]&gt;=Q$2),1,0)</f>
        <v>0</v>
      </c>
      <c r="R25" s="276" cm="1">
        <f t="array" ref="R25">IF(AND(R$2&lt;&gt;0,TblTech[[#This Row],[Hour]:[Hour]]&gt;=R$2),1,0)</f>
        <v>0</v>
      </c>
      <c r="S25" s="276" cm="1">
        <f t="array" ref="S25">IF(AND(S$2&lt;&gt;0,TblTech[[#This Row],[Hour]:[Hour]]&gt;=S$2),1,0)</f>
        <v>0</v>
      </c>
      <c r="T25" s="276" cm="1">
        <f t="array" ref="T25">IF(AND(T$2&lt;&gt;0,TblTech[[#This Row],[Hour]:[Hour]]&gt;=T$2),1,0)</f>
        <v>0</v>
      </c>
      <c r="U25" s="276" cm="1">
        <f t="array" ref="U25">IF(AND(U$2&lt;&gt;0,TblTech[[#This Row],[Hour]:[Hour]]&gt;=U$2),1,0)</f>
        <v>0</v>
      </c>
      <c r="V25" s="276" cm="1">
        <f t="array" ref="V25">IF(AND(V$2&lt;&gt;0,TblTech[[#This Row],[Hour]:[Hour]]&gt;=V$2),1,0)</f>
        <v>0</v>
      </c>
      <c r="W25" s="276" cm="1">
        <f t="array" ref="W25">IF(AND(W$2&lt;&gt;0,TblTech[[#This Row],[Hour]:[Hour]]&gt;=W$2),1,0)</f>
        <v>0</v>
      </c>
      <c r="X25" s="276" cm="1">
        <f t="array" ref="X25">IF(AND(X$2&lt;&gt;0,TblTech[[#This Row],[Hour]:[Hour]]&gt;=X$2),1,0)</f>
        <v>0</v>
      </c>
      <c r="Y25" s="276" cm="1">
        <f t="array" ref="Y25">IF(AND(Y$2&lt;&gt;0,TblTech[[#This Row],[Hour]:[Hour]]&gt;=Y$2),1,0)</f>
        <v>0</v>
      </c>
      <c r="Z25" s="276" cm="1">
        <f t="array" ref="Z25">IF(AND(Z$2&lt;&gt;0,TblTech[[#This Row],[Hour]:[Hour]]&gt;=Z$2),1,0)</f>
        <v>0</v>
      </c>
      <c r="AA25" s="276" cm="1">
        <f t="array" ref="AA25">IF(AND(AA$2&lt;&gt;0,TblTech[[#This Row],[Hour]:[Hour]]&gt;=AA$2),1,0)</f>
        <v>0</v>
      </c>
      <c r="AB25" s="276" cm="1">
        <f t="array" ref="AB25">IF(AND(AB$2&lt;&gt;0,TblTech[[#This Row],[Hour]:[Hour]]&gt;=AB$2),1,0)</f>
        <v>0</v>
      </c>
      <c r="AC25" s="276" cm="1">
        <f t="array" ref="AC25">IF(AND(AC$2&lt;&gt;0,TblTech[[#This Row],[Hour]:[Hour]]&gt;=AC$2),1,0)</f>
        <v>0</v>
      </c>
      <c r="AD25" s="276" cm="1">
        <f t="array" ref="AD25">IF(AND(AD$2&lt;&gt;0,TblTech[[#This Row],[Hour]:[Hour]]&gt;=AD$2),1,0)</f>
        <v>0</v>
      </c>
      <c r="AE25" s="276" cm="1">
        <f t="array" ref="AE25">IF(AND(AE$2&lt;&gt;0,TblTech[[#This Row],[Hour]:[Hour]]&gt;=AE$2),1,0)</f>
        <v>0</v>
      </c>
      <c r="AF25" s="276" cm="1">
        <f t="array" ref="AF25">IF(AND(AF$2&lt;&gt;0,TblTech[[#This Row],[Hour]:[Hour]]&gt;=AF$2),1,0)</f>
        <v>0</v>
      </c>
      <c r="AG25" s="276" cm="1">
        <f t="array" ref="AG25">IF(AND(AG$2&lt;&gt;0,TblTech[[#This Row],[Hour]:[Hour]]&gt;=AG$2),1,0)</f>
        <v>0</v>
      </c>
      <c r="AH25" s="276" cm="1">
        <f t="array" ref="AH25">IF(AND(AH$2&lt;&gt;0,TblTech[[#This Row],[Hour]:[Hour]]&gt;=AH$2),1,0)</f>
        <v>0</v>
      </c>
      <c r="AI25" s="276" cm="1">
        <f t="array" ref="AI25">IF(AND(AI$2&lt;&gt;0,TblTech[[#This Row],[Hour]:[Hour]]&gt;=AI$2),1,0)</f>
        <v>0</v>
      </c>
      <c r="AJ25" s="276" cm="1">
        <f t="array" ref="AJ25">IF(AND(AJ$2&lt;&gt;0,TblTech[[#This Row],[Hour]:[Hour]]&gt;=AJ$2),1,0)</f>
        <v>0</v>
      </c>
      <c r="AK25" s="276" cm="1">
        <f t="array" ref="AK25">IF(AND(AK$2&lt;&gt;0,TblTech[[#This Row],[Hour]:[Hour]]&gt;=AK$2),1,0)</f>
        <v>0</v>
      </c>
      <c r="AL25" s="276" cm="1">
        <f t="array" ref="AL25">IF(AND(AL$2&lt;&gt;0,TblTech[[#This Row],[Hour]:[Hour]]&gt;=AL$2),1,0)</f>
        <v>0</v>
      </c>
      <c r="AM25" s="276" cm="1">
        <f t="array" ref="AM25">IF(AND(AM$2&lt;&gt;0,TblTech[[#This Row],[Hour]:[Hour]]&gt;=AM$2),1,0)</f>
        <v>0</v>
      </c>
      <c r="AN25" s="276" cm="1">
        <f t="array" ref="AN25">IF(AND(AN$2&lt;&gt;0,TblTech[[#This Row],[Hour]:[Hour]]&gt;=AN$2),1,0)</f>
        <v>0</v>
      </c>
      <c r="AO25" s="276" cm="1">
        <f t="array" ref="AO25">IF(AND(AO$2&lt;&gt;0,TblTech[[#This Row],[Hour]:[Hour]]&gt;=AO$2),1,0)</f>
        <v>0</v>
      </c>
      <c r="AP25" s="276" cm="1">
        <f t="array" ref="AP25">IF(AND(AP$2&lt;&gt;0,TblTech[[#This Row],[Hour]:[Hour]]&gt;=AP$2),1,0)</f>
        <v>0</v>
      </c>
      <c r="AQ25" s="276" cm="1">
        <f t="array" ref="AQ25">IF(AND(AQ$2&lt;&gt;0,TblTech[[#This Row],[Hour]:[Hour]]&gt;=AQ$2),1,0)</f>
        <v>0</v>
      </c>
      <c r="AR25" s="276" cm="1">
        <f t="array" ref="AR25">IF(AND(AR$2&lt;&gt;0,TblTech[[#This Row],[Hour]:[Hour]]&gt;=AR$2),1,0)</f>
        <v>0</v>
      </c>
      <c r="AS25" s="276" cm="1">
        <f t="array" ref="AS25">IF(AND(AS$2&lt;&gt;0,TblTech[[#This Row],[Hour]:[Hour]]&gt;=AS$2),1,0)</f>
        <v>0</v>
      </c>
      <c r="AT25" s="276" cm="1">
        <f t="array" ref="AT25">IF(AND(AT$2&lt;&gt;0,TblTech[[#This Row],[Hour]:[Hour]]&gt;=AT$2),1,0)</f>
        <v>0</v>
      </c>
      <c r="AU25" s="276" cm="1">
        <f t="array" ref="AU25">IF(AND(AU$2&lt;&gt;0,TblTech[[#This Row],[Hour]:[Hour]]&gt;=AU$2),1,0)</f>
        <v>0</v>
      </c>
      <c r="AV25" s="276" cm="1">
        <f t="array" ref="AV25">IF(AND(AV$2&lt;&gt;0,TblTech[[#This Row],[Hour]:[Hour]]&gt;=AV$2),1,0)</f>
        <v>0</v>
      </c>
      <c r="AW25" s="276" cm="1">
        <f t="array" ref="AW25">IF(AND(AW$2&lt;&gt;0,TblTech[[#This Row],[Hour]:[Hour]]&gt;=AW$2),1,0)</f>
        <v>0</v>
      </c>
      <c r="AX25" s="276" cm="1">
        <f t="array" ref="AX25">IF(AND(AX$2&lt;&gt;0,TblTech[[#This Row],[Hour]:[Hour]]&gt;=AX$2),1,0)</f>
        <v>0</v>
      </c>
      <c r="AY25" s="276" cm="1">
        <f t="array" ref="AY25">IF(AND(AY$2&lt;&gt;0,TblTech[[#This Row],[Hour]:[Hour]]&gt;=AY$2),1,0)</f>
        <v>0</v>
      </c>
      <c r="AZ25" s="276" cm="1">
        <f t="array" ref="AZ25">IF(AND(AZ$2&lt;&gt;0,TblTech[[#This Row],[Hour]:[Hour]]&gt;=AZ$2),1,0)</f>
        <v>0</v>
      </c>
      <c r="BA25" s="276" cm="1">
        <f t="array" ref="BA25">IF(AND(BA$2&lt;&gt;0,TblTech[[#This Row],[Hour]:[Hour]]&gt;=BA$2),1,0)</f>
        <v>0</v>
      </c>
      <c r="BB25" s="276" cm="1">
        <f t="array" ref="BB25">IF(AND(BB$2&lt;&gt;0,TblTech[[#This Row],[Hour]:[Hour]]&gt;=BB$2),1,0)</f>
        <v>0</v>
      </c>
      <c r="BC25" s="276" cm="1">
        <f t="array" ref="BC25">IF(AND(BC$2&lt;&gt;0,TblTech[[#This Row],[Hour]:[Hour]]&gt;=BC$2),1,0)</f>
        <v>0</v>
      </c>
      <c r="BD25" s="276" cm="1">
        <f t="array" ref="BD25">IF(AND(BD$2&lt;&gt;0,TblTech[[#This Row],[Hour]:[Hour]]&gt;=BD$2),1,0)</f>
        <v>0</v>
      </c>
      <c r="BE25" s="276" cm="1">
        <f t="array" ref="BE25">IF(AND(BE$2&lt;&gt;0,TblTech[[#This Row],[Hour]:[Hour]]&gt;=BE$2),1,0)</f>
        <v>0</v>
      </c>
      <c r="BF25" s="276" cm="1">
        <f t="array" ref="BF25">IF(AND(BF$2&lt;&gt;0,TblTech[[#This Row],[Hour]:[Hour]]&gt;=BF$2),1,0)</f>
        <v>0</v>
      </c>
      <c r="BG25" s="276" cm="1">
        <f t="array" ref="BG25">IF(AND(BG$2&lt;&gt;0,TblTech[[#This Row],[Hour]:[Hour]]&gt;=BG$2),1,0)</f>
        <v>0</v>
      </c>
      <c r="BH25" s="276" cm="1">
        <f t="array" ref="BH25">IF(AND(BH$2&lt;&gt;0,TblTech[[#This Row],[Hour]:[Hour]]&gt;=BH$2),1,0)</f>
        <v>0</v>
      </c>
      <c r="BI25" s="276" cm="1">
        <f t="array" ref="BI25">IF(AND(BI$2&lt;&gt;0,TblTech[[#This Row],[Hour]:[Hour]]&gt;=BI$2),1,0)</f>
        <v>0</v>
      </c>
      <c r="BJ25" s="276" cm="1">
        <f t="array" ref="BJ25">IF(AND(BJ$2&lt;&gt;0,TblTech[[#This Row],[Hour]:[Hour]]&gt;=BJ$2),1,0)</f>
        <v>0</v>
      </c>
      <c r="BK25" s="276" cm="1">
        <f t="array" ref="BK25">IF(AND(BK$2&lt;&gt;0,TblTech[[#This Row],[Hour]:[Hour]]&gt;=BK$2),1,0)</f>
        <v>0</v>
      </c>
      <c r="BL25" s="276" cm="1">
        <f t="array" ref="BL25">IF(AND(BL$2&lt;&gt;0,TblTech[[#This Row],[Hour]:[Hour]]&gt;=BL$2),1,0)</f>
        <v>0</v>
      </c>
      <c r="BM25" s="276" cm="1">
        <f t="array" ref="BM25">IF(AND(BM$2&lt;&gt;0,TblTech[[#This Row],[Hour]:[Hour]]&gt;=BM$2),1,0)</f>
        <v>0</v>
      </c>
      <c r="BN25" s="276" cm="1">
        <f t="array" ref="BN25">IF(AND(BN$2&lt;&gt;0,TblTech[[#This Row],[Hour]:[Hour]]&gt;=BN$2),1,0)</f>
        <v>0</v>
      </c>
      <c r="BO25" s="276" cm="1">
        <f t="array" ref="BO25">IF(AND(BO$2&lt;&gt;0,TblTech[[#This Row],[Hour]:[Hour]]&gt;=BO$2),1,0)</f>
        <v>0</v>
      </c>
      <c r="BP25" s="276" cm="1">
        <f t="array" ref="BP25">IF(AND(BP$2&lt;&gt;0,TblTech[[#This Row],[Hour]:[Hour]]&gt;=BP$2),1,0)</f>
        <v>0</v>
      </c>
      <c r="BQ25" s="276" cm="1">
        <f t="array" ref="BQ25">IF(AND(BQ$2&lt;&gt;0,TblTech[[#This Row],[Hour]:[Hour]]&gt;=BQ$2),1,0)</f>
        <v>0</v>
      </c>
      <c r="BR25" s="276" cm="1">
        <f t="array" ref="BR25">IF(AND(BR$2&lt;&gt;0,TblTech[[#This Row],[Hour]:[Hour]]&gt;=BR$2),1,0)</f>
        <v>0</v>
      </c>
      <c r="BS25" s="276" cm="1">
        <f t="array" ref="BS25">IF(AND(BS$2&lt;&gt;0,TblTech[[#This Row],[Hour]:[Hour]]&gt;=BS$2),1,0)</f>
        <v>0</v>
      </c>
      <c r="BT25" s="276" cm="1">
        <f t="array" ref="BT25">IF(AND(BT$2&lt;&gt;0,TblTech[[#This Row],[Hour]:[Hour]]&gt;=BT$2),1,0)</f>
        <v>0</v>
      </c>
      <c r="BU25" s="276" cm="1">
        <f t="array" ref="BU25">IF(AND(BU$2&lt;&gt;0,TblTech[[#This Row],[Hour]:[Hour]]&gt;=BU$2),1,0)</f>
        <v>0</v>
      </c>
      <c r="BV25" s="276" cm="1">
        <f t="array" ref="BV25">IF(AND(BV$2&lt;&gt;0,TblTech[[#This Row],[Hour]:[Hour]]&gt;=BV$2),1,0)</f>
        <v>0</v>
      </c>
      <c r="BW25" s="276" cm="1">
        <f t="array" ref="BW25">IF(AND(BW$2&lt;&gt;0,TblTech[[#This Row],[Hour]:[Hour]]&gt;=BW$2),1,0)</f>
        <v>0</v>
      </c>
      <c r="BX25" s="276" cm="1">
        <f t="array" ref="BX25">IF(AND(BX$2&lt;&gt;0,TblTech[[#This Row],[Hour]:[Hour]]&gt;=BX$2),1,0)</f>
        <v>0</v>
      </c>
      <c r="BY25" s="276" cm="1">
        <f t="array" ref="BY25">IF(AND(BY$2&lt;&gt;0,TblTech[[#This Row],[Hour]:[Hour]]&gt;=BY$2),1,0)</f>
        <v>0</v>
      </c>
      <c r="BZ25" s="276" cm="1">
        <f t="array" ref="BZ25">IF(AND(BZ$2&lt;&gt;0,TblTech[[#This Row],[Hour]:[Hour]]&gt;=BZ$2),1,0)</f>
        <v>0</v>
      </c>
      <c r="CA25" s="377">
        <f>IFERROR(INDEX($H$4:$H$79,MATCH(INDEX(TblTech[[#Headers],[1-1]:[11-1]],1,MATCH(TblTech[[#This Row],[Hour]],$M$2:$BZ$2,0)),$G$4:$G$79,0)),)</f>
        <v>0</v>
      </c>
    </row>
    <row r="26" spans="1:79" x14ac:dyDescent="0.2">
      <c r="A26" s="268">
        <f>TblRezone[[#This Row],[Hour]]</f>
        <v>23</v>
      </c>
      <c r="B26" s="269">
        <f ca="1">TblExplore[[#This Row],[Land-DB]]</f>
        <v>110</v>
      </c>
      <c r="C26" s="270">
        <f ca="1">TblProd[[#This Row],[Techpoints]]</f>
        <v>0</v>
      </c>
      <c r="D26" s="270">
        <f ca="1">TblProd[[#This Row],[Required]]</f>
        <v>3750</v>
      </c>
      <c r="E26" s="271"/>
      <c r="F26" s="272"/>
      <c r="G26" s="273"/>
      <c r="H26" s="274"/>
      <c r="I26" s="273"/>
      <c r="J26" s="269"/>
      <c r="K26" s="93">
        <f ca="1">IF(TblTech[[#This Row],[Sum of tech]]&lt;&gt;OFFSET(TblTech[[#This Row],[Sum of tech]],-1,0),1,0)</f>
        <v>0</v>
      </c>
      <c r="L26" s="275">
        <f>COUNTIF(TblTech[[#This Row],[1-1]:[11-1]],1)</f>
        <v>0</v>
      </c>
      <c r="M26" s="276" cm="1">
        <f t="array" ref="M26">IF(AND(M$2&lt;&gt;0,TblTech[[#This Row],[Hour]:[Hour]]&gt;=M$2),1,0)</f>
        <v>0</v>
      </c>
      <c r="N26" s="276" cm="1">
        <f t="array" ref="N26">IF(AND(N$2&lt;&gt;0,TblTech[[#This Row],[Hour]:[Hour]]&gt;=N$2),1,0)</f>
        <v>0</v>
      </c>
      <c r="O26" s="276" cm="1">
        <f t="array" ref="O26">IF(AND(O$2&lt;&gt;0,TblTech[[#This Row],[Hour]:[Hour]]&gt;=O$2),1,0)</f>
        <v>0</v>
      </c>
      <c r="P26" s="276" cm="1">
        <f t="array" ref="P26">IF(AND(P$2&lt;&gt;0,TblTech[[#This Row],[Hour]:[Hour]]&gt;=P$2),1,0)</f>
        <v>0</v>
      </c>
      <c r="Q26" s="276" cm="1">
        <f t="array" ref="Q26">IF(AND(Q$2&lt;&gt;0,TblTech[[#This Row],[Hour]:[Hour]]&gt;=Q$2),1,0)</f>
        <v>0</v>
      </c>
      <c r="R26" s="276" cm="1">
        <f t="array" ref="R26">IF(AND(R$2&lt;&gt;0,TblTech[[#This Row],[Hour]:[Hour]]&gt;=R$2),1,0)</f>
        <v>0</v>
      </c>
      <c r="S26" s="276" cm="1">
        <f t="array" ref="S26">IF(AND(S$2&lt;&gt;0,TblTech[[#This Row],[Hour]:[Hour]]&gt;=S$2),1,0)</f>
        <v>0</v>
      </c>
      <c r="T26" s="276" cm="1">
        <f t="array" ref="T26">IF(AND(T$2&lt;&gt;0,TblTech[[#This Row],[Hour]:[Hour]]&gt;=T$2),1,0)</f>
        <v>0</v>
      </c>
      <c r="U26" s="276" cm="1">
        <f t="array" ref="U26">IF(AND(U$2&lt;&gt;0,TblTech[[#This Row],[Hour]:[Hour]]&gt;=U$2),1,0)</f>
        <v>0</v>
      </c>
      <c r="V26" s="276" cm="1">
        <f t="array" ref="V26">IF(AND(V$2&lt;&gt;0,TblTech[[#This Row],[Hour]:[Hour]]&gt;=V$2),1,0)</f>
        <v>0</v>
      </c>
      <c r="W26" s="276" cm="1">
        <f t="array" ref="W26">IF(AND(W$2&lt;&gt;0,TblTech[[#This Row],[Hour]:[Hour]]&gt;=W$2),1,0)</f>
        <v>0</v>
      </c>
      <c r="X26" s="276" cm="1">
        <f t="array" ref="X26">IF(AND(X$2&lt;&gt;0,TblTech[[#This Row],[Hour]:[Hour]]&gt;=X$2),1,0)</f>
        <v>0</v>
      </c>
      <c r="Y26" s="276" cm="1">
        <f t="array" ref="Y26">IF(AND(Y$2&lt;&gt;0,TblTech[[#This Row],[Hour]:[Hour]]&gt;=Y$2),1,0)</f>
        <v>0</v>
      </c>
      <c r="Z26" s="276" cm="1">
        <f t="array" ref="Z26">IF(AND(Z$2&lt;&gt;0,TblTech[[#This Row],[Hour]:[Hour]]&gt;=Z$2),1,0)</f>
        <v>0</v>
      </c>
      <c r="AA26" s="276" cm="1">
        <f t="array" ref="AA26">IF(AND(AA$2&lt;&gt;0,TblTech[[#This Row],[Hour]:[Hour]]&gt;=AA$2),1,0)</f>
        <v>0</v>
      </c>
      <c r="AB26" s="276" cm="1">
        <f t="array" ref="AB26">IF(AND(AB$2&lt;&gt;0,TblTech[[#This Row],[Hour]:[Hour]]&gt;=AB$2),1,0)</f>
        <v>0</v>
      </c>
      <c r="AC26" s="276" cm="1">
        <f t="array" ref="AC26">IF(AND(AC$2&lt;&gt;0,TblTech[[#This Row],[Hour]:[Hour]]&gt;=AC$2),1,0)</f>
        <v>0</v>
      </c>
      <c r="AD26" s="276" cm="1">
        <f t="array" ref="AD26">IF(AND(AD$2&lt;&gt;0,TblTech[[#This Row],[Hour]:[Hour]]&gt;=AD$2),1,0)</f>
        <v>0</v>
      </c>
      <c r="AE26" s="276" cm="1">
        <f t="array" ref="AE26">IF(AND(AE$2&lt;&gt;0,TblTech[[#This Row],[Hour]:[Hour]]&gt;=AE$2),1,0)</f>
        <v>0</v>
      </c>
      <c r="AF26" s="276" cm="1">
        <f t="array" ref="AF26">IF(AND(AF$2&lt;&gt;0,TblTech[[#This Row],[Hour]:[Hour]]&gt;=AF$2),1,0)</f>
        <v>0</v>
      </c>
      <c r="AG26" s="276" cm="1">
        <f t="array" ref="AG26">IF(AND(AG$2&lt;&gt;0,TblTech[[#This Row],[Hour]:[Hour]]&gt;=AG$2),1,0)</f>
        <v>0</v>
      </c>
      <c r="AH26" s="276" cm="1">
        <f t="array" ref="AH26">IF(AND(AH$2&lt;&gt;0,TblTech[[#This Row],[Hour]:[Hour]]&gt;=AH$2),1,0)</f>
        <v>0</v>
      </c>
      <c r="AI26" s="276" cm="1">
        <f t="array" ref="AI26">IF(AND(AI$2&lt;&gt;0,TblTech[[#This Row],[Hour]:[Hour]]&gt;=AI$2),1,0)</f>
        <v>0</v>
      </c>
      <c r="AJ26" s="276" cm="1">
        <f t="array" ref="AJ26">IF(AND(AJ$2&lt;&gt;0,TblTech[[#This Row],[Hour]:[Hour]]&gt;=AJ$2),1,0)</f>
        <v>0</v>
      </c>
      <c r="AK26" s="276" cm="1">
        <f t="array" ref="AK26">IF(AND(AK$2&lt;&gt;0,TblTech[[#This Row],[Hour]:[Hour]]&gt;=AK$2),1,0)</f>
        <v>0</v>
      </c>
      <c r="AL26" s="276" cm="1">
        <f t="array" ref="AL26">IF(AND(AL$2&lt;&gt;0,TblTech[[#This Row],[Hour]:[Hour]]&gt;=AL$2),1,0)</f>
        <v>0</v>
      </c>
      <c r="AM26" s="276" cm="1">
        <f t="array" ref="AM26">IF(AND(AM$2&lt;&gt;0,TblTech[[#This Row],[Hour]:[Hour]]&gt;=AM$2),1,0)</f>
        <v>0</v>
      </c>
      <c r="AN26" s="276" cm="1">
        <f t="array" ref="AN26">IF(AND(AN$2&lt;&gt;0,TblTech[[#This Row],[Hour]:[Hour]]&gt;=AN$2),1,0)</f>
        <v>0</v>
      </c>
      <c r="AO26" s="276" cm="1">
        <f t="array" ref="AO26">IF(AND(AO$2&lt;&gt;0,TblTech[[#This Row],[Hour]:[Hour]]&gt;=AO$2),1,0)</f>
        <v>0</v>
      </c>
      <c r="AP26" s="276" cm="1">
        <f t="array" ref="AP26">IF(AND(AP$2&lt;&gt;0,TblTech[[#This Row],[Hour]:[Hour]]&gt;=AP$2),1,0)</f>
        <v>0</v>
      </c>
      <c r="AQ26" s="276" cm="1">
        <f t="array" ref="AQ26">IF(AND(AQ$2&lt;&gt;0,TblTech[[#This Row],[Hour]:[Hour]]&gt;=AQ$2),1,0)</f>
        <v>0</v>
      </c>
      <c r="AR26" s="276" cm="1">
        <f t="array" ref="AR26">IF(AND(AR$2&lt;&gt;0,TblTech[[#This Row],[Hour]:[Hour]]&gt;=AR$2),1,0)</f>
        <v>0</v>
      </c>
      <c r="AS26" s="276" cm="1">
        <f t="array" ref="AS26">IF(AND(AS$2&lt;&gt;0,TblTech[[#This Row],[Hour]:[Hour]]&gt;=AS$2),1,0)</f>
        <v>0</v>
      </c>
      <c r="AT26" s="276" cm="1">
        <f t="array" ref="AT26">IF(AND(AT$2&lt;&gt;0,TblTech[[#This Row],[Hour]:[Hour]]&gt;=AT$2),1,0)</f>
        <v>0</v>
      </c>
      <c r="AU26" s="276" cm="1">
        <f t="array" ref="AU26">IF(AND(AU$2&lt;&gt;0,TblTech[[#This Row],[Hour]:[Hour]]&gt;=AU$2),1,0)</f>
        <v>0</v>
      </c>
      <c r="AV26" s="276" cm="1">
        <f t="array" ref="AV26">IF(AND(AV$2&lt;&gt;0,TblTech[[#This Row],[Hour]:[Hour]]&gt;=AV$2),1,0)</f>
        <v>0</v>
      </c>
      <c r="AW26" s="276" cm="1">
        <f t="array" ref="AW26">IF(AND(AW$2&lt;&gt;0,TblTech[[#This Row],[Hour]:[Hour]]&gt;=AW$2),1,0)</f>
        <v>0</v>
      </c>
      <c r="AX26" s="276" cm="1">
        <f t="array" ref="AX26">IF(AND(AX$2&lt;&gt;0,TblTech[[#This Row],[Hour]:[Hour]]&gt;=AX$2),1,0)</f>
        <v>0</v>
      </c>
      <c r="AY26" s="276" cm="1">
        <f t="array" ref="AY26">IF(AND(AY$2&lt;&gt;0,TblTech[[#This Row],[Hour]:[Hour]]&gt;=AY$2),1,0)</f>
        <v>0</v>
      </c>
      <c r="AZ26" s="276" cm="1">
        <f t="array" ref="AZ26">IF(AND(AZ$2&lt;&gt;0,TblTech[[#This Row],[Hour]:[Hour]]&gt;=AZ$2),1,0)</f>
        <v>0</v>
      </c>
      <c r="BA26" s="276" cm="1">
        <f t="array" ref="BA26">IF(AND(BA$2&lt;&gt;0,TblTech[[#This Row],[Hour]:[Hour]]&gt;=BA$2),1,0)</f>
        <v>0</v>
      </c>
      <c r="BB26" s="276" cm="1">
        <f t="array" ref="BB26">IF(AND(BB$2&lt;&gt;0,TblTech[[#This Row],[Hour]:[Hour]]&gt;=BB$2),1,0)</f>
        <v>0</v>
      </c>
      <c r="BC26" s="276" cm="1">
        <f t="array" ref="BC26">IF(AND(BC$2&lt;&gt;0,TblTech[[#This Row],[Hour]:[Hour]]&gt;=BC$2),1,0)</f>
        <v>0</v>
      </c>
      <c r="BD26" s="276" cm="1">
        <f t="array" ref="BD26">IF(AND(BD$2&lt;&gt;0,TblTech[[#This Row],[Hour]:[Hour]]&gt;=BD$2),1,0)</f>
        <v>0</v>
      </c>
      <c r="BE26" s="276" cm="1">
        <f t="array" ref="BE26">IF(AND(BE$2&lt;&gt;0,TblTech[[#This Row],[Hour]:[Hour]]&gt;=BE$2),1,0)</f>
        <v>0</v>
      </c>
      <c r="BF26" s="276" cm="1">
        <f t="array" ref="BF26">IF(AND(BF$2&lt;&gt;0,TblTech[[#This Row],[Hour]:[Hour]]&gt;=BF$2),1,0)</f>
        <v>0</v>
      </c>
      <c r="BG26" s="276" cm="1">
        <f t="array" ref="BG26">IF(AND(BG$2&lt;&gt;0,TblTech[[#This Row],[Hour]:[Hour]]&gt;=BG$2),1,0)</f>
        <v>0</v>
      </c>
      <c r="BH26" s="276" cm="1">
        <f t="array" ref="BH26">IF(AND(BH$2&lt;&gt;0,TblTech[[#This Row],[Hour]:[Hour]]&gt;=BH$2),1,0)</f>
        <v>0</v>
      </c>
      <c r="BI26" s="276" cm="1">
        <f t="array" ref="BI26">IF(AND(BI$2&lt;&gt;0,TblTech[[#This Row],[Hour]:[Hour]]&gt;=BI$2),1,0)</f>
        <v>0</v>
      </c>
      <c r="BJ26" s="276" cm="1">
        <f t="array" ref="BJ26">IF(AND(BJ$2&lt;&gt;0,TblTech[[#This Row],[Hour]:[Hour]]&gt;=BJ$2),1,0)</f>
        <v>0</v>
      </c>
      <c r="BK26" s="276" cm="1">
        <f t="array" ref="BK26">IF(AND(BK$2&lt;&gt;0,TblTech[[#This Row],[Hour]:[Hour]]&gt;=BK$2),1,0)</f>
        <v>0</v>
      </c>
      <c r="BL26" s="276" cm="1">
        <f t="array" ref="BL26">IF(AND(BL$2&lt;&gt;0,TblTech[[#This Row],[Hour]:[Hour]]&gt;=BL$2),1,0)</f>
        <v>0</v>
      </c>
      <c r="BM26" s="276" cm="1">
        <f t="array" ref="BM26">IF(AND(BM$2&lt;&gt;0,TblTech[[#This Row],[Hour]:[Hour]]&gt;=BM$2),1,0)</f>
        <v>0</v>
      </c>
      <c r="BN26" s="276" cm="1">
        <f t="array" ref="BN26">IF(AND(BN$2&lt;&gt;0,TblTech[[#This Row],[Hour]:[Hour]]&gt;=BN$2),1,0)</f>
        <v>0</v>
      </c>
      <c r="BO26" s="276" cm="1">
        <f t="array" ref="BO26">IF(AND(BO$2&lt;&gt;0,TblTech[[#This Row],[Hour]:[Hour]]&gt;=BO$2),1,0)</f>
        <v>0</v>
      </c>
      <c r="BP26" s="276" cm="1">
        <f t="array" ref="BP26">IF(AND(BP$2&lt;&gt;0,TblTech[[#This Row],[Hour]:[Hour]]&gt;=BP$2),1,0)</f>
        <v>0</v>
      </c>
      <c r="BQ26" s="276" cm="1">
        <f t="array" ref="BQ26">IF(AND(BQ$2&lt;&gt;0,TblTech[[#This Row],[Hour]:[Hour]]&gt;=BQ$2),1,0)</f>
        <v>0</v>
      </c>
      <c r="BR26" s="276" cm="1">
        <f t="array" ref="BR26">IF(AND(BR$2&lt;&gt;0,TblTech[[#This Row],[Hour]:[Hour]]&gt;=BR$2),1,0)</f>
        <v>0</v>
      </c>
      <c r="BS26" s="276" cm="1">
        <f t="array" ref="BS26">IF(AND(BS$2&lt;&gt;0,TblTech[[#This Row],[Hour]:[Hour]]&gt;=BS$2),1,0)</f>
        <v>0</v>
      </c>
      <c r="BT26" s="276" cm="1">
        <f t="array" ref="BT26">IF(AND(BT$2&lt;&gt;0,TblTech[[#This Row],[Hour]:[Hour]]&gt;=BT$2),1,0)</f>
        <v>0</v>
      </c>
      <c r="BU26" s="276" cm="1">
        <f t="array" ref="BU26">IF(AND(BU$2&lt;&gt;0,TblTech[[#This Row],[Hour]:[Hour]]&gt;=BU$2),1,0)</f>
        <v>0</v>
      </c>
      <c r="BV26" s="276" cm="1">
        <f t="array" ref="BV26">IF(AND(BV$2&lt;&gt;0,TblTech[[#This Row],[Hour]:[Hour]]&gt;=BV$2),1,0)</f>
        <v>0</v>
      </c>
      <c r="BW26" s="276" cm="1">
        <f t="array" ref="BW26">IF(AND(BW$2&lt;&gt;0,TblTech[[#This Row],[Hour]:[Hour]]&gt;=BW$2),1,0)</f>
        <v>0</v>
      </c>
      <c r="BX26" s="276" cm="1">
        <f t="array" ref="BX26">IF(AND(BX$2&lt;&gt;0,TblTech[[#This Row],[Hour]:[Hour]]&gt;=BX$2),1,0)</f>
        <v>0</v>
      </c>
      <c r="BY26" s="276" cm="1">
        <f t="array" ref="BY26">IF(AND(BY$2&lt;&gt;0,TblTech[[#This Row],[Hour]:[Hour]]&gt;=BY$2),1,0)</f>
        <v>0</v>
      </c>
      <c r="BZ26" s="276" cm="1">
        <f t="array" ref="BZ26">IF(AND(BZ$2&lt;&gt;0,TblTech[[#This Row],[Hour]:[Hour]]&gt;=BZ$2),1,0)</f>
        <v>0</v>
      </c>
      <c r="CA26" s="377">
        <f>IFERROR(INDEX($H$4:$H$79,MATCH(INDEX(TblTech[[#Headers],[1-1]:[11-1]],1,MATCH(TblTech[[#This Row],[Hour]],$M$2:$BZ$2,0)),$G$4:$G$79,0)),)</f>
        <v>0</v>
      </c>
    </row>
    <row r="27" spans="1:79" x14ac:dyDescent="0.2">
      <c r="A27" s="268">
        <f>TblRezone[[#This Row],[Hour]]</f>
        <v>24</v>
      </c>
      <c r="B27" s="269">
        <f ca="1">TblExplore[[#This Row],[Land-DB]]</f>
        <v>110</v>
      </c>
      <c r="C27" s="270">
        <f ca="1">TblProd[[#This Row],[Techpoints]]</f>
        <v>0</v>
      </c>
      <c r="D27" s="270">
        <f ca="1">TblProd[[#This Row],[Required]]</f>
        <v>3750</v>
      </c>
      <c r="E27" s="271"/>
      <c r="F27" s="272"/>
      <c r="G27" s="273" t="s">
        <v>566</v>
      </c>
      <c r="H27" s="274" t="s">
        <v>698</v>
      </c>
      <c r="I27" s="273" t="s">
        <v>567</v>
      </c>
      <c r="J27" s="269"/>
      <c r="K27" s="93">
        <f ca="1">IF(TblTech[[#This Row],[Sum of tech]]&lt;&gt;OFFSET(TblTech[[#This Row],[Sum of tech]],-1,0),1,0)</f>
        <v>0</v>
      </c>
      <c r="L27" s="275">
        <f>COUNTIF(TblTech[[#This Row],[1-1]:[11-1]],1)</f>
        <v>0</v>
      </c>
      <c r="M27" s="276" cm="1">
        <f t="array" ref="M27">IF(AND(M$2&lt;&gt;0,TblTech[[#This Row],[Hour]:[Hour]]&gt;=M$2),1,0)</f>
        <v>0</v>
      </c>
      <c r="N27" s="276" cm="1">
        <f t="array" ref="N27">IF(AND(N$2&lt;&gt;0,TblTech[[#This Row],[Hour]:[Hour]]&gt;=N$2),1,0)</f>
        <v>0</v>
      </c>
      <c r="O27" s="276" cm="1">
        <f t="array" ref="O27">IF(AND(O$2&lt;&gt;0,TblTech[[#This Row],[Hour]:[Hour]]&gt;=O$2),1,0)</f>
        <v>0</v>
      </c>
      <c r="P27" s="276" cm="1">
        <f t="array" ref="P27">IF(AND(P$2&lt;&gt;0,TblTech[[#This Row],[Hour]:[Hour]]&gt;=P$2),1,0)</f>
        <v>0</v>
      </c>
      <c r="Q27" s="276" cm="1">
        <f t="array" ref="Q27">IF(AND(Q$2&lt;&gt;0,TblTech[[#This Row],[Hour]:[Hour]]&gt;=Q$2),1,0)</f>
        <v>0</v>
      </c>
      <c r="R27" s="276" cm="1">
        <f t="array" ref="R27">IF(AND(R$2&lt;&gt;0,TblTech[[#This Row],[Hour]:[Hour]]&gt;=R$2),1,0)</f>
        <v>0</v>
      </c>
      <c r="S27" s="276" cm="1">
        <f t="array" ref="S27">IF(AND(S$2&lt;&gt;0,TblTech[[#This Row],[Hour]:[Hour]]&gt;=S$2),1,0)</f>
        <v>0</v>
      </c>
      <c r="T27" s="276" cm="1">
        <f t="array" ref="T27">IF(AND(T$2&lt;&gt;0,TblTech[[#This Row],[Hour]:[Hour]]&gt;=T$2),1,0)</f>
        <v>0</v>
      </c>
      <c r="U27" s="276" cm="1">
        <f t="array" ref="U27">IF(AND(U$2&lt;&gt;0,TblTech[[#This Row],[Hour]:[Hour]]&gt;=U$2),1,0)</f>
        <v>0</v>
      </c>
      <c r="V27" s="276" cm="1">
        <f t="array" ref="V27">IF(AND(V$2&lt;&gt;0,TblTech[[#This Row],[Hour]:[Hour]]&gt;=V$2),1,0)</f>
        <v>0</v>
      </c>
      <c r="W27" s="276" cm="1">
        <f t="array" ref="W27">IF(AND(W$2&lt;&gt;0,TblTech[[#This Row],[Hour]:[Hour]]&gt;=W$2),1,0)</f>
        <v>0</v>
      </c>
      <c r="X27" s="276" cm="1">
        <f t="array" ref="X27">IF(AND(X$2&lt;&gt;0,TblTech[[#This Row],[Hour]:[Hour]]&gt;=X$2),1,0)</f>
        <v>0</v>
      </c>
      <c r="Y27" s="276" cm="1">
        <f t="array" ref="Y27">IF(AND(Y$2&lt;&gt;0,TblTech[[#This Row],[Hour]:[Hour]]&gt;=Y$2),1,0)</f>
        <v>0</v>
      </c>
      <c r="Z27" s="276" cm="1">
        <f t="array" ref="Z27">IF(AND(Z$2&lt;&gt;0,TblTech[[#This Row],[Hour]:[Hour]]&gt;=Z$2),1,0)</f>
        <v>0</v>
      </c>
      <c r="AA27" s="276" cm="1">
        <f t="array" ref="AA27">IF(AND(AA$2&lt;&gt;0,TblTech[[#This Row],[Hour]:[Hour]]&gt;=AA$2),1,0)</f>
        <v>0</v>
      </c>
      <c r="AB27" s="276" cm="1">
        <f t="array" ref="AB27">IF(AND(AB$2&lt;&gt;0,TblTech[[#This Row],[Hour]:[Hour]]&gt;=AB$2),1,0)</f>
        <v>0</v>
      </c>
      <c r="AC27" s="276" cm="1">
        <f t="array" ref="AC27">IF(AND(AC$2&lt;&gt;0,TblTech[[#This Row],[Hour]:[Hour]]&gt;=AC$2),1,0)</f>
        <v>0</v>
      </c>
      <c r="AD27" s="276" cm="1">
        <f t="array" ref="AD27">IF(AND(AD$2&lt;&gt;0,TblTech[[#This Row],[Hour]:[Hour]]&gt;=AD$2),1,0)</f>
        <v>0</v>
      </c>
      <c r="AE27" s="276" cm="1">
        <f t="array" ref="AE27">IF(AND(AE$2&lt;&gt;0,TblTech[[#This Row],[Hour]:[Hour]]&gt;=AE$2),1,0)</f>
        <v>0</v>
      </c>
      <c r="AF27" s="276" cm="1">
        <f t="array" ref="AF27">IF(AND(AF$2&lt;&gt;0,TblTech[[#This Row],[Hour]:[Hour]]&gt;=AF$2),1,0)</f>
        <v>0</v>
      </c>
      <c r="AG27" s="276" cm="1">
        <f t="array" ref="AG27">IF(AND(AG$2&lt;&gt;0,TblTech[[#This Row],[Hour]:[Hour]]&gt;=AG$2),1,0)</f>
        <v>0</v>
      </c>
      <c r="AH27" s="276" cm="1">
        <f t="array" ref="AH27">IF(AND(AH$2&lt;&gt;0,TblTech[[#This Row],[Hour]:[Hour]]&gt;=AH$2),1,0)</f>
        <v>0</v>
      </c>
      <c r="AI27" s="276" cm="1">
        <f t="array" ref="AI27">IF(AND(AI$2&lt;&gt;0,TblTech[[#This Row],[Hour]:[Hour]]&gt;=AI$2),1,0)</f>
        <v>0</v>
      </c>
      <c r="AJ27" s="276" cm="1">
        <f t="array" ref="AJ27">IF(AND(AJ$2&lt;&gt;0,TblTech[[#This Row],[Hour]:[Hour]]&gt;=AJ$2),1,0)</f>
        <v>0</v>
      </c>
      <c r="AK27" s="276" cm="1">
        <f t="array" ref="AK27">IF(AND(AK$2&lt;&gt;0,TblTech[[#This Row],[Hour]:[Hour]]&gt;=AK$2),1,0)</f>
        <v>0</v>
      </c>
      <c r="AL27" s="276" cm="1">
        <f t="array" ref="AL27">IF(AND(AL$2&lt;&gt;0,TblTech[[#This Row],[Hour]:[Hour]]&gt;=AL$2),1,0)</f>
        <v>0</v>
      </c>
      <c r="AM27" s="276" cm="1">
        <f t="array" ref="AM27">IF(AND(AM$2&lt;&gt;0,TblTech[[#This Row],[Hour]:[Hour]]&gt;=AM$2),1,0)</f>
        <v>0</v>
      </c>
      <c r="AN27" s="276" cm="1">
        <f t="array" ref="AN27">IF(AND(AN$2&lt;&gt;0,TblTech[[#This Row],[Hour]:[Hour]]&gt;=AN$2),1,0)</f>
        <v>0</v>
      </c>
      <c r="AO27" s="276" cm="1">
        <f t="array" ref="AO27">IF(AND(AO$2&lt;&gt;0,TblTech[[#This Row],[Hour]:[Hour]]&gt;=AO$2),1,0)</f>
        <v>0</v>
      </c>
      <c r="AP27" s="276" cm="1">
        <f t="array" ref="AP27">IF(AND(AP$2&lt;&gt;0,TblTech[[#This Row],[Hour]:[Hour]]&gt;=AP$2),1,0)</f>
        <v>0</v>
      </c>
      <c r="AQ27" s="276" cm="1">
        <f t="array" ref="AQ27">IF(AND(AQ$2&lt;&gt;0,TblTech[[#This Row],[Hour]:[Hour]]&gt;=AQ$2),1,0)</f>
        <v>0</v>
      </c>
      <c r="AR27" s="276" cm="1">
        <f t="array" ref="AR27">IF(AND(AR$2&lt;&gt;0,TblTech[[#This Row],[Hour]:[Hour]]&gt;=AR$2),1,0)</f>
        <v>0</v>
      </c>
      <c r="AS27" s="276" cm="1">
        <f t="array" ref="AS27">IF(AND(AS$2&lt;&gt;0,TblTech[[#This Row],[Hour]:[Hour]]&gt;=AS$2),1,0)</f>
        <v>0</v>
      </c>
      <c r="AT27" s="276" cm="1">
        <f t="array" ref="AT27">IF(AND(AT$2&lt;&gt;0,TblTech[[#This Row],[Hour]:[Hour]]&gt;=AT$2),1,0)</f>
        <v>0</v>
      </c>
      <c r="AU27" s="276" cm="1">
        <f t="array" ref="AU27">IF(AND(AU$2&lt;&gt;0,TblTech[[#This Row],[Hour]:[Hour]]&gt;=AU$2),1,0)</f>
        <v>0</v>
      </c>
      <c r="AV27" s="276" cm="1">
        <f t="array" ref="AV27">IF(AND(AV$2&lt;&gt;0,TblTech[[#This Row],[Hour]:[Hour]]&gt;=AV$2),1,0)</f>
        <v>0</v>
      </c>
      <c r="AW27" s="276" cm="1">
        <f t="array" ref="AW27">IF(AND(AW$2&lt;&gt;0,TblTech[[#This Row],[Hour]:[Hour]]&gt;=AW$2),1,0)</f>
        <v>0</v>
      </c>
      <c r="AX27" s="276" cm="1">
        <f t="array" ref="AX27">IF(AND(AX$2&lt;&gt;0,TblTech[[#This Row],[Hour]:[Hour]]&gt;=AX$2),1,0)</f>
        <v>0</v>
      </c>
      <c r="AY27" s="276" cm="1">
        <f t="array" ref="AY27">IF(AND(AY$2&lt;&gt;0,TblTech[[#This Row],[Hour]:[Hour]]&gt;=AY$2),1,0)</f>
        <v>0</v>
      </c>
      <c r="AZ27" s="276" cm="1">
        <f t="array" ref="AZ27">IF(AND(AZ$2&lt;&gt;0,TblTech[[#This Row],[Hour]:[Hour]]&gt;=AZ$2),1,0)</f>
        <v>0</v>
      </c>
      <c r="BA27" s="276" cm="1">
        <f t="array" ref="BA27">IF(AND(BA$2&lt;&gt;0,TblTech[[#This Row],[Hour]:[Hour]]&gt;=BA$2),1,0)</f>
        <v>0</v>
      </c>
      <c r="BB27" s="276" cm="1">
        <f t="array" ref="BB27">IF(AND(BB$2&lt;&gt;0,TblTech[[#This Row],[Hour]:[Hour]]&gt;=BB$2),1,0)</f>
        <v>0</v>
      </c>
      <c r="BC27" s="276" cm="1">
        <f t="array" ref="BC27">IF(AND(BC$2&lt;&gt;0,TblTech[[#This Row],[Hour]:[Hour]]&gt;=BC$2),1,0)</f>
        <v>0</v>
      </c>
      <c r="BD27" s="276" cm="1">
        <f t="array" ref="BD27">IF(AND(BD$2&lt;&gt;0,TblTech[[#This Row],[Hour]:[Hour]]&gt;=BD$2),1,0)</f>
        <v>0</v>
      </c>
      <c r="BE27" s="276" cm="1">
        <f t="array" ref="BE27">IF(AND(BE$2&lt;&gt;0,TblTech[[#This Row],[Hour]:[Hour]]&gt;=BE$2),1,0)</f>
        <v>0</v>
      </c>
      <c r="BF27" s="276" cm="1">
        <f t="array" ref="BF27">IF(AND(BF$2&lt;&gt;0,TblTech[[#This Row],[Hour]:[Hour]]&gt;=BF$2),1,0)</f>
        <v>0</v>
      </c>
      <c r="BG27" s="276" cm="1">
        <f t="array" ref="BG27">IF(AND(BG$2&lt;&gt;0,TblTech[[#This Row],[Hour]:[Hour]]&gt;=BG$2),1,0)</f>
        <v>0</v>
      </c>
      <c r="BH27" s="276" cm="1">
        <f t="array" ref="BH27">IF(AND(BH$2&lt;&gt;0,TblTech[[#This Row],[Hour]:[Hour]]&gt;=BH$2),1,0)</f>
        <v>0</v>
      </c>
      <c r="BI27" s="276" cm="1">
        <f t="array" ref="BI27">IF(AND(BI$2&lt;&gt;0,TblTech[[#This Row],[Hour]:[Hour]]&gt;=BI$2),1,0)</f>
        <v>0</v>
      </c>
      <c r="BJ27" s="276" cm="1">
        <f t="array" ref="BJ27">IF(AND(BJ$2&lt;&gt;0,TblTech[[#This Row],[Hour]:[Hour]]&gt;=BJ$2),1,0)</f>
        <v>0</v>
      </c>
      <c r="BK27" s="276" cm="1">
        <f t="array" ref="BK27">IF(AND(BK$2&lt;&gt;0,TblTech[[#This Row],[Hour]:[Hour]]&gt;=BK$2),1,0)</f>
        <v>0</v>
      </c>
      <c r="BL27" s="276" cm="1">
        <f t="array" ref="BL27">IF(AND(BL$2&lt;&gt;0,TblTech[[#This Row],[Hour]:[Hour]]&gt;=BL$2),1,0)</f>
        <v>0</v>
      </c>
      <c r="BM27" s="276" cm="1">
        <f t="array" ref="BM27">IF(AND(BM$2&lt;&gt;0,TblTech[[#This Row],[Hour]:[Hour]]&gt;=BM$2),1,0)</f>
        <v>0</v>
      </c>
      <c r="BN27" s="276" cm="1">
        <f t="array" ref="BN27">IF(AND(BN$2&lt;&gt;0,TblTech[[#This Row],[Hour]:[Hour]]&gt;=BN$2),1,0)</f>
        <v>0</v>
      </c>
      <c r="BO27" s="276" cm="1">
        <f t="array" ref="BO27">IF(AND(BO$2&lt;&gt;0,TblTech[[#This Row],[Hour]:[Hour]]&gt;=BO$2),1,0)</f>
        <v>0</v>
      </c>
      <c r="BP27" s="276" cm="1">
        <f t="array" ref="BP27">IF(AND(BP$2&lt;&gt;0,TblTech[[#This Row],[Hour]:[Hour]]&gt;=BP$2),1,0)</f>
        <v>0</v>
      </c>
      <c r="BQ27" s="276" cm="1">
        <f t="array" ref="BQ27">IF(AND(BQ$2&lt;&gt;0,TblTech[[#This Row],[Hour]:[Hour]]&gt;=BQ$2),1,0)</f>
        <v>0</v>
      </c>
      <c r="BR27" s="276" cm="1">
        <f t="array" ref="BR27">IF(AND(BR$2&lt;&gt;0,TblTech[[#This Row],[Hour]:[Hour]]&gt;=BR$2),1,0)</f>
        <v>0</v>
      </c>
      <c r="BS27" s="276" cm="1">
        <f t="array" ref="BS27">IF(AND(BS$2&lt;&gt;0,TblTech[[#This Row],[Hour]:[Hour]]&gt;=BS$2),1,0)</f>
        <v>0</v>
      </c>
      <c r="BT27" s="276" cm="1">
        <f t="array" ref="BT27">IF(AND(BT$2&lt;&gt;0,TblTech[[#This Row],[Hour]:[Hour]]&gt;=BT$2),1,0)</f>
        <v>0</v>
      </c>
      <c r="BU27" s="276" cm="1">
        <f t="array" ref="BU27">IF(AND(BU$2&lt;&gt;0,TblTech[[#This Row],[Hour]:[Hour]]&gt;=BU$2),1,0)</f>
        <v>0</v>
      </c>
      <c r="BV27" s="276" cm="1">
        <f t="array" ref="BV27">IF(AND(BV$2&lt;&gt;0,TblTech[[#This Row],[Hour]:[Hour]]&gt;=BV$2),1,0)</f>
        <v>0</v>
      </c>
      <c r="BW27" s="276" cm="1">
        <f t="array" ref="BW27">IF(AND(BW$2&lt;&gt;0,TblTech[[#This Row],[Hour]:[Hour]]&gt;=BW$2),1,0)</f>
        <v>0</v>
      </c>
      <c r="BX27" s="276" cm="1">
        <f t="array" ref="BX27">IF(AND(BX$2&lt;&gt;0,TblTech[[#This Row],[Hour]:[Hour]]&gt;=BX$2),1,0)</f>
        <v>0</v>
      </c>
      <c r="BY27" s="276" cm="1">
        <f t="array" ref="BY27">IF(AND(BY$2&lt;&gt;0,TblTech[[#This Row],[Hour]:[Hour]]&gt;=BY$2),1,0)</f>
        <v>0</v>
      </c>
      <c r="BZ27" s="276" cm="1">
        <f t="array" ref="BZ27">IF(AND(BZ$2&lt;&gt;0,TblTech[[#This Row],[Hour]:[Hour]]&gt;=BZ$2),1,0)</f>
        <v>0</v>
      </c>
      <c r="CA27" s="377">
        <f>IFERROR(INDEX($H$4:$H$79,MATCH(INDEX(TblTech[[#Headers],[1-1]:[11-1]],1,MATCH(TblTech[[#This Row],[Hour]],$M$2:$BZ$2,0)),$G$4:$G$79,0)),)</f>
        <v>0</v>
      </c>
    </row>
    <row r="28" spans="1:79" x14ac:dyDescent="0.2">
      <c r="A28" s="268">
        <f>TblRezone[[#This Row],[Hour]]</f>
        <v>25</v>
      </c>
      <c r="B28" s="269">
        <f ca="1">TblExplore[[#This Row],[Land-DB]]</f>
        <v>110</v>
      </c>
      <c r="C28" s="270">
        <f ca="1">TblProd[[#This Row],[Techpoints]]</f>
        <v>0</v>
      </c>
      <c r="D28" s="270">
        <f ca="1">TblProd[[#This Row],[Required]]</f>
        <v>3750</v>
      </c>
      <c r="E28" s="271"/>
      <c r="F28" s="272"/>
      <c r="G28" s="273" t="s">
        <v>568</v>
      </c>
      <c r="H28" s="274" t="s">
        <v>699</v>
      </c>
      <c r="I28" s="273" t="s">
        <v>569</v>
      </c>
      <c r="J28" s="269"/>
      <c r="K28" s="93">
        <f ca="1">IF(TblTech[[#This Row],[Sum of tech]]&lt;&gt;OFFSET(TblTech[[#This Row],[Sum of tech]],-1,0),1,0)</f>
        <v>0</v>
      </c>
      <c r="L28" s="275">
        <f>COUNTIF(TblTech[[#This Row],[1-1]:[11-1]],1)</f>
        <v>0</v>
      </c>
      <c r="M28" s="276" cm="1">
        <f t="array" ref="M28">IF(AND(M$2&lt;&gt;0,TblTech[[#This Row],[Hour]:[Hour]]&gt;=M$2),1,0)</f>
        <v>0</v>
      </c>
      <c r="N28" s="276" cm="1">
        <f t="array" ref="N28">IF(AND(N$2&lt;&gt;0,TblTech[[#This Row],[Hour]:[Hour]]&gt;=N$2),1,0)</f>
        <v>0</v>
      </c>
      <c r="O28" s="276" cm="1">
        <f t="array" ref="O28">IF(AND(O$2&lt;&gt;0,TblTech[[#This Row],[Hour]:[Hour]]&gt;=O$2),1,0)</f>
        <v>0</v>
      </c>
      <c r="P28" s="276" cm="1">
        <f t="array" ref="P28">IF(AND(P$2&lt;&gt;0,TblTech[[#This Row],[Hour]:[Hour]]&gt;=P$2),1,0)</f>
        <v>0</v>
      </c>
      <c r="Q28" s="276" cm="1">
        <f t="array" ref="Q28">IF(AND(Q$2&lt;&gt;0,TblTech[[#This Row],[Hour]:[Hour]]&gt;=Q$2),1,0)</f>
        <v>0</v>
      </c>
      <c r="R28" s="276" cm="1">
        <f t="array" ref="R28">IF(AND(R$2&lt;&gt;0,TblTech[[#This Row],[Hour]:[Hour]]&gt;=R$2),1,0)</f>
        <v>0</v>
      </c>
      <c r="S28" s="276" cm="1">
        <f t="array" ref="S28">IF(AND(S$2&lt;&gt;0,TblTech[[#This Row],[Hour]:[Hour]]&gt;=S$2),1,0)</f>
        <v>0</v>
      </c>
      <c r="T28" s="276" cm="1">
        <f t="array" ref="T28">IF(AND(T$2&lt;&gt;0,TblTech[[#This Row],[Hour]:[Hour]]&gt;=T$2),1,0)</f>
        <v>0</v>
      </c>
      <c r="U28" s="276" cm="1">
        <f t="array" ref="U28">IF(AND(U$2&lt;&gt;0,TblTech[[#This Row],[Hour]:[Hour]]&gt;=U$2),1,0)</f>
        <v>0</v>
      </c>
      <c r="V28" s="276" cm="1">
        <f t="array" ref="V28">IF(AND(V$2&lt;&gt;0,TblTech[[#This Row],[Hour]:[Hour]]&gt;=V$2),1,0)</f>
        <v>0</v>
      </c>
      <c r="W28" s="276" cm="1">
        <f t="array" ref="W28">IF(AND(W$2&lt;&gt;0,TblTech[[#This Row],[Hour]:[Hour]]&gt;=W$2),1,0)</f>
        <v>0</v>
      </c>
      <c r="X28" s="276" cm="1">
        <f t="array" ref="X28">IF(AND(X$2&lt;&gt;0,TblTech[[#This Row],[Hour]:[Hour]]&gt;=X$2),1,0)</f>
        <v>0</v>
      </c>
      <c r="Y28" s="276" cm="1">
        <f t="array" ref="Y28">IF(AND(Y$2&lt;&gt;0,TblTech[[#This Row],[Hour]:[Hour]]&gt;=Y$2),1,0)</f>
        <v>0</v>
      </c>
      <c r="Z28" s="276" cm="1">
        <f t="array" ref="Z28">IF(AND(Z$2&lt;&gt;0,TblTech[[#This Row],[Hour]:[Hour]]&gt;=Z$2),1,0)</f>
        <v>0</v>
      </c>
      <c r="AA28" s="276" cm="1">
        <f t="array" ref="AA28">IF(AND(AA$2&lt;&gt;0,TblTech[[#This Row],[Hour]:[Hour]]&gt;=AA$2),1,0)</f>
        <v>0</v>
      </c>
      <c r="AB28" s="276" cm="1">
        <f t="array" ref="AB28">IF(AND(AB$2&lt;&gt;0,TblTech[[#This Row],[Hour]:[Hour]]&gt;=AB$2),1,0)</f>
        <v>0</v>
      </c>
      <c r="AC28" s="276" cm="1">
        <f t="array" ref="AC28">IF(AND(AC$2&lt;&gt;0,TblTech[[#This Row],[Hour]:[Hour]]&gt;=AC$2),1,0)</f>
        <v>0</v>
      </c>
      <c r="AD28" s="276" cm="1">
        <f t="array" ref="AD28">IF(AND(AD$2&lt;&gt;0,TblTech[[#This Row],[Hour]:[Hour]]&gt;=AD$2),1,0)</f>
        <v>0</v>
      </c>
      <c r="AE28" s="276" cm="1">
        <f t="array" ref="AE28">IF(AND(AE$2&lt;&gt;0,TblTech[[#This Row],[Hour]:[Hour]]&gt;=AE$2),1,0)</f>
        <v>0</v>
      </c>
      <c r="AF28" s="276" cm="1">
        <f t="array" ref="AF28">IF(AND(AF$2&lt;&gt;0,TblTech[[#This Row],[Hour]:[Hour]]&gt;=AF$2),1,0)</f>
        <v>0</v>
      </c>
      <c r="AG28" s="276" cm="1">
        <f t="array" ref="AG28">IF(AND(AG$2&lt;&gt;0,TblTech[[#This Row],[Hour]:[Hour]]&gt;=AG$2),1,0)</f>
        <v>0</v>
      </c>
      <c r="AH28" s="276" cm="1">
        <f t="array" ref="AH28">IF(AND(AH$2&lt;&gt;0,TblTech[[#This Row],[Hour]:[Hour]]&gt;=AH$2),1,0)</f>
        <v>0</v>
      </c>
      <c r="AI28" s="276" cm="1">
        <f t="array" ref="AI28">IF(AND(AI$2&lt;&gt;0,TblTech[[#This Row],[Hour]:[Hour]]&gt;=AI$2),1,0)</f>
        <v>0</v>
      </c>
      <c r="AJ28" s="276" cm="1">
        <f t="array" ref="AJ28">IF(AND(AJ$2&lt;&gt;0,TblTech[[#This Row],[Hour]:[Hour]]&gt;=AJ$2),1,0)</f>
        <v>0</v>
      </c>
      <c r="AK28" s="276" cm="1">
        <f t="array" ref="AK28">IF(AND(AK$2&lt;&gt;0,TblTech[[#This Row],[Hour]:[Hour]]&gt;=AK$2),1,0)</f>
        <v>0</v>
      </c>
      <c r="AL28" s="276" cm="1">
        <f t="array" ref="AL28">IF(AND(AL$2&lt;&gt;0,TblTech[[#This Row],[Hour]:[Hour]]&gt;=AL$2),1,0)</f>
        <v>0</v>
      </c>
      <c r="AM28" s="276" cm="1">
        <f t="array" ref="AM28">IF(AND(AM$2&lt;&gt;0,TblTech[[#This Row],[Hour]:[Hour]]&gt;=AM$2),1,0)</f>
        <v>0</v>
      </c>
      <c r="AN28" s="276" cm="1">
        <f t="array" ref="AN28">IF(AND(AN$2&lt;&gt;0,TblTech[[#This Row],[Hour]:[Hour]]&gt;=AN$2),1,0)</f>
        <v>0</v>
      </c>
      <c r="AO28" s="276" cm="1">
        <f t="array" ref="AO28">IF(AND(AO$2&lt;&gt;0,TblTech[[#This Row],[Hour]:[Hour]]&gt;=AO$2),1,0)</f>
        <v>0</v>
      </c>
      <c r="AP28" s="276" cm="1">
        <f t="array" ref="AP28">IF(AND(AP$2&lt;&gt;0,TblTech[[#This Row],[Hour]:[Hour]]&gt;=AP$2),1,0)</f>
        <v>0</v>
      </c>
      <c r="AQ28" s="276" cm="1">
        <f t="array" ref="AQ28">IF(AND(AQ$2&lt;&gt;0,TblTech[[#This Row],[Hour]:[Hour]]&gt;=AQ$2),1,0)</f>
        <v>0</v>
      </c>
      <c r="AR28" s="276" cm="1">
        <f t="array" ref="AR28">IF(AND(AR$2&lt;&gt;0,TblTech[[#This Row],[Hour]:[Hour]]&gt;=AR$2),1,0)</f>
        <v>0</v>
      </c>
      <c r="AS28" s="276" cm="1">
        <f t="array" ref="AS28">IF(AND(AS$2&lt;&gt;0,TblTech[[#This Row],[Hour]:[Hour]]&gt;=AS$2),1,0)</f>
        <v>0</v>
      </c>
      <c r="AT28" s="276" cm="1">
        <f t="array" ref="AT28">IF(AND(AT$2&lt;&gt;0,TblTech[[#This Row],[Hour]:[Hour]]&gt;=AT$2),1,0)</f>
        <v>0</v>
      </c>
      <c r="AU28" s="276" cm="1">
        <f t="array" ref="AU28">IF(AND(AU$2&lt;&gt;0,TblTech[[#This Row],[Hour]:[Hour]]&gt;=AU$2),1,0)</f>
        <v>0</v>
      </c>
      <c r="AV28" s="276" cm="1">
        <f t="array" ref="AV28">IF(AND(AV$2&lt;&gt;0,TblTech[[#This Row],[Hour]:[Hour]]&gt;=AV$2),1,0)</f>
        <v>0</v>
      </c>
      <c r="AW28" s="276" cm="1">
        <f t="array" ref="AW28">IF(AND(AW$2&lt;&gt;0,TblTech[[#This Row],[Hour]:[Hour]]&gt;=AW$2),1,0)</f>
        <v>0</v>
      </c>
      <c r="AX28" s="276" cm="1">
        <f t="array" ref="AX28">IF(AND(AX$2&lt;&gt;0,TblTech[[#This Row],[Hour]:[Hour]]&gt;=AX$2),1,0)</f>
        <v>0</v>
      </c>
      <c r="AY28" s="276" cm="1">
        <f t="array" ref="AY28">IF(AND(AY$2&lt;&gt;0,TblTech[[#This Row],[Hour]:[Hour]]&gt;=AY$2),1,0)</f>
        <v>0</v>
      </c>
      <c r="AZ28" s="276" cm="1">
        <f t="array" ref="AZ28">IF(AND(AZ$2&lt;&gt;0,TblTech[[#This Row],[Hour]:[Hour]]&gt;=AZ$2),1,0)</f>
        <v>0</v>
      </c>
      <c r="BA28" s="276" cm="1">
        <f t="array" ref="BA28">IF(AND(BA$2&lt;&gt;0,TblTech[[#This Row],[Hour]:[Hour]]&gt;=BA$2),1,0)</f>
        <v>0</v>
      </c>
      <c r="BB28" s="276" cm="1">
        <f t="array" ref="BB28">IF(AND(BB$2&lt;&gt;0,TblTech[[#This Row],[Hour]:[Hour]]&gt;=BB$2),1,0)</f>
        <v>0</v>
      </c>
      <c r="BC28" s="276" cm="1">
        <f t="array" ref="BC28">IF(AND(BC$2&lt;&gt;0,TblTech[[#This Row],[Hour]:[Hour]]&gt;=BC$2),1,0)</f>
        <v>0</v>
      </c>
      <c r="BD28" s="276" cm="1">
        <f t="array" ref="BD28">IF(AND(BD$2&lt;&gt;0,TblTech[[#This Row],[Hour]:[Hour]]&gt;=BD$2),1,0)</f>
        <v>0</v>
      </c>
      <c r="BE28" s="276" cm="1">
        <f t="array" ref="BE28">IF(AND(BE$2&lt;&gt;0,TblTech[[#This Row],[Hour]:[Hour]]&gt;=BE$2),1,0)</f>
        <v>0</v>
      </c>
      <c r="BF28" s="276" cm="1">
        <f t="array" ref="BF28">IF(AND(BF$2&lt;&gt;0,TblTech[[#This Row],[Hour]:[Hour]]&gt;=BF$2),1,0)</f>
        <v>0</v>
      </c>
      <c r="BG28" s="276" cm="1">
        <f t="array" ref="BG28">IF(AND(BG$2&lt;&gt;0,TblTech[[#This Row],[Hour]:[Hour]]&gt;=BG$2),1,0)</f>
        <v>0</v>
      </c>
      <c r="BH28" s="276" cm="1">
        <f t="array" ref="BH28">IF(AND(BH$2&lt;&gt;0,TblTech[[#This Row],[Hour]:[Hour]]&gt;=BH$2),1,0)</f>
        <v>0</v>
      </c>
      <c r="BI28" s="276" cm="1">
        <f t="array" ref="BI28">IF(AND(BI$2&lt;&gt;0,TblTech[[#This Row],[Hour]:[Hour]]&gt;=BI$2),1,0)</f>
        <v>0</v>
      </c>
      <c r="BJ28" s="276" cm="1">
        <f t="array" ref="BJ28">IF(AND(BJ$2&lt;&gt;0,TblTech[[#This Row],[Hour]:[Hour]]&gt;=BJ$2),1,0)</f>
        <v>0</v>
      </c>
      <c r="BK28" s="276" cm="1">
        <f t="array" ref="BK28">IF(AND(BK$2&lt;&gt;0,TblTech[[#This Row],[Hour]:[Hour]]&gt;=BK$2),1,0)</f>
        <v>0</v>
      </c>
      <c r="BL28" s="276" cm="1">
        <f t="array" ref="BL28">IF(AND(BL$2&lt;&gt;0,TblTech[[#This Row],[Hour]:[Hour]]&gt;=BL$2),1,0)</f>
        <v>0</v>
      </c>
      <c r="BM28" s="276" cm="1">
        <f t="array" ref="BM28">IF(AND(BM$2&lt;&gt;0,TblTech[[#This Row],[Hour]:[Hour]]&gt;=BM$2),1,0)</f>
        <v>0</v>
      </c>
      <c r="BN28" s="276" cm="1">
        <f t="array" ref="BN28">IF(AND(BN$2&lt;&gt;0,TblTech[[#This Row],[Hour]:[Hour]]&gt;=BN$2),1,0)</f>
        <v>0</v>
      </c>
      <c r="BO28" s="276" cm="1">
        <f t="array" ref="BO28">IF(AND(BO$2&lt;&gt;0,TblTech[[#This Row],[Hour]:[Hour]]&gt;=BO$2),1,0)</f>
        <v>0</v>
      </c>
      <c r="BP28" s="276" cm="1">
        <f t="array" ref="BP28">IF(AND(BP$2&lt;&gt;0,TblTech[[#This Row],[Hour]:[Hour]]&gt;=BP$2),1,0)</f>
        <v>0</v>
      </c>
      <c r="BQ28" s="276" cm="1">
        <f t="array" ref="BQ28">IF(AND(BQ$2&lt;&gt;0,TblTech[[#This Row],[Hour]:[Hour]]&gt;=BQ$2),1,0)</f>
        <v>0</v>
      </c>
      <c r="BR28" s="276" cm="1">
        <f t="array" ref="BR28">IF(AND(BR$2&lt;&gt;0,TblTech[[#This Row],[Hour]:[Hour]]&gt;=BR$2),1,0)</f>
        <v>0</v>
      </c>
      <c r="BS28" s="276" cm="1">
        <f t="array" ref="BS28">IF(AND(BS$2&lt;&gt;0,TblTech[[#This Row],[Hour]:[Hour]]&gt;=BS$2),1,0)</f>
        <v>0</v>
      </c>
      <c r="BT28" s="276" cm="1">
        <f t="array" ref="BT28">IF(AND(BT$2&lt;&gt;0,TblTech[[#This Row],[Hour]:[Hour]]&gt;=BT$2),1,0)</f>
        <v>0</v>
      </c>
      <c r="BU28" s="276" cm="1">
        <f t="array" ref="BU28">IF(AND(BU$2&lt;&gt;0,TblTech[[#This Row],[Hour]:[Hour]]&gt;=BU$2),1,0)</f>
        <v>0</v>
      </c>
      <c r="BV28" s="276" cm="1">
        <f t="array" ref="BV28">IF(AND(BV$2&lt;&gt;0,TblTech[[#This Row],[Hour]:[Hour]]&gt;=BV$2),1,0)</f>
        <v>0</v>
      </c>
      <c r="BW28" s="276" cm="1">
        <f t="array" ref="BW28">IF(AND(BW$2&lt;&gt;0,TblTech[[#This Row],[Hour]:[Hour]]&gt;=BW$2),1,0)</f>
        <v>0</v>
      </c>
      <c r="BX28" s="276" cm="1">
        <f t="array" ref="BX28">IF(AND(BX$2&lt;&gt;0,TblTech[[#This Row],[Hour]:[Hour]]&gt;=BX$2),1,0)</f>
        <v>0</v>
      </c>
      <c r="BY28" s="276" cm="1">
        <f t="array" ref="BY28">IF(AND(BY$2&lt;&gt;0,TblTech[[#This Row],[Hour]:[Hour]]&gt;=BY$2),1,0)</f>
        <v>0</v>
      </c>
      <c r="BZ28" s="276" cm="1">
        <f t="array" ref="BZ28">IF(AND(BZ$2&lt;&gt;0,TblTech[[#This Row],[Hour]:[Hour]]&gt;=BZ$2),1,0)</f>
        <v>0</v>
      </c>
      <c r="CA28" s="377">
        <f>IFERROR(INDEX($H$4:$H$79,MATCH(INDEX(TblTech[[#Headers],[1-1]:[11-1]],1,MATCH(TblTech[[#This Row],[Hour]],$M$2:$BZ$2,0)),$G$4:$G$79,0)),)</f>
        <v>0</v>
      </c>
    </row>
    <row r="29" spans="1:79" x14ac:dyDescent="0.2">
      <c r="A29" s="268">
        <f>TblRezone[[#This Row],[Hour]]</f>
        <v>26</v>
      </c>
      <c r="B29" s="269">
        <f ca="1">TblExplore[[#This Row],[Land-DB]]</f>
        <v>110</v>
      </c>
      <c r="C29" s="270">
        <f ca="1">TblProd[[#This Row],[Techpoints]]</f>
        <v>0</v>
      </c>
      <c r="D29" s="270">
        <f ca="1">TblProd[[#This Row],[Required]]</f>
        <v>3750</v>
      </c>
      <c r="E29" s="271"/>
      <c r="F29" s="272"/>
      <c r="G29" s="273" t="s">
        <v>570</v>
      </c>
      <c r="H29" s="274" t="s">
        <v>700</v>
      </c>
      <c r="I29" s="273" t="s">
        <v>1096</v>
      </c>
      <c r="J29" s="269"/>
      <c r="K29" s="93">
        <f ca="1">IF(TblTech[[#This Row],[Sum of tech]]&lt;&gt;OFFSET(TblTech[[#This Row],[Sum of tech]],-1,0),1,0)</f>
        <v>0</v>
      </c>
      <c r="L29" s="275">
        <f>COUNTIF(TblTech[[#This Row],[1-1]:[11-1]],1)</f>
        <v>0</v>
      </c>
      <c r="M29" s="276" cm="1">
        <f t="array" ref="M29">IF(AND(M$2&lt;&gt;0,TblTech[[#This Row],[Hour]:[Hour]]&gt;=M$2),1,0)</f>
        <v>0</v>
      </c>
      <c r="N29" s="276" cm="1">
        <f t="array" ref="N29">IF(AND(N$2&lt;&gt;0,TblTech[[#This Row],[Hour]:[Hour]]&gt;=N$2),1,0)</f>
        <v>0</v>
      </c>
      <c r="O29" s="276" cm="1">
        <f t="array" ref="O29">IF(AND(O$2&lt;&gt;0,TblTech[[#This Row],[Hour]:[Hour]]&gt;=O$2),1,0)</f>
        <v>0</v>
      </c>
      <c r="P29" s="276" cm="1">
        <f t="array" ref="P29">IF(AND(P$2&lt;&gt;0,TblTech[[#This Row],[Hour]:[Hour]]&gt;=P$2),1,0)</f>
        <v>0</v>
      </c>
      <c r="Q29" s="276" cm="1">
        <f t="array" ref="Q29">IF(AND(Q$2&lt;&gt;0,TblTech[[#This Row],[Hour]:[Hour]]&gt;=Q$2),1,0)</f>
        <v>0</v>
      </c>
      <c r="R29" s="276" cm="1">
        <f t="array" ref="R29">IF(AND(R$2&lt;&gt;0,TblTech[[#This Row],[Hour]:[Hour]]&gt;=R$2),1,0)</f>
        <v>0</v>
      </c>
      <c r="S29" s="276" cm="1">
        <f t="array" ref="S29">IF(AND(S$2&lt;&gt;0,TblTech[[#This Row],[Hour]:[Hour]]&gt;=S$2),1,0)</f>
        <v>0</v>
      </c>
      <c r="T29" s="276" cm="1">
        <f t="array" ref="T29">IF(AND(T$2&lt;&gt;0,TblTech[[#This Row],[Hour]:[Hour]]&gt;=T$2),1,0)</f>
        <v>0</v>
      </c>
      <c r="U29" s="276" cm="1">
        <f t="array" ref="U29">IF(AND(U$2&lt;&gt;0,TblTech[[#This Row],[Hour]:[Hour]]&gt;=U$2),1,0)</f>
        <v>0</v>
      </c>
      <c r="V29" s="276" cm="1">
        <f t="array" ref="V29">IF(AND(V$2&lt;&gt;0,TblTech[[#This Row],[Hour]:[Hour]]&gt;=V$2),1,0)</f>
        <v>0</v>
      </c>
      <c r="W29" s="276" cm="1">
        <f t="array" ref="W29">IF(AND(W$2&lt;&gt;0,TblTech[[#This Row],[Hour]:[Hour]]&gt;=W$2),1,0)</f>
        <v>0</v>
      </c>
      <c r="X29" s="276" cm="1">
        <f t="array" ref="X29">IF(AND(X$2&lt;&gt;0,TblTech[[#This Row],[Hour]:[Hour]]&gt;=X$2),1,0)</f>
        <v>0</v>
      </c>
      <c r="Y29" s="276" cm="1">
        <f t="array" ref="Y29">IF(AND(Y$2&lt;&gt;0,TblTech[[#This Row],[Hour]:[Hour]]&gt;=Y$2),1,0)</f>
        <v>0</v>
      </c>
      <c r="Z29" s="276" cm="1">
        <f t="array" ref="Z29">IF(AND(Z$2&lt;&gt;0,TblTech[[#This Row],[Hour]:[Hour]]&gt;=Z$2),1,0)</f>
        <v>0</v>
      </c>
      <c r="AA29" s="276" cm="1">
        <f t="array" ref="AA29">IF(AND(AA$2&lt;&gt;0,TblTech[[#This Row],[Hour]:[Hour]]&gt;=AA$2),1,0)</f>
        <v>0</v>
      </c>
      <c r="AB29" s="276" cm="1">
        <f t="array" ref="AB29">IF(AND(AB$2&lt;&gt;0,TblTech[[#This Row],[Hour]:[Hour]]&gt;=AB$2),1,0)</f>
        <v>0</v>
      </c>
      <c r="AC29" s="276" cm="1">
        <f t="array" ref="AC29">IF(AND(AC$2&lt;&gt;0,TblTech[[#This Row],[Hour]:[Hour]]&gt;=AC$2),1,0)</f>
        <v>0</v>
      </c>
      <c r="AD29" s="276" cm="1">
        <f t="array" ref="AD29">IF(AND(AD$2&lt;&gt;0,TblTech[[#This Row],[Hour]:[Hour]]&gt;=AD$2),1,0)</f>
        <v>0</v>
      </c>
      <c r="AE29" s="276" cm="1">
        <f t="array" ref="AE29">IF(AND(AE$2&lt;&gt;0,TblTech[[#This Row],[Hour]:[Hour]]&gt;=AE$2),1,0)</f>
        <v>0</v>
      </c>
      <c r="AF29" s="276" cm="1">
        <f t="array" ref="AF29">IF(AND(AF$2&lt;&gt;0,TblTech[[#This Row],[Hour]:[Hour]]&gt;=AF$2),1,0)</f>
        <v>0</v>
      </c>
      <c r="AG29" s="276" cm="1">
        <f t="array" ref="AG29">IF(AND(AG$2&lt;&gt;0,TblTech[[#This Row],[Hour]:[Hour]]&gt;=AG$2),1,0)</f>
        <v>0</v>
      </c>
      <c r="AH29" s="276" cm="1">
        <f t="array" ref="AH29">IF(AND(AH$2&lt;&gt;0,TblTech[[#This Row],[Hour]:[Hour]]&gt;=AH$2),1,0)</f>
        <v>0</v>
      </c>
      <c r="AI29" s="276" cm="1">
        <f t="array" ref="AI29">IF(AND(AI$2&lt;&gt;0,TblTech[[#This Row],[Hour]:[Hour]]&gt;=AI$2),1,0)</f>
        <v>0</v>
      </c>
      <c r="AJ29" s="276" cm="1">
        <f t="array" ref="AJ29">IF(AND(AJ$2&lt;&gt;0,TblTech[[#This Row],[Hour]:[Hour]]&gt;=AJ$2),1,0)</f>
        <v>0</v>
      </c>
      <c r="AK29" s="276" cm="1">
        <f t="array" ref="AK29">IF(AND(AK$2&lt;&gt;0,TblTech[[#This Row],[Hour]:[Hour]]&gt;=AK$2),1,0)</f>
        <v>0</v>
      </c>
      <c r="AL29" s="276" cm="1">
        <f t="array" ref="AL29">IF(AND(AL$2&lt;&gt;0,TblTech[[#This Row],[Hour]:[Hour]]&gt;=AL$2),1,0)</f>
        <v>0</v>
      </c>
      <c r="AM29" s="276" cm="1">
        <f t="array" ref="AM29">IF(AND(AM$2&lt;&gt;0,TblTech[[#This Row],[Hour]:[Hour]]&gt;=AM$2),1,0)</f>
        <v>0</v>
      </c>
      <c r="AN29" s="276" cm="1">
        <f t="array" ref="AN29">IF(AND(AN$2&lt;&gt;0,TblTech[[#This Row],[Hour]:[Hour]]&gt;=AN$2),1,0)</f>
        <v>0</v>
      </c>
      <c r="AO29" s="276" cm="1">
        <f t="array" ref="AO29">IF(AND(AO$2&lt;&gt;0,TblTech[[#This Row],[Hour]:[Hour]]&gt;=AO$2),1,0)</f>
        <v>0</v>
      </c>
      <c r="AP29" s="276" cm="1">
        <f t="array" ref="AP29">IF(AND(AP$2&lt;&gt;0,TblTech[[#This Row],[Hour]:[Hour]]&gt;=AP$2),1,0)</f>
        <v>0</v>
      </c>
      <c r="AQ29" s="276" cm="1">
        <f t="array" ref="AQ29">IF(AND(AQ$2&lt;&gt;0,TblTech[[#This Row],[Hour]:[Hour]]&gt;=AQ$2),1,0)</f>
        <v>0</v>
      </c>
      <c r="AR29" s="276" cm="1">
        <f t="array" ref="AR29">IF(AND(AR$2&lt;&gt;0,TblTech[[#This Row],[Hour]:[Hour]]&gt;=AR$2),1,0)</f>
        <v>0</v>
      </c>
      <c r="AS29" s="276" cm="1">
        <f t="array" ref="AS29">IF(AND(AS$2&lt;&gt;0,TblTech[[#This Row],[Hour]:[Hour]]&gt;=AS$2),1,0)</f>
        <v>0</v>
      </c>
      <c r="AT29" s="276" cm="1">
        <f t="array" ref="AT29">IF(AND(AT$2&lt;&gt;0,TblTech[[#This Row],[Hour]:[Hour]]&gt;=AT$2),1,0)</f>
        <v>0</v>
      </c>
      <c r="AU29" s="276" cm="1">
        <f t="array" ref="AU29">IF(AND(AU$2&lt;&gt;0,TblTech[[#This Row],[Hour]:[Hour]]&gt;=AU$2),1,0)</f>
        <v>0</v>
      </c>
      <c r="AV29" s="276" cm="1">
        <f t="array" ref="AV29">IF(AND(AV$2&lt;&gt;0,TblTech[[#This Row],[Hour]:[Hour]]&gt;=AV$2),1,0)</f>
        <v>0</v>
      </c>
      <c r="AW29" s="276" cm="1">
        <f t="array" ref="AW29">IF(AND(AW$2&lt;&gt;0,TblTech[[#This Row],[Hour]:[Hour]]&gt;=AW$2),1,0)</f>
        <v>0</v>
      </c>
      <c r="AX29" s="276" cm="1">
        <f t="array" ref="AX29">IF(AND(AX$2&lt;&gt;0,TblTech[[#This Row],[Hour]:[Hour]]&gt;=AX$2),1,0)</f>
        <v>0</v>
      </c>
      <c r="AY29" s="276" cm="1">
        <f t="array" ref="AY29">IF(AND(AY$2&lt;&gt;0,TblTech[[#This Row],[Hour]:[Hour]]&gt;=AY$2),1,0)</f>
        <v>0</v>
      </c>
      <c r="AZ29" s="276" cm="1">
        <f t="array" ref="AZ29">IF(AND(AZ$2&lt;&gt;0,TblTech[[#This Row],[Hour]:[Hour]]&gt;=AZ$2),1,0)</f>
        <v>0</v>
      </c>
      <c r="BA29" s="276" cm="1">
        <f t="array" ref="BA29">IF(AND(BA$2&lt;&gt;0,TblTech[[#This Row],[Hour]:[Hour]]&gt;=BA$2),1,0)</f>
        <v>0</v>
      </c>
      <c r="BB29" s="276" cm="1">
        <f t="array" ref="BB29">IF(AND(BB$2&lt;&gt;0,TblTech[[#This Row],[Hour]:[Hour]]&gt;=BB$2),1,0)</f>
        <v>0</v>
      </c>
      <c r="BC29" s="276" cm="1">
        <f t="array" ref="BC29">IF(AND(BC$2&lt;&gt;0,TblTech[[#This Row],[Hour]:[Hour]]&gt;=BC$2),1,0)</f>
        <v>0</v>
      </c>
      <c r="BD29" s="276" cm="1">
        <f t="array" ref="BD29">IF(AND(BD$2&lt;&gt;0,TblTech[[#This Row],[Hour]:[Hour]]&gt;=BD$2),1,0)</f>
        <v>0</v>
      </c>
      <c r="BE29" s="276" cm="1">
        <f t="array" ref="BE29">IF(AND(BE$2&lt;&gt;0,TblTech[[#This Row],[Hour]:[Hour]]&gt;=BE$2),1,0)</f>
        <v>0</v>
      </c>
      <c r="BF29" s="276" cm="1">
        <f t="array" ref="BF29">IF(AND(BF$2&lt;&gt;0,TblTech[[#This Row],[Hour]:[Hour]]&gt;=BF$2),1,0)</f>
        <v>0</v>
      </c>
      <c r="BG29" s="276" cm="1">
        <f t="array" ref="BG29">IF(AND(BG$2&lt;&gt;0,TblTech[[#This Row],[Hour]:[Hour]]&gt;=BG$2),1,0)</f>
        <v>0</v>
      </c>
      <c r="BH29" s="276" cm="1">
        <f t="array" ref="BH29">IF(AND(BH$2&lt;&gt;0,TblTech[[#This Row],[Hour]:[Hour]]&gt;=BH$2),1,0)</f>
        <v>0</v>
      </c>
      <c r="BI29" s="276" cm="1">
        <f t="array" ref="BI29">IF(AND(BI$2&lt;&gt;0,TblTech[[#This Row],[Hour]:[Hour]]&gt;=BI$2),1,0)</f>
        <v>0</v>
      </c>
      <c r="BJ29" s="276" cm="1">
        <f t="array" ref="BJ29">IF(AND(BJ$2&lt;&gt;0,TblTech[[#This Row],[Hour]:[Hour]]&gt;=BJ$2),1,0)</f>
        <v>0</v>
      </c>
      <c r="BK29" s="276" cm="1">
        <f t="array" ref="BK29">IF(AND(BK$2&lt;&gt;0,TblTech[[#This Row],[Hour]:[Hour]]&gt;=BK$2),1,0)</f>
        <v>0</v>
      </c>
      <c r="BL29" s="276" cm="1">
        <f t="array" ref="BL29">IF(AND(BL$2&lt;&gt;0,TblTech[[#This Row],[Hour]:[Hour]]&gt;=BL$2),1,0)</f>
        <v>0</v>
      </c>
      <c r="BM29" s="276" cm="1">
        <f t="array" ref="BM29">IF(AND(BM$2&lt;&gt;0,TblTech[[#This Row],[Hour]:[Hour]]&gt;=BM$2),1,0)</f>
        <v>0</v>
      </c>
      <c r="BN29" s="276" cm="1">
        <f t="array" ref="BN29">IF(AND(BN$2&lt;&gt;0,TblTech[[#This Row],[Hour]:[Hour]]&gt;=BN$2),1,0)</f>
        <v>0</v>
      </c>
      <c r="BO29" s="276" cm="1">
        <f t="array" ref="BO29">IF(AND(BO$2&lt;&gt;0,TblTech[[#This Row],[Hour]:[Hour]]&gt;=BO$2),1,0)</f>
        <v>0</v>
      </c>
      <c r="BP29" s="276" cm="1">
        <f t="array" ref="BP29">IF(AND(BP$2&lt;&gt;0,TblTech[[#This Row],[Hour]:[Hour]]&gt;=BP$2),1,0)</f>
        <v>0</v>
      </c>
      <c r="BQ29" s="276" cm="1">
        <f t="array" ref="BQ29">IF(AND(BQ$2&lt;&gt;0,TblTech[[#This Row],[Hour]:[Hour]]&gt;=BQ$2),1,0)</f>
        <v>0</v>
      </c>
      <c r="BR29" s="276" cm="1">
        <f t="array" ref="BR29">IF(AND(BR$2&lt;&gt;0,TblTech[[#This Row],[Hour]:[Hour]]&gt;=BR$2),1,0)</f>
        <v>0</v>
      </c>
      <c r="BS29" s="276" cm="1">
        <f t="array" ref="BS29">IF(AND(BS$2&lt;&gt;0,TblTech[[#This Row],[Hour]:[Hour]]&gt;=BS$2),1,0)</f>
        <v>0</v>
      </c>
      <c r="BT29" s="276" cm="1">
        <f t="array" ref="BT29">IF(AND(BT$2&lt;&gt;0,TblTech[[#This Row],[Hour]:[Hour]]&gt;=BT$2),1,0)</f>
        <v>0</v>
      </c>
      <c r="BU29" s="276" cm="1">
        <f t="array" ref="BU29">IF(AND(BU$2&lt;&gt;0,TblTech[[#This Row],[Hour]:[Hour]]&gt;=BU$2),1,0)</f>
        <v>0</v>
      </c>
      <c r="BV29" s="276" cm="1">
        <f t="array" ref="BV29">IF(AND(BV$2&lt;&gt;0,TblTech[[#This Row],[Hour]:[Hour]]&gt;=BV$2),1,0)</f>
        <v>0</v>
      </c>
      <c r="BW29" s="276" cm="1">
        <f t="array" ref="BW29">IF(AND(BW$2&lt;&gt;0,TblTech[[#This Row],[Hour]:[Hour]]&gt;=BW$2),1,0)</f>
        <v>0</v>
      </c>
      <c r="BX29" s="276" cm="1">
        <f t="array" ref="BX29">IF(AND(BX$2&lt;&gt;0,TblTech[[#This Row],[Hour]:[Hour]]&gt;=BX$2),1,0)</f>
        <v>0</v>
      </c>
      <c r="BY29" s="276" cm="1">
        <f t="array" ref="BY29">IF(AND(BY$2&lt;&gt;0,TblTech[[#This Row],[Hour]:[Hour]]&gt;=BY$2),1,0)</f>
        <v>0</v>
      </c>
      <c r="BZ29" s="276" cm="1">
        <f t="array" ref="BZ29">IF(AND(BZ$2&lt;&gt;0,TblTech[[#This Row],[Hour]:[Hour]]&gt;=BZ$2),1,0)</f>
        <v>0</v>
      </c>
      <c r="CA29" s="377">
        <f>IFERROR(INDEX($H$4:$H$79,MATCH(INDEX(TblTech[[#Headers],[1-1]:[11-1]],1,MATCH(TblTech[[#This Row],[Hour]],$M$2:$BZ$2,0)),$G$4:$G$79,0)),)</f>
        <v>0</v>
      </c>
    </row>
    <row r="30" spans="1:79" x14ac:dyDescent="0.2">
      <c r="A30" s="268">
        <f>TblRezone[[#This Row],[Hour]]</f>
        <v>27</v>
      </c>
      <c r="B30" s="269">
        <f ca="1">TblExplore[[#This Row],[Land-DB]]</f>
        <v>110</v>
      </c>
      <c r="C30" s="270">
        <f ca="1">TblProd[[#This Row],[Techpoints]]</f>
        <v>0</v>
      </c>
      <c r="D30" s="270">
        <f ca="1">TblProd[[#This Row],[Required]]</f>
        <v>3750</v>
      </c>
      <c r="E30" s="271"/>
      <c r="F30" s="272"/>
      <c r="G30" s="273" t="s">
        <v>571</v>
      </c>
      <c r="H30" s="274" t="s">
        <v>701</v>
      </c>
      <c r="I30" s="273" t="s">
        <v>1089</v>
      </c>
      <c r="J30" s="269"/>
      <c r="K30" s="93">
        <f ca="1">IF(TblTech[[#This Row],[Sum of tech]]&lt;&gt;OFFSET(TblTech[[#This Row],[Sum of tech]],-1,0),1,0)</f>
        <v>0</v>
      </c>
      <c r="L30" s="275">
        <f>COUNTIF(TblTech[[#This Row],[1-1]:[11-1]],1)</f>
        <v>0</v>
      </c>
      <c r="M30" s="276" cm="1">
        <f t="array" ref="M30">IF(AND(M$2&lt;&gt;0,TblTech[[#This Row],[Hour]:[Hour]]&gt;=M$2),1,0)</f>
        <v>0</v>
      </c>
      <c r="N30" s="276" cm="1">
        <f t="array" ref="N30">IF(AND(N$2&lt;&gt;0,TblTech[[#This Row],[Hour]:[Hour]]&gt;=N$2),1,0)</f>
        <v>0</v>
      </c>
      <c r="O30" s="276" cm="1">
        <f t="array" ref="O30">IF(AND(O$2&lt;&gt;0,TblTech[[#This Row],[Hour]:[Hour]]&gt;=O$2),1,0)</f>
        <v>0</v>
      </c>
      <c r="P30" s="276" cm="1">
        <f t="array" ref="P30">IF(AND(P$2&lt;&gt;0,TblTech[[#This Row],[Hour]:[Hour]]&gt;=P$2),1,0)</f>
        <v>0</v>
      </c>
      <c r="Q30" s="276" cm="1">
        <f t="array" ref="Q30">IF(AND(Q$2&lt;&gt;0,TblTech[[#This Row],[Hour]:[Hour]]&gt;=Q$2),1,0)</f>
        <v>0</v>
      </c>
      <c r="R30" s="276" cm="1">
        <f t="array" ref="R30">IF(AND(R$2&lt;&gt;0,TblTech[[#This Row],[Hour]:[Hour]]&gt;=R$2),1,0)</f>
        <v>0</v>
      </c>
      <c r="S30" s="276" cm="1">
        <f t="array" ref="S30">IF(AND(S$2&lt;&gt;0,TblTech[[#This Row],[Hour]:[Hour]]&gt;=S$2),1,0)</f>
        <v>0</v>
      </c>
      <c r="T30" s="276" cm="1">
        <f t="array" ref="T30">IF(AND(T$2&lt;&gt;0,TblTech[[#This Row],[Hour]:[Hour]]&gt;=T$2),1,0)</f>
        <v>0</v>
      </c>
      <c r="U30" s="276" cm="1">
        <f t="array" ref="U30">IF(AND(U$2&lt;&gt;0,TblTech[[#This Row],[Hour]:[Hour]]&gt;=U$2),1,0)</f>
        <v>0</v>
      </c>
      <c r="V30" s="276" cm="1">
        <f t="array" ref="V30">IF(AND(V$2&lt;&gt;0,TblTech[[#This Row],[Hour]:[Hour]]&gt;=V$2),1,0)</f>
        <v>0</v>
      </c>
      <c r="W30" s="276" cm="1">
        <f t="array" ref="W30">IF(AND(W$2&lt;&gt;0,TblTech[[#This Row],[Hour]:[Hour]]&gt;=W$2),1,0)</f>
        <v>0</v>
      </c>
      <c r="X30" s="276" cm="1">
        <f t="array" ref="X30">IF(AND(X$2&lt;&gt;0,TblTech[[#This Row],[Hour]:[Hour]]&gt;=X$2),1,0)</f>
        <v>0</v>
      </c>
      <c r="Y30" s="276" cm="1">
        <f t="array" ref="Y30">IF(AND(Y$2&lt;&gt;0,TblTech[[#This Row],[Hour]:[Hour]]&gt;=Y$2),1,0)</f>
        <v>0</v>
      </c>
      <c r="Z30" s="276" cm="1">
        <f t="array" ref="Z30">IF(AND(Z$2&lt;&gt;0,TblTech[[#This Row],[Hour]:[Hour]]&gt;=Z$2),1,0)</f>
        <v>0</v>
      </c>
      <c r="AA30" s="276" cm="1">
        <f t="array" ref="AA30">IF(AND(AA$2&lt;&gt;0,TblTech[[#This Row],[Hour]:[Hour]]&gt;=AA$2),1,0)</f>
        <v>0</v>
      </c>
      <c r="AB30" s="276" cm="1">
        <f t="array" ref="AB30">IF(AND(AB$2&lt;&gt;0,TblTech[[#This Row],[Hour]:[Hour]]&gt;=AB$2),1,0)</f>
        <v>0</v>
      </c>
      <c r="AC30" s="276" cm="1">
        <f t="array" ref="AC30">IF(AND(AC$2&lt;&gt;0,TblTech[[#This Row],[Hour]:[Hour]]&gt;=AC$2),1,0)</f>
        <v>0</v>
      </c>
      <c r="AD30" s="276" cm="1">
        <f t="array" ref="AD30">IF(AND(AD$2&lt;&gt;0,TblTech[[#This Row],[Hour]:[Hour]]&gt;=AD$2),1,0)</f>
        <v>0</v>
      </c>
      <c r="AE30" s="276" cm="1">
        <f t="array" ref="AE30">IF(AND(AE$2&lt;&gt;0,TblTech[[#This Row],[Hour]:[Hour]]&gt;=AE$2),1,0)</f>
        <v>0</v>
      </c>
      <c r="AF30" s="276" cm="1">
        <f t="array" ref="AF30">IF(AND(AF$2&lt;&gt;0,TblTech[[#This Row],[Hour]:[Hour]]&gt;=AF$2),1,0)</f>
        <v>0</v>
      </c>
      <c r="AG30" s="276" cm="1">
        <f t="array" ref="AG30">IF(AND(AG$2&lt;&gt;0,TblTech[[#This Row],[Hour]:[Hour]]&gt;=AG$2),1,0)</f>
        <v>0</v>
      </c>
      <c r="AH30" s="276" cm="1">
        <f t="array" ref="AH30">IF(AND(AH$2&lt;&gt;0,TblTech[[#This Row],[Hour]:[Hour]]&gt;=AH$2),1,0)</f>
        <v>0</v>
      </c>
      <c r="AI30" s="276" cm="1">
        <f t="array" ref="AI30">IF(AND(AI$2&lt;&gt;0,TblTech[[#This Row],[Hour]:[Hour]]&gt;=AI$2),1,0)</f>
        <v>0</v>
      </c>
      <c r="AJ30" s="276" cm="1">
        <f t="array" ref="AJ30">IF(AND(AJ$2&lt;&gt;0,TblTech[[#This Row],[Hour]:[Hour]]&gt;=AJ$2),1,0)</f>
        <v>0</v>
      </c>
      <c r="AK30" s="276" cm="1">
        <f t="array" ref="AK30">IF(AND(AK$2&lt;&gt;0,TblTech[[#This Row],[Hour]:[Hour]]&gt;=AK$2),1,0)</f>
        <v>0</v>
      </c>
      <c r="AL30" s="276" cm="1">
        <f t="array" ref="AL30">IF(AND(AL$2&lt;&gt;0,TblTech[[#This Row],[Hour]:[Hour]]&gt;=AL$2),1,0)</f>
        <v>0</v>
      </c>
      <c r="AM30" s="276" cm="1">
        <f t="array" ref="AM30">IF(AND(AM$2&lt;&gt;0,TblTech[[#This Row],[Hour]:[Hour]]&gt;=AM$2),1,0)</f>
        <v>0</v>
      </c>
      <c r="AN30" s="276" cm="1">
        <f t="array" ref="AN30">IF(AND(AN$2&lt;&gt;0,TblTech[[#This Row],[Hour]:[Hour]]&gt;=AN$2),1,0)</f>
        <v>0</v>
      </c>
      <c r="AO30" s="276" cm="1">
        <f t="array" ref="AO30">IF(AND(AO$2&lt;&gt;0,TblTech[[#This Row],[Hour]:[Hour]]&gt;=AO$2),1,0)</f>
        <v>0</v>
      </c>
      <c r="AP30" s="276" cm="1">
        <f t="array" ref="AP30">IF(AND(AP$2&lt;&gt;0,TblTech[[#This Row],[Hour]:[Hour]]&gt;=AP$2),1,0)</f>
        <v>0</v>
      </c>
      <c r="AQ30" s="276" cm="1">
        <f t="array" ref="AQ30">IF(AND(AQ$2&lt;&gt;0,TblTech[[#This Row],[Hour]:[Hour]]&gt;=AQ$2),1,0)</f>
        <v>0</v>
      </c>
      <c r="AR30" s="276" cm="1">
        <f t="array" ref="AR30">IF(AND(AR$2&lt;&gt;0,TblTech[[#This Row],[Hour]:[Hour]]&gt;=AR$2),1,0)</f>
        <v>0</v>
      </c>
      <c r="AS30" s="276" cm="1">
        <f t="array" ref="AS30">IF(AND(AS$2&lt;&gt;0,TblTech[[#This Row],[Hour]:[Hour]]&gt;=AS$2),1,0)</f>
        <v>0</v>
      </c>
      <c r="AT30" s="276" cm="1">
        <f t="array" ref="AT30">IF(AND(AT$2&lt;&gt;0,TblTech[[#This Row],[Hour]:[Hour]]&gt;=AT$2),1,0)</f>
        <v>0</v>
      </c>
      <c r="AU30" s="276" cm="1">
        <f t="array" ref="AU30">IF(AND(AU$2&lt;&gt;0,TblTech[[#This Row],[Hour]:[Hour]]&gt;=AU$2),1,0)</f>
        <v>0</v>
      </c>
      <c r="AV30" s="276" cm="1">
        <f t="array" ref="AV30">IF(AND(AV$2&lt;&gt;0,TblTech[[#This Row],[Hour]:[Hour]]&gt;=AV$2),1,0)</f>
        <v>0</v>
      </c>
      <c r="AW30" s="276" cm="1">
        <f t="array" ref="AW30">IF(AND(AW$2&lt;&gt;0,TblTech[[#This Row],[Hour]:[Hour]]&gt;=AW$2),1,0)</f>
        <v>0</v>
      </c>
      <c r="AX30" s="276" cm="1">
        <f t="array" ref="AX30">IF(AND(AX$2&lt;&gt;0,TblTech[[#This Row],[Hour]:[Hour]]&gt;=AX$2),1,0)</f>
        <v>0</v>
      </c>
      <c r="AY30" s="276" cm="1">
        <f t="array" ref="AY30">IF(AND(AY$2&lt;&gt;0,TblTech[[#This Row],[Hour]:[Hour]]&gt;=AY$2),1,0)</f>
        <v>0</v>
      </c>
      <c r="AZ30" s="276" cm="1">
        <f t="array" ref="AZ30">IF(AND(AZ$2&lt;&gt;0,TblTech[[#This Row],[Hour]:[Hour]]&gt;=AZ$2),1,0)</f>
        <v>0</v>
      </c>
      <c r="BA30" s="276" cm="1">
        <f t="array" ref="BA30">IF(AND(BA$2&lt;&gt;0,TblTech[[#This Row],[Hour]:[Hour]]&gt;=BA$2),1,0)</f>
        <v>0</v>
      </c>
      <c r="BB30" s="276" cm="1">
        <f t="array" ref="BB30">IF(AND(BB$2&lt;&gt;0,TblTech[[#This Row],[Hour]:[Hour]]&gt;=BB$2),1,0)</f>
        <v>0</v>
      </c>
      <c r="BC30" s="276" cm="1">
        <f t="array" ref="BC30">IF(AND(BC$2&lt;&gt;0,TblTech[[#This Row],[Hour]:[Hour]]&gt;=BC$2),1,0)</f>
        <v>0</v>
      </c>
      <c r="BD30" s="276" cm="1">
        <f t="array" ref="BD30">IF(AND(BD$2&lt;&gt;0,TblTech[[#This Row],[Hour]:[Hour]]&gt;=BD$2),1,0)</f>
        <v>0</v>
      </c>
      <c r="BE30" s="276" cm="1">
        <f t="array" ref="BE30">IF(AND(BE$2&lt;&gt;0,TblTech[[#This Row],[Hour]:[Hour]]&gt;=BE$2),1,0)</f>
        <v>0</v>
      </c>
      <c r="BF30" s="276" cm="1">
        <f t="array" ref="BF30">IF(AND(BF$2&lt;&gt;0,TblTech[[#This Row],[Hour]:[Hour]]&gt;=BF$2),1,0)</f>
        <v>0</v>
      </c>
      <c r="BG30" s="276" cm="1">
        <f t="array" ref="BG30">IF(AND(BG$2&lt;&gt;0,TblTech[[#This Row],[Hour]:[Hour]]&gt;=BG$2),1,0)</f>
        <v>0</v>
      </c>
      <c r="BH30" s="276" cm="1">
        <f t="array" ref="BH30">IF(AND(BH$2&lt;&gt;0,TblTech[[#This Row],[Hour]:[Hour]]&gt;=BH$2),1,0)</f>
        <v>0</v>
      </c>
      <c r="BI30" s="276" cm="1">
        <f t="array" ref="BI30">IF(AND(BI$2&lt;&gt;0,TblTech[[#This Row],[Hour]:[Hour]]&gt;=BI$2),1,0)</f>
        <v>0</v>
      </c>
      <c r="BJ30" s="276" cm="1">
        <f t="array" ref="BJ30">IF(AND(BJ$2&lt;&gt;0,TblTech[[#This Row],[Hour]:[Hour]]&gt;=BJ$2),1,0)</f>
        <v>0</v>
      </c>
      <c r="BK30" s="276" cm="1">
        <f t="array" ref="BK30">IF(AND(BK$2&lt;&gt;0,TblTech[[#This Row],[Hour]:[Hour]]&gt;=BK$2),1,0)</f>
        <v>0</v>
      </c>
      <c r="BL30" s="276" cm="1">
        <f t="array" ref="BL30">IF(AND(BL$2&lt;&gt;0,TblTech[[#This Row],[Hour]:[Hour]]&gt;=BL$2),1,0)</f>
        <v>0</v>
      </c>
      <c r="BM30" s="276" cm="1">
        <f t="array" ref="BM30">IF(AND(BM$2&lt;&gt;0,TblTech[[#This Row],[Hour]:[Hour]]&gt;=BM$2),1,0)</f>
        <v>0</v>
      </c>
      <c r="BN30" s="276" cm="1">
        <f t="array" ref="BN30">IF(AND(BN$2&lt;&gt;0,TblTech[[#This Row],[Hour]:[Hour]]&gt;=BN$2),1,0)</f>
        <v>0</v>
      </c>
      <c r="BO30" s="276" cm="1">
        <f t="array" ref="BO30">IF(AND(BO$2&lt;&gt;0,TblTech[[#This Row],[Hour]:[Hour]]&gt;=BO$2),1,0)</f>
        <v>0</v>
      </c>
      <c r="BP30" s="276" cm="1">
        <f t="array" ref="BP30">IF(AND(BP$2&lt;&gt;0,TblTech[[#This Row],[Hour]:[Hour]]&gt;=BP$2),1,0)</f>
        <v>0</v>
      </c>
      <c r="BQ30" s="276" cm="1">
        <f t="array" ref="BQ30">IF(AND(BQ$2&lt;&gt;0,TblTech[[#This Row],[Hour]:[Hour]]&gt;=BQ$2),1,0)</f>
        <v>0</v>
      </c>
      <c r="BR30" s="276" cm="1">
        <f t="array" ref="BR30">IF(AND(BR$2&lt;&gt;0,TblTech[[#This Row],[Hour]:[Hour]]&gt;=BR$2),1,0)</f>
        <v>0</v>
      </c>
      <c r="BS30" s="276" cm="1">
        <f t="array" ref="BS30">IF(AND(BS$2&lt;&gt;0,TblTech[[#This Row],[Hour]:[Hour]]&gt;=BS$2),1,0)</f>
        <v>0</v>
      </c>
      <c r="BT30" s="276" cm="1">
        <f t="array" ref="BT30">IF(AND(BT$2&lt;&gt;0,TblTech[[#This Row],[Hour]:[Hour]]&gt;=BT$2),1,0)</f>
        <v>0</v>
      </c>
      <c r="BU30" s="276" cm="1">
        <f t="array" ref="BU30">IF(AND(BU$2&lt;&gt;0,TblTech[[#This Row],[Hour]:[Hour]]&gt;=BU$2),1,0)</f>
        <v>0</v>
      </c>
      <c r="BV30" s="276" cm="1">
        <f t="array" ref="BV30">IF(AND(BV$2&lt;&gt;0,TblTech[[#This Row],[Hour]:[Hour]]&gt;=BV$2),1,0)</f>
        <v>0</v>
      </c>
      <c r="BW30" s="276" cm="1">
        <f t="array" ref="BW30">IF(AND(BW$2&lt;&gt;0,TblTech[[#This Row],[Hour]:[Hour]]&gt;=BW$2),1,0)</f>
        <v>0</v>
      </c>
      <c r="BX30" s="276" cm="1">
        <f t="array" ref="BX30">IF(AND(BX$2&lt;&gt;0,TblTech[[#This Row],[Hour]:[Hour]]&gt;=BX$2),1,0)</f>
        <v>0</v>
      </c>
      <c r="BY30" s="276" cm="1">
        <f t="array" ref="BY30">IF(AND(BY$2&lt;&gt;0,TblTech[[#This Row],[Hour]:[Hour]]&gt;=BY$2),1,0)</f>
        <v>0</v>
      </c>
      <c r="BZ30" s="276" cm="1">
        <f t="array" ref="BZ30">IF(AND(BZ$2&lt;&gt;0,TblTech[[#This Row],[Hour]:[Hour]]&gt;=BZ$2),1,0)</f>
        <v>0</v>
      </c>
      <c r="CA30" s="377">
        <f>IFERROR(INDEX($H$4:$H$79,MATCH(INDEX(TblTech[[#Headers],[1-1]:[11-1]],1,MATCH(TblTech[[#This Row],[Hour]],$M$2:$BZ$2,0)),$G$4:$G$79,0)),)</f>
        <v>0</v>
      </c>
    </row>
    <row r="31" spans="1:79" x14ac:dyDescent="0.2">
      <c r="A31" s="268">
        <f>TblRezone[[#This Row],[Hour]]</f>
        <v>28</v>
      </c>
      <c r="B31" s="269">
        <f ca="1">TblExplore[[#This Row],[Land-DB]]</f>
        <v>110</v>
      </c>
      <c r="C31" s="270">
        <f ca="1">TblProd[[#This Row],[Techpoints]]</f>
        <v>0</v>
      </c>
      <c r="D31" s="270">
        <f ca="1">TblProd[[#This Row],[Required]]</f>
        <v>3750</v>
      </c>
      <c r="E31" s="271"/>
      <c r="F31" s="272"/>
      <c r="G31" s="273" t="s">
        <v>572</v>
      </c>
      <c r="H31" s="274" t="s">
        <v>683</v>
      </c>
      <c r="I31" s="273" t="s">
        <v>1047</v>
      </c>
      <c r="J31" s="269"/>
      <c r="K31" s="93">
        <f ca="1">IF(TblTech[[#This Row],[Sum of tech]]&lt;&gt;OFFSET(TblTech[[#This Row],[Sum of tech]],-1,0),1,0)</f>
        <v>0</v>
      </c>
      <c r="L31" s="275">
        <f>COUNTIF(TblTech[[#This Row],[1-1]:[11-1]],1)</f>
        <v>0</v>
      </c>
      <c r="M31" s="276" cm="1">
        <f t="array" ref="M31">IF(AND(M$2&lt;&gt;0,TblTech[[#This Row],[Hour]:[Hour]]&gt;=M$2),1,0)</f>
        <v>0</v>
      </c>
      <c r="N31" s="276" cm="1">
        <f t="array" ref="N31">IF(AND(N$2&lt;&gt;0,TblTech[[#This Row],[Hour]:[Hour]]&gt;=N$2),1,0)</f>
        <v>0</v>
      </c>
      <c r="O31" s="276" cm="1">
        <f t="array" ref="O31">IF(AND(O$2&lt;&gt;0,TblTech[[#This Row],[Hour]:[Hour]]&gt;=O$2),1,0)</f>
        <v>0</v>
      </c>
      <c r="P31" s="276" cm="1">
        <f t="array" ref="P31">IF(AND(P$2&lt;&gt;0,TblTech[[#This Row],[Hour]:[Hour]]&gt;=P$2),1,0)</f>
        <v>0</v>
      </c>
      <c r="Q31" s="276" cm="1">
        <f t="array" ref="Q31">IF(AND(Q$2&lt;&gt;0,TblTech[[#This Row],[Hour]:[Hour]]&gt;=Q$2),1,0)</f>
        <v>0</v>
      </c>
      <c r="R31" s="276" cm="1">
        <f t="array" ref="R31">IF(AND(R$2&lt;&gt;0,TblTech[[#This Row],[Hour]:[Hour]]&gt;=R$2),1,0)</f>
        <v>0</v>
      </c>
      <c r="S31" s="276" cm="1">
        <f t="array" ref="S31">IF(AND(S$2&lt;&gt;0,TblTech[[#This Row],[Hour]:[Hour]]&gt;=S$2),1,0)</f>
        <v>0</v>
      </c>
      <c r="T31" s="276" cm="1">
        <f t="array" ref="T31">IF(AND(T$2&lt;&gt;0,TblTech[[#This Row],[Hour]:[Hour]]&gt;=T$2),1,0)</f>
        <v>0</v>
      </c>
      <c r="U31" s="276" cm="1">
        <f t="array" ref="U31">IF(AND(U$2&lt;&gt;0,TblTech[[#This Row],[Hour]:[Hour]]&gt;=U$2),1,0)</f>
        <v>0</v>
      </c>
      <c r="V31" s="276" cm="1">
        <f t="array" ref="V31">IF(AND(V$2&lt;&gt;0,TblTech[[#This Row],[Hour]:[Hour]]&gt;=V$2),1,0)</f>
        <v>0</v>
      </c>
      <c r="W31" s="276" cm="1">
        <f t="array" ref="W31">IF(AND(W$2&lt;&gt;0,TblTech[[#This Row],[Hour]:[Hour]]&gt;=W$2),1,0)</f>
        <v>0</v>
      </c>
      <c r="X31" s="276" cm="1">
        <f t="array" ref="X31">IF(AND(X$2&lt;&gt;0,TblTech[[#This Row],[Hour]:[Hour]]&gt;=X$2),1,0)</f>
        <v>0</v>
      </c>
      <c r="Y31" s="276" cm="1">
        <f t="array" ref="Y31">IF(AND(Y$2&lt;&gt;0,TblTech[[#This Row],[Hour]:[Hour]]&gt;=Y$2),1,0)</f>
        <v>0</v>
      </c>
      <c r="Z31" s="276" cm="1">
        <f t="array" ref="Z31">IF(AND(Z$2&lt;&gt;0,TblTech[[#This Row],[Hour]:[Hour]]&gt;=Z$2),1,0)</f>
        <v>0</v>
      </c>
      <c r="AA31" s="276" cm="1">
        <f t="array" ref="AA31">IF(AND(AA$2&lt;&gt;0,TblTech[[#This Row],[Hour]:[Hour]]&gt;=AA$2),1,0)</f>
        <v>0</v>
      </c>
      <c r="AB31" s="276" cm="1">
        <f t="array" ref="AB31">IF(AND(AB$2&lt;&gt;0,TblTech[[#This Row],[Hour]:[Hour]]&gt;=AB$2),1,0)</f>
        <v>0</v>
      </c>
      <c r="AC31" s="276" cm="1">
        <f t="array" ref="AC31">IF(AND(AC$2&lt;&gt;0,TblTech[[#This Row],[Hour]:[Hour]]&gt;=AC$2),1,0)</f>
        <v>0</v>
      </c>
      <c r="AD31" s="276" cm="1">
        <f t="array" ref="AD31">IF(AND(AD$2&lt;&gt;0,TblTech[[#This Row],[Hour]:[Hour]]&gt;=AD$2),1,0)</f>
        <v>0</v>
      </c>
      <c r="AE31" s="276" cm="1">
        <f t="array" ref="AE31">IF(AND(AE$2&lt;&gt;0,TblTech[[#This Row],[Hour]:[Hour]]&gt;=AE$2),1,0)</f>
        <v>0</v>
      </c>
      <c r="AF31" s="276" cm="1">
        <f t="array" ref="AF31">IF(AND(AF$2&lt;&gt;0,TblTech[[#This Row],[Hour]:[Hour]]&gt;=AF$2),1,0)</f>
        <v>0</v>
      </c>
      <c r="AG31" s="276" cm="1">
        <f t="array" ref="AG31">IF(AND(AG$2&lt;&gt;0,TblTech[[#This Row],[Hour]:[Hour]]&gt;=AG$2),1,0)</f>
        <v>0</v>
      </c>
      <c r="AH31" s="276" cm="1">
        <f t="array" ref="AH31">IF(AND(AH$2&lt;&gt;0,TblTech[[#This Row],[Hour]:[Hour]]&gt;=AH$2),1,0)</f>
        <v>0</v>
      </c>
      <c r="AI31" s="276" cm="1">
        <f t="array" ref="AI31">IF(AND(AI$2&lt;&gt;0,TblTech[[#This Row],[Hour]:[Hour]]&gt;=AI$2),1,0)</f>
        <v>0</v>
      </c>
      <c r="AJ31" s="276" cm="1">
        <f t="array" ref="AJ31">IF(AND(AJ$2&lt;&gt;0,TblTech[[#This Row],[Hour]:[Hour]]&gt;=AJ$2),1,0)</f>
        <v>0</v>
      </c>
      <c r="AK31" s="276" cm="1">
        <f t="array" ref="AK31">IF(AND(AK$2&lt;&gt;0,TblTech[[#This Row],[Hour]:[Hour]]&gt;=AK$2),1,0)</f>
        <v>0</v>
      </c>
      <c r="AL31" s="276" cm="1">
        <f t="array" ref="AL31">IF(AND(AL$2&lt;&gt;0,TblTech[[#This Row],[Hour]:[Hour]]&gt;=AL$2),1,0)</f>
        <v>0</v>
      </c>
      <c r="AM31" s="276" cm="1">
        <f t="array" ref="AM31">IF(AND(AM$2&lt;&gt;0,TblTech[[#This Row],[Hour]:[Hour]]&gt;=AM$2),1,0)</f>
        <v>0</v>
      </c>
      <c r="AN31" s="276" cm="1">
        <f t="array" ref="AN31">IF(AND(AN$2&lt;&gt;0,TblTech[[#This Row],[Hour]:[Hour]]&gt;=AN$2),1,0)</f>
        <v>0</v>
      </c>
      <c r="AO31" s="276" cm="1">
        <f t="array" ref="AO31">IF(AND(AO$2&lt;&gt;0,TblTech[[#This Row],[Hour]:[Hour]]&gt;=AO$2),1,0)</f>
        <v>0</v>
      </c>
      <c r="AP31" s="276" cm="1">
        <f t="array" ref="AP31">IF(AND(AP$2&lt;&gt;0,TblTech[[#This Row],[Hour]:[Hour]]&gt;=AP$2),1,0)</f>
        <v>0</v>
      </c>
      <c r="AQ31" s="276" cm="1">
        <f t="array" ref="AQ31">IF(AND(AQ$2&lt;&gt;0,TblTech[[#This Row],[Hour]:[Hour]]&gt;=AQ$2),1,0)</f>
        <v>0</v>
      </c>
      <c r="AR31" s="276" cm="1">
        <f t="array" ref="AR31">IF(AND(AR$2&lt;&gt;0,TblTech[[#This Row],[Hour]:[Hour]]&gt;=AR$2),1,0)</f>
        <v>0</v>
      </c>
      <c r="AS31" s="276" cm="1">
        <f t="array" ref="AS31">IF(AND(AS$2&lt;&gt;0,TblTech[[#This Row],[Hour]:[Hour]]&gt;=AS$2),1,0)</f>
        <v>0</v>
      </c>
      <c r="AT31" s="276" cm="1">
        <f t="array" ref="AT31">IF(AND(AT$2&lt;&gt;0,TblTech[[#This Row],[Hour]:[Hour]]&gt;=AT$2),1,0)</f>
        <v>0</v>
      </c>
      <c r="AU31" s="276" cm="1">
        <f t="array" ref="AU31">IF(AND(AU$2&lt;&gt;0,TblTech[[#This Row],[Hour]:[Hour]]&gt;=AU$2),1,0)</f>
        <v>0</v>
      </c>
      <c r="AV31" s="276" cm="1">
        <f t="array" ref="AV31">IF(AND(AV$2&lt;&gt;0,TblTech[[#This Row],[Hour]:[Hour]]&gt;=AV$2),1,0)</f>
        <v>0</v>
      </c>
      <c r="AW31" s="276" cm="1">
        <f t="array" ref="AW31">IF(AND(AW$2&lt;&gt;0,TblTech[[#This Row],[Hour]:[Hour]]&gt;=AW$2),1,0)</f>
        <v>0</v>
      </c>
      <c r="AX31" s="276" cm="1">
        <f t="array" ref="AX31">IF(AND(AX$2&lt;&gt;0,TblTech[[#This Row],[Hour]:[Hour]]&gt;=AX$2),1,0)</f>
        <v>0</v>
      </c>
      <c r="AY31" s="276" cm="1">
        <f t="array" ref="AY31">IF(AND(AY$2&lt;&gt;0,TblTech[[#This Row],[Hour]:[Hour]]&gt;=AY$2),1,0)</f>
        <v>0</v>
      </c>
      <c r="AZ31" s="276" cm="1">
        <f t="array" ref="AZ31">IF(AND(AZ$2&lt;&gt;0,TblTech[[#This Row],[Hour]:[Hour]]&gt;=AZ$2),1,0)</f>
        <v>0</v>
      </c>
      <c r="BA31" s="276" cm="1">
        <f t="array" ref="BA31">IF(AND(BA$2&lt;&gt;0,TblTech[[#This Row],[Hour]:[Hour]]&gt;=BA$2),1,0)</f>
        <v>0</v>
      </c>
      <c r="BB31" s="276" cm="1">
        <f t="array" ref="BB31">IF(AND(BB$2&lt;&gt;0,TblTech[[#This Row],[Hour]:[Hour]]&gt;=BB$2),1,0)</f>
        <v>0</v>
      </c>
      <c r="BC31" s="276" cm="1">
        <f t="array" ref="BC31">IF(AND(BC$2&lt;&gt;0,TblTech[[#This Row],[Hour]:[Hour]]&gt;=BC$2),1,0)</f>
        <v>0</v>
      </c>
      <c r="BD31" s="276" cm="1">
        <f t="array" ref="BD31">IF(AND(BD$2&lt;&gt;0,TblTech[[#This Row],[Hour]:[Hour]]&gt;=BD$2),1,0)</f>
        <v>0</v>
      </c>
      <c r="BE31" s="276" cm="1">
        <f t="array" ref="BE31">IF(AND(BE$2&lt;&gt;0,TblTech[[#This Row],[Hour]:[Hour]]&gt;=BE$2),1,0)</f>
        <v>0</v>
      </c>
      <c r="BF31" s="276" cm="1">
        <f t="array" ref="BF31">IF(AND(BF$2&lt;&gt;0,TblTech[[#This Row],[Hour]:[Hour]]&gt;=BF$2),1,0)</f>
        <v>0</v>
      </c>
      <c r="BG31" s="276" cm="1">
        <f t="array" ref="BG31">IF(AND(BG$2&lt;&gt;0,TblTech[[#This Row],[Hour]:[Hour]]&gt;=BG$2),1,0)</f>
        <v>0</v>
      </c>
      <c r="BH31" s="276" cm="1">
        <f t="array" ref="BH31">IF(AND(BH$2&lt;&gt;0,TblTech[[#This Row],[Hour]:[Hour]]&gt;=BH$2),1,0)</f>
        <v>0</v>
      </c>
      <c r="BI31" s="276" cm="1">
        <f t="array" ref="BI31">IF(AND(BI$2&lt;&gt;0,TblTech[[#This Row],[Hour]:[Hour]]&gt;=BI$2),1,0)</f>
        <v>0</v>
      </c>
      <c r="BJ31" s="276" cm="1">
        <f t="array" ref="BJ31">IF(AND(BJ$2&lt;&gt;0,TblTech[[#This Row],[Hour]:[Hour]]&gt;=BJ$2),1,0)</f>
        <v>0</v>
      </c>
      <c r="BK31" s="276" cm="1">
        <f t="array" ref="BK31">IF(AND(BK$2&lt;&gt;0,TblTech[[#This Row],[Hour]:[Hour]]&gt;=BK$2),1,0)</f>
        <v>0</v>
      </c>
      <c r="BL31" s="276" cm="1">
        <f t="array" ref="BL31">IF(AND(BL$2&lt;&gt;0,TblTech[[#This Row],[Hour]:[Hour]]&gt;=BL$2),1,0)</f>
        <v>0</v>
      </c>
      <c r="BM31" s="276" cm="1">
        <f t="array" ref="BM31">IF(AND(BM$2&lt;&gt;0,TblTech[[#This Row],[Hour]:[Hour]]&gt;=BM$2),1,0)</f>
        <v>0</v>
      </c>
      <c r="BN31" s="276" cm="1">
        <f t="array" ref="BN31">IF(AND(BN$2&lt;&gt;0,TblTech[[#This Row],[Hour]:[Hour]]&gt;=BN$2),1,0)</f>
        <v>0</v>
      </c>
      <c r="BO31" s="276" cm="1">
        <f t="array" ref="BO31">IF(AND(BO$2&lt;&gt;0,TblTech[[#This Row],[Hour]:[Hour]]&gt;=BO$2),1,0)</f>
        <v>0</v>
      </c>
      <c r="BP31" s="276" cm="1">
        <f t="array" ref="BP31">IF(AND(BP$2&lt;&gt;0,TblTech[[#This Row],[Hour]:[Hour]]&gt;=BP$2),1,0)</f>
        <v>0</v>
      </c>
      <c r="BQ31" s="276" cm="1">
        <f t="array" ref="BQ31">IF(AND(BQ$2&lt;&gt;0,TblTech[[#This Row],[Hour]:[Hour]]&gt;=BQ$2),1,0)</f>
        <v>0</v>
      </c>
      <c r="BR31" s="276" cm="1">
        <f t="array" ref="BR31">IF(AND(BR$2&lt;&gt;0,TblTech[[#This Row],[Hour]:[Hour]]&gt;=BR$2),1,0)</f>
        <v>0</v>
      </c>
      <c r="BS31" s="276" cm="1">
        <f t="array" ref="BS31">IF(AND(BS$2&lt;&gt;0,TblTech[[#This Row],[Hour]:[Hour]]&gt;=BS$2),1,0)</f>
        <v>0</v>
      </c>
      <c r="BT31" s="276" cm="1">
        <f t="array" ref="BT31">IF(AND(BT$2&lt;&gt;0,TblTech[[#This Row],[Hour]:[Hour]]&gt;=BT$2),1,0)</f>
        <v>0</v>
      </c>
      <c r="BU31" s="276" cm="1">
        <f t="array" ref="BU31">IF(AND(BU$2&lt;&gt;0,TblTech[[#This Row],[Hour]:[Hour]]&gt;=BU$2),1,0)</f>
        <v>0</v>
      </c>
      <c r="BV31" s="276" cm="1">
        <f t="array" ref="BV31">IF(AND(BV$2&lt;&gt;0,TblTech[[#This Row],[Hour]:[Hour]]&gt;=BV$2),1,0)</f>
        <v>0</v>
      </c>
      <c r="BW31" s="276" cm="1">
        <f t="array" ref="BW31">IF(AND(BW$2&lt;&gt;0,TblTech[[#This Row],[Hour]:[Hour]]&gt;=BW$2),1,0)</f>
        <v>0</v>
      </c>
      <c r="BX31" s="276" cm="1">
        <f t="array" ref="BX31">IF(AND(BX$2&lt;&gt;0,TblTech[[#This Row],[Hour]:[Hour]]&gt;=BX$2),1,0)</f>
        <v>0</v>
      </c>
      <c r="BY31" s="276" cm="1">
        <f t="array" ref="BY31">IF(AND(BY$2&lt;&gt;0,TblTech[[#This Row],[Hour]:[Hour]]&gt;=BY$2),1,0)</f>
        <v>0</v>
      </c>
      <c r="BZ31" s="276" cm="1">
        <f t="array" ref="BZ31">IF(AND(BZ$2&lt;&gt;0,TblTech[[#This Row],[Hour]:[Hour]]&gt;=BZ$2),1,0)</f>
        <v>0</v>
      </c>
      <c r="CA31" s="377">
        <f>IFERROR(INDEX($H$4:$H$79,MATCH(INDEX(TblTech[[#Headers],[1-1]:[11-1]],1,MATCH(TblTech[[#This Row],[Hour]],$M$2:$BZ$2,0)),$G$4:$G$79,0)),)</f>
        <v>0</v>
      </c>
    </row>
    <row r="32" spans="1:79" x14ac:dyDescent="0.2">
      <c r="A32" s="268">
        <f>TblRezone[[#This Row],[Hour]]</f>
        <v>29</v>
      </c>
      <c r="B32" s="269">
        <f ca="1">TblExplore[[#This Row],[Land-DB]]</f>
        <v>110</v>
      </c>
      <c r="C32" s="270">
        <f ca="1">TblProd[[#This Row],[Techpoints]]</f>
        <v>0</v>
      </c>
      <c r="D32" s="270">
        <f ca="1">TblProd[[#This Row],[Required]]</f>
        <v>3750</v>
      </c>
      <c r="E32" s="271"/>
      <c r="F32" s="272"/>
      <c r="G32" s="273" t="s">
        <v>573</v>
      </c>
      <c r="H32" s="274" t="s">
        <v>694</v>
      </c>
      <c r="I32" s="273" t="s">
        <v>561</v>
      </c>
      <c r="J32" s="269"/>
      <c r="K32" s="93">
        <f ca="1">IF(TblTech[[#This Row],[Sum of tech]]&lt;&gt;OFFSET(TblTech[[#This Row],[Sum of tech]],-1,0),1,0)</f>
        <v>0</v>
      </c>
      <c r="L32" s="275">
        <f>COUNTIF(TblTech[[#This Row],[1-1]:[11-1]],1)</f>
        <v>0</v>
      </c>
      <c r="M32" s="276" cm="1">
        <f t="array" ref="M32">IF(AND(M$2&lt;&gt;0,TblTech[[#This Row],[Hour]:[Hour]]&gt;=M$2),1,0)</f>
        <v>0</v>
      </c>
      <c r="N32" s="276" cm="1">
        <f t="array" ref="N32">IF(AND(N$2&lt;&gt;0,TblTech[[#This Row],[Hour]:[Hour]]&gt;=N$2),1,0)</f>
        <v>0</v>
      </c>
      <c r="O32" s="276" cm="1">
        <f t="array" ref="O32">IF(AND(O$2&lt;&gt;0,TblTech[[#This Row],[Hour]:[Hour]]&gt;=O$2),1,0)</f>
        <v>0</v>
      </c>
      <c r="P32" s="276" cm="1">
        <f t="array" ref="P32">IF(AND(P$2&lt;&gt;0,TblTech[[#This Row],[Hour]:[Hour]]&gt;=P$2),1,0)</f>
        <v>0</v>
      </c>
      <c r="Q32" s="276" cm="1">
        <f t="array" ref="Q32">IF(AND(Q$2&lt;&gt;0,TblTech[[#This Row],[Hour]:[Hour]]&gt;=Q$2),1,0)</f>
        <v>0</v>
      </c>
      <c r="R32" s="276" cm="1">
        <f t="array" ref="R32">IF(AND(R$2&lt;&gt;0,TblTech[[#This Row],[Hour]:[Hour]]&gt;=R$2),1,0)</f>
        <v>0</v>
      </c>
      <c r="S32" s="276" cm="1">
        <f t="array" ref="S32">IF(AND(S$2&lt;&gt;0,TblTech[[#This Row],[Hour]:[Hour]]&gt;=S$2),1,0)</f>
        <v>0</v>
      </c>
      <c r="T32" s="276" cm="1">
        <f t="array" ref="T32">IF(AND(T$2&lt;&gt;0,TblTech[[#This Row],[Hour]:[Hour]]&gt;=T$2),1,0)</f>
        <v>0</v>
      </c>
      <c r="U32" s="276" cm="1">
        <f t="array" ref="U32">IF(AND(U$2&lt;&gt;0,TblTech[[#This Row],[Hour]:[Hour]]&gt;=U$2),1,0)</f>
        <v>0</v>
      </c>
      <c r="V32" s="276" cm="1">
        <f t="array" ref="V32">IF(AND(V$2&lt;&gt;0,TblTech[[#This Row],[Hour]:[Hour]]&gt;=V$2),1,0)</f>
        <v>0</v>
      </c>
      <c r="W32" s="276" cm="1">
        <f t="array" ref="W32">IF(AND(W$2&lt;&gt;0,TblTech[[#This Row],[Hour]:[Hour]]&gt;=W$2),1,0)</f>
        <v>0</v>
      </c>
      <c r="X32" s="276" cm="1">
        <f t="array" ref="X32">IF(AND(X$2&lt;&gt;0,TblTech[[#This Row],[Hour]:[Hour]]&gt;=X$2),1,0)</f>
        <v>0</v>
      </c>
      <c r="Y32" s="276" cm="1">
        <f t="array" ref="Y32">IF(AND(Y$2&lt;&gt;0,TblTech[[#This Row],[Hour]:[Hour]]&gt;=Y$2),1,0)</f>
        <v>0</v>
      </c>
      <c r="Z32" s="276" cm="1">
        <f t="array" ref="Z32">IF(AND(Z$2&lt;&gt;0,TblTech[[#This Row],[Hour]:[Hour]]&gt;=Z$2),1,0)</f>
        <v>0</v>
      </c>
      <c r="AA32" s="276" cm="1">
        <f t="array" ref="AA32">IF(AND(AA$2&lt;&gt;0,TblTech[[#This Row],[Hour]:[Hour]]&gt;=AA$2),1,0)</f>
        <v>0</v>
      </c>
      <c r="AB32" s="276" cm="1">
        <f t="array" ref="AB32">IF(AND(AB$2&lt;&gt;0,TblTech[[#This Row],[Hour]:[Hour]]&gt;=AB$2),1,0)</f>
        <v>0</v>
      </c>
      <c r="AC32" s="276" cm="1">
        <f t="array" ref="AC32">IF(AND(AC$2&lt;&gt;0,TblTech[[#This Row],[Hour]:[Hour]]&gt;=AC$2),1,0)</f>
        <v>0</v>
      </c>
      <c r="AD32" s="276" cm="1">
        <f t="array" ref="AD32">IF(AND(AD$2&lt;&gt;0,TblTech[[#This Row],[Hour]:[Hour]]&gt;=AD$2),1,0)</f>
        <v>0</v>
      </c>
      <c r="AE32" s="276" cm="1">
        <f t="array" ref="AE32">IF(AND(AE$2&lt;&gt;0,TblTech[[#This Row],[Hour]:[Hour]]&gt;=AE$2),1,0)</f>
        <v>0</v>
      </c>
      <c r="AF32" s="276" cm="1">
        <f t="array" ref="AF32">IF(AND(AF$2&lt;&gt;0,TblTech[[#This Row],[Hour]:[Hour]]&gt;=AF$2),1,0)</f>
        <v>0</v>
      </c>
      <c r="AG32" s="276" cm="1">
        <f t="array" ref="AG32">IF(AND(AG$2&lt;&gt;0,TblTech[[#This Row],[Hour]:[Hour]]&gt;=AG$2),1,0)</f>
        <v>0</v>
      </c>
      <c r="AH32" s="276" cm="1">
        <f t="array" ref="AH32">IF(AND(AH$2&lt;&gt;0,TblTech[[#This Row],[Hour]:[Hour]]&gt;=AH$2),1,0)</f>
        <v>0</v>
      </c>
      <c r="AI32" s="276" cm="1">
        <f t="array" ref="AI32">IF(AND(AI$2&lt;&gt;0,TblTech[[#This Row],[Hour]:[Hour]]&gt;=AI$2),1,0)</f>
        <v>0</v>
      </c>
      <c r="AJ32" s="276" cm="1">
        <f t="array" ref="AJ32">IF(AND(AJ$2&lt;&gt;0,TblTech[[#This Row],[Hour]:[Hour]]&gt;=AJ$2),1,0)</f>
        <v>0</v>
      </c>
      <c r="AK32" s="276" cm="1">
        <f t="array" ref="AK32">IF(AND(AK$2&lt;&gt;0,TblTech[[#This Row],[Hour]:[Hour]]&gt;=AK$2),1,0)</f>
        <v>0</v>
      </c>
      <c r="AL32" s="276" cm="1">
        <f t="array" ref="AL32">IF(AND(AL$2&lt;&gt;0,TblTech[[#This Row],[Hour]:[Hour]]&gt;=AL$2),1,0)</f>
        <v>0</v>
      </c>
      <c r="AM32" s="276" cm="1">
        <f t="array" ref="AM32">IF(AND(AM$2&lt;&gt;0,TblTech[[#This Row],[Hour]:[Hour]]&gt;=AM$2),1,0)</f>
        <v>0</v>
      </c>
      <c r="AN32" s="276" cm="1">
        <f t="array" ref="AN32">IF(AND(AN$2&lt;&gt;0,TblTech[[#This Row],[Hour]:[Hour]]&gt;=AN$2),1,0)</f>
        <v>0</v>
      </c>
      <c r="AO32" s="276" cm="1">
        <f t="array" ref="AO32">IF(AND(AO$2&lt;&gt;0,TblTech[[#This Row],[Hour]:[Hour]]&gt;=AO$2),1,0)</f>
        <v>0</v>
      </c>
      <c r="AP32" s="276" cm="1">
        <f t="array" ref="AP32">IF(AND(AP$2&lt;&gt;0,TblTech[[#This Row],[Hour]:[Hour]]&gt;=AP$2),1,0)</f>
        <v>0</v>
      </c>
      <c r="AQ32" s="276" cm="1">
        <f t="array" ref="AQ32">IF(AND(AQ$2&lt;&gt;0,TblTech[[#This Row],[Hour]:[Hour]]&gt;=AQ$2),1,0)</f>
        <v>0</v>
      </c>
      <c r="AR32" s="276" cm="1">
        <f t="array" ref="AR32">IF(AND(AR$2&lt;&gt;0,TblTech[[#This Row],[Hour]:[Hour]]&gt;=AR$2),1,0)</f>
        <v>0</v>
      </c>
      <c r="AS32" s="276" cm="1">
        <f t="array" ref="AS32">IF(AND(AS$2&lt;&gt;0,TblTech[[#This Row],[Hour]:[Hour]]&gt;=AS$2),1,0)</f>
        <v>0</v>
      </c>
      <c r="AT32" s="276" cm="1">
        <f t="array" ref="AT32">IF(AND(AT$2&lt;&gt;0,TblTech[[#This Row],[Hour]:[Hour]]&gt;=AT$2),1,0)</f>
        <v>0</v>
      </c>
      <c r="AU32" s="276" cm="1">
        <f t="array" ref="AU32">IF(AND(AU$2&lt;&gt;0,TblTech[[#This Row],[Hour]:[Hour]]&gt;=AU$2),1,0)</f>
        <v>0</v>
      </c>
      <c r="AV32" s="276" cm="1">
        <f t="array" ref="AV32">IF(AND(AV$2&lt;&gt;0,TblTech[[#This Row],[Hour]:[Hour]]&gt;=AV$2),1,0)</f>
        <v>0</v>
      </c>
      <c r="AW32" s="276" cm="1">
        <f t="array" ref="AW32">IF(AND(AW$2&lt;&gt;0,TblTech[[#This Row],[Hour]:[Hour]]&gt;=AW$2),1,0)</f>
        <v>0</v>
      </c>
      <c r="AX32" s="276" cm="1">
        <f t="array" ref="AX32">IF(AND(AX$2&lt;&gt;0,TblTech[[#This Row],[Hour]:[Hour]]&gt;=AX$2),1,0)</f>
        <v>0</v>
      </c>
      <c r="AY32" s="276" cm="1">
        <f t="array" ref="AY32">IF(AND(AY$2&lt;&gt;0,TblTech[[#This Row],[Hour]:[Hour]]&gt;=AY$2),1,0)</f>
        <v>0</v>
      </c>
      <c r="AZ32" s="276" cm="1">
        <f t="array" ref="AZ32">IF(AND(AZ$2&lt;&gt;0,TblTech[[#This Row],[Hour]:[Hour]]&gt;=AZ$2),1,0)</f>
        <v>0</v>
      </c>
      <c r="BA32" s="276" cm="1">
        <f t="array" ref="BA32">IF(AND(BA$2&lt;&gt;0,TblTech[[#This Row],[Hour]:[Hour]]&gt;=BA$2),1,0)</f>
        <v>0</v>
      </c>
      <c r="BB32" s="276" cm="1">
        <f t="array" ref="BB32">IF(AND(BB$2&lt;&gt;0,TblTech[[#This Row],[Hour]:[Hour]]&gt;=BB$2),1,0)</f>
        <v>0</v>
      </c>
      <c r="BC32" s="276" cm="1">
        <f t="array" ref="BC32">IF(AND(BC$2&lt;&gt;0,TblTech[[#This Row],[Hour]:[Hour]]&gt;=BC$2),1,0)</f>
        <v>0</v>
      </c>
      <c r="BD32" s="276" cm="1">
        <f t="array" ref="BD32">IF(AND(BD$2&lt;&gt;0,TblTech[[#This Row],[Hour]:[Hour]]&gt;=BD$2),1,0)</f>
        <v>0</v>
      </c>
      <c r="BE32" s="276" cm="1">
        <f t="array" ref="BE32">IF(AND(BE$2&lt;&gt;0,TblTech[[#This Row],[Hour]:[Hour]]&gt;=BE$2),1,0)</f>
        <v>0</v>
      </c>
      <c r="BF32" s="276" cm="1">
        <f t="array" ref="BF32">IF(AND(BF$2&lt;&gt;0,TblTech[[#This Row],[Hour]:[Hour]]&gt;=BF$2),1,0)</f>
        <v>0</v>
      </c>
      <c r="BG32" s="276" cm="1">
        <f t="array" ref="BG32">IF(AND(BG$2&lt;&gt;0,TblTech[[#This Row],[Hour]:[Hour]]&gt;=BG$2),1,0)</f>
        <v>0</v>
      </c>
      <c r="BH32" s="276" cm="1">
        <f t="array" ref="BH32">IF(AND(BH$2&lt;&gt;0,TblTech[[#This Row],[Hour]:[Hour]]&gt;=BH$2),1,0)</f>
        <v>0</v>
      </c>
      <c r="BI32" s="276" cm="1">
        <f t="array" ref="BI32">IF(AND(BI$2&lt;&gt;0,TblTech[[#This Row],[Hour]:[Hour]]&gt;=BI$2),1,0)</f>
        <v>0</v>
      </c>
      <c r="BJ32" s="276" cm="1">
        <f t="array" ref="BJ32">IF(AND(BJ$2&lt;&gt;0,TblTech[[#This Row],[Hour]:[Hour]]&gt;=BJ$2),1,0)</f>
        <v>0</v>
      </c>
      <c r="BK32" s="276" cm="1">
        <f t="array" ref="BK32">IF(AND(BK$2&lt;&gt;0,TblTech[[#This Row],[Hour]:[Hour]]&gt;=BK$2),1,0)</f>
        <v>0</v>
      </c>
      <c r="BL32" s="276" cm="1">
        <f t="array" ref="BL32">IF(AND(BL$2&lt;&gt;0,TblTech[[#This Row],[Hour]:[Hour]]&gt;=BL$2),1,0)</f>
        <v>0</v>
      </c>
      <c r="BM32" s="276" cm="1">
        <f t="array" ref="BM32">IF(AND(BM$2&lt;&gt;0,TblTech[[#This Row],[Hour]:[Hour]]&gt;=BM$2),1,0)</f>
        <v>0</v>
      </c>
      <c r="BN32" s="276" cm="1">
        <f t="array" ref="BN32">IF(AND(BN$2&lt;&gt;0,TblTech[[#This Row],[Hour]:[Hour]]&gt;=BN$2),1,0)</f>
        <v>0</v>
      </c>
      <c r="BO32" s="276" cm="1">
        <f t="array" ref="BO32">IF(AND(BO$2&lt;&gt;0,TblTech[[#This Row],[Hour]:[Hour]]&gt;=BO$2),1,0)</f>
        <v>0</v>
      </c>
      <c r="BP32" s="276" cm="1">
        <f t="array" ref="BP32">IF(AND(BP$2&lt;&gt;0,TblTech[[#This Row],[Hour]:[Hour]]&gt;=BP$2),1,0)</f>
        <v>0</v>
      </c>
      <c r="BQ32" s="276" cm="1">
        <f t="array" ref="BQ32">IF(AND(BQ$2&lt;&gt;0,TblTech[[#This Row],[Hour]:[Hour]]&gt;=BQ$2),1,0)</f>
        <v>0</v>
      </c>
      <c r="BR32" s="276" cm="1">
        <f t="array" ref="BR32">IF(AND(BR$2&lt;&gt;0,TblTech[[#This Row],[Hour]:[Hour]]&gt;=BR$2),1,0)</f>
        <v>0</v>
      </c>
      <c r="BS32" s="276" cm="1">
        <f t="array" ref="BS32">IF(AND(BS$2&lt;&gt;0,TblTech[[#This Row],[Hour]:[Hour]]&gt;=BS$2),1,0)</f>
        <v>0</v>
      </c>
      <c r="BT32" s="276" cm="1">
        <f t="array" ref="BT32">IF(AND(BT$2&lt;&gt;0,TblTech[[#This Row],[Hour]:[Hour]]&gt;=BT$2),1,0)</f>
        <v>0</v>
      </c>
      <c r="BU32" s="276" cm="1">
        <f t="array" ref="BU32">IF(AND(BU$2&lt;&gt;0,TblTech[[#This Row],[Hour]:[Hour]]&gt;=BU$2),1,0)</f>
        <v>0</v>
      </c>
      <c r="BV32" s="276" cm="1">
        <f t="array" ref="BV32">IF(AND(BV$2&lt;&gt;0,TblTech[[#This Row],[Hour]:[Hour]]&gt;=BV$2),1,0)</f>
        <v>0</v>
      </c>
      <c r="BW32" s="276" cm="1">
        <f t="array" ref="BW32">IF(AND(BW$2&lt;&gt;0,TblTech[[#This Row],[Hour]:[Hour]]&gt;=BW$2),1,0)</f>
        <v>0</v>
      </c>
      <c r="BX32" s="276" cm="1">
        <f t="array" ref="BX32">IF(AND(BX$2&lt;&gt;0,TblTech[[#This Row],[Hour]:[Hour]]&gt;=BX$2),1,0)</f>
        <v>0</v>
      </c>
      <c r="BY32" s="276" cm="1">
        <f t="array" ref="BY32">IF(AND(BY$2&lt;&gt;0,TblTech[[#This Row],[Hour]:[Hour]]&gt;=BY$2),1,0)</f>
        <v>0</v>
      </c>
      <c r="BZ32" s="276" cm="1">
        <f t="array" ref="BZ32">IF(AND(BZ$2&lt;&gt;0,TblTech[[#This Row],[Hour]:[Hour]]&gt;=BZ$2),1,0)</f>
        <v>0</v>
      </c>
      <c r="CA32" s="377">
        <f>IFERROR(INDEX($H$4:$H$79,MATCH(INDEX(TblTech[[#Headers],[1-1]:[11-1]],1,MATCH(TblTech[[#This Row],[Hour]],$M$2:$BZ$2,0)),$G$4:$G$79,0)),)</f>
        <v>0</v>
      </c>
    </row>
    <row r="33" spans="1:79" x14ac:dyDescent="0.2">
      <c r="A33" s="268">
        <f>TblRezone[[#This Row],[Hour]]</f>
        <v>30</v>
      </c>
      <c r="B33" s="269">
        <f ca="1">TblExplore[[#This Row],[Land-DB]]</f>
        <v>110</v>
      </c>
      <c r="C33" s="270">
        <f ca="1">TblProd[[#This Row],[Techpoints]]</f>
        <v>0</v>
      </c>
      <c r="D33" s="270">
        <f ca="1">TblProd[[#This Row],[Required]]</f>
        <v>3750</v>
      </c>
      <c r="E33" s="271"/>
      <c r="F33" s="272"/>
      <c r="G33" s="273" t="s">
        <v>574</v>
      </c>
      <c r="H33" s="274" t="s">
        <v>702</v>
      </c>
      <c r="I33" s="273" t="s">
        <v>740</v>
      </c>
      <c r="J33" s="269"/>
      <c r="K33" s="93">
        <f ca="1">IF(TblTech[[#This Row],[Sum of tech]]&lt;&gt;OFFSET(TblTech[[#This Row],[Sum of tech]],-1,0),1,0)</f>
        <v>0</v>
      </c>
      <c r="L33" s="275">
        <f>COUNTIF(TblTech[[#This Row],[1-1]:[11-1]],1)</f>
        <v>0</v>
      </c>
      <c r="M33" s="276" cm="1">
        <f t="array" ref="M33">IF(AND(M$2&lt;&gt;0,TblTech[[#This Row],[Hour]:[Hour]]&gt;=M$2),1,0)</f>
        <v>0</v>
      </c>
      <c r="N33" s="276" cm="1">
        <f t="array" ref="N33">IF(AND(N$2&lt;&gt;0,TblTech[[#This Row],[Hour]:[Hour]]&gt;=N$2),1,0)</f>
        <v>0</v>
      </c>
      <c r="O33" s="276" cm="1">
        <f t="array" ref="O33">IF(AND(O$2&lt;&gt;0,TblTech[[#This Row],[Hour]:[Hour]]&gt;=O$2),1,0)</f>
        <v>0</v>
      </c>
      <c r="P33" s="276" cm="1">
        <f t="array" ref="P33">IF(AND(P$2&lt;&gt;0,TblTech[[#This Row],[Hour]:[Hour]]&gt;=P$2),1,0)</f>
        <v>0</v>
      </c>
      <c r="Q33" s="276" cm="1">
        <f t="array" ref="Q33">IF(AND(Q$2&lt;&gt;0,TblTech[[#This Row],[Hour]:[Hour]]&gt;=Q$2),1,0)</f>
        <v>0</v>
      </c>
      <c r="R33" s="276" cm="1">
        <f t="array" ref="R33">IF(AND(R$2&lt;&gt;0,TblTech[[#This Row],[Hour]:[Hour]]&gt;=R$2),1,0)</f>
        <v>0</v>
      </c>
      <c r="S33" s="276" cm="1">
        <f t="array" ref="S33">IF(AND(S$2&lt;&gt;0,TblTech[[#This Row],[Hour]:[Hour]]&gt;=S$2),1,0)</f>
        <v>0</v>
      </c>
      <c r="T33" s="276" cm="1">
        <f t="array" ref="T33">IF(AND(T$2&lt;&gt;0,TblTech[[#This Row],[Hour]:[Hour]]&gt;=T$2),1,0)</f>
        <v>0</v>
      </c>
      <c r="U33" s="276" cm="1">
        <f t="array" ref="U33">IF(AND(U$2&lt;&gt;0,TblTech[[#This Row],[Hour]:[Hour]]&gt;=U$2),1,0)</f>
        <v>0</v>
      </c>
      <c r="V33" s="276" cm="1">
        <f t="array" ref="V33">IF(AND(V$2&lt;&gt;0,TblTech[[#This Row],[Hour]:[Hour]]&gt;=V$2),1,0)</f>
        <v>0</v>
      </c>
      <c r="W33" s="276" cm="1">
        <f t="array" ref="W33">IF(AND(W$2&lt;&gt;0,TblTech[[#This Row],[Hour]:[Hour]]&gt;=W$2),1,0)</f>
        <v>0</v>
      </c>
      <c r="X33" s="276" cm="1">
        <f t="array" ref="X33">IF(AND(X$2&lt;&gt;0,TblTech[[#This Row],[Hour]:[Hour]]&gt;=X$2),1,0)</f>
        <v>0</v>
      </c>
      <c r="Y33" s="276" cm="1">
        <f t="array" ref="Y33">IF(AND(Y$2&lt;&gt;0,TblTech[[#This Row],[Hour]:[Hour]]&gt;=Y$2),1,0)</f>
        <v>0</v>
      </c>
      <c r="Z33" s="276" cm="1">
        <f t="array" ref="Z33">IF(AND(Z$2&lt;&gt;0,TblTech[[#This Row],[Hour]:[Hour]]&gt;=Z$2),1,0)</f>
        <v>0</v>
      </c>
      <c r="AA33" s="276" cm="1">
        <f t="array" ref="AA33">IF(AND(AA$2&lt;&gt;0,TblTech[[#This Row],[Hour]:[Hour]]&gt;=AA$2),1,0)</f>
        <v>0</v>
      </c>
      <c r="AB33" s="276" cm="1">
        <f t="array" ref="AB33">IF(AND(AB$2&lt;&gt;0,TblTech[[#This Row],[Hour]:[Hour]]&gt;=AB$2),1,0)</f>
        <v>0</v>
      </c>
      <c r="AC33" s="276" cm="1">
        <f t="array" ref="AC33">IF(AND(AC$2&lt;&gt;0,TblTech[[#This Row],[Hour]:[Hour]]&gt;=AC$2),1,0)</f>
        <v>0</v>
      </c>
      <c r="AD33" s="276" cm="1">
        <f t="array" ref="AD33">IF(AND(AD$2&lt;&gt;0,TblTech[[#This Row],[Hour]:[Hour]]&gt;=AD$2),1,0)</f>
        <v>0</v>
      </c>
      <c r="AE33" s="276" cm="1">
        <f t="array" ref="AE33">IF(AND(AE$2&lt;&gt;0,TblTech[[#This Row],[Hour]:[Hour]]&gt;=AE$2),1,0)</f>
        <v>0</v>
      </c>
      <c r="AF33" s="276" cm="1">
        <f t="array" ref="AF33">IF(AND(AF$2&lt;&gt;0,TblTech[[#This Row],[Hour]:[Hour]]&gt;=AF$2),1,0)</f>
        <v>0</v>
      </c>
      <c r="AG33" s="276" cm="1">
        <f t="array" ref="AG33">IF(AND(AG$2&lt;&gt;0,TblTech[[#This Row],[Hour]:[Hour]]&gt;=AG$2),1,0)</f>
        <v>0</v>
      </c>
      <c r="AH33" s="276" cm="1">
        <f t="array" ref="AH33">IF(AND(AH$2&lt;&gt;0,TblTech[[#This Row],[Hour]:[Hour]]&gt;=AH$2),1,0)</f>
        <v>0</v>
      </c>
      <c r="AI33" s="276" cm="1">
        <f t="array" ref="AI33">IF(AND(AI$2&lt;&gt;0,TblTech[[#This Row],[Hour]:[Hour]]&gt;=AI$2),1,0)</f>
        <v>0</v>
      </c>
      <c r="AJ33" s="276" cm="1">
        <f t="array" ref="AJ33">IF(AND(AJ$2&lt;&gt;0,TblTech[[#This Row],[Hour]:[Hour]]&gt;=AJ$2),1,0)</f>
        <v>0</v>
      </c>
      <c r="AK33" s="276" cm="1">
        <f t="array" ref="AK33">IF(AND(AK$2&lt;&gt;0,TblTech[[#This Row],[Hour]:[Hour]]&gt;=AK$2),1,0)</f>
        <v>0</v>
      </c>
      <c r="AL33" s="276" cm="1">
        <f t="array" ref="AL33">IF(AND(AL$2&lt;&gt;0,TblTech[[#This Row],[Hour]:[Hour]]&gt;=AL$2),1,0)</f>
        <v>0</v>
      </c>
      <c r="AM33" s="276" cm="1">
        <f t="array" ref="AM33">IF(AND(AM$2&lt;&gt;0,TblTech[[#This Row],[Hour]:[Hour]]&gt;=AM$2),1,0)</f>
        <v>0</v>
      </c>
      <c r="AN33" s="276" cm="1">
        <f t="array" ref="AN33">IF(AND(AN$2&lt;&gt;0,TblTech[[#This Row],[Hour]:[Hour]]&gt;=AN$2),1,0)</f>
        <v>0</v>
      </c>
      <c r="AO33" s="276" cm="1">
        <f t="array" ref="AO33">IF(AND(AO$2&lt;&gt;0,TblTech[[#This Row],[Hour]:[Hour]]&gt;=AO$2),1,0)</f>
        <v>0</v>
      </c>
      <c r="AP33" s="276" cm="1">
        <f t="array" ref="AP33">IF(AND(AP$2&lt;&gt;0,TblTech[[#This Row],[Hour]:[Hour]]&gt;=AP$2),1,0)</f>
        <v>0</v>
      </c>
      <c r="AQ33" s="276" cm="1">
        <f t="array" ref="AQ33">IF(AND(AQ$2&lt;&gt;0,TblTech[[#This Row],[Hour]:[Hour]]&gt;=AQ$2),1,0)</f>
        <v>0</v>
      </c>
      <c r="AR33" s="276" cm="1">
        <f t="array" ref="AR33">IF(AND(AR$2&lt;&gt;0,TblTech[[#This Row],[Hour]:[Hour]]&gt;=AR$2),1,0)</f>
        <v>0</v>
      </c>
      <c r="AS33" s="276" cm="1">
        <f t="array" ref="AS33">IF(AND(AS$2&lt;&gt;0,TblTech[[#This Row],[Hour]:[Hour]]&gt;=AS$2),1,0)</f>
        <v>0</v>
      </c>
      <c r="AT33" s="276" cm="1">
        <f t="array" ref="AT33">IF(AND(AT$2&lt;&gt;0,TblTech[[#This Row],[Hour]:[Hour]]&gt;=AT$2),1,0)</f>
        <v>0</v>
      </c>
      <c r="AU33" s="276" cm="1">
        <f t="array" ref="AU33">IF(AND(AU$2&lt;&gt;0,TblTech[[#This Row],[Hour]:[Hour]]&gt;=AU$2),1,0)</f>
        <v>0</v>
      </c>
      <c r="AV33" s="276" cm="1">
        <f t="array" ref="AV33">IF(AND(AV$2&lt;&gt;0,TblTech[[#This Row],[Hour]:[Hour]]&gt;=AV$2),1,0)</f>
        <v>0</v>
      </c>
      <c r="AW33" s="276" cm="1">
        <f t="array" ref="AW33">IF(AND(AW$2&lt;&gt;0,TblTech[[#This Row],[Hour]:[Hour]]&gt;=AW$2),1,0)</f>
        <v>0</v>
      </c>
      <c r="AX33" s="276" cm="1">
        <f t="array" ref="AX33">IF(AND(AX$2&lt;&gt;0,TblTech[[#This Row],[Hour]:[Hour]]&gt;=AX$2),1,0)</f>
        <v>0</v>
      </c>
      <c r="AY33" s="276" cm="1">
        <f t="array" ref="AY33">IF(AND(AY$2&lt;&gt;0,TblTech[[#This Row],[Hour]:[Hour]]&gt;=AY$2),1,0)</f>
        <v>0</v>
      </c>
      <c r="AZ33" s="276" cm="1">
        <f t="array" ref="AZ33">IF(AND(AZ$2&lt;&gt;0,TblTech[[#This Row],[Hour]:[Hour]]&gt;=AZ$2),1,0)</f>
        <v>0</v>
      </c>
      <c r="BA33" s="276" cm="1">
        <f t="array" ref="BA33">IF(AND(BA$2&lt;&gt;0,TblTech[[#This Row],[Hour]:[Hour]]&gt;=BA$2),1,0)</f>
        <v>0</v>
      </c>
      <c r="BB33" s="276" cm="1">
        <f t="array" ref="BB33">IF(AND(BB$2&lt;&gt;0,TblTech[[#This Row],[Hour]:[Hour]]&gt;=BB$2),1,0)</f>
        <v>0</v>
      </c>
      <c r="BC33" s="276" cm="1">
        <f t="array" ref="BC33">IF(AND(BC$2&lt;&gt;0,TblTech[[#This Row],[Hour]:[Hour]]&gt;=BC$2),1,0)</f>
        <v>0</v>
      </c>
      <c r="BD33" s="276" cm="1">
        <f t="array" ref="BD33">IF(AND(BD$2&lt;&gt;0,TblTech[[#This Row],[Hour]:[Hour]]&gt;=BD$2),1,0)</f>
        <v>0</v>
      </c>
      <c r="BE33" s="276" cm="1">
        <f t="array" ref="BE33">IF(AND(BE$2&lt;&gt;0,TblTech[[#This Row],[Hour]:[Hour]]&gt;=BE$2),1,0)</f>
        <v>0</v>
      </c>
      <c r="BF33" s="276" cm="1">
        <f t="array" ref="BF33">IF(AND(BF$2&lt;&gt;0,TblTech[[#This Row],[Hour]:[Hour]]&gt;=BF$2),1,0)</f>
        <v>0</v>
      </c>
      <c r="BG33" s="276" cm="1">
        <f t="array" ref="BG33">IF(AND(BG$2&lt;&gt;0,TblTech[[#This Row],[Hour]:[Hour]]&gt;=BG$2),1,0)</f>
        <v>0</v>
      </c>
      <c r="BH33" s="276" cm="1">
        <f t="array" ref="BH33">IF(AND(BH$2&lt;&gt;0,TblTech[[#This Row],[Hour]:[Hour]]&gt;=BH$2),1,0)</f>
        <v>0</v>
      </c>
      <c r="BI33" s="276" cm="1">
        <f t="array" ref="BI33">IF(AND(BI$2&lt;&gt;0,TblTech[[#This Row],[Hour]:[Hour]]&gt;=BI$2),1,0)</f>
        <v>0</v>
      </c>
      <c r="BJ33" s="276" cm="1">
        <f t="array" ref="BJ33">IF(AND(BJ$2&lt;&gt;0,TblTech[[#This Row],[Hour]:[Hour]]&gt;=BJ$2),1,0)</f>
        <v>0</v>
      </c>
      <c r="BK33" s="276" cm="1">
        <f t="array" ref="BK33">IF(AND(BK$2&lt;&gt;0,TblTech[[#This Row],[Hour]:[Hour]]&gt;=BK$2),1,0)</f>
        <v>0</v>
      </c>
      <c r="BL33" s="276" cm="1">
        <f t="array" ref="BL33">IF(AND(BL$2&lt;&gt;0,TblTech[[#This Row],[Hour]:[Hour]]&gt;=BL$2),1,0)</f>
        <v>0</v>
      </c>
      <c r="BM33" s="276" cm="1">
        <f t="array" ref="BM33">IF(AND(BM$2&lt;&gt;0,TblTech[[#This Row],[Hour]:[Hour]]&gt;=BM$2),1,0)</f>
        <v>0</v>
      </c>
      <c r="BN33" s="276" cm="1">
        <f t="array" ref="BN33">IF(AND(BN$2&lt;&gt;0,TblTech[[#This Row],[Hour]:[Hour]]&gt;=BN$2),1,0)</f>
        <v>0</v>
      </c>
      <c r="BO33" s="276" cm="1">
        <f t="array" ref="BO33">IF(AND(BO$2&lt;&gt;0,TblTech[[#This Row],[Hour]:[Hour]]&gt;=BO$2),1,0)</f>
        <v>0</v>
      </c>
      <c r="BP33" s="276" cm="1">
        <f t="array" ref="BP33">IF(AND(BP$2&lt;&gt;0,TblTech[[#This Row],[Hour]:[Hour]]&gt;=BP$2),1,0)</f>
        <v>0</v>
      </c>
      <c r="BQ33" s="276" cm="1">
        <f t="array" ref="BQ33">IF(AND(BQ$2&lt;&gt;0,TblTech[[#This Row],[Hour]:[Hour]]&gt;=BQ$2),1,0)</f>
        <v>0</v>
      </c>
      <c r="BR33" s="276" cm="1">
        <f t="array" ref="BR33">IF(AND(BR$2&lt;&gt;0,TblTech[[#This Row],[Hour]:[Hour]]&gt;=BR$2),1,0)</f>
        <v>0</v>
      </c>
      <c r="BS33" s="276" cm="1">
        <f t="array" ref="BS33">IF(AND(BS$2&lt;&gt;0,TblTech[[#This Row],[Hour]:[Hour]]&gt;=BS$2),1,0)</f>
        <v>0</v>
      </c>
      <c r="BT33" s="276" cm="1">
        <f t="array" ref="BT33">IF(AND(BT$2&lt;&gt;0,TblTech[[#This Row],[Hour]:[Hour]]&gt;=BT$2),1,0)</f>
        <v>0</v>
      </c>
      <c r="BU33" s="276" cm="1">
        <f t="array" ref="BU33">IF(AND(BU$2&lt;&gt;0,TblTech[[#This Row],[Hour]:[Hour]]&gt;=BU$2),1,0)</f>
        <v>0</v>
      </c>
      <c r="BV33" s="276" cm="1">
        <f t="array" ref="BV33">IF(AND(BV$2&lt;&gt;0,TblTech[[#This Row],[Hour]:[Hour]]&gt;=BV$2),1,0)</f>
        <v>0</v>
      </c>
      <c r="BW33" s="276" cm="1">
        <f t="array" ref="BW33">IF(AND(BW$2&lt;&gt;0,TblTech[[#This Row],[Hour]:[Hour]]&gt;=BW$2),1,0)</f>
        <v>0</v>
      </c>
      <c r="BX33" s="276" cm="1">
        <f t="array" ref="BX33">IF(AND(BX$2&lt;&gt;0,TblTech[[#This Row],[Hour]:[Hour]]&gt;=BX$2),1,0)</f>
        <v>0</v>
      </c>
      <c r="BY33" s="276" cm="1">
        <f t="array" ref="BY33">IF(AND(BY$2&lt;&gt;0,TblTech[[#This Row],[Hour]:[Hour]]&gt;=BY$2),1,0)</f>
        <v>0</v>
      </c>
      <c r="BZ33" s="276" cm="1">
        <f t="array" ref="BZ33">IF(AND(BZ$2&lt;&gt;0,TblTech[[#This Row],[Hour]:[Hour]]&gt;=BZ$2),1,0)</f>
        <v>0</v>
      </c>
      <c r="CA33" s="377">
        <f>IFERROR(INDEX($H$4:$H$79,MATCH(INDEX(TblTech[[#Headers],[1-1]:[11-1]],1,MATCH(TblTech[[#This Row],[Hour]],$M$2:$BZ$2,0)),$G$4:$G$79,0)),)</f>
        <v>0</v>
      </c>
    </row>
    <row r="34" spans="1:79" x14ac:dyDescent="0.2">
      <c r="A34" s="268">
        <f>TblRezone[[#This Row],[Hour]]</f>
        <v>31</v>
      </c>
      <c r="B34" s="269">
        <f ca="1">TblExplore[[#This Row],[Land-DB]]</f>
        <v>110</v>
      </c>
      <c r="C34" s="270">
        <f ca="1">TblProd[[#This Row],[Techpoints]]</f>
        <v>0</v>
      </c>
      <c r="D34" s="270">
        <f ca="1">TblProd[[#This Row],[Required]]</f>
        <v>3750</v>
      </c>
      <c r="E34" s="271"/>
      <c r="F34" s="272"/>
      <c r="G34" s="273" t="s">
        <v>575</v>
      </c>
      <c r="H34" s="274" t="s">
        <v>1121</v>
      </c>
      <c r="I34" s="273" t="s">
        <v>1122</v>
      </c>
      <c r="J34" s="269"/>
      <c r="K34" s="93">
        <f ca="1">IF(TblTech[[#This Row],[Sum of tech]]&lt;&gt;OFFSET(TblTech[[#This Row],[Sum of tech]],-1,0),1,0)</f>
        <v>0</v>
      </c>
      <c r="L34" s="275">
        <f>COUNTIF(TblTech[[#This Row],[1-1]:[11-1]],1)</f>
        <v>0</v>
      </c>
      <c r="M34" s="276" cm="1">
        <f t="array" ref="M34">IF(AND(M$2&lt;&gt;0,TblTech[[#This Row],[Hour]:[Hour]]&gt;=M$2),1,0)</f>
        <v>0</v>
      </c>
      <c r="N34" s="276" cm="1">
        <f t="array" ref="N34">IF(AND(N$2&lt;&gt;0,TblTech[[#This Row],[Hour]:[Hour]]&gt;=N$2),1,0)</f>
        <v>0</v>
      </c>
      <c r="O34" s="276" cm="1">
        <f t="array" ref="O34">IF(AND(O$2&lt;&gt;0,TblTech[[#This Row],[Hour]:[Hour]]&gt;=O$2),1,0)</f>
        <v>0</v>
      </c>
      <c r="P34" s="276" cm="1">
        <f t="array" ref="P34">IF(AND(P$2&lt;&gt;0,TblTech[[#This Row],[Hour]:[Hour]]&gt;=P$2),1,0)</f>
        <v>0</v>
      </c>
      <c r="Q34" s="276" cm="1">
        <f t="array" ref="Q34">IF(AND(Q$2&lt;&gt;0,TblTech[[#This Row],[Hour]:[Hour]]&gt;=Q$2),1,0)</f>
        <v>0</v>
      </c>
      <c r="R34" s="276" cm="1">
        <f t="array" ref="R34">IF(AND(R$2&lt;&gt;0,TblTech[[#This Row],[Hour]:[Hour]]&gt;=R$2),1,0)</f>
        <v>0</v>
      </c>
      <c r="S34" s="276" cm="1">
        <f t="array" ref="S34">IF(AND(S$2&lt;&gt;0,TblTech[[#This Row],[Hour]:[Hour]]&gt;=S$2),1,0)</f>
        <v>0</v>
      </c>
      <c r="T34" s="276" cm="1">
        <f t="array" ref="T34">IF(AND(T$2&lt;&gt;0,TblTech[[#This Row],[Hour]:[Hour]]&gt;=T$2),1,0)</f>
        <v>0</v>
      </c>
      <c r="U34" s="276" cm="1">
        <f t="array" ref="U34">IF(AND(U$2&lt;&gt;0,TblTech[[#This Row],[Hour]:[Hour]]&gt;=U$2),1,0)</f>
        <v>0</v>
      </c>
      <c r="V34" s="276" cm="1">
        <f t="array" ref="V34">IF(AND(V$2&lt;&gt;0,TblTech[[#This Row],[Hour]:[Hour]]&gt;=V$2),1,0)</f>
        <v>0</v>
      </c>
      <c r="W34" s="276" cm="1">
        <f t="array" ref="W34">IF(AND(W$2&lt;&gt;0,TblTech[[#This Row],[Hour]:[Hour]]&gt;=W$2),1,0)</f>
        <v>0</v>
      </c>
      <c r="X34" s="276" cm="1">
        <f t="array" ref="X34">IF(AND(X$2&lt;&gt;0,TblTech[[#This Row],[Hour]:[Hour]]&gt;=X$2),1,0)</f>
        <v>0</v>
      </c>
      <c r="Y34" s="276" cm="1">
        <f t="array" ref="Y34">IF(AND(Y$2&lt;&gt;0,TblTech[[#This Row],[Hour]:[Hour]]&gt;=Y$2),1,0)</f>
        <v>0</v>
      </c>
      <c r="Z34" s="276" cm="1">
        <f t="array" ref="Z34">IF(AND(Z$2&lt;&gt;0,TblTech[[#This Row],[Hour]:[Hour]]&gt;=Z$2),1,0)</f>
        <v>0</v>
      </c>
      <c r="AA34" s="276" cm="1">
        <f t="array" ref="AA34">IF(AND(AA$2&lt;&gt;0,TblTech[[#This Row],[Hour]:[Hour]]&gt;=AA$2),1,0)</f>
        <v>0</v>
      </c>
      <c r="AB34" s="276" cm="1">
        <f t="array" ref="AB34">IF(AND(AB$2&lt;&gt;0,TblTech[[#This Row],[Hour]:[Hour]]&gt;=AB$2),1,0)</f>
        <v>0</v>
      </c>
      <c r="AC34" s="276" cm="1">
        <f t="array" ref="AC34">IF(AND(AC$2&lt;&gt;0,TblTech[[#This Row],[Hour]:[Hour]]&gt;=AC$2),1,0)</f>
        <v>0</v>
      </c>
      <c r="AD34" s="276" cm="1">
        <f t="array" ref="AD34">IF(AND(AD$2&lt;&gt;0,TblTech[[#This Row],[Hour]:[Hour]]&gt;=AD$2),1,0)</f>
        <v>0</v>
      </c>
      <c r="AE34" s="276" cm="1">
        <f t="array" ref="AE34">IF(AND(AE$2&lt;&gt;0,TblTech[[#This Row],[Hour]:[Hour]]&gt;=AE$2),1,0)</f>
        <v>0</v>
      </c>
      <c r="AF34" s="276" cm="1">
        <f t="array" ref="AF34">IF(AND(AF$2&lt;&gt;0,TblTech[[#This Row],[Hour]:[Hour]]&gt;=AF$2),1,0)</f>
        <v>0</v>
      </c>
      <c r="AG34" s="276" cm="1">
        <f t="array" ref="AG34">IF(AND(AG$2&lt;&gt;0,TblTech[[#This Row],[Hour]:[Hour]]&gt;=AG$2),1,0)</f>
        <v>0</v>
      </c>
      <c r="AH34" s="276" cm="1">
        <f t="array" ref="AH34">IF(AND(AH$2&lt;&gt;0,TblTech[[#This Row],[Hour]:[Hour]]&gt;=AH$2),1,0)</f>
        <v>0</v>
      </c>
      <c r="AI34" s="276" cm="1">
        <f t="array" ref="AI34">IF(AND(AI$2&lt;&gt;0,TblTech[[#This Row],[Hour]:[Hour]]&gt;=AI$2),1,0)</f>
        <v>0</v>
      </c>
      <c r="AJ34" s="276" cm="1">
        <f t="array" ref="AJ34">IF(AND(AJ$2&lt;&gt;0,TblTech[[#This Row],[Hour]:[Hour]]&gt;=AJ$2),1,0)</f>
        <v>0</v>
      </c>
      <c r="AK34" s="276" cm="1">
        <f t="array" ref="AK34">IF(AND(AK$2&lt;&gt;0,TblTech[[#This Row],[Hour]:[Hour]]&gt;=AK$2),1,0)</f>
        <v>0</v>
      </c>
      <c r="AL34" s="276" cm="1">
        <f t="array" ref="AL34">IF(AND(AL$2&lt;&gt;0,TblTech[[#This Row],[Hour]:[Hour]]&gt;=AL$2),1,0)</f>
        <v>0</v>
      </c>
      <c r="AM34" s="276" cm="1">
        <f t="array" ref="AM34">IF(AND(AM$2&lt;&gt;0,TblTech[[#This Row],[Hour]:[Hour]]&gt;=AM$2),1,0)</f>
        <v>0</v>
      </c>
      <c r="AN34" s="276" cm="1">
        <f t="array" ref="AN34">IF(AND(AN$2&lt;&gt;0,TblTech[[#This Row],[Hour]:[Hour]]&gt;=AN$2),1,0)</f>
        <v>0</v>
      </c>
      <c r="AO34" s="276" cm="1">
        <f t="array" ref="AO34">IF(AND(AO$2&lt;&gt;0,TblTech[[#This Row],[Hour]:[Hour]]&gt;=AO$2),1,0)</f>
        <v>0</v>
      </c>
      <c r="AP34" s="276" cm="1">
        <f t="array" ref="AP34">IF(AND(AP$2&lt;&gt;0,TblTech[[#This Row],[Hour]:[Hour]]&gt;=AP$2),1,0)</f>
        <v>0</v>
      </c>
      <c r="AQ34" s="276" cm="1">
        <f t="array" ref="AQ34">IF(AND(AQ$2&lt;&gt;0,TblTech[[#This Row],[Hour]:[Hour]]&gt;=AQ$2),1,0)</f>
        <v>0</v>
      </c>
      <c r="AR34" s="276" cm="1">
        <f t="array" ref="AR34">IF(AND(AR$2&lt;&gt;0,TblTech[[#This Row],[Hour]:[Hour]]&gt;=AR$2),1,0)</f>
        <v>0</v>
      </c>
      <c r="AS34" s="276" cm="1">
        <f t="array" ref="AS34">IF(AND(AS$2&lt;&gt;0,TblTech[[#This Row],[Hour]:[Hour]]&gt;=AS$2),1,0)</f>
        <v>0</v>
      </c>
      <c r="AT34" s="276" cm="1">
        <f t="array" ref="AT34">IF(AND(AT$2&lt;&gt;0,TblTech[[#This Row],[Hour]:[Hour]]&gt;=AT$2),1,0)</f>
        <v>0</v>
      </c>
      <c r="AU34" s="276" cm="1">
        <f t="array" ref="AU34">IF(AND(AU$2&lt;&gt;0,TblTech[[#This Row],[Hour]:[Hour]]&gt;=AU$2),1,0)</f>
        <v>0</v>
      </c>
      <c r="AV34" s="276" cm="1">
        <f t="array" ref="AV34">IF(AND(AV$2&lt;&gt;0,TblTech[[#This Row],[Hour]:[Hour]]&gt;=AV$2),1,0)</f>
        <v>0</v>
      </c>
      <c r="AW34" s="276" cm="1">
        <f t="array" ref="AW34">IF(AND(AW$2&lt;&gt;0,TblTech[[#This Row],[Hour]:[Hour]]&gt;=AW$2),1,0)</f>
        <v>0</v>
      </c>
      <c r="AX34" s="276" cm="1">
        <f t="array" ref="AX34">IF(AND(AX$2&lt;&gt;0,TblTech[[#This Row],[Hour]:[Hour]]&gt;=AX$2),1,0)</f>
        <v>0</v>
      </c>
      <c r="AY34" s="276" cm="1">
        <f t="array" ref="AY34">IF(AND(AY$2&lt;&gt;0,TblTech[[#This Row],[Hour]:[Hour]]&gt;=AY$2),1,0)</f>
        <v>0</v>
      </c>
      <c r="AZ34" s="276" cm="1">
        <f t="array" ref="AZ34">IF(AND(AZ$2&lt;&gt;0,TblTech[[#This Row],[Hour]:[Hour]]&gt;=AZ$2),1,0)</f>
        <v>0</v>
      </c>
      <c r="BA34" s="276" cm="1">
        <f t="array" ref="BA34">IF(AND(BA$2&lt;&gt;0,TblTech[[#This Row],[Hour]:[Hour]]&gt;=BA$2),1,0)</f>
        <v>0</v>
      </c>
      <c r="BB34" s="276" cm="1">
        <f t="array" ref="BB34">IF(AND(BB$2&lt;&gt;0,TblTech[[#This Row],[Hour]:[Hour]]&gt;=BB$2),1,0)</f>
        <v>0</v>
      </c>
      <c r="BC34" s="276" cm="1">
        <f t="array" ref="BC34">IF(AND(BC$2&lt;&gt;0,TblTech[[#This Row],[Hour]:[Hour]]&gt;=BC$2),1,0)</f>
        <v>0</v>
      </c>
      <c r="BD34" s="276" cm="1">
        <f t="array" ref="BD34">IF(AND(BD$2&lt;&gt;0,TblTech[[#This Row],[Hour]:[Hour]]&gt;=BD$2),1,0)</f>
        <v>0</v>
      </c>
      <c r="BE34" s="276" cm="1">
        <f t="array" ref="BE34">IF(AND(BE$2&lt;&gt;0,TblTech[[#This Row],[Hour]:[Hour]]&gt;=BE$2),1,0)</f>
        <v>0</v>
      </c>
      <c r="BF34" s="276" cm="1">
        <f t="array" ref="BF34">IF(AND(BF$2&lt;&gt;0,TblTech[[#This Row],[Hour]:[Hour]]&gt;=BF$2),1,0)</f>
        <v>0</v>
      </c>
      <c r="BG34" s="276" cm="1">
        <f t="array" ref="BG34">IF(AND(BG$2&lt;&gt;0,TblTech[[#This Row],[Hour]:[Hour]]&gt;=BG$2),1,0)</f>
        <v>0</v>
      </c>
      <c r="BH34" s="276" cm="1">
        <f t="array" ref="BH34">IF(AND(BH$2&lt;&gt;0,TblTech[[#This Row],[Hour]:[Hour]]&gt;=BH$2),1,0)</f>
        <v>0</v>
      </c>
      <c r="BI34" s="276" cm="1">
        <f t="array" ref="BI34">IF(AND(BI$2&lt;&gt;0,TblTech[[#This Row],[Hour]:[Hour]]&gt;=BI$2),1,0)</f>
        <v>0</v>
      </c>
      <c r="BJ34" s="276" cm="1">
        <f t="array" ref="BJ34">IF(AND(BJ$2&lt;&gt;0,TblTech[[#This Row],[Hour]:[Hour]]&gt;=BJ$2),1,0)</f>
        <v>0</v>
      </c>
      <c r="BK34" s="276" cm="1">
        <f t="array" ref="BK34">IF(AND(BK$2&lt;&gt;0,TblTech[[#This Row],[Hour]:[Hour]]&gt;=BK$2),1,0)</f>
        <v>0</v>
      </c>
      <c r="BL34" s="276" cm="1">
        <f t="array" ref="BL34">IF(AND(BL$2&lt;&gt;0,TblTech[[#This Row],[Hour]:[Hour]]&gt;=BL$2),1,0)</f>
        <v>0</v>
      </c>
      <c r="BM34" s="276" cm="1">
        <f t="array" ref="BM34">IF(AND(BM$2&lt;&gt;0,TblTech[[#This Row],[Hour]:[Hour]]&gt;=BM$2),1,0)</f>
        <v>0</v>
      </c>
      <c r="BN34" s="276" cm="1">
        <f t="array" ref="BN34">IF(AND(BN$2&lt;&gt;0,TblTech[[#This Row],[Hour]:[Hour]]&gt;=BN$2),1,0)</f>
        <v>0</v>
      </c>
      <c r="BO34" s="276" cm="1">
        <f t="array" ref="BO34">IF(AND(BO$2&lt;&gt;0,TblTech[[#This Row],[Hour]:[Hour]]&gt;=BO$2),1,0)</f>
        <v>0</v>
      </c>
      <c r="BP34" s="276" cm="1">
        <f t="array" ref="BP34">IF(AND(BP$2&lt;&gt;0,TblTech[[#This Row],[Hour]:[Hour]]&gt;=BP$2),1,0)</f>
        <v>0</v>
      </c>
      <c r="BQ34" s="276" cm="1">
        <f t="array" ref="BQ34">IF(AND(BQ$2&lt;&gt;0,TblTech[[#This Row],[Hour]:[Hour]]&gt;=BQ$2),1,0)</f>
        <v>0</v>
      </c>
      <c r="BR34" s="276" cm="1">
        <f t="array" ref="BR34">IF(AND(BR$2&lt;&gt;0,TblTech[[#This Row],[Hour]:[Hour]]&gt;=BR$2),1,0)</f>
        <v>0</v>
      </c>
      <c r="BS34" s="276" cm="1">
        <f t="array" ref="BS34">IF(AND(BS$2&lt;&gt;0,TblTech[[#This Row],[Hour]:[Hour]]&gt;=BS$2),1,0)</f>
        <v>0</v>
      </c>
      <c r="BT34" s="276" cm="1">
        <f t="array" ref="BT34">IF(AND(BT$2&lt;&gt;0,TblTech[[#This Row],[Hour]:[Hour]]&gt;=BT$2),1,0)</f>
        <v>0</v>
      </c>
      <c r="BU34" s="276" cm="1">
        <f t="array" ref="BU34">IF(AND(BU$2&lt;&gt;0,TblTech[[#This Row],[Hour]:[Hour]]&gt;=BU$2),1,0)</f>
        <v>0</v>
      </c>
      <c r="BV34" s="276" cm="1">
        <f t="array" ref="BV34">IF(AND(BV$2&lt;&gt;0,TblTech[[#This Row],[Hour]:[Hour]]&gt;=BV$2),1,0)</f>
        <v>0</v>
      </c>
      <c r="BW34" s="276" cm="1">
        <f t="array" ref="BW34">IF(AND(BW$2&lt;&gt;0,TblTech[[#This Row],[Hour]:[Hour]]&gt;=BW$2),1,0)</f>
        <v>0</v>
      </c>
      <c r="BX34" s="276" cm="1">
        <f t="array" ref="BX34">IF(AND(BX$2&lt;&gt;0,TblTech[[#This Row],[Hour]:[Hour]]&gt;=BX$2),1,0)</f>
        <v>0</v>
      </c>
      <c r="BY34" s="276" cm="1">
        <f t="array" ref="BY34">IF(AND(BY$2&lt;&gt;0,TblTech[[#This Row],[Hour]:[Hour]]&gt;=BY$2),1,0)</f>
        <v>0</v>
      </c>
      <c r="BZ34" s="276" cm="1">
        <f t="array" ref="BZ34">IF(AND(BZ$2&lt;&gt;0,TblTech[[#This Row],[Hour]:[Hour]]&gt;=BZ$2),1,0)</f>
        <v>0</v>
      </c>
      <c r="CA34" s="377">
        <f>IFERROR(INDEX($H$4:$H$79,MATCH(INDEX(TblTech[[#Headers],[1-1]:[11-1]],1,MATCH(TblTech[[#This Row],[Hour]],$M$2:$BZ$2,0)),$G$4:$G$79,0)),)</f>
        <v>0</v>
      </c>
    </row>
    <row r="35" spans="1:79" x14ac:dyDescent="0.2">
      <c r="A35" s="268">
        <f>TblRezone[[#This Row],[Hour]]</f>
        <v>32</v>
      </c>
      <c r="B35" s="269">
        <f ca="1">TblExplore[[#This Row],[Land-DB]]</f>
        <v>110</v>
      </c>
      <c r="C35" s="270">
        <f ca="1">TblProd[[#This Row],[Techpoints]]</f>
        <v>0</v>
      </c>
      <c r="D35" s="270">
        <f ca="1">TblProd[[#This Row],[Required]]</f>
        <v>3750</v>
      </c>
      <c r="E35" s="271"/>
      <c r="F35" s="272"/>
      <c r="G35" s="273" t="s">
        <v>576</v>
      </c>
      <c r="H35" s="274" t="s">
        <v>687</v>
      </c>
      <c r="I35" s="273" t="s">
        <v>550</v>
      </c>
      <c r="J35" s="269"/>
      <c r="K35" s="93">
        <f ca="1">IF(TblTech[[#This Row],[Sum of tech]]&lt;&gt;OFFSET(TblTech[[#This Row],[Sum of tech]],-1,0),1,0)</f>
        <v>0</v>
      </c>
      <c r="L35" s="275">
        <f>COUNTIF(TblTech[[#This Row],[1-1]:[11-1]],1)</f>
        <v>0</v>
      </c>
      <c r="M35" s="276" cm="1">
        <f t="array" ref="M35">IF(AND(M$2&lt;&gt;0,TblTech[[#This Row],[Hour]:[Hour]]&gt;=M$2),1,0)</f>
        <v>0</v>
      </c>
      <c r="N35" s="276" cm="1">
        <f t="array" ref="N35">IF(AND(N$2&lt;&gt;0,TblTech[[#This Row],[Hour]:[Hour]]&gt;=N$2),1,0)</f>
        <v>0</v>
      </c>
      <c r="O35" s="276" cm="1">
        <f t="array" ref="O35">IF(AND(O$2&lt;&gt;0,TblTech[[#This Row],[Hour]:[Hour]]&gt;=O$2),1,0)</f>
        <v>0</v>
      </c>
      <c r="P35" s="276" cm="1">
        <f t="array" ref="P35">IF(AND(P$2&lt;&gt;0,TblTech[[#This Row],[Hour]:[Hour]]&gt;=P$2),1,0)</f>
        <v>0</v>
      </c>
      <c r="Q35" s="276" cm="1">
        <f t="array" ref="Q35">IF(AND(Q$2&lt;&gt;0,TblTech[[#This Row],[Hour]:[Hour]]&gt;=Q$2),1,0)</f>
        <v>0</v>
      </c>
      <c r="R35" s="276" cm="1">
        <f t="array" ref="R35">IF(AND(R$2&lt;&gt;0,TblTech[[#This Row],[Hour]:[Hour]]&gt;=R$2),1,0)</f>
        <v>0</v>
      </c>
      <c r="S35" s="276" cm="1">
        <f t="array" ref="S35">IF(AND(S$2&lt;&gt;0,TblTech[[#This Row],[Hour]:[Hour]]&gt;=S$2),1,0)</f>
        <v>0</v>
      </c>
      <c r="T35" s="276" cm="1">
        <f t="array" ref="T35">IF(AND(T$2&lt;&gt;0,TblTech[[#This Row],[Hour]:[Hour]]&gt;=T$2),1,0)</f>
        <v>0</v>
      </c>
      <c r="U35" s="276" cm="1">
        <f t="array" ref="U35">IF(AND(U$2&lt;&gt;0,TblTech[[#This Row],[Hour]:[Hour]]&gt;=U$2),1,0)</f>
        <v>0</v>
      </c>
      <c r="V35" s="276" cm="1">
        <f t="array" ref="V35">IF(AND(V$2&lt;&gt;0,TblTech[[#This Row],[Hour]:[Hour]]&gt;=V$2),1,0)</f>
        <v>0</v>
      </c>
      <c r="W35" s="276" cm="1">
        <f t="array" ref="W35">IF(AND(W$2&lt;&gt;0,TblTech[[#This Row],[Hour]:[Hour]]&gt;=W$2),1,0)</f>
        <v>0</v>
      </c>
      <c r="X35" s="276" cm="1">
        <f t="array" ref="X35">IF(AND(X$2&lt;&gt;0,TblTech[[#This Row],[Hour]:[Hour]]&gt;=X$2),1,0)</f>
        <v>0</v>
      </c>
      <c r="Y35" s="276" cm="1">
        <f t="array" ref="Y35">IF(AND(Y$2&lt;&gt;0,TblTech[[#This Row],[Hour]:[Hour]]&gt;=Y$2),1,0)</f>
        <v>0</v>
      </c>
      <c r="Z35" s="276" cm="1">
        <f t="array" ref="Z35">IF(AND(Z$2&lt;&gt;0,TblTech[[#This Row],[Hour]:[Hour]]&gt;=Z$2),1,0)</f>
        <v>0</v>
      </c>
      <c r="AA35" s="276" cm="1">
        <f t="array" ref="AA35">IF(AND(AA$2&lt;&gt;0,TblTech[[#This Row],[Hour]:[Hour]]&gt;=AA$2),1,0)</f>
        <v>0</v>
      </c>
      <c r="AB35" s="276" cm="1">
        <f t="array" ref="AB35">IF(AND(AB$2&lt;&gt;0,TblTech[[#This Row],[Hour]:[Hour]]&gt;=AB$2),1,0)</f>
        <v>0</v>
      </c>
      <c r="AC35" s="276" cm="1">
        <f t="array" ref="AC35">IF(AND(AC$2&lt;&gt;0,TblTech[[#This Row],[Hour]:[Hour]]&gt;=AC$2),1,0)</f>
        <v>0</v>
      </c>
      <c r="AD35" s="276" cm="1">
        <f t="array" ref="AD35">IF(AND(AD$2&lt;&gt;0,TblTech[[#This Row],[Hour]:[Hour]]&gt;=AD$2),1,0)</f>
        <v>0</v>
      </c>
      <c r="AE35" s="276" cm="1">
        <f t="array" ref="AE35">IF(AND(AE$2&lt;&gt;0,TblTech[[#This Row],[Hour]:[Hour]]&gt;=AE$2),1,0)</f>
        <v>0</v>
      </c>
      <c r="AF35" s="276" cm="1">
        <f t="array" ref="AF35">IF(AND(AF$2&lt;&gt;0,TblTech[[#This Row],[Hour]:[Hour]]&gt;=AF$2),1,0)</f>
        <v>0</v>
      </c>
      <c r="AG35" s="276" cm="1">
        <f t="array" ref="AG35">IF(AND(AG$2&lt;&gt;0,TblTech[[#This Row],[Hour]:[Hour]]&gt;=AG$2),1,0)</f>
        <v>0</v>
      </c>
      <c r="AH35" s="276" cm="1">
        <f t="array" ref="AH35">IF(AND(AH$2&lt;&gt;0,TblTech[[#This Row],[Hour]:[Hour]]&gt;=AH$2),1,0)</f>
        <v>0</v>
      </c>
      <c r="AI35" s="276" cm="1">
        <f t="array" ref="AI35">IF(AND(AI$2&lt;&gt;0,TblTech[[#This Row],[Hour]:[Hour]]&gt;=AI$2),1,0)</f>
        <v>0</v>
      </c>
      <c r="AJ35" s="276" cm="1">
        <f t="array" ref="AJ35">IF(AND(AJ$2&lt;&gt;0,TblTech[[#This Row],[Hour]:[Hour]]&gt;=AJ$2),1,0)</f>
        <v>0</v>
      </c>
      <c r="AK35" s="276" cm="1">
        <f t="array" ref="AK35">IF(AND(AK$2&lt;&gt;0,TblTech[[#This Row],[Hour]:[Hour]]&gt;=AK$2),1,0)</f>
        <v>0</v>
      </c>
      <c r="AL35" s="276" cm="1">
        <f t="array" ref="AL35">IF(AND(AL$2&lt;&gt;0,TblTech[[#This Row],[Hour]:[Hour]]&gt;=AL$2),1,0)</f>
        <v>0</v>
      </c>
      <c r="AM35" s="276" cm="1">
        <f t="array" ref="AM35">IF(AND(AM$2&lt;&gt;0,TblTech[[#This Row],[Hour]:[Hour]]&gt;=AM$2),1,0)</f>
        <v>0</v>
      </c>
      <c r="AN35" s="276" cm="1">
        <f t="array" ref="AN35">IF(AND(AN$2&lt;&gt;0,TblTech[[#This Row],[Hour]:[Hour]]&gt;=AN$2),1,0)</f>
        <v>0</v>
      </c>
      <c r="AO35" s="276" cm="1">
        <f t="array" ref="AO35">IF(AND(AO$2&lt;&gt;0,TblTech[[#This Row],[Hour]:[Hour]]&gt;=AO$2),1,0)</f>
        <v>0</v>
      </c>
      <c r="AP35" s="276" cm="1">
        <f t="array" ref="AP35">IF(AND(AP$2&lt;&gt;0,TblTech[[#This Row],[Hour]:[Hour]]&gt;=AP$2),1,0)</f>
        <v>0</v>
      </c>
      <c r="AQ35" s="276" cm="1">
        <f t="array" ref="AQ35">IF(AND(AQ$2&lt;&gt;0,TblTech[[#This Row],[Hour]:[Hour]]&gt;=AQ$2),1,0)</f>
        <v>0</v>
      </c>
      <c r="AR35" s="276" cm="1">
        <f t="array" ref="AR35">IF(AND(AR$2&lt;&gt;0,TblTech[[#This Row],[Hour]:[Hour]]&gt;=AR$2),1,0)</f>
        <v>0</v>
      </c>
      <c r="AS35" s="276" cm="1">
        <f t="array" ref="AS35">IF(AND(AS$2&lt;&gt;0,TblTech[[#This Row],[Hour]:[Hour]]&gt;=AS$2),1,0)</f>
        <v>0</v>
      </c>
      <c r="AT35" s="276" cm="1">
        <f t="array" ref="AT35">IF(AND(AT$2&lt;&gt;0,TblTech[[#This Row],[Hour]:[Hour]]&gt;=AT$2),1,0)</f>
        <v>0</v>
      </c>
      <c r="AU35" s="276" cm="1">
        <f t="array" ref="AU35">IF(AND(AU$2&lt;&gt;0,TblTech[[#This Row],[Hour]:[Hour]]&gt;=AU$2),1,0)</f>
        <v>0</v>
      </c>
      <c r="AV35" s="276" cm="1">
        <f t="array" ref="AV35">IF(AND(AV$2&lt;&gt;0,TblTech[[#This Row],[Hour]:[Hour]]&gt;=AV$2),1,0)</f>
        <v>0</v>
      </c>
      <c r="AW35" s="276" cm="1">
        <f t="array" ref="AW35">IF(AND(AW$2&lt;&gt;0,TblTech[[#This Row],[Hour]:[Hour]]&gt;=AW$2),1,0)</f>
        <v>0</v>
      </c>
      <c r="AX35" s="276" cm="1">
        <f t="array" ref="AX35">IF(AND(AX$2&lt;&gt;0,TblTech[[#This Row],[Hour]:[Hour]]&gt;=AX$2),1,0)</f>
        <v>0</v>
      </c>
      <c r="AY35" s="276" cm="1">
        <f t="array" ref="AY35">IF(AND(AY$2&lt;&gt;0,TblTech[[#This Row],[Hour]:[Hour]]&gt;=AY$2),1,0)</f>
        <v>0</v>
      </c>
      <c r="AZ35" s="276" cm="1">
        <f t="array" ref="AZ35">IF(AND(AZ$2&lt;&gt;0,TblTech[[#This Row],[Hour]:[Hour]]&gt;=AZ$2),1,0)</f>
        <v>0</v>
      </c>
      <c r="BA35" s="276" cm="1">
        <f t="array" ref="BA35">IF(AND(BA$2&lt;&gt;0,TblTech[[#This Row],[Hour]:[Hour]]&gt;=BA$2),1,0)</f>
        <v>0</v>
      </c>
      <c r="BB35" s="276" cm="1">
        <f t="array" ref="BB35">IF(AND(BB$2&lt;&gt;0,TblTech[[#This Row],[Hour]:[Hour]]&gt;=BB$2),1,0)</f>
        <v>0</v>
      </c>
      <c r="BC35" s="276" cm="1">
        <f t="array" ref="BC35">IF(AND(BC$2&lt;&gt;0,TblTech[[#This Row],[Hour]:[Hour]]&gt;=BC$2),1,0)</f>
        <v>0</v>
      </c>
      <c r="BD35" s="276" cm="1">
        <f t="array" ref="BD35">IF(AND(BD$2&lt;&gt;0,TblTech[[#This Row],[Hour]:[Hour]]&gt;=BD$2),1,0)</f>
        <v>0</v>
      </c>
      <c r="BE35" s="276" cm="1">
        <f t="array" ref="BE35">IF(AND(BE$2&lt;&gt;0,TblTech[[#This Row],[Hour]:[Hour]]&gt;=BE$2),1,0)</f>
        <v>0</v>
      </c>
      <c r="BF35" s="276" cm="1">
        <f t="array" ref="BF35">IF(AND(BF$2&lt;&gt;0,TblTech[[#This Row],[Hour]:[Hour]]&gt;=BF$2),1,0)</f>
        <v>0</v>
      </c>
      <c r="BG35" s="276" cm="1">
        <f t="array" ref="BG35">IF(AND(BG$2&lt;&gt;0,TblTech[[#This Row],[Hour]:[Hour]]&gt;=BG$2),1,0)</f>
        <v>0</v>
      </c>
      <c r="BH35" s="276" cm="1">
        <f t="array" ref="BH35">IF(AND(BH$2&lt;&gt;0,TblTech[[#This Row],[Hour]:[Hour]]&gt;=BH$2),1,0)</f>
        <v>0</v>
      </c>
      <c r="BI35" s="276" cm="1">
        <f t="array" ref="BI35">IF(AND(BI$2&lt;&gt;0,TblTech[[#This Row],[Hour]:[Hour]]&gt;=BI$2),1,0)</f>
        <v>0</v>
      </c>
      <c r="BJ35" s="276" cm="1">
        <f t="array" ref="BJ35">IF(AND(BJ$2&lt;&gt;0,TblTech[[#This Row],[Hour]:[Hour]]&gt;=BJ$2),1,0)</f>
        <v>0</v>
      </c>
      <c r="BK35" s="276" cm="1">
        <f t="array" ref="BK35">IF(AND(BK$2&lt;&gt;0,TblTech[[#This Row],[Hour]:[Hour]]&gt;=BK$2),1,0)</f>
        <v>0</v>
      </c>
      <c r="BL35" s="276" cm="1">
        <f t="array" ref="BL35">IF(AND(BL$2&lt;&gt;0,TblTech[[#This Row],[Hour]:[Hour]]&gt;=BL$2),1,0)</f>
        <v>0</v>
      </c>
      <c r="BM35" s="276" cm="1">
        <f t="array" ref="BM35">IF(AND(BM$2&lt;&gt;0,TblTech[[#This Row],[Hour]:[Hour]]&gt;=BM$2),1,0)</f>
        <v>0</v>
      </c>
      <c r="BN35" s="276" cm="1">
        <f t="array" ref="BN35">IF(AND(BN$2&lt;&gt;0,TblTech[[#This Row],[Hour]:[Hour]]&gt;=BN$2),1,0)</f>
        <v>0</v>
      </c>
      <c r="BO35" s="276" cm="1">
        <f t="array" ref="BO35">IF(AND(BO$2&lt;&gt;0,TblTech[[#This Row],[Hour]:[Hour]]&gt;=BO$2),1,0)</f>
        <v>0</v>
      </c>
      <c r="BP35" s="276" cm="1">
        <f t="array" ref="BP35">IF(AND(BP$2&lt;&gt;0,TblTech[[#This Row],[Hour]:[Hour]]&gt;=BP$2),1,0)</f>
        <v>0</v>
      </c>
      <c r="BQ35" s="276" cm="1">
        <f t="array" ref="BQ35">IF(AND(BQ$2&lt;&gt;0,TblTech[[#This Row],[Hour]:[Hour]]&gt;=BQ$2),1,0)</f>
        <v>0</v>
      </c>
      <c r="BR35" s="276" cm="1">
        <f t="array" ref="BR35">IF(AND(BR$2&lt;&gt;0,TblTech[[#This Row],[Hour]:[Hour]]&gt;=BR$2),1,0)</f>
        <v>0</v>
      </c>
      <c r="BS35" s="276" cm="1">
        <f t="array" ref="BS35">IF(AND(BS$2&lt;&gt;0,TblTech[[#This Row],[Hour]:[Hour]]&gt;=BS$2),1,0)</f>
        <v>0</v>
      </c>
      <c r="BT35" s="276" cm="1">
        <f t="array" ref="BT35">IF(AND(BT$2&lt;&gt;0,TblTech[[#This Row],[Hour]:[Hour]]&gt;=BT$2),1,0)</f>
        <v>0</v>
      </c>
      <c r="BU35" s="276" cm="1">
        <f t="array" ref="BU35">IF(AND(BU$2&lt;&gt;0,TblTech[[#This Row],[Hour]:[Hour]]&gt;=BU$2),1,0)</f>
        <v>0</v>
      </c>
      <c r="BV35" s="276" cm="1">
        <f t="array" ref="BV35">IF(AND(BV$2&lt;&gt;0,TblTech[[#This Row],[Hour]:[Hour]]&gt;=BV$2),1,0)</f>
        <v>0</v>
      </c>
      <c r="BW35" s="276" cm="1">
        <f t="array" ref="BW35">IF(AND(BW$2&lt;&gt;0,TblTech[[#This Row],[Hour]:[Hour]]&gt;=BW$2),1,0)</f>
        <v>0</v>
      </c>
      <c r="BX35" s="276" cm="1">
        <f t="array" ref="BX35">IF(AND(BX$2&lt;&gt;0,TblTech[[#This Row],[Hour]:[Hour]]&gt;=BX$2),1,0)</f>
        <v>0</v>
      </c>
      <c r="BY35" s="276" cm="1">
        <f t="array" ref="BY35">IF(AND(BY$2&lt;&gt;0,TblTech[[#This Row],[Hour]:[Hour]]&gt;=BY$2),1,0)</f>
        <v>0</v>
      </c>
      <c r="BZ35" s="276" cm="1">
        <f t="array" ref="BZ35">IF(AND(BZ$2&lt;&gt;0,TblTech[[#This Row],[Hour]:[Hour]]&gt;=BZ$2),1,0)</f>
        <v>0</v>
      </c>
      <c r="CA35" s="377">
        <f>IFERROR(INDEX($H$4:$H$79,MATCH(INDEX(TblTech[[#Headers],[1-1]:[11-1]],1,MATCH(TblTech[[#This Row],[Hour]],$M$2:$BZ$2,0)),$G$4:$G$79,0)),)</f>
        <v>0</v>
      </c>
    </row>
    <row r="36" spans="1:79" x14ac:dyDescent="0.2">
      <c r="A36" s="268">
        <f>TblRezone[[#This Row],[Hour]]</f>
        <v>33</v>
      </c>
      <c r="B36" s="269">
        <f ca="1">TblExplore[[#This Row],[Land-DB]]</f>
        <v>110</v>
      </c>
      <c r="C36" s="270">
        <f ca="1">TblProd[[#This Row],[Techpoints]]</f>
        <v>0</v>
      </c>
      <c r="D36" s="270">
        <f ca="1">TblProd[[#This Row],[Required]]</f>
        <v>3750</v>
      </c>
      <c r="E36" s="271"/>
      <c r="F36" s="272"/>
      <c r="G36" s="273"/>
      <c r="H36" s="274"/>
      <c r="I36" s="273"/>
      <c r="J36" s="269"/>
      <c r="K36" s="93">
        <f ca="1">IF(TblTech[[#This Row],[Sum of tech]]&lt;&gt;OFFSET(TblTech[[#This Row],[Sum of tech]],-1,0),1,0)</f>
        <v>0</v>
      </c>
      <c r="L36" s="275">
        <f>COUNTIF(TblTech[[#This Row],[1-1]:[11-1]],1)</f>
        <v>0</v>
      </c>
      <c r="M36" s="276" cm="1">
        <f t="array" ref="M36">IF(AND(M$2&lt;&gt;0,TblTech[[#This Row],[Hour]:[Hour]]&gt;=M$2),1,0)</f>
        <v>0</v>
      </c>
      <c r="N36" s="276" cm="1">
        <f t="array" ref="N36">IF(AND(N$2&lt;&gt;0,TblTech[[#This Row],[Hour]:[Hour]]&gt;=N$2),1,0)</f>
        <v>0</v>
      </c>
      <c r="O36" s="276" cm="1">
        <f t="array" ref="O36">IF(AND(O$2&lt;&gt;0,TblTech[[#This Row],[Hour]:[Hour]]&gt;=O$2),1,0)</f>
        <v>0</v>
      </c>
      <c r="P36" s="276" cm="1">
        <f t="array" ref="P36">IF(AND(P$2&lt;&gt;0,TblTech[[#This Row],[Hour]:[Hour]]&gt;=P$2),1,0)</f>
        <v>0</v>
      </c>
      <c r="Q36" s="276" cm="1">
        <f t="array" ref="Q36">IF(AND(Q$2&lt;&gt;0,TblTech[[#This Row],[Hour]:[Hour]]&gt;=Q$2),1,0)</f>
        <v>0</v>
      </c>
      <c r="R36" s="276" cm="1">
        <f t="array" ref="R36">IF(AND(R$2&lt;&gt;0,TblTech[[#This Row],[Hour]:[Hour]]&gt;=R$2),1,0)</f>
        <v>0</v>
      </c>
      <c r="S36" s="276" cm="1">
        <f t="array" ref="S36">IF(AND(S$2&lt;&gt;0,TblTech[[#This Row],[Hour]:[Hour]]&gt;=S$2),1,0)</f>
        <v>0</v>
      </c>
      <c r="T36" s="276" cm="1">
        <f t="array" ref="T36">IF(AND(T$2&lt;&gt;0,TblTech[[#This Row],[Hour]:[Hour]]&gt;=T$2),1,0)</f>
        <v>0</v>
      </c>
      <c r="U36" s="276" cm="1">
        <f t="array" ref="U36">IF(AND(U$2&lt;&gt;0,TblTech[[#This Row],[Hour]:[Hour]]&gt;=U$2),1,0)</f>
        <v>0</v>
      </c>
      <c r="V36" s="276" cm="1">
        <f t="array" ref="V36">IF(AND(V$2&lt;&gt;0,TblTech[[#This Row],[Hour]:[Hour]]&gt;=V$2),1,0)</f>
        <v>0</v>
      </c>
      <c r="W36" s="276" cm="1">
        <f t="array" ref="W36">IF(AND(W$2&lt;&gt;0,TblTech[[#This Row],[Hour]:[Hour]]&gt;=W$2),1,0)</f>
        <v>0</v>
      </c>
      <c r="X36" s="276" cm="1">
        <f t="array" ref="X36">IF(AND(X$2&lt;&gt;0,TblTech[[#This Row],[Hour]:[Hour]]&gt;=X$2),1,0)</f>
        <v>0</v>
      </c>
      <c r="Y36" s="276" cm="1">
        <f t="array" ref="Y36">IF(AND(Y$2&lt;&gt;0,TblTech[[#This Row],[Hour]:[Hour]]&gt;=Y$2),1,0)</f>
        <v>0</v>
      </c>
      <c r="Z36" s="276" cm="1">
        <f t="array" ref="Z36">IF(AND(Z$2&lt;&gt;0,TblTech[[#This Row],[Hour]:[Hour]]&gt;=Z$2),1,0)</f>
        <v>0</v>
      </c>
      <c r="AA36" s="276" cm="1">
        <f t="array" ref="AA36">IF(AND(AA$2&lt;&gt;0,TblTech[[#This Row],[Hour]:[Hour]]&gt;=AA$2),1,0)</f>
        <v>0</v>
      </c>
      <c r="AB36" s="276" cm="1">
        <f t="array" ref="AB36">IF(AND(AB$2&lt;&gt;0,TblTech[[#This Row],[Hour]:[Hour]]&gt;=AB$2),1,0)</f>
        <v>0</v>
      </c>
      <c r="AC36" s="276" cm="1">
        <f t="array" ref="AC36">IF(AND(AC$2&lt;&gt;0,TblTech[[#This Row],[Hour]:[Hour]]&gt;=AC$2),1,0)</f>
        <v>0</v>
      </c>
      <c r="AD36" s="276" cm="1">
        <f t="array" ref="AD36">IF(AND(AD$2&lt;&gt;0,TblTech[[#This Row],[Hour]:[Hour]]&gt;=AD$2),1,0)</f>
        <v>0</v>
      </c>
      <c r="AE36" s="276" cm="1">
        <f t="array" ref="AE36">IF(AND(AE$2&lt;&gt;0,TblTech[[#This Row],[Hour]:[Hour]]&gt;=AE$2),1,0)</f>
        <v>0</v>
      </c>
      <c r="AF36" s="276" cm="1">
        <f t="array" ref="AF36">IF(AND(AF$2&lt;&gt;0,TblTech[[#This Row],[Hour]:[Hour]]&gt;=AF$2),1,0)</f>
        <v>0</v>
      </c>
      <c r="AG36" s="276" cm="1">
        <f t="array" ref="AG36">IF(AND(AG$2&lt;&gt;0,TblTech[[#This Row],[Hour]:[Hour]]&gt;=AG$2),1,0)</f>
        <v>0</v>
      </c>
      <c r="AH36" s="276" cm="1">
        <f t="array" ref="AH36">IF(AND(AH$2&lt;&gt;0,TblTech[[#This Row],[Hour]:[Hour]]&gt;=AH$2),1,0)</f>
        <v>0</v>
      </c>
      <c r="AI36" s="276" cm="1">
        <f t="array" ref="AI36">IF(AND(AI$2&lt;&gt;0,TblTech[[#This Row],[Hour]:[Hour]]&gt;=AI$2),1,0)</f>
        <v>0</v>
      </c>
      <c r="AJ36" s="276" cm="1">
        <f t="array" ref="AJ36">IF(AND(AJ$2&lt;&gt;0,TblTech[[#This Row],[Hour]:[Hour]]&gt;=AJ$2),1,0)</f>
        <v>0</v>
      </c>
      <c r="AK36" s="276" cm="1">
        <f t="array" ref="AK36">IF(AND(AK$2&lt;&gt;0,TblTech[[#This Row],[Hour]:[Hour]]&gt;=AK$2),1,0)</f>
        <v>0</v>
      </c>
      <c r="AL36" s="276" cm="1">
        <f t="array" ref="AL36">IF(AND(AL$2&lt;&gt;0,TblTech[[#This Row],[Hour]:[Hour]]&gt;=AL$2),1,0)</f>
        <v>0</v>
      </c>
      <c r="AM36" s="276" cm="1">
        <f t="array" ref="AM36">IF(AND(AM$2&lt;&gt;0,TblTech[[#This Row],[Hour]:[Hour]]&gt;=AM$2),1,0)</f>
        <v>0</v>
      </c>
      <c r="AN36" s="276" cm="1">
        <f t="array" ref="AN36">IF(AND(AN$2&lt;&gt;0,TblTech[[#This Row],[Hour]:[Hour]]&gt;=AN$2),1,0)</f>
        <v>0</v>
      </c>
      <c r="AO36" s="276" cm="1">
        <f t="array" ref="AO36">IF(AND(AO$2&lt;&gt;0,TblTech[[#This Row],[Hour]:[Hour]]&gt;=AO$2),1,0)</f>
        <v>0</v>
      </c>
      <c r="AP36" s="276" cm="1">
        <f t="array" ref="AP36">IF(AND(AP$2&lt;&gt;0,TblTech[[#This Row],[Hour]:[Hour]]&gt;=AP$2),1,0)</f>
        <v>0</v>
      </c>
      <c r="AQ36" s="276" cm="1">
        <f t="array" ref="AQ36">IF(AND(AQ$2&lt;&gt;0,TblTech[[#This Row],[Hour]:[Hour]]&gt;=AQ$2),1,0)</f>
        <v>0</v>
      </c>
      <c r="AR36" s="276" cm="1">
        <f t="array" ref="AR36">IF(AND(AR$2&lt;&gt;0,TblTech[[#This Row],[Hour]:[Hour]]&gt;=AR$2),1,0)</f>
        <v>0</v>
      </c>
      <c r="AS36" s="276" cm="1">
        <f t="array" ref="AS36">IF(AND(AS$2&lt;&gt;0,TblTech[[#This Row],[Hour]:[Hour]]&gt;=AS$2),1,0)</f>
        <v>0</v>
      </c>
      <c r="AT36" s="276" cm="1">
        <f t="array" ref="AT36">IF(AND(AT$2&lt;&gt;0,TblTech[[#This Row],[Hour]:[Hour]]&gt;=AT$2),1,0)</f>
        <v>0</v>
      </c>
      <c r="AU36" s="276" cm="1">
        <f t="array" ref="AU36">IF(AND(AU$2&lt;&gt;0,TblTech[[#This Row],[Hour]:[Hour]]&gt;=AU$2),1,0)</f>
        <v>0</v>
      </c>
      <c r="AV36" s="276" cm="1">
        <f t="array" ref="AV36">IF(AND(AV$2&lt;&gt;0,TblTech[[#This Row],[Hour]:[Hour]]&gt;=AV$2),1,0)</f>
        <v>0</v>
      </c>
      <c r="AW36" s="276" cm="1">
        <f t="array" ref="AW36">IF(AND(AW$2&lt;&gt;0,TblTech[[#This Row],[Hour]:[Hour]]&gt;=AW$2),1,0)</f>
        <v>0</v>
      </c>
      <c r="AX36" s="276" cm="1">
        <f t="array" ref="AX36">IF(AND(AX$2&lt;&gt;0,TblTech[[#This Row],[Hour]:[Hour]]&gt;=AX$2),1,0)</f>
        <v>0</v>
      </c>
      <c r="AY36" s="276" cm="1">
        <f t="array" ref="AY36">IF(AND(AY$2&lt;&gt;0,TblTech[[#This Row],[Hour]:[Hour]]&gt;=AY$2),1,0)</f>
        <v>0</v>
      </c>
      <c r="AZ36" s="276" cm="1">
        <f t="array" ref="AZ36">IF(AND(AZ$2&lt;&gt;0,TblTech[[#This Row],[Hour]:[Hour]]&gt;=AZ$2),1,0)</f>
        <v>0</v>
      </c>
      <c r="BA36" s="276" cm="1">
        <f t="array" ref="BA36">IF(AND(BA$2&lt;&gt;0,TblTech[[#This Row],[Hour]:[Hour]]&gt;=BA$2),1,0)</f>
        <v>0</v>
      </c>
      <c r="BB36" s="276" cm="1">
        <f t="array" ref="BB36">IF(AND(BB$2&lt;&gt;0,TblTech[[#This Row],[Hour]:[Hour]]&gt;=BB$2),1,0)</f>
        <v>0</v>
      </c>
      <c r="BC36" s="276" cm="1">
        <f t="array" ref="BC36">IF(AND(BC$2&lt;&gt;0,TblTech[[#This Row],[Hour]:[Hour]]&gt;=BC$2),1,0)</f>
        <v>0</v>
      </c>
      <c r="BD36" s="276" cm="1">
        <f t="array" ref="BD36">IF(AND(BD$2&lt;&gt;0,TblTech[[#This Row],[Hour]:[Hour]]&gt;=BD$2),1,0)</f>
        <v>0</v>
      </c>
      <c r="BE36" s="276" cm="1">
        <f t="array" ref="BE36">IF(AND(BE$2&lt;&gt;0,TblTech[[#This Row],[Hour]:[Hour]]&gt;=BE$2),1,0)</f>
        <v>0</v>
      </c>
      <c r="BF36" s="276" cm="1">
        <f t="array" ref="BF36">IF(AND(BF$2&lt;&gt;0,TblTech[[#This Row],[Hour]:[Hour]]&gt;=BF$2),1,0)</f>
        <v>0</v>
      </c>
      <c r="BG36" s="276" cm="1">
        <f t="array" ref="BG36">IF(AND(BG$2&lt;&gt;0,TblTech[[#This Row],[Hour]:[Hour]]&gt;=BG$2),1,0)</f>
        <v>0</v>
      </c>
      <c r="BH36" s="276" cm="1">
        <f t="array" ref="BH36">IF(AND(BH$2&lt;&gt;0,TblTech[[#This Row],[Hour]:[Hour]]&gt;=BH$2),1,0)</f>
        <v>0</v>
      </c>
      <c r="BI36" s="276" cm="1">
        <f t="array" ref="BI36">IF(AND(BI$2&lt;&gt;0,TblTech[[#This Row],[Hour]:[Hour]]&gt;=BI$2),1,0)</f>
        <v>0</v>
      </c>
      <c r="BJ36" s="276" cm="1">
        <f t="array" ref="BJ36">IF(AND(BJ$2&lt;&gt;0,TblTech[[#This Row],[Hour]:[Hour]]&gt;=BJ$2),1,0)</f>
        <v>0</v>
      </c>
      <c r="BK36" s="276" cm="1">
        <f t="array" ref="BK36">IF(AND(BK$2&lt;&gt;0,TblTech[[#This Row],[Hour]:[Hour]]&gt;=BK$2),1,0)</f>
        <v>0</v>
      </c>
      <c r="BL36" s="276" cm="1">
        <f t="array" ref="BL36">IF(AND(BL$2&lt;&gt;0,TblTech[[#This Row],[Hour]:[Hour]]&gt;=BL$2),1,0)</f>
        <v>0</v>
      </c>
      <c r="BM36" s="276" cm="1">
        <f t="array" ref="BM36">IF(AND(BM$2&lt;&gt;0,TblTech[[#This Row],[Hour]:[Hour]]&gt;=BM$2),1,0)</f>
        <v>0</v>
      </c>
      <c r="BN36" s="276" cm="1">
        <f t="array" ref="BN36">IF(AND(BN$2&lt;&gt;0,TblTech[[#This Row],[Hour]:[Hour]]&gt;=BN$2),1,0)</f>
        <v>0</v>
      </c>
      <c r="BO36" s="276" cm="1">
        <f t="array" ref="BO36">IF(AND(BO$2&lt;&gt;0,TblTech[[#This Row],[Hour]:[Hour]]&gt;=BO$2),1,0)</f>
        <v>0</v>
      </c>
      <c r="BP36" s="276" cm="1">
        <f t="array" ref="BP36">IF(AND(BP$2&lt;&gt;0,TblTech[[#This Row],[Hour]:[Hour]]&gt;=BP$2),1,0)</f>
        <v>0</v>
      </c>
      <c r="BQ36" s="276" cm="1">
        <f t="array" ref="BQ36">IF(AND(BQ$2&lt;&gt;0,TblTech[[#This Row],[Hour]:[Hour]]&gt;=BQ$2),1,0)</f>
        <v>0</v>
      </c>
      <c r="BR36" s="276" cm="1">
        <f t="array" ref="BR36">IF(AND(BR$2&lt;&gt;0,TblTech[[#This Row],[Hour]:[Hour]]&gt;=BR$2),1,0)</f>
        <v>0</v>
      </c>
      <c r="BS36" s="276" cm="1">
        <f t="array" ref="BS36">IF(AND(BS$2&lt;&gt;0,TblTech[[#This Row],[Hour]:[Hour]]&gt;=BS$2),1,0)</f>
        <v>0</v>
      </c>
      <c r="BT36" s="276" cm="1">
        <f t="array" ref="BT36">IF(AND(BT$2&lt;&gt;0,TblTech[[#This Row],[Hour]:[Hour]]&gt;=BT$2),1,0)</f>
        <v>0</v>
      </c>
      <c r="BU36" s="276" cm="1">
        <f t="array" ref="BU36">IF(AND(BU$2&lt;&gt;0,TblTech[[#This Row],[Hour]:[Hour]]&gt;=BU$2),1,0)</f>
        <v>0</v>
      </c>
      <c r="BV36" s="276" cm="1">
        <f t="array" ref="BV36">IF(AND(BV$2&lt;&gt;0,TblTech[[#This Row],[Hour]:[Hour]]&gt;=BV$2),1,0)</f>
        <v>0</v>
      </c>
      <c r="BW36" s="276" cm="1">
        <f t="array" ref="BW36">IF(AND(BW$2&lt;&gt;0,TblTech[[#This Row],[Hour]:[Hour]]&gt;=BW$2),1,0)</f>
        <v>0</v>
      </c>
      <c r="BX36" s="276" cm="1">
        <f t="array" ref="BX36">IF(AND(BX$2&lt;&gt;0,TblTech[[#This Row],[Hour]:[Hour]]&gt;=BX$2),1,0)</f>
        <v>0</v>
      </c>
      <c r="BY36" s="276" cm="1">
        <f t="array" ref="BY36">IF(AND(BY$2&lt;&gt;0,TblTech[[#This Row],[Hour]:[Hour]]&gt;=BY$2),1,0)</f>
        <v>0</v>
      </c>
      <c r="BZ36" s="276" cm="1">
        <f t="array" ref="BZ36">IF(AND(BZ$2&lt;&gt;0,TblTech[[#This Row],[Hour]:[Hour]]&gt;=BZ$2),1,0)</f>
        <v>0</v>
      </c>
      <c r="CA36" s="377">
        <f>IFERROR(INDEX($H$4:$H$79,MATCH(INDEX(TblTech[[#Headers],[1-1]:[11-1]],1,MATCH(TblTech[[#This Row],[Hour]],$M$2:$BZ$2,0)),$G$4:$G$79,0)),)</f>
        <v>0</v>
      </c>
    </row>
    <row r="37" spans="1:79" x14ac:dyDescent="0.2">
      <c r="A37" s="268">
        <f>TblRezone[[#This Row],[Hour]]</f>
        <v>34</v>
      </c>
      <c r="B37" s="269">
        <f ca="1">TblExplore[[#This Row],[Land-DB]]</f>
        <v>110</v>
      </c>
      <c r="C37" s="270">
        <f ca="1">TblProd[[#This Row],[Techpoints]]</f>
        <v>0</v>
      </c>
      <c r="D37" s="270">
        <f ca="1">TblProd[[#This Row],[Required]]</f>
        <v>3750</v>
      </c>
      <c r="E37" s="271"/>
      <c r="F37" s="272"/>
      <c r="G37" s="273" t="s">
        <v>578</v>
      </c>
      <c r="H37" s="274" t="s">
        <v>704</v>
      </c>
      <c r="I37" s="273" t="s">
        <v>754</v>
      </c>
      <c r="J37" s="269"/>
      <c r="K37" s="93">
        <f ca="1">IF(TblTech[[#This Row],[Sum of tech]]&lt;&gt;OFFSET(TblTech[[#This Row],[Sum of tech]],-1,0),1,0)</f>
        <v>0</v>
      </c>
      <c r="L37" s="275">
        <f>COUNTIF(TblTech[[#This Row],[1-1]:[11-1]],1)</f>
        <v>0</v>
      </c>
      <c r="M37" s="276" cm="1">
        <f t="array" ref="M37">IF(AND(M$2&lt;&gt;0,TblTech[[#This Row],[Hour]:[Hour]]&gt;=M$2),1,0)</f>
        <v>0</v>
      </c>
      <c r="N37" s="276" cm="1">
        <f t="array" ref="N37">IF(AND(N$2&lt;&gt;0,TblTech[[#This Row],[Hour]:[Hour]]&gt;=N$2),1,0)</f>
        <v>0</v>
      </c>
      <c r="O37" s="276" cm="1">
        <f t="array" ref="O37">IF(AND(O$2&lt;&gt;0,TblTech[[#This Row],[Hour]:[Hour]]&gt;=O$2),1,0)</f>
        <v>0</v>
      </c>
      <c r="P37" s="276" cm="1">
        <f t="array" ref="P37">IF(AND(P$2&lt;&gt;0,TblTech[[#This Row],[Hour]:[Hour]]&gt;=P$2),1,0)</f>
        <v>0</v>
      </c>
      <c r="Q37" s="276" cm="1">
        <f t="array" ref="Q37">IF(AND(Q$2&lt;&gt;0,TblTech[[#This Row],[Hour]:[Hour]]&gt;=Q$2),1,0)</f>
        <v>0</v>
      </c>
      <c r="R37" s="276" cm="1">
        <f t="array" ref="R37">IF(AND(R$2&lt;&gt;0,TblTech[[#This Row],[Hour]:[Hour]]&gt;=R$2),1,0)</f>
        <v>0</v>
      </c>
      <c r="S37" s="276" cm="1">
        <f t="array" ref="S37">IF(AND(S$2&lt;&gt;0,TblTech[[#This Row],[Hour]:[Hour]]&gt;=S$2),1,0)</f>
        <v>0</v>
      </c>
      <c r="T37" s="276" cm="1">
        <f t="array" ref="T37">IF(AND(T$2&lt;&gt;0,TblTech[[#This Row],[Hour]:[Hour]]&gt;=T$2),1,0)</f>
        <v>0</v>
      </c>
      <c r="U37" s="276" cm="1">
        <f t="array" ref="U37">IF(AND(U$2&lt;&gt;0,TblTech[[#This Row],[Hour]:[Hour]]&gt;=U$2),1,0)</f>
        <v>0</v>
      </c>
      <c r="V37" s="276" cm="1">
        <f t="array" ref="V37">IF(AND(V$2&lt;&gt;0,TblTech[[#This Row],[Hour]:[Hour]]&gt;=V$2),1,0)</f>
        <v>0</v>
      </c>
      <c r="W37" s="276" cm="1">
        <f t="array" ref="W37">IF(AND(W$2&lt;&gt;0,TblTech[[#This Row],[Hour]:[Hour]]&gt;=W$2),1,0)</f>
        <v>0</v>
      </c>
      <c r="X37" s="276" cm="1">
        <f t="array" ref="X37">IF(AND(X$2&lt;&gt;0,TblTech[[#This Row],[Hour]:[Hour]]&gt;=X$2),1,0)</f>
        <v>0</v>
      </c>
      <c r="Y37" s="276" cm="1">
        <f t="array" ref="Y37">IF(AND(Y$2&lt;&gt;0,TblTech[[#This Row],[Hour]:[Hour]]&gt;=Y$2),1,0)</f>
        <v>0</v>
      </c>
      <c r="Z37" s="276" cm="1">
        <f t="array" ref="Z37">IF(AND(Z$2&lt;&gt;0,TblTech[[#This Row],[Hour]:[Hour]]&gt;=Z$2),1,0)</f>
        <v>0</v>
      </c>
      <c r="AA37" s="276" cm="1">
        <f t="array" ref="AA37">IF(AND(AA$2&lt;&gt;0,TblTech[[#This Row],[Hour]:[Hour]]&gt;=AA$2),1,0)</f>
        <v>0</v>
      </c>
      <c r="AB37" s="276" cm="1">
        <f t="array" ref="AB37">IF(AND(AB$2&lt;&gt;0,TblTech[[#This Row],[Hour]:[Hour]]&gt;=AB$2),1,0)</f>
        <v>0</v>
      </c>
      <c r="AC37" s="276" cm="1">
        <f t="array" ref="AC37">IF(AND(AC$2&lt;&gt;0,TblTech[[#This Row],[Hour]:[Hour]]&gt;=AC$2),1,0)</f>
        <v>0</v>
      </c>
      <c r="AD37" s="276" cm="1">
        <f t="array" ref="AD37">IF(AND(AD$2&lt;&gt;0,TblTech[[#This Row],[Hour]:[Hour]]&gt;=AD$2),1,0)</f>
        <v>0</v>
      </c>
      <c r="AE37" s="276" cm="1">
        <f t="array" ref="AE37">IF(AND(AE$2&lt;&gt;0,TblTech[[#This Row],[Hour]:[Hour]]&gt;=AE$2),1,0)</f>
        <v>0</v>
      </c>
      <c r="AF37" s="276" cm="1">
        <f t="array" ref="AF37">IF(AND(AF$2&lt;&gt;0,TblTech[[#This Row],[Hour]:[Hour]]&gt;=AF$2),1,0)</f>
        <v>0</v>
      </c>
      <c r="AG37" s="276" cm="1">
        <f t="array" ref="AG37">IF(AND(AG$2&lt;&gt;0,TblTech[[#This Row],[Hour]:[Hour]]&gt;=AG$2),1,0)</f>
        <v>0</v>
      </c>
      <c r="AH37" s="276" cm="1">
        <f t="array" ref="AH37">IF(AND(AH$2&lt;&gt;0,TblTech[[#This Row],[Hour]:[Hour]]&gt;=AH$2),1,0)</f>
        <v>0</v>
      </c>
      <c r="AI37" s="276" cm="1">
        <f t="array" ref="AI37">IF(AND(AI$2&lt;&gt;0,TblTech[[#This Row],[Hour]:[Hour]]&gt;=AI$2),1,0)</f>
        <v>0</v>
      </c>
      <c r="AJ37" s="276" cm="1">
        <f t="array" ref="AJ37">IF(AND(AJ$2&lt;&gt;0,TblTech[[#This Row],[Hour]:[Hour]]&gt;=AJ$2),1,0)</f>
        <v>0</v>
      </c>
      <c r="AK37" s="276" cm="1">
        <f t="array" ref="AK37">IF(AND(AK$2&lt;&gt;0,TblTech[[#This Row],[Hour]:[Hour]]&gt;=AK$2),1,0)</f>
        <v>0</v>
      </c>
      <c r="AL37" s="276" cm="1">
        <f t="array" ref="AL37">IF(AND(AL$2&lt;&gt;0,TblTech[[#This Row],[Hour]:[Hour]]&gt;=AL$2),1,0)</f>
        <v>0</v>
      </c>
      <c r="AM37" s="276" cm="1">
        <f t="array" ref="AM37">IF(AND(AM$2&lt;&gt;0,TblTech[[#This Row],[Hour]:[Hour]]&gt;=AM$2),1,0)</f>
        <v>0</v>
      </c>
      <c r="AN37" s="276" cm="1">
        <f t="array" ref="AN37">IF(AND(AN$2&lt;&gt;0,TblTech[[#This Row],[Hour]:[Hour]]&gt;=AN$2),1,0)</f>
        <v>0</v>
      </c>
      <c r="AO37" s="276" cm="1">
        <f t="array" ref="AO37">IF(AND(AO$2&lt;&gt;0,TblTech[[#This Row],[Hour]:[Hour]]&gt;=AO$2),1,0)</f>
        <v>0</v>
      </c>
      <c r="AP37" s="276" cm="1">
        <f t="array" ref="AP37">IF(AND(AP$2&lt;&gt;0,TblTech[[#This Row],[Hour]:[Hour]]&gt;=AP$2),1,0)</f>
        <v>0</v>
      </c>
      <c r="AQ37" s="276" cm="1">
        <f t="array" ref="AQ37">IF(AND(AQ$2&lt;&gt;0,TblTech[[#This Row],[Hour]:[Hour]]&gt;=AQ$2),1,0)</f>
        <v>0</v>
      </c>
      <c r="AR37" s="276" cm="1">
        <f t="array" ref="AR37">IF(AND(AR$2&lt;&gt;0,TblTech[[#This Row],[Hour]:[Hour]]&gt;=AR$2),1,0)</f>
        <v>0</v>
      </c>
      <c r="AS37" s="276" cm="1">
        <f t="array" ref="AS37">IF(AND(AS$2&lt;&gt;0,TblTech[[#This Row],[Hour]:[Hour]]&gt;=AS$2),1,0)</f>
        <v>0</v>
      </c>
      <c r="AT37" s="276" cm="1">
        <f t="array" ref="AT37">IF(AND(AT$2&lt;&gt;0,TblTech[[#This Row],[Hour]:[Hour]]&gt;=AT$2),1,0)</f>
        <v>0</v>
      </c>
      <c r="AU37" s="276" cm="1">
        <f t="array" ref="AU37">IF(AND(AU$2&lt;&gt;0,TblTech[[#This Row],[Hour]:[Hour]]&gt;=AU$2),1,0)</f>
        <v>0</v>
      </c>
      <c r="AV37" s="276" cm="1">
        <f t="array" ref="AV37">IF(AND(AV$2&lt;&gt;0,TblTech[[#This Row],[Hour]:[Hour]]&gt;=AV$2),1,0)</f>
        <v>0</v>
      </c>
      <c r="AW37" s="276" cm="1">
        <f t="array" ref="AW37">IF(AND(AW$2&lt;&gt;0,TblTech[[#This Row],[Hour]:[Hour]]&gt;=AW$2),1,0)</f>
        <v>0</v>
      </c>
      <c r="AX37" s="276" cm="1">
        <f t="array" ref="AX37">IF(AND(AX$2&lt;&gt;0,TblTech[[#This Row],[Hour]:[Hour]]&gt;=AX$2),1,0)</f>
        <v>0</v>
      </c>
      <c r="AY37" s="276" cm="1">
        <f t="array" ref="AY37">IF(AND(AY$2&lt;&gt;0,TblTech[[#This Row],[Hour]:[Hour]]&gt;=AY$2),1,0)</f>
        <v>0</v>
      </c>
      <c r="AZ37" s="276" cm="1">
        <f t="array" ref="AZ37">IF(AND(AZ$2&lt;&gt;0,TblTech[[#This Row],[Hour]:[Hour]]&gt;=AZ$2),1,0)</f>
        <v>0</v>
      </c>
      <c r="BA37" s="276" cm="1">
        <f t="array" ref="BA37">IF(AND(BA$2&lt;&gt;0,TblTech[[#This Row],[Hour]:[Hour]]&gt;=BA$2),1,0)</f>
        <v>0</v>
      </c>
      <c r="BB37" s="276" cm="1">
        <f t="array" ref="BB37">IF(AND(BB$2&lt;&gt;0,TblTech[[#This Row],[Hour]:[Hour]]&gt;=BB$2),1,0)</f>
        <v>0</v>
      </c>
      <c r="BC37" s="276" cm="1">
        <f t="array" ref="BC37">IF(AND(BC$2&lt;&gt;0,TblTech[[#This Row],[Hour]:[Hour]]&gt;=BC$2),1,0)</f>
        <v>0</v>
      </c>
      <c r="BD37" s="276" cm="1">
        <f t="array" ref="BD37">IF(AND(BD$2&lt;&gt;0,TblTech[[#This Row],[Hour]:[Hour]]&gt;=BD$2),1,0)</f>
        <v>0</v>
      </c>
      <c r="BE37" s="276" cm="1">
        <f t="array" ref="BE37">IF(AND(BE$2&lt;&gt;0,TblTech[[#This Row],[Hour]:[Hour]]&gt;=BE$2),1,0)</f>
        <v>0</v>
      </c>
      <c r="BF37" s="276" cm="1">
        <f t="array" ref="BF37">IF(AND(BF$2&lt;&gt;0,TblTech[[#This Row],[Hour]:[Hour]]&gt;=BF$2),1,0)</f>
        <v>0</v>
      </c>
      <c r="BG37" s="276" cm="1">
        <f t="array" ref="BG37">IF(AND(BG$2&lt;&gt;0,TblTech[[#This Row],[Hour]:[Hour]]&gt;=BG$2),1,0)</f>
        <v>0</v>
      </c>
      <c r="BH37" s="276" cm="1">
        <f t="array" ref="BH37">IF(AND(BH$2&lt;&gt;0,TblTech[[#This Row],[Hour]:[Hour]]&gt;=BH$2),1,0)</f>
        <v>0</v>
      </c>
      <c r="BI37" s="276" cm="1">
        <f t="array" ref="BI37">IF(AND(BI$2&lt;&gt;0,TblTech[[#This Row],[Hour]:[Hour]]&gt;=BI$2),1,0)</f>
        <v>0</v>
      </c>
      <c r="BJ37" s="276" cm="1">
        <f t="array" ref="BJ37">IF(AND(BJ$2&lt;&gt;0,TblTech[[#This Row],[Hour]:[Hour]]&gt;=BJ$2),1,0)</f>
        <v>0</v>
      </c>
      <c r="BK37" s="276" cm="1">
        <f t="array" ref="BK37">IF(AND(BK$2&lt;&gt;0,TblTech[[#This Row],[Hour]:[Hour]]&gt;=BK$2),1,0)</f>
        <v>0</v>
      </c>
      <c r="BL37" s="276" cm="1">
        <f t="array" ref="BL37">IF(AND(BL$2&lt;&gt;0,TblTech[[#This Row],[Hour]:[Hour]]&gt;=BL$2),1,0)</f>
        <v>0</v>
      </c>
      <c r="BM37" s="276" cm="1">
        <f t="array" ref="BM37">IF(AND(BM$2&lt;&gt;0,TblTech[[#This Row],[Hour]:[Hour]]&gt;=BM$2),1,0)</f>
        <v>0</v>
      </c>
      <c r="BN37" s="276" cm="1">
        <f t="array" ref="BN37">IF(AND(BN$2&lt;&gt;0,TblTech[[#This Row],[Hour]:[Hour]]&gt;=BN$2),1,0)</f>
        <v>0</v>
      </c>
      <c r="BO37" s="276" cm="1">
        <f t="array" ref="BO37">IF(AND(BO$2&lt;&gt;0,TblTech[[#This Row],[Hour]:[Hour]]&gt;=BO$2),1,0)</f>
        <v>0</v>
      </c>
      <c r="BP37" s="276" cm="1">
        <f t="array" ref="BP37">IF(AND(BP$2&lt;&gt;0,TblTech[[#This Row],[Hour]:[Hour]]&gt;=BP$2),1,0)</f>
        <v>0</v>
      </c>
      <c r="BQ37" s="276" cm="1">
        <f t="array" ref="BQ37">IF(AND(BQ$2&lt;&gt;0,TblTech[[#This Row],[Hour]:[Hour]]&gt;=BQ$2),1,0)</f>
        <v>0</v>
      </c>
      <c r="BR37" s="276" cm="1">
        <f t="array" ref="BR37">IF(AND(BR$2&lt;&gt;0,TblTech[[#This Row],[Hour]:[Hour]]&gt;=BR$2),1,0)</f>
        <v>0</v>
      </c>
      <c r="BS37" s="276" cm="1">
        <f t="array" ref="BS37">IF(AND(BS$2&lt;&gt;0,TblTech[[#This Row],[Hour]:[Hour]]&gt;=BS$2),1,0)</f>
        <v>0</v>
      </c>
      <c r="BT37" s="276" cm="1">
        <f t="array" ref="BT37">IF(AND(BT$2&lt;&gt;0,TblTech[[#This Row],[Hour]:[Hour]]&gt;=BT$2),1,0)</f>
        <v>0</v>
      </c>
      <c r="BU37" s="276" cm="1">
        <f t="array" ref="BU37">IF(AND(BU$2&lt;&gt;0,TblTech[[#This Row],[Hour]:[Hour]]&gt;=BU$2),1,0)</f>
        <v>0</v>
      </c>
      <c r="BV37" s="276" cm="1">
        <f t="array" ref="BV37">IF(AND(BV$2&lt;&gt;0,TblTech[[#This Row],[Hour]:[Hour]]&gt;=BV$2),1,0)</f>
        <v>0</v>
      </c>
      <c r="BW37" s="276" cm="1">
        <f t="array" ref="BW37">IF(AND(BW$2&lt;&gt;0,TblTech[[#This Row],[Hour]:[Hour]]&gt;=BW$2),1,0)</f>
        <v>0</v>
      </c>
      <c r="BX37" s="276" cm="1">
        <f t="array" ref="BX37">IF(AND(BX$2&lt;&gt;0,TblTech[[#This Row],[Hour]:[Hour]]&gt;=BX$2),1,0)</f>
        <v>0</v>
      </c>
      <c r="BY37" s="276" cm="1">
        <f t="array" ref="BY37">IF(AND(BY$2&lt;&gt;0,TblTech[[#This Row],[Hour]:[Hour]]&gt;=BY$2),1,0)</f>
        <v>0</v>
      </c>
      <c r="BZ37" s="276" cm="1">
        <f t="array" ref="BZ37">IF(AND(BZ$2&lt;&gt;0,TblTech[[#This Row],[Hour]:[Hour]]&gt;=BZ$2),1,0)</f>
        <v>0</v>
      </c>
      <c r="CA37" s="377">
        <f>IFERROR(INDEX($H$4:$H$79,MATCH(INDEX(TblTech[[#Headers],[1-1]:[11-1]],1,MATCH(TblTech[[#This Row],[Hour]],$M$2:$BZ$2,0)),$G$4:$G$79,0)),)</f>
        <v>0</v>
      </c>
    </row>
    <row r="38" spans="1:79" x14ac:dyDescent="0.2">
      <c r="A38" s="268">
        <f>TblRezone[[#This Row],[Hour]]</f>
        <v>35</v>
      </c>
      <c r="B38" s="269">
        <f ca="1">TblExplore[[#This Row],[Land-DB]]</f>
        <v>110</v>
      </c>
      <c r="C38" s="270">
        <f ca="1">TblProd[[#This Row],[Techpoints]]</f>
        <v>0</v>
      </c>
      <c r="D38" s="270">
        <f ca="1">TblProd[[#This Row],[Required]]</f>
        <v>3750</v>
      </c>
      <c r="E38" s="271"/>
      <c r="F38" s="272"/>
      <c r="G38" s="273" t="s">
        <v>579</v>
      </c>
      <c r="H38" s="274" t="s">
        <v>705</v>
      </c>
      <c r="I38" s="273" t="s">
        <v>626</v>
      </c>
      <c r="J38" s="269"/>
      <c r="K38" s="93">
        <f ca="1">IF(TblTech[[#This Row],[Sum of tech]]&lt;&gt;OFFSET(TblTech[[#This Row],[Sum of tech]],-1,0),1,0)</f>
        <v>0</v>
      </c>
      <c r="L38" s="275">
        <f>COUNTIF(TblTech[[#This Row],[1-1]:[11-1]],1)</f>
        <v>0</v>
      </c>
      <c r="M38" s="276" cm="1">
        <f t="array" ref="M38">IF(AND(M$2&lt;&gt;0,TblTech[[#This Row],[Hour]:[Hour]]&gt;=M$2),1,0)</f>
        <v>0</v>
      </c>
      <c r="N38" s="276" cm="1">
        <f t="array" ref="N38">IF(AND(N$2&lt;&gt;0,TblTech[[#This Row],[Hour]:[Hour]]&gt;=N$2),1,0)</f>
        <v>0</v>
      </c>
      <c r="O38" s="276" cm="1">
        <f t="array" ref="O38">IF(AND(O$2&lt;&gt;0,TblTech[[#This Row],[Hour]:[Hour]]&gt;=O$2),1,0)</f>
        <v>0</v>
      </c>
      <c r="P38" s="276" cm="1">
        <f t="array" ref="P38">IF(AND(P$2&lt;&gt;0,TblTech[[#This Row],[Hour]:[Hour]]&gt;=P$2),1,0)</f>
        <v>0</v>
      </c>
      <c r="Q38" s="276" cm="1">
        <f t="array" ref="Q38">IF(AND(Q$2&lt;&gt;0,TblTech[[#This Row],[Hour]:[Hour]]&gt;=Q$2),1,0)</f>
        <v>0</v>
      </c>
      <c r="R38" s="276" cm="1">
        <f t="array" ref="R38">IF(AND(R$2&lt;&gt;0,TblTech[[#This Row],[Hour]:[Hour]]&gt;=R$2),1,0)</f>
        <v>0</v>
      </c>
      <c r="S38" s="276" cm="1">
        <f t="array" ref="S38">IF(AND(S$2&lt;&gt;0,TblTech[[#This Row],[Hour]:[Hour]]&gt;=S$2),1,0)</f>
        <v>0</v>
      </c>
      <c r="T38" s="276" cm="1">
        <f t="array" ref="T38">IF(AND(T$2&lt;&gt;0,TblTech[[#This Row],[Hour]:[Hour]]&gt;=T$2),1,0)</f>
        <v>0</v>
      </c>
      <c r="U38" s="276" cm="1">
        <f t="array" ref="U38">IF(AND(U$2&lt;&gt;0,TblTech[[#This Row],[Hour]:[Hour]]&gt;=U$2),1,0)</f>
        <v>0</v>
      </c>
      <c r="V38" s="276" cm="1">
        <f t="array" ref="V38">IF(AND(V$2&lt;&gt;0,TblTech[[#This Row],[Hour]:[Hour]]&gt;=V$2),1,0)</f>
        <v>0</v>
      </c>
      <c r="W38" s="276" cm="1">
        <f t="array" ref="W38">IF(AND(W$2&lt;&gt;0,TblTech[[#This Row],[Hour]:[Hour]]&gt;=W$2),1,0)</f>
        <v>0</v>
      </c>
      <c r="X38" s="276" cm="1">
        <f t="array" ref="X38">IF(AND(X$2&lt;&gt;0,TblTech[[#This Row],[Hour]:[Hour]]&gt;=X$2),1,0)</f>
        <v>0</v>
      </c>
      <c r="Y38" s="276" cm="1">
        <f t="array" ref="Y38">IF(AND(Y$2&lt;&gt;0,TblTech[[#This Row],[Hour]:[Hour]]&gt;=Y$2),1,0)</f>
        <v>0</v>
      </c>
      <c r="Z38" s="276" cm="1">
        <f t="array" ref="Z38">IF(AND(Z$2&lt;&gt;0,TblTech[[#This Row],[Hour]:[Hour]]&gt;=Z$2),1,0)</f>
        <v>0</v>
      </c>
      <c r="AA38" s="276" cm="1">
        <f t="array" ref="AA38">IF(AND(AA$2&lt;&gt;0,TblTech[[#This Row],[Hour]:[Hour]]&gt;=AA$2),1,0)</f>
        <v>0</v>
      </c>
      <c r="AB38" s="276" cm="1">
        <f t="array" ref="AB38">IF(AND(AB$2&lt;&gt;0,TblTech[[#This Row],[Hour]:[Hour]]&gt;=AB$2),1,0)</f>
        <v>0</v>
      </c>
      <c r="AC38" s="276" cm="1">
        <f t="array" ref="AC38">IF(AND(AC$2&lt;&gt;0,TblTech[[#This Row],[Hour]:[Hour]]&gt;=AC$2),1,0)</f>
        <v>0</v>
      </c>
      <c r="AD38" s="276" cm="1">
        <f t="array" ref="AD38">IF(AND(AD$2&lt;&gt;0,TblTech[[#This Row],[Hour]:[Hour]]&gt;=AD$2),1,0)</f>
        <v>0</v>
      </c>
      <c r="AE38" s="276" cm="1">
        <f t="array" ref="AE38">IF(AND(AE$2&lt;&gt;0,TblTech[[#This Row],[Hour]:[Hour]]&gt;=AE$2),1,0)</f>
        <v>0</v>
      </c>
      <c r="AF38" s="276" cm="1">
        <f t="array" ref="AF38">IF(AND(AF$2&lt;&gt;0,TblTech[[#This Row],[Hour]:[Hour]]&gt;=AF$2),1,0)</f>
        <v>0</v>
      </c>
      <c r="AG38" s="276" cm="1">
        <f t="array" ref="AG38">IF(AND(AG$2&lt;&gt;0,TblTech[[#This Row],[Hour]:[Hour]]&gt;=AG$2),1,0)</f>
        <v>0</v>
      </c>
      <c r="AH38" s="276" cm="1">
        <f t="array" ref="AH38">IF(AND(AH$2&lt;&gt;0,TblTech[[#This Row],[Hour]:[Hour]]&gt;=AH$2),1,0)</f>
        <v>0</v>
      </c>
      <c r="AI38" s="276" cm="1">
        <f t="array" ref="AI38">IF(AND(AI$2&lt;&gt;0,TblTech[[#This Row],[Hour]:[Hour]]&gt;=AI$2),1,0)</f>
        <v>0</v>
      </c>
      <c r="AJ38" s="276" cm="1">
        <f t="array" ref="AJ38">IF(AND(AJ$2&lt;&gt;0,TblTech[[#This Row],[Hour]:[Hour]]&gt;=AJ$2),1,0)</f>
        <v>0</v>
      </c>
      <c r="AK38" s="276" cm="1">
        <f t="array" ref="AK38">IF(AND(AK$2&lt;&gt;0,TblTech[[#This Row],[Hour]:[Hour]]&gt;=AK$2),1,0)</f>
        <v>0</v>
      </c>
      <c r="AL38" s="276" cm="1">
        <f t="array" ref="AL38">IF(AND(AL$2&lt;&gt;0,TblTech[[#This Row],[Hour]:[Hour]]&gt;=AL$2),1,0)</f>
        <v>0</v>
      </c>
      <c r="AM38" s="276" cm="1">
        <f t="array" ref="AM38">IF(AND(AM$2&lt;&gt;0,TblTech[[#This Row],[Hour]:[Hour]]&gt;=AM$2),1,0)</f>
        <v>0</v>
      </c>
      <c r="AN38" s="276" cm="1">
        <f t="array" ref="AN38">IF(AND(AN$2&lt;&gt;0,TblTech[[#This Row],[Hour]:[Hour]]&gt;=AN$2),1,0)</f>
        <v>0</v>
      </c>
      <c r="AO38" s="276" cm="1">
        <f t="array" ref="AO38">IF(AND(AO$2&lt;&gt;0,TblTech[[#This Row],[Hour]:[Hour]]&gt;=AO$2),1,0)</f>
        <v>0</v>
      </c>
      <c r="AP38" s="276" cm="1">
        <f t="array" ref="AP38">IF(AND(AP$2&lt;&gt;0,TblTech[[#This Row],[Hour]:[Hour]]&gt;=AP$2),1,0)</f>
        <v>0</v>
      </c>
      <c r="AQ38" s="276" cm="1">
        <f t="array" ref="AQ38">IF(AND(AQ$2&lt;&gt;0,TblTech[[#This Row],[Hour]:[Hour]]&gt;=AQ$2),1,0)</f>
        <v>0</v>
      </c>
      <c r="AR38" s="276" cm="1">
        <f t="array" ref="AR38">IF(AND(AR$2&lt;&gt;0,TblTech[[#This Row],[Hour]:[Hour]]&gt;=AR$2),1,0)</f>
        <v>0</v>
      </c>
      <c r="AS38" s="276" cm="1">
        <f t="array" ref="AS38">IF(AND(AS$2&lt;&gt;0,TblTech[[#This Row],[Hour]:[Hour]]&gt;=AS$2),1,0)</f>
        <v>0</v>
      </c>
      <c r="AT38" s="276" cm="1">
        <f t="array" ref="AT38">IF(AND(AT$2&lt;&gt;0,TblTech[[#This Row],[Hour]:[Hour]]&gt;=AT$2),1,0)</f>
        <v>0</v>
      </c>
      <c r="AU38" s="276" cm="1">
        <f t="array" ref="AU38">IF(AND(AU$2&lt;&gt;0,TblTech[[#This Row],[Hour]:[Hour]]&gt;=AU$2),1,0)</f>
        <v>0</v>
      </c>
      <c r="AV38" s="276" cm="1">
        <f t="array" ref="AV38">IF(AND(AV$2&lt;&gt;0,TblTech[[#This Row],[Hour]:[Hour]]&gt;=AV$2),1,0)</f>
        <v>0</v>
      </c>
      <c r="AW38" s="276" cm="1">
        <f t="array" ref="AW38">IF(AND(AW$2&lt;&gt;0,TblTech[[#This Row],[Hour]:[Hour]]&gt;=AW$2),1,0)</f>
        <v>0</v>
      </c>
      <c r="AX38" s="276" cm="1">
        <f t="array" ref="AX38">IF(AND(AX$2&lt;&gt;0,TblTech[[#This Row],[Hour]:[Hour]]&gt;=AX$2),1,0)</f>
        <v>0</v>
      </c>
      <c r="AY38" s="276" cm="1">
        <f t="array" ref="AY38">IF(AND(AY$2&lt;&gt;0,TblTech[[#This Row],[Hour]:[Hour]]&gt;=AY$2),1,0)</f>
        <v>0</v>
      </c>
      <c r="AZ38" s="276" cm="1">
        <f t="array" ref="AZ38">IF(AND(AZ$2&lt;&gt;0,TblTech[[#This Row],[Hour]:[Hour]]&gt;=AZ$2),1,0)</f>
        <v>0</v>
      </c>
      <c r="BA38" s="276" cm="1">
        <f t="array" ref="BA38">IF(AND(BA$2&lt;&gt;0,TblTech[[#This Row],[Hour]:[Hour]]&gt;=BA$2),1,0)</f>
        <v>0</v>
      </c>
      <c r="BB38" s="276" cm="1">
        <f t="array" ref="BB38">IF(AND(BB$2&lt;&gt;0,TblTech[[#This Row],[Hour]:[Hour]]&gt;=BB$2),1,0)</f>
        <v>0</v>
      </c>
      <c r="BC38" s="276" cm="1">
        <f t="array" ref="BC38">IF(AND(BC$2&lt;&gt;0,TblTech[[#This Row],[Hour]:[Hour]]&gt;=BC$2),1,0)</f>
        <v>0</v>
      </c>
      <c r="BD38" s="276" cm="1">
        <f t="array" ref="BD38">IF(AND(BD$2&lt;&gt;0,TblTech[[#This Row],[Hour]:[Hour]]&gt;=BD$2),1,0)</f>
        <v>0</v>
      </c>
      <c r="BE38" s="276" cm="1">
        <f t="array" ref="BE38">IF(AND(BE$2&lt;&gt;0,TblTech[[#This Row],[Hour]:[Hour]]&gt;=BE$2),1,0)</f>
        <v>0</v>
      </c>
      <c r="BF38" s="276" cm="1">
        <f t="array" ref="BF38">IF(AND(BF$2&lt;&gt;0,TblTech[[#This Row],[Hour]:[Hour]]&gt;=BF$2),1,0)</f>
        <v>0</v>
      </c>
      <c r="BG38" s="276" cm="1">
        <f t="array" ref="BG38">IF(AND(BG$2&lt;&gt;0,TblTech[[#This Row],[Hour]:[Hour]]&gt;=BG$2),1,0)</f>
        <v>0</v>
      </c>
      <c r="BH38" s="276" cm="1">
        <f t="array" ref="BH38">IF(AND(BH$2&lt;&gt;0,TblTech[[#This Row],[Hour]:[Hour]]&gt;=BH$2),1,0)</f>
        <v>0</v>
      </c>
      <c r="BI38" s="276" cm="1">
        <f t="array" ref="BI38">IF(AND(BI$2&lt;&gt;0,TblTech[[#This Row],[Hour]:[Hour]]&gt;=BI$2),1,0)</f>
        <v>0</v>
      </c>
      <c r="BJ38" s="276" cm="1">
        <f t="array" ref="BJ38">IF(AND(BJ$2&lt;&gt;0,TblTech[[#This Row],[Hour]:[Hour]]&gt;=BJ$2),1,0)</f>
        <v>0</v>
      </c>
      <c r="BK38" s="276" cm="1">
        <f t="array" ref="BK38">IF(AND(BK$2&lt;&gt;0,TblTech[[#This Row],[Hour]:[Hour]]&gt;=BK$2),1,0)</f>
        <v>0</v>
      </c>
      <c r="BL38" s="276" cm="1">
        <f t="array" ref="BL38">IF(AND(BL$2&lt;&gt;0,TblTech[[#This Row],[Hour]:[Hour]]&gt;=BL$2),1,0)</f>
        <v>0</v>
      </c>
      <c r="BM38" s="276" cm="1">
        <f t="array" ref="BM38">IF(AND(BM$2&lt;&gt;0,TblTech[[#This Row],[Hour]:[Hour]]&gt;=BM$2),1,0)</f>
        <v>0</v>
      </c>
      <c r="BN38" s="276" cm="1">
        <f t="array" ref="BN38">IF(AND(BN$2&lt;&gt;0,TblTech[[#This Row],[Hour]:[Hour]]&gt;=BN$2),1,0)</f>
        <v>0</v>
      </c>
      <c r="BO38" s="276" cm="1">
        <f t="array" ref="BO38">IF(AND(BO$2&lt;&gt;0,TblTech[[#This Row],[Hour]:[Hour]]&gt;=BO$2),1,0)</f>
        <v>0</v>
      </c>
      <c r="BP38" s="276" cm="1">
        <f t="array" ref="BP38">IF(AND(BP$2&lt;&gt;0,TblTech[[#This Row],[Hour]:[Hour]]&gt;=BP$2),1,0)</f>
        <v>0</v>
      </c>
      <c r="BQ38" s="276" cm="1">
        <f t="array" ref="BQ38">IF(AND(BQ$2&lt;&gt;0,TblTech[[#This Row],[Hour]:[Hour]]&gt;=BQ$2),1,0)</f>
        <v>0</v>
      </c>
      <c r="BR38" s="276" cm="1">
        <f t="array" ref="BR38">IF(AND(BR$2&lt;&gt;0,TblTech[[#This Row],[Hour]:[Hour]]&gt;=BR$2),1,0)</f>
        <v>0</v>
      </c>
      <c r="BS38" s="276" cm="1">
        <f t="array" ref="BS38">IF(AND(BS$2&lt;&gt;0,TblTech[[#This Row],[Hour]:[Hour]]&gt;=BS$2),1,0)</f>
        <v>0</v>
      </c>
      <c r="BT38" s="276" cm="1">
        <f t="array" ref="BT38">IF(AND(BT$2&lt;&gt;0,TblTech[[#This Row],[Hour]:[Hour]]&gt;=BT$2),1,0)</f>
        <v>0</v>
      </c>
      <c r="BU38" s="276" cm="1">
        <f t="array" ref="BU38">IF(AND(BU$2&lt;&gt;0,TblTech[[#This Row],[Hour]:[Hour]]&gt;=BU$2),1,0)</f>
        <v>0</v>
      </c>
      <c r="BV38" s="276" cm="1">
        <f t="array" ref="BV38">IF(AND(BV$2&lt;&gt;0,TblTech[[#This Row],[Hour]:[Hour]]&gt;=BV$2),1,0)</f>
        <v>0</v>
      </c>
      <c r="BW38" s="276" cm="1">
        <f t="array" ref="BW38">IF(AND(BW$2&lt;&gt;0,TblTech[[#This Row],[Hour]:[Hour]]&gt;=BW$2),1,0)</f>
        <v>0</v>
      </c>
      <c r="BX38" s="276" cm="1">
        <f t="array" ref="BX38">IF(AND(BX$2&lt;&gt;0,TblTech[[#This Row],[Hour]:[Hour]]&gt;=BX$2),1,0)</f>
        <v>0</v>
      </c>
      <c r="BY38" s="276" cm="1">
        <f t="array" ref="BY38">IF(AND(BY$2&lt;&gt;0,TblTech[[#This Row],[Hour]:[Hour]]&gt;=BY$2),1,0)</f>
        <v>0</v>
      </c>
      <c r="BZ38" s="276" cm="1">
        <f t="array" ref="BZ38">IF(AND(BZ$2&lt;&gt;0,TblTech[[#This Row],[Hour]:[Hour]]&gt;=BZ$2),1,0)</f>
        <v>0</v>
      </c>
      <c r="CA38" s="377">
        <f>IFERROR(INDEX($H$4:$H$79,MATCH(INDEX(TblTech[[#Headers],[1-1]:[11-1]],1,MATCH(TblTech[[#This Row],[Hour]],$M$2:$BZ$2,0)),$G$4:$G$79,0)),)</f>
        <v>0</v>
      </c>
    </row>
    <row r="39" spans="1:79" x14ac:dyDescent="0.2">
      <c r="A39" s="268">
        <f>TblRezone[[#This Row],[Hour]]</f>
        <v>36</v>
      </c>
      <c r="B39" s="269">
        <f ca="1">TblExplore[[#This Row],[Land-DB]]</f>
        <v>110</v>
      </c>
      <c r="C39" s="270">
        <f ca="1">TblProd[[#This Row],[Techpoints]]</f>
        <v>0</v>
      </c>
      <c r="D39" s="270">
        <f ca="1">TblProd[[#This Row],[Required]]</f>
        <v>3750</v>
      </c>
      <c r="E39" s="271"/>
      <c r="F39" s="272"/>
      <c r="G39" s="273" t="s">
        <v>580</v>
      </c>
      <c r="H39" s="274" t="s">
        <v>706</v>
      </c>
      <c r="I39" s="273" t="s">
        <v>1048</v>
      </c>
      <c r="J39" s="269"/>
      <c r="K39" s="93">
        <f ca="1">IF(TblTech[[#This Row],[Sum of tech]]&lt;&gt;OFFSET(TblTech[[#This Row],[Sum of tech]],-1,0),1,0)</f>
        <v>0</v>
      </c>
      <c r="L39" s="275">
        <f>COUNTIF(TblTech[[#This Row],[1-1]:[11-1]],1)</f>
        <v>0</v>
      </c>
      <c r="M39" s="276" cm="1">
        <f t="array" ref="M39">IF(AND(M$2&lt;&gt;0,TblTech[[#This Row],[Hour]:[Hour]]&gt;=M$2),1,0)</f>
        <v>0</v>
      </c>
      <c r="N39" s="276" cm="1">
        <f t="array" ref="N39">IF(AND(N$2&lt;&gt;0,TblTech[[#This Row],[Hour]:[Hour]]&gt;=N$2),1,0)</f>
        <v>0</v>
      </c>
      <c r="O39" s="276" cm="1">
        <f t="array" ref="O39">IF(AND(O$2&lt;&gt;0,TblTech[[#This Row],[Hour]:[Hour]]&gt;=O$2),1,0)</f>
        <v>0</v>
      </c>
      <c r="P39" s="276" cm="1">
        <f t="array" ref="P39">IF(AND(P$2&lt;&gt;0,TblTech[[#This Row],[Hour]:[Hour]]&gt;=P$2),1,0)</f>
        <v>0</v>
      </c>
      <c r="Q39" s="276" cm="1">
        <f t="array" ref="Q39">IF(AND(Q$2&lt;&gt;0,TblTech[[#This Row],[Hour]:[Hour]]&gt;=Q$2),1,0)</f>
        <v>0</v>
      </c>
      <c r="R39" s="276" cm="1">
        <f t="array" ref="R39">IF(AND(R$2&lt;&gt;0,TblTech[[#This Row],[Hour]:[Hour]]&gt;=R$2),1,0)</f>
        <v>0</v>
      </c>
      <c r="S39" s="276" cm="1">
        <f t="array" ref="S39">IF(AND(S$2&lt;&gt;0,TblTech[[#This Row],[Hour]:[Hour]]&gt;=S$2),1,0)</f>
        <v>0</v>
      </c>
      <c r="T39" s="276" cm="1">
        <f t="array" ref="T39">IF(AND(T$2&lt;&gt;0,TblTech[[#This Row],[Hour]:[Hour]]&gt;=T$2),1,0)</f>
        <v>0</v>
      </c>
      <c r="U39" s="276" cm="1">
        <f t="array" ref="U39">IF(AND(U$2&lt;&gt;0,TblTech[[#This Row],[Hour]:[Hour]]&gt;=U$2),1,0)</f>
        <v>0</v>
      </c>
      <c r="V39" s="276" cm="1">
        <f t="array" ref="V39">IF(AND(V$2&lt;&gt;0,TblTech[[#This Row],[Hour]:[Hour]]&gt;=V$2),1,0)</f>
        <v>0</v>
      </c>
      <c r="W39" s="276" cm="1">
        <f t="array" ref="W39">IF(AND(W$2&lt;&gt;0,TblTech[[#This Row],[Hour]:[Hour]]&gt;=W$2),1,0)</f>
        <v>0</v>
      </c>
      <c r="X39" s="276" cm="1">
        <f t="array" ref="X39">IF(AND(X$2&lt;&gt;0,TblTech[[#This Row],[Hour]:[Hour]]&gt;=X$2),1,0)</f>
        <v>0</v>
      </c>
      <c r="Y39" s="276" cm="1">
        <f t="array" ref="Y39">IF(AND(Y$2&lt;&gt;0,TblTech[[#This Row],[Hour]:[Hour]]&gt;=Y$2),1,0)</f>
        <v>0</v>
      </c>
      <c r="Z39" s="276" cm="1">
        <f t="array" ref="Z39">IF(AND(Z$2&lt;&gt;0,TblTech[[#This Row],[Hour]:[Hour]]&gt;=Z$2),1,0)</f>
        <v>0</v>
      </c>
      <c r="AA39" s="276" cm="1">
        <f t="array" ref="AA39">IF(AND(AA$2&lt;&gt;0,TblTech[[#This Row],[Hour]:[Hour]]&gt;=AA$2),1,0)</f>
        <v>0</v>
      </c>
      <c r="AB39" s="276" cm="1">
        <f t="array" ref="AB39">IF(AND(AB$2&lt;&gt;0,TblTech[[#This Row],[Hour]:[Hour]]&gt;=AB$2),1,0)</f>
        <v>0</v>
      </c>
      <c r="AC39" s="276" cm="1">
        <f t="array" ref="AC39">IF(AND(AC$2&lt;&gt;0,TblTech[[#This Row],[Hour]:[Hour]]&gt;=AC$2),1,0)</f>
        <v>0</v>
      </c>
      <c r="AD39" s="276" cm="1">
        <f t="array" ref="AD39">IF(AND(AD$2&lt;&gt;0,TblTech[[#This Row],[Hour]:[Hour]]&gt;=AD$2),1,0)</f>
        <v>0</v>
      </c>
      <c r="AE39" s="276" cm="1">
        <f t="array" ref="AE39">IF(AND(AE$2&lt;&gt;0,TblTech[[#This Row],[Hour]:[Hour]]&gt;=AE$2),1,0)</f>
        <v>0</v>
      </c>
      <c r="AF39" s="276" cm="1">
        <f t="array" ref="AF39">IF(AND(AF$2&lt;&gt;0,TblTech[[#This Row],[Hour]:[Hour]]&gt;=AF$2),1,0)</f>
        <v>0</v>
      </c>
      <c r="AG39" s="276" cm="1">
        <f t="array" ref="AG39">IF(AND(AG$2&lt;&gt;0,TblTech[[#This Row],[Hour]:[Hour]]&gt;=AG$2),1,0)</f>
        <v>0</v>
      </c>
      <c r="AH39" s="276" cm="1">
        <f t="array" ref="AH39">IF(AND(AH$2&lt;&gt;0,TblTech[[#This Row],[Hour]:[Hour]]&gt;=AH$2),1,0)</f>
        <v>0</v>
      </c>
      <c r="AI39" s="276" cm="1">
        <f t="array" ref="AI39">IF(AND(AI$2&lt;&gt;0,TblTech[[#This Row],[Hour]:[Hour]]&gt;=AI$2),1,0)</f>
        <v>0</v>
      </c>
      <c r="AJ39" s="276" cm="1">
        <f t="array" ref="AJ39">IF(AND(AJ$2&lt;&gt;0,TblTech[[#This Row],[Hour]:[Hour]]&gt;=AJ$2),1,0)</f>
        <v>0</v>
      </c>
      <c r="AK39" s="276" cm="1">
        <f t="array" ref="AK39">IF(AND(AK$2&lt;&gt;0,TblTech[[#This Row],[Hour]:[Hour]]&gt;=AK$2),1,0)</f>
        <v>0</v>
      </c>
      <c r="AL39" s="276" cm="1">
        <f t="array" ref="AL39">IF(AND(AL$2&lt;&gt;0,TblTech[[#This Row],[Hour]:[Hour]]&gt;=AL$2),1,0)</f>
        <v>0</v>
      </c>
      <c r="AM39" s="276" cm="1">
        <f t="array" ref="AM39">IF(AND(AM$2&lt;&gt;0,TblTech[[#This Row],[Hour]:[Hour]]&gt;=AM$2),1,0)</f>
        <v>0</v>
      </c>
      <c r="AN39" s="276" cm="1">
        <f t="array" ref="AN39">IF(AND(AN$2&lt;&gt;0,TblTech[[#This Row],[Hour]:[Hour]]&gt;=AN$2),1,0)</f>
        <v>0</v>
      </c>
      <c r="AO39" s="276" cm="1">
        <f t="array" ref="AO39">IF(AND(AO$2&lt;&gt;0,TblTech[[#This Row],[Hour]:[Hour]]&gt;=AO$2),1,0)</f>
        <v>0</v>
      </c>
      <c r="AP39" s="276" cm="1">
        <f t="array" ref="AP39">IF(AND(AP$2&lt;&gt;0,TblTech[[#This Row],[Hour]:[Hour]]&gt;=AP$2),1,0)</f>
        <v>0</v>
      </c>
      <c r="AQ39" s="276" cm="1">
        <f t="array" ref="AQ39">IF(AND(AQ$2&lt;&gt;0,TblTech[[#This Row],[Hour]:[Hour]]&gt;=AQ$2),1,0)</f>
        <v>0</v>
      </c>
      <c r="AR39" s="276" cm="1">
        <f t="array" ref="AR39">IF(AND(AR$2&lt;&gt;0,TblTech[[#This Row],[Hour]:[Hour]]&gt;=AR$2),1,0)</f>
        <v>0</v>
      </c>
      <c r="AS39" s="276" cm="1">
        <f t="array" ref="AS39">IF(AND(AS$2&lt;&gt;0,TblTech[[#This Row],[Hour]:[Hour]]&gt;=AS$2),1,0)</f>
        <v>0</v>
      </c>
      <c r="AT39" s="276" cm="1">
        <f t="array" ref="AT39">IF(AND(AT$2&lt;&gt;0,TblTech[[#This Row],[Hour]:[Hour]]&gt;=AT$2),1,0)</f>
        <v>0</v>
      </c>
      <c r="AU39" s="276" cm="1">
        <f t="array" ref="AU39">IF(AND(AU$2&lt;&gt;0,TblTech[[#This Row],[Hour]:[Hour]]&gt;=AU$2),1,0)</f>
        <v>0</v>
      </c>
      <c r="AV39" s="276" cm="1">
        <f t="array" ref="AV39">IF(AND(AV$2&lt;&gt;0,TblTech[[#This Row],[Hour]:[Hour]]&gt;=AV$2),1,0)</f>
        <v>0</v>
      </c>
      <c r="AW39" s="276" cm="1">
        <f t="array" ref="AW39">IF(AND(AW$2&lt;&gt;0,TblTech[[#This Row],[Hour]:[Hour]]&gt;=AW$2),1,0)</f>
        <v>0</v>
      </c>
      <c r="AX39" s="276" cm="1">
        <f t="array" ref="AX39">IF(AND(AX$2&lt;&gt;0,TblTech[[#This Row],[Hour]:[Hour]]&gt;=AX$2),1,0)</f>
        <v>0</v>
      </c>
      <c r="AY39" s="276" cm="1">
        <f t="array" ref="AY39">IF(AND(AY$2&lt;&gt;0,TblTech[[#This Row],[Hour]:[Hour]]&gt;=AY$2),1,0)</f>
        <v>0</v>
      </c>
      <c r="AZ39" s="276" cm="1">
        <f t="array" ref="AZ39">IF(AND(AZ$2&lt;&gt;0,TblTech[[#This Row],[Hour]:[Hour]]&gt;=AZ$2),1,0)</f>
        <v>0</v>
      </c>
      <c r="BA39" s="276" cm="1">
        <f t="array" ref="BA39">IF(AND(BA$2&lt;&gt;0,TblTech[[#This Row],[Hour]:[Hour]]&gt;=BA$2),1,0)</f>
        <v>0</v>
      </c>
      <c r="BB39" s="276" cm="1">
        <f t="array" ref="BB39">IF(AND(BB$2&lt;&gt;0,TblTech[[#This Row],[Hour]:[Hour]]&gt;=BB$2),1,0)</f>
        <v>0</v>
      </c>
      <c r="BC39" s="276" cm="1">
        <f t="array" ref="BC39">IF(AND(BC$2&lt;&gt;0,TblTech[[#This Row],[Hour]:[Hour]]&gt;=BC$2),1,0)</f>
        <v>0</v>
      </c>
      <c r="BD39" s="276" cm="1">
        <f t="array" ref="BD39">IF(AND(BD$2&lt;&gt;0,TblTech[[#This Row],[Hour]:[Hour]]&gt;=BD$2),1,0)</f>
        <v>0</v>
      </c>
      <c r="BE39" s="276" cm="1">
        <f t="array" ref="BE39">IF(AND(BE$2&lt;&gt;0,TblTech[[#This Row],[Hour]:[Hour]]&gt;=BE$2),1,0)</f>
        <v>0</v>
      </c>
      <c r="BF39" s="276" cm="1">
        <f t="array" ref="BF39">IF(AND(BF$2&lt;&gt;0,TblTech[[#This Row],[Hour]:[Hour]]&gt;=BF$2),1,0)</f>
        <v>0</v>
      </c>
      <c r="BG39" s="276" cm="1">
        <f t="array" ref="BG39">IF(AND(BG$2&lt;&gt;0,TblTech[[#This Row],[Hour]:[Hour]]&gt;=BG$2),1,0)</f>
        <v>0</v>
      </c>
      <c r="BH39" s="276" cm="1">
        <f t="array" ref="BH39">IF(AND(BH$2&lt;&gt;0,TblTech[[#This Row],[Hour]:[Hour]]&gt;=BH$2),1,0)</f>
        <v>0</v>
      </c>
      <c r="BI39" s="276" cm="1">
        <f t="array" ref="BI39">IF(AND(BI$2&lt;&gt;0,TblTech[[#This Row],[Hour]:[Hour]]&gt;=BI$2),1,0)</f>
        <v>0</v>
      </c>
      <c r="BJ39" s="276" cm="1">
        <f t="array" ref="BJ39">IF(AND(BJ$2&lt;&gt;0,TblTech[[#This Row],[Hour]:[Hour]]&gt;=BJ$2),1,0)</f>
        <v>0</v>
      </c>
      <c r="BK39" s="276" cm="1">
        <f t="array" ref="BK39">IF(AND(BK$2&lt;&gt;0,TblTech[[#This Row],[Hour]:[Hour]]&gt;=BK$2),1,0)</f>
        <v>0</v>
      </c>
      <c r="BL39" s="276" cm="1">
        <f t="array" ref="BL39">IF(AND(BL$2&lt;&gt;0,TblTech[[#This Row],[Hour]:[Hour]]&gt;=BL$2),1,0)</f>
        <v>0</v>
      </c>
      <c r="BM39" s="276" cm="1">
        <f t="array" ref="BM39">IF(AND(BM$2&lt;&gt;0,TblTech[[#This Row],[Hour]:[Hour]]&gt;=BM$2),1,0)</f>
        <v>0</v>
      </c>
      <c r="BN39" s="276" cm="1">
        <f t="array" ref="BN39">IF(AND(BN$2&lt;&gt;0,TblTech[[#This Row],[Hour]:[Hour]]&gt;=BN$2),1,0)</f>
        <v>0</v>
      </c>
      <c r="BO39" s="276" cm="1">
        <f t="array" ref="BO39">IF(AND(BO$2&lt;&gt;0,TblTech[[#This Row],[Hour]:[Hour]]&gt;=BO$2),1,0)</f>
        <v>0</v>
      </c>
      <c r="BP39" s="276" cm="1">
        <f t="array" ref="BP39">IF(AND(BP$2&lt;&gt;0,TblTech[[#This Row],[Hour]:[Hour]]&gt;=BP$2),1,0)</f>
        <v>0</v>
      </c>
      <c r="BQ39" s="276" cm="1">
        <f t="array" ref="BQ39">IF(AND(BQ$2&lt;&gt;0,TblTech[[#This Row],[Hour]:[Hour]]&gt;=BQ$2),1,0)</f>
        <v>0</v>
      </c>
      <c r="BR39" s="276" cm="1">
        <f t="array" ref="BR39">IF(AND(BR$2&lt;&gt;0,TblTech[[#This Row],[Hour]:[Hour]]&gt;=BR$2),1,0)</f>
        <v>0</v>
      </c>
      <c r="BS39" s="276" cm="1">
        <f t="array" ref="BS39">IF(AND(BS$2&lt;&gt;0,TblTech[[#This Row],[Hour]:[Hour]]&gt;=BS$2),1,0)</f>
        <v>0</v>
      </c>
      <c r="BT39" s="276" cm="1">
        <f t="array" ref="BT39">IF(AND(BT$2&lt;&gt;0,TblTech[[#This Row],[Hour]:[Hour]]&gt;=BT$2),1,0)</f>
        <v>0</v>
      </c>
      <c r="BU39" s="276" cm="1">
        <f t="array" ref="BU39">IF(AND(BU$2&lt;&gt;0,TblTech[[#This Row],[Hour]:[Hour]]&gt;=BU$2),1,0)</f>
        <v>0</v>
      </c>
      <c r="BV39" s="276" cm="1">
        <f t="array" ref="BV39">IF(AND(BV$2&lt;&gt;0,TblTech[[#This Row],[Hour]:[Hour]]&gt;=BV$2),1,0)</f>
        <v>0</v>
      </c>
      <c r="BW39" s="276" cm="1">
        <f t="array" ref="BW39">IF(AND(BW$2&lt;&gt;0,TblTech[[#This Row],[Hour]:[Hour]]&gt;=BW$2),1,0)</f>
        <v>0</v>
      </c>
      <c r="BX39" s="276" cm="1">
        <f t="array" ref="BX39">IF(AND(BX$2&lt;&gt;0,TblTech[[#This Row],[Hour]:[Hour]]&gt;=BX$2),1,0)</f>
        <v>0</v>
      </c>
      <c r="BY39" s="276" cm="1">
        <f t="array" ref="BY39">IF(AND(BY$2&lt;&gt;0,TblTech[[#This Row],[Hour]:[Hour]]&gt;=BY$2),1,0)</f>
        <v>0</v>
      </c>
      <c r="BZ39" s="276" cm="1">
        <f t="array" ref="BZ39">IF(AND(BZ$2&lt;&gt;0,TblTech[[#This Row],[Hour]:[Hour]]&gt;=BZ$2),1,0)</f>
        <v>0</v>
      </c>
      <c r="CA39" s="377">
        <f>IFERROR(INDEX($H$4:$H$79,MATCH(INDEX(TblTech[[#Headers],[1-1]:[11-1]],1,MATCH(TblTech[[#This Row],[Hour]],$M$2:$BZ$2,0)),$G$4:$G$79,0)),)</f>
        <v>0</v>
      </c>
    </row>
    <row r="40" spans="1:79" x14ac:dyDescent="0.2">
      <c r="A40" s="268">
        <f>TblRezone[[#This Row],[Hour]]</f>
        <v>37</v>
      </c>
      <c r="B40" s="269">
        <f ca="1">TblExplore[[#This Row],[Land-DB]]</f>
        <v>110</v>
      </c>
      <c r="C40" s="270">
        <f ca="1">TblProd[[#This Row],[Techpoints]]</f>
        <v>0</v>
      </c>
      <c r="D40" s="270">
        <f ca="1">TblProd[[#This Row],[Required]]</f>
        <v>3750</v>
      </c>
      <c r="E40" s="271"/>
      <c r="F40" s="272"/>
      <c r="G40" s="273" t="s">
        <v>581</v>
      </c>
      <c r="H40" s="274" t="s">
        <v>707</v>
      </c>
      <c r="I40" s="273" t="s">
        <v>1093</v>
      </c>
      <c r="J40" s="269"/>
      <c r="K40" s="93">
        <f ca="1">IF(TblTech[[#This Row],[Sum of tech]]&lt;&gt;OFFSET(TblTech[[#This Row],[Sum of tech]],-1,0),1,0)</f>
        <v>0</v>
      </c>
      <c r="L40" s="275">
        <f>COUNTIF(TblTech[[#This Row],[1-1]:[11-1]],1)</f>
        <v>0</v>
      </c>
      <c r="M40" s="276" cm="1">
        <f t="array" ref="M40">IF(AND(M$2&lt;&gt;0,TblTech[[#This Row],[Hour]:[Hour]]&gt;=M$2),1,0)</f>
        <v>0</v>
      </c>
      <c r="N40" s="276" cm="1">
        <f t="array" ref="N40">IF(AND(N$2&lt;&gt;0,TblTech[[#This Row],[Hour]:[Hour]]&gt;=N$2),1,0)</f>
        <v>0</v>
      </c>
      <c r="O40" s="276" cm="1">
        <f t="array" ref="O40">IF(AND(O$2&lt;&gt;0,TblTech[[#This Row],[Hour]:[Hour]]&gt;=O$2),1,0)</f>
        <v>0</v>
      </c>
      <c r="P40" s="276" cm="1">
        <f t="array" ref="P40">IF(AND(P$2&lt;&gt;0,TblTech[[#This Row],[Hour]:[Hour]]&gt;=P$2),1,0)</f>
        <v>0</v>
      </c>
      <c r="Q40" s="276" cm="1">
        <f t="array" ref="Q40">IF(AND(Q$2&lt;&gt;0,TblTech[[#This Row],[Hour]:[Hour]]&gt;=Q$2),1,0)</f>
        <v>0</v>
      </c>
      <c r="R40" s="276" cm="1">
        <f t="array" ref="R40">IF(AND(R$2&lt;&gt;0,TblTech[[#This Row],[Hour]:[Hour]]&gt;=R$2),1,0)</f>
        <v>0</v>
      </c>
      <c r="S40" s="276" cm="1">
        <f t="array" ref="S40">IF(AND(S$2&lt;&gt;0,TblTech[[#This Row],[Hour]:[Hour]]&gt;=S$2),1,0)</f>
        <v>0</v>
      </c>
      <c r="T40" s="276" cm="1">
        <f t="array" ref="T40">IF(AND(T$2&lt;&gt;0,TblTech[[#This Row],[Hour]:[Hour]]&gt;=T$2),1,0)</f>
        <v>0</v>
      </c>
      <c r="U40" s="276" cm="1">
        <f t="array" ref="U40">IF(AND(U$2&lt;&gt;0,TblTech[[#This Row],[Hour]:[Hour]]&gt;=U$2),1,0)</f>
        <v>0</v>
      </c>
      <c r="V40" s="276" cm="1">
        <f t="array" ref="V40">IF(AND(V$2&lt;&gt;0,TblTech[[#This Row],[Hour]:[Hour]]&gt;=V$2),1,0)</f>
        <v>0</v>
      </c>
      <c r="W40" s="276" cm="1">
        <f t="array" ref="W40">IF(AND(W$2&lt;&gt;0,TblTech[[#This Row],[Hour]:[Hour]]&gt;=W$2),1,0)</f>
        <v>0</v>
      </c>
      <c r="X40" s="276" cm="1">
        <f t="array" ref="X40">IF(AND(X$2&lt;&gt;0,TblTech[[#This Row],[Hour]:[Hour]]&gt;=X$2),1,0)</f>
        <v>0</v>
      </c>
      <c r="Y40" s="276" cm="1">
        <f t="array" ref="Y40">IF(AND(Y$2&lt;&gt;0,TblTech[[#This Row],[Hour]:[Hour]]&gt;=Y$2),1,0)</f>
        <v>0</v>
      </c>
      <c r="Z40" s="276" cm="1">
        <f t="array" ref="Z40">IF(AND(Z$2&lt;&gt;0,TblTech[[#This Row],[Hour]:[Hour]]&gt;=Z$2),1,0)</f>
        <v>0</v>
      </c>
      <c r="AA40" s="276" cm="1">
        <f t="array" ref="AA40">IF(AND(AA$2&lt;&gt;0,TblTech[[#This Row],[Hour]:[Hour]]&gt;=AA$2),1,0)</f>
        <v>0</v>
      </c>
      <c r="AB40" s="276" cm="1">
        <f t="array" ref="AB40">IF(AND(AB$2&lt;&gt;0,TblTech[[#This Row],[Hour]:[Hour]]&gt;=AB$2),1,0)</f>
        <v>0</v>
      </c>
      <c r="AC40" s="276" cm="1">
        <f t="array" ref="AC40">IF(AND(AC$2&lt;&gt;0,TblTech[[#This Row],[Hour]:[Hour]]&gt;=AC$2),1,0)</f>
        <v>0</v>
      </c>
      <c r="AD40" s="276" cm="1">
        <f t="array" ref="AD40">IF(AND(AD$2&lt;&gt;0,TblTech[[#This Row],[Hour]:[Hour]]&gt;=AD$2),1,0)</f>
        <v>0</v>
      </c>
      <c r="AE40" s="276" cm="1">
        <f t="array" ref="AE40">IF(AND(AE$2&lt;&gt;0,TblTech[[#This Row],[Hour]:[Hour]]&gt;=AE$2),1,0)</f>
        <v>0</v>
      </c>
      <c r="AF40" s="276" cm="1">
        <f t="array" ref="AF40">IF(AND(AF$2&lt;&gt;0,TblTech[[#This Row],[Hour]:[Hour]]&gt;=AF$2),1,0)</f>
        <v>0</v>
      </c>
      <c r="AG40" s="276" cm="1">
        <f t="array" ref="AG40">IF(AND(AG$2&lt;&gt;0,TblTech[[#This Row],[Hour]:[Hour]]&gt;=AG$2),1,0)</f>
        <v>0</v>
      </c>
      <c r="AH40" s="276" cm="1">
        <f t="array" ref="AH40">IF(AND(AH$2&lt;&gt;0,TblTech[[#This Row],[Hour]:[Hour]]&gt;=AH$2),1,0)</f>
        <v>0</v>
      </c>
      <c r="AI40" s="276" cm="1">
        <f t="array" ref="AI40">IF(AND(AI$2&lt;&gt;0,TblTech[[#This Row],[Hour]:[Hour]]&gt;=AI$2),1,0)</f>
        <v>0</v>
      </c>
      <c r="AJ40" s="276" cm="1">
        <f t="array" ref="AJ40">IF(AND(AJ$2&lt;&gt;0,TblTech[[#This Row],[Hour]:[Hour]]&gt;=AJ$2),1,0)</f>
        <v>0</v>
      </c>
      <c r="AK40" s="276" cm="1">
        <f t="array" ref="AK40">IF(AND(AK$2&lt;&gt;0,TblTech[[#This Row],[Hour]:[Hour]]&gt;=AK$2),1,0)</f>
        <v>0</v>
      </c>
      <c r="AL40" s="276" cm="1">
        <f t="array" ref="AL40">IF(AND(AL$2&lt;&gt;0,TblTech[[#This Row],[Hour]:[Hour]]&gt;=AL$2),1,0)</f>
        <v>0</v>
      </c>
      <c r="AM40" s="276" cm="1">
        <f t="array" ref="AM40">IF(AND(AM$2&lt;&gt;0,TblTech[[#This Row],[Hour]:[Hour]]&gt;=AM$2),1,0)</f>
        <v>0</v>
      </c>
      <c r="AN40" s="276" cm="1">
        <f t="array" ref="AN40">IF(AND(AN$2&lt;&gt;0,TblTech[[#This Row],[Hour]:[Hour]]&gt;=AN$2),1,0)</f>
        <v>0</v>
      </c>
      <c r="AO40" s="276" cm="1">
        <f t="array" ref="AO40">IF(AND(AO$2&lt;&gt;0,TblTech[[#This Row],[Hour]:[Hour]]&gt;=AO$2),1,0)</f>
        <v>0</v>
      </c>
      <c r="AP40" s="276" cm="1">
        <f t="array" ref="AP40">IF(AND(AP$2&lt;&gt;0,TblTech[[#This Row],[Hour]:[Hour]]&gt;=AP$2),1,0)</f>
        <v>0</v>
      </c>
      <c r="AQ40" s="276" cm="1">
        <f t="array" ref="AQ40">IF(AND(AQ$2&lt;&gt;0,TblTech[[#This Row],[Hour]:[Hour]]&gt;=AQ$2),1,0)</f>
        <v>0</v>
      </c>
      <c r="AR40" s="276" cm="1">
        <f t="array" ref="AR40">IF(AND(AR$2&lt;&gt;0,TblTech[[#This Row],[Hour]:[Hour]]&gt;=AR$2),1,0)</f>
        <v>0</v>
      </c>
      <c r="AS40" s="276" cm="1">
        <f t="array" ref="AS40">IF(AND(AS$2&lt;&gt;0,TblTech[[#This Row],[Hour]:[Hour]]&gt;=AS$2),1,0)</f>
        <v>0</v>
      </c>
      <c r="AT40" s="276" cm="1">
        <f t="array" ref="AT40">IF(AND(AT$2&lt;&gt;0,TblTech[[#This Row],[Hour]:[Hour]]&gt;=AT$2),1,0)</f>
        <v>0</v>
      </c>
      <c r="AU40" s="276" cm="1">
        <f t="array" ref="AU40">IF(AND(AU$2&lt;&gt;0,TblTech[[#This Row],[Hour]:[Hour]]&gt;=AU$2),1,0)</f>
        <v>0</v>
      </c>
      <c r="AV40" s="276" cm="1">
        <f t="array" ref="AV40">IF(AND(AV$2&lt;&gt;0,TblTech[[#This Row],[Hour]:[Hour]]&gt;=AV$2),1,0)</f>
        <v>0</v>
      </c>
      <c r="AW40" s="276" cm="1">
        <f t="array" ref="AW40">IF(AND(AW$2&lt;&gt;0,TblTech[[#This Row],[Hour]:[Hour]]&gt;=AW$2),1,0)</f>
        <v>0</v>
      </c>
      <c r="AX40" s="276" cm="1">
        <f t="array" ref="AX40">IF(AND(AX$2&lt;&gt;0,TblTech[[#This Row],[Hour]:[Hour]]&gt;=AX$2),1,0)</f>
        <v>0</v>
      </c>
      <c r="AY40" s="276" cm="1">
        <f t="array" ref="AY40">IF(AND(AY$2&lt;&gt;0,TblTech[[#This Row],[Hour]:[Hour]]&gt;=AY$2),1,0)</f>
        <v>0</v>
      </c>
      <c r="AZ40" s="276" cm="1">
        <f t="array" ref="AZ40">IF(AND(AZ$2&lt;&gt;0,TblTech[[#This Row],[Hour]:[Hour]]&gt;=AZ$2),1,0)</f>
        <v>0</v>
      </c>
      <c r="BA40" s="276" cm="1">
        <f t="array" ref="BA40">IF(AND(BA$2&lt;&gt;0,TblTech[[#This Row],[Hour]:[Hour]]&gt;=BA$2),1,0)</f>
        <v>0</v>
      </c>
      <c r="BB40" s="276" cm="1">
        <f t="array" ref="BB40">IF(AND(BB$2&lt;&gt;0,TblTech[[#This Row],[Hour]:[Hour]]&gt;=BB$2),1,0)</f>
        <v>0</v>
      </c>
      <c r="BC40" s="276" cm="1">
        <f t="array" ref="BC40">IF(AND(BC$2&lt;&gt;0,TblTech[[#This Row],[Hour]:[Hour]]&gt;=BC$2),1,0)</f>
        <v>0</v>
      </c>
      <c r="BD40" s="276" cm="1">
        <f t="array" ref="BD40">IF(AND(BD$2&lt;&gt;0,TblTech[[#This Row],[Hour]:[Hour]]&gt;=BD$2),1,0)</f>
        <v>0</v>
      </c>
      <c r="BE40" s="276" cm="1">
        <f t="array" ref="BE40">IF(AND(BE$2&lt;&gt;0,TblTech[[#This Row],[Hour]:[Hour]]&gt;=BE$2),1,0)</f>
        <v>0</v>
      </c>
      <c r="BF40" s="276" cm="1">
        <f t="array" ref="BF40">IF(AND(BF$2&lt;&gt;0,TblTech[[#This Row],[Hour]:[Hour]]&gt;=BF$2),1,0)</f>
        <v>0</v>
      </c>
      <c r="BG40" s="276" cm="1">
        <f t="array" ref="BG40">IF(AND(BG$2&lt;&gt;0,TblTech[[#This Row],[Hour]:[Hour]]&gt;=BG$2),1,0)</f>
        <v>0</v>
      </c>
      <c r="BH40" s="276" cm="1">
        <f t="array" ref="BH40">IF(AND(BH$2&lt;&gt;0,TblTech[[#This Row],[Hour]:[Hour]]&gt;=BH$2),1,0)</f>
        <v>0</v>
      </c>
      <c r="BI40" s="276" cm="1">
        <f t="array" ref="BI40">IF(AND(BI$2&lt;&gt;0,TblTech[[#This Row],[Hour]:[Hour]]&gt;=BI$2),1,0)</f>
        <v>0</v>
      </c>
      <c r="BJ40" s="276" cm="1">
        <f t="array" ref="BJ40">IF(AND(BJ$2&lt;&gt;0,TblTech[[#This Row],[Hour]:[Hour]]&gt;=BJ$2),1,0)</f>
        <v>0</v>
      </c>
      <c r="BK40" s="276" cm="1">
        <f t="array" ref="BK40">IF(AND(BK$2&lt;&gt;0,TblTech[[#This Row],[Hour]:[Hour]]&gt;=BK$2),1,0)</f>
        <v>0</v>
      </c>
      <c r="BL40" s="276" cm="1">
        <f t="array" ref="BL40">IF(AND(BL$2&lt;&gt;0,TblTech[[#This Row],[Hour]:[Hour]]&gt;=BL$2),1,0)</f>
        <v>0</v>
      </c>
      <c r="BM40" s="276" cm="1">
        <f t="array" ref="BM40">IF(AND(BM$2&lt;&gt;0,TblTech[[#This Row],[Hour]:[Hour]]&gt;=BM$2),1,0)</f>
        <v>0</v>
      </c>
      <c r="BN40" s="276" cm="1">
        <f t="array" ref="BN40">IF(AND(BN$2&lt;&gt;0,TblTech[[#This Row],[Hour]:[Hour]]&gt;=BN$2),1,0)</f>
        <v>0</v>
      </c>
      <c r="BO40" s="276" cm="1">
        <f t="array" ref="BO40">IF(AND(BO$2&lt;&gt;0,TblTech[[#This Row],[Hour]:[Hour]]&gt;=BO$2),1,0)</f>
        <v>0</v>
      </c>
      <c r="BP40" s="276" cm="1">
        <f t="array" ref="BP40">IF(AND(BP$2&lt;&gt;0,TblTech[[#This Row],[Hour]:[Hour]]&gt;=BP$2),1,0)</f>
        <v>0</v>
      </c>
      <c r="BQ40" s="276" cm="1">
        <f t="array" ref="BQ40">IF(AND(BQ$2&lt;&gt;0,TblTech[[#This Row],[Hour]:[Hour]]&gt;=BQ$2),1,0)</f>
        <v>0</v>
      </c>
      <c r="BR40" s="276" cm="1">
        <f t="array" ref="BR40">IF(AND(BR$2&lt;&gt;0,TblTech[[#This Row],[Hour]:[Hour]]&gt;=BR$2),1,0)</f>
        <v>0</v>
      </c>
      <c r="BS40" s="276" cm="1">
        <f t="array" ref="BS40">IF(AND(BS$2&lt;&gt;0,TblTech[[#This Row],[Hour]:[Hour]]&gt;=BS$2),1,0)</f>
        <v>0</v>
      </c>
      <c r="BT40" s="276" cm="1">
        <f t="array" ref="BT40">IF(AND(BT$2&lt;&gt;0,TblTech[[#This Row],[Hour]:[Hour]]&gt;=BT$2),1,0)</f>
        <v>0</v>
      </c>
      <c r="BU40" s="276" cm="1">
        <f t="array" ref="BU40">IF(AND(BU$2&lt;&gt;0,TblTech[[#This Row],[Hour]:[Hour]]&gt;=BU$2),1,0)</f>
        <v>0</v>
      </c>
      <c r="BV40" s="276" cm="1">
        <f t="array" ref="BV40">IF(AND(BV$2&lt;&gt;0,TblTech[[#This Row],[Hour]:[Hour]]&gt;=BV$2),1,0)</f>
        <v>0</v>
      </c>
      <c r="BW40" s="276" cm="1">
        <f t="array" ref="BW40">IF(AND(BW$2&lt;&gt;0,TblTech[[#This Row],[Hour]:[Hour]]&gt;=BW$2),1,0)</f>
        <v>0</v>
      </c>
      <c r="BX40" s="276" cm="1">
        <f t="array" ref="BX40">IF(AND(BX$2&lt;&gt;0,TblTech[[#This Row],[Hour]:[Hour]]&gt;=BX$2),1,0)</f>
        <v>0</v>
      </c>
      <c r="BY40" s="276" cm="1">
        <f t="array" ref="BY40">IF(AND(BY$2&lt;&gt;0,TblTech[[#This Row],[Hour]:[Hour]]&gt;=BY$2),1,0)</f>
        <v>0</v>
      </c>
      <c r="BZ40" s="276" cm="1">
        <f t="array" ref="BZ40">IF(AND(BZ$2&lt;&gt;0,TblTech[[#This Row],[Hour]:[Hour]]&gt;=BZ$2),1,0)</f>
        <v>0</v>
      </c>
      <c r="CA40" s="377">
        <f>IFERROR(INDEX($H$4:$H$79,MATCH(INDEX(TblTech[[#Headers],[1-1]:[11-1]],1,MATCH(TblTech[[#This Row],[Hour]],$M$2:$BZ$2,0)),$G$4:$G$79,0)),)</f>
        <v>0</v>
      </c>
    </row>
    <row r="41" spans="1:79" x14ac:dyDescent="0.2">
      <c r="A41" s="268">
        <f>TblRezone[[#This Row],[Hour]]</f>
        <v>38</v>
      </c>
      <c r="B41" s="269">
        <f ca="1">TblExplore[[#This Row],[Land-DB]]</f>
        <v>110</v>
      </c>
      <c r="C41" s="270">
        <f ca="1">TblProd[[#This Row],[Techpoints]]</f>
        <v>0</v>
      </c>
      <c r="D41" s="270">
        <f ca="1">TblProd[[#This Row],[Required]]</f>
        <v>3750</v>
      </c>
      <c r="E41" s="271"/>
      <c r="F41" s="272"/>
      <c r="G41" s="273" t="s">
        <v>582</v>
      </c>
      <c r="H41" s="274" t="s">
        <v>1053</v>
      </c>
      <c r="I41" s="273" t="s">
        <v>1049</v>
      </c>
      <c r="J41" s="269"/>
      <c r="K41" s="93">
        <f ca="1">IF(TblTech[[#This Row],[Sum of tech]]&lt;&gt;OFFSET(TblTech[[#This Row],[Sum of tech]],-1,0),1,0)</f>
        <v>0</v>
      </c>
      <c r="L41" s="275">
        <f>COUNTIF(TblTech[[#This Row],[1-1]:[11-1]],1)</f>
        <v>0</v>
      </c>
      <c r="M41" s="276" cm="1">
        <f t="array" ref="M41">IF(AND(M$2&lt;&gt;0,TblTech[[#This Row],[Hour]:[Hour]]&gt;=M$2),1,0)</f>
        <v>0</v>
      </c>
      <c r="N41" s="276" cm="1">
        <f t="array" ref="N41">IF(AND(N$2&lt;&gt;0,TblTech[[#This Row],[Hour]:[Hour]]&gt;=N$2),1,0)</f>
        <v>0</v>
      </c>
      <c r="O41" s="276" cm="1">
        <f t="array" ref="O41">IF(AND(O$2&lt;&gt;0,TblTech[[#This Row],[Hour]:[Hour]]&gt;=O$2),1,0)</f>
        <v>0</v>
      </c>
      <c r="P41" s="276" cm="1">
        <f t="array" ref="P41">IF(AND(P$2&lt;&gt;0,TblTech[[#This Row],[Hour]:[Hour]]&gt;=P$2),1,0)</f>
        <v>0</v>
      </c>
      <c r="Q41" s="276" cm="1">
        <f t="array" ref="Q41">IF(AND(Q$2&lt;&gt;0,TblTech[[#This Row],[Hour]:[Hour]]&gt;=Q$2),1,0)</f>
        <v>0</v>
      </c>
      <c r="R41" s="276" cm="1">
        <f t="array" ref="R41">IF(AND(R$2&lt;&gt;0,TblTech[[#This Row],[Hour]:[Hour]]&gt;=R$2),1,0)</f>
        <v>0</v>
      </c>
      <c r="S41" s="276" cm="1">
        <f t="array" ref="S41">IF(AND(S$2&lt;&gt;0,TblTech[[#This Row],[Hour]:[Hour]]&gt;=S$2),1,0)</f>
        <v>0</v>
      </c>
      <c r="T41" s="276" cm="1">
        <f t="array" ref="T41">IF(AND(T$2&lt;&gt;0,TblTech[[#This Row],[Hour]:[Hour]]&gt;=T$2),1,0)</f>
        <v>0</v>
      </c>
      <c r="U41" s="276" cm="1">
        <f t="array" ref="U41">IF(AND(U$2&lt;&gt;0,TblTech[[#This Row],[Hour]:[Hour]]&gt;=U$2),1,0)</f>
        <v>0</v>
      </c>
      <c r="V41" s="276" cm="1">
        <f t="array" ref="V41">IF(AND(V$2&lt;&gt;0,TblTech[[#This Row],[Hour]:[Hour]]&gt;=V$2),1,0)</f>
        <v>0</v>
      </c>
      <c r="W41" s="276" cm="1">
        <f t="array" ref="W41">IF(AND(W$2&lt;&gt;0,TblTech[[#This Row],[Hour]:[Hour]]&gt;=W$2),1,0)</f>
        <v>0</v>
      </c>
      <c r="X41" s="276" cm="1">
        <f t="array" ref="X41">IF(AND(X$2&lt;&gt;0,TblTech[[#This Row],[Hour]:[Hour]]&gt;=X$2),1,0)</f>
        <v>0</v>
      </c>
      <c r="Y41" s="276" cm="1">
        <f t="array" ref="Y41">IF(AND(Y$2&lt;&gt;0,TblTech[[#This Row],[Hour]:[Hour]]&gt;=Y$2),1,0)</f>
        <v>0</v>
      </c>
      <c r="Z41" s="276" cm="1">
        <f t="array" ref="Z41">IF(AND(Z$2&lt;&gt;0,TblTech[[#This Row],[Hour]:[Hour]]&gt;=Z$2),1,0)</f>
        <v>0</v>
      </c>
      <c r="AA41" s="276" cm="1">
        <f t="array" ref="AA41">IF(AND(AA$2&lt;&gt;0,TblTech[[#This Row],[Hour]:[Hour]]&gt;=AA$2),1,0)</f>
        <v>0</v>
      </c>
      <c r="AB41" s="276" cm="1">
        <f t="array" ref="AB41">IF(AND(AB$2&lt;&gt;0,TblTech[[#This Row],[Hour]:[Hour]]&gt;=AB$2),1,0)</f>
        <v>0</v>
      </c>
      <c r="AC41" s="276" cm="1">
        <f t="array" ref="AC41">IF(AND(AC$2&lt;&gt;0,TblTech[[#This Row],[Hour]:[Hour]]&gt;=AC$2),1,0)</f>
        <v>0</v>
      </c>
      <c r="AD41" s="276" cm="1">
        <f t="array" ref="AD41">IF(AND(AD$2&lt;&gt;0,TblTech[[#This Row],[Hour]:[Hour]]&gt;=AD$2),1,0)</f>
        <v>0</v>
      </c>
      <c r="AE41" s="276" cm="1">
        <f t="array" ref="AE41">IF(AND(AE$2&lt;&gt;0,TblTech[[#This Row],[Hour]:[Hour]]&gt;=AE$2),1,0)</f>
        <v>0</v>
      </c>
      <c r="AF41" s="276" cm="1">
        <f t="array" ref="AF41">IF(AND(AF$2&lt;&gt;0,TblTech[[#This Row],[Hour]:[Hour]]&gt;=AF$2),1,0)</f>
        <v>0</v>
      </c>
      <c r="AG41" s="276" cm="1">
        <f t="array" ref="AG41">IF(AND(AG$2&lt;&gt;0,TblTech[[#This Row],[Hour]:[Hour]]&gt;=AG$2),1,0)</f>
        <v>0</v>
      </c>
      <c r="AH41" s="276" cm="1">
        <f t="array" ref="AH41">IF(AND(AH$2&lt;&gt;0,TblTech[[#This Row],[Hour]:[Hour]]&gt;=AH$2),1,0)</f>
        <v>0</v>
      </c>
      <c r="AI41" s="276" cm="1">
        <f t="array" ref="AI41">IF(AND(AI$2&lt;&gt;0,TblTech[[#This Row],[Hour]:[Hour]]&gt;=AI$2),1,0)</f>
        <v>0</v>
      </c>
      <c r="AJ41" s="276" cm="1">
        <f t="array" ref="AJ41">IF(AND(AJ$2&lt;&gt;0,TblTech[[#This Row],[Hour]:[Hour]]&gt;=AJ$2),1,0)</f>
        <v>0</v>
      </c>
      <c r="AK41" s="276" cm="1">
        <f t="array" ref="AK41">IF(AND(AK$2&lt;&gt;0,TblTech[[#This Row],[Hour]:[Hour]]&gt;=AK$2),1,0)</f>
        <v>0</v>
      </c>
      <c r="AL41" s="276" cm="1">
        <f t="array" ref="AL41">IF(AND(AL$2&lt;&gt;0,TblTech[[#This Row],[Hour]:[Hour]]&gt;=AL$2),1,0)</f>
        <v>0</v>
      </c>
      <c r="AM41" s="276" cm="1">
        <f t="array" ref="AM41">IF(AND(AM$2&lt;&gt;0,TblTech[[#This Row],[Hour]:[Hour]]&gt;=AM$2),1,0)</f>
        <v>0</v>
      </c>
      <c r="AN41" s="276" cm="1">
        <f t="array" ref="AN41">IF(AND(AN$2&lt;&gt;0,TblTech[[#This Row],[Hour]:[Hour]]&gt;=AN$2),1,0)</f>
        <v>0</v>
      </c>
      <c r="AO41" s="276" cm="1">
        <f t="array" ref="AO41">IF(AND(AO$2&lt;&gt;0,TblTech[[#This Row],[Hour]:[Hour]]&gt;=AO$2),1,0)</f>
        <v>0</v>
      </c>
      <c r="AP41" s="276" cm="1">
        <f t="array" ref="AP41">IF(AND(AP$2&lt;&gt;0,TblTech[[#This Row],[Hour]:[Hour]]&gt;=AP$2),1,0)</f>
        <v>0</v>
      </c>
      <c r="AQ41" s="276" cm="1">
        <f t="array" ref="AQ41">IF(AND(AQ$2&lt;&gt;0,TblTech[[#This Row],[Hour]:[Hour]]&gt;=AQ$2),1,0)</f>
        <v>0</v>
      </c>
      <c r="AR41" s="276" cm="1">
        <f t="array" ref="AR41">IF(AND(AR$2&lt;&gt;0,TblTech[[#This Row],[Hour]:[Hour]]&gt;=AR$2),1,0)</f>
        <v>0</v>
      </c>
      <c r="AS41" s="276" cm="1">
        <f t="array" ref="AS41">IF(AND(AS$2&lt;&gt;0,TblTech[[#This Row],[Hour]:[Hour]]&gt;=AS$2),1,0)</f>
        <v>0</v>
      </c>
      <c r="AT41" s="276" cm="1">
        <f t="array" ref="AT41">IF(AND(AT$2&lt;&gt;0,TblTech[[#This Row],[Hour]:[Hour]]&gt;=AT$2),1,0)</f>
        <v>0</v>
      </c>
      <c r="AU41" s="276" cm="1">
        <f t="array" ref="AU41">IF(AND(AU$2&lt;&gt;0,TblTech[[#This Row],[Hour]:[Hour]]&gt;=AU$2),1,0)</f>
        <v>0</v>
      </c>
      <c r="AV41" s="276" cm="1">
        <f t="array" ref="AV41">IF(AND(AV$2&lt;&gt;0,TblTech[[#This Row],[Hour]:[Hour]]&gt;=AV$2),1,0)</f>
        <v>0</v>
      </c>
      <c r="AW41" s="276" cm="1">
        <f t="array" ref="AW41">IF(AND(AW$2&lt;&gt;0,TblTech[[#This Row],[Hour]:[Hour]]&gt;=AW$2),1,0)</f>
        <v>0</v>
      </c>
      <c r="AX41" s="276" cm="1">
        <f t="array" ref="AX41">IF(AND(AX$2&lt;&gt;0,TblTech[[#This Row],[Hour]:[Hour]]&gt;=AX$2),1,0)</f>
        <v>0</v>
      </c>
      <c r="AY41" s="276" cm="1">
        <f t="array" ref="AY41">IF(AND(AY$2&lt;&gt;0,TblTech[[#This Row],[Hour]:[Hour]]&gt;=AY$2),1,0)</f>
        <v>0</v>
      </c>
      <c r="AZ41" s="276" cm="1">
        <f t="array" ref="AZ41">IF(AND(AZ$2&lt;&gt;0,TblTech[[#This Row],[Hour]:[Hour]]&gt;=AZ$2),1,0)</f>
        <v>0</v>
      </c>
      <c r="BA41" s="276" cm="1">
        <f t="array" ref="BA41">IF(AND(BA$2&lt;&gt;0,TblTech[[#This Row],[Hour]:[Hour]]&gt;=BA$2),1,0)</f>
        <v>0</v>
      </c>
      <c r="BB41" s="276" cm="1">
        <f t="array" ref="BB41">IF(AND(BB$2&lt;&gt;0,TblTech[[#This Row],[Hour]:[Hour]]&gt;=BB$2),1,0)</f>
        <v>0</v>
      </c>
      <c r="BC41" s="276" cm="1">
        <f t="array" ref="BC41">IF(AND(BC$2&lt;&gt;0,TblTech[[#This Row],[Hour]:[Hour]]&gt;=BC$2),1,0)</f>
        <v>0</v>
      </c>
      <c r="BD41" s="276" cm="1">
        <f t="array" ref="BD41">IF(AND(BD$2&lt;&gt;0,TblTech[[#This Row],[Hour]:[Hour]]&gt;=BD$2),1,0)</f>
        <v>0</v>
      </c>
      <c r="BE41" s="276" cm="1">
        <f t="array" ref="BE41">IF(AND(BE$2&lt;&gt;0,TblTech[[#This Row],[Hour]:[Hour]]&gt;=BE$2),1,0)</f>
        <v>0</v>
      </c>
      <c r="BF41" s="276" cm="1">
        <f t="array" ref="BF41">IF(AND(BF$2&lt;&gt;0,TblTech[[#This Row],[Hour]:[Hour]]&gt;=BF$2),1,0)</f>
        <v>0</v>
      </c>
      <c r="BG41" s="276" cm="1">
        <f t="array" ref="BG41">IF(AND(BG$2&lt;&gt;0,TblTech[[#This Row],[Hour]:[Hour]]&gt;=BG$2),1,0)</f>
        <v>0</v>
      </c>
      <c r="BH41" s="276" cm="1">
        <f t="array" ref="BH41">IF(AND(BH$2&lt;&gt;0,TblTech[[#This Row],[Hour]:[Hour]]&gt;=BH$2),1,0)</f>
        <v>0</v>
      </c>
      <c r="BI41" s="276" cm="1">
        <f t="array" ref="BI41">IF(AND(BI$2&lt;&gt;0,TblTech[[#This Row],[Hour]:[Hour]]&gt;=BI$2),1,0)</f>
        <v>0</v>
      </c>
      <c r="BJ41" s="276" cm="1">
        <f t="array" ref="BJ41">IF(AND(BJ$2&lt;&gt;0,TblTech[[#This Row],[Hour]:[Hour]]&gt;=BJ$2),1,0)</f>
        <v>0</v>
      </c>
      <c r="BK41" s="276" cm="1">
        <f t="array" ref="BK41">IF(AND(BK$2&lt;&gt;0,TblTech[[#This Row],[Hour]:[Hour]]&gt;=BK$2),1,0)</f>
        <v>0</v>
      </c>
      <c r="BL41" s="276" cm="1">
        <f t="array" ref="BL41">IF(AND(BL$2&lt;&gt;0,TblTech[[#This Row],[Hour]:[Hour]]&gt;=BL$2),1,0)</f>
        <v>0</v>
      </c>
      <c r="BM41" s="276" cm="1">
        <f t="array" ref="BM41">IF(AND(BM$2&lt;&gt;0,TblTech[[#This Row],[Hour]:[Hour]]&gt;=BM$2),1,0)</f>
        <v>0</v>
      </c>
      <c r="BN41" s="276" cm="1">
        <f t="array" ref="BN41">IF(AND(BN$2&lt;&gt;0,TblTech[[#This Row],[Hour]:[Hour]]&gt;=BN$2),1,0)</f>
        <v>0</v>
      </c>
      <c r="BO41" s="276" cm="1">
        <f t="array" ref="BO41">IF(AND(BO$2&lt;&gt;0,TblTech[[#This Row],[Hour]:[Hour]]&gt;=BO$2),1,0)</f>
        <v>0</v>
      </c>
      <c r="BP41" s="276" cm="1">
        <f t="array" ref="BP41">IF(AND(BP$2&lt;&gt;0,TblTech[[#This Row],[Hour]:[Hour]]&gt;=BP$2),1,0)</f>
        <v>0</v>
      </c>
      <c r="BQ41" s="276" cm="1">
        <f t="array" ref="BQ41">IF(AND(BQ$2&lt;&gt;0,TblTech[[#This Row],[Hour]:[Hour]]&gt;=BQ$2),1,0)</f>
        <v>0</v>
      </c>
      <c r="BR41" s="276" cm="1">
        <f t="array" ref="BR41">IF(AND(BR$2&lt;&gt;0,TblTech[[#This Row],[Hour]:[Hour]]&gt;=BR$2),1,0)</f>
        <v>0</v>
      </c>
      <c r="BS41" s="276" cm="1">
        <f t="array" ref="BS41">IF(AND(BS$2&lt;&gt;0,TblTech[[#This Row],[Hour]:[Hour]]&gt;=BS$2),1,0)</f>
        <v>0</v>
      </c>
      <c r="BT41" s="276" cm="1">
        <f t="array" ref="BT41">IF(AND(BT$2&lt;&gt;0,TblTech[[#This Row],[Hour]:[Hour]]&gt;=BT$2),1,0)</f>
        <v>0</v>
      </c>
      <c r="BU41" s="276" cm="1">
        <f t="array" ref="BU41">IF(AND(BU$2&lt;&gt;0,TblTech[[#This Row],[Hour]:[Hour]]&gt;=BU$2),1,0)</f>
        <v>0</v>
      </c>
      <c r="BV41" s="276" cm="1">
        <f t="array" ref="BV41">IF(AND(BV$2&lt;&gt;0,TblTech[[#This Row],[Hour]:[Hour]]&gt;=BV$2),1,0)</f>
        <v>0</v>
      </c>
      <c r="BW41" s="276" cm="1">
        <f t="array" ref="BW41">IF(AND(BW$2&lt;&gt;0,TblTech[[#This Row],[Hour]:[Hour]]&gt;=BW$2),1,0)</f>
        <v>0</v>
      </c>
      <c r="BX41" s="276" cm="1">
        <f t="array" ref="BX41">IF(AND(BX$2&lt;&gt;0,TblTech[[#This Row],[Hour]:[Hour]]&gt;=BX$2),1,0)</f>
        <v>0</v>
      </c>
      <c r="BY41" s="276" cm="1">
        <f t="array" ref="BY41">IF(AND(BY$2&lt;&gt;0,TblTech[[#This Row],[Hour]:[Hour]]&gt;=BY$2),1,0)</f>
        <v>0</v>
      </c>
      <c r="BZ41" s="276" cm="1">
        <f t="array" ref="BZ41">IF(AND(BZ$2&lt;&gt;0,TblTech[[#This Row],[Hour]:[Hour]]&gt;=BZ$2),1,0)</f>
        <v>0</v>
      </c>
      <c r="CA41" s="377">
        <f>IFERROR(INDEX($H$4:$H$79,MATCH(INDEX(TblTech[[#Headers],[1-1]:[11-1]],1,MATCH(TblTech[[#This Row],[Hour]],$M$2:$BZ$2,0)),$G$4:$G$79,0)),)</f>
        <v>0</v>
      </c>
    </row>
    <row r="42" spans="1:79" x14ac:dyDescent="0.2">
      <c r="A42" s="268">
        <f>TblRezone[[#This Row],[Hour]]</f>
        <v>39</v>
      </c>
      <c r="B42" s="269">
        <f ca="1">TblExplore[[#This Row],[Land-DB]]</f>
        <v>110</v>
      </c>
      <c r="C42" s="270">
        <f ca="1">TblProd[[#This Row],[Techpoints]]</f>
        <v>0</v>
      </c>
      <c r="D42" s="270">
        <f ca="1">TblProd[[#This Row],[Required]]</f>
        <v>3750</v>
      </c>
      <c r="E42" s="271"/>
      <c r="F42" s="272"/>
      <c r="G42" s="273" t="s">
        <v>583</v>
      </c>
      <c r="H42" s="274" t="s">
        <v>709</v>
      </c>
      <c r="I42" s="273" t="s">
        <v>1088</v>
      </c>
      <c r="J42" s="269"/>
      <c r="K42" s="93">
        <f ca="1">IF(TblTech[[#This Row],[Sum of tech]]&lt;&gt;OFFSET(TblTech[[#This Row],[Sum of tech]],-1,0),1,0)</f>
        <v>0</v>
      </c>
      <c r="L42" s="275">
        <f>COUNTIF(TblTech[[#This Row],[1-1]:[11-1]],1)</f>
        <v>0</v>
      </c>
      <c r="M42" s="276" cm="1">
        <f t="array" ref="M42">IF(AND(M$2&lt;&gt;0,TblTech[[#This Row],[Hour]:[Hour]]&gt;=M$2),1,0)</f>
        <v>0</v>
      </c>
      <c r="N42" s="276" cm="1">
        <f t="array" ref="N42">IF(AND(N$2&lt;&gt;0,TblTech[[#This Row],[Hour]:[Hour]]&gt;=N$2),1,0)</f>
        <v>0</v>
      </c>
      <c r="O42" s="276" cm="1">
        <f t="array" ref="O42">IF(AND(O$2&lt;&gt;0,TblTech[[#This Row],[Hour]:[Hour]]&gt;=O$2),1,0)</f>
        <v>0</v>
      </c>
      <c r="P42" s="276" cm="1">
        <f t="array" ref="P42">IF(AND(P$2&lt;&gt;0,TblTech[[#This Row],[Hour]:[Hour]]&gt;=P$2),1,0)</f>
        <v>0</v>
      </c>
      <c r="Q42" s="276" cm="1">
        <f t="array" ref="Q42">IF(AND(Q$2&lt;&gt;0,TblTech[[#This Row],[Hour]:[Hour]]&gt;=Q$2),1,0)</f>
        <v>0</v>
      </c>
      <c r="R42" s="276" cm="1">
        <f t="array" ref="R42">IF(AND(R$2&lt;&gt;0,TblTech[[#This Row],[Hour]:[Hour]]&gt;=R$2),1,0)</f>
        <v>0</v>
      </c>
      <c r="S42" s="276" cm="1">
        <f t="array" ref="S42">IF(AND(S$2&lt;&gt;0,TblTech[[#This Row],[Hour]:[Hour]]&gt;=S$2),1,0)</f>
        <v>0</v>
      </c>
      <c r="T42" s="276" cm="1">
        <f t="array" ref="T42">IF(AND(T$2&lt;&gt;0,TblTech[[#This Row],[Hour]:[Hour]]&gt;=T$2),1,0)</f>
        <v>0</v>
      </c>
      <c r="U42" s="276" cm="1">
        <f t="array" ref="U42">IF(AND(U$2&lt;&gt;0,TblTech[[#This Row],[Hour]:[Hour]]&gt;=U$2),1,0)</f>
        <v>0</v>
      </c>
      <c r="V42" s="276" cm="1">
        <f t="array" ref="V42">IF(AND(V$2&lt;&gt;0,TblTech[[#This Row],[Hour]:[Hour]]&gt;=V$2),1,0)</f>
        <v>0</v>
      </c>
      <c r="W42" s="276" cm="1">
        <f t="array" ref="W42">IF(AND(W$2&lt;&gt;0,TblTech[[#This Row],[Hour]:[Hour]]&gt;=W$2),1,0)</f>
        <v>0</v>
      </c>
      <c r="X42" s="276" cm="1">
        <f t="array" ref="X42">IF(AND(X$2&lt;&gt;0,TblTech[[#This Row],[Hour]:[Hour]]&gt;=X$2),1,0)</f>
        <v>0</v>
      </c>
      <c r="Y42" s="276" cm="1">
        <f t="array" ref="Y42">IF(AND(Y$2&lt;&gt;0,TblTech[[#This Row],[Hour]:[Hour]]&gt;=Y$2),1,0)</f>
        <v>0</v>
      </c>
      <c r="Z42" s="276" cm="1">
        <f t="array" ref="Z42">IF(AND(Z$2&lt;&gt;0,TblTech[[#This Row],[Hour]:[Hour]]&gt;=Z$2),1,0)</f>
        <v>0</v>
      </c>
      <c r="AA42" s="276" cm="1">
        <f t="array" ref="AA42">IF(AND(AA$2&lt;&gt;0,TblTech[[#This Row],[Hour]:[Hour]]&gt;=AA$2),1,0)</f>
        <v>0</v>
      </c>
      <c r="AB42" s="276" cm="1">
        <f t="array" ref="AB42">IF(AND(AB$2&lt;&gt;0,TblTech[[#This Row],[Hour]:[Hour]]&gt;=AB$2),1,0)</f>
        <v>0</v>
      </c>
      <c r="AC42" s="276" cm="1">
        <f t="array" ref="AC42">IF(AND(AC$2&lt;&gt;0,TblTech[[#This Row],[Hour]:[Hour]]&gt;=AC$2),1,0)</f>
        <v>0</v>
      </c>
      <c r="AD42" s="276" cm="1">
        <f t="array" ref="AD42">IF(AND(AD$2&lt;&gt;0,TblTech[[#This Row],[Hour]:[Hour]]&gt;=AD$2),1,0)</f>
        <v>0</v>
      </c>
      <c r="AE42" s="276" cm="1">
        <f t="array" ref="AE42">IF(AND(AE$2&lt;&gt;0,TblTech[[#This Row],[Hour]:[Hour]]&gt;=AE$2),1,0)</f>
        <v>0</v>
      </c>
      <c r="AF42" s="276" cm="1">
        <f t="array" ref="AF42">IF(AND(AF$2&lt;&gt;0,TblTech[[#This Row],[Hour]:[Hour]]&gt;=AF$2),1,0)</f>
        <v>0</v>
      </c>
      <c r="AG42" s="276" cm="1">
        <f t="array" ref="AG42">IF(AND(AG$2&lt;&gt;0,TblTech[[#This Row],[Hour]:[Hour]]&gt;=AG$2),1,0)</f>
        <v>0</v>
      </c>
      <c r="AH42" s="276" cm="1">
        <f t="array" ref="AH42">IF(AND(AH$2&lt;&gt;0,TblTech[[#This Row],[Hour]:[Hour]]&gt;=AH$2),1,0)</f>
        <v>0</v>
      </c>
      <c r="AI42" s="276" cm="1">
        <f t="array" ref="AI42">IF(AND(AI$2&lt;&gt;0,TblTech[[#This Row],[Hour]:[Hour]]&gt;=AI$2),1,0)</f>
        <v>0</v>
      </c>
      <c r="AJ42" s="276" cm="1">
        <f t="array" ref="AJ42">IF(AND(AJ$2&lt;&gt;0,TblTech[[#This Row],[Hour]:[Hour]]&gt;=AJ$2),1,0)</f>
        <v>0</v>
      </c>
      <c r="AK42" s="276" cm="1">
        <f t="array" ref="AK42">IF(AND(AK$2&lt;&gt;0,TblTech[[#This Row],[Hour]:[Hour]]&gt;=AK$2),1,0)</f>
        <v>0</v>
      </c>
      <c r="AL42" s="276" cm="1">
        <f t="array" ref="AL42">IF(AND(AL$2&lt;&gt;0,TblTech[[#This Row],[Hour]:[Hour]]&gt;=AL$2),1,0)</f>
        <v>0</v>
      </c>
      <c r="AM42" s="276" cm="1">
        <f t="array" ref="AM42">IF(AND(AM$2&lt;&gt;0,TblTech[[#This Row],[Hour]:[Hour]]&gt;=AM$2),1,0)</f>
        <v>0</v>
      </c>
      <c r="AN42" s="276" cm="1">
        <f t="array" ref="AN42">IF(AND(AN$2&lt;&gt;0,TblTech[[#This Row],[Hour]:[Hour]]&gt;=AN$2),1,0)</f>
        <v>0</v>
      </c>
      <c r="AO42" s="276" cm="1">
        <f t="array" ref="AO42">IF(AND(AO$2&lt;&gt;0,TblTech[[#This Row],[Hour]:[Hour]]&gt;=AO$2),1,0)</f>
        <v>0</v>
      </c>
      <c r="AP42" s="276" cm="1">
        <f t="array" ref="AP42">IF(AND(AP$2&lt;&gt;0,TblTech[[#This Row],[Hour]:[Hour]]&gt;=AP$2),1,0)</f>
        <v>0</v>
      </c>
      <c r="AQ42" s="276" cm="1">
        <f t="array" ref="AQ42">IF(AND(AQ$2&lt;&gt;0,TblTech[[#This Row],[Hour]:[Hour]]&gt;=AQ$2),1,0)</f>
        <v>0</v>
      </c>
      <c r="AR42" s="276" cm="1">
        <f t="array" ref="AR42">IF(AND(AR$2&lt;&gt;0,TblTech[[#This Row],[Hour]:[Hour]]&gt;=AR$2),1,0)</f>
        <v>0</v>
      </c>
      <c r="AS42" s="276" cm="1">
        <f t="array" ref="AS42">IF(AND(AS$2&lt;&gt;0,TblTech[[#This Row],[Hour]:[Hour]]&gt;=AS$2),1,0)</f>
        <v>0</v>
      </c>
      <c r="AT42" s="276" cm="1">
        <f t="array" ref="AT42">IF(AND(AT$2&lt;&gt;0,TblTech[[#This Row],[Hour]:[Hour]]&gt;=AT$2),1,0)</f>
        <v>0</v>
      </c>
      <c r="AU42" s="276" cm="1">
        <f t="array" ref="AU42">IF(AND(AU$2&lt;&gt;0,TblTech[[#This Row],[Hour]:[Hour]]&gt;=AU$2),1,0)</f>
        <v>0</v>
      </c>
      <c r="AV42" s="276" cm="1">
        <f t="array" ref="AV42">IF(AND(AV$2&lt;&gt;0,TblTech[[#This Row],[Hour]:[Hour]]&gt;=AV$2),1,0)</f>
        <v>0</v>
      </c>
      <c r="AW42" s="276" cm="1">
        <f t="array" ref="AW42">IF(AND(AW$2&lt;&gt;0,TblTech[[#This Row],[Hour]:[Hour]]&gt;=AW$2),1,0)</f>
        <v>0</v>
      </c>
      <c r="AX42" s="276" cm="1">
        <f t="array" ref="AX42">IF(AND(AX$2&lt;&gt;0,TblTech[[#This Row],[Hour]:[Hour]]&gt;=AX$2),1,0)</f>
        <v>0</v>
      </c>
      <c r="AY42" s="276" cm="1">
        <f t="array" ref="AY42">IF(AND(AY$2&lt;&gt;0,TblTech[[#This Row],[Hour]:[Hour]]&gt;=AY$2),1,0)</f>
        <v>0</v>
      </c>
      <c r="AZ42" s="276" cm="1">
        <f t="array" ref="AZ42">IF(AND(AZ$2&lt;&gt;0,TblTech[[#This Row],[Hour]:[Hour]]&gt;=AZ$2),1,0)</f>
        <v>0</v>
      </c>
      <c r="BA42" s="276" cm="1">
        <f t="array" ref="BA42">IF(AND(BA$2&lt;&gt;0,TblTech[[#This Row],[Hour]:[Hour]]&gt;=BA$2),1,0)</f>
        <v>0</v>
      </c>
      <c r="BB42" s="276" cm="1">
        <f t="array" ref="BB42">IF(AND(BB$2&lt;&gt;0,TblTech[[#This Row],[Hour]:[Hour]]&gt;=BB$2),1,0)</f>
        <v>0</v>
      </c>
      <c r="BC42" s="276" cm="1">
        <f t="array" ref="BC42">IF(AND(BC$2&lt;&gt;0,TblTech[[#This Row],[Hour]:[Hour]]&gt;=BC$2),1,0)</f>
        <v>0</v>
      </c>
      <c r="BD42" s="276" cm="1">
        <f t="array" ref="BD42">IF(AND(BD$2&lt;&gt;0,TblTech[[#This Row],[Hour]:[Hour]]&gt;=BD$2),1,0)</f>
        <v>0</v>
      </c>
      <c r="BE42" s="276" cm="1">
        <f t="array" ref="BE42">IF(AND(BE$2&lt;&gt;0,TblTech[[#This Row],[Hour]:[Hour]]&gt;=BE$2),1,0)</f>
        <v>0</v>
      </c>
      <c r="BF42" s="276" cm="1">
        <f t="array" ref="BF42">IF(AND(BF$2&lt;&gt;0,TblTech[[#This Row],[Hour]:[Hour]]&gt;=BF$2),1,0)</f>
        <v>0</v>
      </c>
      <c r="BG42" s="276" cm="1">
        <f t="array" ref="BG42">IF(AND(BG$2&lt;&gt;0,TblTech[[#This Row],[Hour]:[Hour]]&gt;=BG$2),1,0)</f>
        <v>0</v>
      </c>
      <c r="BH42" s="276" cm="1">
        <f t="array" ref="BH42">IF(AND(BH$2&lt;&gt;0,TblTech[[#This Row],[Hour]:[Hour]]&gt;=BH$2),1,0)</f>
        <v>0</v>
      </c>
      <c r="BI42" s="276" cm="1">
        <f t="array" ref="BI42">IF(AND(BI$2&lt;&gt;0,TblTech[[#This Row],[Hour]:[Hour]]&gt;=BI$2),1,0)</f>
        <v>0</v>
      </c>
      <c r="BJ42" s="276" cm="1">
        <f t="array" ref="BJ42">IF(AND(BJ$2&lt;&gt;0,TblTech[[#This Row],[Hour]:[Hour]]&gt;=BJ$2),1,0)</f>
        <v>0</v>
      </c>
      <c r="BK42" s="276" cm="1">
        <f t="array" ref="BK42">IF(AND(BK$2&lt;&gt;0,TblTech[[#This Row],[Hour]:[Hour]]&gt;=BK$2),1,0)</f>
        <v>0</v>
      </c>
      <c r="BL42" s="276" cm="1">
        <f t="array" ref="BL42">IF(AND(BL$2&lt;&gt;0,TblTech[[#This Row],[Hour]:[Hour]]&gt;=BL$2),1,0)</f>
        <v>0</v>
      </c>
      <c r="BM42" s="276" cm="1">
        <f t="array" ref="BM42">IF(AND(BM$2&lt;&gt;0,TblTech[[#This Row],[Hour]:[Hour]]&gt;=BM$2),1,0)</f>
        <v>0</v>
      </c>
      <c r="BN42" s="276" cm="1">
        <f t="array" ref="BN42">IF(AND(BN$2&lt;&gt;0,TblTech[[#This Row],[Hour]:[Hour]]&gt;=BN$2),1,0)</f>
        <v>0</v>
      </c>
      <c r="BO42" s="276" cm="1">
        <f t="array" ref="BO42">IF(AND(BO$2&lt;&gt;0,TblTech[[#This Row],[Hour]:[Hour]]&gt;=BO$2),1,0)</f>
        <v>0</v>
      </c>
      <c r="BP42" s="276" cm="1">
        <f t="array" ref="BP42">IF(AND(BP$2&lt;&gt;0,TblTech[[#This Row],[Hour]:[Hour]]&gt;=BP$2),1,0)</f>
        <v>0</v>
      </c>
      <c r="BQ42" s="276" cm="1">
        <f t="array" ref="BQ42">IF(AND(BQ$2&lt;&gt;0,TblTech[[#This Row],[Hour]:[Hour]]&gt;=BQ$2),1,0)</f>
        <v>0</v>
      </c>
      <c r="BR42" s="276" cm="1">
        <f t="array" ref="BR42">IF(AND(BR$2&lt;&gt;0,TblTech[[#This Row],[Hour]:[Hour]]&gt;=BR$2),1,0)</f>
        <v>0</v>
      </c>
      <c r="BS42" s="276" cm="1">
        <f t="array" ref="BS42">IF(AND(BS$2&lt;&gt;0,TblTech[[#This Row],[Hour]:[Hour]]&gt;=BS$2),1,0)</f>
        <v>0</v>
      </c>
      <c r="BT42" s="276" cm="1">
        <f t="array" ref="BT42">IF(AND(BT$2&lt;&gt;0,TblTech[[#This Row],[Hour]:[Hour]]&gt;=BT$2),1,0)</f>
        <v>0</v>
      </c>
      <c r="BU42" s="276" cm="1">
        <f t="array" ref="BU42">IF(AND(BU$2&lt;&gt;0,TblTech[[#This Row],[Hour]:[Hour]]&gt;=BU$2),1,0)</f>
        <v>0</v>
      </c>
      <c r="BV42" s="276" cm="1">
        <f t="array" ref="BV42">IF(AND(BV$2&lt;&gt;0,TblTech[[#This Row],[Hour]:[Hour]]&gt;=BV$2),1,0)</f>
        <v>0</v>
      </c>
      <c r="BW42" s="276" cm="1">
        <f t="array" ref="BW42">IF(AND(BW$2&lt;&gt;0,TblTech[[#This Row],[Hour]:[Hour]]&gt;=BW$2),1,0)</f>
        <v>0</v>
      </c>
      <c r="BX42" s="276" cm="1">
        <f t="array" ref="BX42">IF(AND(BX$2&lt;&gt;0,TblTech[[#This Row],[Hour]:[Hour]]&gt;=BX$2),1,0)</f>
        <v>0</v>
      </c>
      <c r="BY42" s="276" cm="1">
        <f t="array" ref="BY42">IF(AND(BY$2&lt;&gt;0,TblTech[[#This Row],[Hour]:[Hour]]&gt;=BY$2),1,0)</f>
        <v>0</v>
      </c>
      <c r="BZ42" s="276" cm="1">
        <f t="array" ref="BZ42">IF(AND(BZ$2&lt;&gt;0,TblTech[[#This Row],[Hour]:[Hour]]&gt;=BZ$2),1,0)</f>
        <v>0</v>
      </c>
      <c r="CA42" s="377">
        <f>IFERROR(INDEX($H$4:$H$79,MATCH(INDEX(TblTech[[#Headers],[1-1]:[11-1]],1,MATCH(TblTech[[#This Row],[Hour]],$M$2:$BZ$2,0)),$G$4:$G$79,0)),)</f>
        <v>0</v>
      </c>
    </row>
    <row r="43" spans="1:79" x14ac:dyDescent="0.2">
      <c r="A43" s="268">
        <f>TblRezone[[#This Row],[Hour]]</f>
        <v>40</v>
      </c>
      <c r="B43" s="269">
        <f ca="1">TblExplore[[#This Row],[Land-DB]]</f>
        <v>110</v>
      </c>
      <c r="C43" s="270">
        <f ca="1">TblProd[[#This Row],[Techpoints]]</f>
        <v>0</v>
      </c>
      <c r="D43" s="270">
        <f ca="1">TblProd[[#This Row],[Required]]</f>
        <v>3750</v>
      </c>
      <c r="E43" s="271"/>
      <c r="F43" s="272"/>
      <c r="G43" s="273" t="s">
        <v>585</v>
      </c>
      <c r="H43" s="274" t="s">
        <v>1055</v>
      </c>
      <c r="I43" s="273" t="s">
        <v>741</v>
      </c>
      <c r="J43" s="269"/>
      <c r="K43" s="93">
        <f ca="1">IF(TblTech[[#This Row],[Sum of tech]]&lt;&gt;OFFSET(TblTech[[#This Row],[Sum of tech]],-1,0),1,0)</f>
        <v>0</v>
      </c>
      <c r="L43" s="275">
        <f>COUNTIF(TblTech[[#This Row],[1-1]:[11-1]],1)</f>
        <v>0</v>
      </c>
      <c r="M43" s="276" cm="1">
        <f t="array" ref="M43">IF(AND(M$2&lt;&gt;0,TblTech[[#This Row],[Hour]:[Hour]]&gt;=M$2),1,0)</f>
        <v>0</v>
      </c>
      <c r="N43" s="276" cm="1">
        <f t="array" ref="N43">IF(AND(N$2&lt;&gt;0,TblTech[[#This Row],[Hour]:[Hour]]&gt;=N$2),1,0)</f>
        <v>0</v>
      </c>
      <c r="O43" s="276" cm="1">
        <f t="array" ref="O43">IF(AND(O$2&lt;&gt;0,TblTech[[#This Row],[Hour]:[Hour]]&gt;=O$2),1,0)</f>
        <v>0</v>
      </c>
      <c r="P43" s="276" cm="1">
        <f t="array" ref="P43">IF(AND(P$2&lt;&gt;0,TblTech[[#This Row],[Hour]:[Hour]]&gt;=P$2),1,0)</f>
        <v>0</v>
      </c>
      <c r="Q43" s="276" cm="1">
        <f t="array" ref="Q43">IF(AND(Q$2&lt;&gt;0,TblTech[[#This Row],[Hour]:[Hour]]&gt;=Q$2),1,0)</f>
        <v>0</v>
      </c>
      <c r="R43" s="276" cm="1">
        <f t="array" ref="R43">IF(AND(R$2&lt;&gt;0,TblTech[[#This Row],[Hour]:[Hour]]&gt;=R$2),1,0)</f>
        <v>0</v>
      </c>
      <c r="S43" s="276" cm="1">
        <f t="array" ref="S43">IF(AND(S$2&lt;&gt;0,TblTech[[#This Row],[Hour]:[Hour]]&gt;=S$2),1,0)</f>
        <v>0</v>
      </c>
      <c r="T43" s="276" cm="1">
        <f t="array" ref="T43">IF(AND(T$2&lt;&gt;0,TblTech[[#This Row],[Hour]:[Hour]]&gt;=T$2),1,0)</f>
        <v>0</v>
      </c>
      <c r="U43" s="276" cm="1">
        <f t="array" ref="U43">IF(AND(U$2&lt;&gt;0,TblTech[[#This Row],[Hour]:[Hour]]&gt;=U$2),1,0)</f>
        <v>0</v>
      </c>
      <c r="V43" s="276" cm="1">
        <f t="array" ref="V43">IF(AND(V$2&lt;&gt;0,TblTech[[#This Row],[Hour]:[Hour]]&gt;=V$2),1,0)</f>
        <v>0</v>
      </c>
      <c r="W43" s="276" cm="1">
        <f t="array" ref="W43">IF(AND(W$2&lt;&gt;0,TblTech[[#This Row],[Hour]:[Hour]]&gt;=W$2),1,0)</f>
        <v>0</v>
      </c>
      <c r="X43" s="276" cm="1">
        <f t="array" ref="X43">IF(AND(X$2&lt;&gt;0,TblTech[[#This Row],[Hour]:[Hour]]&gt;=X$2),1,0)</f>
        <v>0</v>
      </c>
      <c r="Y43" s="276" cm="1">
        <f t="array" ref="Y43">IF(AND(Y$2&lt;&gt;0,TblTech[[#This Row],[Hour]:[Hour]]&gt;=Y$2),1,0)</f>
        <v>0</v>
      </c>
      <c r="Z43" s="276" cm="1">
        <f t="array" ref="Z43">IF(AND(Z$2&lt;&gt;0,TblTech[[#This Row],[Hour]:[Hour]]&gt;=Z$2),1,0)</f>
        <v>0</v>
      </c>
      <c r="AA43" s="276" cm="1">
        <f t="array" ref="AA43">IF(AND(AA$2&lt;&gt;0,TblTech[[#This Row],[Hour]:[Hour]]&gt;=AA$2),1,0)</f>
        <v>0</v>
      </c>
      <c r="AB43" s="276" cm="1">
        <f t="array" ref="AB43">IF(AND(AB$2&lt;&gt;0,TblTech[[#This Row],[Hour]:[Hour]]&gt;=AB$2),1,0)</f>
        <v>0</v>
      </c>
      <c r="AC43" s="276" cm="1">
        <f t="array" ref="AC43">IF(AND(AC$2&lt;&gt;0,TblTech[[#This Row],[Hour]:[Hour]]&gt;=AC$2),1,0)</f>
        <v>0</v>
      </c>
      <c r="AD43" s="276" cm="1">
        <f t="array" ref="AD43">IF(AND(AD$2&lt;&gt;0,TblTech[[#This Row],[Hour]:[Hour]]&gt;=AD$2),1,0)</f>
        <v>0</v>
      </c>
      <c r="AE43" s="276" cm="1">
        <f t="array" ref="AE43">IF(AND(AE$2&lt;&gt;0,TblTech[[#This Row],[Hour]:[Hour]]&gt;=AE$2),1,0)</f>
        <v>0</v>
      </c>
      <c r="AF43" s="276" cm="1">
        <f t="array" ref="AF43">IF(AND(AF$2&lt;&gt;0,TblTech[[#This Row],[Hour]:[Hour]]&gt;=AF$2),1,0)</f>
        <v>0</v>
      </c>
      <c r="AG43" s="276" cm="1">
        <f t="array" ref="AG43">IF(AND(AG$2&lt;&gt;0,TblTech[[#This Row],[Hour]:[Hour]]&gt;=AG$2),1,0)</f>
        <v>0</v>
      </c>
      <c r="AH43" s="276" cm="1">
        <f t="array" ref="AH43">IF(AND(AH$2&lt;&gt;0,TblTech[[#This Row],[Hour]:[Hour]]&gt;=AH$2),1,0)</f>
        <v>0</v>
      </c>
      <c r="AI43" s="276" cm="1">
        <f t="array" ref="AI43">IF(AND(AI$2&lt;&gt;0,TblTech[[#This Row],[Hour]:[Hour]]&gt;=AI$2),1,0)</f>
        <v>0</v>
      </c>
      <c r="AJ43" s="276" cm="1">
        <f t="array" ref="AJ43">IF(AND(AJ$2&lt;&gt;0,TblTech[[#This Row],[Hour]:[Hour]]&gt;=AJ$2),1,0)</f>
        <v>0</v>
      </c>
      <c r="AK43" s="276" cm="1">
        <f t="array" ref="AK43">IF(AND(AK$2&lt;&gt;0,TblTech[[#This Row],[Hour]:[Hour]]&gt;=AK$2),1,0)</f>
        <v>0</v>
      </c>
      <c r="AL43" s="276" cm="1">
        <f t="array" ref="AL43">IF(AND(AL$2&lt;&gt;0,TblTech[[#This Row],[Hour]:[Hour]]&gt;=AL$2),1,0)</f>
        <v>0</v>
      </c>
      <c r="AM43" s="276" cm="1">
        <f t="array" ref="AM43">IF(AND(AM$2&lt;&gt;0,TblTech[[#This Row],[Hour]:[Hour]]&gt;=AM$2),1,0)</f>
        <v>0</v>
      </c>
      <c r="AN43" s="276" cm="1">
        <f t="array" ref="AN43">IF(AND(AN$2&lt;&gt;0,TblTech[[#This Row],[Hour]:[Hour]]&gt;=AN$2),1,0)</f>
        <v>0</v>
      </c>
      <c r="AO43" s="276" cm="1">
        <f t="array" ref="AO43">IF(AND(AO$2&lt;&gt;0,TblTech[[#This Row],[Hour]:[Hour]]&gt;=AO$2),1,0)</f>
        <v>0</v>
      </c>
      <c r="AP43" s="276" cm="1">
        <f t="array" ref="AP43">IF(AND(AP$2&lt;&gt;0,TblTech[[#This Row],[Hour]:[Hour]]&gt;=AP$2),1,0)</f>
        <v>0</v>
      </c>
      <c r="AQ43" s="276" cm="1">
        <f t="array" ref="AQ43">IF(AND(AQ$2&lt;&gt;0,TblTech[[#This Row],[Hour]:[Hour]]&gt;=AQ$2),1,0)</f>
        <v>0</v>
      </c>
      <c r="AR43" s="276" cm="1">
        <f t="array" ref="AR43">IF(AND(AR$2&lt;&gt;0,TblTech[[#This Row],[Hour]:[Hour]]&gt;=AR$2),1,0)</f>
        <v>0</v>
      </c>
      <c r="AS43" s="276" cm="1">
        <f t="array" ref="AS43">IF(AND(AS$2&lt;&gt;0,TblTech[[#This Row],[Hour]:[Hour]]&gt;=AS$2),1,0)</f>
        <v>0</v>
      </c>
      <c r="AT43" s="276" cm="1">
        <f t="array" ref="AT43">IF(AND(AT$2&lt;&gt;0,TblTech[[#This Row],[Hour]:[Hour]]&gt;=AT$2),1,0)</f>
        <v>0</v>
      </c>
      <c r="AU43" s="276" cm="1">
        <f t="array" ref="AU43">IF(AND(AU$2&lt;&gt;0,TblTech[[#This Row],[Hour]:[Hour]]&gt;=AU$2),1,0)</f>
        <v>0</v>
      </c>
      <c r="AV43" s="276" cm="1">
        <f t="array" ref="AV43">IF(AND(AV$2&lt;&gt;0,TblTech[[#This Row],[Hour]:[Hour]]&gt;=AV$2),1,0)</f>
        <v>0</v>
      </c>
      <c r="AW43" s="276" cm="1">
        <f t="array" ref="AW43">IF(AND(AW$2&lt;&gt;0,TblTech[[#This Row],[Hour]:[Hour]]&gt;=AW$2),1,0)</f>
        <v>0</v>
      </c>
      <c r="AX43" s="276" cm="1">
        <f t="array" ref="AX43">IF(AND(AX$2&lt;&gt;0,TblTech[[#This Row],[Hour]:[Hour]]&gt;=AX$2),1,0)</f>
        <v>0</v>
      </c>
      <c r="AY43" s="276" cm="1">
        <f t="array" ref="AY43">IF(AND(AY$2&lt;&gt;0,TblTech[[#This Row],[Hour]:[Hour]]&gt;=AY$2),1,0)</f>
        <v>0</v>
      </c>
      <c r="AZ43" s="276" cm="1">
        <f t="array" ref="AZ43">IF(AND(AZ$2&lt;&gt;0,TblTech[[#This Row],[Hour]:[Hour]]&gt;=AZ$2),1,0)</f>
        <v>0</v>
      </c>
      <c r="BA43" s="276" cm="1">
        <f t="array" ref="BA43">IF(AND(BA$2&lt;&gt;0,TblTech[[#This Row],[Hour]:[Hour]]&gt;=BA$2),1,0)</f>
        <v>0</v>
      </c>
      <c r="BB43" s="276" cm="1">
        <f t="array" ref="BB43">IF(AND(BB$2&lt;&gt;0,TblTech[[#This Row],[Hour]:[Hour]]&gt;=BB$2),1,0)</f>
        <v>0</v>
      </c>
      <c r="BC43" s="276" cm="1">
        <f t="array" ref="BC43">IF(AND(BC$2&lt;&gt;0,TblTech[[#This Row],[Hour]:[Hour]]&gt;=BC$2),1,0)</f>
        <v>0</v>
      </c>
      <c r="BD43" s="276" cm="1">
        <f t="array" ref="BD43">IF(AND(BD$2&lt;&gt;0,TblTech[[#This Row],[Hour]:[Hour]]&gt;=BD$2),1,0)</f>
        <v>0</v>
      </c>
      <c r="BE43" s="276" cm="1">
        <f t="array" ref="BE43">IF(AND(BE$2&lt;&gt;0,TblTech[[#This Row],[Hour]:[Hour]]&gt;=BE$2),1,0)</f>
        <v>0</v>
      </c>
      <c r="BF43" s="276" cm="1">
        <f t="array" ref="BF43">IF(AND(BF$2&lt;&gt;0,TblTech[[#This Row],[Hour]:[Hour]]&gt;=BF$2),1,0)</f>
        <v>0</v>
      </c>
      <c r="BG43" s="276" cm="1">
        <f t="array" ref="BG43">IF(AND(BG$2&lt;&gt;0,TblTech[[#This Row],[Hour]:[Hour]]&gt;=BG$2),1,0)</f>
        <v>0</v>
      </c>
      <c r="BH43" s="276" cm="1">
        <f t="array" ref="BH43">IF(AND(BH$2&lt;&gt;0,TblTech[[#This Row],[Hour]:[Hour]]&gt;=BH$2),1,0)</f>
        <v>0</v>
      </c>
      <c r="BI43" s="276" cm="1">
        <f t="array" ref="BI43">IF(AND(BI$2&lt;&gt;0,TblTech[[#This Row],[Hour]:[Hour]]&gt;=BI$2),1,0)</f>
        <v>0</v>
      </c>
      <c r="BJ43" s="276" cm="1">
        <f t="array" ref="BJ43">IF(AND(BJ$2&lt;&gt;0,TblTech[[#This Row],[Hour]:[Hour]]&gt;=BJ$2),1,0)</f>
        <v>0</v>
      </c>
      <c r="BK43" s="276" cm="1">
        <f t="array" ref="BK43">IF(AND(BK$2&lt;&gt;0,TblTech[[#This Row],[Hour]:[Hour]]&gt;=BK$2),1,0)</f>
        <v>0</v>
      </c>
      <c r="BL43" s="276" cm="1">
        <f t="array" ref="BL43">IF(AND(BL$2&lt;&gt;0,TblTech[[#This Row],[Hour]:[Hour]]&gt;=BL$2),1,0)</f>
        <v>0</v>
      </c>
      <c r="BM43" s="276" cm="1">
        <f t="array" ref="BM43">IF(AND(BM$2&lt;&gt;0,TblTech[[#This Row],[Hour]:[Hour]]&gt;=BM$2),1,0)</f>
        <v>0</v>
      </c>
      <c r="BN43" s="276" cm="1">
        <f t="array" ref="BN43">IF(AND(BN$2&lt;&gt;0,TblTech[[#This Row],[Hour]:[Hour]]&gt;=BN$2),1,0)</f>
        <v>0</v>
      </c>
      <c r="BO43" s="276" cm="1">
        <f t="array" ref="BO43">IF(AND(BO$2&lt;&gt;0,TblTech[[#This Row],[Hour]:[Hour]]&gt;=BO$2),1,0)</f>
        <v>0</v>
      </c>
      <c r="BP43" s="276" cm="1">
        <f t="array" ref="BP43">IF(AND(BP$2&lt;&gt;0,TblTech[[#This Row],[Hour]:[Hour]]&gt;=BP$2),1,0)</f>
        <v>0</v>
      </c>
      <c r="BQ43" s="276" cm="1">
        <f t="array" ref="BQ43">IF(AND(BQ$2&lt;&gt;0,TblTech[[#This Row],[Hour]:[Hour]]&gt;=BQ$2),1,0)</f>
        <v>0</v>
      </c>
      <c r="BR43" s="276" cm="1">
        <f t="array" ref="BR43">IF(AND(BR$2&lt;&gt;0,TblTech[[#This Row],[Hour]:[Hour]]&gt;=BR$2),1,0)</f>
        <v>0</v>
      </c>
      <c r="BS43" s="276" cm="1">
        <f t="array" ref="BS43">IF(AND(BS$2&lt;&gt;0,TblTech[[#This Row],[Hour]:[Hour]]&gt;=BS$2),1,0)</f>
        <v>0</v>
      </c>
      <c r="BT43" s="276" cm="1">
        <f t="array" ref="BT43">IF(AND(BT$2&lt;&gt;0,TblTech[[#This Row],[Hour]:[Hour]]&gt;=BT$2),1,0)</f>
        <v>0</v>
      </c>
      <c r="BU43" s="276" cm="1">
        <f t="array" ref="BU43">IF(AND(BU$2&lt;&gt;0,TblTech[[#This Row],[Hour]:[Hour]]&gt;=BU$2),1,0)</f>
        <v>0</v>
      </c>
      <c r="BV43" s="276" cm="1">
        <f t="array" ref="BV43">IF(AND(BV$2&lt;&gt;0,TblTech[[#This Row],[Hour]:[Hour]]&gt;=BV$2),1,0)</f>
        <v>0</v>
      </c>
      <c r="BW43" s="276" cm="1">
        <f t="array" ref="BW43">IF(AND(BW$2&lt;&gt;0,TblTech[[#This Row],[Hour]:[Hour]]&gt;=BW$2),1,0)</f>
        <v>0</v>
      </c>
      <c r="BX43" s="276" cm="1">
        <f t="array" ref="BX43">IF(AND(BX$2&lt;&gt;0,TblTech[[#This Row],[Hour]:[Hour]]&gt;=BX$2),1,0)</f>
        <v>0</v>
      </c>
      <c r="BY43" s="276" cm="1">
        <f t="array" ref="BY43">IF(AND(BY$2&lt;&gt;0,TblTech[[#This Row],[Hour]:[Hour]]&gt;=BY$2),1,0)</f>
        <v>0</v>
      </c>
      <c r="BZ43" s="276" cm="1">
        <f t="array" ref="BZ43">IF(AND(BZ$2&lt;&gt;0,TblTech[[#This Row],[Hour]:[Hour]]&gt;=BZ$2),1,0)</f>
        <v>0</v>
      </c>
      <c r="CA43" s="377">
        <f>IFERROR(INDEX($H$4:$H$79,MATCH(INDEX(TblTech[[#Headers],[1-1]:[11-1]],1,MATCH(TblTech[[#This Row],[Hour]],$M$2:$BZ$2,0)),$G$4:$G$79,0)),)</f>
        <v>0</v>
      </c>
    </row>
    <row r="44" spans="1:79" x14ac:dyDescent="0.2">
      <c r="A44" s="268">
        <f>TblRezone[[#This Row],[Hour]]</f>
        <v>41</v>
      </c>
      <c r="B44" s="269">
        <f ca="1">TblExplore[[#This Row],[Land-DB]]</f>
        <v>110</v>
      </c>
      <c r="C44" s="270">
        <f ca="1">TblProd[[#This Row],[Techpoints]]</f>
        <v>0</v>
      </c>
      <c r="D44" s="270">
        <f ca="1">TblProd[[#This Row],[Required]]</f>
        <v>3750</v>
      </c>
      <c r="E44" s="271"/>
      <c r="F44" s="272"/>
      <c r="G44" s="273" t="s">
        <v>586</v>
      </c>
      <c r="H44" s="274" t="s">
        <v>708</v>
      </c>
      <c r="I44" s="273" t="s">
        <v>584</v>
      </c>
      <c r="J44" s="269"/>
      <c r="K44" s="93">
        <f ca="1">IF(TblTech[[#This Row],[Sum of tech]]&lt;&gt;OFFSET(TblTech[[#This Row],[Sum of tech]],-1,0),1,0)</f>
        <v>0</v>
      </c>
      <c r="L44" s="275">
        <f>COUNTIF(TblTech[[#This Row],[1-1]:[11-1]],1)</f>
        <v>0</v>
      </c>
      <c r="M44" s="276" cm="1">
        <f t="array" ref="M44">IF(AND(M$2&lt;&gt;0,TblTech[[#This Row],[Hour]:[Hour]]&gt;=M$2),1,0)</f>
        <v>0</v>
      </c>
      <c r="N44" s="276" cm="1">
        <f t="array" ref="N44">IF(AND(N$2&lt;&gt;0,TblTech[[#This Row],[Hour]:[Hour]]&gt;=N$2),1,0)</f>
        <v>0</v>
      </c>
      <c r="O44" s="276" cm="1">
        <f t="array" ref="O44">IF(AND(O$2&lt;&gt;0,TblTech[[#This Row],[Hour]:[Hour]]&gt;=O$2),1,0)</f>
        <v>0</v>
      </c>
      <c r="P44" s="276" cm="1">
        <f t="array" ref="P44">IF(AND(P$2&lt;&gt;0,TblTech[[#This Row],[Hour]:[Hour]]&gt;=P$2),1,0)</f>
        <v>0</v>
      </c>
      <c r="Q44" s="276" cm="1">
        <f t="array" ref="Q44">IF(AND(Q$2&lt;&gt;0,TblTech[[#This Row],[Hour]:[Hour]]&gt;=Q$2),1,0)</f>
        <v>0</v>
      </c>
      <c r="R44" s="276" cm="1">
        <f t="array" ref="R44">IF(AND(R$2&lt;&gt;0,TblTech[[#This Row],[Hour]:[Hour]]&gt;=R$2),1,0)</f>
        <v>0</v>
      </c>
      <c r="S44" s="276" cm="1">
        <f t="array" ref="S44">IF(AND(S$2&lt;&gt;0,TblTech[[#This Row],[Hour]:[Hour]]&gt;=S$2),1,0)</f>
        <v>0</v>
      </c>
      <c r="T44" s="276" cm="1">
        <f t="array" ref="T44">IF(AND(T$2&lt;&gt;0,TblTech[[#This Row],[Hour]:[Hour]]&gt;=T$2),1,0)</f>
        <v>0</v>
      </c>
      <c r="U44" s="276" cm="1">
        <f t="array" ref="U44">IF(AND(U$2&lt;&gt;0,TblTech[[#This Row],[Hour]:[Hour]]&gt;=U$2),1,0)</f>
        <v>0</v>
      </c>
      <c r="V44" s="276" cm="1">
        <f t="array" ref="V44">IF(AND(V$2&lt;&gt;0,TblTech[[#This Row],[Hour]:[Hour]]&gt;=V$2),1,0)</f>
        <v>0</v>
      </c>
      <c r="W44" s="276" cm="1">
        <f t="array" ref="W44">IF(AND(W$2&lt;&gt;0,TblTech[[#This Row],[Hour]:[Hour]]&gt;=W$2),1,0)</f>
        <v>0</v>
      </c>
      <c r="X44" s="276" cm="1">
        <f t="array" ref="X44">IF(AND(X$2&lt;&gt;0,TblTech[[#This Row],[Hour]:[Hour]]&gt;=X$2),1,0)</f>
        <v>0</v>
      </c>
      <c r="Y44" s="276" cm="1">
        <f t="array" ref="Y44">IF(AND(Y$2&lt;&gt;0,TblTech[[#This Row],[Hour]:[Hour]]&gt;=Y$2),1,0)</f>
        <v>0</v>
      </c>
      <c r="Z44" s="276" cm="1">
        <f t="array" ref="Z44">IF(AND(Z$2&lt;&gt;0,TblTech[[#This Row],[Hour]:[Hour]]&gt;=Z$2),1,0)</f>
        <v>0</v>
      </c>
      <c r="AA44" s="276" cm="1">
        <f t="array" ref="AA44">IF(AND(AA$2&lt;&gt;0,TblTech[[#This Row],[Hour]:[Hour]]&gt;=AA$2),1,0)</f>
        <v>0</v>
      </c>
      <c r="AB44" s="276" cm="1">
        <f t="array" ref="AB44">IF(AND(AB$2&lt;&gt;0,TblTech[[#This Row],[Hour]:[Hour]]&gt;=AB$2),1,0)</f>
        <v>0</v>
      </c>
      <c r="AC44" s="276" cm="1">
        <f t="array" ref="AC44">IF(AND(AC$2&lt;&gt;0,TblTech[[#This Row],[Hour]:[Hour]]&gt;=AC$2),1,0)</f>
        <v>0</v>
      </c>
      <c r="AD44" s="276" cm="1">
        <f t="array" ref="AD44">IF(AND(AD$2&lt;&gt;0,TblTech[[#This Row],[Hour]:[Hour]]&gt;=AD$2),1,0)</f>
        <v>0</v>
      </c>
      <c r="AE44" s="276" cm="1">
        <f t="array" ref="AE44">IF(AND(AE$2&lt;&gt;0,TblTech[[#This Row],[Hour]:[Hour]]&gt;=AE$2),1,0)</f>
        <v>0</v>
      </c>
      <c r="AF44" s="276" cm="1">
        <f t="array" ref="AF44">IF(AND(AF$2&lt;&gt;0,TblTech[[#This Row],[Hour]:[Hour]]&gt;=AF$2),1,0)</f>
        <v>0</v>
      </c>
      <c r="AG44" s="276" cm="1">
        <f t="array" ref="AG44">IF(AND(AG$2&lt;&gt;0,TblTech[[#This Row],[Hour]:[Hour]]&gt;=AG$2),1,0)</f>
        <v>0</v>
      </c>
      <c r="AH44" s="276" cm="1">
        <f t="array" ref="AH44">IF(AND(AH$2&lt;&gt;0,TblTech[[#This Row],[Hour]:[Hour]]&gt;=AH$2),1,0)</f>
        <v>0</v>
      </c>
      <c r="AI44" s="276" cm="1">
        <f t="array" ref="AI44">IF(AND(AI$2&lt;&gt;0,TblTech[[#This Row],[Hour]:[Hour]]&gt;=AI$2),1,0)</f>
        <v>0</v>
      </c>
      <c r="AJ44" s="276" cm="1">
        <f t="array" ref="AJ44">IF(AND(AJ$2&lt;&gt;0,TblTech[[#This Row],[Hour]:[Hour]]&gt;=AJ$2),1,0)</f>
        <v>0</v>
      </c>
      <c r="AK44" s="276" cm="1">
        <f t="array" ref="AK44">IF(AND(AK$2&lt;&gt;0,TblTech[[#This Row],[Hour]:[Hour]]&gt;=AK$2),1,0)</f>
        <v>0</v>
      </c>
      <c r="AL44" s="276" cm="1">
        <f t="array" ref="AL44">IF(AND(AL$2&lt;&gt;0,TblTech[[#This Row],[Hour]:[Hour]]&gt;=AL$2),1,0)</f>
        <v>0</v>
      </c>
      <c r="AM44" s="276" cm="1">
        <f t="array" ref="AM44">IF(AND(AM$2&lt;&gt;0,TblTech[[#This Row],[Hour]:[Hour]]&gt;=AM$2),1,0)</f>
        <v>0</v>
      </c>
      <c r="AN44" s="276" cm="1">
        <f t="array" ref="AN44">IF(AND(AN$2&lt;&gt;0,TblTech[[#This Row],[Hour]:[Hour]]&gt;=AN$2),1,0)</f>
        <v>0</v>
      </c>
      <c r="AO44" s="276" cm="1">
        <f t="array" ref="AO44">IF(AND(AO$2&lt;&gt;0,TblTech[[#This Row],[Hour]:[Hour]]&gt;=AO$2),1,0)</f>
        <v>0</v>
      </c>
      <c r="AP44" s="276" cm="1">
        <f t="array" ref="AP44">IF(AND(AP$2&lt;&gt;0,TblTech[[#This Row],[Hour]:[Hour]]&gt;=AP$2),1,0)</f>
        <v>0</v>
      </c>
      <c r="AQ44" s="276" cm="1">
        <f t="array" ref="AQ44">IF(AND(AQ$2&lt;&gt;0,TblTech[[#This Row],[Hour]:[Hour]]&gt;=AQ$2),1,0)</f>
        <v>0</v>
      </c>
      <c r="AR44" s="276" cm="1">
        <f t="array" ref="AR44">IF(AND(AR$2&lt;&gt;0,TblTech[[#This Row],[Hour]:[Hour]]&gt;=AR$2),1,0)</f>
        <v>0</v>
      </c>
      <c r="AS44" s="276" cm="1">
        <f t="array" ref="AS44">IF(AND(AS$2&lt;&gt;0,TblTech[[#This Row],[Hour]:[Hour]]&gt;=AS$2),1,0)</f>
        <v>0</v>
      </c>
      <c r="AT44" s="276" cm="1">
        <f t="array" ref="AT44">IF(AND(AT$2&lt;&gt;0,TblTech[[#This Row],[Hour]:[Hour]]&gt;=AT$2),1,0)</f>
        <v>0</v>
      </c>
      <c r="AU44" s="276" cm="1">
        <f t="array" ref="AU44">IF(AND(AU$2&lt;&gt;0,TblTech[[#This Row],[Hour]:[Hour]]&gt;=AU$2),1,0)</f>
        <v>0</v>
      </c>
      <c r="AV44" s="276" cm="1">
        <f t="array" ref="AV44">IF(AND(AV$2&lt;&gt;0,TblTech[[#This Row],[Hour]:[Hour]]&gt;=AV$2),1,0)</f>
        <v>0</v>
      </c>
      <c r="AW44" s="276" cm="1">
        <f t="array" ref="AW44">IF(AND(AW$2&lt;&gt;0,TblTech[[#This Row],[Hour]:[Hour]]&gt;=AW$2),1,0)</f>
        <v>0</v>
      </c>
      <c r="AX44" s="276" cm="1">
        <f t="array" ref="AX44">IF(AND(AX$2&lt;&gt;0,TblTech[[#This Row],[Hour]:[Hour]]&gt;=AX$2),1,0)</f>
        <v>0</v>
      </c>
      <c r="AY44" s="276" cm="1">
        <f t="array" ref="AY44">IF(AND(AY$2&lt;&gt;0,TblTech[[#This Row],[Hour]:[Hour]]&gt;=AY$2),1,0)</f>
        <v>0</v>
      </c>
      <c r="AZ44" s="276" cm="1">
        <f t="array" ref="AZ44">IF(AND(AZ$2&lt;&gt;0,TblTech[[#This Row],[Hour]:[Hour]]&gt;=AZ$2),1,0)</f>
        <v>0</v>
      </c>
      <c r="BA44" s="276" cm="1">
        <f t="array" ref="BA44">IF(AND(BA$2&lt;&gt;0,TblTech[[#This Row],[Hour]:[Hour]]&gt;=BA$2),1,0)</f>
        <v>0</v>
      </c>
      <c r="BB44" s="276" cm="1">
        <f t="array" ref="BB44">IF(AND(BB$2&lt;&gt;0,TblTech[[#This Row],[Hour]:[Hour]]&gt;=BB$2),1,0)</f>
        <v>0</v>
      </c>
      <c r="BC44" s="276" cm="1">
        <f t="array" ref="BC44">IF(AND(BC$2&lt;&gt;0,TblTech[[#This Row],[Hour]:[Hour]]&gt;=BC$2),1,0)</f>
        <v>0</v>
      </c>
      <c r="BD44" s="276" cm="1">
        <f t="array" ref="BD44">IF(AND(BD$2&lt;&gt;0,TblTech[[#This Row],[Hour]:[Hour]]&gt;=BD$2),1,0)</f>
        <v>0</v>
      </c>
      <c r="BE44" s="276" cm="1">
        <f t="array" ref="BE44">IF(AND(BE$2&lt;&gt;0,TblTech[[#This Row],[Hour]:[Hour]]&gt;=BE$2),1,0)</f>
        <v>0</v>
      </c>
      <c r="BF44" s="276" cm="1">
        <f t="array" ref="BF44">IF(AND(BF$2&lt;&gt;0,TblTech[[#This Row],[Hour]:[Hour]]&gt;=BF$2),1,0)</f>
        <v>0</v>
      </c>
      <c r="BG44" s="276" cm="1">
        <f t="array" ref="BG44">IF(AND(BG$2&lt;&gt;0,TblTech[[#This Row],[Hour]:[Hour]]&gt;=BG$2),1,0)</f>
        <v>0</v>
      </c>
      <c r="BH44" s="276" cm="1">
        <f t="array" ref="BH44">IF(AND(BH$2&lt;&gt;0,TblTech[[#This Row],[Hour]:[Hour]]&gt;=BH$2),1,0)</f>
        <v>0</v>
      </c>
      <c r="BI44" s="276" cm="1">
        <f t="array" ref="BI44">IF(AND(BI$2&lt;&gt;0,TblTech[[#This Row],[Hour]:[Hour]]&gt;=BI$2),1,0)</f>
        <v>0</v>
      </c>
      <c r="BJ44" s="276" cm="1">
        <f t="array" ref="BJ44">IF(AND(BJ$2&lt;&gt;0,TblTech[[#This Row],[Hour]:[Hour]]&gt;=BJ$2),1,0)</f>
        <v>0</v>
      </c>
      <c r="BK44" s="276" cm="1">
        <f t="array" ref="BK44">IF(AND(BK$2&lt;&gt;0,TblTech[[#This Row],[Hour]:[Hour]]&gt;=BK$2),1,0)</f>
        <v>0</v>
      </c>
      <c r="BL44" s="276" cm="1">
        <f t="array" ref="BL44">IF(AND(BL$2&lt;&gt;0,TblTech[[#This Row],[Hour]:[Hour]]&gt;=BL$2),1,0)</f>
        <v>0</v>
      </c>
      <c r="BM44" s="276" cm="1">
        <f t="array" ref="BM44">IF(AND(BM$2&lt;&gt;0,TblTech[[#This Row],[Hour]:[Hour]]&gt;=BM$2),1,0)</f>
        <v>0</v>
      </c>
      <c r="BN44" s="276" cm="1">
        <f t="array" ref="BN44">IF(AND(BN$2&lt;&gt;0,TblTech[[#This Row],[Hour]:[Hour]]&gt;=BN$2),1,0)</f>
        <v>0</v>
      </c>
      <c r="BO44" s="276" cm="1">
        <f t="array" ref="BO44">IF(AND(BO$2&lt;&gt;0,TblTech[[#This Row],[Hour]:[Hour]]&gt;=BO$2),1,0)</f>
        <v>0</v>
      </c>
      <c r="BP44" s="276" cm="1">
        <f t="array" ref="BP44">IF(AND(BP$2&lt;&gt;0,TblTech[[#This Row],[Hour]:[Hour]]&gt;=BP$2),1,0)</f>
        <v>0</v>
      </c>
      <c r="BQ44" s="276" cm="1">
        <f t="array" ref="BQ44">IF(AND(BQ$2&lt;&gt;0,TblTech[[#This Row],[Hour]:[Hour]]&gt;=BQ$2),1,0)</f>
        <v>0</v>
      </c>
      <c r="BR44" s="276" cm="1">
        <f t="array" ref="BR44">IF(AND(BR$2&lt;&gt;0,TblTech[[#This Row],[Hour]:[Hour]]&gt;=BR$2),1,0)</f>
        <v>0</v>
      </c>
      <c r="BS44" s="276" cm="1">
        <f t="array" ref="BS44">IF(AND(BS$2&lt;&gt;0,TblTech[[#This Row],[Hour]:[Hour]]&gt;=BS$2),1,0)</f>
        <v>0</v>
      </c>
      <c r="BT44" s="276" cm="1">
        <f t="array" ref="BT44">IF(AND(BT$2&lt;&gt;0,TblTech[[#This Row],[Hour]:[Hour]]&gt;=BT$2),1,0)</f>
        <v>0</v>
      </c>
      <c r="BU44" s="276" cm="1">
        <f t="array" ref="BU44">IF(AND(BU$2&lt;&gt;0,TblTech[[#This Row],[Hour]:[Hour]]&gt;=BU$2),1,0)</f>
        <v>0</v>
      </c>
      <c r="BV44" s="276" cm="1">
        <f t="array" ref="BV44">IF(AND(BV$2&lt;&gt;0,TblTech[[#This Row],[Hour]:[Hour]]&gt;=BV$2),1,0)</f>
        <v>0</v>
      </c>
      <c r="BW44" s="276" cm="1">
        <f t="array" ref="BW44">IF(AND(BW$2&lt;&gt;0,TblTech[[#This Row],[Hour]:[Hour]]&gt;=BW$2),1,0)</f>
        <v>0</v>
      </c>
      <c r="BX44" s="276" cm="1">
        <f t="array" ref="BX44">IF(AND(BX$2&lt;&gt;0,TblTech[[#This Row],[Hour]:[Hour]]&gt;=BX$2),1,0)</f>
        <v>0</v>
      </c>
      <c r="BY44" s="276" cm="1">
        <f t="array" ref="BY44">IF(AND(BY$2&lt;&gt;0,TblTech[[#This Row],[Hour]:[Hour]]&gt;=BY$2),1,0)</f>
        <v>0</v>
      </c>
      <c r="BZ44" s="276" cm="1">
        <f t="array" ref="BZ44">IF(AND(BZ$2&lt;&gt;0,TblTech[[#This Row],[Hour]:[Hour]]&gt;=BZ$2),1,0)</f>
        <v>0</v>
      </c>
      <c r="CA44" s="377">
        <f>IFERROR(INDEX($H$4:$H$79,MATCH(INDEX(TblTech[[#Headers],[1-1]:[11-1]],1,MATCH(TblTech[[#This Row],[Hour]],$M$2:$BZ$2,0)),$G$4:$G$79,0)),)</f>
        <v>0</v>
      </c>
    </row>
    <row r="45" spans="1:79" x14ac:dyDescent="0.2">
      <c r="A45" s="268">
        <f>TblRezone[[#This Row],[Hour]]</f>
        <v>42</v>
      </c>
      <c r="B45" s="269">
        <f ca="1">TblExplore[[#This Row],[Land-DB]]</f>
        <v>110</v>
      </c>
      <c r="C45" s="270">
        <f ca="1">TblProd[[#This Row],[Techpoints]]</f>
        <v>0</v>
      </c>
      <c r="D45" s="270">
        <f ca="1">TblProd[[#This Row],[Required]]</f>
        <v>3750</v>
      </c>
      <c r="E45" s="271"/>
      <c r="F45" s="272"/>
      <c r="G45" s="273"/>
      <c r="H45" s="274"/>
      <c r="I45" s="273"/>
      <c r="J45" s="269"/>
      <c r="K45" s="93">
        <f ca="1">IF(TblTech[[#This Row],[Sum of tech]]&lt;&gt;OFFSET(TblTech[[#This Row],[Sum of tech]],-1,0),1,0)</f>
        <v>0</v>
      </c>
      <c r="L45" s="275">
        <f>COUNTIF(TblTech[[#This Row],[1-1]:[11-1]],1)</f>
        <v>0</v>
      </c>
      <c r="M45" s="276" cm="1">
        <f t="array" ref="M45">IF(AND(M$2&lt;&gt;0,TblTech[[#This Row],[Hour]:[Hour]]&gt;=M$2),1,0)</f>
        <v>0</v>
      </c>
      <c r="N45" s="276" cm="1">
        <f t="array" ref="N45">IF(AND(N$2&lt;&gt;0,TblTech[[#This Row],[Hour]:[Hour]]&gt;=N$2),1,0)</f>
        <v>0</v>
      </c>
      <c r="O45" s="276" cm="1">
        <f t="array" ref="O45">IF(AND(O$2&lt;&gt;0,TblTech[[#This Row],[Hour]:[Hour]]&gt;=O$2),1,0)</f>
        <v>0</v>
      </c>
      <c r="P45" s="276" cm="1">
        <f t="array" ref="P45">IF(AND(P$2&lt;&gt;0,TblTech[[#This Row],[Hour]:[Hour]]&gt;=P$2),1,0)</f>
        <v>0</v>
      </c>
      <c r="Q45" s="276" cm="1">
        <f t="array" ref="Q45">IF(AND(Q$2&lt;&gt;0,TblTech[[#This Row],[Hour]:[Hour]]&gt;=Q$2),1,0)</f>
        <v>0</v>
      </c>
      <c r="R45" s="276" cm="1">
        <f t="array" ref="R45">IF(AND(R$2&lt;&gt;0,TblTech[[#This Row],[Hour]:[Hour]]&gt;=R$2),1,0)</f>
        <v>0</v>
      </c>
      <c r="S45" s="276" cm="1">
        <f t="array" ref="S45">IF(AND(S$2&lt;&gt;0,TblTech[[#This Row],[Hour]:[Hour]]&gt;=S$2),1,0)</f>
        <v>0</v>
      </c>
      <c r="T45" s="276" cm="1">
        <f t="array" ref="T45">IF(AND(T$2&lt;&gt;0,TblTech[[#This Row],[Hour]:[Hour]]&gt;=T$2),1,0)</f>
        <v>0</v>
      </c>
      <c r="U45" s="276" cm="1">
        <f t="array" ref="U45">IF(AND(U$2&lt;&gt;0,TblTech[[#This Row],[Hour]:[Hour]]&gt;=U$2),1,0)</f>
        <v>0</v>
      </c>
      <c r="V45" s="276" cm="1">
        <f t="array" ref="V45">IF(AND(V$2&lt;&gt;0,TblTech[[#This Row],[Hour]:[Hour]]&gt;=V$2),1,0)</f>
        <v>0</v>
      </c>
      <c r="W45" s="276" cm="1">
        <f t="array" ref="W45">IF(AND(W$2&lt;&gt;0,TblTech[[#This Row],[Hour]:[Hour]]&gt;=W$2),1,0)</f>
        <v>0</v>
      </c>
      <c r="X45" s="276" cm="1">
        <f t="array" ref="X45">IF(AND(X$2&lt;&gt;0,TblTech[[#This Row],[Hour]:[Hour]]&gt;=X$2),1,0)</f>
        <v>0</v>
      </c>
      <c r="Y45" s="276" cm="1">
        <f t="array" ref="Y45">IF(AND(Y$2&lt;&gt;0,TblTech[[#This Row],[Hour]:[Hour]]&gt;=Y$2),1,0)</f>
        <v>0</v>
      </c>
      <c r="Z45" s="276" cm="1">
        <f t="array" ref="Z45">IF(AND(Z$2&lt;&gt;0,TblTech[[#This Row],[Hour]:[Hour]]&gt;=Z$2),1,0)</f>
        <v>0</v>
      </c>
      <c r="AA45" s="276" cm="1">
        <f t="array" ref="AA45">IF(AND(AA$2&lt;&gt;0,TblTech[[#This Row],[Hour]:[Hour]]&gt;=AA$2),1,0)</f>
        <v>0</v>
      </c>
      <c r="AB45" s="276" cm="1">
        <f t="array" ref="AB45">IF(AND(AB$2&lt;&gt;0,TblTech[[#This Row],[Hour]:[Hour]]&gt;=AB$2),1,0)</f>
        <v>0</v>
      </c>
      <c r="AC45" s="276" cm="1">
        <f t="array" ref="AC45">IF(AND(AC$2&lt;&gt;0,TblTech[[#This Row],[Hour]:[Hour]]&gt;=AC$2),1,0)</f>
        <v>0</v>
      </c>
      <c r="AD45" s="276" cm="1">
        <f t="array" ref="AD45">IF(AND(AD$2&lt;&gt;0,TblTech[[#This Row],[Hour]:[Hour]]&gt;=AD$2),1,0)</f>
        <v>0</v>
      </c>
      <c r="AE45" s="276" cm="1">
        <f t="array" ref="AE45">IF(AND(AE$2&lt;&gt;0,TblTech[[#This Row],[Hour]:[Hour]]&gt;=AE$2),1,0)</f>
        <v>0</v>
      </c>
      <c r="AF45" s="276" cm="1">
        <f t="array" ref="AF45">IF(AND(AF$2&lt;&gt;0,TblTech[[#This Row],[Hour]:[Hour]]&gt;=AF$2),1,0)</f>
        <v>0</v>
      </c>
      <c r="AG45" s="276" cm="1">
        <f t="array" ref="AG45">IF(AND(AG$2&lt;&gt;0,TblTech[[#This Row],[Hour]:[Hour]]&gt;=AG$2),1,0)</f>
        <v>0</v>
      </c>
      <c r="AH45" s="276" cm="1">
        <f t="array" ref="AH45">IF(AND(AH$2&lt;&gt;0,TblTech[[#This Row],[Hour]:[Hour]]&gt;=AH$2),1,0)</f>
        <v>0</v>
      </c>
      <c r="AI45" s="276" cm="1">
        <f t="array" ref="AI45">IF(AND(AI$2&lt;&gt;0,TblTech[[#This Row],[Hour]:[Hour]]&gt;=AI$2),1,0)</f>
        <v>0</v>
      </c>
      <c r="AJ45" s="276" cm="1">
        <f t="array" ref="AJ45">IF(AND(AJ$2&lt;&gt;0,TblTech[[#This Row],[Hour]:[Hour]]&gt;=AJ$2),1,0)</f>
        <v>0</v>
      </c>
      <c r="AK45" s="276" cm="1">
        <f t="array" ref="AK45">IF(AND(AK$2&lt;&gt;0,TblTech[[#This Row],[Hour]:[Hour]]&gt;=AK$2),1,0)</f>
        <v>0</v>
      </c>
      <c r="AL45" s="276" cm="1">
        <f t="array" ref="AL45">IF(AND(AL$2&lt;&gt;0,TblTech[[#This Row],[Hour]:[Hour]]&gt;=AL$2),1,0)</f>
        <v>0</v>
      </c>
      <c r="AM45" s="276" cm="1">
        <f t="array" ref="AM45">IF(AND(AM$2&lt;&gt;0,TblTech[[#This Row],[Hour]:[Hour]]&gt;=AM$2),1,0)</f>
        <v>0</v>
      </c>
      <c r="AN45" s="276" cm="1">
        <f t="array" ref="AN45">IF(AND(AN$2&lt;&gt;0,TblTech[[#This Row],[Hour]:[Hour]]&gt;=AN$2),1,0)</f>
        <v>0</v>
      </c>
      <c r="AO45" s="276" cm="1">
        <f t="array" ref="AO45">IF(AND(AO$2&lt;&gt;0,TblTech[[#This Row],[Hour]:[Hour]]&gt;=AO$2),1,0)</f>
        <v>0</v>
      </c>
      <c r="AP45" s="276" cm="1">
        <f t="array" ref="AP45">IF(AND(AP$2&lt;&gt;0,TblTech[[#This Row],[Hour]:[Hour]]&gt;=AP$2),1,0)</f>
        <v>0</v>
      </c>
      <c r="AQ45" s="276" cm="1">
        <f t="array" ref="AQ45">IF(AND(AQ$2&lt;&gt;0,TblTech[[#This Row],[Hour]:[Hour]]&gt;=AQ$2),1,0)</f>
        <v>0</v>
      </c>
      <c r="AR45" s="276" cm="1">
        <f t="array" ref="AR45">IF(AND(AR$2&lt;&gt;0,TblTech[[#This Row],[Hour]:[Hour]]&gt;=AR$2),1,0)</f>
        <v>0</v>
      </c>
      <c r="AS45" s="276" cm="1">
        <f t="array" ref="AS45">IF(AND(AS$2&lt;&gt;0,TblTech[[#This Row],[Hour]:[Hour]]&gt;=AS$2),1,0)</f>
        <v>0</v>
      </c>
      <c r="AT45" s="276" cm="1">
        <f t="array" ref="AT45">IF(AND(AT$2&lt;&gt;0,TblTech[[#This Row],[Hour]:[Hour]]&gt;=AT$2),1,0)</f>
        <v>0</v>
      </c>
      <c r="AU45" s="276" cm="1">
        <f t="array" ref="AU45">IF(AND(AU$2&lt;&gt;0,TblTech[[#This Row],[Hour]:[Hour]]&gt;=AU$2),1,0)</f>
        <v>0</v>
      </c>
      <c r="AV45" s="276" cm="1">
        <f t="array" ref="AV45">IF(AND(AV$2&lt;&gt;0,TblTech[[#This Row],[Hour]:[Hour]]&gt;=AV$2),1,0)</f>
        <v>0</v>
      </c>
      <c r="AW45" s="276" cm="1">
        <f t="array" ref="AW45">IF(AND(AW$2&lt;&gt;0,TblTech[[#This Row],[Hour]:[Hour]]&gt;=AW$2),1,0)</f>
        <v>0</v>
      </c>
      <c r="AX45" s="276" cm="1">
        <f t="array" ref="AX45">IF(AND(AX$2&lt;&gt;0,TblTech[[#This Row],[Hour]:[Hour]]&gt;=AX$2),1,0)</f>
        <v>0</v>
      </c>
      <c r="AY45" s="276" cm="1">
        <f t="array" ref="AY45">IF(AND(AY$2&lt;&gt;0,TblTech[[#This Row],[Hour]:[Hour]]&gt;=AY$2),1,0)</f>
        <v>0</v>
      </c>
      <c r="AZ45" s="276" cm="1">
        <f t="array" ref="AZ45">IF(AND(AZ$2&lt;&gt;0,TblTech[[#This Row],[Hour]:[Hour]]&gt;=AZ$2),1,0)</f>
        <v>0</v>
      </c>
      <c r="BA45" s="276" cm="1">
        <f t="array" ref="BA45">IF(AND(BA$2&lt;&gt;0,TblTech[[#This Row],[Hour]:[Hour]]&gt;=BA$2),1,0)</f>
        <v>0</v>
      </c>
      <c r="BB45" s="276" cm="1">
        <f t="array" ref="BB45">IF(AND(BB$2&lt;&gt;0,TblTech[[#This Row],[Hour]:[Hour]]&gt;=BB$2),1,0)</f>
        <v>0</v>
      </c>
      <c r="BC45" s="276" cm="1">
        <f t="array" ref="BC45">IF(AND(BC$2&lt;&gt;0,TblTech[[#This Row],[Hour]:[Hour]]&gt;=BC$2),1,0)</f>
        <v>0</v>
      </c>
      <c r="BD45" s="276" cm="1">
        <f t="array" ref="BD45">IF(AND(BD$2&lt;&gt;0,TblTech[[#This Row],[Hour]:[Hour]]&gt;=BD$2),1,0)</f>
        <v>0</v>
      </c>
      <c r="BE45" s="276" cm="1">
        <f t="array" ref="BE45">IF(AND(BE$2&lt;&gt;0,TblTech[[#This Row],[Hour]:[Hour]]&gt;=BE$2),1,0)</f>
        <v>0</v>
      </c>
      <c r="BF45" s="276" cm="1">
        <f t="array" ref="BF45">IF(AND(BF$2&lt;&gt;0,TblTech[[#This Row],[Hour]:[Hour]]&gt;=BF$2),1,0)</f>
        <v>0</v>
      </c>
      <c r="BG45" s="276" cm="1">
        <f t="array" ref="BG45">IF(AND(BG$2&lt;&gt;0,TblTech[[#This Row],[Hour]:[Hour]]&gt;=BG$2),1,0)</f>
        <v>0</v>
      </c>
      <c r="BH45" s="276" cm="1">
        <f t="array" ref="BH45">IF(AND(BH$2&lt;&gt;0,TblTech[[#This Row],[Hour]:[Hour]]&gt;=BH$2),1,0)</f>
        <v>0</v>
      </c>
      <c r="BI45" s="276" cm="1">
        <f t="array" ref="BI45">IF(AND(BI$2&lt;&gt;0,TblTech[[#This Row],[Hour]:[Hour]]&gt;=BI$2),1,0)</f>
        <v>0</v>
      </c>
      <c r="BJ45" s="276" cm="1">
        <f t="array" ref="BJ45">IF(AND(BJ$2&lt;&gt;0,TblTech[[#This Row],[Hour]:[Hour]]&gt;=BJ$2),1,0)</f>
        <v>0</v>
      </c>
      <c r="BK45" s="276" cm="1">
        <f t="array" ref="BK45">IF(AND(BK$2&lt;&gt;0,TblTech[[#This Row],[Hour]:[Hour]]&gt;=BK$2),1,0)</f>
        <v>0</v>
      </c>
      <c r="BL45" s="276" cm="1">
        <f t="array" ref="BL45">IF(AND(BL$2&lt;&gt;0,TblTech[[#This Row],[Hour]:[Hour]]&gt;=BL$2),1,0)</f>
        <v>0</v>
      </c>
      <c r="BM45" s="276" cm="1">
        <f t="array" ref="BM45">IF(AND(BM$2&lt;&gt;0,TblTech[[#This Row],[Hour]:[Hour]]&gt;=BM$2),1,0)</f>
        <v>0</v>
      </c>
      <c r="BN45" s="276" cm="1">
        <f t="array" ref="BN45">IF(AND(BN$2&lt;&gt;0,TblTech[[#This Row],[Hour]:[Hour]]&gt;=BN$2),1,0)</f>
        <v>0</v>
      </c>
      <c r="BO45" s="276" cm="1">
        <f t="array" ref="BO45">IF(AND(BO$2&lt;&gt;0,TblTech[[#This Row],[Hour]:[Hour]]&gt;=BO$2),1,0)</f>
        <v>0</v>
      </c>
      <c r="BP45" s="276" cm="1">
        <f t="array" ref="BP45">IF(AND(BP$2&lt;&gt;0,TblTech[[#This Row],[Hour]:[Hour]]&gt;=BP$2),1,0)</f>
        <v>0</v>
      </c>
      <c r="BQ45" s="276" cm="1">
        <f t="array" ref="BQ45">IF(AND(BQ$2&lt;&gt;0,TblTech[[#This Row],[Hour]:[Hour]]&gt;=BQ$2),1,0)</f>
        <v>0</v>
      </c>
      <c r="BR45" s="276" cm="1">
        <f t="array" ref="BR45">IF(AND(BR$2&lt;&gt;0,TblTech[[#This Row],[Hour]:[Hour]]&gt;=BR$2),1,0)</f>
        <v>0</v>
      </c>
      <c r="BS45" s="276" cm="1">
        <f t="array" ref="BS45">IF(AND(BS$2&lt;&gt;0,TblTech[[#This Row],[Hour]:[Hour]]&gt;=BS$2),1,0)</f>
        <v>0</v>
      </c>
      <c r="BT45" s="276" cm="1">
        <f t="array" ref="BT45">IF(AND(BT$2&lt;&gt;0,TblTech[[#This Row],[Hour]:[Hour]]&gt;=BT$2),1,0)</f>
        <v>0</v>
      </c>
      <c r="BU45" s="276" cm="1">
        <f t="array" ref="BU45">IF(AND(BU$2&lt;&gt;0,TblTech[[#This Row],[Hour]:[Hour]]&gt;=BU$2),1,0)</f>
        <v>0</v>
      </c>
      <c r="BV45" s="276" cm="1">
        <f t="array" ref="BV45">IF(AND(BV$2&lt;&gt;0,TblTech[[#This Row],[Hour]:[Hour]]&gt;=BV$2),1,0)</f>
        <v>0</v>
      </c>
      <c r="BW45" s="276" cm="1">
        <f t="array" ref="BW45">IF(AND(BW$2&lt;&gt;0,TblTech[[#This Row],[Hour]:[Hour]]&gt;=BW$2),1,0)</f>
        <v>0</v>
      </c>
      <c r="BX45" s="276" cm="1">
        <f t="array" ref="BX45">IF(AND(BX$2&lt;&gt;0,TblTech[[#This Row],[Hour]:[Hour]]&gt;=BX$2),1,0)</f>
        <v>0</v>
      </c>
      <c r="BY45" s="276" cm="1">
        <f t="array" ref="BY45">IF(AND(BY$2&lt;&gt;0,TblTech[[#This Row],[Hour]:[Hour]]&gt;=BY$2),1,0)</f>
        <v>0</v>
      </c>
      <c r="BZ45" s="276" cm="1">
        <f t="array" ref="BZ45">IF(AND(BZ$2&lt;&gt;0,TblTech[[#This Row],[Hour]:[Hour]]&gt;=BZ$2),1,0)</f>
        <v>0</v>
      </c>
      <c r="CA45" s="377">
        <f>IFERROR(INDEX($H$4:$H$79,MATCH(INDEX(TblTech[[#Headers],[1-1]:[11-1]],1,MATCH(TblTech[[#This Row],[Hour]],$M$2:$BZ$2,0)),$G$4:$G$79,0)),)</f>
        <v>0</v>
      </c>
    </row>
    <row r="46" spans="1:79" x14ac:dyDescent="0.2">
      <c r="A46" s="268">
        <f>TblRezone[[#This Row],[Hour]]</f>
        <v>43</v>
      </c>
      <c r="B46" s="269">
        <f ca="1">TblExplore[[#This Row],[Land-DB]]</f>
        <v>110</v>
      </c>
      <c r="C46" s="270">
        <f ca="1">TblProd[[#This Row],[Techpoints]]</f>
        <v>0</v>
      </c>
      <c r="D46" s="270">
        <f ca="1">TblProd[[#This Row],[Required]]</f>
        <v>3750</v>
      </c>
      <c r="E46" s="271"/>
      <c r="F46" s="272"/>
      <c r="G46" s="273" t="s">
        <v>587</v>
      </c>
      <c r="H46" s="274" t="s">
        <v>712</v>
      </c>
      <c r="I46" s="273" t="s">
        <v>1050</v>
      </c>
      <c r="J46" s="269"/>
      <c r="K46" s="93">
        <f ca="1">IF(TblTech[[#This Row],[Sum of tech]]&lt;&gt;OFFSET(TblTech[[#This Row],[Sum of tech]],-1,0),1,0)</f>
        <v>0</v>
      </c>
      <c r="L46" s="275">
        <f>COUNTIF(TblTech[[#This Row],[1-1]:[11-1]],1)</f>
        <v>0</v>
      </c>
      <c r="M46" s="276" cm="1">
        <f t="array" ref="M46">IF(AND(M$2&lt;&gt;0,TblTech[[#This Row],[Hour]:[Hour]]&gt;=M$2),1,0)</f>
        <v>0</v>
      </c>
      <c r="N46" s="276" cm="1">
        <f t="array" ref="N46">IF(AND(N$2&lt;&gt;0,TblTech[[#This Row],[Hour]:[Hour]]&gt;=N$2),1,0)</f>
        <v>0</v>
      </c>
      <c r="O46" s="276" cm="1">
        <f t="array" ref="O46">IF(AND(O$2&lt;&gt;0,TblTech[[#This Row],[Hour]:[Hour]]&gt;=O$2),1,0)</f>
        <v>0</v>
      </c>
      <c r="P46" s="276" cm="1">
        <f t="array" ref="P46">IF(AND(P$2&lt;&gt;0,TblTech[[#This Row],[Hour]:[Hour]]&gt;=P$2),1,0)</f>
        <v>0</v>
      </c>
      <c r="Q46" s="276" cm="1">
        <f t="array" ref="Q46">IF(AND(Q$2&lt;&gt;0,TblTech[[#This Row],[Hour]:[Hour]]&gt;=Q$2),1,0)</f>
        <v>0</v>
      </c>
      <c r="R46" s="276" cm="1">
        <f t="array" ref="R46">IF(AND(R$2&lt;&gt;0,TblTech[[#This Row],[Hour]:[Hour]]&gt;=R$2),1,0)</f>
        <v>0</v>
      </c>
      <c r="S46" s="276" cm="1">
        <f t="array" ref="S46">IF(AND(S$2&lt;&gt;0,TblTech[[#This Row],[Hour]:[Hour]]&gt;=S$2),1,0)</f>
        <v>0</v>
      </c>
      <c r="T46" s="276" cm="1">
        <f t="array" ref="T46">IF(AND(T$2&lt;&gt;0,TblTech[[#This Row],[Hour]:[Hour]]&gt;=T$2),1,0)</f>
        <v>0</v>
      </c>
      <c r="U46" s="276" cm="1">
        <f t="array" ref="U46">IF(AND(U$2&lt;&gt;0,TblTech[[#This Row],[Hour]:[Hour]]&gt;=U$2),1,0)</f>
        <v>0</v>
      </c>
      <c r="V46" s="276" cm="1">
        <f t="array" ref="V46">IF(AND(V$2&lt;&gt;0,TblTech[[#This Row],[Hour]:[Hour]]&gt;=V$2),1,0)</f>
        <v>0</v>
      </c>
      <c r="W46" s="276" cm="1">
        <f t="array" ref="W46">IF(AND(W$2&lt;&gt;0,TblTech[[#This Row],[Hour]:[Hour]]&gt;=W$2),1,0)</f>
        <v>0</v>
      </c>
      <c r="X46" s="276" cm="1">
        <f t="array" ref="X46">IF(AND(X$2&lt;&gt;0,TblTech[[#This Row],[Hour]:[Hour]]&gt;=X$2),1,0)</f>
        <v>0</v>
      </c>
      <c r="Y46" s="276" cm="1">
        <f t="array" ref="Y46">IF(AND(Y$2&lt;&gt;0,TblTech[[#This Row],[Hour]:[Hour]]&gt;=Y$2),1,0)</f>
        <v>0</v>
      </c>
      <c r="Z46" s="276" cm="1">
        <f t="array" ref="Z46">IF(AND(Z$2&lt;&gt;0,TblTech[[#This Row],[Hour]:[Hour]]&gt;=Z$2),1,0)</f>
        <v>0</v>
      </c>
      <c r="AA46" s="276" cm="1">
        <f t="array" ref="AA46">IF(AND(AA$2&lt;&gt;0,TblTech[[#This Row],[Hour]:[Hour]]&gt;=AA$2),1,0)</f>
        <v>0</v>
      </c>
      <c r="AB46" s="276" cm="1">
        <f t="array" ref="AB46">IF(AND(AB$2&lt;&gt;0,TblTech[[#This Row],[Hour]:[Hour]]&gt;=AB$2),1,0)</f>
        <v>0</v>
      </c>
      <c r="AC46" s="276" cm="1">
        <f t="array" ref="AC46">IF(AND(AC$2&lt;&gt;0,TblTech[[#This Row],[Hour]:[Hour]]&gt;=AC$2),1,0)</f>
        <v>0</v>
      </c>
      <c r="AD46" s="276" cm="1">
        <f t="array" ref="AD46">IF(AND(AD$2&lt;&gt;0,TblTech[[#This Row],[Hour]:[Hour]]&gt;=AD$2),1,0)</f>
        <v>0</v>
      </c>
      <c r="AE46" s="276" cm="1">
        <f t="array" ref="AE46">IF(AND(AE$2&lt;&gt;0,TblTech[[#This Row],[Hour]:[Hour]]&gt;=AE$2),1,0)</f>
        <v>0</v>
      </c>
      <c r="AF46" s="276" cm="1">
        <f t="array" ref="AF46">IF(AND(AF$2&lt;&gt;0,TblTech[[#This Row],[Hour]:[Hour]]&gt;=AF$2),1,0)</f>
        <v>0</v>
      </c>
      <c r="AG46" s="276" cm="1">
        <f t="array" ref="AG46">IF(AND(AG$2&lt;&gt;0,TblTech[[#This Row],[Hour]:[Hour]]&gt;=AG$2),1,0)</f>
        <v>0</v>
      </c>
      <c r="AH46" s="276" cm="1">
        <f t="array" ref="AH46">IF(AND(AH$2&lt;&gt;0,TblTech[[#This Row],[Hour]:[Hour]]&gt;=AH$2),1,0)</f>
        <v>0</v>
      </c>
      <c r="AI46" s="276" cm="1">
        <f t="array" ref="AI46">IF(AND(AI$2&lt;&gt;0,TblTech[[#This Row],[Hour]:[Hour]]&gt;=AI$2),1,0)</f>
        <v>0</v>
      </c>
      <c r="AJ46" s="276" cm="1">
        <f t="array" ref="AJ46">IF(AND(AJ$2&lt;&gt;0,TblTech[[#This Row],[Hour]:[Hour]]&gt;=AJ$2),1,0)</f>
        <v>0</v>
      </c>
      <c r="AK46" s="276" cm="1">
        <f t="array" ref="AK46">IF(AND(AK$2&lt;&gt;0,TblTech[[#This Row],[Hour]:[Hour]]&gt;=AK$2),1,0)</f>
        <v>0</v>
      </c>
      <c r="AL46" s="276" cm="1">
        <f t="array" ref="AL46">IF(AND(AL$2&lt;&gt;0,TblTech[[#This Row],[Hour]:[Hour]]&gt;=AL$2),1,0)</f>
        <v>0</v>
      </c>
      <c r="AM46" s="276" cm="1">
        <f t="array" ref="AM46">IF(AND(AM$2&lt;&gt;0,TblTech[[#This Row],[Hour]:[Hour]]&gt;=AM$2),1,0)</f>
        <v>0</v>
      </c>
      <c r="AN46" s="276" cm="1">
        <f t="array" ref="AN46">IF(AND(AN$2&lt;&gt;0,TblTech[[#This Row],[Hour]:[Hour]]&gt;=AN$2),1,0)</f>
        <v>0</v>
      </c>
      <c r="AO46" s="276" cm="1">
        <f t="array" ref="AO46">IF(AND(AO$2&lt;&gt;0,TblTech[[#This Row],[Hour]:[Hour]]&gt;=AO$2),1,0)</f>
        <v>0</v>
      </c>
      <c r="AP46" s="276" cm="1">
        <f t="array" ref="AP46">IF(AND(AP$2&lt;&gt;0,TblTech[[#This Row],[Hour]:[Hour]]&gt;=AP$2),1,0)</f>
        <v>0</v>
      </c>
      <c r="AQ46" s="276" cm="1">
        <f t="array" ref="AQ46">IF(AND(AQ$2&lt;&gt;0,TblTech[[#This Row],[Hour]:[Hour]]&gt;=AQ$2),1,0)</f>
        <v>0</v>
      </c>
      <c r="AR46" s="276" cm="1">
        <f t="array" ref="AR46">IF(AND(AR$2&lt;&gt;0,TblTech[[#This Row],[Hour]:[Hour]]&gt;=AR$2),1,0)</f>
        <v>0</v>
      </c>
      <c r="AS46" s="276" cm="1">
        <f t="array" ref="AS46">IF(AND(AS$2&lt;&gt;0,TblTech[[#This Row],[Hour]:[Hour]]&gt;=AS$2),1,0)</f>
        <v>0</v>
      </c>
      <c r="AT46" s="276" cm="1">
        <f t="array" ref="AT46">IF(AND(AT$2&lt;&gt;0,TblTech[[#This Row],[Hour]:[Hour]]&gt;=AT$2),1,0)</f>
        <v>0</v>
      </c>
      <c r="AU46" s="276" cm="1">
        <f t="array" ref="AU46">IF(AND(AU$2&lt;&gt;0,TblTech[[#This Row],[Hour]:[Hour]]&gt;=AU$2),1,0)</f>
        <v>0</v>
      </c>
      <c r="AV46" s="276" cm="1">
        <f t="array" ref="AV46">IF(AND(AV$2&lt;&gt;0,TblTech[[#This Row],[Hour]:[Hour]]&gt;=AV$2),1,0)</f>
        <v>0</v>
      </c>
      <c r="AW46" s="276" cm="1">
        <f t="array" ref="AW46">IF(AND(AW$2&lt;&gt;0,TblTech[[#This Row],[Hour]:[Hour]]&gt;=AW$2),1,0)</f>
        <v>0</v>
      </c>
      <c r="AX46" s="276" cm="1">
        <f t="array" ref="AX46">IF(AND(AX$2&lt;&gt;0,TblTech[[#This Row],[Hour]:[Hour]]&gt;=AX$2),1,0)</f>
        <v>0</v>
      </c>
      <c r="AY46" s="276" cm="1">
        <f t="array" ref="AY46">IF(AND(AY$2&lt;&gt;0,TblTech[[#This Row],[Hour]:[Hour]]&gt;=AY$2),1,0)</f>
        <v>0</v>
      </c>
      <c r="AZ46" s="276" cm="1">
        <f t="array" ref="AZ46">IF(AND(AZ$2&lt;&gt;0,TblTech[[#This Row],[Hour]:[Hour]]&gt;=AZ$2),1,0)</f>
        <v>0</v>
      </c>
      <c r="BA46" s="276" cm="1">
        <f t="array" ref="BA46">IF(AND(BA$2&lt;&gt;0,TblTech[[#This Row],[Hour]:[Hour]]&gt;=BA$2),1,0)</f>
        <v>0</v>
      </c>
      <c r="BB46" s="276" cm="1">
        <f t="array" ref="BB46">IF(AND(BB$2&lt;&gt;0,TblTech[[#This Row],[Hour]:[Hour]]&gt;=BB$2),1,0)</f>
        <v>0</v>
      </c>
      <c r="BC46" s="276" cm="1">
        <f t="array" ref="BC46">IF(AND(BC$2&lt;&gt;0,TblTech[[#This Row],[Hour]:[Hour]]&gt;=BC$2),1,0)</f>
        <v>0</v>
      </c>
      <c r="BD46" s="276" cm="1">
        <f t="array" ref="BD46">IF(AND(BD$2&lt;&gt;0,TblTech[[#This Row],[Hour]:[Hour]]&gt;=BD$2),1,0)</f>
        <v>0</v>
      </c>
      <c r="BE46" s="276" cm="1">
        <f t="array" ref="BE46">IF(AND(BE$2&lt;&gt;0,TblTech[[#This Row],[Hour]:[Hour]]&gt;=BE$2),1,0)</f>
        <v>0</v>
      </c>
      <c r="BF46" s="276" cm="1">
        <f t="array" ref="BF46">IF(AND(BF$2&lt;&gt;0,TblTech[[#This Row],[Hour]:[Hour]]&gt;=BF$2),1,0)</f>
        <v>0</v>
      </c>
      <c r="BG46" s="276" cm="1">
        <f t="array" ref="BG46">IF(AND(BG$2&lt;&gt;0,TblTech[[#This Row],[Hour]:[Hour]]&gt;=BG$2),1,0)</f>
        <v>0</v>
      </c>
      <c r="BH46" s="276" cm="1">
        <f t="array" ref="BH46">IF(AND(BH$2&lt;&gt;0,TblTech[[#This Row],[Hour]:[Hour]]&gt;=BH$2),1,0)</f>
        <v>0</v>
      </c>
      <c r="BI46" s="276" cm="1">
        <f t="array" ref="BI46">IF(AND(BI$2&lt;&gt;0,TblTech[[#This Row],[Hour]:[Hour]]&gt;=BI$2),1,0)</f>
        <v>0</v>
      </c>
      <c r="BJ46" s="276" cm="1">
        <f t="array" ref="BJ46">IF(AND(BJ$2&lt;&gt;0,TblTech[[#This Row],[Hour]:[Hour]]&gt;=BJ$2),1,0)</f>
        <v>0</v>
      </c>
      <c r="BK46" s="276" cm="1">
        <f t="array" ref="BK46">IF(AND(BK$2&lt;&gt;0,TblTech[[#This Row],[Hour]:[Hour]]&gt;=BK$2),1,0)</f>
        <v>0</v>
      </c>
      <c r="BL46" s="276" cm="1">
        <f t="array" ref="BL46">IF(AND(BL$2&lt;&gt;0,TblTech[[#This Row],[Hour]:[Hour]]&gt;=BL$2),1,0)</f>
        <v>0</v>
      </c>
      <c r="BM46" s="276" cm="1">
        <f t="array" ref="BM46">IF(AND(BM$2&lt;&gt;0,TblTech[[#This Row],[Hour]:[Hour]]&gt;=BM$2),1,0)</f>
        <v>0</v>
      </c>
      <c r="BN46" s="276" cm="1">
        <f t="array" ref="BN46">IF(AND(BN$2&lt;&gt;0,TblTech[[#This Row],[Hour]:[Hour]]&gt;=BN$2),1,0)</f>
        <v>0</v>
      </c>
      <c r="BO46" s="276" cm="1">
        <f t="array" ref="BO46">IF(AND(BO$2&lt;&gt;0,TblTech[[#This Row],[Hour]:[Hour]]&gt;=BO$2),1,0)</f>
        <v>0</v>
      </c>
      <c r="BP46" s="276" cm="1">
        <f t="array" ref="BP46">IF(AND(BP$2&lt;&gt;0,TblTech[[#This Row],[Hour]:[Hour]]&gt;=BP$2),1,0)</f>
        <v>0</v>
      </c>
      <c r="BQ46" s="276" cm="1">
        <f t="array" ref="BQ46">IF(AND(BQ$2&lt;&gt;0,TblTech[[#This Row],[Hour]:[Hour]]&gt;=BQ$2),1,0)</f>
        <v>0</v>
      </c>
      <c r="BR46" s="276" cm="1">
        <f t="array" ref="BR46">IF(AND(BR$2&lt;&gt;0,TblTech[[#This Row],[Hour]:[Hour]]&gt;=BR$2),1,0)</f>
        <v>0</v>
      </c>
      <c r="BS46" s="276" cm="1">
        <f t="array" ref="BS46">IF(AND(BS$2&lt;&gt;0,TblTech[[#This Row],[Hour]:[Hour]]&gt;=BS$2),1,0)</f>
        <v>0</v>
      </c>
      <c r="BT46" s="276" cm="1">
        <f t="array" ref="BT46">IF(AND(BT$2&lt;&gt;0,TblTech[[#This Row],[Hour]:[Hour]]&gt;=BT$2),1,0)</f>
        <v>0</v>
      </c>
      <c r="BU46" s="276" cm="1">
        <f t="array" ref="BU46">IF(AND(BU$2&lt;&gt;0,TblTech[[#This Row],[Hour]:[Hour]]&gt;=BU$2),1,0)</f>
        <v>0</v>
      </c>
      <c r="BV46" s="276" cm="1">
        <f t="array" ref="BV46">IF(AND(BV$2&lt;&gt;0,TblTech[[#This Row],[Hour]:[Hour]]&gt;=BV$2),1,0)</f>
        <v>0</v>
      </c>
      <c r="BW46" s="276" cm="1">
        <f t="array" ref="BW46">IF(AND(BW$2&lt;&gt;0,TblTech[[#This Row],[Hour]:[Hour]]&gt;=BW$2),1,0)</f>
        <v>0</v>
      </c>
      <c r="BX46" s="276" cm="1">
        <f t="array" ref="BX46">IF(AND(BX$2&lt;&gt;0,TblTech[[#This Row],[Hour]:[Hour]]&gt;=BX$2),1,0)</f>
        <v>0</v>
      </c>
      <c r="BY46" s="276" cm="1">
        <f t="array" ref="BY46">IF(AND(BY$2&lt;&gt;0,TblTech[[#This Row],[Hour]:[Hour]]&gt;=BY$2),1,0)</f>
        <v>0</v>
      </c>
      <c r="BZ46" s="276" cm="1">
        <f t="array" ref="BZ46">IF(AND(BZ$2&lt;&gt;0,TblTech[[#This Row],[Hour]:[Hour]]&gt;=BZ$2),1,0)</f>
        <v>0</v>
      </c>
      <c r="CA46" s="377">
        <f>IFERROR(INDEX($H$4:$H$79,MATCH(INDEX(TblTech[[#Headers],[1-1]:[11-1]],1,MATCH(TblTech[[#This Row],[Hour]],$M$2:$BZ$2,0)),$G$4:$G$79,0)),)</f>
        <v>0</v>
      </c>
    </row>
    <row r="47" spans="1:79" x14ac:dyDescent="0.2">
      <c r="A47" s="268">
        <f>TblRezone[[#This Row],[Hour]]</f>
        <v>44</v>
      </c>
      <c r="B47" s="269">
        <f ca="1">TblExplore[[#This Row],[Land-DB]]</f>
        <v>110</v>
      </c>
      <c r="C47" s="270">
        <f ca="1">TblProd[[#This Row],[Techpoints]]</f>
        <v>0</v>
      </c>
      <c r="D47" s="270">
        <f ca="1">TblProd[[#This Row],[Required]]</f>
        <v>3750</v>
      </c>
      <c r="E47" s="271"/>
      <c r="F47" s="272"/>
      <c r="G47" s="273" t="s">
        <v>588</v>
      </c>
      <c r="H47" s="274" t="s">
        <v>711</v>
      </c>
      <c r="I47" s="273" t="s">
        <v>1091</v>
      </c>
      <c r="J47" s="269"/>
      <c r="K47" s="93">
        <f ca="1">IF(TblTech[[#This Row],[Sum of tech]]&lt;&gt;OFFSET(TblTech[[#This Row],[Sum of tech]],-1,0),1,0)</f>
        <v>0</v>
      </c>
      <c r="L47" s="275">
        <f>COUNTIF(TblTech[[#This Row],[1-1]:[11-1]],1)</f>
        <v>0</v>
      </c>
      <c r="M47" s="276" cm="1">
        <f t="array" ref="M47">IF(AND(M$2&lt;&gt;0,TblTech[[#This Row],[Hour]:[Hour]]&gt;=M$2),1,0)</f>
        <v>0</v>
      </c>
      <c r="N47" s="276" cm="1">
        <f t="array" ref="N47">IF(AND(N$2&lt;&gt;0,TblTech[[#This Row],[Hour]:[Hour]]&gt;=N$2),1,0)</f>
        <v>0</v>
      </c>
      <c r="O47" s="276" cm="1">
        <f t="array" ref="O47">IF(AND(O$2&lt;&gt;0,TblTech[[#This Row],[Hour]:[Hour]]&gt;=O$2),1,0)</f>
        <v>0</v>
      </c>
      <c r="P47" s="276" cm="1">
        <f t="array" ref="P47">IF(AND(P$2&lt;&gt;0,TblTech[[#This Row],[Hour]:[Hour]]&gt;=P$2),1,0)</f>
        <v>0</v>
      </c>
      <c r="Q47" s="276" cm="1">
        <f t="array" ref="Q47">IF(AND(Q$2&lt;&gt;0,TblTech[[#This Row],[Hour]:[Hour]]&gt;=Q$2),1,0)</f>
        <v>0</v>
      </c>
      <c r="R47" s="276" cm="1">
        <f t="array" ref="R47">IF(AND(R$2&lt;&gt;0,TblTech[[#This Row],[Hour]:[Hour]]&gt;=R$2),1,0)</f>
        <v>0</v>
      </c>
      <c r="S47" s="276" cm="1">
        <f t="array" ref="S47">IF(AND(S$2&lt;&gt;0,TblTech[[#This Row],[Hour]:[Hour]]&gt;=S$2),1,0)</f>
        <v>0</v>
      </c>
      <c r="T47" s="276" cm="1">
        <f t="array" ref="T47">IF(AND(T$2&lt;&gt;0,TblTech[[#This Row],[Hour]:[Hour]]&gt;=T$2),1,0)</f>
        <v>0</v>
      </c>
      <c r="U47" s="276" cm="1">
        <f t="array" ref="U47">IF(AND(U$2&lt;&gt;0,TblTech[[#This Row],[Hour]:[Hour]]&gt;=U$2),1,0)</f>
        <v>0</v>
      </c>
      <c r="V47" s="276" cm="1">
        <f t="array" ref="V47">IF(AND(V$2&lt;&gt;0,TblTech[[#This Row],[Hour]:[Hour]]&gt;=V$2),1,0)</f>
        <v>0</v>
      </c>
      <c r="W47" s="276" cm="1">
        <f t="array" ref="W47">IF(AND(W$2&lt;&gt;0,TblTech[[#This Row],[Hour]:[Hour]]&gt;=W$2),1,0)</f>
        <v>0</v>
      </c>
      <c r="X47" s="276" cm="1">
        <f t="array" ref="X47">IF(AND(X$2&lt;&gt;0,TblTech[[#This Row],[Hour]:[Hour]]&gt;=X$2),1,0)</f>
        <v>0</v>
      </c>
      <c r="Y47" s="276" cm="1">
        <f t="array" ref="Y47">IF(AND(Y$2&lt;&gt;0,TblTech[[#This Row],[Hour]:[Hour]]&gt;=Y$2),1,0)</f>
        <v>0</v>
      </c>
      <c r="Z47" s="276" cm="1">
        <f t="array" ref="Z47">IF(AND(Z$2&lt;&gt;0,TblTech[[#This Row],[Hour]:[Hour]]&gt;=Z$2),1,0)</f>
        <v>0</v>
      </c>
      <c r="AA47" s="276" cm="1">
        <f t="array" ref="AA47">IF(AND(AA$2&lt;&gt;0,TblTech[[#This Row],[Hour]:[Hour]]&gt;=AA$2),1,0)</f>
        <v>0</v>
      </c>
      <c r="AB47" s="276" cm="1">
        <f t="array" ref="AB47">IF(AND(AB$2&lt;&gt;0,TblTech[[#This Row],[Hour]:[Hour]]&gt;=AB$2),1,0)</f>
        <v>0</v>
      </c>
      <c r="AC47" s="276" cm="1">
        <f t="array" ref="AC47">IF(AND(AC$2&lt;&gt;0,TblTech[[#This Row],[Hour]:[Hour]]&gt;=AC$2),1,0)</f>
        <v>0</v>
      </c>
      <c r="AD47" s="276" cm="1">
        <f t="array" ref="AD47">IF(AND(AD$2&lt;&gt;0,TblTech[[#This Row],[Hour]:[Hour]]&gt;=AD$2),1,0)</f>
        <v>0</v>
      </c>
      <c r="AE47" s="276" cm="1">
        <f t="array" ref="AE47">IF(AND(AE$2&lt;&gt;0,TblTech[[#This Row],[Hour]:[Hour]]&gt;=AE$2),1,0)</f>
        <v>0</v>
      </c>
      <c r="AF47" s="276" cm="1">
        <f t="array" ref="AF47">IF(AND(AF$2&lt;&gt;0,TblTech[[#This Row],[Hour]:[Hour]]&gt;=AF$2),1,0)</f>
        <v>0</v>
      </c>
      <c r="AG47" s="276" cm="1">
        <f t="array" ref="AG47">IF(AND(AG$2&lt;&gt;0,TblTech[[#This Row],[Hour]:[Hour]]&gt;=AG$2),1,0)</f>
        <v>0</v>
      </c>
      <c r="AH47" s="276" cm="1">
        <f t="array" ref="AH47">IF(AND(AH$2&lt;&gt;0,TblTech[[#This Row],[Hour]:[Hour]]&gt;=AH$2),1,0)</f>
        <v>0</v>
      </c>
      <c r="AI47" s="276" cm="1">
        <f t="array" ref="AI47">IF(AND(AI$2&lt;&gt;0,TblTech[[#This Row],[Hour]:[Hour]]&gt;=AI$2),1,0)</f>
        <v>0</v>
      </c>
      <c r="AJ47" s="276" cm="1">
        <f t="array" ref="AJ47">IF(AND(AJ$2&lt;&gt;0,TblTech[[#This Row],[Hour]:[Hour]]&gt;=AJ$2),1,0)</f>
        <v>0</v>
      </c>
      <c r="AK47" s="276" cm="1">
        <f t="array" ref="AK47">IF(AND(AK$2&lt;&gt;0,TblTech[[#This Row],[Hour]:[Hour]]&gt;=AK$2),1,0)</f>
        <v>0</v>
      </c>
      <c r="AL47" s="276" cm="1">
        <f t="array" ref="AL47">IF(AND(AL$2&lt;&gt;0,TblTech[[#This Row],[Hour]:[Hour]]&gt;=AL$2),1,0)</f>
        <v>0</v>
      </c>
      <c r="AM47" s="276" cm="1">
        <f t="array" ref="AM47">IF(AND(AM$2&lt;&gt;0,TblTech[[#This Row],[Hour]:[Hour]]&gt;=AM$2),1,0)</f>
        <v>0</v>
      </c>
      <c r="AN47" s="276" cm="1">
        <f t="array" ref="AN47">IF(AND(AN$2&lt;&gt;0,TblTech[[#This Row],[Hour]:[Hour]]&gt;=AN$2),1,0)</f>
        <v>0</v>
      </c>
      <c r="AO47" s="276" cm="1">
        <f t="array" ref="AO47">IF(AND(AO$2&lt;&gt;0,TblTech[[#This Row],[Hour]:[Hour]]&gt;=AO$2),1,0)</f>
        <v>0</v>
      </c>
      <c r="AP47" s="276" cm="1">
        <f t="array" ref="AP47">IF(AND(AP$2&lt;&gt;0,TblTech[[#This Row],[Hour]:[Hour]]&gt;=AP$2),1,0)</f>
        <v>0</v>
      </c>
      <c r="AQ47" s="276" cm="1">
        <f t="array" ref="AQ47">IF(AND(AQ$2&lt;&gt;0,TblTech[[#This Row],[Hour]:[Hour]]&gt;=AQ$2),1,0)</f>
        <v>0</v>
      </c>
      <c r="AR47" s="276" cm="1">
        <f t="array" ref="AR47">IF(AND(AR$2&lt;&gt;0,TblTech[[#This Row],[Hour]:[Hour]]&gt;=AR$2),1,0)</f>
        <v>0</v>
      </c>
      <c r="AS47" s="276" cm="1">
        <f t="array" ref="AS47">IF(AND(AS$2&lt;&gt;0,TblTech[[#This Row],[Hour]:[Hour]]&gt;=AS$2),1,0)</f>
        <v>0</v>
      </c>
      <c r="AT47" s="276" cm="1">
        <f t="array" ref="AT47">IF(AND(AT$2&lt;&gt;0,TblTech[[#This Row],[Hour]:[Hour]]&gt;=AT$2),1,0)</f>
        <v>0</v>
      </c>
      <c r="AU47" s="276" cm="1">
        <f t="array" ref="AU47">IF(AND(AU$2&lt;&gt;0,TblTech[[#This Row],[Hour]:[Hour]]&gt;=AU$2),1,0)</f>
        <v>0</v>
      </c>
      <c r="AV47" s="276" cm="1">
        <f t="array" ref="AV47">IF(AND(AV$2&lt;&gt;0,TblTech[[#This Row],[Hour]:[Hour]]&gt;=AV$2),1,0)</f>
        <v>0</v>
      </c>
      <c r="AW47" s="276" cm="1">
        <f t="array" ref="AW47">IF(AND(AW$2&lt;&gt;0,TblTech[[#This Row],[Hour]:[Hour]]&gt;=AW$2),1,0)</f>
        <v>0</v>
      </c>
      <c r="AX47" s="276" cm="1">
        <f t="array" ref="AX47">IF(AND(AX$2&lt;&gt;0,TblTech[[#This Row],[Hour]:[Hour]]&gt;=AX$2),1,0)</f>
        <v>0</v>
      </c>
      <c r="AY47" s="276" cm="1">
        <f t="array" ref="AY47">IF(AND(AY$2&lt;&gt;0,TblTech[[#This Row],[Hour]:[Hour]]&gt;=AY$2),1,0)</f>
        <v>0</v>
      </c>
      <c r="AZ47" s="276" cm="1">
        <f t="array" ref="AZ47">IF(AND(AZ$2&lt;&gt;0,TblTech[[#This Row],[Hour]:[Hour]]&gt;=AZ$2),1,0)</f>
        <v>0</v>
      </c>
      <c r="BA47" s="276" cm="1">
        <f t="array" ref="BA47">IF(AND(BA$2&lt;&gt;0,TblTech[[#This Row],[Hour]:[Hour]]&gt;=BA$2),1,0)</f>
        <v>0</v>
      </c>
      <c r="BB47" s="276" cm="1">
        <f t="array" ref="BB47">IF(AND(BB$2&lt;&gt;0,TblTech[[#This Row],[Hour]:[Hour]]&gt;=BB$2),1,0)</f>
        <v>0</v>
      </c>
      <c r="BC47" s="276" cm="1">
        <f t="array" ref="BC47">IF(AND(BC$2&lt;&gt;0,TblTech[[#This Row],[Hour]:[Hour]]&gt;=BC$2),1,0)</f>
        <v>0</v>
      </c>
      <c r="BD47" s="276" cm="1">
        <f t="array" ref="BD47">IF(AND(BD$2&lt;&gt;0,TblTech[[#This Row],[Hour]:[Hour]]&gt;=BD$2),1,0)</f>
        <v>0</v>
      </c>
      <c r="BE47" s="276" cm="1">
        <f t="array" ref="BE47">IF(AND(BE$2&lt;&gt;0,TblTech[[#This Row],[Hour]:[Hour]]&gt;=BE$2),1,0)</f>
        <v>0</v>
      </c>
      <c r="BF47" s="276" cm="1">
        <f t="array" ref="BF47">IF(AND(BF$2&lt;&gt;0,TblTech[[#This Row],[Hour]:[Hour]]&gt;=BF$2),1,0)</f>
        <v>0</v>
      </c>
      <c r="BG47" s="276" cm="1">
        <f t="array" ref="BG47">IF(AND(BG$2&lt;&gt;0,TblTech[[#This Row],[Hour]:[Hour]]&gt;=BG$2),1,0)</f>
        <v>0</v>
      </c>
      <c r="BH47" s="276" cm="1">
        <f t="array" ref="BH47">IF(AND(BH$2&lt;&gt;0,TblTech[[#This Row],[Hour]:[Hour]]&gt;=BH$2),1,0)</f>
        <v>0</v>
      </c>
      <c r="BI47" s="276" cm="1">
        <f t="array" ref="BI47">IF(AND(BI$2&lt;&gt;0,TblTech[[#This Row],[Hour]:[Hour]]&gt;=BI$2),1,0)</f>
        <v>0</v>
      </c>
      <c r="BJ47" s="276" cm="1">
        <f t="array" ref="BJ47">IF(AND(BJ$2&lt;&gt;0,TblTech[[#This Row],[Hour]:[Hour]]&gt;=BJ$2),1,0)</f>
        <v>0</v>
      </c>
      <c r="BK47" s="276" cm="1">
        <f t="array" ref="BK47">IF(AND(BK$2&lt;&gt;0,TblTech[[#This Row],[Hour]:[Hour]]&gt;=BK$2),1,0)</f>
        <v>0</v>
      </c>
      <c r="BL47" s="276" cm="1">
        <f t="array" ref="BL47">IF(AND(BL$2&lt;&gt;0,TblTech[[#This Row],[Hour]:[Hour]]&gt;=BL$2),1,0)</f>
        <v>0</v>
      </c>
      <c r="BM47" s="276" cm="1">
        <f t="array" ref="BM47">IF(AND(BM$2&lt;&gt;0,TblTech[[#This Row],[Hour]:[Hour]]&gt;=BM$2),1,0)</f>
        <v>0</v>
      </c>
      <c r="BN47" s="276" cm="1">
        <f t="array" ref="BN47">IF(AND(BN$2&lt;&gt;0,TblTech[[#This Row],[Hour]:[Hour]]&gt;=BN$2),1,0)</f>
        <v>0</v>
      </c>
      <c r="BO47" s="276" cm="1">
        <f t="array" ref="BO47">IF(AND(BO$2&lt;&gt;0,TblTech[[#This Row],[Hour]:[Hour]]&gt;=BO$2),1,0)</f>
        <v>0</v>
      </c>
      <c r="BP47" s="276" cm="1">
        <f t="array" ref="BP47">IF(AND(BP$2&lt;&gt;0,TblTech[[#This Row],[Hour]:[Hour]]&gt;=BP$2),1,0)</f>
        <v>0</v>
      </c>
      <c r="BQ47" s="276" cm="1">
        <f t="array" ref="BQ47">IF(AND(BQ$2&lt;&gt;0,TblTech[[#This Row],[Hour]:[Hour]]&gt;=BQ$2),1,0)</f>
        <v>0</v>
      </c>
      <c r="BR47" s="276" cm="1">
        <f t="array" ref="BR47">IF(AND(BR$2&lt;&gt;0,TblTech[[#This Row],[Hour]:[Hour]]&gt;=BR$2),1,0)</f>
        <v>0</v>
      </c>
      <c r="BS47" s="276" cm="1">
        <f t="array" ref="BS47">IF(AND(BS$2&lt;&gt;0,TblTech[[#This Row],[Hour]:[Hour]]&gt;=BS$2),1,0)</f>
        <v>0</v>
      </c>
      <c r="BT47" s="276" cm="1">
        <f t="array" ref="BT47">IF(AND(BT$2&lt;&gt;0,TblTech[[#This Row],[Hour]:[Hour]]&gt;=BT$2),1,0)</f>
        <v>0</v>
      </c>
      <c r="BU47" s="276" cm="1">
        <f t="array" ref="BU47">IF(AND(BU$2&lt;&gt;0,TblTech[[#This Row],[Hour]:[Hour]]&gt;=BU$2),1,0)</f>
        <v>0</v>
      </c>
      <c r="BV47" s="276" cm="1">
        <f t="array" ref="BV47">IF(AND(BV$2&lt;&gt;0,TblTech[[#This Row],[Hour]:[Hour]]&gt;=BV$2),1,0)</f>
        <v>0</v>
      </c>
      <c r="BW47" s="276" cm="1">
        <f t="array" ref="BW47">IF(AND(BW$2&lt;&gt;0,TblTech[[#This Row],[Hour]:[Hour]]&gt;=BW$2),1,0)</f>
        <v>0</v>
      </c>
      <c r="BX47" s="276" cm="1">
        <f t="array" ref="BX47">IF(AND(BX$2&lt;&gt;0,TblTech[[#This Row],[Hour]:[Hour]]&gt;=BX$2),1,0)</f>
        <v>0</v>
      </c>
      <c r="BY47" s="276" cm="1">
        <f t="array" ref="BY47">IF(AND(BY$2&lt;&gt;0,TblTech[[#This Row],[Hour]:[Hour]]&gt;=BY$2),1,0)</f>
        <v>0</v>
      </c>
      <c r="BZ47" s="276" cm="1">
        <f t="array" ref="BZ47">IF(AND(BZ$2&lt;&gt;0,TblTech[[#This Row],[Hour]:[Hour]]&gt;=BZ$2),1,0)</f>
        <v>0</v>
      </c>
      <c r="CA47" s="377">
        <f>IFERROR(INDEX($H$4:$H$79,MATCH(INDEX(TblTech[[#Headers],[1-1]:[11-1]],1,MATCH(TblTech[[#This Row],[Hour]],$M$2:$BZ$2,0)),$G$4:$G$79,0)),)</f>
        <v>0</v>
      </c>
    </row>
    <row r="48" spans="1:79" x14ac:dyDescent="0.2">
      <c r="A48" s="268">
        <f>TblRezone[[#This Row],[Hour]]</f>
        <v>45</v>
      </c>
      <c r="B48" s="269">
        <f ca="1">TblExplore[[#This Row],[Land-DB]]</f>
        <v>110</v>
      </c>
      <c r="C48" s="270">
        <f ca="1">TblProd[[#This Row],[Techpoints]]</f>
        <v>0</v>
      </c>
      <c r="D48" s="270">
        <f ca="1">TblProd[[#This Row],[Required]]</f>
        <v>3750</v>
      </c>
      <c r="E48" s="271"/>
      <c r="F48" s="272"/>
      <c r="G48" s="273" t="s">
        <v>589</v>
      </c>
      <c r="H48" s="274" t="s">
        <v>713</v>
      </c>
      <c r="I48" s="273" t="s">
        <v>1047</v>
      </c>
      <c r="J48" s="269"/>
      <c r="K48" s="93">
        <f ca="1">IF(TblTech[[#This Row],[Sum of tech]]&lt;&gt;OFFSET(TblTech[[#This Row],[Sum of tech]],-1,0),1,0)</f>
        <v>0</v>
      </c>
      <c r="L48" s="275">
        <f>COUNTIF(TblTech[[#This Row],[1-1]:[11-1]],1)</f>
        <v>0</v>
      </c>
      <c r="M48" s="276" cm="1">
        <f t="array" ref="M48">IF(AND(M$2&lt;&gt;0,TblTech[[#This Row],[Hour]:[Hour]]&gt;=M$2),1,0)</f>
        <v>0</v>
      </c>
      <c r="N48" s="276" cm="1">
        <f t="array" ref="N48">IF(AND(N$2&lt;&gt;0,TblTech[[#This Row],[Hour]:[Hour]]&gt;=N$2),1,0)</f>
        <v>0</v>
      </c>
      <c r="O48" s="276" cm="1">
        <f t="array" ref="O48">IF(AND(O$2&lt;&gt;0,TblTech[[#This Row],[Hour]:[Hour]]&gt;=O$2),1,0)</f>
        <v>0</v>
      </c>
      <c r="P48" s="276" cm="1">
        <f t="array" ref="P48">IF(AND(P$2&lt;&gt;0,TblTech[[#This Row],[Hour]:[Hour]]&gt;=P$2),1,0)</f>
        <v>0</v>
      </c>
      <c r="Q48" s="276" cm="1">
        <f t="array" ref="Q48">IF(AND(Q$2&lt;&gt;0,TblTech[[#This Row],[Hour]:[Hour]]&gt;=Q$2),1,0)</f>
        <v>0</v>
      </c>
      <c r="R48" s="276" cm="1">
        <f t="array" ref="R48">IF(AND(R$2&lt;&gt;0,TblTech[[#This Row],[Hour]:[Hour]]&gt;=R$2),1,0)</f>
        <v>0</v>
      </c>
      <c r="S48" s="276" cm="1">
        <f t="array" ref="S48">IF(AND(S$2&lt;&gt;0,TblTech[[#This Row],[Hour]:[Hour]]&gt;=S$2),1,0)</f>
        <v>0</v>
      </c>
      <c r="T48" s="276" cm="1">
        <f t="array" ref="T48">IF(AND(T$2&lt;&gt;0,TblTech[[#This Row],[Hour]:[Hour]]&gt;=T$2),1,0)</f>
        <v>0</v>
      </c>
      <c r="U48" s="276" cm="1">
        <f t="array" ref="U48">IF(AND(U$2&lt;&gt;0,TblTech[[#This Row],[Hour]:[Hour]]&gt;=U$2),1,0)</f>
        <v>0</v>
      </c>
      <c r="V48" s="276" cm="1">
        <f t="array" ref="V48">IF(AND(V$2&lt;&gt;0,TblTech[[#This Row],[Hour]:[Hour]]&gt;=V$2),1,0)</f>
        <v>0</v>
      </c>
      <c r="W48" s="276" cm="1">
        <f t="array" ref="W48">IF(AND(W$2&lt;&gt;0,TblTech[[#This Row],[Hour]:[Hour]]&gt;=W$2),1,0)</f>
        <v>0</v>
      </c>
      <c r="X48" s="276" cm="1">
        <f t="array" ref="X48">IF(AND(X$2&lt;&gt;0,TblTech[[#This Row],[Hour]:[Hour]]&gt;=X$2),1,0)</f>
        <v>0</v>
      </c>
      <c r="Y48" s="276" cm="1">
        <f t="array" ref="Y48">IF(AND(Y$2&lt;&gt;0,TblTech[[#This Row],[Hour]:[Hour]]&gt;=Y$2),1,0)</f>
        <v>0</v>
      </c>
      <c r="Z48" s="276" cm="1">
        <f t="array" ref="Z48">IF(AND(Z$2&lt;&gt;0,TblTech[[#This Row],[Hour]:[Hour]]&gt;=Z$2),1,0)</f>
        <v>0</v>
      </c>
      <c r="AA48" s="276" cm="1">
        <f t="array" ref="AA48">IF(AND(AA$2&lt;&gt;0,TblTech[[#This Row],[Hour]:[Hour]]&gt;=AA$2),1,0)</f>
        <v>0</v>
      </c>
      <c r="AB48" s="276" cm="1">
        <f t="array" ref="AB48">IF(AND(AB$2&lt;&gt;0,TblTech[[#This Row],[Hour]:[Hour]]&gt;=AB$2),1,0)</f>
        <v>0</v>
      </c>
      <c r="AC48" s="276" cm="1">
        <f t="array" ref="AC48">IF(AND(AC$2&lt;&gt;0,TblTech[[#This Row],[Hour]:[Hour]]&gt;=AC$2),1,0)</f>
        <v>0</v>
      </c>
      <c r="AD48" s="276" cm="1">
        <f t="array" ref="AD48">IF(AND(AD$2&lt;&gt;0,TblTech[[#This Row],[Hour]:[Hour]]&gt;=AD$2),1,0)</f>
        <v>0</v>
      </c>
      <c r="AE48" s="276" cm="1">
        <f t="array" ref="AE48">IF(AND(AE$2&lt;&gt;0,TblTech[[#This Row],[Hour]:[Hour]]&gt;=AE$2),1,0)</f>
        <v>0</v>
      </c>
      <c r="AF48" s="276" cm="1">
        <f t="array" ref="AF48">IF(AND(AF$2&lt;&gt;0,TblTech[[#This Row],[Hour]:[Hour]]&gt;=AF$2),1,0)</f>
        <v>0</v>
      </c>
      <c r="AG48" s="276" cm="1">
        <f t="array" ref="AG48">IF(AND(AG$2&lt;&gt;0,TblTech[[#This Row],[Hour]:[Hour]]&gt;=AG$2),1,0)</f>
        <v>0</v>
      </c>
      <c r="AH48" s="276" cm="1">
        <f t="array" ref="AH48">IF(AND(AH$2&lt;&gt;0,TblTech[[#This Row],[Hour]:[Hour]]&gt;=AH$2),1,0)</f>
        <v>0</v>
      </c>
      <c r="AI48" s="276" cm="1">
        <f t="array" ref="AI48">IF(AND(AI$2&lt;&gt;0,TblTech[[#This Row],[Hour]:[Hour]]&gt;=AI$2),1,0)</f>
        <v>0</v>
      </c>
      <c r="AJ48" s="276" cm="1">
        <f t="array" ref="AJ48">IF(AND(AJ$2&lt;&gt;0,TblTech[[#This Row],[Hour]:[Hour]]&gt;=AJ$2),1,0)</f>
        <v>0</v>
      </c>
      <c r="AK48" s="276" cm="1">
        <f t="array" ref="AK48">IF(AND(AK$2&lt;&gt;0,TblTech[[#This Row],[Hour]:[Hour]]&gt;=AK$2),1,0)</f>
        <v>0</v>
      </c>
      <c r="AL48" s="276" cm="1">
        <f t="array" ref="AL48">IF(AND(AL$2&lt;&gt;0,TblTech[[#This Row],[Hour]:[Hour]]&gt;=AL$2),1,0)</f>
        <v>0</v>
      </c>
      <c r="AM48" s="276" cm="1">
        <f t="array" ref="AM48">IF(AND(AM$2&lt;&gt;0,TblTech[[#This Row],[Hour]:[Hour]]&gt;=AM$2),1,0)</f>
        <v>0</v>
      </c>
      <c r="AN48" s="276" cm="1">
        <f t="array" ref="AN48">IF(AND(AN$2&lt;&gt;0,TblTech[[#This Row],[Hour]:[Hour]]&gt;=AN$2),1,0)</f>
        <v>0</v>
      </c>
      <c r="AO48" s="276" cm="1">
        <f t="array" ref="AO48">IF(AND(AO$2&lt;&gt;0,TblTech[[#This Row],[Hour]:[Hour]]&gt;=AO$2),1,0)</f>
        <v>0</v>
      </c>
      <c r="AP48" s="276" cm="1">
        <f t="array" ref="AP48">IF(AND(AP$2&lt;&gt;0,TblTech[[#This Row],[Hour]:[Hour]]&gt;=AP$2),1,0)</f>
        <v>0</v>
      </c>
      <c r="AQ48" s="276" cm="1">
        <f t="array" ref="AQ48">IF(AND(AQ$2&lt;&gt;0,TblTech[[#This Row],[Hour]:[Hour]]&gt;=AQ$2),1,0)</f>
        <v>0</v>
      </c>
      <c r="AR48" s="276" cm="1">
        <f t="array" ref="AR48">IF(AND(AR$2&lt;&gt;0,TblTech[[#This Row],[Hour]:[Hour]]&gt;=AR$2),1,0)</f>
        <v>0</v>
      </c>
      <c r="AS48" s="276" cm="1">
        <f t="array" ref="AS48">IF(AND(AS$2&lt;&gt;0,TblTech[[#This Row],[Hour]:[Hour]]&gt;=AS$2),1,0)</f>
        <v>0</v>
      </c>
      <c r="AT48" s="276" cm="1">
        <f t="array" ref="AT48">IF(AND(AT$2&lt;&gt;0,TblTech[[#This Row],[Hour]:[Hour]]&gt;=AT$2),1,0)</f>
        <v>0</v>
      </c>
      <c r="AU48" s="276" cm="1">
        <f t="array" ref="AU48">IF(AND(AU$2&lt;&gt;0,TblTech[[#This Row],[Hour]:[Hour]]&gt;=AU$2),1,0)</f>
        <v>0</v>
      </c>
      <c r="AV48" s="276" cm="1">
        <f t="array" ref="AV48">IF(AND(AV$2&lt;&gt;0,TblTech[[#This Row],[Hour]:[Hour]]&gt;=AV$2),1,0)</f>
        <v>0</v>
      </c>
      <c r="AW48" s="276" cm="1">
        <f t="array" ref="AW48">IF(AND(AW$2&lt;&gt;0,TblTech[[#This Row],[Hour]:[Hour]]&gt;=AW$2),1,0)</f>
        <v>0</v>
      </c>
      <c r="AX48" s="276" cm="1">
        <f t="array" ref="AX48">IF(AND(AX$2&lt;&gt;0,TblTech[[#This Row],[Hour]:[Hour]]&gt;=AX$2),1,0)</f>
        <v>0</v>
      </c>
      <c r="AY48" s="276" cm="1">
        <f t="array" ref="AY48">IF(AND(AY$2&lt;&gt;0,TblTech[[#This Row],[Hour]:[Hour]]&gt;=AY$2),1,0)</f>
        <v>0</v>
      </c>
      <c r="AZ48" s="276" cm="1">
        <f t="array" ref="AZ48">IF(AND(AZ$2&lt;&gt;0,TblTech[[#This Row],[Hour]:[Hour]]&gt;=AZ$2),1,0)</f>
        <v>0</v>
      </c>
      <c r="BA48" s="276" cm="1">
        <f t="array" ref="BA48">IF(AND(BA$2&lt;&gt;0,TblTech[[#This Row],[Hour]:[Hour]]&gt;=BA$2),1,0)</f>
        <v>0</v>
      </c>
      <c r="BB48" s="276" cm="1">
        <f t="array" ref="BB48">IF(AND(BB$2&lt;&gt;0,TblTech[[#This Row],[Hour]:[Hour]]&gt;=BB$2),1,0)</f>
        <v>0</v>
      </c>
      <c r="BC48" s="276" cm="1">
        <f t="array" ref="BC48">IF(AND(BC$2&lt;&gt;0,TblTech[[#This Row],[Hour]:[Hour]]&gt;=BC$2),1,0)</f>
        <v>0</v>
      </c>
      <c r="BD48" s="276" cm="1">
        <f t="array" ref="BD48">IF(AND(BD$2&lt;&gt;0,TblTech[[#This Row],[Hour]:[Hour]]&gt;=BD$2),1,0)</f>
        <v>0</v>
      </c>
      <c r="BE48" s="276" cm="1">
        <f t="array" ref="BE48">IF(AND(BE$2&lt;&gt;0,TblTech[[#This Row],[Hour]:[Hour]]&gt;=BE$2),1,0)</f>
        <v>0</v>
      </c>
      <c r="BF48" s="276" cm="1">
        <f t="array" ref="BF48">IF(AND(BF$2&lt;&gt;0,TblTech[[#This Row],[Hour]:[Hour]]&gt;=BF$2),1,0)</f>
        <v>0</v>
      </c>
      <c r="BG48" s="276" cm="1">
        <f t="array" ref="BG48">IF(AND(BG$2&lt;&gt;0,TblTech[[#This Row],[Hour]:[Hour]]&gt;=BG$2),1,0)</f>
        <v>0</v>
      </c>
      <c r="BH48" s="276" cm="1">
        <f t="array" ref="BH48">IF(AND(BH$2&lt;&gt;0,TblTech[[#This Row],[Hour]:[Hour]]&gt;=BH$2),1,0)</f>
        <v>0</v>
      </c>
      <c r="BI48" s="276" cm="1">
        <f t="array" ref="BI48">IF(AND(BI$2&lt;&gt;0,TblTech[[#This Row],[Hour]:[Hour]]&gt;=BI$2),1,0)</f>
        <v>0</v>
      </c>
      <c r="BJ48" s="276" cm="1">
        <f t="array" ref="BJ48">IF(AND(BJ$2&lt;&gt;0,TblTech[[#This Row],[Hour]:[Hour]]&gt;=BJ$2),1,0)</f>
        <v>0</v>
      </c>
      <c r="BK48" s="276" cm="1">
        <f t="array" ref="BK48">IF(AND(BK$2&lt;&gt;0,TblTech[[#This Row],[Hour]:[Hour]]&gt;=BK$2),1,0)</f>
        <v>0</v>
      </c>
      <c r="BL48" s="276" cm="1">
        <f t="array" ref="BL48">IF(AND(BL$2&lt;&gt;0,TblTech[[#This Row],[Hour]:[Hour]]&gt;=BL$2),1,0)</f>
        <v>0</v>
      </c>
      <c r="BM48" s="276" cm="1">
        <f t="array" ref="BM48">IF(AND(BM$2&lt;&gt;0,TblTech[[#This Row],[Hour]:[Hour]]&gt;=BM$2),1,0)</f>
        <v>0</v>
      </c>
      <c r="BN48" s="276" cm="1">
        <f t="array" ref="BN48">IF(AND(BN$2&lt;&gt;0,TblTech[[#This Row],[Hour]:[Hour]]&gt;=BN$2),1,0)</f>
        <v>0</v>
      </c>
      <c r="BO48" s="276" cm="1">
        <f t="array" ref="BO48">IF(AND(BO$2&lt;&gt;0,TblTech[[#This Row],[Hour]:[Hour]]&gt;=BO$2),1,0)</f>
        <v>0</v>
      </c>
      <c r="BP48" s="276" cm="1">
        <f t="array" ref="BP48">IF(AND(BP$2&lt;&gt;0,TblTech[[#This Row],[Hour]:[Hour]]&gt;=BP$2),1,0)</f>
        <v>0</v>
      </c>
      <c r="BQ48" s="276" cm="1">
        <f t="array" ref="BQ48">IF(AND(BQ$2&lt;&gt;0,TblTech[[#This Row],[Hour]:[Hour]]&gt;=BQ$2),1,0)</f>
        <v>0</v>
      </c>
      <c r="BR48" s="276" cm="1">
        <f t="array" ref="BR48">IF(AND(BR$2&lt;&gt;0,TblTech[[#This Row],[Hour]:[Hour]]&gt;=BR$2),1,0)</f>
        <v>0</v>
      </c>
      <c r="BS48" s="276" cm="1">
        <f t="array" ref="BS48">IF(AND(BS$2&lt;&gt;0,TblTech[[#This Row],[Hour]:[Hour]]&gt;=BS$2),1,0)</f>
        <v>0</v>
      </c>
      <c r="BT48" s="276" cm="1">
        <f t="array" ref="BT48">IF(AND(BT$2&lt;&gt;0,TblTech[[#This Row],[Hour]:[Hour]]&gt;=BT$2),1,0)</f>
        <v>0</v>
      </c>
      <c r="BU48" s="276" cm="1">
        <f t="array" ref="BU48">IF(AND(BU$2&lt;&gt;0,TblTech[[#This Row],[Hour]:[Hour]]&gt;=BU$2),1,0)</f>
        <v>0</v>
      </c>
      <c r="BV48" s="276" cm="1">
        <f t="array" ref="BV48">IF(AND(BV$2&lt;&gt;0,TblTech[[#This Row],[Hour]:[Hour]]&gt;=BV$2),1,0)</f>
        <v>0</v>
      </c>
      <c r="BW48" s="276" cm="1">
        <f t="array" ref="BW48">IF(AND(BW$2&lt;&gt;0,TblTech[[#This Row],[Hour]:[Hour]]&gt;=BW$2),1,0)</f>
        <v>0</v>
      </c>
      <c r="BX48" s="276" cm="1">
        <f t="array" ref="BX48">IF(AND(BX$2&lt;&gt;0,TblTech[[#This Row],[Hour]:[Hour]]&gt;=BX$2),1,0)</f>
        <v>0</v>
      </c>
      <c r="BY48" s="276" cm="1">
        <f t="array" ref="BY48">IF(AND(BY$2&lt;&gt;0,TblTech[[#This Row],[Hour]:[Hour]]&gt;=BY$2),1,0)</f>
        <v>0</v>
      </c>
      <c r="BZ48" s="276" cm="1">
        <f t="array" ref="BZ48">IF(AND(BZ$2&lt;&gt;0,TblTech[[#This Row],[Hour]:[Hour]]&gt;=BZ$2),1,0)</f>
        <v>0</v>
      </c>
      <c r="CA48" s="377">
        <f>IFERROR(INDEX($H$4:$H$79,MATCH(INDEX(TblTech[[#Headers],[1-1]:[11-1]],1,MATCH(TblTech[[#This Row],[Hour]],$M$2:$BZ$2,0)),$G$4:$G$79,0)),)</f>
        <v>0</v>
      </c>
    </row>
    <row r="49" spans="1:79" x14ac:dyDescent="0.2">
      <c r="A49" s="268">
        <f>TblRezone[[#This Row],[Hour]]</f>
        <v>46</v>
      </c>
      <c r="B49" s="269">
        <f ca="1">TblExplore[[#This Row],[Land-DB]]</f>
        <v>110</v>
      </c>
      <c r="C49" s="270">
        <f ca="1">TblProd[[#This Row],[Techpoints]]</f>
        <v>0</v>
      </c>
      <c r="D49" s="270">
        <f ca="1">TblProd[[#This Row],[Required]]</f>
        <v>3750</v>
      </c>
      <c r="E49" s="271"/>
      <c r="F49" s="272"/>
      <c r="G49" s="273" t="s">
        <v>590</v>
      </c>
      <c r="H49" s="274" t="s">
        <v>714</v>
      </c>
      <c r="I49" s="273" t="s">
        <v>627</v>
      </c>
      <c r="J49" s="269"/>
      <c r="K49" s="93">
        <f ca="1">IF(TblTech[[#This Row],[Sum of tech]]&lt;&gt;OFFSET(TblTech[[#This Row],[Sum of tech]],-1,0),1,0)</f>
        <v>0</v>
      </c>
      <c r="L49" s="275">
        <f>COUNTIF(TblTech[[#This Row],[1-1]:[11-1]],1)</f>
        <v>0</v>
      </c>
      <c r="M49" s="276" cm="1">
        <f t="array" ref="M49">IF(AND(M$2&lt;&gt;0,TblTech[[#This Row],[Hour]:[Hour]]&gt;=M$2),1,0)</f>
        <v>0</v>
      </c>
      <c r="N49" s="276" cm="1">
        <f t="array" ref="N49">IF(AND(N$2&lt;&gt;0,TblTech[[#This Row],[Hour]:[Hour]]&gt;=N$2),1,0)</f>
        <v>0</v>
      </c>
      <c r="O49" s="276" cm="1">
        <f t="array" ref="O49">IF(AND(O$2&lt;&gt;0,TblTech[[#This Row],[Hour]:[Hour]]&gt;=O$2),1,0)</f>
        <v>0</v>
      </c>
      <c r="P49" s="276" cm="1">
        <f t="array" ref="P49">IF(AND(P$2&lt;&gt;0,TblTech[[#This Row],[Hour]:[Hour]]&gt;=P$2),1,0)</f>
        <v>0</v>
      </c>
      <c r="Q49" s="276" cm="1">
        <f t="array" ref="Q49">IF(AND(Q$2&lt;&gt;0,TblTech[[#This Row],[Hour]:[Hour]]&gt;=Q$2),1,0)</f>
        <v>0</v>
      </c>
      <c r="R49" s="276" cm="1">
        <f t="array" ref="R49">IF(AND(R$2&lt;&gt;0,TblTech[[#This Row],[Hour]:[Hour]]&gt;=R$2),1,0)</f>
        <v>0</v>
      </c>
      <c r="S49" s="276" cm="1">
        <f t="array" ref="S49">IF(AND(S$2&lt;&gt;0,TblTech[[#This Row],[Hour]:[Hour]]&gt;=S$2),1,0)</f>
        <v>0</v>
      </c>
      <c r="T49" s="276" cm="1">
        <f t="array" ref="T49">IF(AND(T$2&lt;&gt;0,TblTech[[#This Row],[Hour]:[Hour]]&gt;=T$2),1,0)</f>
        <v>0</v>
      </c>
      <c r="U49" s="276" cm="1">
        <f t="array" ref="U49">IF(AND(U$2&lt;&gt;0,TblTech[[#This Row],[Hour]:[Hour]]&gt;=U$2),1,0)</f>
        <v>0</v>
      </c>
      <c r="V49" s="276" cm="1">
        <f t="array" ref="V49">IF(AND(V$2&lt;&gt;0,TblTech[[#This Row],[Hour]:[Hour]]&gt;=V$2),1,0)</f>
        <v>0</v>
      </c>
      <c r="W49" s="276" cm="1">
        <f t="array" ref="W49">IF(AND(W$2&lt;&gt;0,TblTech[[#This Row],[Hour]:[Hour]]&gt;=W$2),1,0)</f>
        <v>0</v>
      </c>
      <c r="X49" s="276" cm="1">
        <f t="array" ref="X49">IF(AND(X$2&lt;&gt;0,TblTech[[#This Row],[Hour]:[Hour]]&gt;=X$2),1,0)</f>
        <v>0</v>
      </c>
      <c r="Y49" s="276" cm="1">
        <f t="array" ref="Y49">IF(AND(Y$2&lt;&gt;0,TblTech[[#This Row],[Hour]:[Hour]]&gt;=Y$2),1,0)</f>
        <v>0</v>
      </c>
      <c r="Z49" s="276" cm="1">
        <f t="array" ref="Z49">IF(AND(Z$2&lt;&gt;0,TblTech[[#This Row],[Hour]:[Hour]]&gt;=Z$2),1,0)</f>
        <v>0</v>
      </c>
      <c r="AA49" s="276" cm="1">
        <f t="array" ref="AA49">IF(AND(AA$2&lt;&gt;0,TblTech[[#This Row],[Hour]:[Hour]]&gt;=AA$2),1,0)</f>
        <v>0</v>
      </c>
      <c r="AB49" s="276" cm="1">
        <f t="array" ref="AB49">IF(AND(AB$2&lt;&gt;0,TblTech[[#This Row],[Hour]:[Hour]]&gt;=AB$2),1,0)</f>
        <v>0</v>
      </c>
      <c r="AC49" s="276" cm="1">
        <f t="array" ref="AC49">IF(AND(AC$2&lt;&gt;0,TblTech[[#This Row],[Hour]:[Hour]]&gt;=AC$2),1,0)</f>
        <v>0</v>
      </c>
      <c r="AD49" s="276" cm="1">
        <f t="array" ref="AD49">IF(AND(AD$2&lt;&gt;0,TblTech[[#This Row],[Hour]:[Hour]]&gt;=AD$2),1,0)</f>
        <v>0</v>
      </c>
      <c r="AE49" s="276" cm="1">
        <f t="array" ref="AE49">IF(AND(AE$2&lt;&gt;0,TblTech[[#This Row],[Hour]:[Hour]]&gt;=AE$2),1,0)</f>
        <v>0</v>
      </c>
      <c r="AF49" s="276" cm="1">
        <f t="array" ref="AF49">IF(AND(AF$2&lt;&gt;0,TblTech[[#This Row],[Hour]:[Hour]]&gt;=AF$2),1,0)</f>
        <v>0</v>
      </c>
      <c r="AG49" s="276" cm="1">
        <f t="array" ref="AG49">IF(AND(AG$2&lt;&gt;0,TblTech[[#This Row],[Hour]:[Hour]]&gt;=AG$2),1,0)</f>
        <v>0</v>
      </c>
      <c r="AH49" s="276" cm="1">
        <f t="array" ref="AH49">IF(AND(AH$2&lt;&gt;0,TblTech[[#This Row],[Hour]:[Hour]]&gt;=AH$2),1,0)</f>
        <v>0</v>
      </c>
      <c r="AI49" s="276" cm="1">
        <f t="array" ref="AI49">IF(AND(AI$2&lt;&gt;0,TblTech[[#This Row],[Hour]:[Hour]]&gt;=AI$2),1,0)</f>
        <v>0</v>
      </c>
      <c r="AJ49" s="276" cm="1">
        <f t="array" ref="AJ49">IF(AND(AJ$2&lt;&gt;0,TblTech[[#This Row],[Hour]:[Hour]]&gt;=AJ$2),1,0)</f>
        <v>0</v>
      </c>
      <c r="AK49" s="276" cm="1">
        <f t="array" ref="AK49">IF(AND(AK$2&lt;&gt;0,TblTech[[#This Row],[Hour]:[Hour]]&gt;=AK$2),1,0)</f>
        <v>0</v>
      </c>
      <c r="AL49" s="276" cm="1">
        <f t="array" ref="AL49">IF(AND(AL$2&lt;&gt;0,TblTech[[#This Row],[Hour]:[Hour]]&gt;=AL$2),1,0)</f>
        <v>0</v>
      </c>
      <c r="AM49" s="276" cm="1">
        <f t="array" ref="AM49">IF(AND(AM$2&lt;&gt;0,TblTech[[#This Row],[Hour]:[Hour]]&gt;=AM$2),1,0)</f>
        <v>0</v>
      </c>
      <c r="AN49" s="276" cm="1">
        <f t="array" ref="AN49">IF(AND(AN$2&lt;&gt;0,TblTech[[#This Row],[Hour]:[Hour]]&gt;=AN$2),1,0)</f>
        <v>0</v>
      </c>
      <c r="AO49" s="276" cm="1">
        <f t="array" ref="AO49">IF(AND(AO$2&lt;&gt;0,TblTech[[#This Row],[Hour]:[Hour]]&gt;=AO$2),1,0)</f>
        <v>0</v>
      </c>
      <c r="AP49" s="276" cm="1">
        <f t="array" ref="AP49">IF(AND(AP$2&lt;&gt;0,TblTech[[#This Row],[Hour]:[Hour]]&gt;=AP$2),1,0)</f>
        <v>0</v>
      </c>
      <c r="AQ49" s="276" cm="1">
        <f t="array" ref="AQ49">IF(AND(AQ$2&lt;&gt;0,TblTech[[#This Row],[Hour]:[Hour]]&gt;=AQ$2),1,0)</f>
        <v>0</v>
      </c>
      <c r="AR49" s="276" cm="1">
        <f t="array" ref="AR49">IF(AND(AR$2&lt;&gt;0,TblTech[[#This Row],[Hour]:[Hour]]&gt;=AR$2),1,0)</f>
        <v>0</v>
      </c>
      <c r="AS49" s="276" cm="1">
        <f t="array" ref="AS49">IF(AND(AS$2&lt;&gt;0,TblTech[[#This Row],[Hour]:[Hour]]&gt;=AS$2),1,0)</f>
        <v>0</v>
      </c>
      <c r="AT49" s="276" cm="1">
        <f t="array" ref="AT49">IF(AND(AT$2&lt;&gt;0,TblTech[[#This Row],[Hour]:[Hour]]&gt;=AT$2),1,0)</f>
        <v>0</v>
      </c>
      <c r="AU49" s="276" cm="1">
        <f t="array" ref="AU49">IF(AND(AU$2&lt;&gt;0,TblTech[[#This Row],[Hour]:[Hour]]&gt;=AU$2),1,0)</f>
        <v>0</v>
      </c>
      <c r="AV49" s="276" cm="1">
        <f t="array" ref="AV49">IF(AND(AV$2&lt;&gt;0,TblTech[[#This Row],[Hour]:[Hour]]&gt;=AV$2),1,0)</f>
        <v>0</v>
      </c>
      <c r="AW49" s="276" cm="1">
        <f t="array" ref="AW49">IF(AND(AW$2&lt;&gt;0,TblTech[[#This Row],[Hour]:[Hour]]&gt;=AW$2),1,0)</f>
        <v>0</v>
      </c>
      <c r="AX49" s="276" cm="1">
        <f t="array" ref="AX49">IF(AND(AX$2&lt;&gt;0,TblTech[[#This Row],[Hour]:[Hour]]&gt;=AX$2),1,0)</f>
        <v>0</v>
      </c>
      <c r="AY49" s="276" cm="1">
        <f t="array" ref="AY49">IF(AND(AY$2&lt;&gt;0,TblTech[[#This Row],[Hour]:[Hour]]&gt;=AY$2),1,0)</f>
        <v>0</v>
      </c>
      <c r="AZ49" s="276" cm="1">
        <f t="array" ref="AZ49">IF(AND(AZ$2&lt;&gt;0,TblTech[[#This Row],[Hour]:[Hour]]&gt;=AZ$2),1,0)</f>
        <v>0</v>
      </c>
      <c r="BA49" s="276" cm="1">
        <f t="array" ref="BA49">IF(AND(BA$2&lt;&gt;0,TblTech[[#This Row],[Hour]:[Hour]]&gt;=BA$2),1,0)</f>
        <v>0</v>
      </c>
      <c r="BB49" s="276" cm="1">
        <f t="array" ref="BB49">IF(AND(BB$2&lt;&gt;0,TblTech[[#This Row],[Hour]:[Hour]]&gt;=BB$2),1,0)</f>
        <v>0</v>
      </c>
      <c r="BC49" s="276" cm="1">
        <f t="array" ref="BC49">IF(AND(BC$2&lt;&gt;0,TblTech[[#This Row],[Hour]:[Hour]]&gt;=BC$2),1,0)</f>
        <v>0</v>
      </c>
      <c r="BD49" s="276" cm="1">
        <f t="array" ref="BD49">IF(AND(BD$2&lt;&gt;0,TblTech[[#This Row],[Hour]:[Hour]]&gt;=BD$2),1,0)</f>
        <v>0</v>
      </c>
      <c r="BE49" s="276" cm="1">
        <f t="array" ref="BE49">IF(AND(BE$2&lt;&gt;0,TblTech[[#This Row],[Hour]:[Hour]]&gt;=BE$2),1,0)</f>
        <v>0</v>
      </c>
      <c r="BF49" s="276" cm="1">
        <f t="array" ref="BF49">IF(AND(BF$2&lt;&gt;0,TblTech[[#This Row],[Hour]:[Hour]]&gt;=BF$2),1,0)</f>
        <v>0</v>
      </c>
      <c r="BG49" s="276" cm="1">
        <f t="array" ref="BG49">IF(AND(BG$2&lt;&gt;0,TblTech[[#This Row],[Hour]:[Hour]]&gt;=BG$2),1,0)</f>
        <v>0</v>
      </c>
      <c r="BH49" s="276" cm="1">
        <f t="array" ref="BH49">IF(AND(BH$2&lt;&gt;0,TblTech[[#This Row],[Hour]:[Hour]]&gt;=BH$2),1,0)</f>
        <v>0</v>
      </c>
      <c r="BI49" s="276" cm="1">
        <f t="array" ref="BI49">IF(AND(BI$2&lt;&gt;0,TblTech[[#This Row],[Hour]:[Hour]]&gt;=BI$2),1,0)</f>
        <v>0</v>
      </c>
      <c r="BJ49" s="276" cm="1">
        <f t="array" ref="BJ49">IF(AND(BJ$2&lt;&gt;0,TblTech[[#This Row],[Hour]:[Hour]]&gt;=BJ$2),1,0)</f>
        <v>0</v>
      </c>
      <c r="BK49" s="276" cm="1">
        <f t="array" ref="BK49">IF(AND(BK$2&lt;&gt;0,TblTech[[#This Row],[Hour]:[Hour]]&gt;=BK$2),1,0)</f>
        <v>0</v>
      </c>
      <c r="BL49" s="276" cm="1">
        <f t="array" ref="BL49">IF(AND(BL$2&lt;&gt;0,TblTech[[#This Row],[Hour]:[Hour]]&gt;=BL$2),1,0)</f>
        <v>0</v>
      </c>
      <c r="BM49" s="276" cm="1">
        <f t="array" ref="BM49">IF(AND(BM$2&lt;&gt;0,TblTech[[#This Row],[Hour]:[Hour]]&gt;=BM$2),1,0)</f>
        <v>0</v>
      </c>
      <c r="BN49" s="276" cm="1">
        <f t="array" ref="BN49">IF(AND(BN$2&lt;&gt;0,TblTech[[#This Row],[Hour]:[Hour]]&gt;=BN$2),1,0)</f>
        <v>0</v>
      </c>
      <c r="BO49" s="276" cm="1">
        <f t="array" ref="BO49">IF(AND(BO$2&lt;&gt;0,TblTech[[#This Row],[Hour]:[Hour]]&gt;=BO$2),1,0)</f>
        <v>0</v>
      </c>
      <c r="BP49" s="276" cm="1">
        <f t="array" ref="BP49">IF(AND(BP$2&lt;&gt;0,TblTech[[#This Row],[Hour]:[Hour]]&gt;=BP$2),1,0)</f>
        <v>0</v>
      </c>
      <c r="BQ49" s="276" cm="1">
        <f t="array" ref="BQ49">IF(AND(BQ$2&lt;&gt;0,TblTech[[#This Row],[Hour]:[Hour]]&gt;=BQ$2),1,0)</f>
        <v>0</v>
      </c>
      <c r="BR49" s="276" cm="1">
        <f t="array" ref="BR49">IF(AND(BR$2&lt;&gt;0,TblTech[[#This Row],[Hour]:[Hour]]&gt;=BR$2),1,0)</f>
        <v>0</v>
      </c>
      <c r="BS49" s="276" cm="1">
        <f t="array" ref="BS49">IF(AND(BS$2&lt;&gt;0,TblTech[[#This Row],[Hour]:[Hour]]&gt;=BS$2),1,0)</f>
        <v>0</v>
      </c>
      <c r="BT49" s="276" cm="1">
        <f t="array" ref="BT49">IF(AND(BT$2&lt;&gt;0,TblTech[[#This Row],[Hour]:[Hour]]&gt;=BT$2),1,0)</f>
        <v>0</v>
      </c>
      <c r="BU49" s="276" cm="1">
        <f t="array" ref="BU49">IF(AND(BU$2&lt;&gt;0,TblTech[[#This Row],[Hour]:[Hour]]&gt;=BU$2),1,0)</f>
        <v>0</v>
      </c>
      <c r="BV49" s="276" cm="1">
        <f t="array" ref="BV49">IF(AND(BV$2&lt;&gt;0,TblTech[[#This Row],[Hour]:[Hour]]&gt;=BV$2),1,0)</f>
        <v>0</v>
      </c>
      <c r="BW49" s="276" cm="1">
        <f t="array" ref="BW49">IF(AND(BW$2&lt;&gt;0,TblTech[[#This Row],[Hour]:[Hour]]&gt;=BW$2),1,0)</f>
        <v>0</v>
      </c>
      <c r="BX49" s="276" cm="1">
        <f t="array" ref="BX49">IF(AND(BX$2&lt;&gt;0,TblTech[[#This Row],[Hour]:[Hour]]&gt;=BX$2),1,0)</f>
        <v>0</v>
      </c>
      <c r="BY49" s="276" cm="1">
        <f t="array" ref="BY49">IF(AND(BY$2&lt;&gt;0,TblTech[[#This Row],[Hour]:[Hour]]&gt;=BY$2),1,0)</f>
        <v>0</v>
      </c>
      <c r="BZ49" s="276" cm="1">
        <f t="array" ref="BZ49">IF(AND(BZ$2&lt;&gt;0,TblTech[[#This Row],[Hour]:[Hour]]&gt;=BZ$2),1,0)</f>
        <v>0</v>
      </c>
      <c r="CA49" s="377">
        <f>IFERROR(INDEX($H$4:$H$79,MATCH(INDEX(TblTech[[#Headers],[1-1]:[11-1]],1,MATCH(TblTech[[#This Row],[Hour]],$M$2:$BZ$2,0)),$G$4:$G$79,0)),)</f>
        <v>0</v>
      </c>
    </row>
    <row r="50" spans="1:79" x14ac:dyDescent="0.2">
      <c r="A50" s="268">
        <f>TblRezone[[#This Row],[Hour]]</f>
        <v>47</v>
      </c>
      <c r="B50" s="269">
        <f ca="1">TblExplore[[#This Row],[Land-DB]]</f>
        <v>110</v>
      </c>
      <c r="C50" s="270">
        <f ca="1">TblProd[[#This Row],[Techpoints]]</f>
        <v>0</v>
      </c>
      <c r="D50" s="270">
        <f ca="1">TblProd[[#This Row],[Required]]</f>
        <v>3750</v>
      </c>
      <c r="E50" s="271"/>
      <c r="F50" s="272"/>
      <c r="G50" s="273" t="s">
        <v>591</v>
      </c>
      <c r="H50" s="274" t="s">
        <v>715</v>
      </c>
      <c r="I50" s="273" t="s">
        <v>1047</v>
      </c>
      <c r="J50" s="269"/>
      <c r="K50" s="93">
        <f ca="1">IF(TblTech[[#This Row],[Sum of tech]]&lt;&gt;OFFSET(TblTech[[#This Row],[Sum of tech]],-1,0),1,0)</f>
        <v>0</v>
      </c>
      <c r="L50" s="275">
        <f>COUNTIF(TblTech[[#This Row],[1-1]:[11-1]],1)</f>
        <v>0</v>
      </c>
      <c r="M50" s="276" cm="1">
        <f t="array" ref="M50">IF(AND(M$2&lt;&gt;0,TblTech[[#This Row],[Hour]:[Hour]]&gt;=M$2),1,0)</f>
        <v>0</v>
      </c>
      <c r="N50" s="276" cm="1">
        <f t="array" ref="N50">IF(AND(N$2&lt;&gt;0,TblTech[[#This Row],[Hour]:[Hour]]&gt;=N$2),1,0)</f>
        <v>0</v>
      </c>
      <c r="O50" s="276" cm="1">
        <f t="array" ref="O50">IF(AND(O$2&lt;&gt;0,TblTech[[#This Row],[Hour]:[Hour]]&gt;=O$2),1,0)</f>
        <v>0</v>
      </c>
      <c r="P50" s="276" cm="1">
        <f t="array" ref="P50">IF(AND(P$2&lt;&gt;0,TblTech[[#This Row],[Hour]:[Hour]]&gt;=P$2),1,0)</f>
        <v>0</v>
      </c>
      <c r="Q50" s="276" cm="1">
        <f t="array" ref="Q50">IF(AND(Q$2&lt;&gt;0,TblTech[[#This Row],[Hour]:[Hour]]&gt;=Q$2),1,0)</f>
        <v>0</v>
      </c>
      <c r="R50" s="276" cm="1">
        <f t="array" ref="R50">IF(AND(R$2&lt;&gt;0,TblTech[[#This Row],[Hour]:[Hour]]&gt;=R$2),1,0)</f>
        <v>0</v>
      </c>
      <c r="S50" s="276" cm="1">
        <f t="array" ref="S50">IF(AND(S$2&lt;&gt;0,TblTech[[#This Row],[Hour]:[Hour]]&gt;=S$2),1,0)</f>
        <v>0</v>
      </c>
      <c r="T50" s="276" cm="1">
        <f t="array" ref="T50">IF(AND(T$2&lt;&gt;0,TblTech[[#This Row],[Hour]:[Hour]]&gt;=T$2),1,0)</f>
        <v>0</v>
      </c>
      <c r="U50" s="276" cm="1">
        <f t="array" ref="U50">IF(AND(U$2&lt;&gt;0,TblTech[[#This Row],[Hour]:[Hour]]&gt;=U$2),1,0)</f>
        <v>0</v>
      </c>
      <c r="V50" s="276" cm="1">
        <f t="array" ref="V50">IF(AND(V$2&lt;&gt;0,TblTech[[#This Row],[Hour]:[Hour]]&gt;=V$2),1,0)</f>
        <v>0</v>
      </c>
      <c r="W50" s="276" cm="1">
        <f t="array" ref="W50">IF(AND(W$2&lt;&gt;0,TblTech[[#This Row],[Hour]:[Hour]]&gt;=W$2),1,0)</f>
        <v>0</v>
      </c>
      <c r="X50" s="276" cm="1">
        <f t="array" ref="X50">IF(AND(X$2&lt;&gt;0,TblTech[[#This Row],[Hour]:[Hour]]&gt;=X$2),1,0)</f>
        <v>0</v>
      </c>
      <c r="Y50" s="276" cm="1">
        <f t="array" ref="Y50">IF(AND(Y$2&lt;&gt;0,TblTech[[#This Row],[Hour]:[Hour]]&gt;=Y$2),1,0)</f>
        <v>0</v>
      </c>
      <c r="Z50" s="276" cm="1">
        <f t="array" ref="Z50">IF(AND(Z$2&lt;&gt;0,TblTech[[#This Row],[Hour]:[Hour]]&gt;=Z$2),1,0)</f>
        <v>0</v>
      </c>
      <c r="AA50" s="276" cm="1">
        <f t="array" ref="AA50">IF(AND(AA$2&lt;&gt;0,TblTech[[#This Row],[Hour]:[Hour]]&gt;=AA$2),1,0)</f>
        <v>0</v>
      </c>
      <c r="AB50" s="276" cm="1">
        <f t="array" ref="AB50">IF(AND(AB$2&lt;&gt;0,TblTech[[#This Row],[Hour]:[Hour]]&gt;=AB$2),1,0)</f>
        <v>0</v>
      </c>
      <c r="AC50" s="276" cm="1">
        <f t="array" ref="AC50">IF(AND(AC$2&lt;&gt;0,TblTech[[#This Row],[Hour]:[Hour]]&gt;=AC$2),1,0)</f>
        <v>0</v>
      </c>
      <c r="AD50" s="276" cm="1">
        <f t="array" ref="AD50">IF(AND(AD$2&lt;&gt;0,TblTech[[#This Row],[Hour]:[Hour]]&gt;=AD$2),1,0)</f>
        <v>0</v>
      </c>
      <c r="AE50" s="276" cm="1">
        <f t="array" ref="AE50">IF(AND(AE$2&lt;&gt;0,TblTech[[#This Row],[Hour]:[Hour]]&gt;=AE$2),1,0)</f>
        <v>0</v>
      </c>
      <c r="AF50" s="276" cm="1">
        <f t="array" ref="AF50">IF(AND(AF$2&lt;&gt;0,TblTech[[#This Row],[Hour]:[Hour]]&gt;=AF$2),1,0)</f>
        <v>0</v>
      </c>
      <c r="AG50" s="276" cm="1">
        <f t="array" ref="AG50">IF(AND(AG$2&lt;&gt;0,TblTech[[#This Row],[Hour]:[Hour]]&gt;=AG$2),1,0)</f>
        <v>0</v>
      </c>
      <c r="AH50" s="276" cm="1">
        <f t="array" ref="AH50">IF(AND(AH$2&lt;&gt;0,TblTech[[#This Row],[Hour]:[Hour]]&gt;=AH$2),1,0)</f>
        <v>0</v>
      </c>
      <c r="AI50" s="276" cm="1">
        <f t="array" ref="AI50">IF(AND(AI$2&lt;&gt;0,TblTech[[#This Row],[Hour]:[Hour]]&gt;=AI$2),1,0)</f>
        <v>0</v>
      </c>
      <c r="AJ50" s="276" cm="1">
        <f t="array" ref="AJ50">IF(AND(AJ$2&lt;&gt;0,TblTech[[#This Row],[Hour]:[Hour]]&gt;=AJ$2),1,0)</f>
        <v>0</v>
      </c>
      <c r="AK50" s="276" cm="1">
        <f t="array" ref="AK50">IF(AND(AK$2&lt;&gt;0,TblTech[[#This Row],[Hour]:[Hour]]&gt;=AK$2),1,0)</f>
        <v>0</v>
      </c>
      <c r="AL50" s="276" cm="1">
        <f t="array" ref="AL50">IF(AND(AL$2&lt;&gt;0,TblTech[[#This Row],[Hour]:[Hour]]&gt;=AL$2),1,0)</f>
        <v>0</v>
      </c>
      <c r="AM50" s="276" cm="1">
        <f t="array" ref="AM50">IF(AND(AM$2&lt;&gt;0,TblTech[[#This Row],[Hour]:[Hour]]&gt;=AM$2),1,0)</f>
        <v>0</v>
      </c>
      <c r="AN50" s="276" cm="1">
        <f t="array" ref="AN50">IF(AND(AN$2&lt;&gt;0,TblTech[[#This Row],[Hour]:[Hour]]&gt;=AN$2),1,0)</f>
        <v>0</v>
      </c>
      <c r="AO50" s="276" cm="1">
        <f t="array" ref="AO50">IF(AND(AO$2&lt;&gt;0,TblTech[[#This Row],[Hour]:[Hour]]&gt;=AO$2),1,0)</f>
        <v>0</v>
      </c>
      <c r="AP50" s="276" cm="1">
        <f t="array" ref="AP50">IF(AND(AP$2&lt;&gt;0,TblTech[[#This Row],[Hour]:[Hour]]&gt;=AP$2),1,0)</f>
        <v>0</v>
      </c>
      <c r="AQ50" s="276" cm="1">
        <f t="array" ref="AQ50">IF(AND(AQ$2&lt;&gt;0,TblTech[[#This Row],[Hour]:[Hour]]&gt;=AQ$2),1,0)</f>
        <v>0</v>
      </c>
      <c r="AR50" s="276" cm="1">
        <f t="array" ref="AR50">IF(AND(AR$2&lt;&gt;0,TblTech[[#This Row],[Hour]:[Hour]]&gt;=AR$2),1,0)</f>
        <v>0</v>
      </c>
      <c r="AS50" s="276" cm="1">
        <f t="array" ref="AS50">IF(AND(AS$2&lt;&gt;0,TblTech[[#This Row],[Hour]:[Hour]]&gt;=AS$2),1,0)</f>
        <v>0</v>
      </c>
      <c r="AT50" s="276" cm="1">
        <f t="array" ref="AT50">IF(AND(AT$2&lt;&gt;0,TblTech[[#This Row],[Hour]:[Hour]]&gt;=AT$2),1,0)</f>
        <v>0</v>
      </c>
      <c r="AU50" s="276" cm="1">
        <f t="array" ref="AU50">IF(AND(AU$2&lt;&gt;0,TblTech[[#This Row],[Hour]:[Hour]]&gt;=AU$2),1,0)</f>
        <v>0</v>
      </c>
      <c r="AV50" s="276" cm="1">
        <f t="array" ref="AV50">IF(AND(AV$2&lt;&gt;0,TblTech[[#This Row],[Hour]:[Hour]]&gt;=AV$2),1,0)</f>
        <v>0</v>
      </c>
      <c r="AW50" s="276" cm="1">
        <f t="array" ref="AW50">IF(AND(AW$2&lt;&gt;0,TblTech[[#This Row],[Hour]:[Hour]]&gt;=AW$2),1,0)</f>
        <v>0</v>
      </c>
      <c r="AX50" s="276" cm="1">
        <f t="array" ref="AX50">IF(AND(AX$2&lt;&gt;0,TblTech[[#This Row],[Hour]:[Hour]]&gt;=AX$2),1,0)</f>
        <v>0</v>
      </c>
      <c r="AY50" s="276" cm="1">
        <f t="array" ref="AY50">IF(AND(AY$2&lt;&gt;0,TblTech[[#This Row],[Hour]:[Hour]]&gt;=AY$2),1,0)</f>
        <v>0</v>
      </c>
      <c r="AZ50" s="276" cm="1">
        <f t="array" ref="AZ50">IF(AND(AZ$2&lt;&gt;0,TblTech[[#This Row],[Hour]:[Hour]]&gt;=AZ$2),1,0)</f>
        <v>0</v>
      </c>
      <c r="BA50" s="276" cm="1">
        <f t="array" ref="BA50">IF(AND(BA$2&lt;&gt;0,TblTech[[#This Row],[Hour]:[Hour]]&gt;=BA$2),1,0)</f>
        <v>0</v>
      </c>
      <c r="BB50" s="276" cm="1">
        <f t="array" ref="BB50">IF(AND(BB$2&lt;&gt;0,TblTech[[#This Row],[Hour]:[Hour]]&gt;=BB$2),1,0)</f>
        <v>0</v>
      </c>
      <c r="BC50" s="276" cm="1">
        <f t="array" ref="BC50">IF(AND(BC$2&lt;&gt;0,TblTech[[#This Row],[Hour]:[Hour]]&gt;=BC$2),1,0)</f>
        <v>0</v>
      </c>
      <c r="BD50" s="276" cm="1">
        <f t="array" ref="BD50">IF(AND(BD$2&lt;&gt;0,TblTech[[#This Row],[Hour]:[Hour]]&gt;=BD$2),1,0)</f>
        <v>0</v>
      </c>
      <c r="BE50" s="276" cm="1">
        <f t="array" ref="BE50">IF(AND(BE$2&lt;&gt;0,TblTech[[#This Row],[Hour]:[Hour]]&gt;=BE$2),1,0)</f>
        <v>0</v>
      </c>
      <c r="BF50" s="276" cm="1">
        <f t="array" ref="BF50">IF(AND(BF$2&lt;&gt;0,TblTech[[#This Row],[Hour]:[Hour]]&gt;=BF$2),1,0)</f>
        <v>0</v>
      </c>
      <c r="BG50" s="276" cm="1">
        <f t="array" ref="BG50">IF(AND(BG$2&lt;&gt;0,TblTech[[#This Row],[Hour]:[Hour]]&gt;=BG$2),1,0)</f>
        <v>0</v>
      </c>
      <c r="BH50" s="276" cm="1">
        <f t="array" ref="BH50">IF(AND(BH$2&lt;&gt;0,TblTech[[#This Row],[Hour]:[Hour]]&gt;=BH$2),1,0)</f>
        <v>0</v>
      </c>
      <c r="BI50" s="276" cm="1">
        <f t="array" ref="BI50">IF(AND(BI$2&lt;&gt;0,TblTech[[#This Row],[Hour]:[Hour]]&gt;=BI$2),1,0)</f>
        <v>0</v>
      </c>
      <c r="BJ50" s="276" cm="1">
        <f t="array" ref="BJ50">IF(AND(BJ$2&lt;&gt;0,TblTech[[#This Row],[Hour]:[Hour]]&gt;=BJ$2),1,0)</f>
        <v>0</v>
      </c>
      <c r="BK50" s="276" cm="1">
        <f t="array" ref="BK50">IF(AND(BK$2&lt;&gt;0,TblTech[[#This Row],[Hour]:[Hour]]&gt;=BK$2),1,0)</f>
        <v>0</v>
      </c>
      <c r="BL50" s="276" cm="1">
        <f t="array" ref="BL50">IF(AND(BL$2&lt;&gt;0,TblTech[[#This Row],[Hour]:[Hour]]&gt;=BL$2),1,0)</f>
        <v>0</v>
      </c>
      <c r="BM50" s="276" cm="1">
        <f t="array" ref="BM50">IF(AND(BM$2&lt;&gt;0,TblTech[[#This Row],[Hour]:[Hour]]&gt;=BM$2),1,0)</f>
        <v>0</v>
      </c>
      <c r="BN50" s="276" cm="1">
        <f t="array" ref="BN50">IF(AND(BN$2&lt;&gt;0,TblTech[[#This Row],[Hour]:[Hour]]&gt;=BN$2),1,0)</f>
        <v>0</v>
      </c>
      <c r="BO50" s="276" cm="1">
        <f t="array" ref="BO50">IF(AND(BO$2&lt;&gt;0,TblTech[[#This Row],[Hour]:[Hour]]&gt;=BO$2),1,0)</f>
        <v>0</v>
      </c>
      <c r="BP50" s="276" cm="1">
        <f t="array" ref="BP50">IF(AND(BP$2&lt;&gt;0,TblTech[[#This Row],[Hour]:[Hour]]&gt;=BP$2),1,0)</f>
        <v>0</v>
      </c>
      <c r="BQ50" s="276" cm="1">
        <f t="array" ref="BQ50">IF(AND(BQ$2&lt;&gt;0,TblTech[[#This Row],[Hour]:[Hour]]&gt;=BQ$2),1,0)</f>
        <v>0</v>
      </c>
      <c r="BR50" s="276" cm="1">
        <f t="array" ref="BR50">IF(AND(BR$2&lt;&gt;0,TblTech[[#This Row],[Hour]:[Hour]]&gt;=BR$2),1,0)</f>
        <v>0</v>
      </c>
      <c r="BS50" s="276" cm="1">
        <f t="array" ref="BS50">IF(AND(BS$2&lt;&gt;0,TblTech[[#This Row],[Hour]:[Hour]]&gt;=BS$2),1,0)</f>
        <v>0</v>
      </c>
      <c r="BT50" s="276" cm="1">
        <f t="array" ref="BT50">IF(AND(BT$2&lt;&gt;0,TblTech[[#This Row],[Hour]:[Hour]]&gt;=BT$2),1,0)</f>
        <v>0</v>
      </c>
      <c r="BU50" s="276" cm="1">
        <f t="array" ref="BU50">IF(AND(BU$2&lt;&gt;0,TblTech[[#This Row],[Hour]:[Hour]]&gt;=BU$2),1,0)</f>
        <v>0</v>
      </c>
      <c r="BV50" s="276" cm="1">
        <f t="array" ref="BV50">IF(AND(BV$2&lt;&gt;0,TblTech[[#This Row],[Hour]:[Hour]]&gt;=BV$2),1,0)</f>
        <v>0</v>
      </c>
      <c r="BW50" s="276" cm="1">
        <f t="array" ref="BW50">IF(AND(BW$2&lt;&gt;0,TblTech[[#This Row],[Hour]:[Hour]]&gt;=BW$2),1,0)</f>
        <v>0</v>
      </c>
      <c r="BX50" s="276" cm="1">
        <f t="array" ref="BX50">IF(AND(BX$2&lt;&gt;0,TblTech[[#This Row],[Hour]:[Hour]]&gt;=BX$2),1,0)</f>
        <v>0</v>
      </c>
      <c r="BY50" s="276" cm="1">
        <f t="array" ref="BY50">IF(AND(BY$2&lt;&gt;0,TblTech[[#This Row],[Hour]:[Hour]]&gt;=BY$2),1,0)</f>
        <v>0</v>
      </c>
      <c r="BZ50" s="276" cm="1">
        <f t="array" ref="BZ50">IF(AND(BZ$2&lt;&gt;0,TblTech[[#This Row],[Hour]:[Hour]]&gt;=BZ$2),1,0)</f>
        <v>0</v>
      </c>
      <c r="CA50" s="377">
        <f>IFERROR(INDEX($H$4:$H$79,MATCH(INDEX(TblTech[[#Headers],[1-1]:[11-1]],1,MATCH(TblTech[[#This Row],[Hour]],$M$2:$BZ$2,0)),$G$4:$G$79,0)),)</f>
        <v>0</v>
      </c>
    </row>
    <row r="51" spans="1:79" x14ac:dyDescent="0.2">
      <c r="A51" s="268">
        <f>TblRezone[[#This Row],[Hour]]</f>
        <v>48</v>
      </c>
      <c r="B51" s="269">
        <f ca="1">TblExplore[[#This Row],[Land-DB]]</f>
        <v>110</v>
      </c>
      <c r="C51" s="270">
        <f ca="1">TblProd[[#This Row],[Techpoints]]</f>
        <v>0</v>
      </c>
      <c r="D51" s="270">
        <f ca="1">TblProd[[#This Row],[Required]]</f>
        <v>3750</v>
      </c>
      <c r="E51" s="271"/>
      <c r="F51" s="272"/>
      <c r="G51" s="273" t="s">
        <v>592</v>
      </c>
      <c r="H51" s="274" t="s">
        <v>392</v>
      </c>
      <c r="I51" s="273" t="s">
        <v>1051</v>
      </c>
      <c r="J51" s="269"/>
      <c r="K51" s="93">
        <f ca="1">IF(TblTech[[#This Row],[Sum of tech]]&lt;&gt;OFFSET(TblTech[[#This Row],[Sum of tech]],-1,0),1,0)</f>
        <v>0</v>
      </c>
      <c r="L51" s="275">
        <f>COUNTIF(TblTech[[#This Row],[1-1]:[11-1]],1)</f>
        <v>0</v>
      </c>
      <c r="M51" s="276" cm="1">
        <f t="array" ref="M51">IF(AND(M$2&lt;&gt;0,TblTech[[#This Row],[Hour]:[Hour]]&gt;=M$2),1,0)</f>
        <v>0</v>
      </c>
      <c r="N51" s="276" cm="1">
        <f t="array" ref="N51">IF(AND(N$2&lt;&gt;0,TblTech[[#This Row],[Hour]:[Hour]]&gt;=N$2),1,0)</f>
        <v>0</v>
      </c>
      <c r="O51" s="276" cm="1">
        <f t="array" ref="O51">IF(AND(O$2&lt;&gt;0,TblTech[[#This Row],[Hour]:[Hour]]&gt;=O$2),1,0)</f>
        <v>0</v>
      </c>
      <c r="P51" s="276" cm="1">
        <f t="array" ref="P51">IF(AND(P$2&lt;&gt;0,TblTech[[#This Row],[Hour]:[Hour]]&gt;=P$2),1,0)</f>
        <v>0</v>
      </c>
      <c r="Q51" s="276" cm="1">
        <f t="array" ref="Q51">IF(AND(Q$2&lt;&gt;0,TblTech[[#This Row],[Hour]:[Hour]]&gt;=Q$2),1,0)</f>
        <v>0</v>
      </c>
      <c r="R51" s="276" cm="1">
        <f t="array" ref="R51">IF(AND(R$2&lt;&gt;0,TblTech[[#This Row],[Hour]:[Hour]]&gt;=R$2),1,0)</f>
        <v>0</v>
      </c>
      <c r="S51" s="276" cm="1">
        <f t="array" ref="S51">IF(AND(S$2&lt;&gt;0,TblTech[[#This Row],[Hour]:[Hour]]&gt;=S$2),1,0)</f>
        <v>0</v>
      </c>
      <c r="T51" s="276" cm="1">
        <f t="array" ref="T51">IF(AND(T$2&lt;&gt;0,TblTech[[#This Row],[Hour]:[Hour]]&gt;=T$2),1,0)</f>
        <v>0</v>
      </c>
      <c r="U51" s="276" cm="1">
        <f t="array" ref="U51">IF(AND(U$2&lt;&gt;0,TblTech[[#This Row],[Hour]:[Hour]]&gt;=U$2),1,0)</f>
        <v>0</v>
      </c>
      <c r="V51" s="276" cm="1">
        <f t="array" ref="V51">IF(AND(V$2&lt;&gt;0,TblTech[[#This Row],[Hour]:[Hour]]&gt;=V$2),1,0)</f>
        <v>0</v>
      </c>
      <c r="W51" s="276" cm="1">
        <f t="array" ref="W51">IF(AND(W$2&lt;&gt;0,TblTech[[#This Row],[Hour]:[Hour]]&gt;=W$2),1,0)</f>
        <v>0</v>
      </c>
      <c r="X51" s="276" cm="1">
        <f t="array" ref="X51">IF(AND(X$2&lt;&gt;0,TblTech[[#This Row],[Hour]:[Hour]]&gt;=X$2),1,0)</f>
        <v>0</v>
      </c>
      <c r="Y51" s="276" cm="1">
        <f t="array" ref="Y51">IF(AND(Y$2&lt;&gt;0,TblTech[[#This Row],[Hour]:[Hour]]&gt;=Y$2),1,0)</f>
        <v>0</v>
      </c>
      <c r="Z51" s="276" cm="1">
        <f t="array" ref="Z51">IF(AND(Z$2&lt;&gt;0,TblTech[[#This Row],[Hour]:[Hour]]&gt;=Z$2),1,0)</f>
        <v>0</v>
      </c>
      <c r="AA51" s="276" cm="1">
        <f t="array" ref="AA51">IF(AND(AA$2&lt;&gt;0,TblTech[[#This Row],[Hour]:[Hour]]&gt;=AA$2),1,0)</f>
        <v>0</v>
      </c>
      <c r="AB51" s="276" cm="1">
        <f t="array" ref="AB51">IF(AND(AB$2&lt;&gt;0,TblTech[[#This Row],[Hour]:[Hour]]&gt;=AB$2),1,0)</f>
        <v>0</v>
      </c>
      <c r="AC51" s="276" cm="1">
        <f t="array" ref="AC51">IF(AND(AC$2&lt;&gt;0,TblTech[[#This Row],[Hour]:[Hour]]&gt;=AC$2),1,0)</f>
        <v>0</v>
      </c>
      <c r="AD51" s="276" cm="1">
        <f t="array" ref="AD51">IF(AND(AD$2&lt;&gt;0,TblTech[[#This Row],[Hour]:[Hour]]&gt;=AD$2),1,0)</f>
        <v>0</v>
      </c>
      <c r="AE51" s="276" cm="1">
        <f t="array" ref="AE51">IF(AND(AE$2&lt;&gt;0,TblTech[[#This Row],[Hour]:[Hour]]&gt;=AE$2),1,0)</f>
        <v>0</v>
      </c>
      <c r="AF51" s="276" cm="1">
        <f t="array" ref="AF51">IF(AND(AF$2&lt;&gt;0,TblTech[[#This Row],[Hour]:[Hour]]&gt;=AF$2),1,0)</f>
        <v>0</v>
      </c>
      <c r="AG51" s="276" cm="1">
        <f t="array" ref="AG51">IF(AND(AG$2&lt;&gt;0,TblTech[[#This Row],[Hour]:[Hour]]&gt;=AG$2),1,0)</f>
        <v>0</v>
      </c>
      <c r="AH51" s="276" cm="1">
        <f t="array" ref="AH51">IF(AND(AH$2&lt;&gt;0,TblTech[[#This Row],[Hour]:[Hour]]&gt;=AH$2),1,0)</f>
        <v>0</v>
      </c>
      <c r="AI51" s="276" cm="1">
        <f t="array" ref="AI51">IF(AND(AI$2&lt;&gt;0,TblTech[[#This Row],[Hour]:[Hour]]&gt;=AI$2),1,0)</f>
        <v>0</v>
      </c>
      <c r="AJ51" s="276" cm="1">
        <f t="array" ref="AJ51">IF(AND(AJ$2&lt;&gt;0,TblTech[[#This Row],[Hour]:[Hour]]&gt;=AJ$2),1,0)</f>
        <v>0</v>
      </c>
      <c r="AK51" s="276" cm="1">
        <f t="array" ref="AK51">IF(AND(AK$2&lt;&gt;0,TblTech[[#This Row],[Hour]:[Hour]]&gt;=AK$2),1,0)</f>
        <v>0</v>
      </c>
      <c r="AL51" s="276" cm="1">
        <f t="array" ref="AL51">IF(AND(AL$2&lt;&gt;0,TblTech[[#This Row],[Hour]:[Hour]]&gt;=AL$2),1,0)</f>
        <v>0</v>
      </c>
      <c r="AM51" s="276" cm="1">
        <f t="array" ref="AM51">IF(AND(AM$2&lt;&gt;0,TblTech[[#This Row],[Hour]:[Hour]]&gt;=AM$2),1,0)</f>
        <v>0</v>
      </c>
      <c r="AN51" s="276" cm="1">
        <f t="array" ref="AN51">IF(AND(AN$2&lt;&gt;0,TblTech[[#This Row],[Hour]:[Hour]]&gt;=AN$2),1,0)</f>
        <v>0</v>
      </c>
      <c r="AO51" s="276" cm="1">
        <f t="array" ref="AO51">IF(AND(AO$2&lt;&gt;0,TblTech[[#This Row],[Hour]:[Hour]]&gt;=AO$2),1,0)</f>
        <v>0</v>
      </c>
      <c r="AP51" s="276" cm="1">
        <f t="array" ref="AP51">IF(AND(AP$2&lt;&gt;0,TblTech[[#This Row],[Hour]:[Hour]]&gt;=AP$2),1,0)</f>
        <v>0</v>
      </c>
      <c r="AQ51" s="276" cm="1">
        <f t="array" ref="AQ51">IF(AND(AQ$2&lt;&gt;0,TblTech[[#This Row],[Hour]:[Hour]]&gt;=AQ$2),1,0)</f>
        <v>0</v>
      </c>
      <c r="AR51" s="276" cm="1">
        <f t="array" ref="AR51">IF(AND(AR$2&lt;&gt;0,TblTech[[#This Row],[Hour]:[Hour]]&gt;=AR$2),1,0)</f>
        <v>0</v>
      </c>
      <c r="AS51" s="276" cm="1">
        <f t="array" ref="AS51">IF(AND(AS$2&lt;&gt;0,TblTech[[#This Row],[Hour]:[Hour]]&gt;=AS$2),1,0)</f>
        <v>0</v>
      </c>
      <c r="AT51" s="276" cm="1">
        <f t="array" ref="AT51">IF(AND(AT$2&lt;&gt;0,TblTech[[#This Row],[Hour]:[Hour]]&gt;=AT$2),1,0)</f>
        <v>0</v>
      </c>
      <c r="AU51" s="276" cm="1">
        <f t="array" ref="AU51">IF(AND(AU$2&lt;&gt;0,TblTech[[#This Row],[Hour]:[Hour]]&gt;=AU$2),1,0)</f>
        <v>0</v>
      </c>
      <c r="AV51" s="276" cm="1">
        <f t="array" ref="AV51">IF(AND(AV$2&lt;&gt;0,TblTech[[#This Row],[Hour]:[Hour]]&gt;=AV$2),1,0)</f>
        <v>0</v>
      </c>
      <c r="AW51" s="276" cm="1">
        <f t="array" ref="AW51">IF(AND(AW$2&lt;&gt;0,TblTech[[#This Row],[Hour]:[Hour]]&gt;=AW$2),1,0)</f>
        <v>0</v>
      </c>
      <c r="AX51" s="276" cm="1">
        <f t="array" ref="AX51">IF(AND(AX$2&lt;&gt;0,TblTech[[#This Row],[Hour]:[Hour]]&gt;=AX$2),1,0)</f>
        <v>0</v>
      </c>
      <c r="AY51" s="276" cm="1">
        <f t="array" ref="AY51">IF(AND(AY$2&lt;&gt;0,TblTech[[#This Row],[Hour]:[Hour]]&gt;=AY$2),1,0)</f>
        <v>0</v>
      </c>
      <c r="AZ51" s="276" cm="1">
        <f t="array" ref="AZ51">IF(AND(AZ$2&lt;&gt;0,TblTech[[#This Row],[Hour]:[Hour]]&gt;=AZ$2),1,0)</f>
        <v>0</v>
      </c>
      <c r="BA51" s="276" cm="1">
        <f t="array" ref="BA51">IF(AND(BA$2&lt;&gt;0,TblTech[[#This Row],[Hour]:[Hour]]&gt;=BA$2),1,0)</f>
        <v>0</v>
      </c>
      <c r="BB51" s="276" cm="1">
        <f t="array" ref="BB51">IF(AND(BB$2&lt;&gt;0,TblTech[[#This Row],[Hour]:[Hour]]&gt;=BB$2),1,0)</f>
        <v>0</v>
      </c>
      <c r="BC51" s="276" cm="1">
        <f t="array" ref="BC51">IF(AND(BC$2&lt;&gt;0,TblTech[[#This Row],[Hour]:[Hour]]&gt;=BC$2),1,0)</f>
        <v>0</v>
      </c>
      <c r="BD51" s="276" cm="1">
        <f t="array" ref="BD51">IF(AND(BD$2&lt;&gt;0,TblTech[[#This Row],[Hour]:[Hour]]&gt;=BD$2),1,0)</f>
        <v>0</v>
      </c>
      <c r="BE51" s="276" cm="1">
        <f t="array" ref="BE51">IF(AND(BE$2&lt;&gt;0,TblTech[[#This Row],[Hour]:[Hour]]&gt;=BE$2),1,0)</f>
        <v>0</v>
      </c>
      <c r="BF51" s="276" cm="1">
        <f t="array" ref="BF51">IF(AND(BF$2&lt;&gt;0,TblTech[[#This Row],[Hour]:[Hour]]&gt;=BF$2),1,0)</f>
        <v>0</v>
      </c>
      <c r="BG51" s="276" cm="1">
        <f t="array" ref="BG51">IF(AND(BG$2&lt;&gt;0,TblTech[[#This Row],[Hour]:[Hour]]&gt;=BG$2),1,0)</f>
        <v>0</v>
      </c>
      <c r="BH51" s="276" cm="1">
        <f t="array" ref="BH51">IF(AND(BH$2&lt;&gt;0,TblTech[[#This Row],[Hour]:[Hour]]&gt;=BH$2),1,0)</f>
        <v>0</v>
      </c>
      <c r="BI51" s="276" cm="1">
        <f t="array" ref="BI51">IF(AND(BI$2&lt;&gt;0,TblTech[[#This Row],[Hour]:[Hour]]&gt;=BI$2),1,0)</f>
        <v>0</v>
      </c>
      <c r="BJ51" s="276" cm="1">
        <f t="array" ref="BJ51">IF(AND(BJ$2&lt;&gt;0,TblTech[[#This Row],[Hour]:[Hour]]&gt;=BJ$2),1,0)</f>
        <v>0</v>
      </c>
      <c r="BK51" s="276" cm="1">
        <f t="array" ref="BK51">IF(AND(BK$2&lt;&gt;0,TblTech[[#This Row],[Hour]:[Hour]]&gt;=BK$2),1,0)</f>
        <v>0</v>
      </c>
      <c r="BL51" s="276" cm="1">
        <f t="array" ref="BL51">IF(AND(BL$2&lt;&gt;0,TblTech[[#This Row],[Hour]:[Hour]]&gt;=BL$2),1,0)</f>
        <v>0</v>
      </c>
      <c r="BM51" s="276" cm="1">
        <f t="array" ref="BM51">IF(AND(BM$2&lt;&gt;0,TblTech[[#This Row],[Hour]:[Hour]]&gt;=BM$2),1,0)</f>
        <v>0</v>
      </c>
      <c r="BN51" s="276" cm="1">
        <f t="array" ref="BN51">IF(AND(BN$2&lt;&gt;0,TblTech[[#This Row],[Hour]:[Hour]]&gt;=BN$2),1,0)</f>
        <v>0</v>
      </c>
      <c r="BO51" s="276" cm="1">
        <f t="array" ref="BO51">IF(AND(BO$2&lt;&gt;0,TblTech[[#This Row],[Hour]:[Hour]]&gt;=BO$2),1,0)</f>
        <v>0</v>
      </c>
      <c r="BP51" s="276" cm="1">
        <f t="array" ref="BP51">IF(AND(BP$2&lt;&gt;0,TblTech[[#This Row],[Hour]:[Hour]]&gt;=BP$2),1,0)</f>
        <v>0</v>
      </c>
      <c r="BQ51" s="276" cm="1">
        <f t="array" ref="BQ51">IF(AND(BQ$2&lt;&gt;0,TblTech[[#This Row],[Hour]:[Hour]]&gt;=BQ$2),1,0)</f>
        <v>0</v>
      </c>
      <c r="BR51" s="276" cm="1">
        <f t="array" ref="BR51">IF(AND(BR$2&lt;&gt;0,TblTech[[#This Row],[Hour]:[Hour]]&gt;=BR$2),1,0)</f>
        <v>0</v>
      </c>
      <c r="BS51" s="276" cm="1">
        <f t="array" ref="BS51">IF(AND(BS$2&lt;&gt;0,TblTech[[#This Row],[Hour]:[Hour]]&gt;=BS$2),1,0)</f>
        <v>0</v>
      </c>
      <c r="BT51" s="276" cm="1">
        <f t="array" ref="BT51">IF(AND(BT$2&lt;&gt;0,TblTech[[#This Row],[Hour]:[Hour]]&gt;=BT$2),1,0)</f>
        <v>0</v>
      </c>
      <c r="BU51" s="276" cm="1">
        <f t="array" ref="BU51">IF(AND(BU$2&lt;&gt;0,TblTech[[#This Row],[Hour]:[Hour]]&gt;=BU$2),1,0)</f>
        <v>0</v>
      </c>
      <c r="BV51" s="276" cm="1">
        <f t="array" ref="BV51">IF(AND(BV$2&lt;&gt;0,TblTech[[#This Row],[Hour]:[Hour]]&gt;=BV$2),1,0)</f>
        <v>0</v>
      </c>
      <c r="BW51" s="276" cm="1">
        <f t="array" ref="BW51">IF(AND(BW$2&lt;&gt;0,TblTech[[#This Row],[Hour]:[Hour]]&gt;=BW$2),1,0)</f>
        <v>0</v>
      </c>
      <c r="BX51" s="276" cm="1">
        <f t="array" ref="BX51">IF(AND(BX$2&lt;&gt;0,TblTech[[#This Row],[Hour]:[Hour]]&gt;=BX$2),1,0)</f>
        <v>0</v>
      </c>
      <c r="BY51" s="276" cm="1">
        <f t="array" ref="BY51">IF(AND(BY$2&lt;&gt;0,TblTech[[#This Row],[Hour]:[Hour]]&gt;=BY$2),1,0)</f>
        <v>0</v>
      </c>
      <c r="BZ51" s="276" cm="1">
        <f t="array" ref="BZ51">IF(AND(BZ$2&lt;&gt;0,TblTech[[#This Row],[Hour]:[Hour]]&gt;=BZ$2),1,0)</f>
        <v>0</v>
      </c>
      <c r="CA51" s="377">
        <f>IFERROR(INDEX($H$4:$H$79,MATCH(INDEX(TblTech[[#Headers],[1-1]:[11-1]],1,MATCH(TblTech[[#This Row],[Hour]],$M$2:$BZ$2,0)),$G$4:$G$79,0)),)</f>
        <v>0</v>
      </c>
    </row>
    <row r="52" spans="1:79" x14ac:dyDescent="0.2">
      <c r="A52" s="268">
        <f>TblRezone[[#This Row],[Hour]]</f>
        <v>49</v>
      </c>
      <c r="B52" s="269">
        <f ca="1">TblExplore[[#This Row],[Land-DB]]</f>
        <v>110</v>
      </c>
      <c r="C52" s="270">
        <f ca="1">TblProd[[#This Row],[Techpoints]]</f>
        <v>0</v>
      </c>
      <c r="D52" s="270">
        <f ca="1">TblProd[[#This Row],[Required]]</f>
        <v>3750</v>
      </c>
      <c r="E52" s="271"/>
      <c r="F52" s="272"/>
      <c r="G52" s="273" t="s">
        <v>593</v>
      </c>
      <c r="H52" s="274" t="s">
        <v>717</v>
      </c>
      <c r="I52" s="273" t="s">
        <v>628</v>
      </c>
      <c r="J52" s="269"/>
      <c r="K52" s="93">
        <f ca="1">IF(TblTech[[#This Row],[Sum of tech]]&lt;&gt;OFFSET(TblTech[[#This Row],[Sum of tech]],-1,0),1,0)</f>
        <v>0</v>
      </c>
      <c r="L52" s="275">
        <f>COUNTIF(TblTech[[#This Row],[1-1]:[11-1]],1)</f>
        <v>0</v>
      </c>
      <c r="M52" s="276" cm="1">
        <f t="array" ref="M52">IF(AND(M$2&lt;&gt;0,TblTech[[#This Row],[Hour]:[Hour]]&gt;=M$2),1,0)</f>
        <v>0</v>
      </c>
      <c r="N52" s="276" cm="1">
        <f t="array" ref="N52">IF(AND(N$2&lt;&gt;0,TblTech[[#This Row],[Hour]:[Hour]]&gt;=N$2),1,0)</f>
        <v>0</v>
      </c>
      <c r="O52" s="276" cm="1">
        <f t="array" ref="O52">IF(AND(O$2&lt;&gt;0,TblTech[[#This Row],[Hour]:[Hour]]&gt;=O$2),1,0)</f>
        <v>0</v>
      </c>
      <c r="P52" s="276" cm="1">
        <f t="array" ref="P52">IF(AND(P$2&lt;&gt;0,TblTech[[#This Row],[Hour]:[Hour]]&gt;=P$2),1,0)</f>
        <v>0</v>
      </c>
      <c r="Q52" s="276" cm="1">
        <f t="array" ref="Q52">IF(AND(Q$2&lt;&gt;0,TblTech[[#This Row],[Hour]:[Hour]]&gt;=Q$2),1,0)</f>
        <v>0</v>
      </c>
      <c r="R52" s="276" cm="1">
        <f t="array" ref="R52">IF(AND(R$2&lt;&gt;0,TblTech[[#This Row],[Hour]:[Hour]]&gt;=R$2),1,0)</f>
        <v>0</v>
      </c>
      <c r="S52" s="276" cm="1">
        <f t="array" ref="S52">IF(AND(S$2&lt;&gt;0,TblTech[[#This Row],[Hour]:[Hour]]&gt;=S$2),1,0)</f>
        <v>0</v>
      </c>
      <c r="T52" s="276" cm="1">
        <f t="array" ref="T52">IF(AND(T$2&lt;&gt;0,TblTech[[#This Row],[Hour]:[Hour]]&gt;=T$2),1,0)</f>
        <v>0</v>
      </c>
      <c r="U52" s="276" cm="1">
        <f t="array" ref="U52">IF(AND(U$2&lt;&gt;0,TblTech[[#This Row],[Hour]:[Hour]]&gt;=U$2),1,0)</f>
        <v>0</v>
      </c>
      <c r="V52" s="276" cm="1">
        <f t="array" ref="V52">IF(AND(V$2&lt;&gt;0,TblTech[[#This Row],[Hour]:[Hour]]&gt;=V$2),1,0)</f>
        <v>0</v>
      </c>
      <c r="W52" s="276" cm="1">
        <f t="array" ref="W52">IF(AND(W$2&lt;&gt;0,TblTech[[#This Row],[Hour]:[Hour]]&gt;=W$2),1,0)</f>
        <v>0</v>
      </c>
      <c r="X52" s="276" cm="1">
        <f t="array" ref="X52">IF(AND(X$2&lt;&gt;0,TblTech[[#This Row],[Hour]:[Hour]]&gt;=X$2),1,0)</f>
        <v>0</v>
      </c>
      <c r="Y52" s="276" cm="1">
        <f t="array" ref="Y52">IF(AND(Y$2&lt;&gt;0,TblTech[[#This Row],[Hour]:[Hour]]&gt;=Y$2),1,0)</f>
        <v>0</v>
      </c>
      <c r="Z52" s="276" cm="1">
        <f t="array" ref="Z52">IF(AND(Z$2&lt;&gt;0,TblTech[[#This Row],[Hour]:[Hour]]&gt;=Z$2),1,0)</f>
        <v>0</v>
      </c>
      <c r="AA52" s="276" cm="1">
        <f t="array" ref="AA52">IF(AND(AA$2&lt;&gt;0,TblTech[[#This Row],[Hour]:[Hour]]&gt;=AA$2),1,0)</f>
        <v>0</v>
      </c>
      <c r="AB52" s="276" cm="1">
        <f t="array" ref="AB52">IF(AND(AB$2&lt;&gt;0,TblTech[[#This Row],[Hour]:[Hour]]&gt;=AB$2),1,0)</f>
        <v>0</v>
      </c>
      <c r="AC52" s="276" cm="1">
        <f t="array" ref="AC52">IF(AND(AC$2&lt;&gt;0,TblTech[[#This Row],[Hour]:[Hour]]&gt;=AC$2),1,0)</f>
        <v>0</v>
      </c>
      <c r="AD52" s="276" cm="1">
        <f t="array" ref="AD52">IF(AND(AD$2&lt;&gt;0,TblTech[[#This Row],[Hour]:[Hour]]&gt;=AD$2),1,0)</f>
        <v>0</v>
      </c>
      <c r="AE52" s="276" cm="1">
        <f t="array" ref="AE52">IF(AND(AE$2&lt;&gt;0,TblTech[[#This Row],[Hour]:[Hour]]&gt;=AE$2),1,0)</f>
        <v>0</v>
      </c>
      <c r="AF52" s="276" cm="1">
        <f t="array" ref="AF52">IF(AND(AF$2&lt;&gt;0,TblTech[[#This Row],[Hour]:[Hour]]&gt;=AF$2),1,0)</f>
        <v>0</v>
      </c>
      <c r="AG52" s="276" cm="1">
        <f t="array" ref="AG52">IF(AND(AG$2&lt;&gt;0,TblTech[[#This Row],[Hour]:[Hour]]&gt;=AG$2),1,0)</f>
        <v>0</v>
      </c>
      <c r="AH52" s="276" cm="1">
        <f t="array" ref="AH52">IF(AND(AH$2&lt;&gt;0,TblTech[[#This Row],[Hour]:[Hour]]&gt;=AH$2),1,0)</f>
        <v>0</v>
      </c>
      <c r="AI52" s="276" cm="1">
        <f t="array" ref="AI52">IF(AND(AI$2&lt;&gt;0,TblTech[[#This Row],[Hour]:[Hour]]&gt;=AI$2),1,0)</f>
        <v>0</v>
      </c>
      <c r="AJ52" s="276" cm="1">
        <f t="array" ref="AJ52">IF(AND(AJ$2&lt;&gt;0,TblTech[[#This Row],[Hour]:[Hour]]&gt;=AJ$2),1,0)</f>
        <v>0</v>
      </c>
      <c r="AK52" s="276" cm="1">
        <f t="array" ref="AK52">IF(AND(AK$2&lt;&gt;0,TblTech[[#This Row],[Hour]:[Hour]]&gt;=AK$2),1,0)</f>
        <v>0</v>
      </c>
      <c r="AL52" s="276" cm="1">
        <f t="array" ref="AL52">IF(AND(AL$2&lt;&gt;0,TblTech[[#This Row],[Hour]:[Hour]]&gt;=AL$2),1,0)</f>
        <v>0</v>
      </c>
      <c r="AM52" s="276" cm="1">
        <f t="array" ref="AM52">IF(AND(AM$2&lt;&gt;0,TblTech[[#This Row],[Hour]:[Hour]]&gt;=AM$2),1,0)</f>
        <v>0</v>
      </c>
      <c r="AN52" s="276" cm="1">
        <f t="array" ref="AN52">IF(AND(AN$2&lt;&gt;0,TblTech[[#This Row],[Hour]:[Hour]]&gt;=AN$2),1,0)</f>
        <v>0</v>
      </c>
      <c r="AO52" s="276" cm="1">
        <f t="array" ref="AO52">IF(AND(AO$2&lt;&gt;0,TblTech[[#This Row],[Hour]:[Hour]]&gt;=AO$2),1,0)</f>
        <v>0</v>
      </c>
      <c r="AP52" s="276" cm="1">
        <f t="array" ref="AP52">IF(AND(AP$2&lt;&gt;0,TblTech[[#This Row],[Hour]:[Hour]]&gt;=AP$2),1,0)</f>
        <v>0</v>
      </c>
      <c r="AQ52" s="276" cm="1">
        <f t="array" ref="AQ52">IF(AND(AQ$2&lt;&gt;0,TblTech[[#This Row],[Hour]:[Hour]]&gt;=AQ$2),1,0)</f>
        <v>0</v>
      </c>
      <c r="AR52" s="276" cm="1">
        <f t="array" ref="AR52">IF(AND(AR$2&lt;&gt;0,TblTech[[#This Row],[Hour]:[Hour]]&gt;=AR$2),1,0)</f>
        <v>0</v>
      </c>
      <c r="AS52" s="276" cm="1">
        <f t="array" ref="AS52">IF(AND(AS$2&lt;&gt;0,TblTech[[#This Row],[Hour]:[Hour]]&gt;=AS$2),1,0)</f>
        <v>0</v>
      </c>
      <c r="AT52" s="276" cm="1">
        <f t="array" ref="AT52">IF(AND(AT$2&lt;&gt;0,TblTech[[#This Row],[Hour]:[Hour]]&gt;=AT$2),1,0)</f>
        <v>0</v>
      </c>
      <c r="AU52" s="276" cm="1">
        <f t="array" ref="AU52">IF(AND(AU$2&lt;&gt;0,TblTech[[#This Row],[Hour]:[Hour]]&gt;=AU$2),1,0)</f>
        <v>0</v>
      </c>
      <c r="AV52" s="276" cm="1">
        <f t="array" ref="AV52">IF(AND(AV$2&lt;&gt;0,TblTech[[#This Row],[Hour]:[Hour]]&gt;=AV$2),1,0)</f>
        <v>0</v>
      </c>
      <c r="AW52" s="276" cm="1">
        <f t="array" ref="AW52">IF(AND(AW$2&lt;&gt;0,TblTech[[#This Row],[Hour]:[Hour]]&gt;=AW$2),1,0)</f>
        <v>0</v>
      </c>
      <c r="AX52" s="276" cm="1">
        <f t="array" ref="AX52">IF(AND(AX$2&lt;&gt;0,TblTech[[#This Row],[Hour]:[Hour]]&gt;=AX$2),1,0)</f>
        <v>0</v>
      </c>
      <c r="AY52" s="276" cm="1">
        <f t="array" ref="AY52">IF(AND(AY$2&lt;&gt;0,TblTech[[#This Row],[Hour]:[Hour]]&gt;=AY$2),1,0)</f>
        <v>0</v>
      </c>
      <c r="AZ52" s="276" cm="1">
        <f t="array" ref="AZ52">IF(AND(AZ$2&lt;&gt;0,TblTech[[#This Row],[Hour]:[Hour]]&gt;=AZ$2),1,0)</f>
        <v>0</v>
      </c>
      <c r="BA52" s="276" cm="1">
        <f t="array" ref="BA52">IF(AND(BA$2&lt;&gt;0,TblTech[[#This Row],[Hour]:[Hour]]&gt;=BA$2),1,0)</f>
        <v>0</v>
      </c>
      <c r="BB52" s="276" cm="1">
        <f t="array" ref="BB52">IF(AND(BB$2&lt;&gt;0,TblTech[[#This Row],[Hour]:[Hour]]&gt;=BB$2),1,0)</f>
        <v>0</v>
      </c>
      <c r="BC52" s="276" cm="1">
        <f t="array" ref="BC52">IF(AND(BC$2&lt;&gt;0,TblTech[[#This Row],[Hour]:[Hour]]&gt;=BC$2),1,0)</f>
        <v>0</v>
      </c>
      <c r="BD52" s="276" cm="1">
        <f t="array" ref="BD52">IF(AND(BD$2&lt;&gt;0,TblTech[[#This Row],[Hour]:[Hour]]&gt;=BD$2),1,0)</f>
        <v>0</v>
      </c>
      <c r="BE52" s="276" cm="1">
        <f t="array" ref="BE52">IF(AND(BE$2&lt;&gt;0,TblTech[[#This Row],[Hour]:[Hour]]&gt;=BE$2),1,0)</f>
        <v>0</v>
      </c>
      <c r="BF52" s="276" cm="1">
        <f t="array" ref="BF52">IF(AND(BF$2&lt;&gt;0,TblTech[[#This Row],[Hour]:[Hour]]&gt;=BF$2),1,0)</f>
        <v>0</v>
      </c>
      <c r="BG52" s="276" cm="1">
        <f t="array" ref="BG52">IF(AND(BG$2&lt;&gt;0,TblTech[[#This Row],[Hour]:[Hour]]&gt;=BG$2),1,0)</f>
        <v>0</v>
      </c>
      <c r="BH52" s="276" cm="1">
        <f t="array" ref="BH52">IF(AND(BH$2&lt;&gt;0,TblTech[[#This Row],[Hour]:[Hour]]&gt;=BH$2),1,0)</f>
        <v>0</v>
      </c>
      <c r="BI52" s="276" cm="1">
        <f t="array" ref="BI52">IF(AND(BI$2&lt;&gt;0,TblTech[[#This Row],[Hour]:[Hour]]&gt;=BI$2),1,0)</f>
        <v>0</v>
      </c>
      <c r="BJ52" s="276" cm="1">
        <f t="array" ref="BJ52">IF(AND(BJ$2&lt;&gt;0,TblTech[[#This Row],[Hour]:[Hour]]&gt;=BJ$2),1,0)</f>
        <v>0</v>
      </c>
      <c r="BK52" s="276" cm="1">
        <f t="array" ref="BK52">IF(AND(BK$2&lt;&gt;0,TblTech[[#This Row],[Hour]:[Hour]]&gt;=BK$2),1,0)</f>
        <v>0</v>
      </c>
      <c r="BL52" s="276" cm="1">
        <f t="array" ref="BL52">IF(AND(BL$2&lt;&gt;0,TblTech[[#This Row],[Hour]:[Hour]]&gt;=BL$2),1,0)</f>
        <v>0</v>
      </c>
      <c r="BM52" s="276" cm="1">
        <f t="array" ref="BM52">IF(AND(BM$2&lt;&gt;0,TblTech[[#This Row],[Hour]:[Hour]]&gt;=BM$2),1,0)</f>
        <v>0</v>
      </c>
      <c r="BN52" s="276" cm="1">
        <f t="array" ref="BN52">IF(AND(BN$2&lt;&gt;0,TblTech[[#This Row],[Hour]:[Hour]]&gt;=BN$2),1,0)</f>
        <v>0</v>
      </c>
      <c r="BO52" s="276" cm="1">
        <f t="array" ref="BO52">IF(AND(BO$2&lt;&gt;0,TblTech[[#This Row],[Hour]:[Hour]]&gt;=BO$2),1,0)</f>
        <v>0</v>
      </c>
      <c r="BP52" s="276" cm="1">
        <f t="array" ref="BP52">IF(AND(BP$2&lt;&gt;0,TblTech[[#This Row],[Hour]:[Hour]]&gt;=BP$2),1,0)</f>
        <v>0</v>
      </c>
      <c r="BQ52" s="276" cm="1">
        <f t="array" ref="BQ52">IF(AND(BQ$2&lt;&gt;0,TblTech[[#This Row],[Hour]:[Hour]]&gt;=BQ$2),1,0)</f>
        <v>0</v>
      </c>
      <c r="BR52" s="276" cm="1">
        <f t="array" ref="BR52">IF(AND(BR$2&lt;&gt;0,TblTech[[#This Row],[Hour]:[Hour]]&gt;=BR$2),1,0)</f>
        <v>0</v>
      </c>
      <c r="BS52" s="276" cm="1">
        <f t="array" ref="BS52">IF(AND(BS$2&lt;&gt;0,TblTech[[#This Row],[Hour]:[Hour]]&gt;=BS$2),1,0)</f>
        <v>0</v>
      </c>
      <c r="BT52" s="276" cm="1">
        <f t="array" ref="BT52">IF(AND(BT$2&lt;&gt;0,TblTech[[#This Row],[Hour]:[Hour]]&gt;=BT$2),1,0)</f>
        <v>0</v>
      </c>
      <c r="BU52" s="276" cm="1">
        <f t="array" ref="BU52">IF(AND(BU$2&lt;&gt;0,TblTech[[#This Row],[Hour]:[Hour]]&gt;=BU$2),1,0)</f>
        <v>0</v>
      </c>
      <c r="BV52" s="276" cm="1">
        <f t="array" ref="BV52">IF(AND(BV$2&lt;&gt;0,TblTech[[#This Row],[Hour]:[Hour]]&gt;=BV$2),1,0)</f>
        <v>0</v>
      </c>
      <c r="BW52" s="276" cm="1">
        <f t="array" ref="BW52">IF(AND(BW$2&lt;&gt;0,TblTech[[#This Row],[Hour]:[Hour]]&gt;=BW$2),1,0)</f>
        <v>0</v>
      </c>
      <c r="BX52" s="276" cm="1">
        <f t="array" ref="BX52">IF(AND(BX$2&lt;&gt;0,TblTech[[#This Row],[Hour]:[Hour]]&gt;=BX$2),1,0)</f>
        <v>0</v>
      </c>
      <c r="BY52" s="276" cm="1">
        <f t="array" ref="BY52">IF(AND(BY$2&lt;&gt;0,TblTech[[#This Row],[Hour]:[Hour]]&gt;=BY$2),1,0)</f>
        <v>0</v>
      </c>
      <c r="BZ52" s="276" cm="1">
        <f t="array" ref="BZ52">IF(AND(BZ$2&lt;&gt;0,TblTech[[#This Row],[Hour]:[Hour]]&gt;=BZ$2),1,0)</f>
        <v>0</v>
      </c>
      <c r="CA52" s="377">
        <f>IFERROR(INDEX($H$4:$H$79,MATCH(INDEX(TblTech[[#Headers],[1-1]:[11-1]],1,MATCH(TblTech[[#This Row],[Hour]],$M$2:$BZ$2,0)),$G$4:$G$79,0)),)</f>
        <v>0</v>
      </c>
    </row>
    <row r="53" spans="1:79" x14ac:dyDescent="0.2">
      <c r="A53" s="268">
        <f>TblRezone[[#This Row],[Hour]]</f>
        <v>50</v>
      </c>
      <c r="B53" s="269">
        <f ca="1">TblExplore[[#This Row],[Land-DB]]</f>
        <v>110</v>
      </c>
      <c r="C53" s="270">
        <f ca="1">TblProd[[#This Row],[Techpoints]]</f>
        <v>0</v>
      </c>
      <c r="D53" s="270">
        <f ca="1">TblProd[[#This Row],[Required]]</f>
        <v>3750</v>
      </c>
      <c r="E53" s="271"/>
      <c r="F53" s="272"/>
      <c r="G53" s="273"/>
      <c r="H53" s="274"/>
      <c r="I53" s="273"/>
      <c r="J53" s="269"/>
      <c r="K53" s="93">
        <f ca="1">IF(TblTech[[#This Row],[Sum of tech]]&lt;&gt;OFFSET(TblTech[[#This Row],[Sum of tech]],-1,0),1,0)</f>
        <v>0</v>
      </c>
      <c r="L53" s="275">
        <f>COUNTIF(TblTech[[#This Row],[1-1]:[11-1]],1)</f>
        <v>0</v>
      </c>
      <c r="M53" s="276" cm="1">
        <f t="array" ref="M53">IF(AND(M$2&lt;&gt;0,TblTech[[#This Row],[Hour]:[Hour]]&gt;=M$2),1,0)</f>
        <v>0</v>
      </c>
      <c r="N53" s="276" cm="1">
        <f t="array" ref="N53">IF(AND(N$2&lt;&gt;0,TblTech[[#This Row],[Hour]:[Hour]]&gt;=N$2),1,0)</f>
        <v>0</v>
      </c>
      <c r="O53" s="276" cm="1">
        <f t="array" ref="O53">IF(AND(O$2&lt;&gt;0,TblTech[[#This Row],[Hour]:[Hour]]&gt;=O$2),1,0)</f>
        <v>0</v>
      </c>
      <c r="P53" s="276" cm="1">
        <f t="array" ref="P53">IF(AND(P$2&lt;&gt;0,TblTech[[#This Row],[Hour]:[Hour]]&gt;=P$2),1,0)</f>
        <v>0</v>
      </c>
      <c r="Q53" s="276" cm="1">
        <f t="array" ref="Q53">IF(AND(Q$2&lt;&gt;0,TblTech[[#This Row],[Hour]:[Hour]]&gt;=Q$2),1,0)</f>
        <v>0</v>
      </c>
      <c r="R53" s="276" cm="1">
        <f t="array" ref="R53">IF(AND(R$2&lt;&gt;0,TblTech[[#This Row],[Hour]:[Hour]]&gt;=R$2),1,0)</f>
        <v>0</v>
      </c>
      <c r="S53" s="276" cm="1">
        <f t="array" ref="S53">IF(AND(S$2&lt;&gt;0,TblTech[[#This Row],[Hour]:[Hour]]&gt;=S$2),1,0)</f>
        <v>0</v>
      </c>
      <c r="T53" s="276" cm="1">
        <f t="array" ref="T53">IF(AND(T$2&lt;&gt;0,TblTech[[#This Row],[Hour]:[Hour]]&gt;=T$2),1,0)</f>
        <v>0</v>
      </c>
      <c r="U53" s="276" cm="1">
        <f t="array" ref="U53">IF(AND(U$2&lt;&gt;0,TblTech[[#This Row],[Hour]:[Hour]]&gt;=U$2),1,0)</f>
        <v>0</v>
      </c>
      <c r="V53" s="276" cm="1">
        <f t="array" ref="V53">IF(AND(V$2&lt;&gt;0,TblTech[[#This Row],[Hour]:[Hour]]&gt;=V$2),1,0)</f>
        <v>0</v>
      </c>
      <c r="W53" s="276" cm="1">
        <f t="array" ref="W53">IF(AND(W$2&lt;&gt;0,TblTech[[#This Row],[Hour]:[Hour]]&gt;=W$2),1,0)</f>
        <v>0</v>
      </c>
      <c r="X53" s="276" cm="1">
        <f t="array" ref="X53">IF(AND(X$2&lt;&gt;0,TblTech[[#This Row],[Hour]:[Hour]]&gt;=X$2),1,0)</f>
        <v>0</v>
      </c>
      <c r="Y53" s="276" cm="1">
        <f t="array" ref="Y53">IF(AND(Y$2&lt;&gt;0,TblTech[[#This Row],[Hour]:[Hour]]&gt;=Y$2),1,0)</f>
        <v>0</v>
      </c>
      <c r="Z53" s="276" cm="1">
        <f t="array" ref="Z53">IF(AND(Z$2&lt;&gt;0,TblTech[[#This Row],[Hour]:[Hour]]&gt;=Z$2),1,0)</f>
        <v>0</v>
      </c>
      <c r="AA53" s="276" cm="1">
        <f t="array" ref="AA53">IF(AND(AA$2&lt;&gt;0,TblTech[[#This Row],[Hour]:[Hour]]&gt;=AA$2),1,0)</f>
        <v>0</v>
      </c>
      <c r="AB53" s="276" cm="1">
        <f t="array" ref="AB53">IF(AND(AB$2&lt;&gt;0,TblTech[[#This Row],[Hour]:[Hour]]&gt;=AB$2),1,0)</f>
        <v>0</v>
      </c>
      <c r="AC53" s="276" cm="1">
        <f t="array" ref="AC53">IF(AND(AC$2&lt;&gt;0,TblTech[[#This Row],[Hour]:[Hour]]&gt;=AC$2),1,0)</f>
        <v>0</v>
      </c>
      <c r="AD53" s="276" cm="1">
        <f t="array" ref="AD53">IF(AND(AD$2&lt;&gt;0,TblTech[[#This Row],[Hour]:[Hour]]&gt;=AD$2),1,0)</f>
        <v>0</v>
      </c>
      <c r="AE53" s="276" cm="1">
        <f t="array" ref="AE53">IF(AND(AE$2&lt;&gt;0,TblTech[[#This Row],[Hour]:[Hour]]&gt;=AE$2),1,0)</f>
        <v>0</v>
      </c>
      <c r="AF53" s="276" cm="1">
        <f t="array" ref="AF53">IF(AND(AF$2&lt;&gt;0,TblTech[[#This Row],[Hour]:[Hour]]&gt;=AF$2),1,0)</f>
        <v>0</v>
      </c>
      <c r="AG53" s="276" cm="1">
        <f t="array" ref="AG53">IF(AND(AG$2&lt;&gt;0,TblTech[[#This Row],[Hour]:[Hour]]&gt;=AG$2),1,0)</f>
        <v>0</v>
      </c>
      <c r="AH53" s="276" cm="1">
        <f t="array" ref="AH53">IF(AND(AH$2&lt;&gt;0,TblTech[[#This Row],[Hour]:[Hour]]&gt;=AH$2),1,0)</f>
        <v>0</v>
      </c>
      <c r="AI53" s="276" cm="1">
        <f t="array" ref="AI53">IF(AND(AI$2&lt;&gt;0,TblTech[[#This Row],[Hour]:[Hour]]&gt;=AI$2),1,0)</f>
        <v>0</v>
      </c>
      <c r="AJ53" s="276" cm="1">
        <f t="array" ref="AJ53">IF(AND(AJ$2&lt;&gt;0,TblTech[[#This Row],[Hour]:[Hour]]&gt;=AJ$2),1,0)</f>
        <v>0</v>
      </c>
      <c r="AK53" s="276" cm="1">
        <f t="array" ref="AK53">IF(AND(AK$2&lt;&gt;0,TblTech[[#This Row],[Hour]:[Hour]]&gt;=AK$2),1,0)</f>
        <v>0</v>
      </c>
      <c r="AL53" s="276" cm="1">
        <f t="array" ref="AL53">IF(AND(AL$2&lt;&gt;0,TblTech[[#This Row],[Hour]:[Hour]]&gt;=AL$2),1,0)</f>
        <v>0</v>
      </c>
      <c r="AM53" s="276" cm="1">
        <f t="array" ref="AM53">IF(AND(AM$2&lt;&gt;0,TblTech[[#This Row],[Hour]:[Hour]]&gt;=AM$2),1,0)</f>
        <v>0</v>
      </c>
      <c r="AN53" s="276" cm="1">
        <f t="array" ref="AN53">IF(AND(AN$2&lt;&gt;0,TblTech[[#This Row],[Hour]:[Hour]]&gt;=AN$2),1,0)</f>
        <v>0</v>
      </c>
      <c r="AO53" s="276" cm="1">
        <f t="array" ref="AO53">IF(AND(AO$2&lt;&gt;0,TblTech[[#This Row],[Hour]:[Hour]]&gt;=AO$2),1,0)</f>
        <v>0</v>
      </c>
      <c r="AP53" s="276" cm="1">
        <f t="array" ref="AP53">IF(AND(AP$2&lt;&gt;0,TblTech[[#This Row],[Hour]:[Hour]]&gt;=AP$2),1,0)</f>
        <v>0</v>
      </c>
      <c r="AQ53" s="276" cm="1">
        <f t="array" ref="AQ53">IF(AND(AQ$2&lt;&gt;0,TblTech[[#This Row],[Hour]:[Hour]]&gt;=AQ$2),1,0)</f>
        <v>0</v>
      </c>
      <c r="AR53" s="276" cm="1">
        <f t="array" ref="AR53">IF(AND(AR$2&lt;&gt;0,TblTech[[#This Row],[Hour]:[Hour]]&gt;=AR$2),1,0)</f>
        <v>0</v>
      </c>
      <c r="AS53" s="276" cm="1">
        <f t="array" ref="AS53">IF(AND(AS$2&lt;&gt;0,TblTech[[#This Row],[Hour]:[Hour]]&gt;=AS$2),1,0)</f>
        <v>0</v>
      </c>
      <c r="AT53" s="276" cm="1">
        <f t="array" ref="AT53">IF(AND(AT$2&lt;&gt;0,TblTech[[#This Row],[Hour]:[Hour]]&gt;=AT$2),1,0)</f>
        <v>0</v>
      </c>
      <c r="AU53" s="276" cm="1">
        <f t="array" ref="AU53">IF(AND(AU$2&lt;&gt;0,TblTech[[#This Row],[Hour]:[Hour]]&gt;=AU$2),1,0)</f>
        <v>0</v>
      </c>
      <c r="AV53" s="276" cm="1">
        <f t="array" ref="AV53">IF(AND(AV$2&lt;&gt;0,TblTech[[#This Row],[Hour]:[Hour]]&gt;=AV$2),1,0)</f>
        <v>0</v>
      </c>
      <c r="AW53" s="276" cm="1">
        <f t="array" ref="AW53">IF(AND(AW$2&lt;&gt;0,TblTech[[#This Row],[Hour]:[Hour]]&gt;=AW$2),1,0)</f>
        <v>0</v>
      </c>
      <c r="AX53" s="276" cm="1">
        <f t="array" ref="AX53">IF(AND(AX$2&lt;&gt;0,TblTech[[#This Row],[Hour]:[Hour]]&gt;=AX$2),1,0)</f>
        <v>0</v>
      </c>
      <c r="AY53" s="276" cm="1">
        <f t="array" ref="AY53">IF(AND(AY$2&lt;&gt;0,TblTech[[#This Row],[Hour]:[Hour]]&gt;=AY$2),1,0)</f>
        <v>0</v>
      </c>
      <c r="AZ53" s="276" cm="1">
        <f t="array" ref="AZ53">IF(AND(AZ$2&lt;&gt;0,TblTech[[#This Row],[Hour]:[Hour]]&gt;=AZ$2),1,0)</f>
        <v>0</v>
      </c>
      <c r="BA53" s="276" cm="1">
        <f t="array" ref="BA53">IF(AND(BA$2&lt;&gt;0,TblTech[[#This Row],[Hour]:[Hour]]&gt;=BA$2),1,0)</f>
        <v>0</v>
      </c>
      <c r="BB53" s="276" cm="1">
        <f t="array" ref="BB53">IF(AND(BB$2&lt;&gt;0,TblTech[[#This Row],[Hour]:[Hour]]&gt;=BB$2),1,0)</f>
        <v>0</v>
      </c>
      <c r="BC53" s="276" cm="1">
        <f t="array" ref="BC53">IF(AND(BC$2&lt;&gt;0,TblTech[[#This Row],[Hour]:[Hour]]&gt;=BC$2),1,0)</f>
        <v>0</v>
      </c>
      <c r="BD53" s="276" cm="1">
        <f t="array" ref="BD53">IF(AND(BD$2&lt;&gt;0,TblTech[[#This Row],[Hour]:[Hour]]&gt;=BD$2),1,0)</f>
        <v>0</v>
      </c>
      <c r="BE53" s="276" cm="1">
        <f t="array" ref="BE53">IF(AND(BE$2&lt;&gt;0,TblTech[[#This Row],[Hour]:[Hour]]&gt;=BE$2),1,0)</f>
        <v>0</v>
      </c>
      <c r="BF53" s="276" cm="1">
        <f t="array" ref="BF53">IF(AND(BF$2&lt;&gt;0,TblTech[[#This Row],[Hour]:[Hour]]&gt;=BF$2),1,0)</f>
        <v>0</v>
      </c>
      <c r="BG53" s="276" cm="1">
        <f t="array" ref="BG53">IF(AND(BG$2&lt;&gt;0,TblTech[[#This Row],[Hour]:[Hour]]&gt;=BG$2),1,0)</f>
        <v>0</v>
      </c>
      <c r="BH53" s="276" cm="1">
        <f t="array" ref="BH53">IF(AND(BH$2&lt;&gt;0,TblTech[[#This Row],[Hour]:[Hour]]&gt;=BH$2),1,0)</f>
        <v>0</v>
      </c>
      <c r="BI53" s="276" cm="1">
        <f t="array" ref="BI53">IF(AND(BI$2&lt;&gt;0,TblTech[[#This Row],[Hour]:[Hour]]&gt;=BI$2),1,0)</f>
        <v>0</v>
      </c>
      <c r="BJ53" s="276" cm="1">
        <f t="array" ref="BJ53">IF(AND(BJ$2&lt;&gt;0,TblTech[[#This Row],[Hour]:[Hour]]&gt;=BJ$2),1,0)</f>
        <v>0</v>
      </c>
      <c r="BK53" s="276" cm="1">
        <f t="array" ref="BK53">IF(AND(BK$2&lt;&gt;0,TblTech[[#This Row],[Hour]:[Hour]]&gt;=BK$2),1,0)</f>
        <v>0</v>
      </c>
      <c r="BL53" s="276" cm="1">
        <f t="array" ref="BL53">IF(AND(BL$2&lt;&gt;0,TblTech[[#This Row],[Hour]:[Hour]]&gt;=BL$2),1,0)</f>
        <v>0</v>
      </c>
      <c r="BM53" s="276" cm="1">
        <f t="array" ref="BM53">IF(AND(BM$2&lt;&gt;0,TblTech[[#This Row],[Hour]:[Hour]]&gt;=BM$2),1,0)</f>
        <v>0</v>
      </c>
      <c r="BN53" s="276" cm="1">
        <f t="array" ref="BN53">IF(AND(BN$2&lt;&gt;0,TblTech[[#This Row],[Hour]:[Hour]]&gt;=BN$2),1,0)</f>
        <v>0</v>
      </c>
      <c r="BO53" s="276" cm="1">
        <f t="array" ref="BO53">IF(AND(BO$2&lt;&gt;0,TblTech[[#This Row],[Hour]:[Hour]]&gt;=BO$2),1,0)</f>
        <v>0</v>
      </c>
      <c r="BP53" s="276" cm="1">
        <f t="array" ref="BP53">IF(AND(BP$2&lt;&gt;0,TblTech[[#This Row],[Hour]:[Hour]]&gt;=BP$2),1,0)</f>
        <v>0</v>
      </c>
      <c r="BQ53" s="276" cm="1">
        <f t="array" ref="BQ53">IF(AND(BQ$2&lt;&gt;0,TblTech[[#This Row],[Hour]:[Hour]]&gt;=BQ$2),1,0)</f>
        <v>0</v>
      </c>
      <c r="BR53" s="276" cm="1">
        <f t="array" ref="BR53">IF(AND(BR$2&lt;&gt;0,TblTech[[#This Row],[Hour]:[Hour]]&gt;=BR$2),1,0)</f>
        <v>0</v>
      </c>
      <c r="BS53" s="276" cm="1">
        <f t="array" ref="BS53">IF(AND(BS$2&lt;&gt;0,TblTech[[#This Row],[Hour]:[Hour]]&gt;=BS$2),1,0)</f>
        <v>0</v>
      </c>
      <c r="BT53" s="276" cm="1">
        <f t="array" ref="BT53">IF(AND(BT$2&lt;&gt;0,TblTech[[#This Row],[Hour]:[Hour]]&gt;=BT$2),1,0)</f>
        <v>0</v>
      </c>
      <c r="BU53" s="276" cm="1">
        <f t="array" ref="BU53">IF(AND(BU$2&lt;&gt;0,TblTech[[#This Row],[Hour]:[Hour]]&gt;=BU$2),1,0)</f>
        <v>0</v>
      </c>
      <c r="BV53" s="276" cm="1">
        <f t="array" ref="BV53">IF(AND(BV$2&lt;&gt;0,TblTech[[#This Row],[Hour]:[Hour]]&gt;=BV$2),1,0)</f>
        <v>0</v>
      </c>
      <c r="BW53" s="276" cm="1">
        <f t="array" ref="BW53">IF(AND(BW$2&lt;&gt;0,TblTech[[#This Row],[Hour]:[Hour]]&gt;=BW$2),1,0)</f>
        <v>0</v>
      </c>
      <c r="BX53" s="276" cm="1">
        <f t="array" ref="BX53">IF(AND(BX$2&lt;&gt;0,TblTech[[#This Row],[Hour]:[Hour]]&gt;=BX$2),1,0)</f>
        <v>0</v>
      </c>
      <c r="BY53" s="276" cm="1">
        <f t="array" ref="BY53">IF(AND(BY$2&lt;&gt;0,TblTech[[#This Row],[Hour]:[Hour]]&gt;=BY$2),1,0)</f>
        <v>0</v>
      </c>
      <c r="BZ53" s="276" cm="1">
        <f t="array" ref="BZ53">IF(AND(BZ$2&lt;&gt;0,TblTech[[#This Row],[Hour]:[Hour]]&gt;=BZ$2),1,0)</f>
        <v>0</v>
      </c>
      <c r="CA53" s="377">
        <f>IFERROR(INDEX($H$4:$H$79,MATCH(INDEX(TblTech[[#Headers],[1-1]:[11-1]],1,MATCH(TblTech[[#This Row],[Hour]],$M$2:$BZ$2,0)),$G$4:$G$79,0)),)</f>
        <v>0</v>
      </c>
    </row>
    <row r="54" spans="1:79" x14ac:dyDescent="0.2">
      <c r="A54" s="268">
        <f>TblRezone[[#This Row],[Hour]]</f>
        <v>51</v>
      </c>
      <c r="B54" s="269">
        <f ca="1">TblExplore[[#This Row],[Land-DB]]</f>
        <v>110</v>
      </c>
      <c r="C54" s="270">
        <f ca="1">TblProd[[#This Row],[Techpoints]]</f>
        <v>0</v>
      </c>
      <c r="D54" s="270">
        <f ca="1">TblProd[[#This Row],[Required]]</f>
        <v>3750</v>
      </c>
      <c r="E54" s="271"/>
      <c r="F54" s="272"/>
      <c r="G54" s="273" t="s">
        <v>594</v>
      </c>
      <c r="H54" s="274" t="s">
        <v>718</v>
      </c>
      <c r="I54" s="273" t="s">
        <v>561</v>
      </c>
      <c r="J54" s="269"/>
      <c r="K54" s="93">
        <f ca="1">IF(TblTech[[#This Row],[Sum of tech]]&lt;&gt;OFFSET(TblTech[[#This Row],[Sum of tech]],-1,0),1,0)</f>
        <v>0</v>
      </c>
      <c r="L54" s="275">
        <f>COUNTIF(TblTech[[#This Row],[1-1]:[11-1]],1)</f>
        <v>0</v>
      </c>
      <c r="M54" s="276" cm="1">
        <f t="array" ref="M54">IF(AND(M$2&lt;&gt;0,TblTech[[#This Row],[Hour]:[Hour]]&gt;=M$2),1,0)</f>
        <v>0</v>
      </c>
      <c r="N54" s="276" cm="1">
        <f t="array" ref="N54">IF(AND(N$2&lt;&gt;0,TblTech[[#This Row],[Hour]:[Hour]]&gt;=N$2),1,0)</f>
        <v>0</v>
      </c>
      <c r="O54" s="276" cm="1">
        <f t="array" ref="O54">IF(AND(O$2&lt;&gt;0,TblTech[[#This Row],[Hour]:[Hour]]&gt;=O$2),1,0)</f>
        <v>0</v>
      </c>
      <c r="P54" s="276" cm="1">
        <f t="array" ref="P54">IF(AND(P$2&lt;&gt;0,TblTech[[#This Row],[Hour]:[Hour]]&gt;=P$2),1,0)</f>
        <v>0</v>
      </c>
      <c r="Q54" s="276" cm="1">
        <f t="array" ref="Q54">IF(AND(Q$2&lt;&gt;0,TblTech[[#This Row],[Hour]:[Hour]]&gt;=Q$2),1,0)</f>
        <v>0</v>
      </c>
      <c r="R54" s="276" cm="1">
        <f t="array" ref="R54">IF(AND(R$2&lt;&gt;0,TblTech[[#This Row],[Hour]:[Hour]]&gt;=R$2),1,0)</f>
        <v>0</v>
      </c>
      <c r="S54" s="276" cm="1">
        <f t="array" ref="S54">IF(AND(S$2&lt;&gt;0,TblTech[[#This Row],[Hour]:[Hour]]&gt;=S$2),1,0)</f>
        <v>0</v>
      </c>
      <c r="T54" s="276" cm="1">
        <f t="array" ref="T54">IF(AND(T$2&lt;&gt;0,TblTech[[#This Row],[Hour]:[Hour]]&gt;=T$2),1,0)</f>
        <v>0</v>
      </c>
      <c r="U54" s="276" cm="1">
        <f t="array" ref="U54">IF(AND(U$2&lt;&gt;0,TblTech[[#This Row],[Hour]:[Hour]]&gt;=U$2),1,0)</f>
        <v>0</v>
      </c>
      <c r="V54" s="276" cm="1">
        <f t="array" ref="V54">IF(AND(V$2&lt;&gt;0,TblTech[[#This Row],[Hour]:[Hour]]&gt;=V$2),1,0)</f>
        <v>0</v>
      </c>
      <c r="W54" s="276" cm="1">
        <f t="array" ref="W54">IF(AND(W$2&lt;&gt;0,TblTech[[#This Row],[Hour]:[Hour]]&gt;=W$2),1,0)</f>
        <v>0</v>
      </c>
      <c r="X54" s="276" cm="1">
        <f t="array" ref="X54">IF(AND(X$2&lt;&gt;0,TblTech[[#This Row],[Hour]:[Hour]]&gt;=X$2),1,0)</f>
        <v>0</v>
      </c>
      <c r="Y54" s="276" cm="1">
        <f t="array" ref="Y54">IF(AND(Y$2&lt;&gt;0,TblTech[[#This Row],[Hour]:[Hour]]&gt;=Y$2),1,0)</f>
        <v>0</v>
      </c>
      <c r="Z54" s="276" cm="1">
        <f t="array" ref="Z54">IF(AND(Z$2&lt;&gt;0,TblTech[[#This Row],[Hour]:[Hour]]&gt;=Z$2),1,0)</f>
        <v>0</v>
      </c>
      <c r="AA54" s="276" cm="1">
        <f t="array" ref="AA54">IF(AND(AA$2&lt;&gt;0,TblTech[[#This Row],[Hour]:[Hour]]&gt;=AA$2),1,0)</f>
        <v>0</v>
      </c>
      <c r="AB54" s="276" cm="1">
        <f t="array" ref="AB54">IF(AND(AB$2&lt;&gt;0,TblTech[[#This Row],[Hour]:[Hour]]&gt;=AB$2),1,0)</f>
        <v>0</v>
      </c>
      <c r="AC54" s="276" cm="1">
        <f t="array" ref="AC54">IF(AND(AC$2&lt;&gt;0,TblTech[[#This Row],[Hour]:[Hour]]&gt;=AC$2),1,0)</f>
        <v>0</v>
      </c>
      <c r="AD54" s="276" cm="1">
        <f t="array" ref="AD54">IF(AND(AD$2&lt;&gt;0,TblTech[[#This Row],[Hour]:[Hour]]&gt;=AD$2),1,0)</f>
        <v>0</v>
      </c>
      <c r="AE54" s="276" cm="1">
        <f t="array" ref="AE54">IF(AND(AE$2&lt;&gt;0,TblTech[[#This Row],[Hour]:[Hour]]&gt;=AE$2),1,0)</f>
        <v>0</v>
      </c>
      <c r="AF54" s="276" cm="1">
        <f t="array" ref="AF54">IF(AND(AF$2&lt;&gt;0,TblTech[[#This Row],[Hour]:[Hour]]&gt;=AF$2),1,0)</f>
        <v>0</v>
      </c>
      <c r="AG54" s="276" cm="1">
        <f t="array" ref="AG54">IF(AND(AG$2&lt;&gt;0,TblTech[[#This Row],[Hour]:[Hour]]&gt;=AG$2),1,0)</f>
        <v>0</v>
      </c>
      <c r="AH54" s="276" cm="1">
        <f t="array" ref="AH54">IF(AND(AH$2&lt;&gt;0,TblTech[[#This Row],[Hour]:[Hour]]&gt;=AH$2),1,0)</f>
        <v>0</v>
      </c>
      <c r="AI54" s="276" cm="1">
        <f t="array" ref="AI54">IF(AND(AI$2&lt;&gt;0,TblTech[[#This Row],[Hour]:[Hour]]&gt;=AI$2),1,0)</f>
        <v>0</v>
      </c>
      <c r="AJ54" s="276" cm="1">
        <f t="array" ref="AJ54">IF(AND(AJ$2&lt;&gt;0,TblTech[[#This Row],[Hour]:[Hour]]&gt;=AJ$2),1,0)</f>
        <v>0</v>
      </c>
      <c r="AK54" s="276" cm="1">
        <f t="array" ref="AK54">IF(AND(AK$2&lt;&gt;0,TblTech[[#This Row],[Hour]:[Hour]]&gt;=AK$2),1,0)</f>
        <v>0</v>
      </c>
      <c r="AL54" s="276" cm="1">
        <f t="array" ref="AL54">IF(AND(AL$2&lt;&gt;0,TblTech[[#This Row],[Hour]:[Hour]]&gt;=AL$2),1,0)</f>
        <v>0</v>
      </c>
      <c r="AM54" s="276" cm="1">
        <f t="array" ref="AM54">IF(AND(AM$2&lt;&gt;0,TblTech[[#This Row],[Hour]:[Hour]]&gt;=AM$2),1,0)</f>
        <v>0</v>
      </c>
      <c r="AN54" s="276" cm="1">
        <f t="array" ref="AN54">IF(AND(AN$2&lt;&gt;0,TblTech[[#This Row],[Hour]:[Hour]]&gt;=AN$2),1,0)</f>
        <v>0</v>
      </c>
      <c r="AO54" s="276" cm="1">
        <f t="array" ref="AO54">IF(AND(AO$2&lt;&gt;0,TblTech[[#This Row],[Hour]:[Hour]]&gt;=AO$2),1,0)</f>
        <v>0</v>
      </c>
      <c r="AP54" s="276" cm="1">
        <f t="array" ref="AP54">IF(AND(AP$2&lt;&gt;0,TblTech[[#This Row],[Hour]:[Hour]]&gt;=AP$2),1,0)</f>
        <v>0</v>
      </c>
      <c r="AQ54" s="276" cm="1">
        <f t="array" ref="AQ54">IF(AND(AQ$2&lt;&gt;0,TblTech[[#This Row],[Hour]:[Hour]]&gt;=AQ$2),1,0)</f>
        <v>0</v>
      </c>
      <c r="AR54" s="276" cm="1">
        <f t="array" ref="AR54">IF(AND(AR$2&lt;&gt;0,TblTech[[#This Row],[Hour]:[Hour]]&gt;=AR$2),1,0)</f>
        <v>0</v>
      </c>
      <c r="AS54" s="276" cm="1">
        <f t="array" ref="AS54">IF(AND(AS$2&lt;&gt;0,TblTech[[#This Row],[Hour]:[Hour]]&gt;=AS$2),1,0)</f>
        <v>0</v>
      </c>
      <c r="AT54" s="276" cm="1">
        <f t="array" ref="AT54">IF(AND(AT$2&lt;&gt;0,TblTech[[#This Row],[Hour]:[Hour]]&gt;=AT$2),1,0)</f>
        <v>0</v>
      </c>
      <c r="AU54" s="276" cm="1">
        <f t="array" ref="AU54">IF(AND(AU$2&lt;&gt;0,TblTech[[#This Row],[Hour]:[Hour]]&gt;=AU$2),1,0)</f>
        <v>0</v>
      </c>
      <c r="AV54" s="276" cm="1">
        <f t="array" ref="AV54">IF(AND(AV$2&lt;&gt;0,TblTech[[#This Row],[Hour]:[Hour]]&gt;=AV$2),1,0)</f>
        <v>0</v>
      </c>
      <c r="AW54" s="276" cm="1">
        <f t="array" ref="AW54">IF(AND(AW$2&lt;&gt;0,TblTech[[#This Row],[Hour]:[Hour]]&gt;=AW$2),1,0)</f>
        <v>0</v>
      </c>
      <c r="AX54" s="276" cm="1">
        <f t="array" ref="AX54">IF(AND(AX$2&lt;&gt;0,TblTech[[#This Row],[Hour]:[Hour]]&gt;=AX$2),1,0)</f>
        <v>0</v>
      </c>
      <c r="AY54" s="276" cm="1">
        <f t="array" ref="AY54">IF(AND(AY$2&lt;&gt;0,TblTech[[#This Row],[Hour]:[Hour]]&gt;=AY$2),1,0)</f>
        <v>0</v>
      </c>
      <c r="AZ54" s="276" cm="1">
        <f t="array" ref="AZ54">IF(AND(AZ$2&lt;&gt;0,TblTech[[#This Row],[Hour]:[Hour]]&gt;=AZ$2),1,0)</f>
        <v>0</v>
      </c>
      <c r="BA54" s="276" cm="1">
        <f t="array" ref="BA54">IF(AND(BA$2&lt;&gt;0,TblTech[[#This Row],[Hour]:[Hour]]&gt;=BA$2),1,0)</f>
        <v>0</v>
      </c>
      <c r="BB54" s="276" cm="1">
        <f t="array" ref="BB54">IF(AND(BB$2&lt;&gt;0,TblTech[[#This Row],[Hour]:[Hour]]&gt;=BB$2),1,0)</f>
        <v>0</v>
      </c>
      <c r="BC54" s="276" cm="1">
        <f t="array" ref="BC54">IF(AND(BC$2&lt;&gt;0,TblTech[[#This Row],[Hour]:[Hour]]&gt;=BC$2),1,0)</f>
        <v>0</v>
      </c>
      <c r="BD54" s="276" cm="1">
        <f t="array" ref="BD54">IF(AND(BD$2&lt;&gt;0,TblTech[[#This Row],[Hour]:[Hour]]&gt;=BD$2),1,0)</f>
        <v>0</v>
      </c>
      <c r="BE54" s="276" cm="1">
        <f t="array" ref="BE54">IF(AND(BE$2&lt;&gt;0,TblTech[[#This Row],[Hour]:[Hour]]&gt;=BE$2),1,0)</f>
        <v>0</v>
      </c>
      <c r="BF54" s="276" cm="1">
        <f t="array" ref="BF54">IF(AND(BF$2&lt;&gt;0,TblTech[[#This Row],[Hour]:[Hour]]&gt;=BF$2),1,0)</f>
        <v>0</v>
      </c>
      <c r="BG54" s="276" cm="1">
        <f t="array" ref="BG54">IF(AND(BG$2&lt;&gt;0,TblTech[[#This Row],[Hour]:[Hour]]&gt;=BG$2),1,0)</f>
        <v>0</v>
      </c>
      <c r="BH54" s="276" cm="1">
        <f t="array" ref="BH54">IF(AND(BH$2&lt;&gt;0,TblTech[[#This Row],[Hour]:[Hour]]&gt;=BH$2),1,0)</f>
        <v>0</v>
      </c>
      <c r="BI54" s="276" cm="1">
        <f t="array" ref="BI54">IF(AND(BI$2&lt;&gt;0,TblTech[[#This Row],[Hour]:[Hour]]&gt;=BI$2),1,0)</f>
        <v>0</v>
      </c>
      <c r="BJ54" s="276" cm="1">
        <f t="array" ref="BJ54">IF(AND(BJ$2&lt;&gt;0,TblTech[[#This Row],[Hour]:[Hour]]&gt;=BJ$2),1,0)</f>
        <v>0</v>
      </c>
      <c r="BK54" s="276" cm="1">
        <f t="array" ref="BK54">IF(AND(BK$2&lt;&gt;0,TblTech[[#This Row],[Hour]:[Hour]]&gt;=BK$2),1,0)</f>
        <v>0</v>
      </c>
      <c r="BL54" s="276" cm="1">
        <f t="array" ref="BL54">IF(AND(BL$2&lt;&gt;0,TblTech[[#This Row],[Hour]:[Hour]]&gt;=BL$2),1,0)</f>
        <v>0</v>
      </c>
      <c r="BM54" s="276" cm="1">
        <f t="array" ref="BM54">IF(AND(BM$2&lt;&gt;0,TblTech[[#This Row],[Hour]:[Hour]]&gt;=BM$2),1,0)</f>
        <v>0</v>
      </c>
      <c r="BN54" s="276" cm="1">
        <f t="array" ref="BN54">IF(AND(BN$2&lt;&gt;0,TblTech[[#This Row],[Hour]:[Hour]]&gt;=BN$2),1,0)</f>
        <v>0</v>
      </c>
      <c r="BO54" s="276" cm="1">
        <f t="array" ref="BO54">IF(AND(BO$2&lt;&gt;0,TblTech[[#This Row],[Hour]:[Hour]]&gt;=BO$2),1,0)</f>
        <v>0</v>
      </c>
      <c r="BP54" s="276" cm="1">
        <f t="array" ref="BP54">IF(AND(BP$2&lt;&gt;0,TblTech[[#This Row],[Hour]:[Hour]]&gt;=BP$2),1,0)</f>
        <v>0</v>
      </c>
      <c r="BQ54" s="276" cm="1">
        <f t="array" ref="BQ54">IF(AND(BQ$2&lt;&gt;0,TblTech[[#This Row],[Hour]:[Hour]]&gt;=BQ$2),1,0)</f>
        <v>0</v>
      </c>
      <c r="BR54" s="276" cm="1">
        <f t="array" ref="BR54">IF(AND(BR$2&lt;&gt;0,TblTech[[#This Row],[Hour]:[Hour]]&gt;=BR$2),1,0)</f>
        <v>0</v>
      </c>
      <c r="BS54" s="276" cm="1">
        <f t="array" ref="BS54">IF(AND(BS$2&lt;&gt;0,TblTech[[#This Row],[Hour]:[Hour]]&gt;=BS$2),1,0)</f>
        <v>0</v>
      </c>
      <c r="BT54" s="276" cm="1">
        <f t="array" ref="BT54">IF(AND(BT$2&lt;&gt;0,TblTech[[#This Row],[Hour]:[Hour]]&gt;=BT$2),1,0)</f>
        <v>0</v>
      </c>
      <c r="BU54" s="276" cm="1">
        <f t="array" ref="BU54">IF(AND(BU$2&lt;&gt;0,TblTech[[#This Row],[Hour]:[Hour]]&gt;=BU$2),1,0)</f>
        <v>0</v>
      </c>
      <c r="BV54" s="276" cm="1">
        <f t="array" ref="BV54">IF(AND(BV$2&lt;&gt;0,TblTech[[#This Row],[Hour]:[Hour]]&gt;=BV$2),1,0)</f>
        <v>0</v>
      </c>
      <c r="BW54" s="276" cm="1">
        <f t="array" ref="BW54">IF(AND(BW$2&lt;&gt;0,TblTech[[#This Row],[Hour]:[Hour]]&gt;=BW$2),1,0)</f>
        <v>0</v>
      </c>
      <c r="BX54" s="276" cm="1">
        <f t="array" ref="BX54">IF(AND(BX$2&lt;&gt;0,TblTech[[#This Row],[Hour]:[Hour]]&gt;=BX$2),1,0)</f>
        <v>0</v>
      </c>
      <c r="BY54" s="276" cm="1">
        <f t="array" ref="BY54">IF(AND(BY$2&lt;&gt;0,TblTech[[#This Row],[Hour]:[Hour]]&gt;=BY$2),1,0)</f>
        <v>0</v>
      </c>
      <c r="BZ54" s="276" cm="1">
        <f t="array" ref="BZ54">IF(AND(BZ$2&lt;&gt;0,TblTech[[#This Row],[Hour]:[Hour]]&gt;=BZ$2),1,0)</f>
        <v>0</v>
      </c>
      <c r="CA54" s="377">
        <f>IFERROR(INDEX($H$4:$H$79,MATCH(INDEX(TblTech[[#Headers],[1-1]:[11-1]],1,MATCH(TblTech[[#This Row],[Hour]],$M$2:$BZ$2,0)),$G$4:$G$79,0)),)</f>
        <v>0</v>
      </c>
    </row>
    <row r="55" spans="1:79" x14ac:dyDescent="0.2">
      <c r="A55" s="268">
        <f>TblRezone[[#This Row],[Hour]]</f>
        <v>52</v>
      </c>
      <c r="B55" s="269">
        <f ca="1">TblExplore[[#This Row],[Land-DB]]</f>
        <v>110</v>
      </c>
      <c r="C55" s="270">
        <f ca="1">TblProd[[#This Row],[Techpoints]]</f>
        <v>0</v>
      </c>
      <c r="D55" s="270">
        <f ca="1">TblProd[[#This Row],[Required]]</f>
        <v>3750</v>
      </c>
      <c r="E55" s="271"/>
      <c r="F55" s="272"/>
      <c r="G55" s="273" t="s">
        <v>595</v>
      </c>
      <c r="H55" s="274" t="s">
        <v>719</v>
      </c>
      <c r="I55" s="273" t="s">
        <v>596</v>
      </c>
      <c r="J55" s="269"/>
      <c r="K55" s="93">
        <f ca="1">IF(TblTech[[#This Row],[Sum of tech]]&lt;&gt;OFFSET(TblTech[[#This Row],[Sum of tech]],-1,0),1,0)</f>
        <v>0</v>
      </c>
      <c r="L55" s="275">
        <f>COUNTIF(TblTech[[#This Row],[1-1]:[11-1]],1)</f>
        <v>0</v>
      </c>
      <c r="M55" s="276" cm="1">
        <f t="array" ref="M55">IF(AND(M$2&lt;&gt;0,TblTech[[#This Row],[Hour]:[Hour]]&gt;=M$2),1,0)</f>
        <v>0</v>
      </c>
      <c r="N55" s="276" cm="1">
        <f t="array" ref="N55">IF(AND(N$2&lt;&gt;0,TblTech[[#This Row],[Hour]:[Hour]]&gt;=N$2),1,0)</f>
        <v>0</v>
      </c>
      <c r="O55" s="276" cm="1">
        <f t="array" ref="O55">IF(AND(O$2&lt;&gt;0,TblTech[[#This Row],[Hour]:[Hour]]&gt;=O$2),1,0)</f>
        <v>0</v>
      </c>
      <c r="P55" s="276" cm="1">
        <f t="array" ref="P55">IF(AND(P$2&lt;&gt;0,TblTech[[#This Row],[Hour]:[Hour]]&gt;=P$2),1,0)</f>
        <v>0</v>
      </c>
      <c r="Q55" s="276" cm="1">
        <f t="array" ref="Q55">IF(AND(Q$2&lt;&gt;0,TblTech[[#This Row],[Hour]:[Hour]]&gt;=Q$2),1,0)</f>
        <v>0</v>
      </c>
      <c r="R55" s="276" cm="1">
        <f t="array" ref="R55">IF(AND(R$2&lt;&gt;0,TblTech[[#This Row],[Hour]:[Hour]]&gt;=R$2),1,0)</f>
        <v>0</v>
      </c>
      <c r="S55" s="276" cm="1">
        <f t="array" ref="S55">IF(AND(S$2&lt;&gt;0,TblTech[[#This Row],[Hour]:[Hour]]&gt;=S$2),1,0)</f>
        <v>0</v>
      </c>
      <c r="T55" s="276" cm="1">
        <f t="array" ref="T55">IF(AND(T$2&lt;&gt;0,TblTech[[#This Row],[Hour]:[Hour]]&gt;=T$2),1,0)</f>
        <v>0</v>
      </c>
      <c r="U55" s="276" cm="1">
        <f t="array" ref="U55">IF(AND(U$2&lt;&gt;0,TblTech[[#This Row],[Hour]:[Hour]]&gt;=U$2),1,0)</f>
        <v>0</v>
      </c>
      <c r="V55" s="276" cm="1">
        <f t="array" ref="V55">IF(AND(V$2&lt;&gt;0,TblTech[[#This Row],[Hour]:[Hour]]&gt;=V$2),1,0)</f>
        <v>0</v>
      </c>
      <c r="W55" s="276" cm="1">
        <f t="array" ref="W55">IF(AND(W$2&lt;&gt;0,TblTech[[#This Row],[Hour]:[Hour]]&gt;=W$2),1,0)</f>
        <v>0</v>
      </c>
      <c r="X55" s="276" cm="1">
        <f t="array" ref="X55">IF(AND(X$2&lt;&gt;0,TblTech[[#This Row],[Hour]:[Hour]]&gt;=X$2),1,0)</f>
        <v>0</v>
      </c>
      <c r="Y55" s="276" cm="1">
        <f t="array" ref="Y55">IF(AND(Y$2&lt;&gt;0,TblTech[[#This Row],[Hour]:[Hour]]&gt;=Y$2),1,0)</f>
        <v>0</v>
      </c>
      <c r="Z55" s="276" cm="1">
        <f t="array" ref="Z55">IF(AND(Z$2&lt;&gt;0,TblTech[[#This Row],[Hour]:[Hour]]&gt;=Z$2),1,0)</f>
        <v>0</v>
      </c>
      <c r="AA55" s="276" cm="1">
        <f t="array" ref="AA55">IF(AND(AA$2&lt;&gt;0,TblTech[[#This Row],[Hour]:[Hour]]&gt;=AA$2),1,0)</f>
        <v>0</v>
      </c>
      <c r="AB55" s="276" cm="1">
        <f t="array" ref="AB55">IF(AND(AB$2&lt;&gt;0,TblTech[[#This Row],[Hour]:[Hour]]&gt;=AB$2),1,0)</f>
        <v>0</v>
      </c>
      <c r="AC55" s="276" cm="1">
        <f t="array" ref="AC55">IF(AND(AC$2&lt;&gt;0,TblTech[[#This Row],[Hour]:[Hour]]&gt;=AC$2),1,0)</f>
        <v>0</v>
      </c>
      <c r="AD55" s="276" cm="1">
        <f t="array" ref="AD55">IF(AND(AD$2&lt;&gt;0,TblTech[[#This Row],[Hour]:[Hour]]&gt;=AD$2),1,0)</f>
        <v>0</v>
      </c>
      <c r="AE55" s="276" cm="1">
        <f t="array" ref="AE55">IF(AND(AE$2&lt;&gt;0,TblTech[[#This Row],[Hour]:[Hour]]&gt;=AE$2),1,0)</f>
        <v>0</v>
      </c>
      <c r="AF55" s="276" cm="1">
        <f t="array" ref="AF55">IF(AND(AF$2&lt;&gt;0,TblTech[[#This Row],[Hour]:[Hour]]&gt;=AF$2),1,0)</f>
        <v>0</v>
      </c>
      <c r="AG55" s="276" cm="1">
        <f t="array" ref="AG55">IF(AND(AG$2&lt;&gt;0,TblTech[[#This Row],[Hour]:[Hour]]&gt;=AG$2),1,0)</f>
        <v>0</v>
      </c>
      <c r="AH55" s="276" cm="1">
        <f t="array" ref="AH55">IF(AND(AH$2&lt;&gt;0,TblTech[[#This Row],[Hour]:[Hour]]&gt;=AH$2),1,0)</f>
        <v>0</v>
      </c>
      <c r="AI55" s="276" cm="1">
        <f t="array" ref="AI55">IF(AND(AI$2&lt;&gt;0,TblTech[[#This Row],[Hour]:[Hour]]&gt;=AI$2),1,0)</f>
        <v>0</v>
      </c>
      <c r="AJ55" s="276" cm="1">
        <f t="array" ref="AJ55">IF(AND(AJ$2&lt;&gt;0,TblTech[[#This Row],[Hour]:[Hour]]&gt;=AJ$2),1,0)</f>
        <v>0</v>
      </c>
      <c r="AK55" s="276" cm="1">
        <f t="array" ref="AK55">IF(AND(AK$2&lt;&gt;0,TblTech[[#This Row],[Hour]:[Hour]]&gt;=AK$2),1,0)</f>
        <v>0</v>
      </c>
      <c r="AL55" s="276" cm="1">
        <f t="array" ref="AL55">IF(AND(AL$2&lt;&gt;0,TblTech[[#This Row],[Hour]:[Hour]]&gt;=AL$2),1,0)</f>
        <v>0</v>
      </c>
      <c r="AM55" s="276" cm="1">
        <f t="array" ref="AM55">IF(AND(AM$2&lt;&gt;0,TblTech[[#This Row],[Hour]:[Hour]]&gt;=AM$2),1,0)</f>
        <v>0</v>
      </c>
      <c r="AN55" s="276" cm="1">
        <f t="array" ref="AN55">IF(AND(AN$2&lt;&gt;0,TblTech[[#This Row],[Hour]:[Hour]]&gt;=AN$2),1,0)</f>
        <v>0</v>
      </c>
      <c r="AO55" s="276" cm="1">
        <f t="array" ref="AO55">IF(AND(AO$2&lt;&gt;0,TblTech[[#This Row],[Hour]:[Hour]]&gt;=AO$2),1,0)</f>
        <v>0</v>
      </c>
      <c r="AP55" s="276" cm="1">
        <f t="array" ref="AP55">IF(AND(AP$2&lt;&gt;0,TblTech[[#This Row],[Hour]:[Hour]]&gt;=AP$2),1,0)</f>
        <v>0</v>
      </c>
      <c r="AQ55" s="276" cm="1">
        <f t="array" ref="AQ55">IF(AND(AQ$2&lt;&gt;0,TblTech[[#This Row],[Hour]:[Hour]]&gt;=AQ$2),1,0)</f>
        <v>0</v>
      </c>
      <c r="AR55" s="276" cm="1">
        <f t="array" ref="AR55">IF(AND(AR$2&lt;&gt;0,TblTech[[#This Row],[Hour]:[Hour]]&gt;=AR$2),1,0)</f>
        <v>0</v>
      </c>
      <c r="AS55" s="276" cm="1">
        <f t="array" ref="AS55">IF(AND(AS$2&lt;&gt;0,TblTech[[#This Row],[Hour]:[Hour]]&gt;=AS$2),1,0)</f>
        <v>0</v>
      </c>
      <c r="AT55" s="276" cm="1">
        <f t="array" ref="AT55">IF(AND(AT$2&lt;&gt;0,TblTech[[#This Row],[Hour]:[Hour]]&gt;=AT$2),1,0)</f>
        <v>0</v>
      </c>
      <c r="AU55" s="276" cm="1">
        <f t="array" ref="AU55">IF(AND(AU$2&lt;&gt;0,TblTech[[#This Row],[Hour]:[Hour]]&gt;=AU$2),1,0)</f>
        <v>0</v>
      </c>
      <c r="AV55" s="276" cm="1">
        <f t="array" ref="AV55">IF(AND(AV$2&lt;&gt;0,TblTech[[#This Row],[Hour]:[Hour]]&gt;=AV$2),1,0)</f>
        <v>0</v>
      </c>
      <c r="AW55" s="276" cm="1">
        <f t="array" ref="AW55">IF(AND(AW$2&lt;&gt;0,TblTech[[#This Row],[Hour]:[Hour]]&gt;=AW$2),1,0)</f>
        <v>0</v>
      </c>
      <c r="AX55" s="276" cm="1">
        <f t="array" ref="AX55">IF(AND(AX$2&lt;&gt;0,TblTech[[#This Row],[Hour]:[Hour]]&gt;=AX$2),1,0)</f>
        <v>0</v>
      </c>
      <c r="AY55" s="276" cm="1">
        <f t="array" ref="AY55">IF(AND(AY$2&lt;&gt;0,TblTech[[#This Row],[Hour]:[Hour]]&gt;=AY$2),1,0)</f>
        <v>0</v>
      </c>
      <c r="AZ55" s="276" cm="1">
        <f t="array" ref="AZ55">IF(AND(AZ$2&lt;&gt;0,TblTech[[#This Row],[Hour]:[Hour]]&gt;=AZ$2),1,0)</f>
        <v>0</v>
      </c>
      <c r="BA55" s="276" cm="1">
        <f t="array" ref="BA55">IF(AND(BA$2&lt;&gt;0,TblTech[[#This Row],[Hour]:[Hour]]&gt;=BA$2),1,0)</f>
        <v>0</v>
      </c>
      <c r="BB55" s="276" cm="1">
        <f t="array" ref="BB55">IF(AND(BB$2&lt;&gt;0,TblTech[[#This Row],[Hour]:[Hour]]&gt;=BB$2),1,0)</f>
        <v>0</v>
      </c>
      <c r="BC55" s="276" cm="1">
        <f t="array" ref="BC55">IF(AND(BC$2&lt;&gt;0,TblTech[[#This Row],[Hour]:[Hour]]&gt;=BC$2),1,0)</f>
        <v>0</v>
      </c>
      <c r="BD55" s="276" cm="1">
        <f t="array" ref="BD55">IF(AND(BD$2&lt;&gt;0,TblTech[[#This Row],[Hour]:[Hour]]&gt;=BD$2),1,0)</f>
        <v>0</v>
      </c>
      <c r="BE55" s="276" cm="1">
        <f t="array" ref="BE55">IF(AND(BE$2&lt;&gt;0,TblTech[[#This Row],[Hour]:[Hour]]&gt;=BE$2),1,0)</f>
        <v>0</v>
      </c>
      <c r="BF55" s="276" cm="1">
        <f t="array" ref="BF55">IF(AND(BF$2&lt;&gt;0,TblTech[[#This Row],[Hour]:[Hour]]&gt;=BF$2),1,0)</f>
        <v>0</v>
      </c>
      <c r="BG55" s="276" cm="1">
        <f t="array" ref="BG55">IF(AND(BG$2&lt;&gt;0,TblTech[[#This Row],[Hour]:[Hour]]&gt;=BG$2),1,0)</f>
        <v>0</v>
      </c>
      <c r="BH55" s="276" cm="1">
        <f t="array" ref="BH55">IF(AND(BH$2&lt;&gt;0,TblTech[[#This Row],[Hour]:[Hour]]&gt;=BH$2),1,0)</f>
        <v>0</v>
      </c>
      <c r="BI55" s="276" cm="1">
        <f t="array" ref="BI55">IF(AND(BI$2&lt;&gt;0,TblTech[[#This Row],[Hour]:[Hour]]&gt;=BI$2),1,0)</f>
        <v>0</v>
      </c>
      <c r="BJ55" s="276" cm="1">
        <f t="array" ref="BJ55">IF(AND(BJ$2&lt;&gt;0,TblTech[[#This Row],[Hour]:[Hour]]&gt;=BJ$2),1,0)</f>
        <v>0</v>
      </c>
      <c r="BK55" s="276" cm="1">
        <f t="array" ref="BK55">IF(AND(BK$2&lt;&gt;0,TblTech[[#This Row],[Hour]:[Hour]]&gt;=BK$2),1,0)</f>
        <v>0</v>
      </c>
      <c r="BL55" s="276" cm="1">
        <f t="array" ref="BL55">IF(AND(BL$2&lt;&gt;0,TblTech[[#This Row],[Hour]:[Hour]]&gt;=BL$2),1,0)</f>
        <v>0</v>
      </c>
      <c r="BM55" s="276" cm="1">
        <f t="array" ref="BM55">IF(AND(BM$2&lt;&gt;0,TblTech[[#This Row],[Hour]:[Hour]]&gt;=BM$2),1,0)</f>
        <v>0</v>
      </c>
      <c r="BN55" s="276" cm="1">
        <f t="array" ref="BN55">IF(AND(BN$2&lt;&gt;0,TblTech[[#This Row],[Hour]:[Hour]]&gt;=BN$2),1,0)</f>
        <v>0</v>
      </c>
      <c r="BO55" s="276" cm="1">
        <f t="array" ref="BO55">IF(AND(BO$2&lt;&gt;0,TblTech[[#This Row],[Hour]:[Hour]]&gt;=BO$2),1,0)</f>
        <v>0</v>
      </c>
      <c r="BP55" s="276" cm="1">
        <f t="array" ref="BP55">IF(AND(BP$2&lt;&gt;0,TblTech[[#This Row],[Hour]:[Hour]]&gt;=BP$2),1,0)</f>
        <v>0</v>
      </c>
      <c r="BQ55" s="276" cm="1">
        <f t="array" ref="BQ55">IF(AND(BQ$2&lt;&gt;0,TblTech[[#This Row],[Hour]:[Hour]]&gt;=BQ$2),1,0)</f>
        <v>0</v>
      </c>
      <c r="BR55" s="276" cm="1">
        <f t="array" ref="BR55">IF(AND(BR$2&lt;&gt;0,TblTech[[#This Row],[Hour]:[Hour]]&gt;=BR$2),1,0)</f>
        <v>0</v>
      </c>
      <c r="BS55" s="276" cm="1">
        <f t="array" ref="BS55">IF(AND(BS$2&lt;&gt;0,TblTech[[#This Row],[Hour]:[Hour]]&gt;=BS$2),1,0)</f>
        <v>0</v>
      </c>
      <c r="BT55" s="276" cm="1">
        <f t="array" ref="BT55">IF(AND(BT$2&lt;&gt;0,TblTech[[#This Row],[Hour]:[Hour]]&gt;=BT$2),1,0)</f>
        <v>0</v>
      </c>
      <c r="BU55" s="276" cm="1">
        <f t="array" ref="BU55">IF(AND(BU$2&lt;&gt;0,TblTech[[#This Row],[Hour]:[Hour]]&gt;=BU$2),1,0)</f>
        <v>0</v>
      </c>
      <c r="BV55" s="276" cm="1">
        <f t="array" ref="BV55">IF(AND(BV$2&lt;&gt;0,TblTech[[#This Row],[Hour]:[Hour]]&gt;=BV$2),1,0)</f>
        <v>0</v>
      </c>
      <c r="BW55" s="276" cm="1">
        <f t="array" ref="BW55">IF(AND(BW$2&lt;&gt;0,TblTech[[#This Row],[Hour]:[Hour]]&gt;=BW$2),1,0)</f>
        <v>0</v>
      </c>
      <c r="BX55" s="276" cm="1">
        <f t="array" ref="BX55">IF(AND(BX$2&lt;&gt;0,TblTech[[#This Row],[Hour]:[Hour]]&gt;=BX$2),1,0)</f>
        <v>0</v>
      </c>
      <c r="BY55" s="276" cm="1">
        <f t="array" ref="BY55">IF(AND(BY$2&lt;&gt;0,TblTech[[#This Row],[Hour]:[Hour]]&gt;=BY$2),1,0)</f>
        <v>0</v>
      </c>
      <c r="BZ55" s="276" cm="1">
        <f t="array" ref="BZ55">IF(AND(BZ$2&lt;&gt;0,TblTech[[#This Row],[Hour]:[Hour]]&gt;=BZ$2),1,0)</f>
        <v>0</v>
      </c>
      <c r="CA55" s="377">
        <f>IFERROR(INDEX($H$4:$H$79,MATCH(INDEX(TblTech[[#Headers],[1-1]:[11-1]],1,MATCH(TblTech[[#This Row],[Hour]],$M$2:$BZ$2,0)),$G$4:$G$79,0)),)</f>
        <v>0</v>
      </c>
    </row>
    <row r="56" spans="1:79" x14ac:dyDescent="0.2">
      <c r="A56" s="268">
        <f>TblRezone[[#This Row],[Hour]]</f>
        <v>53</v>
      </c>
      <c r="B56" s="269">
        <f ca="1">TblExplore[[#This Row],[Land-DB]]</f>
        <v>110</v>
      </c>
      <c r="C56" s="270">
        <f ca="1">TblProd[[#This Row],[Techpoints]]</f>
        <v>0</v>
      </c>
      <c r="D56" s="270">
        <f ca="1">TblProd[[#This Row],[Required]]</f>
        <v>3750</v>
      </c>
      <c r="E56" s="271"/>
      <c r="F56" s="272"/>
      <c r="G56" s="273" t="s">
        <v>597</v>
      </c>
      <c r="H56" s="274" t="s">
        <v>1056</v>
      </c>
      <c r="I56" s="273" t="s">
        <v>1097</v>
      </c>
      <c r="J56" s="269"/>
      <c r="K56" s="93">
        <f ca="1">IF(TblTech[[#This Row],[Sum of tech]]&lt;&gt;OFFSET(TblTech[[#This Row],[Sum of tech]],-1,0),1,0)</f>
        <v>0</v>
      </c>
      <c r="L56" s="275">
        <f>COUNTIF(TblTech[[#This Row],[1-1]:[11-1]],1)</f>
        <v>0</v>
      </c>
      <c r="M56" s="276" cm="1">
        <f t="array" ref="M56">IF(AND(M$2&lt;&gt;0,TblTech[[#This Row],[Hour]:[Hour]]&gt;=M$2),1,0)</f>
        <v>0</v>
      </c>
      <c r="N56" s="276" cm="1">
        <f t="array" ref="N56">IF(AND(N$2&lt;&gt;0,TblTech[[#This Row],[Hour]:[Hour]]&gt;=N$2),1,0)</f>
        <v>0</v>
      </c>
      <c r="O56" s="276" cm="1">
        <f t="array" ref="O56">IF(AND(O$2&lt;&gt;0,TblTech[[#This Row],[Hour]:[Hour]]&gt;=O$2),1,0)</f>
        <v>0</v>
      </c>
      <c r="P56" s="276" cm="1">
        <f t="array" ref="P56">IF(AND(P$2&lt;&gt;0,TblTech[[#This Row],[Hour]:[Hour]]&gt;=P$2),1,0)</f>
        <v>0</v>
      </c>
      <c r="Q56" s="276" cm="1">
        <f t="array" ref="Q56">IF(AND(Q$2&lt;&gt;0,TblTech[[#This Row],[Hour]:[Hour]]&gt;=Q$2),1,0)</f>
        <v>0</v>
      </c>
      <c r="R56" s="276" cm="1">
        <f t="array" ref="R56">IF(AND(R$2&lt;&gt;0,TblTech[[#This Row],[Hour]:[Hour]]&gt;=R$2),1,0)</f>
        <v>0</v>
      </c>
      <c r="S56" s="276" cm="1">
        <f t="array" ref="S56">IF(AND(S$2&lt;&gt;0,TblTech[[#This Row],[Hour]:[Hour]]&gt;=S$2),1,0)</f>
        <v>0</v>
      </c>
      <c r="T56" s="276" cm="1">
        <f t="array" ref="T56">IF(AND(T$2&lt;&gt;0,TblTech[[#This Row],[Hour]:[Hour]]&gt;=T$2),1,0)</f>
        <v>0</v>
      </c>
      <c r="U56" s="276" cm="1">
        <f t="array" ref="U56">IF(AND(U$2&lt;&gt;0,TblTech[[#This Row],[Hour]:[Hour]]&gt;=U$2),1,0)</f>
        <v>0</v>
      </c>
      <c r="V56" s="276" cm="1">
        <f t="array" ref="V56">IF(AND(V$2&lt;&gt;0,TblTech[[#This Row],[Hour]:[Hour]]&gt;=V$2),1,0)</f>
        <v>0</v>
      </c>
      <c r="W56" s="276" cm="1">
        <f t="array" ref="W56">IF(AND(W$2&lt;&gt;0,TblTech[[#This Row],[Hour]:[Hour]]&gt;=W$2),1,0)</f>
        <v>0</v>
      </c>
      <c r="X56" s="276" cm="1">
        <f t="array" ref="X56">IF(AND(X$2&lt;&gt;0,TblTech[[#This Row],[Hour]:[Hour]]&gt;=X$2),1,0)</f>
        <v>0</v>
      </c>
      <c r="Y56" s="276" cm="1">
        <f t="array" ref="Y56">IF(AND(Y$2&lt;&gt;0,TblTech[[#This Row],[Hour]:[Hour]]&gt;=Y$2),1,0)</f>
        <v>0</v>
      </c>
      <c r="Z56" s="276" cm="1">
        <f t="array" ref="Z56">IF(AND(Z$2&lt;&gt;0,TblTech[[#This Row],[Hour]:[Hour]]&gt;=Z$2),1,0)</f>
        <v>0</v>
      </c>
      <c r="AA56" s="276" cm="1">
        <f t="array" ref="AA56">IF(AND(AA$2&lt;&gt;0,TblTech[[#This Row],[Hour]:[Hour]]&gt;=AA$2),1,0)</f>
        <v>0</v>
      </c>
      <c r="AB56" s="276" cm="1">
        <f t="array" ref="AB56">IF(AND(AB$2&lt;&gt;0,TblTech[[#This Row],[Hour]:[Hour]]&gt;=AB$2),1,0)</f>
        <v>0</v>
      </c>
      <c r="AC56" s="276" cm="1">
        <f t="array" ref="AC56">IF(AND(AC$2&lt;&gt;0,TblTech[[#This Row],[Hour]:[Hour]]&gt;=AC$2),1,0)</f>
        <v>0</v>
      </c>
      <c r="AD56" s="276" cm="1">
        <f t="array" ref="AD56">IF(AND(AD$2&lt;&gt;0,TblTech[[#This Row],[Hour]:[Hour]]&gt;=AD$2),1,0)</f>
        <v>0</v>
      </c>
      <c r="AE56" s="276" cm="1">
        <f t="array" ref="AE56">IF(AND(AE$2&lt;&gt;0,TblTech[[#This Row],[Hour]:[Hour]]&gt;=AE$2),1,0)</f>
        <v>0</v>
      </c>
      <c r="AF56" s="276" cm="1">
        <f t="array" ref="AF56">IF(AND(AF$2&lt;&gt;0,TblTech[[#This Row],[Hour]:[Hour]]&gt;=AF$2),1,0)</f>
        <v>0</v>
      </c>
      <c r="AG56" s="276" cm="1">
        <f t="array" ref="AG56">IF(AND(AG$2&lt;&gt;0,TblTech[[#This Row],[Hour]:[Hour]]&gt;=AG$2),1,0)</f>
        <v>0</v>
      </c>
      <c r="AH56" s="276" cm="1">
        <f t="array" ref="AH56">IF(AND(AH$2&lt;&gt;0,TblTech[[#This Row],[Hour]:[Hour]]&gt;=AH$2),1,0)</f>
        <v>0</v>
      </c>
      <c r="AI56" s="276" cm="1">
        <f t="array" ref="AI56">IF(AND(AI$2&lt;&gt;0,TblTech[[#This Row],[Hour]:[Hour]]&gt;=AI$2),1,0)</f>
        <v>0</v>
      </c>
      <c r="AJ56" s="276" cm="1">
        <f t="array" ref="AJ56">IF(AND(AJ$2&lt;&gt;0,TblTech[[#This Row],[Hour]:[Hour]]&gt;=AJ$2),1,0)</f>
        <v>0</v>
      </c>
      <c r="AK56" s="276" cm="1">
        <f t="array" ref="AK56">IF(AND(AK$2&lt;&gt;0,TblTech[[#This Row],[Hour]:[Hour]]&gt;=AK$2),1,0)</f>
        <v>0</v>
      </c>
      <c r="AL56" s="276" cm="1">
        <f t="array" ref="AL56">IF(AND(AL$2&lt;&gt;0,TblTech[[#This Row],[Hour]:[Hour]]&gt;=AL$2),1,0)</f>
        <v>0</v>
      </c>
      <c r="AM56" s="276" cm="1">
        <f t="array" ref="AM56">IF(AND(AM$2&lt;&gt;0,TblTech[[#This Row],[Hour]:[Hour]]&gt;=AM$2),1,0)</f>
        <v>0</v>
      </c>
      <c r="AN56" s="276" cm="1">
        <f t="array" ref="AN56">IF(AND(AN$2&lt;&gt;0,TblTech[[#This Row],[Hour]:[Hour]]&gt;=AN$2),1,0)</f>
        <v>0</v>
      </c>
      <c r="AO56" s="276" cm="1">
        <f t="array" ref="AO56">IF(AND(AO$2&lt;&gt;0,TblTech[[#This Row],[Hour]:[Hour]]&gt;=AO$2),1,0)</f>
        <v>0</v>
      </c>
      <c r="AP56" s="276" cm="1">
        <f t="array" ref="AP56">IF(AND(AP$2&lt;&gt;0,TblTech[[#This Row],[Hour]:[Hour]]&gt;=AP$2),1,0)</f>
        <v>0</v>
      </c>
      <c r="AQ56" s="276" cm="1">
        <f t="array" ref="AQ56">IF(AND(AQ$2&lt;&gt;0,TblTech[[#This Row],[Hour]:[Hour]]&gt;=AQ$2),1,0)</f>
        <v>0</v>
      </c>
      <c r="AR56" s="276" cm="1">
        <f t="array" ref="AR56">IF(AND(AR$2&lt;&gt;0,TblTech[[#This Row],[Hour]:[Hour]]&gt;=AR$2),1,0)</f>
        <v>0</v>
      </c>
      <c r="AS56" s="276" cm="1">
        <f t="array" ref="AS56">IF(AND(AS$2&lt;&gt;0,TblTech[[#This Row],[Hour]:[Hour]]&gt;=AS$2),1,0)</f>
        <v>0</v>
      </c>
      <c r="AT56" s="276" cm="1">
        <f t="array" ref="AT56">IF(AND(AT$2&lt;&gt;0,TblTech[[#This Row],[Hour]:[Hour]]&gt;=AT$2),1,0)</f>
        <v>0</v>
      </c>
      <c r="AU56" s="276" cm="1">
        <f t="array" ref="AU56">IF(AND(AU$2&lt;&gt;0,TblTech[[#This Row],[Hour]:[Hour]]&gt;=AU$2),1,0)</f>
        <v>0</v>
      </c>
      <c r="AV56" s="276" cm="1">
        <f t="array" ref="AV56">IF(AND(AV$2&lt;&gt;0,TblTech[[#This Row],[Hour]:[Hour]]&gt;=AV$2),1,0)</f>
        <v>0</v>
      </c>
      <c r="AW56" s="276" cm="1">
        <f t="array" ref="AW56">IF(AND(AW$2&lt;&gt;0,TblTech[[#This Row],[Hour]:[Hour]]&gt;=AW$2),1,0)</f>
        <v>0</v>
      </c>
      <c r="AX56" s="276" cm="1">
        <f t="array" ref="AX56">IF(AND(AX$2&lt;&gt;0,TblTech[[#This Row],[Hour]:[Hour]]&gt;=AX$2),1,0)</f>
        <v>0</v>
      </c>
      <c r="AY56" s="276" cm="1">
        <f t="array" ref="AY56">IF(AND(AY$2&lt;&gt;0,TblTech[[#This Row],[Hour]:[Hour]]&gt;=AY$2),1,0)</f>
        <v>0</v>
      </c>
      <c r="AZ56" s="276" cm="1">
        <f t="array" ref="AZ56">IF(AND(AZ$2&lt;&gt;0,TblTech[[#This Row],[Hour]:[Hour]]&gt;=AZ$2),1,0)</f>
        <v>0</v>
      </c>
      <c r="BA56" s="276" cm="1">
        <f t="array" ref="BA56">IF(AND(BA$2&lt;&gt;0,TblTech[[#This Row],[Hour]:[Hour]]&gt;=BA$2),1,0)</f>
        <v>0</v>
      </c>
      <c r="BB56" s="276" cm="1">
        <f t="array" ref="BB56">IF(AND(BB$2&lt;&gt;0,TblTech[[#This Row],[Hour]:[Hour]]&gt;=BB$2),1,0)</f>
        <v>0</v>
      </c>
      <c r="BC56" s="276" cm="1">
        <f t="array" ref="BC56">IF(AND(BC$2&lt;&gt;0,TblTech[[#This Row],[Hour]:[Hour]]&gt;=BC$2),1,0)</f>
        <v>0</v>
      </c>
      <c r="BD56" s="276" cm="1">
        <f t="array" ref="BD56">IF(AND(BD$2&lt;&gt;0,TblTech[[#This Row],[Hour]:[Hour]]&gt;=BD$2),1,0)</f>
        <v>0</v>
      </c>
      <c r="BE56" s="276" cm="1">
        <f t="array" ref="BE56">IF(AND(BE$2&lt;&gt;0,TblTech[[#This Row],[Hour]:[Hour]]&gt;=BE$2),1,0)</f>
        <v>0</v>
      </c>
      <c r="BF56" s="276" cm="1">
        <f t="array" ref="BF56">IF(AND(BF$2&lt;&gt;0,TblTech[[#This Row],[Hour]:[Hour]]&gt;=BF$2),1,0)</f>
        <v>0</v>
      </c>
      <c r="BG56" s="276" cm="1">
        <f t="array" ref="BG56">IF(AND(BG$2&lt;&gt;0,TblTech[[#This Row],[Hour]:[Hour]]&gt;=BG$2),1,0)</f>
        <v>0</v>
      </c>
      <c r="BH56" s="276" cm="1">
        <f t="array" ref="BH56">IF(AND(BH$2&lt;&gt;0,TblTech[[#This Row],[Hour]:[Hour]]&gt;=BH$2),1,0)</f>
        <v>0</v>
      </c>
      <c r="BI56" s="276" cm="1">
        <f t="array" ref="BI56">IF(AND(BI$2&lt;&gt;0,TblTech[[#This Row],[Hour]:[Hour]]&gt;=BI$2),1,0)</f>
        <v>0</v>
      </c>
      <c r="BJ56" s="276" cm="1">
        <f t="array" ref="BJ56">IF(AND(BJ$2&lt;&gt;0,TblTech[[#This Row],[Hour]:[Hour]]&gt;=BJ$2),1,0)</f>
        <v>0</v>
      </c>
      <c r="BK56" s="276" cm="1">
        <f t="array" ref="BK56">IF(AND(BK$2&lt;&gt;0,TblTech[[#This Row],[Hour]:[Hour]]&gt;=BK$2),1,0)</f>
        <v>0</v>
      </c>
      <c r="BL56" s="276" cm="1">
        <f t="array" ref="BL56">IF(AND(BL$2&lt;&gt;0,TblTech[[#This Row],[Hour]:[Hour]]&gt;=BL$2),1,0)</f>
        <v>0</v>
      </c>
      <c r="BM56" s="276" cm="1">
        <f t="array" ref="BM56">IF(AND(BM$2&lt;&gt;0,TblTech[[#This Row],[Hour]:[Hour]]&gt;=BM$2),1,0)</f>
        <v>0</v>
      </c>
      <c r="BN56" s="276" cm="1">
        <f t="array" ref="BN56">IF(AND(BN$2&lt;&gt;0,TblTech[[#This Row],[Hour]:[Hour]]&gt;=BN$2),1,0)</f>
        <v>0</v>
      </c>
      <c r="BO56" s="276" cm="1">
        <f t="array" ref="BO56">IF(AND(BO$2&lt;&gt;0,TblTech[[#This Row],[Hour]:[Hour]]&gt;=BO$2),1,0)</f>
        <v>0</v>
      </c>
      <c r="BP56" s="276" cm="1">
        <f t="array" ref="BP56">IF(AND(BP$2&lt;&gt;0,TblTech[[#This Row],[Hour]:[Hour]]&gt;=BP$2),1,0)</f>
        <v>0</v>
      </c>
      <c r="BQ56" s="276" cm="1">
        <f t="array" ref="BQ56">IF(AND(BQ$2&lt;&gt;0,TblTech[[#This Row],[Hour]:[Hour]]&gt;=BQ$2),1,0)</f>
        <v>0</v>
      </c>
      <c r="BR56" s="276" cm="1">
        <f t="array" ref="BR56">IF(AND(BR$2&lt;&gt;0,TblTech[[#This Row],[Hour]:[Hour]]&gt;=BR$2),1,0)</f>
        <v>0</v>
      </c>
      <c r="BS56" s="276" cm="1">
        <f t="array" ref="BS56">IF(AND(BS$2&lt;&gt;0,TblTech[[#This Row],[Hour]:[Hour]]&gt;=BS$2),1,0)</f>
        <v>0</v>
      </c>
      <c r="BT56" s="276" cm="1">
        <f t="array" ref="BT56">IF(AND(BT$2&lt;&gt;0,TblTech[[#This Row],[Hour]:[Hour]]&gt;=BT$2),1,0)</f>
        <v>0</v>
      </c>
      <c r="BU56" s="276" cm="1">
        <f t="array" ref="BU56">IF(AND(BU$2&lt;&gt;0,TblTech[[#This Row],[Hour]:[Hour]]&gt;=BU$2),1,0)</f>
        <v>0</v>
      </c>
      <c r="BV56" s="276" cm="1">
        <f t="array" ref="BV56">IF(AND(BV$2&lt;&gt;0,TblTech[[#This Row],[Hour]:[Hour]]&gt;=BV$2),1,0)</f>
        <v>0</v>
      </c>
      <c r="BW56" s="276" cm="1">
        <f t="array" ref="BW56">IF(AND(BW$2&lt;&gt;0,TblTech[[#This Row],[Hour]:[Hour]]&gt;=BW$2),1,0)</f>
        <v>0</v>
      </c>
      <c r="BX56" s="276" cm="1">
        <f t="array" ref="BX56">IF(AND(BX$2&lt;&gt;0,TblTech[[#This Row],[Hour]:[Hour]]&gt;=BX$2),1,0)</f>
        <v>0</v>
      </c>
      <c r="BY56" s="276" cm="1">
        <f t="array" ref="BY56">IF(AND(BY$2&lt;&gt;0,TblTech[[#This Row],[Hour]:[Hour]]&gt;=BY$2),1,0)</f>
        <v>0</v>
      </c>
      <c r="BZ56" s="276" cm="1">
        <f t="array" ref="BZ56">IF(AND(BZ$2&lt;&gt;0,TblTech[[#This Row],[Hour]:[Hour]]&gt;=BZ$2),1,0)</f>
        <v>0</v>
      </c>
      <c r="CA56" s="377">
        <f>IFERROR(INDEX($H$4:$H$79,MATCH(INDEX(TblTech[[#Headers],[1-1]:[11-1]],1,MATCH(TblTech[[#This Row],[Hour]],$M$2:$BZ$2,0)),$G$4:$G$79,0)),)</f>
        <v>0</v>
      </c>
    </row>
    <row r="57" spans="1:79" x14ac:dyDescent="0.2">
      <c r="A57" s="268">
        <f>TblRezone[[#This Row],[Hour]]</f>
        <v>54</v>
      </c>
      <c r="B57" s="269">
        <f ca="1">TblExplore[[#This Row],[Land-DB]]</f>
        <v>110</v>
      </c>
      <c r="C57" s="270">
        <f ca="1">TblProd[[#This Row],[Techpoints]]</f>
        <v>0</v>
      </c>
      <c r="D57" s="270">
        <f ca="1">TblProd[[#This Row],[Required]]</f>
        <v>3750</v>
      </c>
      <c r="E57" s="271"/>
      <c r="F57" s="272"/>
      <c r="G57" s="273" t="s">
        <v>598</v>
      </c>
      <c r="H57" s="274" t="s">
        <v>720</v>
      </c>
      <c r="I57" s="273" t="s">
        <v>599</v>
      </c>
      <c r="J57" s="269"/>
      <c r="K57" s="93">
        <f ca="1">IF(TblTech[[#This Row],[Sum of tech]]&lt;&gt;OFFSET(TblTech[[#This Row],[Sum of tech]],-1,0),1,0)</f>
        <v>0</v>
      </c>
      <c r="L57" s="275">
        <f>COUNTIF(TblTech[[#This Row],[1-1]:[11-1]],1)</f>
        <v>0</v>
      </c>
      <c r="M57" s="276" cm="1">
        <f t="array" ref="M57">IF(AND(M$2&lt;&gt;0,TblTech[[#This Row],[Hour]:[Hour]]&gt;=M$2),1,0)</f>
        <v>0</v>
      </c>
      <c r="N57" s="276" cm="1">
        <f t="array" ref="N57">IF(AND(N$2&lt;&gt;0,TblTech[[#This Row],[Hour]:[Hour]]&gt;=N$2),1,0)</f>
        <v>0</v>
      </c>
      <c r="O57" s="276" cm="1">
        <f t="array" ref="O57">IF(AND(O$2&lt;&gt;0,TblTech[[#This Row],[Hour]:[Hour]]&gt;=O$2),1,0)</f>
        <v>0</v>
      </c>
      <c r="P57" s="276" cm="1">
        <f t="array" ref="P57">IF(AND(P$2&lt;&gt;0,TblTech[[#This Row],[Hour]:[Hour]]&gt;=P$2),1,0)</f>
        <v>0</v>
      </c>
      <c r="Q57" s="276" cm="1">
        <f t="array" ref="Q57">IF(AND(Q$2&lt;&gt;0,TblTech[[#This Row],[Hour]:[Hour]]&gt;=Q$2),1,0)</f>
        <v>0</v>
      </c>
      <c r="R57" s="276" cm="1">
        <f t="array" ref="R57">IF(AND(R$2&lt;&gt;0,TblTech[[#This Row],[Hour]:[Hour]]&gt;=R$2),1,0)</f>
        <v>0</v>
      </c>
      <c r="S57" s="276" cm="1">
        <f t="array" ref="S57">IF(AND(S$2&lt;&gt;0,TblTech[[#This Row],[Hour]:[Hour]]&gt;=S$2),1,0)</f>
        <v>0</v>
      </c>
      <c r="T57" s="276" cm="1">
        <f t="array" ref="T57">IF(AND(T$2&lt;&gt;0,TblTech[[#This Row],[Hour]:[Hour]]&gt;=T$2),1,0)</f>
        <v>0</v>
      </c>
      <c r="U57" s="276" cm="1">
        <f t="array" ref="U57">IF(AND(U$2&lt;&gt;0,TblTech[[#This Row],[Hour]:[Hour]]&gt;=U$2),1,0)</f>
        <v>0</v>
      </c>
      <c r="V57" s="276" cm="1">
        <f t="array" ref="V57">IF(AND(V$2&lt;&gt;0,TblTech[[#This Row],[Hour]:[Hour]]&gt;=V$2),1,0)</f>
        <v>0</v>
      </c>
      <c r="W57" s="276" cm="1">
        <f t="array" ref="W57">IF(AND(W$2&lt;&gt;0,TblTech[[#This Row],[Hour]:[Hour]]&gt;=W$2),1,0)</f>
        <v>0</v>
      </c>
      <c r="X57" s="276" cm="1">
        <f t="array" ref="X57">IF(AND(X$2&lt;&gt;0,TblTech[[#This Row],[Hour]:[Hour]]&gt;=X$2),1,0)</f>
        <v>0</v>
      </c>
      <c r="Y57" s="276" cm="1">
        <f t="array" ref="Y57">IF(AND(Y$2&lt;&gt;0,TblTech[[#This Row],[Hour]:[Hour]]&gt;=Y$2),1,0)</f>
        <v>0</v>
      </c>
      <c r="Z57" s="276" cm="1">
        <f t="array" ref="Z57">IF(AND(Z$2&lt;&gt;0,TblTech[[#This Row],[Hour]:[Hour]]&gt;=Z$2),1,0)</f>
        <v>0</v>
      </c>
      <c r="AA57" s="276" cm="1">
        <f t="array" ref="AA57">IF(AND(AA$2&lt;&gt;0,TblTech[[#This Row],[Hour]:[Hour]]&gt;=AA$2),1,0)</f>
        <v>0</v>
      </c>
      <c r="AB57" s="276" cm="1">
        <f t="array" ref="AB57">IF(AND(AB$2&lt;&gt;0,TblTech[[#This Row],[Hour]:[Hour]]&gt;=AB$2),1,0)</f>
        <v>0</v>
      </c>
      <c r="AC57" s="276" cm="1">
        <f t="array" ref="AC57">IF(AND(AC$2&lt;&gt;0,TblTech[[#This Row],[Hour]:[Hour]]&gt;=AC$2),1,0)</f>
        <v>0</v>
      </c>
      <c r="AD57" s="276" cm="1">
        <f t="array" ref="AD57">IF(AND(AD$2&lt;&gt;0,TblTech[[#This Row],[Hour]:[Hour]]&gt;=AD$2),1,0)</f>
        <v>0</v>
      </c>
      <c r="AE57" s="276" cm="1">
        <f t="array" ref="AE57">IF(AND(AE$2&lt;&gt;0,TblTech[[#This Row],[Hour]:[Hour]]&gt;=AE$2),1,0)</f>
        <v>0</v>
      </c>
      <c r="AF57" s="276" cm="1">
        <f t="array" ref="AF57">IF(AND(AF$2&lt;&gt;0,TblTech[[#This Row],[Hour]:[Hour]]&gt;=AF$2),1,0)</f>
        <v>0</v>
      </c>
      <c r="AG57" s="276" cm="1">
        <f t="array" ref="AG57">IF(AND(AG$2&lt;&gt;0,TblTech[[#This Row],[Hour]:[Hour]]&gt;=AG$2),1,0)</f>
        <v>0</v>
      </c>
      <c r="AH57" s="276" cm="1">
        <f t="array" ref="AH57">IF(AND(AH$2&lt;&gt;0,TblTech[[#This Row],[Hour]:[Hour]]&gt;=AH$2),1,0)</f>
        <v>0</v>
      </c>
      <c r="AI57" s="276" cm="1">
        <f t="array" ref="AI57">IF(AND(AI$2&lt;&gt;0,TblTech[[#This Row],[Hour]:[Hour]]&gt;=AI$2),1,0)</f>
        <v>0</v>
      </c>
      <c r="AJ57" s="276" cm="1">
        <f t="array" ref="AJ57">IF(AND(AJ$2&lt;&gt;0,TblTech[[#This Row],[Hour]:[Hour]]&gt;=AJ$2),1,0)</f>
        <v>0</v>
      </c>
      <c r="AK57" s="276" cm="1">
        <f t="array" ref="AK57">IF(AND(AK$2&lt;&gt;0,TblTech[[#This Row],[Hour]:[Hour]]&gt;=AK$2),1,0)</f>
        <v>0</v>
      </c>
      <c r="AL57" s="276" cm="1">
        <f t="array" ref="AL57">IF(AND(AL$2&lt;&gt;0,TblTech[[#This Row],[Hour]:[Hour]]&gt;=AL$2),1,0)</f>
        <v>0</v>
      </c>
      <c r="AM57" s="276" cm="1">
        <f t="array" ref="AM57">IF(AND(AM$2&lt;&gt;0,TblTech[[#This Row],[Hour]:[Hour]]&gt;=AM$2),1,0)</f>
        <v>0</v>
      </c>
      <c r="AN57" s="276" cm="1">
        <f t="array" ref="AN57">IF(AND(AN$2&lt;&gt;0,TblTech[[#This Row],[Hour]:[Hour]]&gt;=AN$2),1,0)</f>
        <v>0</v>
      </c>
      <c r="AO57" s="276" cm="1">
        <f t="array" ref="AO57">IF(AND(AO$2&lt;&gt;0,TblTech[[#This Row],[Hour]:[Hour]]&gt;=AO$2),1,0)</f>
        <v>0</v>
      </c>
      <c r="AP57" s="276" cm="1">
        <f t="array" ref="AP57">IF(AND(AP$2&lt;&gt;0,TblTech[[#This Row],[Hour]:[Hour]]&gt;=AP$2),1,0)</f>
        <v>0</v>
      </c>
      <c r="AQ57" s="276" cm="1">
        <f t="array" ref="AQ57">IF(AND(AQ$2&lt;&gt;0,TblTech[[#This Row],[Hour]:[Hour]]&gt;=AQ$2),1,0)</f>
        <v>0</v>
      </c>
      <c r="AR57" s="276" cm="1">
        <f t="array" ref="AR57">IF(AND(AR$2&lt;&gt;0,TblTech[[#This Row],[Hour]:[Hour]]&gt;=AR$2),1,0)</f>
        <v>0</v>
      </c>
      <c r="AS57" s="276" cm="1">
        <f t="array" ref="AS57">IF(AND(AS$2&lt;&gt;0,TblTech[[#This Row],[Hour]:[Hour]]&gt;=AS$2),1,0)</f>
        <v>0</v>
      </c>
      <c r="AT57" s="276" cm="1">
        <f t="array" ref="AT57">IF(AND(AT$2&lt;&gt;0,TblTech[[#This Row],[Hour]:[Hour]]&gt;=AT$2),1,0)</f>
        <v>0</v>
      </c>
      <c r="AU57" s="276" cm="1">
        <f t="array" ref="AU57">IF(AND(AU$2&lt;&gt;0,TblTech[[#This Row],[Hour]:[Hour]]&gt;=AU$2),1,0)</f>
        <v>0</v>
      </c>
      <c r="AV57" s="276" cm="1">
        <f t="array" ref="AV57">IF(AND(AV$2&lt;&gt;0,TblTech[[#This Row],[Hour]:[Hour]]&gt;=AV$2),1,0)</f>
        <v>0</v>
      </c>
      <c r="AW57" s="276" cm="1">
        <f t="array" ref="AW57">IF(AND(AW$2&lt;&gt;0,TblTech[[#This Row],[Hour]:[Hour]]&gt;=AW$2),1,0)</f>
        <v>0</v>
      </c>
      <c r="AX57" s="276" cm="1">
        <f t="array" ref="AX57">IF(AND(AX$2&lt;&gt;0,TblTech[[#This Row],[Hour]:[Hour]]&gt;=AX$2),1,0)</f>
        <v>0</v>
      </c>
      <c r="AY57" s="276" cm="1">
        <f t="array" ref="AY57">IF(AND(AY$2&lt;&gt;0,TblTech[[#This Row],[Hour]:[Hour]]&gt;=AY$2),1,0)</f>
        <v>0</v>
      </c>
      <c r="AZ57" s="276" cm="1">
        <f t="array" ref="AZ57">IF(AND(AZ$2&lt;&gt;0,TblTech[[#This Row],[Hour]:[Hour]]&gt;=AZ$2),1,0)</f>
        <v>0</v>
      </c>
      <c r="BA57" s="276" cm="1">
        <f t="array" ref="BA57">IF(AND(BA$2&lt;&gt;0,TblTech[[#This Row],[Hour]:[Hour]]&gt;=BA$2),1,0)</f>
        <v>0</v>
      </c>
      <c r="BB57" s="276" cm="1">
        <f t="array" ref="BB57">IF(AND(BB$2&lt;&gt;0,TblTech[[#This Row],[Hour]:[Hour]]&gt;=BB$2),1,0)</f>
        <v>0</v>
      </c>
      <c r="BC57" s="276" cm="1">
        <f t="array" ref="BC57">IF(AND(BC$2&lt;&gt;0,TblTech[[#This Row],[Hour]:[Hour]]&gt;=BC$2),1,0)</f>
        <v>0</v>
      </c>
      <c r="BD57" s="276" cm="1">
        <f t="array" ref="BD57">IF(AND(BD$2&lt;&gt;0,TblTech[[#This Row],[Hour]:[Hour]]&gt;=BD$2),1,0)</f>
        <v>0</v>
      </c>
      <c r="BE57" s="276" cm="1">
        <f t="array" ref="BE57">IF(AND(BE$2&lt;&gt;0,TblTech[[#This Row],[Hour]:[Hour]]&gt;=BE$2),1,0)</f>
        <v>0</v>
      </c>
      <c r="BF57" s="276" cm="1">
        <f t="array" ref="BF57">IF(AND(BF$2&lt;&gt;0,TblTech[[#This Row],[Hour]:[Hour]]&gt;=BF$2),1,0)</f>
        <v>0</v>
      </c>
      <c r="BG57" s="276" cm="1">
        <f t="array" ref="BG57">IF(AND(BG$2&lt;&gt;0,TblTech[[#This Row],[Hour]:[Hour]]&gt;=BG$2),1,0)</f>
        <v>0</v>
      </c>
      <c r="BH57" s="276" cm="1">
        <f t="array" ref="BH57">IF(AND(BH$2&lt;&gt;0,TblTech[[#This Row],[Hour]:[Hour]]&gt;=BH$2),1,0)</f>
        <v>0</v>
      </c>
      <c r="BI57" s="276" cm="1">
        <f t="array" ref="BI57">IF(AND(BI$2&lt;&gt;0,TblTech[[#This Row],[Hour]:[Hour]]&gt;=BI$2),1,0)</f>
        <v>0</v>
      </c>
      <c r="BJ57" s="276" cm="1">
        <f t="array" ref="BJ57">IF(AND(BJ$2&lt;&gt;0,TblTech[[#This Row],[Hour]:[Hour]]&gt;=BJ$2),1,0)</f>
        <v>0</v>
      </c>
      <c r="BK57" s="276" cm="1">
        <f t="array" ref="BK57">IF(AND(BK$2&lt;&gt;0,TblTech[[#This Row],[Hour]:[Hour]]&gt;=BK$2),1,0)</f>
        <v>0</v>
      </c>
      <c r="BL57" s="276" cm="1">
        <f t="array" ref="BL57">IF(AND(BL$2&lt;&gt;0,TblTech[[#This Row],[Hour]:[Hour]]&gt;=BL$2),1,0)</f>
        <v>0</v>
      </c>
      <c r="BM57" s="276" cm="1">
        <f t="array" ref="BM57">IF(AND(BM$2&lt;&gt;0,TblTech[[#This Row],[Hour]:[Hour]]&gt;=BM$2),1,0)</f>
        <v>0</v>
      </c>
      <c r="BN57" s="276" cm="1">
        <f t="array" ref="BN57">IF(AND(BN$2&lt;&gt;0,TblTech[[#This Row],[Hour]:[Hour]]&gt;=BN$2),1,0)</f>
        <v>0</v>
      </c>
      <c r="BO57" s="276" cm="1">
        <f t="array" ref="BO57">IF(AND(BO$2&lt;&gt;0,TblTech[[#This Row],[Hour]:[Hour]]&gt;=BO$2),1,0)</f>
        <v>0</v>
      </c>
      <c r="BP57" s="276" cm="1">
        <f t="array" ref="BP57">IF(AND(BP$2&lt;&gt;0,TblTech[[#This Row],[Hour]:[Hour]]&gt;=BP$2),1,0)</f>
        <v>0</v>
      </c>
      <c r="BQ57" s="276" cm="1">
        <f t="array" ref="BQ57">IF(AND(BQ$2&lt;&gt;0,TblTech[[#This Row],[Hour]:[Hour]]&gt;=BQ$2),1,0)</f>
        <v>0</v>
      </c>
      <c r="BR57" s="276" cm="1">
        <f t="array" ref="BR57">IF(AND(BR$2&lt;&gt;0,TblTech[[#This Row],[Hour]:[Hour]]&gt;=BR$2),1,0)</f>
        <v>0</v>
      </c>
      <c r="BS57" s="276" cm="1">
        <f t="array" ref="BS57">IF(AND(BS$2&lt;&gt;0,TblTech[[#This Row],[Hour]:[Hour]]&gt;=BS$2),1,0)</f>
        <v>0</v>
      </c>
      <c r="BT57" s="276" cm="1">
        <f t="array" ref="BT57">IF(AND(BT$2&lt;&gt;0,TblTech[[#This Row],[Hour]:[Hour]]&gt;=BT$2),1,0)</f>
        <v>0</v>
      </c>
      <c r="BU57" s="276" cm="1">
        <f t="array" ref="BU57">IF(AND(BU$2&lt;&gt;0,TblTech[[#This Row],[Hour]:[Hour]]&gt;=BU$2),1,0)</f>
        <v>0</v>
      </c>
      <c r="BV57" s="276" cm="1">
        <f t="array" ref="BV57">IF(AND(BV$2&lt;&gt;0,TblTech[[#This Row],[Hour]:[Hour]]&gt;=BV$2),1,0)</f>
        <v>0</v>
      </c>
      <c r="BW57" s="276" cm="1">
        <f t="array" ref="BW57">IF(AND(BW$2&lt;&gt;0,TblTech[[#This Row],[Hour]:[Hour]]&gt;=BW$2),1,0)</f>
        <v>0</v>
      </c>
      <c r="BX57" s="276" cm="1">
        <f t="array" ref="BX57">IF(AND(BX$2&lt;&gt;0,TblTech[[#This Row],[Hour]:[Hour]]&gt;=BX$2),1,0)</f>
        <v>0</v>
      </c>
      <c r="BY57" s="276" cm="1">
        <f t="array" ref="BY57">IF(AND(BY$2&lt;&gt;0,TblTech[[#This Row],[Hour]:[Hour]]&gt;=BY$2),1,0)</f>
        <v>0</v>
      </c>
      <c r="BZ57" s="276" cm="1">
        <f t="array" ref="BZ57">IF(AND(BZ$2&lt;&gt;0,TblTech[[#This Row],[Hour]:[Hour]]&gt;=BZ$2),1,0)</f>
        <v>0</v>
      </c>
      <c r="CA57" s="377">
        <f>IFERROR(INDEX($H$4:$H$79,MATCH(INDEX(TblTech[[#Headers],[1-1]:[11-1]],1,MATCH(TblTech[[#This Row],[Hour]],$M$2:$BZ$2,0)),$G$4:$G$79,0)),)</f>
        <v>0</v>
      </c>
    </row>
    <row r="58" spans="1:79" x14ac:dyDescent="0.2">
      <c r="A58" s="268">
        <f>TblRezone[[#This Row],[Hour]]</f>
        <v>55</v>
      </c>
      <c r="B58" s="269">
        <f ca="1">TblExplore[[#This Row],[Land-DB]]</f>
        <v>110</v>
      </c>
      <c r="C58" s="270">
        <f ca="1">TblProd[[#This Row],[Techpoints]]</f>
        <v>0</v>
      </c>
      <c r="D58" s="270">
        <f ca="1">TblProd[[#This Row],[Required]]</f>
        <v>3750</v>
      </c>
      <c r="E58" s="271"/>
      <c r="F58" s="272"/>
      <c r="G58" s="273" t="s">
        <v>600</v>
      </c>
      <c r="H58" s="274" t="s">
        <v>716</v>
      </c>
      <c r="I58" s="273" t="s">
        <v>1106</v>
      </c>
      <c r="J58" s="269"/>
      <c r="K58" s="93">
        <f ca="1">IF(TblTech[[#This Row],[Sum of tech]]&lt;&gt;OFFSET(TblTech[[#This Row],[Sum of tech]],-1,0),1,0)</f>
        <v>0</v>
      </c>
      <c r="L58" s="275">
        <f>COUNTIF(TblTech[[#This Row],[1-1]:[11-1]],1)</f>
        <v>0</v>
      </c>
      <c r="M58" s="276" cm="1">
        <f t="array" ref="M58">IF(AND(M$2&lt;&gt;0,TblTech[[#This Row],[Hour]:[Hour]]&gt;=M$2),1,0)</f>
        <v>0</v>
      </c>
      <c r="N58" s="276" cm="1">
        <f t="array" ref="N58">IF(AND(N$2&lt;&gt;0,TblTech[[#This Row],[Hour]:[Hour]]&gt;=N$2),1,0)</f>
        <v>0</v>
      </c>
      <c r="O58" s="276" cm="1">
        <f t="array" ref="O58">IF(AND(O$2&lt;&gt;0,TblTech[[#This Row],[Hour]:[Hour]]&gt;=O$2),1,0)</f>
        <v>0</v>
      </c>
      <c r="P58" s="276" cm="1">
        <f t="array" ref="P58">IF(AND(P$2&lt;&gt;0,TblTech[[#This Row],[Hour]:[Hour]]&gt;=P$2),1,0)</f>
        <v>0</v>
      </c>
      <c r="Q58" s="276" cm="1">
        <f t="array" ref="Q58">IF(AND(Q$2&lt;&gt;0,TblTech[[#This Row],[Hour]:[Hour]]&gt;=Q$2),1,0)</f>
        <v>0</v>
      </c>
      <c r="R58" s="276" cm="1">
        <f t="array" ref="R58">IF(AND(R$2&lt;&gt;0,TblTech[[#This Row],[Hour]:[Hour]]&gt;=R$2),1,0)</f>
        <v>0</v>
      </c>
      <c r="S58" s="276" cm="1">
        <f t="array" ref="S58">IF(AND(S$2&lt;&gt;0,TblTech[[#This Row],[Hour]:[Hour]]&gt;=S$2),1,0)</f>
        <v>0</v>
      </c>
      <c r="T58" s="276" cm="1">
        <f t="array" ref="T58">IF(AND(T$2&lt;&gt;0,TblTech[[#This Row],[Hour]:[Hour]]&gt;=T$2),1,0)</f>
        <v>0</v>
      </c>
      <c r="U58" s="276" cm="1">
        <f t="array" ref="U58">IF(AND(U$2&lt;&gt;0,TblTech[[#This Row],[Hour]:[Hour]]&gt;=U$2),1,0)</f>
        <v>0</v>
      </c>
      <c r="V58" s="276" cm="1">
        <f t="array" ref="V58">IF(AND(V$2&lt;&gt;0,TblTech[[#This Row],[Hour]:[Hour]]&gt;=V$2),1,0)</f>
        <v>0</v>
      </c>
      <c r="W58" s="276" cm="1">
        <f t="array" ref="W58">IF(AND(W$2&lt;&gt;0,TblTech[[#This Row],[Hour]:[Hour]]&gt;=W$2),1,0)</f>
        <v>0</v>
      </c>
      <c r="X58" s="276" cm="1">
        <f t="array" ref="X58">IF(AND(X$2&lt;&gt;0,TblTech[[#This Row],[Hour]:[Hour]]&gt;=X$2),1,0)</f>
        <v>0</v>
      </c>
      <c r="Y58" s="276" cm="1">
        <f t="array" ref="Y58">IF(AND(Y$2&lt;&gt;0,TblTech[[#This Row],[Hour]:[Hour]]&gt;=Y$2),1,0)</f>
        <v>0</v>
      </c>
      <c r="Z58" s="276" cm="1">
        <f t="array" ref="Z58">IF(AND(Z$2&lt;&gt;0,TblTech[[#This Row],[Hour]:[Hour]]&gt;=Z$2),1,0)</f>
        <v>0</v>
      </c>
      <c r="AA58" s="276" cm="1">
        <f t="array" ref="AA58">IF(AND(AA$2&lt;&gt;0,TblTech[[#This Row],[Hour]:[Hour]]&gt;=AA$2),1,0)</f>
        <v>0</v>
      </c>
      <c r="AB58" s="276" cm="1">
        <f t="array" ref="AB58">IF(AND(AB$2&lt;&gt;0,TblTech[[#This Row],[Hour]:[Hour]]&gt;=AB$2),1,0)</f>
        <v>0</v>
      </c>
      <c r="AC58" s="276" cm="1">
        <f t="array" ref="AC58">IF(AND(AC$2&lt;&gt;0,TblTech[[#This Row],[Hour]:[Hour]]&gt;=AC$2),1,0)</f>
        <v>0</v>
      </c>
      <c r="AD58" s="276" cm="1">
        <f t="array" ref="AD58">IF(AND(AD$2&lt;&gt;0,TblTech[[#This Row],[Hour]:[Hour]]&gt;=AD$2),1,0)</f>
        <v>0</v>
      </c>
      <c r="AE58" s="276" cm="1">
        <f t="array" ref="AE58">IF(AND(AE$2&lt;&gt;0,TblTech[[#This Row],[Hour]:[Hour]]&gt;=AE$2),1,0)</f>
        <v>0</v>
      </c>
      <c r="AF58" s="276" cm="1">
        <f t="array" ref="AF58">IF(AND(AF$2&lt;&gt;0,TblTech[[#This Row],[Hour]:[Hour]]&gt;=AF$2),1,0)</f>
        <v>0</v>
      </c>
      <c r="AG58" s="276" cm="1">
        <f t="array" ref="AG58">IF(AND(AG$2&lt;&gt;0,TblTech[[#This Row],[Hour]:[Hour]]&gt;=AG$2),1,0)</f>
        <v>0</v>
      </c>
      <c r="AH58" s="276" cm="1">
        <f t="array" ref="AH58">IF(AND(AH$2&lt;&gt;0,TblTech[[#This Row],[Hour]:[Hour]]&gt;=AH$2),1,0)</f>
        <v>0</v>
      </c>
      <c r="AI58" s="276" cm="1">
        <f t="array" ref="AI58">IF(AND(AI$2&lt;&gt;0,TblTech[[#This Row],[Hour]:[Hour]]&gt;=AI$2),1,0)</f>
        <v>0</v>
      </c>
      <c r="AJ58" s="276" cm="1">
        <f t="array" ref="AJ58">IF(AND(AJ$2&lt;&gt;0,TblTech[[#This Row],[Hour]:[Hour]]&gt;=AJ$2),1,0)</f>
        <v>0</v>
      </c>
      <c r="AK58" s="276" cm="1">
        <f t="array" ref="AK58">IF(AND(AK$2&lt;&gt;0,TblTech[[#This Row],[Hour]:[Hour]]&gt;=AK$2),1,0)</f>
        <v>0</v>
      </c>
      <c r="AL58" s="276" cm="1">
        <f t="array" ref="AL58">IF(AND(AL$2&lt;&gt;0,TblTech[[#This Row],[Hour]:[Hour]]&gt;=AL$2),1,0)</f>
        <v>0</v>
      </c>
      <c r="AM58" s="276" cm="1">
        <f t="array" ref="AM58">IF(AND(AM$2&lt;&gt;0,TblTech[[#This Row],[Hour]:[Hour]]&gt;=AM$2),1,0)</f>
        <v>0</v>
      </c>
      <c r="AN58" s="276" cm="1">
        <f t="array" ref="AN58">IF(AND(AN$2&lt;&gt;0,TblTech[[#This Row],[Hour]:[Hour]]&gt;=AN$2),1,0)</f>
        <v>0</v>
      </c>
      <c r="AO58" s="276" cm="1">
        <f t="array" ref="AO58">IF(AND(AO$2&lt;&gt;0,TblTech[[#This Row],[Hour]:[Hour]]&gt;=AO$2),1,0)</f>
        <v>0</v>
      </c>
      <c r="AP58" s="276" cm="1">
        <f t="array" ref="AP58">IF(AND(AP$2&lt;&gt;0,TblTech[[#This Row],[Hour]:[Hour]]&gt;=AP$2),1,0)</f>
        <v>0</v>
      </c>
      <c r="AQ58" s="276" cm="1">
        <f t="array" ref="AQ58">IF(AND(AQ$2&lt;&gt;0,TblTech[[#This Row],[Hour]:[Hour]]&gt;=AQ$2),1,0)</f>
        <v>0</v>
      </c>
      <c r="AR58" s="276" cm="1">
        <f t="array" ref="AR58">IF(AND(AR$2&lt;&gt;0,TblTech[[#This Row],[Hour]:[Hour]]&gt;=AR$2),1,0)</f>
        <v>0</v>
      </c>
      <c r="AS58" s="276" cm="1">
        <f t="array" ref="AS58">IF(AND(AS$2&lt;&gt;0,TblTech[[#This Row],[Hour]:[Hour]]&gt;=AS$2),1,0)</f>
        <v>0</v>
      </c>
      <c r="AT58" s="276" cm="1">
        <f t="array" ref="AT58">IF(AND(AT$2&lt;&gt;0,TblTech[[#This Row],[Hour]:[Hour]]&gt;=AT$2),1,0)</f>
        <v>0</v>
      </c>
      <c r="AU58" s="276" cm="1">
        <f t="array" ref="AU58">IF(AND(AU$2&lt;&gt;0,TblTech[[#This Row],[Hour]:[Hour]]&gt;=AU$2),1,0)</f>
        <v>0</v>
      </c>
      <c r="AV58" s="276" cm="1">
        <f t="array" ref="AV58">IF(AND(AV$2&lt;&gt;0,TblTech[[#This Row],[Hour]:[Hour]]&gt;=AV$2),1,0)</f>
        <v>0</v>
      </c>
      <c r="AW58" s="276" cm="1">
        <f t="array" ref="AW58">IF(AND(AW$2&lt;&gt;0,TblTech[[#This Row],[Hour]:[Hour]]&gt;=AW$2),1,0)</f>
        <v>0</v>
      </c>
      <c r="AX58" s="276" cm="1">
        <f t="array" ref="AX58">IF(AND(AX$2&lt;&gt;0,TblTech[[#This Row],[Hour]:[Hour]]&gt;=AX$2),1,0)</f>
        <v>0</v>
      </c>
      <c r="AY58" s="276" cm="1">
        <f t="array" ref="AY58">IF(AND(AY$2&lt;&gt;0,TblTech[[#This Row],[Hour]:[Hour]]&gt;=AY$2),1,0)</f>
        <v>0</v>
      </c>
      <c r="AZ58" s="276" cm="1">
        <f t="array" ref="AZ58">IF(AND(AZ$2&lt;&gt;0,TblTech[[#This Row],[Hour]:[Hour]]&gt;=AZ$2),1,0)</f>
        <v>0</v>
      </c>
      <c r="BA58" s="276" cm="1">
        <f t="array" ref="BA58">IF(AND(BA$2&lt;&gt;0,TblTech[[#This Row],[Hour]:[Hour]]&gt;=BA$2),1,0)</f>
        <v>0</v>
      </c>
      <c r="BB58" s="276" cm="1">
        <f t="array" ref="BB58">IF(AND(BB$2&lt;&gt;0,TblTech[[#This Row],[Hour]:[Hour]]&gt;=BB$2),1,0)</f>
        <v>0</v>
      </c>
      <c r="BC58" s="276" cm="1">
        <f t="array" ref="BC58">IF(AND(BC$2&lt;&gt;0,TblTech[[#This Row],[Hour]:[Hour]]&gt;=BC$2),1,0)</f>
        <v>0</v>
      </c>
      <c r="BD58" s="276" cm="1">
        <f t="array" ref="BD58">IF(AND(BD$2&lt;&gt;0,TblTech[[#This Row],[Hour]:[Hour]]&gt;=BD$2),1,0)</f>
        <v>0</v>
      </c>
      <c r="BE58" s="276" cm="1">
        <f t="array" ref="BE58">IF(AND(BE$2&lt;&gt;0,TblTech[[#This Row],[Hour]:[Hour]]&gt;=BE$2),1,0)</f>
        <v>0</v>
      </c>
      <c r="BF58" s="276" cm="1">
        <f t="array" ref="BF58">IF(AND(BF$2&lt;&gt;0,TblTech[[#This Row],[Hour]:[Hour]]&gt;=BF$2),1,0)</f>
        <v>0</v>
      </c>
      <c r="BG58" s="276" cm="1">
        <f t="array" ref="BG58">IF(AND(BG$2&lt;&gt;0,TblTech[[#This Row],[Hour]:[Hour]]&gt;=BG$2),1,0)</f>
        <v>0</v>
      </c>
      <c r="BH58" s="276" cm="1">
        <f t="array" ref="BH58">IF(AND(BH$2&lt;&gt;0,TblTech[[#This Row],[Hour]:[Hour]]&gt;=BH$2),1,0)</f>
        <v>0</v>
      </c>
      <c r="BI58" s="276" cm="1">
        <f t="array" ref="BI58">IF(AND(BI$2&lt;&gt;0,TblTech[[#This Row],[Hour]:[Hour]]&gt;=BI$2),1,0)</f>
        <v>0</v>
      </c>
      <c r="BJ58" s="276" cm="1">
        <f t="array" ref="BJ58">IF(AND(BJ$2&lt;&gt;0,TblTech[[#This Row],[Hour]:[Hour]]&gt;=BJ$2),1,0)</f>
        <v>0</v>
      </c>
      <c r="BK58" s="276" cm="1">
        <f t="array" ref="BK58">IF(AND(BK$2&lt;&gt;0,TblTech[[#This Row],[Hour]:[Hour]]&gt;=BK$2),1,0)</f>
        <v>0</v>
      </c>
      <c r="BL58" s="276" cm="1">
        <f t="array" ref="BL58">IF(AND(BL$2&lt;&gt;0,TblTech[[#This Row],[Hour]:[Hour]]&gt;=BL$2),1,0)</f>
        <v>0</v>
      </c>
      <c r="BM58" s="276" cm="1">
        <f t="array" ref="BM58">IF(AND(BM$2&lt;&gt;0,TblTech[[#This Row],[Hour]:[Hour]]&gt;=BM$2),1,0)</f>
        <v>0</v>
      </c>
      <c r="BN58" s="276" cm="1">
        <f t="array" ref="BN58">IF(AND(BN$2&lt;&gt;0,TblTech[[#This Row],[Hour]:[Hour]]&gt;=BN$2),1,0)</f>
        <v>0</v>
      </c>
      <c r="BO58" s="276" cm="1">
        <f t="array" ref="BO58">IF(AND(BO$2&lt;&gt;0,TblTech[[#This Row],[Hour]:[Hour]]&gt;=BO$2),1,0)</f>
        <v>0</v>
      </c>
      <c r="BP58" s="276" cm="1">
        <f t="array" ref="BP58">IF(AND(BP$2&lt;&gt;0,TblTech[[#This Row],[Hour]:[Hour]]&gt;=BP$2),1,0)</f>
        <v>0</v>
      </c>
      <c r="BQ58" s="276" cm="1">
        <f t="array" ref="BQ58">IF(AND(BQ$2&lt;&gt;0,TblTech[[#This Row],[Hour]:[Hour]]&gt;=BQ$2),1,0)</f>
        <v>0</v>
      </c>
      <c r="BR58" s="276" cm="1">
        <f t="array" ref="BR58">IF(AND(BR$2&lt;&gt;0,TblTech[[#This Row],[Hour]:[Hour]]&gt;=BR$2),1,0)</f>
        <v>0</v>
      </c>
      <c r="BS58" s="276" cm="1">
        <f t="array" ref="BS58">IF(AND(BS$2&lt;&gt;0,TblTech[[#This Row],[Hour]:[Hour]]&gt;=BS$2),1,0)</f>
        <v>0</v>
      </c>
      <c r="BT58" s="276" cm="1">
        <f t="array" ref="BT58">IF(AND(BT$2&lt;&gt;0,TblTech[[#This Row],[Hour]:[Hour]]&gt;=BT$2),1,0)</f>
        <v>0</v>
      </c>
      <c r="BU58" s="276" cm="1">
        <f t="array" ref="BU58">IF(AND(BU$2&lt;&gt;0,TblTech[[#This Row],[Hour]:[Hour]]&gt;=BU$2),1,0)</f>
        <v>0</v>
      </c>
      <c r="BV58" s="276" cm="1">
        <f t="array" ref="BV58">IF(AND(BV$2&lt;&gt;0,TblTech[[#This Row],[Hour]:[Hour]]&gt;=BV$2),1,0)</f>
        <v>0</v>
      </c>
      <c r="BW58" s="276" cm="1">
        <f t="array" ref="BW58">IF(AND(BW$2&lt;&gt;0,TblTech[[#This Row],[Hour]:[Hour]]&gt;=BW$2),1,0)</f>
        <v>0</v>
      </c>
      <c r="BX58" s="276" cm="1">
        <f t="array" ref="BX58">IF(AND(BX$2&lt;&gt;0,TblTech[[#This Row],[Hour]:[Hour]]&gt;=BX$2),1,0)</f>
        <v>0</v>
      </c>
      <c r="BY58" s="276" cm="1">
        <f t="array" ref="BY58">IF(AND(BY$2&lt;&gt;0,TblTech[[#This Row],[Hour]:[Hour]]&gt;=BY$2),1,0)</f>
        <v>0</v>
      </c>
      <c r="BZ58" s="276" cm="1">
        <f t="array" ref="BZ58">IF(AND(BZ$2&lt;&gt;0,TblTech[[#This Row],[Hour]:[Hour]]&gt;=BZ$2),1,0)</f>
        <v>0</v>
      </c>
      <c r="CA58" s="377">
        <f>IFERROR(INDEX($H$4:$H$79,MATCH(INDEX(TblTech[[#Headers],[1-1]:[11-1]],1,MATCH(TblTech[[#This Row],[Hour]],$M$2:$BZ$2,0)),$G$4:$G$79,0)),)</f>
        <v>0</v>
      </c>
    </row>
    <row r="59" spans="1:79" x14ac:dyDescent="0.2">
      <c r="A59" s="268">
        <f>TblRezone[[#This Row],[Hour]]</f>
        <v>56</v>
      </c>
      <c r="B59" s="269">
        <f ca="1">TblExplore[[#This Row],[Land-DB]]</f>
        <v>110</v>
      </c>
      <c r="C59" s="270">
        <f ca="1">TblProd[[#This Row],[Techpoints]]</f>
        <v>0</v>
      </c>
      <c r="D59" s="270">
        <f ca="1">TblProd[[#This Row],[Required]]</f>
        <v>3750</v>
      </c>
      <c r="E59" s="271"/>
      <c r="F59" s="272"/>
      <c r="G59" s="273" t="s">
        <v>601</v>
      </c>
      <c r="H59" s="274" t="s">
        <v>722</v>
      </c>
      <c r="I59" s="273" t="s">
        <v>742</v>
      </c>
      <c r="J59" s="269"/>
      <c r="K59" s="93">
        <f ca="1">IF(TblTech[[#This Row],[Sum of tech]]&lt;&gt;OFFSET(TblTech[[#This Row],[Sum of tech]],-1,0),1,0)</f>
        <v>0</v>
      </c>
      <c r="L59" s="275">
        <f>COUNTIF(TblTech[[#This Row],[1-1]:[11-1]],1)</f>
        <v>0</v>
      </c>
      <c r="M59" s="276" cm="1">
        <f t="array" ref="M59">IF(AND(M$2&lt;&gt;0,TblTech[[#This Row],[Hour]:[Hour]]&gt;=M$2),1,0)</f>
        <v>0</v>
      </c>
      <c r="N59" s="276" cm="1">
        <f t="array" ref="N59">IF(AND(N$2&lt;&gt;0,TblTech[[#This Row],[Hour]:[Hour]]&gt;=N$2),1,0)</f>
        <v>0</v>
      </c>
      <c r="O59" s="276" cm="1">
        <f t="array" ref="O59">IF(AND(O$2&lt;&gt;0,TblTech[[#This Row],[Hour]:[Hour]]&gt;=O$2),1,0)</f>
        <v>0</v>
      </c>
      <c r="P59" s="276" cm="1">
        <f t="array" ref="P59">IF(AND(P$2&lt;&gt;0,TblTech[[#This Row],[Hour]:[Hour]]&gt;=P$2),1,0)</f>
        <v>0</v>
      </c>
      <c r="Q59" s="276" cm="1">
        <f t="array" ref="Q59">IF(AND(Q$2&lt;&gt;0,TblTech[[#This Row],[Hour]:[Hour]]&gt;=Q$2),1,0)</f>
        <v>0</v>
      </c>
      <c r="R59" s="276" cm="1">
        <f t="array" ref="R59">IF(AND(R$2&lt;&gt;0,TblTech[[#This Row],[Hour]:[Hour]]&gt;=R$2),1,0)</f>
        <v>0</v>
      </c>
      <c r="S59" s="276" cm="1">
        <f t="array" ref="S59">IF(AND(S$2&lt;&gt;0,TblTech[[#This Row],[Hour]:[Hour]]&gt;=S$2),1,0)</f>
        <v>0</v>
      </c>
      <c r="T59" s="276" cm="1">
        <f t="array" ref="T59">IF(AND(T$2&lt;&gt;0,TblTech[[#This Row],[Hour]:[Hour]]&gt;=T$2),1,0)</f>
        <v>0</v>
      </c>
      <c r="U59" s="276" cm="1">
        <f t="array" ref="U59">IF(AND(U$2&lt;&gt;0,TblTech[[#This Row],[Hour]:[Hour]]&gt;=U$2),1,0)</f>
        <v>0</v>
      </c>
      <c r="V59" s="276" cm="1">
        <f t="array" ref="V59">IF(AND(V$2&lt;&gt;0,TblTech[[#This Row],[Hour]:[Hour]]&gt;=V$2),1,0)</f>
        <v>0</v>
      </c>
      <c r="W59" s="276" cm="1">
        <f t="array" ref="W59">IF(AND(W$2&lt;&gt;0,TblTech[[#This Row],[Hour]:[Hour]]&gt;=W$2),1,0)</f>
        <v>0</v>
      </c>
      <c r="X59" s="276" cm="1">
        <f t="array" ref="X59">IF(AND(X$2&lt;&gt;0,TblTech[[#This Row],[Hour]:[Hour]]&gt;=X$2),1,0)</f>
        <v>0</v>
      </c>
      <c r="Y59" s="276" cm="1">
        <f t="array" ref="Y59">IF(AND(Y$2&lt;&gt;0,TblTech[[#This Row],[Hour]:[Hour]]&gt;=Y$2),1,0)</f>
        <v>0</v>
      </c>
      <c r="Z59" s="276" cm="1">
        <f t="array" ref="Z59">IF(AND(Z$2&lt;&gt;0,TblTech[[#This Row],[Hour]:[Hour]]&gt;=Z$2),1,0)</f>
        <v>0</v>
      </c>
      <c r="AA59" s="276" cm="1">
        <f t="array" ref="AA59">IF(AND(AA$2&lt;&gt;0,TblTech[[#This Row],[Hour]:[Hour]]&gt;=AA$2),1,0)</f>
        <v>0</v>
      </c>
      <c r="AB59" s="276" cm="1">
        <f t="array" ref="AB59">IF(AND(AB$2&lt;&gt;0,TblTech[[#This Row],[Hour]:[Hour]]&gt;=AB$2),1,0)</f>
        <v>0</v>
      </c>
      <c r="AC59" s="276" cm="1">
        <f t="array" ref="AC59">IF(AND(AC$2&lt;&gt;0,TblTech[[#This Row],[Hour]:[Hour]]&gt;=AC$2),1,0)</f>
        <v>0</v>
      </c>
      <c r="AD59" s="276" cm="1">
        <f t="array" ref="AD59">IF(AND(AD$2&lt;&gt;0,TblTech[[#This Row],[Hour]:[Hour]]&gt;=AD$2),1,0)</f>
        <v>0</v>
      </c>
      <c r="AE59" s="276" cm="1">
        <f t="array" ref="AE59">IF(AND(AE$2&lt;&gt;0,TblTech[[#This Row],[Hour]:[Hour]]&gt;=AE$2),1,0)</f>
        <v>0</v>
      </c>
      <c r="AF59" s="276" cm="1">
        <f t="array" ref="AF59">IF(AND(AF$2&lt;&gt;0,TblTech[[#This Row],[Hour]:[Hour]]&gt;=AF$2),1,0)</f>
        <v>0</v>
      </c>
      <c r="AG59" s="276" cm="1">
        <f t="array" ref="AG59">IF(AND(AG$2&lt;&gt;0,TblTech[[#This Row],[Hour]:[Hour]]&gt;=AG$2),1,0)</f>
        <v>0</v>
      </c>
      <c r="AH59" s="276" cm="1">
        <f t="array" ref="AH59">IF(AND(AH$2&lt;&gt;0,TblTech[[#This Row],[Hour]:[Hour]]&gt;=AH$2),1,0)</f>
        <v>0</v>
      </c>
      <c r="AI59" s="276" cm="1">
        <f t="array" ref="AI59">IF(AND(AI$2&lt;&gt;0,TblTech[[#This Row],[Hour]:[Hour]]&gt;=AI$2),1,0)</f>
        <v>0</v>
      </c>
      <c r="AJ59" s="276" cm="1">
        <f t="array" ref="AJ59">IF(AND(AJ$2&lt;&gt;0,TblTech[[#This Row],[Hour]:[Hour]]&gt;=AJ$2),1,0)</f>
        <v>0</v>
      </c>
      <c r="AK59" s="276" cm="1">
        <f t="array" ref="AK59">IF(AND(AK$2&lt;&gt;0,TblTech[[#This Row],[Hour]:[Hour]]&gt;=AK$2),1,0)</f>
        <v>0</v>
      </c>
      <c r="AL59" s="276" cm="1">
        <f t="array" ref="AL59">IF(AND(AL$2&lt;&gt;0,TblTech[[#This Row],[Hour]:[Hour]]&gt;=AL$2),1,0)</f>
        <v>0</v>
      </c>
      <c r="AM59" s="276" cm="1">
        <f t="array" ref="AM59">IF(AND(AM$2&lt;&gt;0,TblTech[[#This Row],[Hour]:[Hour]]&gt;=AM$2),1,0)</f>
        <v>0</v>
      </c>
      <c r="AN59" s="276" cm="1">
        <f t="array" ref="AN59">IF(AND(AN$2&lt;&gt;0,TblTech[[#This Row],[Hour]:[Hour]]&gt;=AN$2),1,0)</f>
        <v>0</v>
      </c>
      <c r="AO59" s="276" cm="1">
        <f t="array" ref="AO59">IF(AND(AO$2&lt;&gt;0,TblTech[[#This Row],[Hour]:[Hour]]&gt;=AO$2),1,0)</f>
        <v>0</v>
      </c>
      <c r="AP59" s="276" cm="1">
        <f t="array" ref="AP59">IF(AND(AP$2&lt;&gt;0,TblTech[[#This Row],[Hour]:[Hour]]&gt;=AP$2),1,0)</f>
        <v>0</v>
      </c>
      <c r="AQ59" s="276" cm="1">
        <f t="array" ref="AQ59">IF(AND(AQ$2&lt;&gt;0,TblTech[[#This Row],[Hour]:[Hour]]&gt;=AQ$2),1,0)</f>
        <v>0</v>
      </c>
      <c r="AR59" s="276" cm="1">
        <f t="array" ref="AR59">IF(AND(AR$2&lt;&gt;0,TblTech[[#This Row],[Hour]:[Hour]]&gt;=AR$2),1,0)</f>
        <v>0</v>
      </c>
      <c r="AS59" s="276" cm="1">
        <f t="array" ref="AS59">IF(AND(AS$2&lt;&gt;0,TblTech[[#This Row],[Hour]:[Hour]]&gt;=AS$2),1,0)</f>
        <v>0</v>
      </c>
      <c r="AT59" s="276" cm="1">
        <f t="array" ref="AT59">IF(AND(AT$2&lt;&gt;0,TblTech[[#This Row],[Hour]:[Hour]]&gt;=AT$2),1,0)</f>
        <v>0</v>
      </c>
      <c r="AU59" s="276" cm="1">
        <f t="array" ref="AU59">IF(AND(AU$2&lt;&gt;0,TblTech[[#This Row],[Hour]:[Hour]]&gt;=AU$2),1,0)</f>
        <v>0</v>
      </c>
      <c r="AV59" s="276" cm="1">
        <f t="array" ref="AV59">IF(AND(AV$2&lt;&gt;0,TblTech[[#This Row],[Hour]:[Hour]]&gt;=AV$2),1,0)</f>
        <v>0</v>
      </c>
      <c r="AW59" s="276" cm="1">
        <f t="array" ref="AW59">IF(AND(AW$2&lt;&gt;0,TblTech[[#This Row],[Hour]:[Hour]]&gt;=AW$2),1,0)</f>
        <v>0</v>
      </c>
      <c r="AX59" s="276" cm="1">
        <f t="array" ref="AX59">IF(AND(AX$2&lt;&gt;0,TblTech[[#This Row],[Hour]:[Hour]]&gt;=AX$2),1,0)</f>
        <v>0</v>
      </c>
      <c r="AY59" s="276" cm="1">
        <f t="array" ref="AY59">IF(AND(AY$2&lt;&gt;0,TblTech[[#This Row],[Hour]:[Hour]]&gt;=AY$2),1,0)</f>
        <v>0</v>
      </c>
      <c r="AZ59" s="276" cm="1">
        <f t="array" ref="AZ59">IF(AND(AZ$2&lt;&gt;0,TblTech[[#This Row],[Hour]:[Hour]]&gt;=AZ$2),1,0)</f>
        <v>0</v>
      </c>
      <c r="BA59" s="276" cm="1">
        <f t="array" ref="BA59">IF(AND(BA$2&lt;&gt;0,TblTech[[#This Row],[Hour]:[Hour]]&gt;=BA$2),1,0)</f>
        <v>0</v>
      </c>
      <c r="BB59" s="276" cm="1">
        <f t="array" ref="BB59">IF(AND(BB$2&lt;&gt;0,TblTech[[#This Row],[Hour]:[Hour]]&gt;=BB$2),1,0)</f>
        <v>0</v>
      </c>
      <c r="BC59" s="276" cm="1">
        <f t="array" ref="BC59">IF(AND(BC$2&lt;&gt;0,TblTech[[#This Row],[Hour]:[Hour]]&gt;=BC$2),1,0)</f>
        <v>0</v>
      </c>
      <c r="BD59" s="276" cm="1">
        <f t="array" ref="BD59">IF(AND(BD$2&lt;&gt;0,TblTech[[#This Row],[Hour]:[Hour]]&gt;=BD$2),1,0)</f>
        <v>0</v>
      </c>
      <c r="BE59" s="276" cm="1">
        <f t="array" ref="BE59">IF(AND(BE$2&lt;&gt;0,TblTech[[#This Row],[Hour]:[Hour]]&gt;=BE$2),1,0)</f>
        <v>0</v>
      </c>
      <c r="BF59" s="276" cm="1">
        <f t="array" ref="BF59">IF(AND(BF$2&lt;&gt;0,TblTech[[#This Row],[Hour]:[Hour]]&gt;=BF$2),1,0)</f>
        <v>0</v>
      </c>
      <c r="BG59" s="276" cm="1">
        <f t="array" ref="BG59">IF(AND(BG$2&lt;&gt;0,TblTech[[#This Row],[Hour]:[Hour]]&gt;=BG$2),1,0)</f>
        <v>0</v>
      </c>
      <c r="BH59" s="276" cm="1">
        <f t="array" ref="BH59">IF(AND(BH$2&lt;&gt;0,TblTech[[#This Row],[Hour]:[Hour]]&gt;=BH$2),1,0)</f>
        <v>0</v>
      </c>
      <c r="BI59" s="276" cm="1">
        <f t="array" ref="BI59">IF(AND(BI$2&lt;&gt;0,TblTech[[#This Row],[Hour]:[Hour]]&gt;=BI$2),1,0)</f>
        <v>0</v>
      </c>
      <c r="BJ59" s="276" cm="1">
        <f t="array" ref="BJ59">IF(AND(BJ$2&lt;&gt;0,TblTech[[#This Row],[Hour]:[Hour]]&gt;=BJ$2),1,0)</f>
        <v>0</v>
      </c>
      <c r="BK59" s="276" cm="1">
        <f t="array" ref="BK59">IF(AND(BK$2&lt;&gt;0,TblTech[[#This Row],[Hour]:[Hour]]&gt;=BK$2),1,0)</f>
        <v>0</v>
      </c>
      <c r="BL59" s="276" cm="1">
        <f t="array" ref="BL59">IF(AND(BL$2&lt;&gt;0,TblTech[[#This Row],[Hour]:[Hour]]&gt;=BL$2),1,0)</f>
        <v>0</v>
      </c>
      <c r="BM59" s="276" cm="1">
        <f t="array" ref="BM59">IF(AND(BM$2&lt;&gt;0,TblTech[[#This Row],[Hour]:[Hour]]&gt;=BM$2),1,0)</f>
        <v>0</v>
      </c>
      <c r="BN59" s="276" cm="1">
        <f t="array" ref="BN59">IF(AND(BN$2&lt;&gt;0,TblTech[[#This Row],[Hour]:[Hour]]&gt;=BN$2),1,0)</f>
        <v>0</v>
      </c>
      <c r="BO59" s="276" cm="1">
        <f t="array" ref="BO59">IF(AND(BO$2&lt;&gt;0,TblTech[[#This Row],[Hour]:[Hour]]&gt;=BO$2),1,0)</f>
        <v>0</v>
      </c>
      <c r="BP59" s="276" cm="1">
        <f t="array" ref="BP59">IF(AND(BP$2&lt;&gt;0,TblTech[[#This Row],[Hour]:[Hour]]&gt;=BP$2),1,0)</f>
        <v>0</v>
      </c>
      <c r="BQ59" s="276" cm="1">
        <f t="array" ref="BQ59">IF(AND(BQ$2&lt;&gt;0,TblTech[[#This Row],[Hour]:[Hour]]&gt;=BQ$2),1,0)</f>
        <v>0</v>
      </c>
      <c r="BR59" s="276" cm="1">
        <f t="array" ref="BR59">IF(AND(BR$2&lt;&gt;0,TblTech[[#This Row],[Hour]:[Hour]]&gt;=BR$2),1,0)</f>
        <v>0</v>
      </c>
      <c r="BS59" s="276" cm="1">
        <f t="array" ref="BS59">IF(AND(BS$2&lt;&gt;0,TblTech[[#This Row],[Hour]:[Hour]]&gt;=BS$2),1,0)</f>
        <v>0</v>
      </c>
      <c r="BT59" s="276" cm="1">
        <f t="array" ref="BT59">IF(AND(BT$2&lt;&gt;0,TblTech[[#This Row],[Hour]:[Hour]]&gt;=BT$2),1,0)</f>
        <v>0</v>
      </c>
      <c r="BU59" s="276" cm="1">
        <f t="array" ref="BU59">IF(AND(BU$2&lt;&gt;0,TblTech[[#This Row],[Hour]:[Hour]]&gt;=BU$2),1,0)</f>
        <v>0</v>
      </c>
      <c r="BV59" s="276" cm="1">
        <f t="array" ref="BV59">IF(AND(BV$2&lt;&gt;0,TblTech[[#This Row],[Hour]:[Hour]]&gt;=BV$2),1,0)</f>
        <v>0</v>
      </c>
      <c r="BW59" s="276" cm="1">
        <f t="array" ref="BW59">IF(AND(BW$2&lt;&gt;0,TblTech[[#This Row],[Hour]:[Hour]]&gt;=BW$2),1,0)</f>
        <v>0</v>
      </c>
      <c r="BX59" s="276" cm="1">
        <f t="array" ref="BX59">IF(AND(BX$2&lt;&gt;0,TblTech[[#This Row],[Hour]:[Hour]]&gt;=BX$2),1,0)</f>
        <v>0</v>
      </c>
      <c r="BY59" s="276" cm="1">
        <f t="array" ref="BY59">IF(AND(BY$2&lt;&gt;0,TblTech[[#This Row],[Hour]:[Hour]]&gt;=BY$2),1,0)</f>
        <v>0</v>
      </c>
      <c r="BZ59" s="276" cm="1">
        <f t="array" ref="BZ59">IF(AND(BZ$2&lt;&gt;0,TblTech[[#This Row],[Hour]:[Hour]]&gt;=BZ$2),1,0)</f>
        <v>0</v>
      </c>
      <c r="CA59" s="377">
        <f>IFERROR(INDEX($H$4:$H$79,MATCH(INDEX(TblTech[[#Headers],[1-1]:[11-1]],1,MATCH(TblTech[[#This Row],[Hour]],$M$2:$BZ$2,0)),$G$4:$G$79,0)),)</f>
        <v>0</v>
      </c>
    </row>
    <row r="60" spans="1:79" x14ac:dyDescent="0.2">
      <c r="A60" s="268">
        <f>TblRezone[[#This Row],[Hour]]</f>
        <v>57</v>
      </c>
      <c r="B60" s="269">
        <f ca="1">TblExplore[[#This Row],[Land-DB]]</f>
        <v>110</v>
      </c>
      <c r="C60" s="270">
        <f ca="1">TblProd[[#This Row],[Techpoints]]</f>
        <v>0</v>
      </c>
      <c r="D60" s="270">
        <f ca="1">TblProd[[#This Row],[Required]]</f>
        <v>3750</v>
      </c>
      <c r="E60" s="271"/>
      <c r="F60" s="272"/>
      <c r="G60" s="273"/>
      <c r="H60" s="274"/>
      <c r="I60" s="273"/>
      <c r="J60" s="269"/>
      <c r="K60" s="93">
        <f ca="1">IF(TblTech[[#This Row],[Sum of tech]]&lt;&gt;OFFSET(TblTech[[#This Row],[Sum of tech]],-1,0),1,0)</f>
        <v>0</v>
      </c>
      <c r="L60" s="275">
        <f>COUNTIF(TblTech[[#This Row],[1-1]:[11-1]],1)</f>
        <v>0</v>
      </c>
      <c r="M60" s="276" cm="1">
        <f t="array" ref="M60">IF(AND(M$2&lt;&gt;0,TblTech[[#This Row],[Hour]:[Hour]]&gt;=M$2),1,0)</f>
        <v>0</v>
      </c>
      <c r="N60" s="276" cm="1">
        <f t="array" ref="N60">IF(AND(N$2&lt;&gt;0,TblTech[[#This Row],[Hour]:[Hour]]&gt;=N$2),1,0)</f>
        <v>0</v>
      </c>
      <c r="O60" s="276" cm="1">
        <f t="array" ref="O60">IF(AND(O$2&lt;&gt;0,TblTech[[#This Row],[Hour]:[Hour]]&gt;=O$2),1,0)</f>
        <v>0</v>
      </c>
      <c r="P60" s="276" cm="1">
        <f t="array" ref="P60">IF(AND(P$2&lt;&gt;0,TblTech[[#This Row],[Hour]:[Hour]]&gt;=P$2),1,0)</f>
        <v>0</v>
      </c>
      <c r="Q60" s="276" cm="1">
        <f t="array" ref="Q60">IF(AND(Q$2&lt;&gt;0,TblTech[[#This Row],[Hour]:[Hour]]&gt;=Q$2),1,0)</f>
        <v>0</v>
      </c>
      <c r="R60" s="276" cm="1">
        <f t="array" ref="R60">IF(AND(R$2&lt;&gt;0,TblTech[[#This Row],[Hour]:[Hour]]&gt;=R$2),1,0)</f>
        <v>0</v>
      </c>
      <c r="S60" s="276" cm="1">
        <f t="array" ref="S60">IF(AND(S$2&lt;&gt;0,TblTech[[#This Row],[Hour]:[Hour]]&gt;=S$2),1,0)</f>
        <v>0</v>
      </c>
      <c r="T60" s="276" cm="1">
        <f t="array" ref="T60">IF(AND(T$2&lt;&gt;0,TblTech[[#This Row],[Hour]:[Hour]]&gt;=T$2),1,0)</f>
        <v>0</v>
      </c>
      <c r="U60" s="276" cm="1">
        <f t="array" ref="U60">IF(AND(U$2&lt;&gt;0,TblTech[[#This Row],[Hour]:[Hour]]&gt;=U$2),1,0)</f>
        <v>0</v>
      </c>
      <c r="V60" s="276" cm="1">
        <f t="array" ref="V60">IF(AND(V$2&lt;&gt;0,TblTech[[#This Row],[Hour]:[Hour]]&gt;=V$2),1,0)</f>
        <v>0</v>
      </c>
      <c r="W60" s="276" cm="1">
        <f t="array" ref="W60">IF(AND(W$2&lt;&gt;0,TblTech[[#This Row],[Hour]:[Hour]]&gt;=W$2),1,0)</f>
        <v>0</v>
      </c>
      <c r="X60" s="276" cm="1">
        <f t="array" ref="X60">IF(AND(X$2&lt;&gt;0,TblTech[[#This Row],[Hour]:[Hour]]&gt;=X$2),1,0)</f>
        <v>0</v>
      </c>
      <c r="Y60" s="276" cm="1">
        <f t="array" ref="Y60">IF(AND(Y$2&lt;&gt;0,TblTech[[#This Row],[Hour]:[Hour]]&gt;=Y$2),1,0)</f>
        <v>0</v>
      </c>
      <c r="Z60" s="276" cm="1">
        <f t="array" ref="Z60">IF(AND(Z$2&lt;&gt;0,TblTech[[#This Row],[Hour]:[Hour]]&gt;=Z$2),1,0)</f>
        <v>0</v>
      </c>
      <c r="AA60" s="276" cm="1">
        <f t="array" ref="AA60">IF(AND(AA$2&lt;&gt;0,TblTech[[#This Row],[Hour]:[Hour]]&gt;=AA$2),1,0)</f>
        <v>0</v>
      </c>
      <c r="AB60" s="276" cm="1">
        <f t="array" ref="AB60">IF(AND(AB$2&lt;&gt;0,TblTech[[#This Row],[Hour]:[Hour]]&gt;=AB$2),1,0)</f>
        <v>0</v>
      </c>
      <c r="AC60" s="276" cm="1">
        <f t="array" ref="AC60">IF(AND(AC$2&lt;&gt;0,TblTech[[#This Row],[Hour]:[Hour]]&gt;=AC$2),1,0)</f>
        <v>0</v>
      </c>
      <c r="AD60" s="276" cm="1">
        <f t="array" ref="AD60">IF(AND(AD$2&lt;&gt;0,TblTech[[#This Row],[Hour]:[Hour]]&gt;=AD$2),1,0)</f>
        <v>0</v>
      </c>
      <c r="AE60" s="276" cm="1">
        <f t="array" ref="AE60">IF(AND(AE$2&lt;&gt;0,TblTech[[#This Row],[Hour]:[Hour]]&gt;=AE$2),1,0)</f>
        <v>0</v>
      </c>
      <c r="AF60" s="276" cm="1">
        <f t="array" ref="AF60">IF(AND(AF$2&lt;&gt;0,TblTech[[#This Row],[Hour]:[Hour]]&gt;=AF$2),1,0)</f>
        <v>0</v>
      </c>
      <c r="AG60" s="276" cm="1">
        <f t="array" ref="AG60">IF(AND(AG$2&lt;&gt;0,TblTech[[#This Row],[Hour]:[Hour]]&gt;=AG$2),1,0)</f>
        <v>0</v>
      </c>
      <c r="AH60" s="276" cm="1">
        <f t="array" ref="AH60">IF(AND(AH$2&lt;&gt;0,TblTech[[#This Row],[Hour]:[Hour]]&gt;=AH$2),1,0)</f>
        <v>0</v>
      </c>
      <c r="AI60" s="276" cm="1">
        <f t="array" ref="AI60">IF(AND(AI$2&lt;&gt;0,TblTech[[#This Row],[Hour]:[Hour]]&gt;=AI$2),1,0)</f>
        <v>0</v>
      </c>
      <c r="AJ60" s="276" cm="1">
        <f t="array" ref="AJ60">IF(AND(AJ$2&lt;&gt;0,TblTech[[#This Row],[Hour]:[Hour]]&gt;=AJ$2),1,0)</f>
        <v>0</v>
      </c>
      <c r="AK60" s="276" cm="1">
        <f t="array" ref="AK60">IF(AND(AK$2&lt;&gt;0,TblTech[[#This Row],[Hour]:[Hour]]&gt;=AK$2),1,0)</f>
        <v>0</v>
      </c>
      <c r="AL60" s="276" cm="1">
        <f t="array" ref="AL60">IF(AND(AL$2&lt;&gt;0,TblTech[[#This Row],[Hour]:[Hour]]&gt;=AL$2),1,0)</f>
        <v>0</v>
      </c>
      <c r="AM60" s="276" cm="1">
        <f t="array" ref="AM60">IF(AND(AM$2&lt;&gt;0,TblTech[[#This Row],[Hour]:[Hour]]&gt;=AM$2),1,0)</f>
        <v>0</v>
      </c>
      <c r="AN60" s="276" cm="1">
        <f t="array" ref="AN60">IF(AND(AN$2&lt;&gt;0,TblTech[[#This Row],[Hour]:[Hour]]&gt;=AN$2),1,0)</f>
        <v>0</v>
      </c>
      <c r="AO60" s="276" cm="1">
        <f t="array" ref="AO60">IF(AND(AO$2&lt;&gt;0,TblTech[[#This Row],[Hour]:[Hour]]&gt;=AO$2),1,0)</f>
        <v>0</v>
      </c>
      <c r="AP60" s="276" cm="1">
        <f t="array" ref="AP60">IF(AND(AP$2&lt;&gt;0,TblTech[[#This Row],[Hour]:[Hour]]&gt;=AP$2),1,0)</f>
        <v>0</v>
      </c>
      <c r="AQ60" s="276" cm="1">
        <f t="array" ref="AQ60">IF(AND(AQ$2&lt;&gt;0,TblTech[[#This Row],[Hour]:[Hour]]&gt;=AQ$2),1,0)</f>
        <v>0</v>
      </c>
      <c r="AR60" s="276" cm="1">
        <f t="array" ref="AR60">IF(AND(AR$2&lt;&gt;0,TblTech[[#This Row],[Hour]:[Hour]]&gt;=AR$2),1,0)</f>
        <v>0</v>
      </c>
      <c r="AS60" s="276" cm="1">
        <f t="array" ref="AS60">IF(AND(AS$2&lt;&gt;0,TblTech[[#This Row],[Hour]:[Hour]]&gt;=AS$2),1,0)</f>
        <v>0</v>
      </c>
      <c r="AT60" s="276" cm="1">
        <f t="array" ref="AT60">IF(AND(AT$2&lt;&gt;0,TblTech[[#This Row],[Hour]:[Hour]]&gt;=AT$2),1,0)</f>
        <v>0</v>
      </c>
      <c r="AU60" s="276" cm="1">
        <f t="array" ref="AU60">IF(AND(AU$2&lt;&gt;0,TblTech[[#This Row],[Hour]:[Hour]]&gt;=AU$2),1,0)</f>
        <v>0</v>
      </c>
      <c r="AV60" s="276" cm="1">
        <f t="array" ref="AV60">IF(AND(AV$2&lt;&gt;0,TblTech[[#This Row],[Hour]:[Hour]]&gt;=AV$2),1,0)</f>
        <v>0</v>
      </c>
      <c r="AW60" s="276" cm="1">
        <f t="array" ref="AW60">IF(AND(AW$2&lt;&gt;0,TblTech[[#This Row],[Hour]:[Hour]]&gt;=AW$2),1,0)</f>
        <v>0</v>
      </c>
      <c r="AX60" s="276" cm="1">
        <f t="array" ref="AX60">IF(AND(AX$2&lt;&gt;0,TblTech[[#This Row],[Hour]:[Hour]]&gt;=AX$2),1,0)</f>
        <v>0</v>
      </c>
      <c r="AY60" s="276" cm="1">
        <f t="array" ref="AY60">IF(AND(AY$2&lt;&gt;0,TblTech[[#This Row],[Hour]:[Hour]]&gt;=AY$2),1,0)</f>
        <v>0</v>
      </c>
      <c r="AZ60" s="276" cm="1">
        <f t="array" ref="AZ60">IF(AND(AZ$2&lt;&gt;0,TblTech[[#This Row],[Hour]:[Hour]]&gt;=AZ$2),1,0)</f>
        <v>0</v>
      </c>
      <c r="BA60" s="276" cm="1">
        <f t="array" ref="BA60">IF(AND(BA$2&lt;&gt;0,TblTech[[#This Row],[Hour]:[Hour]]&gt;=BA$2),1,0)</f>
        <v>0</v>
      </c>
      <c r="BB60" s="276" cm="1">
        <f t="array" ref="BB60">IF(AND(BB$2&lt;&gt;0,TblTech[[#This Row],[Hour]:[Hour]]&gt;=BB$2),1,0)</f>
        <v>0</v>
      </c>
      <c r="BC60" s="276" cm="1">
        <f t="array" ref="BC60">IF(AND(BC$2&lt;&gt;0,TblTech[[#This Row],[Hour]:[Hour]]&gt;=BC$2),1,0)</f>
        <v>0</v>
      </c>
      <c r="BD60" s="276" cm="1">
        <f t="array" ref="BD60">IF(AND(BD$2&lt;&gt;0,TblTech[[#This Row],[Hour]:[Hour]]&gt;=BD$2),1,0)</f>
        <v>0</v>
      </c>
      <c r="BE60" s="276" cm="1">
        <f t="array" ref="BE60">IF(AND(BE$2&lt;&gt;0,TblTech[[#This Row],[Hour]:[Hour]]&gt;=BE$2),1,0)</f>
        <v>0</v>
      </c>
      <c r="BF60" s="276" cm="1">
        <f t="array" ref="BF60">IF(AND(BF$2&lt;&gt;0,TblTech[[#This Row],[Hour]:[Hour]]&gt;=BF$2),1,0)</f>
        <v>0</v>
      </c>
      <c r="BG60" s="276" cm="1">
        <f t="array" ref="BG60">IF(AND(BG$2&lt;&gt;0,TblTech[[#This Row],[Hour]:[Hour]]&gt;=BG$2),1,0)</f>
        <v>0</v>
      </c>
      <c r="BH60" s="276" cm="1">
        <f t="array" ref="BH60">IF(AND(BH$2&lt;&gt;0,TblTech[[#This Row],[Hour]:[Hour]]&gt;=BH$2),1,0)</f>
        <v>0</v>
      </c>
      <c r="BI60" s="276" cm="1">
        <f t="array" ref="BI60">IF(AND(BI$2&lt;&gt;0,TblTech[[#This Row],[Hour]:[Hour]]&gt;=BI$2),1,0)</f>
        <v>0</v>
      </c>
      <c r="BJ60" s="276" cm="1">
        <f t="array" ref="BJ60">IF(AND(BJ$2&lt;&gt;0,TblTech[[#This Row],[Hour]:[Hour]]&gt;=BJ$2),1,0)</f>
        <v>0</v>
      </c>
      <c r="BK60" s="276" cm="1">
        <f t="array" ref="BK60">IF(AND(BK$2&lt;&gt;0,TblTech[[#This Row],[Hour]:[Hour]]&gt;=BK$2),1,0)</f>
        <v>0</v>
      </c>
      <c r="BL60" s="276" cm="1">
        <f t="array" ref="BL60">IF(AND(BL$2&lt;&gt;0,TblTech[[#This Row],[Hour]:[Hour]]&gt;=BL$2),1,0)</f>
        <v>0</v>
      </c>
      <c r="BM60" s="276" cm="1">
        <f t="array" ref="BM60">IF(AND(BM$2&lt;&gt;0,TblTech[[#This Row],[Hour]:[Hour]]&gt;=BM$2),1,0)</f>
        <v>0</v>
      </c>
      <c r="BN60" s="276" cm="1">
        <f t="array" ref="BN60">IF(AND(BN$2&lt;&gt;0,TblTech[[#This Row],[Hour]:[Hour]]&gt;=BN$2),1,0)</f>
        <v>0</v>
      </c>
      <c r="BO60" s="276" cm="1">
        <f t="array" ref="BO60">IF(AND(BO$2&lt;&gt;0,TblTech[[#This Row],[Hour]:[Hour]]&gt;=BO$2),1,0)</f>
        <v>0</v>
      </c>
      <c r="BP60" s="276" cm="1">
        <f t="array" ref="BP60">IF(AND(BP$2&lt;&gt;0,TblTech[[#This Row],[Hour]:[Hour]]&gt;=BP$2),1,0)</f>
        <v>0</v>
      </c>
      <c r="BQ60" s="276" cm="1">
        <f t="array" ref="BQ60">IF(AND(BQ$2&lt;&gt;0,TblTech[[#This Row],[Hour]:[Hour]]&gt;=BQ$2),1,0)</f>
        <v>0</v>
      </c>
      <c r="BR60" s="276" cm="1">
        <f t="array" ref="BR60">IF(AND(BR$2&lt;&gt;0,TblTech[[#This Row],[Hour]:[Hour]]&gt;=BR$2),1,0)</f>
        <v>0</v>
      </c>
      <c r="BS60" s="276" cm="1">
        <f t="array" ref="BS60">IF(AND(BS$2&lt;&gt;0,TblTech[[#This Row],[Hour]:[Hour]]&gt;=BS$2),1,0)</f>
        <v>0</v>
      </c>
      <c r="BT60" s="276" cm="1">
        <f t="array" ref="BT60">IF(AND(BT$2&lt;&gt;0,TblTech[[#This Row],[Hour]:[Hour]]&gt;=BT$2),1,0)</f>
        <v>0</v>
      </c>
      <c r="BU60" s="276" cm="1">
        <f t="array" ref="BU60">IF(AND(BU$2&lt;&gt;0,TblTech[[#This Row],[Hour]:[Hour]]&gt;=BU$2),1,0)</f>
        <v>0</v>
      </c>
      <c r="BV60" s="276" cm="1">
        <f t="array" ref="BV60">IF(AND(BV$2&lt;&gt;0,TblTech[[#This Row],[Hour]:[Hour]]&gt;=BV$2),1,0)</f>
        <v>0</v>
      </c>
      <c r="BW60" s="276" cm="1">
        <f t="array" ref="BW60">IF(AND(BW$2&lt;&gt;0,TblTech[[#This Row],[Hour]:[Hour]]&gt;=BW$2),1,0)</f>
        <v>0</v>
      </c>
      <c r="BX60" s="276" cm="1">
        <f t="array" ref="BX60">IF(AND(BX$2&lt;&gt;0,TblTech[[#This Row],[Hour]:[Hour]]&gt;=BX$2),1,0)</f>
        <v>0</v>
      </c>
      <c r="BY60" s="276" cm="1">
        <f t="array" ref="BY60">IF(AND(BY$2&lt;&gt;0,TblTech[[#This Row],[Hour]:[Hour]]&gt;=BY$2),1,0)</f>
        <v>0</v>
      </c>
      <c r="BZ60" s="276" cm="1">
        <f t="array" ref="BZ60">IF(AND(BZ$2&lt;&gt;0,TblTech[[#This Row],[Hour]:[Hour]]&gt;=BZ$2),1,0)</f>
        <v>0</v>
      </c>
      <c r="CA60" s="377">
        <f>IFERROR(INDEX($H$4:$H$79,MATCH(INDEX(TblTech[[#Headers],[1-1]:[11-1]],1,MATCH(TblTech[[#This Row],[Hour]],$M$2:$BZ$2,0)),$G$4:$G$79,0)),)</f>
        <v>0</v>
      </c>
    </row>
    <row r="61" spans="1:79" x14ac:dyDescent="0.2">
      <c r="A61" s="268">
        <f>TblRezone[[#This Row],[Hour]]</f>
        <v>58</v>
      </c>
      <c r="B61" s="269">
        <f ca="1">TblExplore[[#This Row],[Land-DB]]</f>
        <v>110</v>
      </c>
      <c r="C61" s="270">
        <f ca="1">TblProd[[#This Row],[Techpoints]]</f>
        <v>0</v>
      </c>
      <c r="D61" s="270">
        <f ca="1">TblProd[[#This Row],[Required]]</f>
        <v>3750</v>
      </c>
      <c r="E61" s="271"/>
      <c r="F61" s="272"/>
      <c r="G61" s="273" t="s">
        <v>602</v>
      </c>
      <c r="H61" s="274" t="s">
        <v>723</v>
      </c>
      <c r="I61" s="273" t="s">
        <v>603</v>
      </c>
      <c r="J61" s="269"/>
      <c r="K61" s="93">
        <f ca="1">IF(TblTech[[#This Row],[Sum of tech]]&lt;&gt;OFFSET(TblTech[[#This Row],[Sum of tech]],-1,0),1,0)</f>
        <v>0</v>
      </c>
      <c r="L61" s="275">
        <f>COUNTIF(TblTech[[#This Row],[1-1]:[11-1]],1)</f>
        <v>0</v>
      </c>
      <c r="M61" s="276" cm="1">
        <f t="array" ref="M61">IF(AND(M$2&lt;&gt;0,TblTech[[#This Row],[Hour]:[Hour]]&gt;=M$2),1,0)</f>
        <v>0</v>
      </c>
      <c r="N61" s="276" cm="1">
        <f t="array" ref="N61">IF(AND(N$2&lt;&gt;0,TblTech[[#This Row],[Hour]:[Hour]]&gt;=N$2),1,0)</f>
        <v>0</v>
      </c>
      <c r="O61" s="276" cm="1">
        <f t="array" ref="O61">IF(AND(O$2&lt;&gt;0,TblTech[[#This Row],[Hour]:[Hour]]&gt;=O$2),1,0)</f>
        <v>0</v>
      </c>
      <c r="P61" s="276" cm="1">
        <f t="array" ref="P61">IF(AND(P$2&lt;&gt;0,TblTech[[#This Row],[Hour]:[Hour]]&gt;=P$2),1,0)</f>
        <v>0</v>
      </c>
      <c r="Q61" s="276" cm="1">
        <f t="array" ref="Q61">IF(AND(Q$2&lt;&gt;0,TblTech[[#This Row],[Hour]:[Hour]]&gt;=Q$2),1,0)</f>
        <v>0</v>
      </c>
      <c r="R61" s="276" cm="1">
        <f t="array" ref="R61">IF(AND(R$2&lt;&gt;0,TblTech[[#This Row],[Hour]:[Hour]]&gt;=R$2),1,0)</f>
        <v>0</v>
      </c>
      <c r="S61" s="276" cm="1">
        <f t="array" ref="S61">IF(AND(S$2&lt;&gt;0,TblTech[[#This Row],[Hour]:[Hour]]&gt;=S$2),1,0)</f>
        <v>0</v>
      </c>
      <c r="T61" s="276" cm="1">
        <f t="array" ref="T61">IF(AND(T$2&lt;&gt;0,TblTech[[#This Row],[Hour]:[Hour]]&gt;=T$2),1,0)</f>
        <v>0</v>
      </c>
      <c r="U61" s="276" cm="1">
        <f t="array" ref="U61">IF(AND(U$2&lt;&gt;0,TblTech[[#This Row],[Hour]:[Hour]]&gt;=U$2),1,0)</f>
        <v>0</v>
      </c>
      <c r="V61" s="276" cm="1">
        <f t="array" ref="V61">IF(AND(V$2&lt;&gt;0,TblTech[[#This Row],[Hour]:[Hour]]&gt;=V$2),1,0)</f>
        <v>0</v>
      </c>
      <c r="W61" s="276" cm="1">
        <f t="array" ref="W61">IF(AND(W$2&lt;&gt;0,TblTech[[#This Row],[Hour]:[Hour]]&gt;=W$2),1,0)</f>
        <v>0</v>
      </c>
      <c r="X61" s="276" cm="1">
        <f t="array" ref="X61">IF(AND(X$2&lt;&gt;0,TblTech[[#This Row],[Hour]:[Hour]]&gt;=X$2),1,0)</f>
        <v>0</v>
      </c>
      <c r="Y61" s="276" cm="1">
        <f t="array" ref="Y61">IF(AND(Y$2&lt;&gt;0,TblTech[[#This Row],[Hour]:[Hour]]&gt;=Y$2),1,0)</f>
        <v>0</v>
      </c>
      <c r="Z61" s="276" cm="1">
        <f t="array" ref="Z61">IF(AND(Z$2&lt;&gt;0,TblTech[[#This Row],[Hour]:[Hour]]&gt;=Z$2),1,0)</f>
        <v>0</v>
      </c>
      <c r="AA61" s="276" cm="1">
        <f t="array" ref="AA61">IF(AND(AA$2&lt;&gt;0,TblTech[[#This Row],[Hour]:[Hour]]&gt;=AA$2),1,0)</f>
        <v>0</v>
      </c>
      <c r="AB61" s="276" cm="1">
        <f t="array" ref="AB61">IF(AND(AB$2&lt;&gt;0,TblTech[[#This Row],[Hour]:[Hour]]&gt;=AB$2),1,0)</f>
        <v>0</v>
      </c>
      <c r="AC61" s="276" cm="1">
        <f t="array" ref="AC61">IF(AND(AC$2&lt;&gt;0,TblTech[[#This Row],[Hour]:[Hour]]&gt;=AC$2),1,0)</f>
        <v>0</v>
      </c>
      <c r="AD61" s="276" cm="1">
        <f t="array" ref="AD61">IF(AND(AD$2&lt;&gt;0,TblTech[[#This Row],[Hour]:[Hour]]&gt;=AD$2),1,0)</f>
        <v>0</v>
      </c>
      <c r="AE61" s="276" cm="1">
        <f t="array" ref="AE61">IF(AND(AE$2&lt;&gt;0,TblTech[[#This Row],[Hour]:[Hour]]&gt;=AE$2),1,0)</f>
        <v>0</v>
      </c>
      <c r="AF61" s="276" cm="1">
        <f t="array" ref="AF61">IF(AND(AF$2&lt;&gt;0,TblTech[[#This Row],[Hour]:[Hour]]&gt;=AF$2),1,0)</f>
        <v>0</v>
      </c>
      <c r="AG61" s="276" cm="1">
        <f t="array" ref="AG61">IF(AND(AG$2&lt;&gt;0,TblTech[[#This Row],[Hour]:[Hour]]&gt;=AG$2),1,0)</f>
        <v>0</v>
      </c>
      <c r="AH61" s="276" cm="1">
        <f t="array" ref="AH61">IF(AND(AH$2&lt;&gt;0,TblTech[[#This Row],[Hour]:[Hour]]&gt;=AH$2),1,0)</f>
        <v>0</v>
      </c>
      <c r="AI61" s="276" cm="1">
        <f t="array" ref="AI61">IF(AND(AI$2&lt;&gt;0,TblTech[[#This Row],[Hour]:[Hour]]&gt;=AI$2),1,0)</f>
        <v>0</v>
      </c>
      <c r="AJ61" s="276" cm="1">
        <f t="array" ref="AJ61">IF(AND(AJ$2&lt;&gt;0,TblTech[[#This Row],[Hour]:[Hour]]&gt;=AJ$2),1,0)</f>
        <v>0</v>
      </c>
      <c r="AK61" s="276" cm="1">
        <f t="array" ref="AK61">IF(AND(AK$2&lt;&gt;0,TblTech[[#This Row],[Hour]:[Hour]]&gt;=AK$2),1,0)</f>
        <v>0</v>
      </c>
      <c r="AL61" s="276" cm="1">
        <f t="array" ref="AL61">IF(AND(AL$2&lt;&gt;0,TblTech[[#This Row],[Hour]:[Hour]]&gt;=AL$2),1,0)</f>
        <v>0</v>
      </c>
      <c r="AM61" s="276" cm="1">
        <f t="array" ref="AM61">IF(AND(AM$2&lt;&gt;0,TblTech[[#This Row],[Hour]:[Hour]]&gt;=AM$2),1,0)</f>
        <v>0</v>
      </c>
      <c r="AN61" s="276" cm="1">
        <f t="array" ref="AN61">IF(AND(AN$2&lt;&gt;0,TblTech[[#This Row],[Hour]:[Hour]]&gt;=AN$2),1,0)</f>
        <v>0</v>
      </c>
      <c r="AO61" s="276" cm="1">
        <f t="array" ref="AO61">IF(AND(AO$2&lt;&gt;0,TblTech[[#This Row],[Hour]:[Hour]]&gt;=AO$2),1,0)</f>
        <v>0</v>
      </c>
      <c r="AP61" s="276" cm="1">
        <f t="array" ref="AP61">IF(AND(AP$2&lt;&gt;0,TblTech[[#This Row],[Hour]:[Hour]]&gt;=AP$2),1,0)</f>
        <v>0</v>
      </c>
      <c r="AQ61" s="276" cm="1">
        <f t="array" ref="AQ61">IF(AND(AQ$2&lt;&gt;0,TblTech[[#This Row],[Hour]:[Hour]]&gt;=AQ$2),1,0)</f>
        <v>0</v>
      </c>
      <c r="AR61" s="276" cm="1">
        <f t="array" ref="AR61">IF(AND(AR$2&lt;&gt;0,TblTech[[#This Row],[Hour]:[Hour]]&gt;=AR$2),1,0)</f>
        <v>0</v>
      </c>
      <c r="AS61" s="276" cm="1">
        <f t="array" ref="AS61">IF(AND(AS$2&lt;&gt;0,TblTech[[#This Row],[Hour]:[Hour]]&gt;=AS$2),1,0)</f>
        <v>0</v>
      </c>
      <c r="AT61" s="276" cm="1">
        <f t="array" ref="AT61">IF(AND(AT$2&lt;&gt;0,TblTech[[#This Row],[Hour]:[Hour]]&gt;=AT$2),1,0)</f>
        <v>0</v>
      </c>
      <c r="AU61" s="276" cm="1">
        <f t="array" ref="AU61">IF(AND(AU$2&lt;&gt;0,TblTech[[#This Row],[Hour]:[Hour]]&gt;=AU$2),1,0)</f>
        <v>0</v>
      </c>
      <c r="AV61" s="276" cm="1">
        <f t="array" ref="AV61">IF(AND(AV$2&lt;&gt;0,TblTech[[#This Row],[Hour]:[Hour]]&gt;=AV$2),1,0)</f>
        <v>0</v>
      </c>
      <c r="AW61" s="276" cm="1">
        <f t="array" ref="AW61">IF(AND(AW$2&lt;&gt;0,TblTech[[#This Row],[Hour]:[Hour]]&gt;=AW$2),1,0)</f>
        <v>0</v>
      </c>
      <c r="AX61" s="276" cm="1">
        <f t="array" ref="AX61">IF(AND(AX$2&lt;&gt;0,TblTech[[#This Row],[Hour]:[Hour]]&gt;=AX$2),1,0)</f>
        <v>0</v>
      </c>
      <c r="AY61" s="276" cm="1">
        <f t="array" ref="AY61">IF(AND(AY$2&lt;&gt;0,TblTech[[#This Row],[Hour]:[Hour]]&gt;=AY$2),1,0)</f>
        <v>0</v>
      </c>
      <c r="AZ61" s="276" cm="1">
        <f t="array" ref="AZ61">IF(AND(AZ$2&lt;&gt;0,TblTech[[#This Row],[Hour]:[Hour]]&gt;=AZ$2),1,0)</f>
        <v>0</v>
      </c>
      <c r="BA61" s="276" cm="1">
        <f t="array" ref="BA61">IF(AND(BA$2&lt;&gt;0,TblTech[[#This Row],[Hour]:[Hour]]&gt;=BA$2),1,0)</f>
        <v>0</v>
      </c>
      <c r="BB61" s="276" cm="1">
        <f t="array" ref="BB61">IF(AND(BB$2&lt;&gt;0,TblTech[[#This Row],[Hour]:[Hour]]&gt;=BB$2),1,0)</f>
        <v>0</v>
      </c>
      <c r="BC61" s="276" cm="1">
        <f t="array" ref="BC61">IF(AND(BC$2&lt;&gt;0,TblTech[[#This Row],[Hour]:[Hour]]&gt;=BC$2),1,0)</f>
        <v>0</v>
      </c>
      <c r="BD61" s="276" cm="1">
        <f t="array" ref="BD61">IF(AND(BD$2&lt;&gt;0,TblTech[[#This Row],[Hour]:[Hour]]&gt;=BD$2),1,0)</f>
        <v>0</v>
      </c>
      <c r="BE61" s="276" cm="1">
        <f t="array" ref="BE61">IF(AND(BE$2&lt;&gt;0,TblTech[[#This Row],[Hour]:[Hour]]&gt;=BE$2),1,0)</f>
        <v>0</v>
      </c>
      <c r="BF61" s="276" cm="1">
        <f t="array" ref="BF61">IF(AND(BF$2&lt;&gt;0,TblTech[[#This Row],[Hour]:[Hour]]&gt;=BF$2),1,0)</f>
        <v>0</v>
      </c>
      <c r="BG61" s="276" cm="1">
        <f t="array" ref="BG61">IF(AND(BG$2&lt;&gt;0,TblTech[[#This Row],[Hour]:[Hour]]&gt;=BG$2),1,0)</f>
        <v>0</v>
      </c>
      <c r="BH61" s="276" cm="1">
        <f t="array" ref="BH61">IF(AND(BH$2&lt;&gt;0,TblTech[[#This Row],[Hour]:[Hour]]&gt;=BH$2),1,0)</f>
        <v>0</v>
      </c>
      <c r="BI61" s="276" cm="1">
        <f t="array" ref="BI61">IF(AND(BI$2&lt;&gt;0,TblTech[[#This Row],[Hour]:[Hour]]&gt;=BI$2),1,0)</f>
        <v>0</v>
      </c>
      <c r="BJ61" s="276" cm="1">
        <f t="array" ref="BJ61">IF(AND(BJ$2&lt;&gt;0,TblTech[[#This Row],[Hour]:[Hour]]&gt;=BJ$2),1,0)</f>
        <v>0</v>
      </c>
      <c r="BK61" s="276" cm="1">
        <f t="array" ref="BK61">IF(AND(BK$2&lt;&gt;0,TblTech[[#This Row],[Hour]:[Hour]]&gt;=BK$2),1,0)</f>
        <v>0</v>
      </c>
      <c r="BL61" s="276" cm="1">
        <f t="array" ref="BL61">IF(AND(BL$2&lt;&gt;0,TblTech[[#This Row],[Hour]:[Hour]]&gt;=BL$2),1,0)</f>
        <v>0</v>
      </c>
      <c r="BM61" s="276" cm="1">
        <f t="array" ref="BM61">IF(AND(BM$2&lt;&gt;0,TblTech[[#This Row],[Hour]:[Hour]]&gt;=BM$2),1,0)</f>
        <v>0</v>
      </c>
      <c r="BN61" s="276" cm="1">
        <f t="array" ref="BN61">IF(AND(BN$2&lt;&gt;0,TblTech[[#This Row],[Hour]:[Hour]]&gt;=BN$2),1,0)</f>
        <v>0</v>
      </c>
      <c r="BO61" s="276" cm="1">
        <f t="array" ref="BO61">IF(AND(BO$2&lt;&gt;0,TblTech[[#This Row],[Hour]:[Hour]]&gt;=BO$2),1,0)</f>
        <v>0</v>
      </c>
      <c r="BP61" s="276" cm="1">
        <f t="array" ref="BP61">IF(AND(BP$2&lt;&gt;0,TblTech[[#This Row],[Hour]:[Hour]]&gt;=BP$2),1,0)</f>
        <v>0</v>
      </c>
      <c r="BQ61" s="276" cm="1">
        <f t="array" ref="BQ61">IF(AND(BQ$2&lt;&gt;0,TblTech[[#This Row],[Hour]:[Hour]]&gt;=BQ$2),1,0)</f>
        <v>0</v>
      </c>
      <c r="BR61" s="276" cm="1">
        <f t="array" ref="BR61">IF(AND(BR$2&lt;&gt;0,TblTech[[#This Row],[Hour]:[Hour]]&gt;=BR$2),1,0)</f>
        <v>0</v>
      </c>
      <c r="BS61" s="276" cm="1">
        <f t="array" ref="BS61">IF(AND(BS$2&lt;&gt;0,TblTech[[#This Row],[Hour]:[Hour]]&gt;=BS$2),1,0)</f>
        <v>0</v>
      </c>
      <c r="BT61" s="276" cm="1">
        <f t="array" ref="BT61">IF(AND(BT$2&lt;&gt;0,TblTech[[#This Row],[Hour]:[Hour]]&gt;=BT$2),1,0)</f>
        <v>0</v>
      </c>
      <c r="BU61" s="276" cm="1">
        <f t="array" ref="BU61">IF(AND(BU$2&lt;&gt;0,TblTech[[#This Row],[Hour]:[Hour]]&gt;=BU$2),1,0)</f>
        <v>0</v>
      </c>
      <c r="BV61" s="276" cm="1">
        <f t="array" ref="BV61">IF(AND(BV$2&lt;&gt;0,TblTech[[#This Row],[Hour]:[Hour]]&gt;=BV$2),1,0)</f>
        <v>0</v>
      </c>
      <c r="BW61" s="276" cm="1">
        <f t="array" ref="BW61">IF(AND(BW$2&lt;&gt;0,TblTech[[#This Row],[Hour]:[Hour]]&gt;=BW$2),1,0)</f>
        <v>0</v>
      </c>
      <c r="BX61" s="276" cm="1">
        <f t="array" ref="BX61">IF(AND(BX$2&lt;&gt;0,TblTech[[#This Row],[Hour]:[Hour]]&gt;=BX$2),1,0)</f>
        <v>0</v>
      </c>
      <c r="BY61" s="276" cm="1">
        <f t="array" ref="BY61">IF(AND(BY$2&lt;&gt;0,TblTech[[#This Row],[Hour]:[Hour]]&gt;=BY$2),1,0)</f>
        <v>0</v>
      </c>
      <c r="BZ61" s="276" cm="1">
        <f t="array" ref="BZ61">IF(AND(BZ$2&lt;&gt;0,TblTech[[#This Row],[Hour]:[Hour]]&gt;=BZ$2),1,0)</f>
        <v>0</v>
      </c>
      <c r="CA61" s="377">
        <f>IFERROR(INDEX($H$4:$H$79,MATCH(INDEX(TblTech[[#Headers],[1-1]:[11-1]],1,MATCH(TblTech[[#This Row],[Hour]],$M$2:$BZ$2,0)),$G$4:$G$79,0)),)</f>
        <v>0</v>
      </c>
    </row>
    <row r="62" spans="1:79" x14ac:dyDescent="0.2">
      <c r="A62" s="268">
        <f>TblRezone[[#This Row],[Hour]]</f>
        <v>59</v>
      </c>
      <c r="B62" s="269">
        <f ca="1">TblExplore[[#This Row],[Land-DB]]</f>
        <v>110</v>
      </c>
      <c r="C62" s="270">
        <f ca="1">TblProd[[#This Row],[Techpoints]]</f>
        <v>0</v>
      </c>
      <c r="D62" s="270">
        <f ca="1">TblProd[[#This Row],[Required]]</f>
        <v>3750</v>
      </c>
      <c r="E62" s="271"/>
      <c r="F62" s="272"/>
      <c r="G62" s="273" t="s">
        <v>604</v>
      </c>
      <c r="H62" s="274" t="s">
        <v>727</v>
      </c>
      <c r="I62" s="273" t="s">
        <v>1052</v>
      </c>
      <c r="J62" s="269"/>
      <c r="K62" s="93">
        <f ca="1">IF(TblTech[[#This Row],[Sum of tech]]&lt;&gt;OFFSET(TblTech[[#This Row],[Sum of tech]],-1,0),1,0)</f>
        <v>0</v>
      </c>
      <c r="L62" s="275">
        <f>COUNTIF(TblTech[[#This Row],[1-1]:[11-1]],1)</f>
        <v>0</v>
      </c>
      <c r="M62" s="276" cm="1">
        <f t="array" ref="M62">IF(AND(M$2&lt;&gt;0,TblTech[[#This Row],[Hour]:[Hour]]&gt;=M$2),1,0)</f>
        <v>0</v>
      </c>
      <c r="N62" s="276" cm="1">
        <f t="array" ref="N62">IF(AND(N$2&lt;&gt;0,TblTech[[#This Row],[Hour]:[Hour]]&gt;=N$2),1,0)</f>
        <v>0</v>
      </c>
      <c r="O62" s="276" cm="1">
        <f t="array" ref="O62">IF(AND(O$2&lt;&gt;0,TblTech[[#This Row],[Hour]:[Hour]]&gt;=O$2),1,0)</f>
        <v>0</v>
      </c>
      <c r="P62" s="276" cm="1">
        <f t="array" ref="P62">IF(AND(P$2&lt;&gt;0,TblTech[[#This Row],[Hour]:[Hour]]&gt;=P$2),1,0)</f>
        <v>0</v>
      </c>
      <c r="Q62" s="276" cm="1">
        <f t="array" ref="Q62">IF(AND(Q$2&lt;&gt;0,TblTech[[#This Row],[Hour]:[Hour]]&gt;=Q$2),1,0)</f>
        <v>0</v>
      </c>
      <c r="R62" s="276" cm="1">
        <f t="array" ref="R62">IF(AND(R$2&lt;&gt;0,TblTech[[#This Row],[Hour]:[Hour]]&gt;=R$2),1,0)</f>
        <v>0</v>
      </c>
      <c r="S62" s="276" cm="1">
        <f t="array" ref="S62">IF(AND(S$2&lt;&gt;0,TblTech[[#This Row],[Hour]:[Hour]]&gt;=S$2),1,0)</f>
        <v>0</v>
      </c>
      <c r="T62" s="276" cm="1">
        <f t="array" ref="T62">IF(AND(T$2&lt;&gt;0,TblTech[[#This Row],[Hour]:[Hour]]&gt;=T$2),1,0)</f>
        <v>0</v>
      </c>
      <c r="U62" s="276" cm="1">
        <f t="array" ref="U62">IF(AND(U$2&lt;&gt;0,TblTech[[#This Row],[Hour]:[Hour]]&gt;=U$2),1,0)</f>
        <v>0</v>
      </c>
      <c r="V62" s="276" cm="1">
        <f t="array" ref="V62">IF(AND(V$2&lt;&gt;0,TblTech[[#This Row],[Hour]:[Hour]]&gt;=V$2),1,0)</f>
        <v>0</v>
      </c>
      <c r="W62" s="276" cm="1">
        <f t="array" ref="W62">IF(AND(W$2&lt;&gt;0,TblTech[[#This Row],[Hour]:[Hour]]&gt;=W$2),1,0)</f>
        <v>0</v>
      </c>
      <c r="X62" s="276" cm="1">
        <f t="array" ref="X62">IF(AND(X$2&lt;&gt;0,TblTech[[#This Row],[Hour]:[Hour]]&gt;=X$2),1,0)</f>
        <v>0</v>
      </c>
      <c r="Y62" s="276" cm="1">
        <f t="array" ref="Y62">IF(AND(Y$2&lt;&gt;0,TblTech[[#This Row],[Hour]:[Hour]]&gt;=Y$2),1,0)</f>
        <v>0</v>
      </c>
      <c r="Z62" s="276" cm="1">
        <f t="array" ref="Z62">IF(AND(Z$2&lt;&gt;0,TblTech[[#This Row],[Hour]:[Hour]]&gt;=Z$2),1,0)</f>
        <v>0</v>
      </c>
      <c r="AA62" s="276" cm="1">
        <f t="array" ref="AA62">IF(AND(AA$2&lt;&gt;0,TblTech[[#This Row],[Hour]:[Hour]]&gt;=AA$2),1,0)</f>
        <v>0</v>
      </c>
      <c r="AB62" s="276" cm="1">
        <f t="array" ref="AB62">IF(AND(AB$2&lt;&gt;0,TblTech[[#This Row],[Hour]:[Hour]]&gt;=AB$2),1,0)</f>
        <v>0</v>
      </c>
      <c r="AC62" s="276" cm="1">
        <f t="array" ref="AC62">IF(AND(AC$2&lt;&gt;0,TblTech[[#This Row],[Hour]:[Hour]]&gt;=AC$2),1,0)</f>
        <v>0</v>
      </c>
      <c r="AD62" s="276" cm="1">
        <f t="array" ref="AD62">IF(AND(AD$2&lt;&gt;0,TblTech[[#This Row],[Hour]:[Hour]]&gt;=AD$2),1,0)</f>
        <v>0</v>
      </c>
      <c r="AE62" s="276" cm="1">
        <f t="array" ref="AE62">IF(AND(AE$2&lt;&gt;0,TblTech[[#This Row],[Hour]:[Hour]]&gt;=AE$2),1,0)</f>
        <v>0</v>
      </c>
      <c r="AF62" s="276" cm="1">
        <f t="array" ref="AF62">IF(AND(AF$2&lt;&gt;0,TblTech[[#This Row],[Hour]:[Hour]]&gt;=AF$2),1,0)</f>
        <v>0</v>
      </c>
      <c r="AG62" s="276" cm="1">
        <f t="array" ref="AG62">IF(AND(AG$2&lt;&gt;0,TblTech[[#This Row],[Hour]:[Hour]]&gt;=AG$2),1,0)</f>
        <v>0</v>
      </c>
      <c r="AH62" s="276" cm="1">
        <f t="array" ref="AH62">IF(AND(AH$2&lt;&gt;0,TblTech[[#This Row],[Hour]:[Hour]]&gt;=AH$2),1,0)</f>
        <v>0</v>
      </c>
      <c r="AI62" s="276" cm="1">
        <f t="array" ref="AI62">IF(AND(AI$2&lt;&gt;0,TblTech[[#This Row],[Hour]:[Hour]]&gt;=AI$2),1,0)</f>
        <v>0</v>
      </c>
      <c r="AJ62" s="276" cm="1">
        <f t="array" ref="AJ62">IF(AND(AJ$2&lt;&gt;0,TblTech[[#This Row],[Hour]:[Hour]]&gt;=AJ$2),1,0)</f>
        <v>0</v>
      </c>
      <c r="AK62" s="276" cm="1">
        <f t="array" ref="AK62">IF(AND(AK$2&lt;&gt;0,TblTech[[#This Row],[Hour]:[Hour]]&gt;=AK$2),1,0)</f>
        <v>0</v>
      </c>
      <c r="AL62" s="276" cm="1">
        <f t="array" ref="AL62">IF(AND(AL$2&lt;&gt;0,TblTech[[#This Row],[Hour]:[Hour]]&gt;=AL$2),1,0)</f>
        <v>0</v>
      </c>
      <c r="AM62" s="276" cm="1">
        <f t="array" ref="AM62">IF(AND(AM$2&lt;&gt;0,TblTech[[#This Row],[Hour]:[Hour]]&gt;=AM$2),1,0)</f>
        <v>0</v>
      </c>
      <c r="AN62" s="276" cm="1">
        <f t="array" ref="AN62">IF(AND(AN$2&lt;&gt;0,TblTech[[#This Row],[Hour]:[Hour]]&gt;=AN$2),1,0)</f>
        <v>0</v>
      </c>
      <c r="AO62" s="276" cm="1">
        <f t="array" ref="AO62">IF(AND(AO$2&lt;&gt;0,TblTech[[#This Row],[Hour]:[Hour]]&gt;=AO$2),1,0)</f>
        <v>0</v>
      </c>
      <c r="AP62" s="276" cm="1">
        <f t="array" ref="AP62">IF(AND(AP$2&lt;&gt;0,TblTech[[#This Row],[Hour]:[Hour]]&gt;=AP$2),1,0)</f>
        <v>0</v>
      </c>
      <c r="AQ62" s="276" cm="1">
        <f t="array" ref="AQ62">IF(AND(AQ$2&lt;&gt;0,TblTech[[#This Row],[Hour]:[Hour]]&gt;=AQ$2),1,0)</f>
        <v>0</v>
      </c>
      <c r="AR62" s="276" cm="1">
        <f t="array" ref="AR62">IF(AND(AR$2&lt;&gt;0,TblTech[[#This Row],[Hour]:[Hour]]&gt;=AR$2),1,0)</f>
        <v>0</v>
      </c>
      <c r="AS62" s="276" cm="1">
        <f t="array" ref="AS62">IF(AND(AS$2&lt;&gt;0,TblTech[[#This Row],[Hour]:[Hour]]&gt;=AS$2),1,0)</f>
        <v>0</v>
      </c>
      <c r="AT62" s="276" cm="1">
        <f t="array" ref="AT62">IF(AND(AT$2&lt;&gt;0,TblTech[[#This Row],[Hour]:[Hour]]&gt;=AT$2),1,0)</f>
        <v>0</v>
      </c>
      <c r="AU62" s="276" cm="1">
        <f t="array" ref="AU62">IF(AND(AU$2&lt;&gt;0,TblTech[[#This Row],[Hour]:[Hour]]&gt;=AU$2),1,0)</f>
        <v>0</v>
      </c>
      <c r="AV62" s="276" cm="1">
        <f t="array" ref="AV62">IF(AND(AV$2&lt;&gt;0,TblTech[[#This Row],[Hour]:[Hour]]&gt;=AV$2),1,0)</f>
        <v>0</v>
      </c>
      <c r="AW62" s="276" cm="1">
        <f t="array" ref="AW62">IF(AND(AW$2&lt;&gt;0,TblTech[[#This Row],[Hour]:[Hour]]&gt;=AW$2),1,0)</f>
        <v>0</v>
      </c>
      <c r="AX62" s="276" cm="1">
        <f t="array" ref="AX62">IF(AND(AX$2&lt;&gt;0,TblTech[[#This Row],[Hour]:[Hour]]&gt;=AX$2),1,0)</f>
        <v>0</v>
      </c>
      <c r="AY62" s="276" cm="1">
        <f t="array" ref="AY62">IF(AND(AY$2&lt;&gt;0,TblTech[[#This Row],[Hour]:[Hour]]&gt;=AY$2),1,0)</f>
        <v>0</v>
      </c>
      <c r="AZ62" s="276" cm="1">
        <f t="array" ref="AZ62">IF(AND(AZ$2&lt;&gt;0,TblTech[[#This Row],[Hour]:[Hour]]&gt;=AZ$2),1,0)</f>
        <v>0</v>
      </c>
      <c r="BA62" s="276" cm="1">
        <f t="array" ref="BA62">IF(AND(BA$2&lt;&gt;0,TblTech[[#This Row],[Hour]:[Hour]]&gt;=BA$2),1,0)</f>
        <v>0</v>
      </c>
      <c r="BB62" s="276" cm="1">
        <f t="array" ref="BB62">IF(AND(BB$2&lt;&gt;0,TblTech[[#This Row],[Hour]:[Hour]]&gt;=BB$2),1,0)</f>
        <v>0</v>
      </c>
      <c r="BC62" s="276" cm="1">
        <f t="array" ref="BC62">IF(AND(BC$2&lt;&gt;0,TblTech[[#This Row],[Hour]:[Hour]]&gt;=BC$2),1,0)</f>
        <v>0</v>
      </c>
      <c r="BD62" s="276" cm="1">
        <f t="array" ref="BD62">IF(AND(BD$2&lt;&gt;0,TblTech[[#This Row],[Hour]:[Hour]]&gt;=BD$2),1,0)</f>
        <v>0</v>
      </c>
      <c r="BE62" s="276" cm="1">
        <f t="array" ref="BE62">IF(AND(BE$2&lt;&gt;0,TblTech[[#This Row],[Hour]:[Hour]]&gt;=BE$2),1,0)</f>
        <v>0</v>
      </c>
      <c r="BF62" s="276" cm="1">
        <f t="array" ref="BF62">IF(AND(BF$2&lt;&gt;0,TblTech[[#This Row],[Hour]:[Hour]]&gt;=BF$2),1,0)</f>
        <v>0</v>
      </c>
      <c r="BG62" s="276" cm="1">
        <f t="array" ref="BG62">IF(AND(BG$2&lt;&gt;0,TblTech[[#This Row],[Hour]:[Hour]]&gt;=BG$2),1,0)</f>
        <v>0</v>
      </c>
      <c r="BH62" s="276" cm="1">
        <f t="array" ref="BH62">IF(AND(BH$2&lt;&gt;0,TblTech[[#This Row],[Hour]:[Hour]]&gt;=BH$2),1,0)</f>
        <v>0</v>
      </c>
      <c r="BI62" s="276" cm="1">
        <f t="array" ref="BI62">IF(AND(BI$2&lt;&gt;0,TblTech[[#This Row],[Hour]:[Hour]]&gt;=BI$2),1,0)</f>
        <v>0</v>
      </c>
      <c r="BJ62" s="276" cm="1">
        <f t="array" ref="BJ62">IF(AND(BJ$2&lt;&gt;0,TblTech[[#This Row],[Hour]:[Hour]]&gt;=BJ$2),1,0)</f>
        <v>0</v>
      </c>
      <c r="BK62" s="276" cm="1">
        <f t="array" ref="BK62">IF(AND(BK$2&lt;&gt;0,TblTech[[#This Row],[Hour]:[Hour]]&gt;=BK$2),1,0)</f>
        <v>0</v>
      </c>
      <c r="BL62" s="276" cm="1">
        <f t="array" ref="BL62">IF(AND(BL$2&lt;&gt;0,TblTech[[#This Row],[Hour]:[Hour]]&gt;=BL$2),1,0)</f>
        <v>0</v>
      </c>
      <c r="BM62" s="276" cm="1">
        <f t="array" ref="BM62">IF(AND(BM$2&lt;&gt;0,TblTech[[#This Row],[Hour]:[Hour]]&gt;=BM$2),1,0)</f>
        <v>0</v>
      </c>
      <c r="BN62" s="276" cm="1">
        <f t="array" ref="BN62">IF(AND(BN$2&lt;&gt;0,TblTech[[#This Row],[Hour]:[Hour]]&gt;=BN$2),1,0)</f>
        <v>0</v>
      </c>
      <c r="BO62" s="276" cm="1">
        <f t="array" ref="BO62">IF(AND(BO$2&lt;&gt;0,TblTech[[#This Row],[Hour]:[Hour]]&gt;=BO$2),1,0)</f>
        <v>0</v>
      </c>
      <c r="BP62" s="276" cm="1">
        <f t="array" ref="BP62">IF(AND(BP$2&lt;&gt;0,TblTech[[#This Row],[Hour]:[Hour]]&gt;=BP$2),1,0)</f>
        <v>0</v>
      </c>
      <c r="BQ62" s="276" cm="1">
        <f t="array" ref="BQ62">IF(AND(BQ$2&lt;&gt;0,TblTech[[#This Row],[Hour]:[Hour]]&gt;=BQ$2),1,0)</f>
        <v>0</v>
      </c>
      <c r="BR62" s="276" cm="1">
        <f t="array" ref="BR62">IF(AND(BR$2&lt;&gt;0,TblTech[[#This Row],[Hour]:[Hour]]&gt;=BR$2),1,0)</f>
        <v>0</v>
      </c>
      <c r="BS62" s="276" cm="1">
        <f t="array" ref="BS62">IF(AND(BS$2&lt;&gt;0,TblTech[[#This Row],[Hour]:[Hour]]&gt;=BS$2),1,0)</f>
        <v>0</v>
      </c>
      <c r="BT62" s="276" cm="1">
        <f t="array" ref="BT62">IF(AND(BT$2&lt;&gt;0,TblTech[[#This Row],[Hour]:[Hour]]&gt;=BT$2),1,0)</f>
        <v>0</v>
      </c>
      <c r="BU62" s="276" cm="1">
        <f t="array" ref="BU62">IF(AND(BU$2&lt;&gt;0,TblTech[[#This Row],[Hour]:[Hour]]&gt;=BU$2),1,0)</f>
        <v>0</v>
      </c>
      <c r="BV62" s="276" cm="1">
        <f t="array" ref="BV62">IF(AND(BV$2&lt;&gt;0,TblTech[[#This Row],[Hour]:[Hour]]&gt;=BV$2),1,0)</f>
        <v>0</v>
      </c>
      <c r="BW62" s="276" cm="1">
        <f t="array" ref="BW62">IF(AND(BW$2&lt;&gt;0,TblTech[[#This Row],[Hour]:[Hour]]&gt;=BW$2),1,0)</f>
        <v>0</v>
      </c>
      <c r="BX62" s="276" cm="1">
        <f t="array" ref="BX62">IF(AND(BX$2&lt;&gt;0,TblTech[[#This Row],[Hour]:[Hour]]&gt;=BX$2),1,0)</f>
        <v>0</v>
      </c>
      <c r="BY62" s="276" cm="1">
        <f t="array" ref="BY62">IF(AND(BY$2&lt;&gt;0,TblTech[[#This Row],[Hour]:[Hour]]&gt;=BY$2),1,0)</f>
        <v>0</v>
      </c>
      <c r="BZ62" s="276" cm="1">
        <f t="array" ref="BZ62">IF(AND(BZ$2&lt;&gt;0,TblTech[[#This Row],[Hour]:[Hour]]&gt;=BZ$2),1,0)</f>
        <v>0</v>
      </c>
      <c r="CA62" s="377">
        <f>IFERROR(INDEX($H$4:$H$79,MATCH(INDEX(TblTech[[#Headers],[1-1]:[11-1]],1,MATCH(TblTech[[#This Row],[Hour]],$M$2:$BZ$2,0)),$G$4:$G$79,0)),)</f>
        <v>0</v>
      </c>
    </row>
    <row r="63" spans="1:79" x14ac:dyDescent="0.2">
      <c r="A63" s="268">
        <f>TblRezone[[#This Row],[Hour]]</f>
        <v>60</v>
      </c>
      <c r="B63" s="269">
        <f ca="1">TblExplore[[#This Row],[Land-DB]]</f>
        <v>110</v>
      </c>
      <c r="C63" s="270">
        <f ca="1">TblProd[[#This Row],[Techpoints]]</f>
        <v>0</v>
      </c>
      <c r="D63" s="270">
        <f ca="1">TblProd[[#This Row],[Required]]</f>
        <v>3750</v>
      </c>
      <c r="E63" s="271"/>
      <c r="F63" s="272"/>
      <c r="G63" s="273" t="s">
        <v>606</v>
      </c>
      <c r="H63" s="274" t="s">
        <v>1057</v>
      </c>
      <c r="I63" s="273" t="s">
        <v>743</v>
      </c>
      <c r="J63" s="269"/>
      <c r="K63" s="93">
        <f ca="1">IF(TblTech[[#This Row],[Sum of tech]]&lt;&gt;OFFSET(TblTech[[#This Row],[Sum of tech]],-1,0),1,0)</f>
        <v>0</v>
      </c>
      <c r="L63" s="275">
        <f>COUNTIF(TblTech[[#This Row],[1-1]:[11-1]],1)</f>
        <v>0</v>
      </c>
      <c r="M63" s="276" cm="1">
        <f t="array" ref="M63">IF(AND(M$2&lt;&gt;0,TblTech[[#This Row],[Hour]:[Hour]]&gt;=M$2),1,0)</f>
        <v>0</v>
      </c>
      <c r="N63" s="276" cm="1">
        <f t="array" ref="N63">IF(AND(N$2&lt;&gt;0,TblTech[[#This Row],[Hour]:[Hour]]&gt;=N$2),1,0)</f>
        <v>0</v>
      </c>
      <c r="O63" s="276" cm="1">
        <f t="array" ref="O63">IF(AND(O$2&lt;&gt;0,TblTech[[#This Row],[Hour]:[Hour]]&gt;=O$2),1,0)</f>
        <v>0</v>
      </c>
      <c r="P63" s="276" cm="1">
        <f t="array" ref="P63">IF(AND(P$2&lt;&gt;0,TblTech[[#This Row],[Hour]:[Hour]]&gt;=P$2),1,0)</f>
        <v>0</v>
      </c>
      <c r="Q63" s="276" cm="1">
        <f t="array" ref="Q63">IF(AND(Q$2&lt;&gt;0,TblTech[[#This Row],[Hour]:[Hour]]&gt;=Q$2),1,0)</f>
        <v>0</v>
      </c>
      <c r="R63" s="276" cm="1">
        <f t="array" ref="R63">IF(AND(R$2&lt;&gt;0,TblTech[[#This Row],[Hour]:[Hour]]&gt;=R$2),1,0)</f>
        <v>0</v>
      </c>
      <c r="S63" s="276" cm="1">
        <f t="array" ref="S63">IF(AND(S$2&lt;&gt;0,TblTech[[#This Row],[Hour]:[Hour]]&gt;=S$2),1,0)</f>
        <v>0</v>
      </c>
      <c r="T63" s="276" cm="1">
        <f t="array" ref="T63">IF(AND(T$2&lt;&gt;0,TblTech[[#This Row],[Hour]:[Hour]]&gt;=T$2),1,0)</f>
        <v>0</v>
      </c>
      <c r="U63" s="276" cm="1">
        <f t="array" ref="U63">IF(AND(U$2&lt;&gt;0,TblTech[[#This Row],[Hour]:[Hour]]&gt;=U$2),1,0)</f>
        <v>0</v>
      </c>
      <c r="V63" s="276" cm="1">
        <f t="array" ref="V63">IF(AND(V$2&lt;&gt;0,TblTech[[#This Row],[Hour]:[Hour]]&gt;=V$2),1,0)</f>
        <v>0</v>
      </c>
      <c r="W63" s="276" cm="1">
        <f t="array" ref="W63">IF(AND(W$2&lt;&gt;0,TblTech[[#This Row],[Hour]:[Hour]]&gt;=W$2),1,0)</f>
        <v>0</v>
      </c>
      <c r="X63" s="276" cm="1">
        <f t="array" ref="X63">IF(AND(X$2&lt;&gt;0,TblTech[[#This Row],[Hour]:[Hour]]&gt;=X$2),1,0)</f>
        <v>0</v>
      </c>
      <c r="Y63" s="276" cm="1">
        <f t="array" ref="Y63">IF(AND(Y$2&lt;&gt;0,TblTech[[#This Row],[Hour]:[Hour]]&gt;=Y$2),1,0)</f>
        <v>0</v>
      </c>
      <c r="Z63" s="276" cm="1">
        <f t="array" ref="Z63">IF(AND(Z$2&lt;&gt;0,TblTech[[#This Row],[Hour]:[Hour]]&gt;=Z$2),1,0)</f>
        <v>0</v>
      </c>
      <c r="AA63" s="276" cm="1">
        <f t="array" ref="AA63">IF(AND(AA$2&lt;&gt;0,TblTech[[#This Row],[Hour]:[Hour]]&gt;=AA$2),1,0)</f>
        <v>0</v>
      </c>
      <c r="AB63" s="276" cm="1">
        <f t="array" ref="AB63">IF(AND(AB$2&lt;&gt;0,TblTech[[#This Row],[Hour]:[Hour]]&gt;=AB$2),1,0)</f>
        <v>0</v>
      </c>
      <c r="AC63" s="276" cm="1">
        <f t="array" ref="AC63">IF(AND(AC$2&lt;&gt;0,TblTech[[#This Row],[Hour]:[Hour]]&gt;=AC$2),1,0)</f>
        <v>0</v>
      </c>
      <c r="AD63" s="276" cm="1">
        <f t="array" ref="AD63">IF(AND(AD$2&lt;&gt;0,TblTech[[#This Row],[Hour]:[Hour]]&gt;=AD$2),1,0)</f>
        <v>0</v>
      </c>
      <c r="AE63" s="276" cm="1">
        <f t="array" ref="AE63">IF(AND(AE$2&lt;&gt;0,TblTech[[#This Row],[Hour]:[Hour]]&gt;=AE$2),1,0)</f>
        <v>0</v>
      </c>
      <c r="AF63" s="276" cm="1">
        <f t="array" ref="AF63">IF(AND(AF$2&lt;&gt;0,TblTech[[#This Row],[Hour]:[Hour]]&gt;=AF$2),1,0)</f>
        <v>0</v>
      </c>
      <c r="AG63" s="276" cm="1">
        <f t="array" ref="AG63">IF(AND(AG$2&lt;&gt;0,TblTech[[#This Row],[Hour]:[Hour]]&gt;=AG$2),1,0)</f>
        <v>0</v>
      </c>
      <c r="AH63" s="276" cm="1">
        <f t="array" ref="AH63">IF(AND(AH$2&lt;&gt;0,TblTech[[#This Row],[Hour]:[Hour]]&gt;=AH$2),1,0)</f>
        <v>0</v>
      </c>
      <c r="AI63" s="276" cm="1">
        <f t="array" ref="AI63">IF(AND(AI$2&lt;&gt;0,TblTech[[#This Row],[Hour]:[Hour]]&gt;=AI$2),1,0)</f>
        <v>0</v>
      </c>
      <c r="AJ63" s="276" cm="1">
        <f t="array" ref="AJ63">IF(AND(AJ$2&lt;&gt;0,TblTech[[#This Row],[Hour]:[Hour]]&gt;=AJ$2),1,0)</f>
        <v>0</v>
      </c>
      <c r="AK63" s="276" cm="1">
        <f t="array" ref="AK63">IF(AND(AK$2&lt;&gt;0,TblTech[[#This Row],[Hour]:[Hour]]&gt;=AK$2),1,0)</f>
        <v>0</v>
      </c>
      <c r="AL63" s="276" cm="1">
        <f t="array" ref="AL63">IF(AND(AL$2&lt;&gt;0,TblTech[[#This Row],[Hour]:[Hour]]&gt;=AL$2),1,0)</f>
        <v>0</v>
      </c>
      <c r="AM63" s="276" cm="1">
        <f t="array" ref="AM63">IF(AND(AM$2&lt;&gt;0,TblTech[[#This Row],[Hour]:[Hour]]&gt;=AM$2),1,0)</f>
        <v>0</v>
      </c>
      <c r="AN63" s="276" cm="1">
        <f t="array" ref="AN63">IF(AND(AN$2&lt;&gt;0,TblTech[[#This Row],[Hour]:[Hour]]&gt;=AN$2),1,0)</f>
        <v>0</v>
      </c>
      <c r="AO63" s="276" cm="1">
        <f t="array" ref="AO63">IF(AND(AO$2&lt;&gt;0,TblTech[[#This Row],[Hour]:[Hour]]&gt;=AO$2),1,0)</f>
        <v>0</v>
      </c>
      <c r="AP63" s="276" cm="1">
        <f t="array" ref="AP63">IF(AND(AP$2&lt;&gt;0,TblTech[[#This Row],[Hour]:[Hour]]&gt;=AP$2),1,0)</f>
        <v>0</v>
      </c>
      <c r="AQ63" s="276" cm="1">
        <f t="array" ref="AQ63">IF(AND(AQ$2&lt;&gt;0,TblTech[[#This Row],[Hour]:[Hour]]&gt;=AQ$2),1,0)</f>
        <v>0</v>
      </c>
      <c r="AR63" s="276" cm="1">
        <f t="array" ref="AR63">IF(AND(AR$2&lt;&gt;0,TblTech[[#This Row],[Hour]:[Hour]]&gt;=AR$2),1,0)</f>
        <v>0</v>
      </c>
      <c r="AS63" s="276" cm="1">
        <f t="array" ref="AS63">IF(AND(AS$2&lt;&gt;0,TblTech[[#This Row],[Hour]:[Hour]]&gt;=AS$2),1,0)</f>
        <v>0</v>
      </c>
      <c r="AT63" s="276" cm="1">
        <f t="array" ref="AT63">IF(AND(AT$2&lt;&gt;0,TblTech[[#This Row],[Hour]:[Hour]]&gt;=AT$2),1,0)</f>
        <v>0</v>
      </c>
      <c r="AU63" s="276" cm="1">
        <f t="array" ref="AU63">IF(AND(AU$2&lt;&gt;0,TblTech[[#This Row],[Hour]:[Hour]]&gt;=AU$2),1,0)</f>
        <v>0</v>
      </c>
      <c r="AV63" s="276" cm="1">
        <f t="array" ref="AV63">IF(AND(AV$2&lt;&gt;0,TblTech[[#This Row],[Hour]:[Hour]]&gt;=AV$2),1,0)</f>
        <v>0</v>
      </c>
      <c r="AW63" s="276" cm="1">
        <f t="array" ref="AW63">IF(AND(AW$2&lt;&gt;0,TblTech[[#This Row],[Hour]:[Hour]]&gt;=AW$2),1,0)</f>
        <v>0</v>
      </c>
      <c r="AX63" s="276" cm="1">
        <f t="array" ref="AX63">IF(AND(AX$2&lt;&gt;0,TblTech[[#This Row],[Hour]:[Hour]]&gt;=AX$2),1,0)</f>
        <v>0</v>
      </c>
      <c r="AY63" s="276" cm="1">
        <f t="array" ref="AY63">IF(AND(AY$2&lt;&gt;0,TblTech[[#This Row],[Hour]:[Hour]]&gt;=AY$2),1,0)</f>
        <v>0</v>
      </c>
      <c r="AZ63" s="276" cm="1">
        <f t="array" ref="AZ63">IF(AND(AZ$2&lt;&gt;0,TblTech[[#This Row],[Hour]:[Hour]]&gt;=AZ$2),1,0)</f>
        <v>0</v>
      </c>
      <c r="BA63" s="276" cm="1">
        <f t="array" ref="BA63">IF(AND(BA$2&lt;&gt;0,TblTech[[#This Row],[Hour]:[Hour]]&gt;=BA$2),1,0)</f>
        <v>0</v>
      </c>
      <c r="BB63" s="276" cm="1">
        <f t="array" ref="BB63">IF(AND(BB$2&lt;&gt;0,TblTech[[#This Row],[Hour]:[Hour]]&gt;=BB$2),1,0)</f>
        <v>0</v>
      </c>
      <c r="BC63" s="276" cm="1">
        <f t="array" ref="BC63">IF(AND(BC$2&lt;&gt;0,TblTech[[#This Row],[Hour]:[Hour]]&gt;=BC$2),1,0)</f>
        <v>0</v>
      </c>
      <c r="BD63" s="276" cm="1">
        <f t="array" ref="BD63">IF(AND(BD$2&lt;&gt;0,TblTech[[#This Row],[Hour]:[Hour]]&gt;=BD$2),1,0)</f>
        <v>0</v>
      </c>
      <c r="BE63" s="276" cm="1">
        <f t="array" ref="BE63">IF(AND(BE$2&lt;&gt;0,TblTech[[#This Row],[Hour]:[Hour]]&gt;=BE$2),1,0)</f>
        <v>0</v>
      </c>
      <c r="BF63" s="276" cm="1">
        <f t="array" ref="BF63">IF(AND(BF$2&lt;&gt;0,TblTech[[#This Row],[Hour]:[Hour]]&gt;=BF$2),1,0)</f>
        <v>0</v>
      </c>
      <c r="BG63" s="276" cm="1">
        <f t="array" ref="BG63">IF(AND(BG$2&lt;&gt;0,TblTech[[#This Row],[Hour]:[Hour]]&gt;=BG$2),1,0)</f>
        <v>0</v>
      </c>
      <c r="BH63" s="276" cm="1">
        <f t="array" ref="BH63">IF(AND(BH$2&lt;&gt;0,TblTech[[#This Row],[Hour]:[Hour]]&gt;=BH$2),1,0)</f>
        <v>0</v>
      </c>
      <c r="BI63" s="276" cm="1">
        <f t="array" ref="BI63">IF(AND(BI$2&lt;&gt;0,TblTech[[#This Row],[Hour]:[Hour]]&gt;=BI$2),1,0)</f>
        <v>0</v>
      </c>
      <c r="BJ63" s="276" cm="1">
        <f t="array" ref="BJ63">IF(AND(BJ$2&lt;&gt;0,TblTech[[#This Row],[Hour]:[Hour]]&gt;=BJ$2),1,0)</f>
        <v>0</v>
      </c>
      <c r="BK63" s="276" cm="1">
        <f t="array" ref="BK63">IF(AND(BK$2&lt;&gt;0,TblTech[[#This Row],[Hour]:[Hour]]&gt;=BK$2),1,0)</f>
        <v>0</v>
      </c>
      <c r="BL63" s="276" cm="1">
        <f t="array" ref="BL63">IF(AND(BL$2&lt;&gt;0,TblTech[[#This Row],[Hour]:[Hour]]&gt;=BL$2),1,0)</f>
        <v>0</v>
      </c>
      <c r="BM63" s="276" cm="1">
        <f t="array" ref="BM63">IF(AND(BM$2&lt;&gt;0,TblTech[[#This Row],[Hour]:[Hour]]&gt;=BM$2),1,0)</f>
        <v>0</v>
      </c>
      <c r="BN63" s="276" cm="1">
        <f t="array" ref="BN63">IF(AND(BN$2&lt;&gt;0,TblTech[[#This Row],[Hour]:[Hour]]&gt;=BN$2),1,0)</f>
        <v>0</v>
      </c>
      <c r="BO63" s="276" cm="1">
        <f t="array" ref="BO63">IF(AND(BO$2&lt;&gt;0,TblTech[[#This Row],[Hour]:[Hour]]&gt;=BO$2),1,0)</f>
        <v>0</v>
      </c>
      <c r="BP63" s="276" cm="1">
        <f t="array" ref="BP63">IF(AND(BP$2&lt;&gt;0,TblTech[[#This Row],[Hour]:[Hour]]&gt;=BP$2),1,0)</f>
        <v>0</v>
      </c>
      <c r="BQ63" s="276" cm="1">
        <f t="array" ref="BQ63">IF(AND(BQ$2&lt;&gt;0,TblTech[[#This Row],[Hour]:[Hour]]&gt;=BQ$2),1,0)</f>
        <v>0</v>
      </c>
      <c r="BR63" s="276" cm="1">
        <f t="array" ref="BR63">IF(AND(BR$2&lt;&gt;0,TblTech[[#This Row],[Hour]:[Hour]]&gt;=BR$2),1,0)</f>
        <v>0</v>
      </c>
      <c r="BS63" s="276" cm="1">
        <f t="array" ref="BS63">IF(AND(BS$2&lt;&gt;0,TblTech[[#This Row],[Hour]:[Hour]]&gt;=BS$2),1,0)</f>
        <v>0</v>
      </c>
      <c r="BT63" s="276" cm="1">
        <f t="array" ref="BT63">IF(AND(BT$2&lt;&gt;0,TblTech[[#This Row],[Hour]:[Hour]]&gt;=BT$2),1,0)</f>
        <v>0</v>
      </c>
      <c r="BU63" s="276" cm="1">
        <f t="array" ref="BU63">IF(AND(BU$2&lt;&gt;0,TblTech[[#This Row],[Hour]:[Hour]]&gt;=BU$2),1,0)</f>
        <v>0</v>
      </c>
      <c r="BV63" s="276" cm="1">
        <f t="array" ref="BV63">IF(AND(BV$2&lt;&gt;0,TblTech[[#This Row],[Hour]:[Hour]]&gt;=BV$2),1,0)</f>
        <v>0</v>
      </c>
      <c r="BW63" s="276" cm="1">
        <f t="array" ref="BW63">IF(AND(BW$2&lt;&gt;0,TblTech[[#This Row],[Hour]:[Hour]]&gt;=BW$2),1,0)</f>
        <v>0</v>
      </c>
      <c r="BX63" s="276" cm="1">
        <f t="array" ref="BX63">IF(AND(BX$2&lt;&gt;0,TblTech[[#This Row],[Hour]:[Hour]]&gt;=BX$2),1,0)</f>
        <v>0</v>
      </c>
      <c r="BY63" s="276" cm="1">
        <f t="array" ref="BY63">IF(AND(BY$2&lt;&gt;0,TblTech[[#This Row],[Hour]:[Hour]]&gt;=BY$2),1,0)</f>
        <v>0</v>
      </c>
      <c r="BZ63" s="276" cm="1">
        <f t="array" ref="BZ63">IF(AND(BZ$2&lt;&gt;0,TblTech[[#This Row],[Hour]:[Hour]]&gt;=BZ$2),1,0)</f>
        <v>0</v>
      </c>
      <c r="CA63" s="377">
        <f>IFERROR(INDEX($H$4:$H$79,MATCH(INDEX(TblTech[[#Headers],[1-1]:[11-1]],1,MATCH(TblTech[[#This Row],[Hour]],$M$2:$BZ$2,0)),$G$4:$G$79,0)),)</f>
        <v>0</v>
      </c>
    </row>
    <row r="64" spans="1:79" x14ac:dyDescent="0.2">
      <c r="A64" s="268">
        <f>TblRezone[[#This Row],[Hour]]</f>
        <v>61</v>
      </c>
      <c r="B64" s="269">
        <f ca="1">TblExplore[[#This Row],[Land-DB]]</f>
        <v>110</v>
      </c>
      <c r="C64" s="270">
        <f ca="1">TblProd[[#This Row],[Techpoints]]</f>
        <v>0</v>
      </c>
      <c r="D64" s="270">
        <f ca="1">TblProd[[#This Row],[Required]]</f>
        <v>3750</v>
      </c>
      <c r="E64" s="271"/>
      <c r="F64" s="272"/>
      <c r="G64" s="273" t="s">
        <v>607</v>
      </c>
      <c r="H64" s="274" t="s">
        <v>725</v>
      </c>
      <c r="I64" s="273" t="s">
        <v>629</v>
      </c>
      <c r="J64" s="269"/>
      <c r="K64" s="93">
        <f ca="1">IF(TblTech[[#This Row],[Sum of tech]]&lt;&gt;OFFSET(TblTech[[#This Row],[Sum of tech]],-1,0),1,0)</f>
        <v>0</v>
      </c>
      <c r="L64" s="275">
        <f>COUNTIF(TblTech[[#This Row],[1-1]:[11-1]],1)</f>
        <v>0</v>
      </c>
      <c r="M64" s="276" cm="1">
        <f t="array" ref="M64">IF(AND(M$2&lt;&gt;0,TblTech[[#This Row],[Hour]:[Hour]]&gt;=M$2),1,0)</f>
        <v>0</v>
      </c>
      <c r="N64" s="276" cm="1">
        <f t="array" ref="N64">IF(AND(N$2&lt;&gt;0,TblTech[[#This Row],[Hour]:[Hour]]&gt;=N$2),1,0)</f>
        <v>0</v>
      </c>
      <c r="O64" s="276" cm="1">
        <f t="array" ref="O64">IF(AND(O$2&lt;&gt;0,TblTech[[#This Row],[Hour]:[Hour]]&gt;=O$2),1,0)</f>
        <v>0</v>
      </c>
      <c r="P64" s="276" cm="1">
        <f t="array" ref="P64">IF(AND(P$2&lt;&gt;0,TblTech[[#This Row],[Hour]:[Hour]]&gt;=P$2),1,0)</f>
        <v>0</v>
      </c>
      <c r="Q64" s="276" cm="1">
        <f t="array" ref="Q64">IF(AND(Q$2&lt;&gt;0,TblTech[[#This Row],[Hour]:[Hour]]&gt;=Q$2),1,0)</f>
        <v>0</v>
      </c>
      <c r="R64" s="276" cm="1">
        <f t="array" ref="R64">IF(AND(R$2&lt;&gt;0,TblTech[[#This Row],[Hour]:[Hour]]&gt;=R$2),1,0)</f>
        <v>0</v>
      </c>
      <c r="S64" s="276" cm="1">
        <f t="array" ref="S64">IF(AND(S$2&lt;&gt;0,TblTech[[#This Row],[Hour]:[Hour]]&gt;=S$2),1,0)</f>
        <v>0</v>
      </c>
      <c r="T64" s="276" cm="1">
        <f t="array" ref="T64">IF(AND(T$2&lt;&gt;0,TblTech[[#This Row],[Hour]:[Hour]]&gt;=T$2),1,0)</f>
        <v>0</v>
      </c>
      <c r="U64" s="276" cm="1">
        <f t="array" ref="U64">IF(AND(U$2&lt;&gt;0,TblTech[[#This Row],[Hour]:[Hour]]&gt;=U$2),1,0)</f>
        <v>0</v>
      </c>
      <c r="V64" s="276" cm="1">
        <f t="array" ref="V64">IF(AND(V$2&lt;&gt;0,TblTech[[#This Row],[Hour]:[Hour]]&gt;=V$2),1,0)</f>
        <v>0</v>
      </c>
      <c r="W64" s="276" cm="1">
        <f t="array" ref="W64">IF(AND(W$2&lt;&gt;0,TblTech[[#This Row],[Hour]:[Hour]]&gt;=W$2),1,0)</f>
        <v>0</v>
      </c>
      <c r="X64" s="276" cm="1">
        <f t="array" ref="X64">IF(AND(X$2&lt;&gt;0,TblTech[[#This Row],[Hour]:[Hour]]&gt;=X$2),1,0)</f>
        <v>0</v>
      </c>
      <c r="Y64" s="276" cm="1">
        <f t="array" ref="Y64">IF(AND(Y$2&lt;&gt;0,TblTech[[#This Row],[Hour]:[Hour]]&gt;=Y$2),1,0)</f>
        <v>0</v>
      </c>
      <c r="Z64" s="276" cm="1">
        <f t="array" ref="Z64">IF(AND(Z$2&lt;&gt;0,TblTech[[#This Row],[Hour]:[Hour]]&gt;=Z$2),1,0)</f>
        <v>0</v>
      </c>
      <c r="AA64" s="276" cm="1">
        <f t="array" ref="AA64">IF(AND(AA$2&lt;&gt;0,TblTech[[#This Row],[Hour]:[Hour]]&gt;=AA$2),1,0)</f>
        <v>0</v>
      </c>
      <c r="AB64" s="276" cm="1">
        <f t="array" ref="AB64">IF(AND(AB$2&lt;&gt;0,TblTech[[#This Row],[Hour]:[Hour]]&gt;=AB$2),1,0)</f>
        <v>0</v>
      </c>
      <c r="AC64" s="276" cm="1">
        <f t="array" ref="AC64">IF(AND(AC$2&lt;&gt;0,TblTech[[#This Row],[Hour]:[Hour]]&gt;=AC$2),1,0)</f>
        <v>0</v>
      </c>
      <c r="AD64" s="276" cm="1">
        <f t="array" ref="AD64">IF(AND(AD$2&lt;&gt;0,TblTech[[#This Row],[Hour]:[Hour]]&gt;=AD$2),1,0)</f>
        <v>0</v>
      </c>
      <c r="AE64" s="276" cm="1">
        <f t="array" ref="AE64">IF(AND(AE$2&lt;&gt;0,TblTech[[#This Row],[Hour]:[Hour]]&gt;=AE$2),1,0)</f>
        <v>0</v>
      </c>
      <c r="AF64" s="276" cm="1">
        <f t="array" ref="AF64">IF(AND(AF$2&lt;&gt;0,TblTech[[#This Row],[Hour]:[Hour]]&gt;=AF$2),1,0)</f>
        <v>0</v>
      </c>
      <c r="AG64" s="276" cm="1">
        <f t="array" ref="AG64">IF(AND(AG$2&lt;&gt;0,TblTech[[#This Row],[Hour]:[Hour]]&gt;=AG$2),1,0)</f>
        <v>0</v>
      </c>
      <c r="AH64" s="276" cm="1">
        <f t="array" ref="AH64">IF(AND(AH$2&lt;&gt;0,TblTech[[#This Row],[Hour]:[Hour]]&gt;=AH$2),1,0)</f>
        <v>0</v>
      </c>
      <c r="AI64" s="276" cm="1">
        <f t="array" ref="AI64">IF(AND(AI$2&lt;&gt;0,TblTech[[#This Row],[Hour]:[Hour]]&gt;=AI$2),1,0)</f>
        <v>0</v>
      </c>
      <c r="AJ64" s="276" cm="1">
        <f t="array" ref="AJ64">IF(AND(AJ$2&lt;&gt;0,TblTech[[#This Row],[Hour]:[Hour]]&gt;=AJ$2),1,0)</f>
        <v>0</v>
      </c>
      <c r="AK64" s="276" cm="1">
        <f t="array" ref="AK64">IF(AND(AK$2&lt;&gt;0,TblTech[[#This Row],[Hour]:[Hour]]&gt;=AK$2),1,0)</f>
        <v>0</v>
      </c>
      <c r="AL64" s="276" cm="1">
        <f t="array" ref="AL64">IF(AND(AL$2&lt;&gt;0,TblTech[[#This Row],[Hour]:[Hour]]&gt;=AL$2),1,0)</f>
        <v>0</v>
      </c>
      <c r="AM64" s="276" cm="1">
        <f t="array" ref="AM64">IF(AND(AM$2&lt;&gt;0,TblTech[[#This Row],[Hour]:[Hour]]&gt;=AM$2),1,0)</f>
        <v>0</v>
      </c>
      <c r="AN64" s="276" cm="1">
        <f t="array" ref="AN64">IF(AND(AN$2&lt;&gt;0,TblTech[[#This Row],[Hour]:[Hour]]&gt;=AN$2),1,0)</f>
        <v>0</v>
      </c>
      <c r="AO64" s="276" cm="1">
        <f t="array" ref="AO64">IF(AND(AO$2&lt;&gt;0,TblTech[[#This Row],[Hour]:[Hour]]&gt;=AO$2),1,0)</f>
        <v>0</v>
      </c>
      <c r="AP64" s="276" cm="1">
        <f t="array" ref="AP64">IF(AND(AP$2&lt;&gt;0,TblTech[[#This Row],[Hour]:[Hour]]&gt;=AP$2),1,0)</f>
        <v>0</v>
      </c>
      <c r="AQ64" s="276" cm="1">
        <f t="array" ref="AQ64">IF(AND(AQ$2&lt;&gt;0,TblTech[[#This Row],[Hour]:[Hour]]&gt;=AQ$2),1,0)</f>
        <v>0</v>
      </c>
      <c r="AR64" s="276" cm="1">
        <f t="array" ref="AR64">IF(AND(AR$2&lt;&gt;0,TblTech[[#This Row],[Hour]:[Hour]]&gt;=AR$2),1,0)</f>
        <v>0</v>
      </c>
      <c r="AS64" s="276" cm="1">
        <f t="array" ref="AS64">IF(AND(AS$2&lt;&gt;0,TblTech[[#This Row],[Hour]:[Hour]]&gt;=AS$2),1,0)</f>
        <v>0</v>
      </c>
      <c r="AT64" s="276" cm="1">
        <f t="array" ref="AT64">IF(AND(AT$2&lt;&gt;0,TblTech[[#This Row],[Hour]:[Hour]]&gt;=AT$2),1,0)</f>
        <v>0</v>
      </c>
      <c r="AU64" s="276" cm="1">
        <f t="array" ref="AU64">IF(AND(AU$2&lt;&gt;0,TblTech[[#This Row],[Hour]:[Hour]]&gt;=AU$2),1,0)</f>
        <v>0</v>
      </c>
      <c r="AV64" s="276" cm="1">
        <f t="array" ref="AV64">IF(AND(AV$2&lt;&gt;0,TblTech[[#This Row],[Hour]:[Hour]]&gt;=AV$2),1,0)</f>
        <v>0</v>
      </c>
      <c r="AW64" s="276" cm="1">
        <f t="array" ref="AW64">IF(AND(AW$2&lt;&gt;0,TblTech[[#This Row],[Hour]:[Hour]]&gt;=AW$2),1,0)</f>
        <v>0</v>
      </c>
      <c r="AX64" s="276" cm="1">
        <f t="array" ref="AX64">IF(AND(AX$2&lt;&gt;0,TblTech[[#This Row],[Hour]:[Hour]]&gt;=AX$2),1,0)</f>
        <v>0</v>
      </c>
      <c r="AY64" s="276" cm="1">
        <f t="array" ref="AY64">IF(AND(AY$2&lt;&gt;0,TblTech[[#This Row],[Hour]:[Hour]]&gt;=AY$2),1,0)</f>
        <v>0</v>
      </c>
      <c r="AZ64" s="276" cm="1">
        <f t="array" ref="AZ64">IF(AND(AZ$2&lt;&gt;0,TblTech[[#This Row],[Hour]:[Hour]]&gt;=AZ$2),1,0)</f>
        <v>0</v>
      </c>
      <c r="BA64" s="276" cm="1">
        <f t="array" ref="BA64">IF(AND(BA$2&lt;&gt;0,TblTech[[#This Row],[Hour]:[Hour]]&gt;=BA$2),1,0)</f>
        <v>0</v>
      </c>
      <c r="BB64" s="276" cm="1">
        <f t="array" ref="BB64">IF(AND(BB$2&lt;&gt;0,TblTech[[#This Row],[Hour]:[Hour]]&gt;=BB$2),1,0)</f>
        <v>0</v>
      </c>
      <c r="BC64" s="276" cm="1">
        <f t="array" ref="BC64">IF(AND(BC$2&lt;&gt;0,TblTech[[#This Row],[Hour]:[Hour]]&gt;=BC$2),1,0)</f>
        <v>0</v>
      </c>
      <c r="BD64" s="276" cm="1">
        <f t="array" ref="BD64">IF(AND(BD$2&lt;&gt;0,TblTech[[#This Row],[Hour]:[Hour]]&gt;=BD$2),1,0)</f>
        <v>0</v>
      </c>
      <c r="BE64" s="276" cm="1">
        <f t="array" ref="BE64">IF(AND(BE$2&lt;&gt;0,TblTech[[#This Row],[Hour]:[Hour]]&gt;=BE$2),1,0)</f>
        <v>0</v>
      </c>
      <c r="BF64" s="276" cm="1">
        <f t="array" ref="BF64">IF(AND(BF$2&lt;&gt;0,TblTech[[#This Row],[Hour]:[Hour]]&gt;=BF$2),1,0)</f>
        <v>0</v>
      </c>
      <c r="BG64" s="276" cm="1">
        <f t="array" ref="BG64">IF(AND(BG$2&lt;&gt;0,TblTech[[#This Row],[Hour]:[Hour]]&gt;=BG$2),1,0)</f>
        <v>0</v>
      </c>
      <c r="BH64" s="276" cm="1">
        <f t="array" ref="BH64">IF(AND(BH$2&lt;&gt;0,TblTech[[#This Row],[Hour]:[Hour]]&gt;=BH$2),1,0)</f>
        <v>0</v>
      </c>
      <c r="BI64" s="276" cm="1">
        <f t="array" ref="BI64">IF(AND(BI$2&lt;&gt;0,TblTech[[#This Row],[Hour]:[Hour]]&gt;=BI$2),1,0)</f>
        <v>0</v>
      </c>
      <c r="BJ64" s="276" cm="1">
        <f t="array" ref="BJ64">IF(AND(BJ$2&lt;&gt;0,TblTech[[#This Row],[Hour]:[Hour]]&gt;=BJ$2),1,0)</f>
        <v>0</v>
      </c>
      <c r="BK64" s="276" cm="1">
        <f t="array" ref="BK64">IF(AND(BK$2&lt;&gt;0,TblTech[[#This Row],[Hour]:[Hour]]&gt;=BK$2),1,0)</f>
        <v>0</v>
      </c>
      <c r="BL64" s="276" cm="1">
        <f t="array" ref="BL64">IF(AND(BL$2&lt;&gt;0,TblTech[[#This Row],[Hour]:[Hour]]&gt;=BL$2),1,0)</f>
        <v>0</v>
      </c>
      <c r="BM64" s="276" cm="1">
        <f t="array" ref="BM64">IF(AND(BM$2&lt;&gt;0,TblTech[[#This Row],[Hour]:[Hour]]&gt;=BM$2),1,0)</f>
        <v>0</v>
      </c>
      <c r="BN64" s="276" cm="1">
        <f t="array" ref="BN64">IF(AND(BN$2&lt;&gt;0,TblTech[[#This Row],[Hour]:[Hour]]&gt;=BN$2),1,0)</f>
        <v>0</v>
      </c>
      <c r="BO64" s="276" cm="1">
        <f t="array" ref="BO64">IF(AND(BO$2&lt;&gt;0,TblTech[[#This Row],[Hour]:[Hour]]&gt;=BO$2),1,0)</f>
        <v>0</v>
      </c>
      <c r="BP64" s="276" cm="1">
        <f t="array" ref="BP64">IF(AND(BP$2&lt;&gt;0,TblTech[[#This Row],[Hour]:[Hour]]&gt;=BP$2),1,0)</f>
        <v>0</v>
      </c>
      <c r="BQ64" s="276" cm="1">
        <f t="array" ref="BQ64">IF(AND(BQ$2&lt;&gt;0,TblTech[[#This Row],[Hour]:[Hour]]&gt;=BQ$2),1,0)</f>
        <v>0</v>
      </c>
      <c r="BR64" s="276" cm="1">
        <f t="array" ref="BR64">IF(AND(BR$2&lt;&gt;0,TblTech[[#This Row],[Hour]:[Hour]]&gt;=BR$2),1,0)</f>
        <v>0</v>
      </c>
      <c r="BS64" s="276" cm="1">
        <f t="array" ref="BS64">IF(AND(BS$2&lt;&gt;0,TblTech[[#This Row],[Hour]:[Hour]]&gt;=BS$2),1,0)</f>
        <v>0</v>
      </c>
      <c r="BT64" s="276" cm="1">
        <f t="array" ref="BT64">IF(AND(BT$2&lt;&gt;0,TblTech[[#This Row],[Hour]:[Hour]]&gt;=BT$2),1,0)</f>
        <v>0</v>
      </c>
      <c r="BU64" s="276" cm="1">
        <f t="array" ref="BU64">IF(AND(BU$2&lt;&gt;0,TblTech[[#This Row],[Hour]:[Hour]]&gt;=BU$2),1,0)</f>
        <v>0</v>
      </c>
      <c r="BV64" s="276" cm="1">
        <f t="array" ref="BV64">IF(AND(BV$2&lt;&gt;0,TblTech[[#This Row],[Hour]:[Hour]]&gt;=BV$2),1,0)</f>
        <v>0</v>
      </c>
      <c r="BW64" s="276" cm="1">
        <f t="array" ref="BW64">IF(AND(BW$2&lt;&gt;0,TblTech[[#This Row],[Hour]:[Hour]]&gt;=BW$2),1,0)</f>
        <v>0</v>
      </c>
      <c r="BX64" s="276" cm="1">
        <f t="array" ref="BX64">IF(AND(BX$2&lt;&gt;0,TblTech[[#This Row],[Hour]:[Hour]]&gt;=BX$2),1,0)</f>
        <v>0</v>
      </c>
      <c r="BY64" s="276" cm="1">
        <f t="array" ref="BY64">IF(AND(BY$2&lt;&gt;0,TblTech[[#This Row],[Hour]:[Hour]]&gt;=BY$2),1,0)</f>
        <v>0</v>
      </c>
      <c r="BZ64" s="276" cm="1">
        <f t="array" ref="BZ64">IF(AND(BZ$2&lt;&gt;0,TblTech[[#This Row],[Hour]:[Hour]]&gt;=BZ$2),1,0)</f>
        <v>0</v>
      </c>
      <c r="CA64" s="377">
        <f>IFERROR(INDEX($H$4:$H$79,MATCH(INDEX(TblTech[[#Headers],[1-1]:[11-1]],1,MATCH(TblTech[[#This Row],[Hour]],$M$2:$BZ$2,0)),$G$4:$G$79,0)),)</f>
        <v>0</v>
      </c>
    </row>
    <row r="65" spans="1:79" x14ac:dyDescent="0.2">
      <c r="A65" s="268">
        <f>TblRezone[[#This Row],[Hour]]</f>
        <v>62</v>
      </c>
      <c r="B65" s="269">
        <f ca="1">TblExplore[[#This Row],[Land-DB]]</f>
        <v>110</v>
      </c>
      <c r="C65" s="270">
        <f ca="1">TblProd[[#This Row],[Techpoints]]</f>
        <v>0</v>
      </c>
      <c r="D65" s="270">
        <f ca="1">TblProd[[#This Row],[Required]]</f>
        <v>3750</v>
      </c>
      <c r="E65" s="271"/>
      <c r="F65" s="272"/>
      <c r="G65" s="273" t="s">
        <v>608</v>
      </c>
      <c r="H65" s="274" t="s">
        <v>726</v>
      </c>
      <c r="I65" s="273" t="s">
        <v>609</v>
      </c>
      <c r="J65" s="269"/>
      <c r="K65" s="93">
        <f ca="1">IF(TblTech[[#This Row],[Sum of tech]]&lt;&gt;OFFSET(TblTech[[#This Row],[Sum of tech]],-1,0),1,0)</f>
        <v>0</v>
      </c>
      <c r="L65" s="275">
        <f>COUNTIF(TblTech[[#This Row],[1-1]:[11-1]],1)</f>
        <v>0</v>
      </c>
      <c r="M65" s="276" cm="1">
        <f t="array" ref="M65">IF(AND(M$2&lt;&gt;0,TblTech[[#This Row],[Hour]:[Hour]]&gt;=M$2),1,0)</f>
        <v>0</v>
      </c>
      <c r="N65" s="276" cm="1">
        <f t="array" ref="N65">IF(AND(N$2&lt;&gt;0,TblTech[[#This Row],[Hour]:[Hour]]&gt;=N$2),1,0)</f>
        <v>0</v>
      </c>
      <c r="O65" s="276" cm="1">
        <f t="array" ref="O65">IF(AND(O$2&lt;&gt;0,TblTech[[#This Row],[Hour]:[Hour]]&gt;=O$2),1,0)</f>
        <v>0</v>
      </c>
      <c r="P65" s="276" cm="1">
        <f t="array" ref="P65">IF(AND(P$2&lt;&gt;0,TblTech[[#This Row],[Hour]:[Hour]]&gt;=P$2),1,0)</f>
        <v>0</v>
      </c>
      <c r="Q65" s="276" cm="1">
        <f t="array" ref="Q65">IF(AND(Q$2&lt;&gt;0,TblTech[[#This Row],[Hour]:[Hour]]&gt;=Q$2),1,0)</f>
        <v>0</v>
      </c>
      <c r="R65" s="276" cm="1">
        <f t="array" ref="R65">IF(AND(R$2&lt;&gt;0,TblTech[[#This Row],[Hour]:[Hour]]&gt;=R$2),1,0)</f>
        <v>0</v>
      </c>
      <c r="S65" s="276" cm="1">
        <f t="array" ref="S65">IF(AND(S$2&lt;&gt;0,TblTech[[#This Row],[Hour]:[Hour]]&gt;=S$2),1,0)</f>
        <v>0</v>
      </c>
      <c r="T65" s="276" cm="1">
        <f t="array" ref="T65">IF(AND(T$2&lt;&gt;0,TblTech[[#This Row],[Hour]:[Hour]]&gt;=T$2),1,0)</f>
        <v>0</v>
      </c>
      <c r="U65" s="276" cm="1">
        <f t="array" ref="U65">IF(AND(U$2&lt;&gt;0,TblTech[[#This Row],[Hour]:[Hour]]&gt;=U$2),1,0)</f>
        <v>0</v>
      </c>
      <c r="V65" s="276" cm="1">
        <f t="array" ref="V65">IF(AND(V$2&lt;&gt;0,TblTech[[#This Row],[Hour]:[Hour]]&gt;=V$2),1,0)</f>
        <v>0</v>
      </c>
      <c r="W65" s="276" cm="1">
        <f t="array" ref="W65">IF(AND(W$2&lt;&gt;0,TblTech[[#This Row],[Hour]:[Hour]]&gt;=W$2),1,0)</f>
        <v>0</v>
      </c>
      <c r="X65" s="276" cm="1">
        <f t="array" ref="X65">IF(AND(X$2&lt;&gt;0,TblTech[[#This Row],[Hour]:[Hour]]&gt;=X$2),1,0)</f>
        <v>0</v>
      </c>
      <c r="Y65" s="276" cm="1">
        <f t="array" ref="Y65">IF(AND(Y$2&lt;&gt;0,TblTech[[#This Row],[Hour]:[Hour]]&gt;=Y$2),1,0)</f>
        <v>0</v>
      </c>
      <c r="Z65" s="276" cm="1">
        <f t="array" ref="Z65">IF(AND(Z$2&lt;&gt;0,TblTech[[#This Row],[Hour]:[Hour]]&gt;=Z$2),1,0)</f>
        <v>0</v>
      </c>
      <c r="AA65" s="276" cm="1">
        <f t="array" ref="AA65">IF(AND(AA$2&lt;&gt;0,TblTech[[#This Row],[Hour]:[Hour]]&gt;=AA$2),1,0)</f>
        <v>0</v>
      </c>
      <c r="AB65" s="276" cm="1">
        <f t="array" ref="AB65">IF(AND(AB$2&lt;&gt;0,TblTech[[#This Row],[Hour]:[Hour]]&gt;=AB$2),1,0)</f>
        <v>0</v>
      </c>
      <c r="AC65" s="276" cm="1">
        <f t="array" ref="AC65">IF(AND(AC$2&lt;&gt;0,TblTech[[#This Row],[Hour]:[Hour]]&gt;=AC$2),1,0)</f>
        <v>0</v>
      </c>
      <c r="AD65" s="276" cm="1">
        <f t="array" ref="AD65">IF(AND(AD$2&lt;&gt;0,TblTech[[#This Row],[Hour]:[Hour]]&gt;=AD$2),1,0)</f>
        <v>0</v>
      </c>
      <c r="AE65" s="276" cm="1">
        <f t="array" ref="AE65">IF(AND(AE$2&lt;&gt;0,TblTech[[#This Row],[Hour]:[Hour]]&gt;=AE$2),1,0)</f>
        <v>0</v>
      </c>
      <c r="AF65" s="276" cm="1">
        <f t="array" ref="AF65">IF(AND(AF$2&lt;&gt;0,TblTech[[#This Row],[Hour]:[Hour]]&gt;=AF$2),1,0)</f>
        <v>0</v>
      </c>
      <c r="AG65" s="276" cm="1">
        <f t="array" ref="AG65">IF(AND(AG$2&lt;&gt;0,TblTech[[#This Row],[Hour]:[Hour]]&gt;=AG$2),1,0)</f>
        <v>0</v>
      </c>
      <c r="AH65" s="276" cm="1">
        <f t="array" ref="AH65">IF(AND(AH$2&lt;&gt;0,TblTech[[#This Row],[Hour]:[Hour]]&gt;=AH$2),1,0)</f>
        <v>0</v>
      </c>
      <c r="AI65" s="276" cm="1">
        <f t="array" ref="AI65">IF(AND(AI$2&lt;&gt;0,TblTech[[#This Row],[Hour]:[Hour]]&gt;=AI$2),1,0)</f>
        <v>0</v>
      </c>
      <c r="AJ65" s="276" cm="1">
        <f t="array" ref="AJ65">IF(AND(AJ$2&lt;&gt;0,TblTech[[#This Row],[Hour]:[Hour]]&gt;=AJ$2),1,0)</f>
        <v>0</v>
      </c>
      <c r="AK65" s="276" cm="1">
        <f t="array" ref="AK65">IF(AND(AK$2&lt;&gt;0,TblTech[[#This Row],[Hour]:[Hour]]&gt;=AK$2),1,0)</f>
        <v>0</v>
      </c>
      <c r="AL65" s="276" cm="1">
        <f t="array" ref="AL65">IF(AND(AL$2&lt;&gt;0,TblTech[[#This Row],[Hour]:[Hour]]&gt;=AL$2),1,0)</f>
        <v>0</v>
      </c>
      <c r="AM65" s="276" cm="1">
        <f t="array" ref="AM65">IF(AND(AM$2&lt;&gt;0,TblTech[[#This Row],[Hour]:[Hour]]&gt;=AM$2),1,0)</f>
        <v>0</v>
      </c>
      <c r="AN65" s="276" cm="1">
        <f t="array" ref="AN65">IF(AND(AN$2&lt;&gt;0,TblTech[[#This Row],[Hour]:[Hour]]&gt;=AN$2),1,0)</f>
        <v>0</v>
      </c>
      <c r="AO65" s="276" cm="1">
        <f t="array" ref="AO65">IF(AND(AO$2&lt;&gt;0,TblTech[[#This Row],[Hour]:[Hour]]&gt;=AO$2),1,0)</f>
        <v>0</v>
      </c>
      <c r="AP65" s="276" cm="1">
        <f t="array" ref="AP65">IF(AND(AP$2&lt;&gt;0,TblTech[[#This Row],[Hour]:[Hour]]&gt;=AP$2),1,0)</f>
        <v>0</v>
      </c>
      <c r="AQ65" s="276" cm="1">
        <f t="array" ref="AQ65">IF(AND(AQ$2&lt;&gt;0,TblTech[[#This Row],[Hour]:[Hour]]&gt;=AQ$2),1,0)</f>
        <v>0</v>
      </c>
      <c r="AR65" s="276" cm="1">
        <f t="array" ref="AR65">IF(AND(AR$2&lt;&gt;0,TblTech[[#This Row],[Hour]:[Hour]]&gt;=AR$2),1,0)</f>
        <v>0</v>
      </c>
      <c r="AS65" s="276" cm="1">
        <f t="array" ref="AS65">IF(AND(AS$2&lt;&gt;0,TblTech[[#This Row],[Hour]:[Hour]]&gt;=AS$2),1,0)</f>
        <v>0</v>
      </c>
      <c r="AT65" s="276" cm="1">
        <f t="array" ref="AT65">IF(AND(AT$2&lt;&gt;0,TblTech[[#This Row],[Hour]:[Hour]]&gt;=AT$2),1,0)</f>
        <v>0</v>
      </c>
      <c r="AU65" s="276" cm="1">
        <f t="array" ref="AU65">IF(AND(AU$2&lt;&gt;0,TblTech[[#This Row],[Hour]:[Hour]]&gt;=AU$2),1,0)</f>
        <v>0</v>
      </c>
      <c r="AV65" s="276" cm="1">
        <f t="array" ref="AV65">IF(AND(AV$2&lt;&gt;0,TblTech[[#This Row],[Hour]:[Hour]]&gt;=AV$2),1,0)</f>
        <v>0</v>
      </c>
      <c r="AW65" s="276" cm="1">
        <f t="array" ref="AW65">IF(AND(AW$2&lt;&gt;0,TblTech[[#This Row],[Hour]:[Hour]]&gt;=AW$2),1,0)</f>
        <v>0</v>
      </c>
      <c r="AX65" s="276" cm="1">
        <f t="array" ref="AX65">IF(AND(AX$2&lt;&gt;0,TblTech[[#This Row],[Hour]:[Hour]]&gt;=AX$2),1,0)</f>
        <v>0</v>
      </c>
      <c r="AY65" s="276" cm="1">
        <f t="array" ref="AY65">IF(AND(AY$2&lt;&gt;0,TblTech[[#This Row],[Hour]:[Hour]]&gt;=AY$2),1,0)</f>
        <v>0</v>
      </c>
      <c r="AZ65" s="276" cm="1">
        <f t="array" ref="AZ65">IF(AND(AZ$2&lt;&gt;0,TblTech[[#This Row],[Hour]:[Hour]]&gt;=AZ$2),1,0)</f>
        <v>0</v>
      </c>
      <c r="BA65" s="276" cm="1">
        <f t="array" ref="BA65">IF(AND(BA$2&lt;&gt;0,TblTech[[#This Row],[Hour]:[Hour]]&gt;=BA$2),1,0)</f>
        <v>0</v>
      </c>
      <c r="BB65" s="276" cm="1">
        <f t="array" ref="BB65">IF(AND(BB$2&lt;&gt;0,TblTech[[#This Row],[Hour]:[Hour]]&gt;=BB$2),1,0)</f>
        <v>0</v>
      </c>
      <c r="BC65" s="276" cm="1">
        <f t="array" ref="BC65">IF(AND(BC$2&lt;&gt;0,TblTech[[#This Row],[Hour]:[Hour]]&gt;=BC$2),1,0)</f>
        <v>0</v>
      </c>
      <c r="BD65" s="276" cm="1">
        <f t="array" ref="BD65">IF(AND(BD$2&lt;&gt;0,TblTech[[#This Row],[Hour]:[Hour]]&gt;=BD$2),1,0)</f>
        <v>0</v>
      </c>
      <c r="BE65" s="276" cm="1">
        <f t="array" ref="BE65">IF(AND(BE$2&lt;&gt;0,TblTech[[#This Row],[Hour]:[Hour]]&gt;=BE$2),1,0)</f>
        <v>0</v>
      </c>
      <c r="BF65" s="276" cm="1">
        <f t="array" ref="BF65">IF(AND(BF$2&lt;&gt;0,TblTech[[#This Row],[Hour]:[Hour]]&gt;=BF$2),1,0)</f>
        <v>0</v>
      </c>
      <c r="BG65" s="276" cm="1">
        <f t="array" ref="BG65">IF(AND(BG$2&lt;&gt;0,TblTech[[#This Row],[Hour]:[Hour]]&gt;=BG$2),1,0)</f>
        <v>0</v>
      </c>
      <c r="BH65" s="276" cm="1">
        <f t="array" ref="BH65">IF(AND(BH$2&lt;&gt;0,TblTech[[#This Row],[Hour]:[Hour]]&gt;=BH$2),1,0)</f>
        <v>0</v>
      </c>
      <c r="BI65" s="276" cm="1">
        <f t="array" ref="BI65">IF(AND(BI$2&lt;&gt;0,TblTech[[#This Row],[Hour]:[Hour]]&gt;=BI$2),1,0)</f>
        <v>0</v>
      </c>
      <c r="BJ65" s="276" cm="1">
        <f t="array" ref="BJ65">IF(AND(BJ$2&lt;&gt;0,TblTech[[#This Row],[Hour]:[Hour]]&gt;=BJ$2),1,0)</f>
        <v>0</v>
      </c>
      <c r="BK65" s="276" cm="1">
        <f t="array" ref="BK65">IF(AND(BK$2&lt;&gt;0,TblTech[[#This Row],[Hour]:[Hour]]&gt;=BK$2),1,0)</f>
        <v>0</v>
      </c>
      <c r="BL65" s="276" cm="1">
        <f t="array" ref="BL65">IF(AND(BL$2&lt;&gt;0,TblTech[[#This Row],[Hour]:[Hour]]&gt;=BL$2),1,0)</f>
        <v>0</v>
      </c>
      <c r="BM65" s="276" cm="1">
        <f t="array" ref="BM65">IF(AND(BM$2&lt;&gt;0,TblTech[[#This Row],[Hour]:[Hour]]&gt;=BM$2),1,0)</f>
        <v>0</v>
      </c>
      <c r="BN65" s="276" cm="1">
        <f t="array" ref="BN65">IF(AND(BN$2&lt;&gt;0,TblTech[[#This Row],[Hour]:[Hour]]&gt;=BN$2),1,0)</f>
        <v>0</v>
      </c>
      <c r="BO65" s="276" cm="1">
        <f t="array" ref="BO65">IF(AND(BO$2&lt;&gt;0,TblTech[[#This Row],[Hour]:[Hour]]&gt;=BO$2),1,0)</f>
        <v>0</v>
      </c>
      <c r="BP65" s="276" cm="1">
        <f t="array" ref="BP65">IF(AND(BP$2&lt;&gt;0,TblTech[[#This Row],[Hour]:[Hour]]&gt;=BP$2),1,0)</f>
        <v>0</v>
      </c>
      <c r="BQ65" s="276" cm="1">
        <f t="array" ref="BQ65">IF(AND(BQ$2&lt;&gt;0,TblTech[[#This Row],[Hour]:[Hour]]&gt;=BQ$2),1,0)</f>
        <v>0</v>
      </c>
      <c r="BR65" s="276" cm="1">
        <f t="array" ref="BR65">IF(AND(BR$2&lt;&gt;0,TblTech[[#This Row],[Hour]:[Hour]]&gt;=BR$2),1,0)</f>
        <v>0</v>
      </c>
      <c r="BS65" s="276" cm="1">
        <f t="array" ref="BS65">IF(AND(BS$2&lt;&gt;0,TblTech[[#This Row],[Hour]:[Hour]]&gt;=BS$2),1,0)</f>
        <v>0</v>
      </c>
      <c r="BT65" s="276" cm="1">
        <f t="array" ref="BT65">IF(AND(BT$2&lt;&gt;0,TblTech[[#This Row],[Hour]:[Hour]]&gt;=BT$2),1,0)</f>
        <v>0</v>
      </c>
      <c r="BU65" s="276" cm="1">
        <f t="array" ref="BU65">IF(AND(BU$2&lt;&gt;0,TblTech[[#This Row],[Hour]:[Hour]]&gt;=BU$2),1,0)</f>
        <v>0</v>
      </c>
      <c r="BV65" s="276" cm="1">
        <f t="array" ref="BV65">IF(AND(BV$2&lt;&gt;0,TblTech[[#This Row],[Hour]:[Hour]]&gt;=BV$2),1,0)</f>
        <v>0</v>
      </c>
      <c r="BW65" s="276" cm="1">
        <f t="array" ref="BW65">IF(AND(BW$2&lt;&gt;0,TblTech[[#This Row],[Hour]:[Hour]]&gt;=BW$2),1,0)</f>
        <v>0</v>
      </c>
      <c r="BX65" s="276" cm="1">
        <f t="array" ref="BX65">IF(AND(BX$2&lt;&gt;0,TblTech[[#This Row],[Hour]:[Hour]]&gt;=BX$2),1,0)</f>
        <v>0</v>
      </c>
      <c r="BY65" s="276" cm="1">
        <f t="array" ref="BY65">IF(AND(BY$2&lt;&gt;0,TblTech[[#This Row],[Hour]:[Hour]]&gt;=BY$2),1,0)</f>
        <v>0</v>
      </c>
      <c r="BZ65" s="276" cm="1">
        <f t="array" ref="BZ65">IF(AND(BZ$2&lt;&gt;0,TblTech[[#This Row],[Hour]:[Hour]]&gt;=BZ$2),1,0)</f>
        <v>0</v>
      </c>
      <c r="CA65" s="377">
        <f>IFERROR(INDEX($H$4:$H$79,MATCH(INDEX(TblTech[[#Headers],[1-1]:[11-1]],1,MATCH(TblTech[[#This Row],[Hour]],$M$2:$BZ$2,0)),$G$4:$G$79,0)),)</f>
        <v>0</v>
      </c>
    </row>
    <row r="66" spans="1:79" x14ac:dyDescent="0.2">
      <c r="A66" s="268">
        <f>TblRezone[[#This Row],[Hour]]</f>
        <v>63</v>
      </c>
      <c r="B66" s="269">
        <f ca="1">TblExplore[[#This Row],[Land-DB]]</f>
        <v>110</v>
      </c>
      <c r="C66" s="270">
        <f ca="1">TblProd[[#This Row],[Techpoints]]</f>
        <v>0</v>
      </c>
      <c r="D66" s="270">
        <f ca="1">TblProd[[#This Row],[Required]]</f>
        <v>3750</v>
      </c>
      <c r="E66" s="271"/>
      <c r="F66" s="272"/>
      <c r="G66" s="273"/>
      <c r="H66" s="274"/>
      <c r="I66" s="273"/>
      <c r="J66" s="269"/>
      <c r="K66" s="93">
        <f ca="1">IF(TblTech[[#This Row],[Sum of tech]]&lt;&gt;OFFSET(TblTech[[#This Row],[Sum of tech]],-1,0),1,0)</f>
        <v>0</v>
      </c>
      <c r="L66" s="275">
        <f>COUNTIF(TblTech[[#This Row],[1-1]:[11-1]],1)</f>
        <v>0</v>
      </c>
      <c r="M66" s="276" cm="1">
        <f t="array" ref="M66">IF(AND(M$2&lt;&gt;0,TblTech[[#This Row],[Hour]:[Hour]]&gt;=M$2),1,0)</f>
        <v>0</v>
      </c>
      <c r="N66" s="276" cm="1">
        <f t="array" ref="N66">IF(AND(N$2&lt;&gt;0,TblTech[[#This Row],[Hour]:[Hour]]&gt;=N$2),1,0)</f>
        <v>0</v>
      </c>
      <c r="O66" s="276" cm="1">
        <f t="array" ref="O66">IF(AND(O$2&lt;&gt;0,TblTech[[#This Row],[Hour]:[Hour]]&gt;=O$2),1,0)</f>
        <v>0</v>
      </c>
      <c r="P66" s="276" cm="1">
        <f t="array" ref="P66">IF(AND(P$2&lt;&gt;0,TblTech[[#This Row],[Hour]:[Hour]]&gt;=P$2),1,0)</f>
        <v>0</v>
      </c>
      <c r="Q66" s="276" cm="1">
        <f t="array" ref="Q66">IF(AND(Q$2&lt;&gt;0,TblTech[[#This Row],[Hour]:[Hour]]&gt;=Q$2),1,0)</f>
        <v>0</v>
      </c>
      <c r="R66" s="276" cm="1">
        <f t="array" ref="R66">IF(AND(R$2&lt;&gt;0,TblTech[[#This Row],[Hour]:[Hour]]&gt;=R$2),1,0)</f>
        <v>0</v>
      </c>
      <c r="S66" s="276" cm="1">
        <f t="array" ref="S66">IF(AND(S$2&lt;&gt;0,TblTech[[#This Row],[Hour]:[Hour]]&gt;=S$2),1,0)</f>
        <v>0</v>
      </c>
      <c r="T66" s="276" cm="1">
        <f t="array" ref="T66">IF(AND(T$2&lt;&gt;0,TblTech[[#This Row],[Hour]:[Hour]]&gt;=T$2),1,0)</f>
        <v>0</v>
      </c>
      <c r="U66" s="276" cm="1">
        <f t="array" ref="U66">IF(AND(U$2&lt;&gt;0,TblTech[[#This Row],[Hour]:[Hour]]&gt;=U$2),1,0)</f>
        <v>0</v>
      </c>
      <c r="V66" s="276" cm="1">
        <f t="array" ref="V66">IF(AND(V$2&lt;&gt;0,TblTech[[#This Row],[Hour]:[Hour]]&gt;=V$2),1,0)</f>
        <v>0</v>
      </c>
      <c r="W66" s="276" cm="1">
        <f t="array" ref="W66">IF(AND(W$2&lt;&gt;0,TblTech[[#This Row],[Hour]:[Hour]]&gt;=W$2),1,0)</f>
        <v>0</v>
      </c>
      <c r="X66" s="276" cm="1">
        <f t="array" ref="X66">IF(AND(X$2&lt;&gt;0,TblTech[[#This Row],[Hour]:[Hour]]&gt;=X$2),1,0)</f>
        <v>0</v>
      </c>
      <c r="Y66" s="276" cm="1">
        <f t="array" ref="Y66">IF(AND(Y$2&lt;&gt;0,TblTech[[#This Row],[Hour]:[Hour]]&gt;=Y$2),1,0)</f>
        <v>0</v>
      </c>
      <c r="Z66" s="276" cm="1">
        <f t="array" ref="Z66">IF(AND(Z$2&lt;&gt;0,TblTech[[#This Row],[Hour]:[Hour]]&gt;=Z$2),1,0)</f>
        <v>0</v>
      </c>
      <c r="AA66" s="276" cm="1">
        <f t="array" ref="AA66">IF(AND(AA$2&lt;&gt;0,TblTech[[#This Row],[Hour]:[Hour]]&gt;=AA$2),1,0)</f>
        <v>0</v>
      </c>
      <c r="AB66" s="276" cm="1">
        <f t="array" ref="AB66">IF(AND(AB$2&lt;&gt;0,TblTech[[#This Row],[Hour]:[Hour]]&gt;=AB$2),1,0)</f>
        <v>0</v>
      </c>
      <c r="AC66" s="276" cm="1">
        <f t="array" ref="AC66">IF(AND(AC$2&lt;&gt;0,TblTech[[#This Row],[Hour]:[Hour]]&gt;=AC$2),1,0)</f>
        <v>0</v>
      </c>
      <c r="AD66" s="276" cm="1">
        <f t="array" ref="AD66">IF(AND(AD$2&lt;&gt;0,TblTech[[#This Row],[Hour]:[Hour]]&gt;=AD$2),1,0)</f>
        <v>0</v>
      </c>
      <c r="AE66" s="276" cm="1">
        <f t="array" ref="AE66">IF(AND(AE$2&lt;&gt;0,TblTech[[#This Row],[Hour]:[Hour]]&gt;=AE$2),1,0)</f>
        <v>0</v>
      </c>
      <c r="AF66" s="276" cm="1">
        <f t="array" ref="AF66">IF(AND(AF$2&lt;&gt;0,TblTech[[#This Row],[Hour]:[Hour]]&gt;=AF$2),1,0)</f>
        <v>0</v>
      </c>
      <c r="AG66" s="276" cm="1">
        <f t="array" ref="AG66">IF(AND(AG$2&lt;&gt;0,TblTech[[#This Row],[Hour]:[Hour]]&gt;=AG$2),1,0)</f>
        <v>0</v>
      </c>
      <c r="AH66" s="276" cm="1">
        <f t="array" ref="AH66">IF(AND(AH$2&lt;&gt;0,TblTech[[#This Row],[Hour]:[Hour]]&gt;=AH$2),1,0)</f>
        <v>0</v>
      </c>
      <c r="AI66" s="276" cm="1">
        <f t="array" ref="AI66">IF(AND(AI$2&lt;&gt;0,TblTech[[#This Row],[Hour]:[Hour]]&gt;=AI$2),1,0)</f>
        <v>0</v>
      </c>
      <c r="AJ66" s="276" cm="1">
        <f t="array" ref="AJ66">IF(AND(AJ$2&lt;&gt;0,TblTech[[#This Row],[Hour]:[Hour]]&gt;=AJ$2),1,0)</f>
        <v>0</v>
      </c>
      <c r="AK66" s="276" cm="1">
        <f t="array" ref="AK66">IF(AND(AK$2&lt;&gt;0,TblTech[[#This Row],[Hour]:[Hour]]&gt;=AK$2),1,0)</f>
        <v>0</v>
      </c>
      <c r="AL66" s="276" cm="1">
        <f t="array" ref="AL66">IF(AND(AL$2&lt;&gt;0,TblTech[[#This Row],[Hour]:[Hour]]&gt;=AL$2),1,0)</f>
        <v>0</v>
      </c>
      <c r="AM66" s="276" cm="1">
        <f t="array" ref="AM66">IF(AND(AM$2&lt;&gt;0,TblTech[[#This Row],[Hour]:[Hour]]&gt;=AM$2),1,0)</f>
        <v>0</v>
      </c>
      <c r="AN66" s="276" cm="1">
        <f t="array" ref="AN66">IF(AND(AN$2&lt;&gt;0,TblTech[[#This Row],[Hour]:[Hour]]&gt;=AN$2),1,0)</f>
        <v>0</v>
      </c>
      <c r="AO66" s="276" cm="1">
        <f t="array" ref="AO66">IF(AND(AO$2&lt;&gt;0,TblTech[[#This Row],[Hour]:[Hour]]&gt;=AO$2),1,0)</f>
        <v>0</v>
      </c>
      <c r="AP66" s="276" cm="1">
        <f t="array" ref="AP66">IF(AND(AP$2&lt;&gt;0,TblTech[[#This Row],[Hour]:[Hour]]&gt;=AP$2),1,0)</f>
        <v>0</v>
      </c>
      <c r="AQ66" s="276" cm="1">
        <f t="array" ref="AQ66">IF(AND(AQ$2&lt;&gt;0,TblTech[[#This Row],[Hour]:[Hour]]&gt;=AQ$2),1,0)</f>
        <v>0</v>
      </c>
      <c r="AR66" s="276" cm="1">
        <f t="array" ref="AR66">IF(AND(AR$2&lt;&gt;0,TblTech[[#This Row],[Hour]:[Hour]]&gt;=AR$2),1,0)</f>
        <v>0</v>
      </c>
      <c r="AS66" s="276" cm="1">
        <f t="array" ref="AS66">IF(AND(AS$2&lt;&gt;0,TblTech[[#This Row],[Hour]:[Hour]]&gt;=AS$2),1,0)</f>
        <v>0</v>
      </c>
      <c r="AT66" s="276" cm="1">
        <f t="array" ref="AT66">IF(AND(AT$2&lt;&gt;0,TblTech[[#This Row],[Hour]:[Hour]]&gt;=AT$2),1,0)</f>
        <v>0</v>
      </c>
      <c r="AU66" s="276" cm="1">
        <f t="array" ref="AU66">IF(AND(AU$2&lt;&gt;0,TblTech[[#This Row],[Hour]:[Hour]]&gt;=AU$2),1,0)</f>
        <v>0</v>
      </c>
      <c r="AV66" s="276" cm="1">
        <f t="array" ref="AV66">IF(AND(AV$2&lt;&gt;0,TblTech[[#This Row],[Hour]:[Hour]]&gt;=AV$2),1,0)</f>
        <v>0</v>
      </c>
      <c r="AW66" s="276" cm="1">
        <f t="array" ref="AW66">IF(AND(AW$2&lt;&gt;0,TblTech[[#This Row],[Hour]:[Hour]]&gt;=AW$2),1,0)</f>
        <v>0</v>
      </c>
      <c r="AX66" s="276" cm="1">
        <f t="array" ref="AX66">IF(AND(AX$2&lt;&gt;0,TblTech[[#This Row],[Hour]:[Hour]]&gt;=AX$2),1,0)</f>
        <v>0</v>
      </c>
      <c r="AY66" s="276" cm="1">
        <f t="array" ref="AY66">IF(AND(AY$2&lt;&gt;0,TblTech[[#This Row],[Hour]:[Hour]]&gt;=AY$2),1,0)</f>
        <v>0</v>
      </c>
      <c r="AZ66" s="276" cm="1">
        <f t="array" ref="AZ66">IF(AND(AZ$2&lt;&gt;0,TblTech[[#This Row],[Hour]:[Hour]]&gt;=AZ$2),1,0)</f>
        <v>0</v>
      </c>
      <c r="BA66" s="276" cm="1">
        <f t="array" ref="BA66">IF(AND(BA$2&lt;&gt;0,TblTech[[#This Row],[Hour]:[Hour]]&gt;=BA$2),1,0)</f>
        <v>0</v>
      </c>
      <c r="BB66" s="276" cm="1">
        <f t="array" ref="BB66">IF(AND(BB$2&lt;&gt;0,TblTech[[#This Row],[Hour]:[Hour]]&gt;=BB$2),1,0)</f>
        <v>0</v>
      </c>
      <c r="BC66" s="276" cm="1">
        <f t="array" ref="BC66">IF(AND(BC$2&lt;&gt;0,TblTech[[#This Row],[Hour]:[Hour]]&gt;=BC$2),1,0)</f>
        <v>0</v>
      </c>
      <c r="BD66" s="276" cm="1">
        <f t="array" ref="BD66">IF(AND(BD$2&lt;&gt;0,TblTech[[#This Row],[Hour]:[Hour]]&gt;=BD$2),1,0)</f>
        <v>0</v>
      </c>
      <c r="BE66" s="276" cm="1">
        <f t="array" ref="BE66">IF(AND(BE$2&lt;&gt;0,TblTech[[#This Row],[Hour]:[Hour]]&gt;=BE$2),1,0)</f>
        <v>0</v>
      </c>
      <c r="BF66" s="276" cm="1">
        <f t="array" ref="BF66">IF(AND(BF$2&lt;&gt;0,TblTech[[#This Row],[Hour]:[Hour]]&gt;=BF$2),1,0)</f>
        <v>0</v>
      </c>
      <c r="BG66" s="276" cm="1">
        <f t="array" ref="BG66">IF(AND(BG$2&lt;&gt;0,TblTech[[#This Row],[Hour]:[Hour]]&gt;=BG$2),1,0)</f>
        <v>0</v>
      </c>
      <c r="BH66" s="276" cm="1">
        <f t="array" ref="BH66">IF(AND(BH$2&lt;&gt;0,TblTech[[#This Row],[Hour]:[Hour]]&gt;=BH$2),1,0)</f>
        <v>0</v>
      </c>
      <c r="BI66" s="276" cm="1">
        <f t="array" ref="BI66">IF(AND(BI$2&lt;&gt;0,TblTech[[#This Row],[Hour]:[Hour]]&gt;=BI$2),1,0)</f>
        <v>0</v>
      </c>
      <c r="BJ66" s="276" cm="1">
        <f t="array" ref="BJ66">IF(AND(BJ$2&lt;&gt;0,TblTech[[#This Row],[Hour]:[Hour]]&gt;=BJ$2),1,0)</f>
        <v>0</v>
      </c>
      <c r="BK66" s="276" cm="1">
        <f t="array" ref="BK66">IF(AND(BK$2&lt;&gt;0,TblTech[[#This Row],[Hour]:[Hour]]&gt;=BK$2),1,0)</f>
        <v>0</v>
      </c>
      <c r="BL66" s="276" cm="1">
        <f t="array" ref="BL66">IF(AND(BL$2&lt;&gt;0,TblTech[[#This Row],[Hour]:[Hour]]&gt;=BL$2),1,0)</f>
        <v>0</v>
      </c>
      <c r="BM66" s="276" cm="1">
        <f t="array" ref="BM66">IF(AND(BM$2&lt;&gt;0,TblTech[[#This Row],[Hour]:[Hour]]&gt;=BM$2),1,0)</f>
        <v>0</v>
      </c>
      <c r="BN66" s="276" cm="1">
        <f t="array" ref="BN66">IF(AND(BN$2&lt;&gt;0,TblTech[[#This Row],[Hour]:[Hour]]&gt;=BN$2),1,0)</f>
        <v>0</v>
      </c>
      <c r="BO66" s="276" cm="1">
        <f t="array" ref="BO66">IF(AND(BO$2&lt;&gt;0,TblTech[[#This Row],[Hour]:[Hour]]&gt;=BO$2),1,0)</f>
        <v>0</v>
      </c>
      <c r="BP66" s="276" cm="1">
        <f t="array" ref="BP66">IF(AND(BP$2&lt;&gt;0,TblTech[[#This Row],[Hour]:[Hour]]&gt;=BP$2),1,0)</f>
        <v>0</v>
      </c>
      <c r="BQ66" s="276" cm="1">
        <f t="array" ref="BQ66">IF(AND(BQ$2&lt;&gt;0,TblTech[[#This Row],[Hour]:[Hour]]&gt;=BQ$2),1,0)</f>
        <v>0</v>
      </c>
      <c r="BR66" s="276" cm="1">
        <f t="array" ref="BR66">IF(AND(BR$2&lt;&gt;0,TblTech[[#This Row],[Hour]:[Hour]]&gt;=BR$2),1,0)</f>
        <v>0</v>
      </c>
      <c r="BS66" s="276" cm="1">
        <f t="array" ref="BS66">IF(AND(BS$2&lt;&gt;0,TblTech[[#This Row],[Hour]:[Hour]]&gt;=BS$2),1,0)</f>
        <v>0</v>
      </c>
      <c r="BT66" s="276" cm="1">
        <f t="array" ref="BT66">IF(AND(BT$2&lt;&gt;0,TblTech[[#This Row],[Hour]:[Hour]]&gt;=BT$2),1,0)</f>
        <v>0</v>
      </c>
      <c r="BU66" s="276" cm="1">
        <f t="array" ref="BU66">IF(AND(BU$2&lt;&gt;0,TblTech[[#This Row],[Hour]:[Hour]]&gt;=BU$2),1,0)</f>
        <v>0</v>
      </c>
      <c r="BV66" s="276" cm="1">
        <f t="array" ref="BV66">IF(AND(BV$2&lt;&gt;0,TblTech[[#This Row],[Hour]:[Hour]]&gt;=BV$2),1,0)</f>
        <v>0</v>
      </c>
      <c r="BW66" s="276" cm="1">
        <f t="array" ref="BW66">IF(AND(BW$2&lt;&gt;0,TblTech[[#This Row],[Hour]:[Hour]]&gt;=BW$2),1,0)</f>
        <v>0</v>
      </c>
      <c r="BX66" s="276" cm="1">
        <f t="array" ref="BX66">IF(AND(BX$2&lt;&gt;0,TblTech[[#This Row],[Hour]:[Hour]]&gt;=BX$2),1,0)</f>
        <v>0</v>
      </c>
      <c r="BY66" s="276" cm="1">
        <f t="array" ref="BY66">IF(AND(BY$2&lt;&gt;0,TblTech[[#This Row],[Hour]:[Hour]]&gt;=BY$2),1,0)</f>
        <v>0</v>
      </c>
      <c r="BZ66" s="276" cm="1">
        <f t="array" ref="BZ66">IF(AND(BZ$2&lt;&gt;0,TblTech[[#This Row],[Hour]:[Hour]]&gt;=BZ$2),1,0)</f>
        <v>0</v>
      </c>
      <c r="CA66" s="377">
        <f>IFERROR(INDEX($H$4:$H$79,MATCH(INDEX(TblTech[[#Headers],[1-1]:[11-1]],1,MATCH(TblTech[[#This Row],[Hour]],$M$2:$BZ$2,0)),$G$4:$G$79,0)),)</f>
        <v>0</v>
      </c>
    </row>
    <row r="67" spans="1:79" x14ac:dyDescent="0.2">
      <c r="A67" s="268">
        <f>TblRezone[[#This Row],[Hour]]</f>
        <v>64</v>
      </c>
      <c r="B67" s="269">
        <f ca="1">TblExplore[[#This Row],[Land-DB]]</f>
        <v>110</v>
      </c>
      <c r="C67" s="270">
        <f ca="1">TblProd[[#This Row],[Techpoints]]</f>
        <v>0</v>
      </c>
      <c r="D67" s="270">
        <f ca="1">TblProd[[#This Row],[Required]]</f>
        <v>3750</v>
      </c>
      <c r="E67" s="271"/>
      <c r="F67" s="272"/>
      <c r="G67" s="273" t="s">
        <v>610</v>
      </c>
      <c r="H67" s="274" t="s">
        <v>1058</v>
      </c>
      <c r="I67" s="273" t="s">
        <v>744</v>
      </c>
      <c r="J67" s="269"/>
      <c r="K67" s="93">
        <f ca="1">IF(TblTech[[#This Row],[Sum of tech]]&lt;&gt;OFFSET(TblTech[[#This Row],[Sum of tech]],-1,0),1,0)</f>
        <v>0</v>
      </c>
      <c r="L67" s="275">
        <f>COUNTIF(TblTech[[#This Row],[1-1]:[11-1]],1)</f>
        <v>0</v>
      </c>
      <c r="M67" s="276" cm="1">
        <f t="array" ref="M67">IF(AND(M$2&lt;&gt;0,TblTech[[#This Row],[Hour]:[Hour]]&gt;=M$2),1,0)</f>
        <v>0</v>
      </c>
      <c r="N67" s="276" cm="1">
        <f t="array" ref="N67">IF(AND(N$2&lt;&gt;0,TblTech[[#This Row],[Hour]:[Hour]]&gt;=N$2),1,0)</f>
        <v>0</v>
      </c>
      <c r="O67" s="276" cm="1">
        <f t="array" ref="O67">IF(AND(O$2&lt;&gt;0,TblTech[[#This Row],[Hour]:[Hour]]&gt;=O$2),1,0)</f>
        <v>0</v>
      </c>
      <c r="P67" s="276" cm="1">
        <f t="array" ref="P67">IF(AND(P$2&lt;&gt;0,TblTech[[#This Row],[Hour]:[Hour]]&gt;=P$2),1,0)</f>
        <v>0</v>
      </c>
      <c r="Q67" s="276" cm="1">
        <f t="array" ref="Q67">IF(AND(Q$2&lt;&gt;0,TblTech[[#This Row],[Hour]:[Hour]]&gt;=Q$2),1,0)</f>
        <v>0</v>
      </c>
      <c r="R67" s="276" cm="1">
        <f t="array" ref="R67">IF(AND(R$2&lt;&gt;0,TblTech[[#This Row],[Hour]:[Hour]]&gt;=R$2),1,0)</f>
        <v>0</v>
      </c>
      <c r="S67" s="276" cm="1">
        <f t="array" ref="S67">IF(AND(S$2&lt;&gt;0,TblTech[[#This Row],[Hour]:[Hour]]&gt;=S$2),1,0)</f>
        <v>0</v>
      </c>
      <c r="T67" s="276" cm="1">
        <f t="array" ref="T67">IF(AND(T$2&lt;&gt;0,TblTech[[#This Row],[Hour]:[Hour]]&gt;=T$2),1,0)</f>
        <v>0</v>
      </c>
      <c r="U67" s="276" cm="1">
        <f t="array" ref="U67">IF(AND(U$2&lt;&gt;0,TblTech[[#This Row],[Hour]:[Hour]]&gt;=U$2),1,0)</f>
        <v>0</v>
      </c>
      <c r="V67" s="276" cm="1">
        <f t="array" ref="V67">IF(AND(V$2&lt;&gt;0,TblTech[[#This Row],[Hour]:[Hour]]&gt;=V$2),1,0)</f>
        <v>0</v>
      </c>
      <c r="W67" s="276" cm="1">
        <f t="array" ref="W67">IF(AND(W$2&lt;&gt;0,TblTech[[#This Row],[Hour]:[Hour]]&gt;=W$2),1,0)</f>
        <v>0</v>
      </c>
      <c r="X67" s="276" cm="1">
        <f t="array" ref="X67">IF(AND(X$2&lt;&gt;0,TblTech[[#This Row],[Hour]:[Hour]]&gt;=X$2),1,0)</f>
        <v>0</v>
      </c>
      <c r="Y67" s="276" cm="1">
        <f t="array" ref="Y67">IF(AND(Y$2&lt;&gt;0,TblTech[[#This Row],[Hour]:[Hour]]&gt;=Y$2),1,0)</f>
        <v>0</v>
      </c>
      <c r="Z67" s="276" cm="1">
        <f t="array" ref="Z67">IF(AND(Z$2&lt;&gt;0,TblTech[[#This Row],[Hour]:[Hour]]&gt;=Z$2),1,0)</f>
        <v>0</v>
      </c>
      <c r="AA67" s="276" cm="1">
        <f t="array" ref="AA67">IF(AND(AA$2&lt;&gt;0,TblTech[[#This Row],[Hour]:[Hour]]&gt;=AA$2),1,0)</f>
        <v>0</v>
      </c>
      <c r="AB67" s="276" cm="1">
        <f t="array" ref="AB67">IF(AND(AB$2&lt;&gt;0,TblTech[[#This Row],[Hour]:[Hour]]&gt;=AB$2),1,0)</f>
        <v>0</v>
      </c>
      <c r="AC67" s="276" cm="1">
        <f t="array" ref="AC67">IF(AND(AC$2&lt;&gt;0,TblTech[[#This Row],[Hour]:[Hour]]&gt;=AC$2),1,0)</f>
        <v>0</v>
      </c>
      <c r="AD67" s="276" cm="1">
        <f t="array" ref="AD67">IF(AND(AD$2&lt;&gt;0,TblTech[[#This Row],[Hour]:[Hour]]&gt;=AD$2),1,0)</f>
        <v>0</v>
      </c>
      <c r="AE67" s="276" cm="1">
        <f t="array" ref="AE67">IF(AND(AE$2&lt;&gt;0,TblTech[[#This Row],[Hour]:[Hour]]&gt;=AE$2),1,0)</f>
        <v>0</v>
      </c>
      <c r="AF67" s="276" cm="1">
        <f t="array" ref="AF67">IF(AND(AF$2&lt;&gt;0,TblTech[[#This Row],[Hour]:[Hour]]&gt;=AF$2),1,0)</f>
        <v>0</v>
      </c>
      <c r="AG67" s="276" cm="1">
        <f t="array" ref="AG67">IF(AND(AG$2&lt;&gt;0,TblTech[[#This Row],[Hour]:[Hour]]&gt;=AG$2),1,0)</f>
        <v>0</v>
      </c>
      <c r="AH67" s="276" cm="1">
        <f t="array" ref="AH67">IF(AND(AH$2&lt;&gt;0,TblTech[[#This Row],[Hour]:[Hour]]&gt;=AH$2),1,0)</f>
        <v>0</v>
      </c>
      <c r="AI67" s="276" cm="1">
        <f t="array" ref="AI67">IF(AND(AI$2&lt;&gt;0,TblTech[[#This Row],[Hour]:[Hour]]&gt;=AI$2),1,0)</f>
        <v>0</v>
      </c>
      <c r="AJ67" s="276" cm="1">
        <f t="array" ref="AJ67">IF(AND(AJ$2&lt;&gt;0,TblTech[[#This Row],[Hour]:[Hour]]&gt;=AJ$2),1,0)</f>
        <v>0</v>
      </c>
      <c r="AK67" s="276" cm="1">
        <f t="array" ref="AK67">IF(AND(AK$2&lt;&gt;0,TblTech[[#This Row],[Hour]:[Hour]]&gt;=AK$2),1,0)</f>
        <v>0</v>
      </c>
      <c r="AL67" s="276" cm="1">
        <f t="array" ref="AL67">IF(AND(AL$2&lt;&gt;0,TblTech[[#This Row],[Hour]:[Hour]]&gt;=AL$2),1,0)</f>
        <v>0</v>
      </c>
      <c r="AM67" s="276" cm="1">
        <f t="array" ref="AM67">IF(AND(AM$2&lt;&gt;0,TblTech[[#This Row],[Hour]:[Hour]]&gt;=AM$2),1,0)</f>
        <v>0</v>
      </c>
      <c r="AN67" s="276" cm="1">
        <f t="array" ref="AN67">IF(AND(AN$2&lt;&gt;0,TblTech[[#This Row],[Hour]:[Hour]]&gt;=AN$2),1,0)</f>
        <v>0</v>
      </c>
      <c r="AO67" s="276" cm="1">
        <f t="array" ref="AO67">IF(AND(AO$2&lt;&gt;0,TblTech[[#This Row],[Hour]:[Hour]]&gt;=AO$2),1,0)</f>
        <v>0</v>
      </c>
      <c r="AP67" s="276" cm="1">
        <f t="array" ref="AP67">IF(AND(AP$2&lt;&gt;0,TblTech[[#This Row],[Hour]:[Hour]]&gt;=AP$2),1,0)</f>
        <v>0</v>
      </c>
      <c r="AQ67" s="276" cm="1">
        <f t="array" ref="AQ67">IF(AND(AQ$2&lt;&gt;0,TblTech[[#This Row],[Hour]:[Hour]]&gt;=AQ$2),1,0)</f>
        <v>0</v>
      </c>
      <c r="AR67" s="276" cm="1">
        <f t="array" ref="AR67">IF(AND(AR$2&lt;&gt;0,TblTech[[#This Row],[Hour]:[Hour]]&gt;=AR$2),1,0)</f>
        <v>0</v>
      </c>
      <c r="AS67" s="276" cm="1">
        <f t="array" ref="AS67">IF(AND(AS$2&lt;&gt;0,TblTech[[#This Row],[Hour]:[Hour]]&gt;=AS$2),1,0)</f>
        <v>0</v>
      </c>
      <c r="AT67" s="276" cm="1">
        <f t="array" ref="AT67">IF(AND(AT$2&lt;&gt;0,TblTech[[#This Row],[Hour]:[Hour]]&gt;=AT$2),1,0)</f>
        <v>0</v>
      </c>
      <c r="AU67" s="276" cm="1">
        <f t="array" ref="AU67">IF(AND(AU$2&lt;&gt;0,TblTech[[#This Row],[Hour]:[Hour]]&gt;=AU$2),1,0)</f>
        <v>0</v>
      </c>
      <c r="AV67" s="276" cm="1">
        <f t="array" ref="AV67">IF(AND(AV$2&lt;&gt;0,TblTech[[#This Row],[Hour]:[Hour]]&gt;=AV$2),1,0)</f>
        <v>0</v>
      </c>
      <c r="AW67" s="276" cm="1">
        <f t="array" ref="AW67">IF(AND(AW$2&lt;&gt;0,TblTech[[#This Row],[Hour]:[Hour]]&gt;=AW$2),1,0)</f>
        <v>0</v>
      </c>
      <c r="AX67" s="276" cm="1">
        <f t="array" ref="AX67">IF(AND(AX$2&lt;&gt;0,TblTech[[#This Row],[Hour]:[Hour]]&gt;=AX$2),1,0)</f>
        <v>0</v>
      </c>
      <c r="AY67" s="276" cm="1">
        <f t="array" ref="AY67">IF(AND(AY$2&lt;&gt;0,TblTech[[#This Row],[Hour]:[Hour]]&gt;=AY$2),1,0)</f>
        <v>0</v>
      </c>
      <c r="AZ67" s="276" cm="1">
        <f t="array" ref="AZ67">IF(AND(AZ$2&lt;&gt;0,TblTech[[#This Row],[Hour]:[Hour]]&gt;=AZ$2),1,0)</f>
        <v>0</v>
      </c>
      <c r="BA67" s="276" cm="1">
        <f t="array" ref="BA67">IF(AND(BA$2&lt;&gt;0,TblTech[[#This Row],[Hour]:[Hour]]&gt;=BA$2),1,0)</f>
        <v>0</v>
      </c>
      <c r="BB67" s="276" cm="1">
        <f t="array" ref="BB67">IF(AND(BB$2&lt;&gt;0,TblTech[[#This Row],[Hour]:[Hour]]&gt;=BB$2),1,0)</f>
        <v>0</v>
      </c>
      <c r="BC67" s="276" cm="1">
        <f t="array" ref="BC67">IF(AND(BC$2&lt;&gt;0,TblTech[[#This Row],[Hour]:[Hour]]&gt;=BC$2),1,0)</f>
        <v>0</v>
      </c>
      <c r="BD67" s="276" cm="1">
        <f t="array" ref="BD67">IF(AND(BD$2&lt;&gt;0,TblTech[[#This Row],[Hour]:[Hour]]&gt;=BD$2),1,0)</f>
        <v>0</v>
      </c>
      <c r="BE67" s="276" cm="1">
        <f t="array" ref="BE67">IF(AND(BE$2&lt;&gt;0,TblTech[[#This Row],[Hour]:[Hour]]&gt;=BE$2),1,0)</f>
        <v>0</v>
      </c>
      <c r="BF67" s="276" cm="1">
        <f t="array" ref="BF67">IF(AND(BF$2&lt;&gt;0,TblTech[[#This Row],[Hour]:[Hour]]&gt;=BF$2),1,0)</f>
        <v>0</v>
      </c>
      <c r="BG67" s="276" cm="1">
        <f t="array" ref="BG67">IF(AND(BG$2&lt;&gt;0,TblTech[[#This Row],[Hour]:[Hour]]&gt;=BG$2),1,0)</f>
        <v>0</v>
      </c>
      <c r="BH67" s="276" cm="1">
        <f t="array" ref="BH67">IF(AND(BH$2&lt;&gt;0,TblTech[[#This Row],[Hour]:[Hour]]&gt;=BH$2),1,0)</f>
        <v>0</v>
      </c>
      <c r="BI67" s="276" cm="1">
        <f t="array" ref="BI67">IF(AND(BI$2&lt;&gt;0,TblTech[[#This Row],[Hour]:[Hour]]&gt;=BI$2),1,0)</f>
        <v>0</v>
      </c>
      <c r="BJ67" s="276" cm="1">
        <f t="array" ref="BJ67">IF(AND(BJ$2&lt;&gt;0,TblTech[[#This Row],[Hour]:[Hour]]&gt;=BJ$2),1,0)</f>
        <v>0</v>
      </c>
      <c r="BK67" s="276" cm="1">
        <f t="array" ref="BK67">IF(AND(BK$2&lt;&gt;0,TblTech[[#This Row],[Hour]:[Hour]]&gt;=BK$2),1,0)</f>
        <v>0</v>
      </c>
      <c r="BL67" s="276" cm="1">
        <f t="array" ref="BL67">IF(AND(BL$2&lt;&gt;0,TblTech[[#This Row],[Hour]:[Hour]]&gt;=BL$2),1,0)</f>
        <v>0</v>
      </c>
      <c r="BM67" s="276" cm="1">
        <f t="array" ref="BM67">IF(AND(BM$2&lt;&gt;0,TblTech[[#This Row],[Hour]:[Hour]]&gt;=BM$2),1,0)</f>
        <v>0</v>
      </c>
      <c r="BN67" s="276" cm="1">
        <f t="array" ref="BN67">IF(AND(BN$2&lt;&gt;0,TblTech[[#This Row],[Hour]:[Hour]]&gt;=BN$2),1,0)</f>
        <v>0</v>
      </c>
      <c r="BO67" s="276" cm="1">
        <f t="array" ref="BO67">IF(AND(BO$2&lt;&gt;0,TblTech[[#This Row],[Hour]:[Hour]]&gt;=BO$2),1,0)</f>
        <v>0</v>
      </c>
      <c r="BP67" s="276" cm="1">
        <f t="array" ref="BP67">IF(AND(BP$2&lt;&gt;0,TblTech[[#This Row],[Hour]:[Hour]]&gt;=BP$2),1,0)</f>
        <v>0</v>
      </c>
      <c r="BQ67" s="276" cm="1">
        <f t="array" ref="BQ67">IF(AND(BQ$2&lt;&gt;0,TblTech[[#This Row],[Hour]:[Hour]]&gt;=BQ$2),1,0)</f>
        <v>0</v>
      </c>
      <c r="BR67" s="276" cm="1">
        <f t="array" ref="BR67">IF(AND(BR$2&lt;&gt;0,TblTech[[#This Row],[Hour]:[Hour]]&gt;=BR$2),1,0)</f>
        <v>0</v>
      </c>
      <c r="BS67" s="276" cm="1">
        <f t="array" ref="BS67">IF(AND(BS$2&lt;&gt;0,TblTech[[#This Row],[Hour]:[Hour]]&gt;=BS$2),1,0)</f>
        <v>0</v>
      </c>
      <c r="BT67" s="276" cm="1">
        <f t="array" ref="BT67">IF(AND(BT$2&lt;&gt;0,TblTech[[#This Row],[Hour]:[Hour]]&gt;=BT$2),1,0)</f>
        <v>0</v>
      </c>
      <c r="BU67" s="276" cm="1">
        <f t="array" ref="BU67">IF(AND(BU$2&lt;&gt;0,TblTech[[#This Row],[Hour]:[Hour]]&gt;=BU$2),1,0)</f>
        <v>0</v>
      </c>
      <c r="BV67" s="276" cm="1">
        <f t="array" ref="BV67">IF(AND(BV$2&lt;&gt;0,TblTech[[#This Row],[Hour]:[Hour]]&gt;=BV$2),1,0)</f>
        <v>0</v>
      </c>
      <c r="BW67" s="276" cm="1">
        <f t="array" ref="BW67">IF(AND(BW$2&lt;&gt;0,TblTech[[#This Row],[Hour]:[Hour]]&gt;=BW$2),1,0)</f>
        <v>0</v>
      </c>
      <c r="BX67" s="276" cm="1">
        <f t="array" ref="BX67">IF(AND(BX$2&lt;&gt;0,TblTech[[#This Row],[Hour]:[Hour]]&gt;=BX$2),1,0)</f>
        <v>0</v>
      </c>
      <c r="BY67" s="276" cm="1">
        <f t="array" ref="BY67">IF(AND(BY$2&lt;&gt;0,TblTech[[#This Row],[Hour]:[Hour]]&gt;=BY$2),1,0)</f>
        <v>0</v>
      </c>
      <c r="BZ67" s="276" cm="1">
        <f t="array" ref="BZ67">IF(AND(BZ$2&lt;&gt;0,TblTech[[#This Row],[Hour]:[Hour]]&gt;=BZ$2),1,0)</f>
        <v>0</v>
      </c>
      <c r="CA67" s="377">
        <f>IFERROR(INDEX($H$4:$H$79,MATCH(INDEX(TblTech[[#Headers],[1-1]:[11-1]],1,MATCH(TblTech[[#This Row],[Hour]],$M$2:$BZ$2,0)),$G$4:$G$79,0)),)</f>
        <v>0</v>
      </c>
    </row>
    <row r="68" spans="1:79" x14ac:dyDescent="0.2">
      <c r="A68" s="268">
        <f>TblRezone[[#This Row],[Hour]]</f>
        <v>65</v>
      </c>
      <c r="B68" s="269">
        <f ca="1">TblExplore[[#This Row],[Land-DB]]</f>
        <v>110</v>
      </c>
      <c r="C68" s="270">
        <f ca="1">TblProd[[#This Row],[Techpoints]]</f>
        <v>0</v>
      </c>
      <c r="D68" s="270">
        <f ca="1">TblProd[[#This Row],[Required]]</f>
        <v>3750</v>
      </c>
      <c r="E68" s="271"/>
      <c r="F68" s="272"/>
      <c r="G68" s="273" t="s">
        <v>611</v>
      </c>
      <c r="H68" s="274" t="s">
        <v>728</v>
      </c>
      <c r="I68" s="273" t="s">
        <v>612</v>
      </c>
      <c r="J68" s="269"/>
      <c r="K68" s="93">
        <f ca="1">IF(TblTech[[#This Row],[Sum of tech]]&lt;&gt;OFFSET(TblTech[[#This Row],[Sum of tech]],-1,0),1,0)</f>
        <v>0</v>
      </c>
      <c r="L68" s="275">
        <f>COUNTIF(TblTech[[#This Row],[1-1]:[11-1]],1)</f>
        <v>0</v>
      </c>
      <c r="M68" s="276" cm="1">
        <f t="array" ref="M68">IF(AND(M$2&lt;&gt;0,TblTech[[#This Row],[Hour]:[Hour]]&gt;=M$2),1,0)</f>
        <v>0</v>
      </c>
      <c r="N68" s="276" cm="1">
        <f t="array" ref="N68">IF(AND(N$2&lt;&gt;0,TblTech[[#This Row],[Hour]:[Hour]]&gt;=N$2),1,0)</f>
        <v>0</v>
      </c>
      <c r="O68" s="276" cm="1">
        <f t="array" ref="O68">IF(AND(O$2&lt;&gt;0,TblTech[[#This Row],[Hour]:[Hour]]&gt;=O$2),1,0)</f>
        <v>0</v>
      </c>
      <c r="P68" s="276" cm="1">
        <f t="array" ref="P68">IF(AND(P$2&lt;&gt;0,TblTech[[#This Row],[Hour]:[Hour]]&gt;=P$2),1,0)</f>
        <v>0</v>
      </c>
      <c r="Q68" s="276" cm="1">
        <f t="array" ref="Q68">IF(AND(Q$2&lt;&gt;0,TblTech[[#This Row],[Hour]:[Hour]]&gt;=Q$2),1,0)</f>
        <v>0</v>
      </c>
      <c r="R68" s="276" cm="1">
        <f t="array" ref="R68">IF(AND(R$2&lt;&gt;0,TblTech[[#This Row],[Hour]:[Hour]]&gt;=R$2),1,0)</f>
        <v>0</v>
      </c>
      <c r="S68" s="276" cm="1">
        <f t="array" ref="S68">IF(AND(S$2&lt;&gt;0,TblTech[[#This Row],[Hour]:[Hour]]&gt;=S$2),1,0)</f>
        <v>0</v>
      </c>
      <c r="T68" s="276" cm="1">
        <f t="array" ref="T68">IF(AND(T$2&lt;&gt;0,TblTech[[#This Row],[Hour]:[Hour]]&gt;=T$2),1,0)</f>
        <v>0</v>
      </c>
      <c r="U68" s="276" cm="1">
        <f t="array" ref="U68">IF(AND(U$2&lt;&gt;0,TblTech[[#This Row],[Hour]:[Hour]]&gt;=U$2),1,0)</f>
        <v>0</v>
      </c>
      <c r="V68" s="276" cm="1">
        <f t="array" ref="V68">IF(AND(V$2&lt;&gt;0,TblTech[[#This Row],[Hour]:[Hour]]&gt;=V$2),1,0)</f>
        <v>0</v>
      </c>
      <c r="W68" s="276" cm="1">
        <f t="array" ref="W68">IF(AND(W$2&lt;&gt;0,TblTech[[#This Row],[Hour]:[Hour]]&gt;=W$2),1,0)</f>
        <v>0</v>
      </c>
      <c r="X68" s="276" cm="1">
        <f t="array" ref="X68">IF(AND(X$2&lt;&gt;0,TblTech[[#This Row],[Hour]:[Hour]]&gt;=X$2),1,0)</f>
        <v>0</v>
      </c>
      <c r="Y68" s="276" cm="1">
        <f t="array" ref="Y68">IF(AND(Y$2&lt;&gt;0,TblTech[[#This Row],[Hour]:[Hour]]&gt;=Y$2),1,0)</f>
        <v>0</v>
      </c>
      <c r="Z68" s="276" cm="1">
        <f t="array" ref="Z68">IF(AND(Z$2&lt;&gt;0,TblTech[[#This Row],[Hour]:[Hour]]&gt;=Z$2),1,0)</f>
        <v>0</v>
      </c>
      <c r="AA68" s="276" cm="1">
        <f t="array" ref="AA68">IF(AND(AA$2&lt;&gt;0,TblTech[[#This Row],[Hour]:[Hour]]&gt;=AA$2),1,0)</f>
        <v>0</v>
      </c>
      <c r="AB68" s="276" cm="1">
        <f t="array" ref="AB68">IF(AND(AB$2&lt;&gt;0,TblTech[[#This Row],[Hour]:[Hour]]&gt;=AB$2),1,0)</f>
        <v>0</v>
      </c>
      <c r="AC68" s="276" cm="1">
        <f t="array" ref="AC68">IF(AND(AC$2&lt;&gt;0,TblTech[[#This Row],[Hour]:[Hour]]&gt;=AC$2),1,0)</f>
        <v>0</v>
      </c>
      <c r="AD68" s="276" cm="1">
        <f t="array" ref="AD68">IF(AND(AD$2&lt;&gt;0,TblTech[[#This Row],[Hour]:[Hour]]&gt;=AD$2),1,0)</f>
        <v>0</v>
      </c>
      <c r="AE68" s="276" cm="1">
        <f t="array" ref="AE68">IF(AND(AE$2&lt;&gt;0,TblTech[[#This Row],[Hour]:[Hour]]&gt;=AE$2),1,0)</f>
        <v>0</v>
      </c>
      <c r="AF68" s="276" cm="1">
        <f t="array" ref="AF68">IF(AND(AF$2&lt;&gt;0,TblTech[[#This Row],[Hour]:[Hour]]&gt;=AF$2),1,0)</f>
        <v>0</v>
      </c>
      <c r="AG68" s="276" cm="1">
        <f t="array" ref="AG68">IF(AND(AG$2&lt;&gt;0,TblTech[[#This Row],[Hour]:[Hour]]&gt;=AG$2),1,0)</f>
        <v>0</v>
      </c>
      <c r="AH68" s="276" cm="1">
        <f t="array" ref="AH68">IF(AND(AH$2&lt;&gt;0,TblTech[[#This Row],[Hour]:[Hour]]&gt;=AH$2),1,0)</f>
        <v>0</v>
      </c>
      <c r="AI68" s="276" cm="1">
        <f t="array" ref="AI68">IF(AND(AI$2&lt;&gt;0,TblTech[[#This Row],[Hour]:[Hour]]&gt;=AI$2),1,0)</f>
        <v>0</v>
      </c>
      <c r="AJ68" s="276" cm="1">
        <f t="array" ref="AJ68">IF(AND(AJ$2&lt;&gt;0,TblTech[[#This Row],[Hour]:[Hour]]&gt;=AJ$2),1,0)</f>
        <v>0</v>
      </c>
      <c r="AK68" s="276" cm="1">
        <f t="array" ref="AK68">IF(AND(AK$2&lt;&gt;0,TblTech[[#This Row],[Hour]:[Hour]]&gt;=AK$2),1,0)</f>
        <v>0</v>
      </c>
      <c r="AL68" s="276" cm="1">
        <f t="array" ref="AL68">IF(AND(AL$2&lt;&gt;0,TblTech[[#This Row],[Hour]:[Hour]]&gt;=AL$2),1,0)</f>
        <v>0</v>
      </c>
      <c r="AM68" s="276" cm="1">
        <f t="array" ref="AM68">IF(AND(AM$2&lt;&gt;0,TblTech[[#This Row],[Hour]:[Hour]]&gt;=AM$2),1,0)</f>
        <v>0</v>
      </c>
      <c r="AN68" s="276" cm="1">
        <f t="array" ref="AN68">IF(AND(AN$2&lt;&gt;0,TblTech[[#This Row],[Hour]:[Hour]]&gt;=AN$2),1,0)</f>
        <v>0</v>
      </c>
      <c r="AO68" s="276" cm="1">
        <f t="array" ref="AO68">IF(AND(AO$2&lt;&gt;0,TblTech[[#This Row],[Hour]:[Hour]]&gt;=AO$2),1,0)</f>
        <v>0</v>
      </c>
      <c r="AP68" s="276" cm="1">
        <f t="array" ref="AP68">IF(AND(AP$2&lt;&gt;0,TblTech[[#This Row],[Hour]:[Hour]]&gt;=AP$2),1,0)</f>
        <v>0</v>
      </c>
      <c r="AQ68" s="276" cm="1">
        <f t="array" ref="AQ68">IF(AND(AQ$2&lt;&gt;0,TblTech[[#This Row],[Hour]:[Hour]]&gt;=AQ$2),1,0)</f>
        <v>0</v>
      </c>
      <c r="AR68" s="276" cm="1">
        <f t="array" ref="AR68">IF(AND(AR$2&lt;&gt;0,TblTech[[#This Row],[Hour]:[Hour]]&gt;=AR$2),1,0)</f>
        <v>0</v>
      </c>
      <c r="AS68" s="276" cm="1">
        <f t="array" ref="AS68">IF(AND(AS$2&lt;&gt;0,TblTech[[#This Row],[Hour]:[Hour]]&gt;=AS$2),1,0)</f>
        <v>0</v>
      </c>
      <c r="AT68" s="276" cm="1">
        <f t="array" ref="AT68">IF(AND(AT$2&lt;&gt;0,TblTech[[#This Row],[Hour]:[Hour]]&gt;=AT$2),1,0)</f>
        <v>0</v>
      </c>
      <c r="AU68" s="276" cm="1">
        <f t="array" ref="AU68">IF(AND(AU$2&lt;&gt;0,TblTech[[#This Row],[Hour]:[Hour]]&gt;=AU$2),1,0)</f>
        <v>0</v>
      </c>
      <c r="AV68" s="276" cm="1">
        <f t="array" ref="AV68">IF(AND(AV$2&lt;&gt;0,TblTech[[#This Row],[Hour]:[Hour]]&gt;=AV$2),1,0)</f>
        <v>0</v>
      </c>
      <c r="AW68" s="276" cm="1">
        <f t="array" ref="AW68">IF(AND(AW$2&lt;&gt;0,TblTech[[#This Row],[Hour]:[Hour]]&gt;=AW$2),1,0)</f>
        <v>0</v>
      </c>
      <c r="AX68" s="276" cm="1">
        <f t="array" ref="AX68">IF(AND(AX$2&lt;&gt;0,TblTech[[#This Row],[Hour]:[Hour]]&gt;=AX$2),1,0)</f>
        <v>0</v>
      </c>
      <c r="AY68" s="276" cm="1">
        <f t="array" ref="AY68">IF(AND(AY$2&lt;&gt;0,TblTech[[#This Row],[Hour]:[Hour]]&gt;=AY$2),1,0)</f>
        <v>0</v>
      </c>
      <c r="AZ68" s="276" cm="1">
        <f t="array" ref="AZ68">IF(AND(AZ$2&lt;&gt;0,TblTech[[#This Row],[Hour]:[Hour]]&gt;=AZ$2),1,0)</f>
        <v>0</v>
      </c>
      <c r="BA68" s="276" cm="1">
        <f t="array" ref="BA68">IF(AND(BA$2&lt;&gt;0,TblTech[[#This Row],[Hour]:[Hour]]&gt;=BA$2),1,0)</f>
        <v>0</v>
      </c>
      <c r="BB68" s="276" cm="1">
        <f t="array" ref="BB68">IF(AND(BB$2&lt;&gt;0,TblTech[[#This Row],[Hour]:[Hour]]&gt;=BB$2),1,0)</f>
        <v>0</v>
      </c>
      <c r="BC68" s="276" cm="1">
        <f t="array" ref="BC68">IF(AND(BC$2&lt;&gt;0,TblTech[[#This Row],[Hour]:[Hour]]&gt;=BC$2),1,0)</f>
        <v>0</v>
      </c>
      <c r="BD68" s="276" cm="1">
        <f t="array" ref="BD68">IF(AND(BD$2&lt;&gt;0,TblTech[[#This Row],[Hour]:[Hour]]&gt;=BD$2),1,0)</f>
        <v>0</v>
      </c>
      <c r="BE68" s="276" cm="1">
        <f t="array" ref="BE68">IF(AND(BE$2&lt;&gt;0,TblTech[[#This Row],[Hour]:[Hour]]&gt;=BE$2),1,0)</f>
        <v>0</v>
      </c>
      <c r="BF68" s="276" cm="1">
        <f t="array" ref="BF68">IF(AND(BF$2&lt;&gt;0,TblTech[[#This Row],[Hour]:[Hour]]&gt;=BF$2),1,0)</f>
        <v>0</v>
      </c>
      <c r="BG68" s="276" cm="1">
        <f t="array" ref="BG68">IF(AND(BG$2&lt;&gt;0,TblTech[[#This Row],[Hour]:[Hour]]&gt;=BG$2),1,0)</f>
        <v>0</v>
      </c>
      <c r="BH68" s="276" cm="1">
        <f t="array" ref="BH68">IF(AND(BH$2&lt;&gt;0,TblTech[[#This Row],[Hour]:[Hour]]&gt;=BH$2),1,0)</f>
        <v>0</v>
      </c>
      <c r="BI68" s="276" cm="1">
        <f t="array" ref="BI68">IF(AND(BI$2&lt;&gt;0,TblTech[[#This Row],[Hour]:[Hour]]&gt;=BI$2),1,0)</f>
        <v>0</v>
      </c>
      <c r="BJ68" s="276" cm="1">
        <f t="array" ref="BJ68">IF(AND(BJ$2&lt;&gt;0,TblTech[[#This Row],[Hour]:[Hour]]&gt;=BJ$2),1,0)</f>
        <v>0</v>
      </c>
      <c r="BK68" s="276" cm="1">
        <f t="array" ref="BK68">IF(AND(BK$2&lt;&gt;0,TblTech[[#This Row],[Hour]:[Hour]]&gt;=BK$2),1,0)</f>
        <v>0</v>
      </c>
      <c r="BL68" s="276" cm="1">
        <f t="array" ref="BL68">IF(AND(BL$2&lt;&gt;0,TblTech[[#This Row],[Hour]:[Hour]]&gt;=BL$2),1,0)</f>
        <v>0</v>
      </c>
      <c r="BM68" s="276" cm="1">
        <f t="array" ref="BM68">IF(AND(BM$2&lt;&gt;0,TblTech[[#This Row],[Hour]:[Hour]]&gt;=BM$2),1,0)</f>
        <v>0</v>
      </c>
      <c r="BN68" s="276" cm="1">
        <f t="array" ref="BN68">IF(AND(BN$2&lt;&gt;0,TblTech[[#This Row],[Hour]:[Hour]]&gt;=BN$2),1,0)</f>
        <v>0</v>
      </c>
      <c r="BO68" s="276" cm="1">
        <f t="array" ref="BO68">IF(AND(BO$2&lt;&gt;0,TblTech[[#This Row],[Hour]:[Hour]]&gt;=BO$2),1,0)</f>
        <v>0</v>
      </c>
      <c r="BP68" s="276" cm="1">
        <f t="array" ref="BP68">IF(AND(BP$2&lt;&gt;0,TblTech[[#This Row],[Hour]:[Hour]]&gt;=BP$2),1,0)</f>
        <v>0</v>
      </c>
      <c r="BQ68" s="276" cm="1">
        <f t="array" ref="BQ68">IF(AND(BQ$2&lt;&gt;0,TblTech[[#This Row],[Hour]:[Hour]]&gt;=BQ$2),1,0)</f>
        <v>0</v>
      </c>
      <c r="BR68" s="276" cm="1">
        <f t="array" ref="BR68">IF(AND(BR$2&lt;&gt;0,TblTech[[#This Row],[Hour]:[Hour]]&gt;=BR$2),1,0)</f>
        <v>0</v>
      </c>
      <c r="BS68" s="276" cm="1">
        <f t="array" ref="BS68">IF(AND(BS$2&lt;&gt;0,TblTech[[#This Row],[Hour]:[Hour]]&gt;=BS$2),1,0)</f>
        <v>0</v>
      </c>
      <c r="BT68" s="276" cm="1">
        <f t="array" ref="BT68">IF(AND(BT$2&lt;&gt;0,TblTech[[#This Row],[Hour]:[Hour]]&gt;=BT$2),1,0)</f>
        <v>0</v>
      </c>
      <c r="BU68" s="276" cm="1">
        <f t="array" ref="BU68">IF(AND(BU$2&lt;&gt;0,TblTech[[#This Row],[Hour]:[Hour]]&gt;=BU$2),1,0)</f>
        <v>0</v>
      </c>
      <c r="BV68" s="276" cm="1">
        <f t="array" ref="BV68">IF(AND(BV$2&lt;&gt;0,TblTech[[#This Row],[Hour]:[Hour]]&gt;=BV$2),1,0)</f>
        <v>0</v>
      </c>
      <c r="BW68" s="276" cm="1">
        <f t="array" ref="BW68">IF(AND(BW$2&lt;&gt;0,TblTech[[#This Row],[Hour]:[Hour]]&gt;=BW$2),1,0)</f>
        <v>0</v>
      </c>
      <c r="BX68" s="276" cm="1">
        <f t="array" ref="BX68">IF(AND(BX$2&lt;&gt;0,TblTech[[#This Row],[Hour]:[Hour]]&gt;=BX$2),1,0)</f>
        <v>0</v>
      </c>
      <c r="BY68" s="276" cm="1">
        <f t="array" ref="BY68">IF(AND(BY$2&lt;&gt;0,TblTech[[#This Row],[Hour]:[Hour]]&gt;=BY$2),1,0)</f>
        <v>0</v>
      </c>
      <c r="BZ68" s="276" cm="1">
        <f t="array" ref="BZ68">IF(AND(BZ$2&lt;&gt;0,TblTech[[#This Row],[Hour]:[Hour]]&gt;=BZ$2),1,0)</f>
        <v>0</v>
      </c>
      <c r="CA68" s="377">
        <f>IFERROR(INDEX($H$4:$H$79,MATCH(INDEX(TblTech[[#Headers],[1-1]:[11-1]],1,MATCH(TblTech[[#This Row],[Hour]],$M$2:$BZ$2,0)),$G$4:$G$79,0)),)</f>
        <v>0</v>
      </c>
    </row>
    <row r="69" spans="1:79" x14ac:dyDescent="0.2">
      <c r="A69" s="268">
        <f>TblRezone[[#This Row],[Hour]]</f>
        <v>66</v>
      </c>
      <c r="B69" s="269">
        <f ca="1">TblExplore[[#This Row],[Land-DB]]</f>
        <v>110</v>
      </c>
      <c r="C69" s="270">
        <f ca="1">TblProd[[#This Row],[Techpoints]]</f>
        <v>0</v>
      </c>
      <c r="D69" s="270">
        <f ca="1">TblProd[[#This Row],[Required]]</f>
        <v>3750</v>
      </c>
      <c r="E69" s="271"/>
      <c r="F69" s="272"/>
      <c r="G69" s="273" t="s">
        <v>613</v>
      </c>
      <c r="H69" s="274" t="s">
        <v>729</v>
      </c>
      <c r="I69" s="273" t="s">
        <v>614</v>
      </c>
      <c r="J69" s="269"/>
      <c r="K69" s="93">
        <f ca="1">IF(TblTech[[#This Row],[Sum of tech]]&lt;&gt;OFFSET(TblTech[[#This Row],[Sum of tech]],-1,0),1,0)</f>
        <v>0</v>
      </c>
      <c r="L69" s="275">
        <f>COUNTIF(TblTech[[#This Row],[1-1]:[11-1]],1)</f>
        <v>0</v>
      </c>
      <c r="M69" s="276" cm="1">
        <f t="array" ref="M69">IF(AND(M$2&lt;&gt;0,TblTech[[#This Row],[Hour]:[Hour]]&gt;=M$2),1,0)</f>
        <v>0</v>
      </c>
      <c r="N69" s="276" cm="1">
        <f t="array" ref="N69">IF(AND(N$2&lt;&gt;0,TblTech[[#This Row],[Hour]:[Hour]]&gt;=N$2),1,0)</f>
        <v>0</v>
      </c>
      <c r="O69" s="276" cm="1">
        <f t="array" ref="O69">IF(AND(O$2&lt;&gt;0,TblTech[[#This Row],[Hour]:[Hour]]&gt;=O$2),1,0)</f>
        <v>0</v>
      </c>
      <c r="P69" s="276" cm="1">
        <f t="array" ref="P69">IF(AND(P$2&lt;&gt;0,TblTech[[#This Row],[Hour]:[Hour]]&gt;=P$2),1,0)</f>
        <v>0</v>
      </c>
      <c r="Q69" s="276" cm="1">
        <f t="array" ref="Q69">IF(AND(Q$2&lt;&gt;0,TblTech[[#This Row],[Hour]:[Hour]]&gt;=Q$2),1,0)</f>
        <v>0</v>
      </c>
      <c r="R69" s="276" cm="1">
        <f t="array" ref="R69">IF(AND(R$2&lt;&gt;0,TblTech[[#This Row],[Hour]:[Hour]]&gt;=R$2),1,0)</f>
        <v>0</v>
      </c>
      <c r="S69" s="276" cm="1">
        <f t="array" ref="S69">IF(AND(S$2&lt;&gt;0,TblTech[[#This Row],[Hour]:[Hour]]&gt;=S$2),1,0)</f>
        <v>0</v>
      </c>
      <c r="T69" s="276" cm="1">
        <f t="array" ref="T69">IF(AND(T$2&lt;&gt;0,TblTech[[#This Row],[Hour]:[Hour]]&gt;=T$2),1,0)</f>
        <v>0</v>
      </c>
      <c r="U69" s="276" cm="1">
        <f t="array" ref="U69">IF(AND(U$2&lt;&gt;0,TblTech[[#This Row],[Hour]:[Hour]]&gt;=U$2),1,0)</f>
        <v>0</v>
      </c>
      <c r="V69" s="276" cm="1">
        <f t="array" ref="V69">IF(AND(V$2&lt;&gt;0,TblTech[[#This Row],[Hour]:[Hour]]&gt;=V$2),1,0)</f>
        <v>0</v>
      </c>
      <c r="W69" s="276" cm="1">
        <f t="array" ref="W69">IF(AND(W$2&lt;&gt;0,TblTech[[#This Row],[Hour]:[Hour]]&gt;=W$2),1,0)</f>
        <v>0</v>
      </c>
      <c r="X69" s="276" cm="1">
        <f t="array" ref="X69">IF(AND(X$2&lt;&gt;0,TblTech[[#This Row],[Hour]:[Hour]]&gt;=X$2),1,0)</f>
        <v>0</v>
      </c>
      <c r="Y69" s="276" cm="1">
        <f t="array" ref="Y69">IF(AND(Y$2&lt;&gt;0,TblTech[[#This Row],[Hour]:[Hour]]&gt;=Y$2),1,0)</f>
        <v>0</v>
      </c>
      <c r="Z69" s="276" cm="1">
        <f t="array" ref="Z69">IF(AND(Z$2&lt;&gt;0,TblTech[[#This Row],[Hour]:[Hour]]&gt;=Z$2),1,0)</f>
        <v>0</v>
      </c>
      <c r="AA69" s="276" cm="1">
        <f t="array" ref="AA69">IF(AND(AA$2&lt;&gt;0,TblTech[[#This Row],[Hour]:[Hour]]&gt;=AA$2),1,0)</f>
        <v>0</v>
      </c>
      <c r="AB69" s="276" cm="1">
        <f t="array" ref="AB69">IF(AND(AB$2&lt;&gt;0,TblTech[[#This Row],[Hour]:[Hour]]&gt;=AB$2),1,0)</f>
        <v>0</v>
      </c>
      <c r="AC69" s="276" cm="1">
        <f t="array" ref="AC69">IF(AND(AC$2&lt;&gt;0,TblTech[[#This Row],[Hour]:[Hour]]&gt;=AC$2),1,0)</f>
        <v>0</v>
      </c>
      <c r="AD69" s="276" cm="1">
        <f t="array" ref="AD69">IF(AND(AD$2&lt;&gt;0,TblTech[[#This Row],[Hour]:[Hour]]&gt;=AD$2),1,0)</f>
        <v>0</v>
      </c>
      <c r="AE69" s="276" cm="1">
        <f t="array" ref="AE69">IF(AND(AE$2&lt;&gt;0,TblTech[[#This Row],[Hour]:[Hour]]&gt;=AE$2),1,0)</f>
        <v>0</v>
      </c>
      <c r="AF69" s="276" cm="1">
        <f t="array" ref="AF69">IF(AND(AF$2&lt;&gt;0,TblTech[[#This Row],[Hour]:[Hour]]&gt;=AF$2),1,0)</f>
        <v>0</v>
      </c>
      <c r="AG69" s="276" cm="1">
        <f t="array" ref="AG69">IF(AND(AG$2&lt;&gt;0,TblTech[[#This Row],[Hour]:[Hour]]&gt;=AG$2),1,0)</f>
        <v>0</v>
      </c>
      <c r="AH69" s="276" cm="1">
        <f t="array" ref="AH69">IF(AND(AH$2&lt;&gt;0,TblTech[[#This Row],[Hour]:[Hour]]&gt;=AH$2),1,0)</f>
        <v>0</v>
      </c>
      <c r="AI69" s="276" cm="1">
        <f t="array" ref="AI69">IF(AND(AI$2&lt;&gt;0,TblTech[[#This Row],[Hour]:[Hour]]&gt;=AI$2),1,0)</f>
        <v>0</v>
      </c>
      <c r="AJ69" s="276" cm="1">
        <f t="array" ref="AJ69">IF(AND(AJ$2&lt;&gt;0,TblTech[[#This Row],[Hour]:[Hour]]&gt;=AJ$2),1,0)</f>
        <v>0</v>
      </c>
      <c r="AK69" s="276" cm="1">
        <f t="array" ref="AK69">IF(AND(AK$2&lt;&gt;0,TblTech[[#This Row],[Hour]:[Hour]]&gt;=AK$2),1,0)</f>
        <v>0</v>
      </c>
      <c r="AL69" s="276" cm="1">
        <f t="array" ref="AL69">IF(AND(AL$2&lt;&gt;0,TblTech[[#This Row],[Hour]:[Hour]]&gt;=AL$2),1,0)</f>
        <v>0</v>
      </c>
      <c r="AM69" s="276" cm="1">
        <f t="array" ref="AM69">IF(AND(AM$2&lt;&gt;0,TblTech[[#This Row],[Hour]:[Hour]]&gt;=AM$2),1,0)</f>
        <v>0</v>
      </c>
      <c r="AN69" s="276" cm="1">
        <f t="array" ref="AN69">IF(AND(AN$2&lt;&gt;0,TblTech[[#This Row],[Hour]:[Hour]]&gt;=AN$2),1,0)</f>
        <v>0</v>
      </c>
      <c r="AO69" s="276" cm="1">
        <f t="array" ref="AO69">IF(AND(AO$2&lt;&gt;0,TblTech[[#This Row],[Hour]:[Hour]]&gt;=AO$2),1,0)</f>
        <v>0</v>
      </c>
      <c r="AP69" s="276" cm="1">
        <f t="array" ref="AP69">IF(AND(AP$2&lt;&gt;0,TblTech[[#This Row],[Hour]:[Hour]]&gt;=AP$2),1,0)</f>
        <v>0</v>
      </c>
      <c r="AQ69" s="276" cm="1">
        <f t="array" ref="AQ69">IF(AND(AQ$2&lt;&gt;0,TblTech[[#This Row],[Hour]:[Hour]]&gt;=AQ$2),1,0)</f>
        <v>0</v>
      </c>
      <c r="AR69" s="276" cm="1">
        <f t="array" ref="AR69">IF(AND(AR$2&lt;&gt;0,TblTech[[#This Row],[Hour]:[Hour]]&gt;=AR$2),1,0)</f>
        <v>0</v>
      </c>
      <c r="AS69" s="276" cm="1">
        <f t="array" ref="AS69">IF(AND(AS$2&lt;&gt;0,TblTech[[#This Row],[Hour]:[Hour]]&gt;=AS$2),1,0)</f>
        <v>0</v>
      </c>
      <c r="AT69" s="276" cm="1">
        <f t="array" ref="AT69">IF(AND(AT$2&lt;&gt;0,TblTech[[#This Row],[Hour]:[Hour]]&gt;=AT$2),1,0)</f>
        <v>0</v>
      </c>
      <c r="AU69" s="276" cm="1">
        <f t="array" ref="AU69">IF(AND(AU$2&lt;&gt;0,TblTech[[#This Row],[Hour]:[Hour]]&gt;=AU$2),1,0)</f>
        <v>0</v>
      </c>
      <c r="AV69" s="276" cm="1">
        <f t="array" ref="AV69">IF(AND(AV$2&lt;&gt;0,TblTech[[#This Row],[Hour]:[Hour]]&gt;=AV$2),1,0)</f>
        <v>0</v>
      </c>
      <c r="AW69" s="276" cm="1">
        <f t="array" ref="AW69">IF(AND(AW$2&lt;&gt;0,TblTech[[#This Row],[Hour]:[Hour]]&gt;=AW$2),1,0)</f>
        <v>0</v>
      </c>
      <c r="AX69" s="276" cm="1">
        <f t="array" ref="AX69">IF(AND(AX$2&lt;&gt;0,TblTech[[#This Row],[Hour]:[Hour]]&gt;=AX$2),1,0)</f>
        <v>0</v>
      </c>
      <c r="AY69" s="276" cm="1">
        <f t="array" ref="AY69">IF(AND(AY$2&lt;&gt;0,TblTech[[#This Row],[Hour]:[Hour]]&gt;=AY$2),1,0)</f>
        <v>0</v>
      </c>
      <c r="AZ69" s="276" cm="1">
        <f t="array" ref="AZ69">IF(AND(AZ$2&lt;&gt;0,TblTech[[#This Row],[Hour]:[Hour]]&gt;=AZ$2),1,0)</f>
        <v>0</v>
      </c>
      <c r="BA69" s="276" cm="1">
        <f t="array" ref="BA69">IF(AND(BA$2&lt;&gt;0,TblTech[[#This Row],[Hour]:[Hour]]&gt;=BA$2),1,0)</f>
        <v>0</v>
      </c>
      <c r="BB69" s="276" cm="1">
        <f t="array" ref="BB69">IF(AND(BB$2&lt;&gt;0,TblTech[[#This Row],[Hour]:[Hour]]&gt;=BB$2),1,0)</f>
        <v>0</v>
      </c>
      <c r="BC69" s="276" cm="1">
        <f t="array" ref="BC69">IF(AND(BC$2&lt;&gt;0,TblTech[[#This Row],[Hour]:[Hour]]&gt;=BC$2),1,0)</f>
        <v>0</v>
      </c>
      <c r="BD69" s="276" cm="1">
        <f t="array" ref="BD69">IF(AND(BD$2&lt;&gt;0,TblTech[[#This Row],[Hour]:[Hour]]&gt;=BD$2),1,0)</f>
        <v>0</v>
      </c>
      <c r="BE69" s="276" cm="1">
        <f t="array" ref="BE69">IF(AND(BE$2&lt;&gt;0,TblTech[[#This Row],[Hour]:[Hour]]&gt;=BE$2),1,0)</f>
        <v>0</v>
      </c>
      <c r="BF69" s="276" cm="1">
        <f t="array" ref="BF69">IF(AND(BF$2&lt;&gt;0,TblTech[[#This Row],[Hour]:[Hour]]&gt;=BF$2),1,0)</f>
        <v>0</v>
      </c>
      <c r="BG69" s="276" cm="1">
        <f t="array" ref="BG69">IF(AND(BG$2&lt;&gt;0,TblTech[[#This Row],[Hour]:[Hour]]&gt;=BG$2),1,0)</f>
        <v>0</v>
      </c>
      <c r="BH69" s="276" cm="1">
        <f t="array" ref="BH69">IF(AND(BH$2&lt;&gt;0,TblTech[[#This Row],[Hour]:[Hour]]&gt;=BH$2),1,0)</f>
        <v>0</v>
      </c>
      <c r="BI69" s="276" cm="1">
        <f t="array" ref="BI69">IF(AND(BI$2&lt;&gt;0,TblTech[[#This Row],[Hour]:[Hour]]&gt;=BI$2),1,0)</f>
        <v>0</v>
      </c>
      <c r="BJ69" s="276" cm="1">
        <f t="array" ref="BJ69">IF(AND(BJ$2&lt;&gt;0,TblTech[[#This Row],[Hour]:[Hour]]&gt;=BJ$2),1,0)</f>
        <v>0</v>
      </c>
      <c r="BK69" s="276" cm="1">
        <f t="array" ref="BK69">IF(AND(BK$2&lt;&gt;0,TblTech[[#This Row],[Hour]:[Hour]]&gt;=BK$2),1,0)</f>
        <v>0</v>
      </c>
      <c r="BL69" s="276" cm="1">
        <f t="array" ref="BL69">IF(AND(BL$2&lt;&gt;0,TblTech[[#This Row],[Hour]:[Hour]]&gt;=BL$2),1,0)</f>
        <v>0</v>
      </c>
      <c r="BM69" s="276" cm="1">
        <f t="array" ref="BM69">IF(AND(BM$2&lt;&gt;0,TblTech[[#This Row],[Hour]:[Hour]]&gt;=BM$2),1,0)</f>
        <v>0</v>
      </c>
      <c r="BN69" s="276" cm="1">
        <f t="array" ref="BN69">IF(AND(BN$2&lt;&gt;0,TblTech[[#This Row],[Hour]:[Hour]]&gt;=BN$2),1,0)</f>
        <v>0</v>
      </c>
      <c r="BO69" s="276" cm="1">
        <f t="array" ref="BO69">IF(AND(BO$2&lt;&gt;0,TblTech[[#This Row],[Hour]:[Hour]]&gt;=BO$2),1,0)</f>
        <v>0</v>
      </c>
      <c r="BP69" s="276" cm="1">
        <f t="array" ref="BP69">IF(AND(BP$2&lt;&gt;0,TblTech[[#This Row],[Hour]:[Hour]]&gt;=BP$2),1,0)</f>
        <v>0</v>
      </c>
      <c r="BQ69" s="276" cm="1">
        <f t="array" ref="BQ69">IF(AND(BQ$2&lt;&gt;0,TblTech[[#This Row],[Hour]:[Hour]]&gt;=BQ$2),1,0)</f>
        <v>0</v>
      </c>
      <c r="BR69" s="276" cm="1">
        <f t="array" ref="BR69">IF(AND(BR$2&lt;&gt;0,TblTech[[#This Row],[Hour]:[Hour]]&gt;=BR$2),1,0)</f>
        <v>0</v>
      </c>
      <c r="BS69" s="276" cm="1">
        <f t="array" ref="BS69">IF(AND(BS$2&lt;&gt;0,TblTech[[#This Row],[Hour]:[Hour]]&gt;=BS$2),1,0)</f>
        <v>0</v>
      </c>
      <c r="BT69" s="276" cm="1">
        <f t="array" ref="BT69">IF(AND(BT$2&lt;&gt;0,TblTech[[#This Row],[Hour]:[Hour]]&gt;=BT$2),1,0)</f>
        <v>0</v>
      </c>
      <c r="BU69" s="276" cm="1">
        <f t="array" ref="BU69">IF(AND(BU$2&lt;&gt;0,TblTech[[#This Row],[Hour]:[Hour]]&gt;=BU$2),1,0)</f>
        <v>0</v>
      </c>
      <c r="BV69" s="276" cm="1">
        <f t="array" ref="BV69">IF(AND(BV$2&lt;&gt;0,TblTech[[#This Row],[Hour]:[Hour]]&gt;=BV$2),1,0)</f>
        <v>0</v>
      </c>
      <c r="BW69" s="276" cm="1">
        <f t="array" ref="BW69">IF(AND(BW$2&lt;&gt;0,TblTech[[#This Row],[Hour]:[Hour]]&gt;=BW$2),1,0)</f>
        <v>0</v>
      </c>
      <c r="BX69" s="276" cm="1">
        <f t="array" ref="BX69">IF(AND(BX$2&lt;&gt;0,TblTech[[#This Row],[Hour]:[Hour]]&gt;=BX$2),1,0)</f>
        <v>0</v>
      </c>
      <c r="BY69" s="276" cm="1">
        <f t="array" ref="BY69">IF(AND(BY$2&lt;&gt;0,TblTech[[#This Row],[Hour]:[Hour]]&gt;=BY$2),1,0)</f>
        <v>0</v>
      </c>
      <c r="BZ69" s="276" cm="1">
        <f t="array" ref="BZ69">IF(AND(BZ$2&lt;&gt;0,TblTech[[#This Row],[Hour]:[Hour]]&gt;=BZ$2),1,0)</f>
        <v>0</v>
      </c>
      <c r="CA69" s="377">
        <f>IFERROR(INDEX($H$4:$H$79,MATCH(INDEX(TblTech[[#Headers],[1-1]:[11-1]],1,MATCH(TblTech[[#This Row],[Hour]],$M$2:$BZ$2,0)),$G$4:$G$79,0)),)</f>
        <v>0</v>
      </c>
    </row>
    <row r="70" spans="1:79" x14ac:dyDescent="0.2">
      <c r="A70" s="268">
        <f>TblRezone[[#This Row],[Hour]]</f>
        <v>67</v>
      </c>
      <c r="B70" s="269">
        <f ca="1">TblExplore[[#This Row],[Land-DB]]</f>
        <v>110</v>
      </c>
      <c r="C70" s="270">
        <f ca="1">TblProd[[#This Row],[Techpoints]]</f>
        <v>0</v>
      </c>
      <c r="D70" s="270">
        <f ca="1">TblProd[[#This Row],[Required]]</f>
        <v>3750</v>
      </c>
      <c r="E70" s="271"/>
      <c r="F70" s="272"/>
      <c r="G70" s="273" t="s">
        <v>615</v>
      </c>
      <c r="H70" s="274" t="s">
        <v>730</v>
      </c>
      <c r="I70" s="273" t="s">
        <v>755</v>
      </c>
      <c r="J70" s="269"/>
      <c r="K70" s="93">
        <f ca="1">IF(TblTech[[#This Row],[Sum of tech]]&lt;&gt;OFFSET(TblTech[[#This Row],[Sum of tech]],-1,0),1,0)</f>
        <v>0</v>
      </c>
      <c r="L70" s="275">
        <f>COUNTIF(TblTech[[#This Row],[1-1]:[11-1]],1)</f>
        <v>0</v>
      </c>
      <c r="M70" s="276" cm="1">
        <f t="array" ref="M70">IF(AND(M$2&lt;&gt;0,TblTech[[#This Row],[Hour]:[Hour]]&gt;=M$2),1,0)</f>
        <v>0</v>
      </c>
      <c r="N70" s="276" cm="1">
        <f t="array" ref="N70">IF(AND(N$2&lt;&gt;0,TblTech[[#This Row],[Hour]:[Hour]]&gt;=N$2),1,0)</f>
        <v>0</v>
      </c>
      <c r="O70" s="276" cm="1">
        <f t="array" ref="O70">IF(AND(O$2&lt;&gt;0,TblTech[[#This Row],[Hour]:[Hour]]&gt;=O$2),1,0)</f>
        <v>0</v>
      </c>
      <c r="P70" s="276" cm="1">
        <f t="array" ref="P70">IF(AND(P$2&lt;&gt;0,TblTech[[#This Row],[Hour]:[Hour]]&gt;=P$2),1,0)</f>
        <v>0</v>
      </c>
      <c r="Q70" s="276" cm="1">
        <f t="array" ref="Q70">IF(AND(Q$2&lt;&gt;0,TblTech[[#This Row],[Hour]:[Hour]]&gt;=Q$2),1,0)</f>
        <v>0</v>
      </c>
      <c r="R70" s="276" cm="1">
        <f t="array" ref="R70">IF(AND(R$2&lt;&gt;0,TblTech[[#This Row],[Hour]:[Hour]]&gt;=R$2),1,0)</f>
        <v>0</v>
      </c>
      <c r="S70" s="276" cm="1">
        <f t="array" ref="S70">IF(AND(S$2&lt;&gt;0,TblTech[[#This Row],[Hour]:[Hour]]&gt;=S$2),1,0)</f>
        <v>0</v>
      </c>
      <c r="T70" s="276" cm="1">
        <f t="array" ref="T70">IF(AND(T$2&lt;&gt;0,TblTech[[#This Row],[Hour]:[Hour]]&gt;=T$2),1,0)</f>
        <v>0</v>
      </c>
      <c r="U70" s="276" cm="1">
        <f t="array" ref="U70">IF(AND(U$2&lt;&gt;0,TblTech[[#This Row],[Hour]:[Hour]]&gt;=U$2),1,0)</f>
        <v>0</v>
      </c>
      <c r="V70" s="276" cm="1">
        <f t="array" ref="V70">IF(AND(V$2&lt;&gt;0,TblTech[[#This Row],[Hour]:[Hour]]&gt;=V$2),1,0)</f>
        <v>0</v>
      </c>
      <c r="W70" s="276" cm="1">
        <f t="array" ref="W70">IF(AND(W$2&lt;&gt;0,TblTech[[#This Row],[Hour]:[Hour]]&gt;=W$2),1,0)</f>
        <v>0</v>
      </c>
      <c r="X70" s="276" cm="1">
        <f t="array" ref="X70">IF(AND(X$2&lt;&gt;0,TblTech[[#This Row],[Hour]:[Hour]]&gt;=X$2),1,0)</f>
        <v>0</v>
      </c>
      <c r="Y70" s="276" cm="1">
        <f t="array" ref="Y70">IF(AND(Y$2&lt;&gt;0,TblTech[[#This Row],[Hour]:[Hour]]&gt;=Y$2),1,0)</f>
        <v>0</v>
      </c>
      <c r="Z70" s="276" cm="1">
        <f t="array" ref="Z70">IF(AND(Z$2&lt;&gt;0,TblTech[[#This Row],[Hour]:[Hour]]&gt;=Z$2),1,0)</f>
        <v>0</v>
      </c>
      <c r="AA70" s="276" cm="1">
        <f t="array" ref="AA70">IF(AND(AA$2&lt;&gt;0,TblTech[[#This Row],[Hour]:[Hour]]&gt;=AA$2),1,0)</f>
        <v>0</v>
      </c>
      <c r="AB70" s="276" cm="1">
        <f t="array" ref="AB70">IF(AND(AB$2&lt;&gt;0,TblTech[[#This Row],[Hour]:[Hour]]&gt;=AB$2),1,0)</f>
        <v>0</v>
      </c>
      <c r="AC70" s="276" cm="1">
        <f t="array" ref="AC70">IF(AND(AC$2&lt;&gt;0,TblTech[[#This Row],[Hour]:[Hour]]&gt;=AC$2),1,0)</f>
        <v>0</v>
      </c>
      <c r="AD70" s="276" cm="1">
        <f t="array" ref="AD70">IF(AND(AD$2&lt;&gt;0,TblTech[[#This Row],[Hour]:[Hour]]&gt;=AD$2),1,0)</f>
        <v>0</v>
      </c>
      <c r="AE70" s="276" cm="1">
        <f t="array" ref="AE70">IF(AND(AE$2&lt;&gt;0,TblTech[[#This Row],[Hour]:[Hour]]&gt;=AE$2),1,0)</f>
        <v>0</v>
      </c>
      <c r="AF70" s="276" cm="1">
        <f t="array" ref="AF70">IF(AND(AF$2&lt;&gt;0,TblTech[[#This Row],[Hour]:[Hour]]&gt;=AF$2),1,0)</f>
        <v>0</v>
      </c>
      <c r="AG70" s="276" cm="1">
        <f t="array" ref="AG70">IF(AND(AG$2&lt;&gt;0,TblTech[[#This Row],[Hour]:[Hour]]&gt;=AG$2),1,0)</f>
        <v>0</v>
      </c>
      <c r="AH70" s="276" cm="1">
        <f t="array" ref="AH70">IF(AND(AH$2&lt;&gt;0,TblTech[[#This Row],[Hour]:[Hour]]&gt;=AH$2),1,0)</f>
        <v>0</v>
      </c>
      <c r="AI70" s="276" cm="1">
        <f t="array" ref="AI70">IF(AND(AI$2&lt;&gt;0,TblTech[[#This Row],[Hour]:[Hour]]&gt;=AI$2),1,0)</f>
        <v>0</v>
      </c>
      <c r="AJ70" s="276" cm="1">
        <f t="array" ref="AJ70">IF(AND(AJ$2&lt;&gt;0,TblTech[[#This Row],[Hour]:[Hour]]&gt;=AJ$2),1,0)</f>
        <v>0</v>
      </c>
      <c r="AK70" s="276" cm="1">
        <f t="array" ref="AK70">IF(AND(AK$2&lt;&gt;0,TblTech[[#This Row],[Hour]:[Hour]]&gt;=AK$2),1,0)</f>
        <v>0</v>
      </c>
      <c r="AL70" s="276" cm="1">
        <f t="array" ref="AL70">IF(AND(AL$2&lt;&gt;0,TblTech[[#This Row],[Hour]:[Hour]]&gt;=AL$2),1,0)</f>
        <v>0</v>
      </c>
      <c r="AM70" s="276" cm="1">
        <f t="array" ref="AM70">IF(AND(AM$2&lt;&gt;0,TblTech[[#This Row],[Hour]:[Hour]]&gt;=AM$2),1,0)</f>
        <v>0</v>
      </c>
      <c r="AN70" s="276" cm="1">
        <f t="array" ref="AN70">IF(AND(AN$2&lt;&gt;0,TblTech[[#This Row],[Hour]:[Hour]]&gt;=AN$2),1,0)</f>
        <v>0</v>
      </c>
      <c r="AO70" s="276" cm="1">
        <f t="array" ref="AO70">IF(AND(AO$2&lt;&gt;0,TblTech[[#This Row],[Hour]:[Hour]]&gt;=AO$2),1,0)</f>
        <v>0</v>
      </c>
      <c r="AP70" s="276" cm="1">
        <f t="array" ref="AP70">IF(AND(AP$2&lt;&gt;0,TblTech[[#This Row],[Hour]:[Hour]]&gt;=AP$2),1,0)</f>
        <v>0</v>
      </c>
      <c r="AQ70" s="276" cm="1">
        <f t="array" ref="AQ70">IF(AND(AQ$2&lt;&gt;0,TblTech[[#This Row],[Hour]:[Hour]]&gt;=AQ$2),1,0)</f>
        <v>0</v>
      </c>
      <c r="AR70" s="276" cm="1">
        <f t="array" ref="AR70">IF(AND(AR$2&lt;&gt;0,TblTech[[#This Row],[Hour]:[Hour]]&gt;=AR$2),1,0)</f>
        <v>0</v>
      </c>
      <c r="AS70" s="276" cm="1">
        <f t="array" ref="AS70">IF(AND(AS$2&lt;&gt;0,TblTech[[#This Row],[Hour]:[Hour]]&gt;=AS$2),1,0)</f>
        <v>0</v>
      </c>
      <c r="AT70" s="276" cm="1">
        <f t="array" ref="AT70">IF(AND(AT$2&lt;&gt;0,TblTech[[#This Row],[Hour]:[Hour]]&gt;=AT$2),1,0)</f>
        <v>0</v>
      </c>
      <c r="AU70" s="276" cm="1">
        <f t="array" ref="AU70">IF(AND(AU$2&lt;&gt;0,TblTech[[#This Row],[Hour]:[Hour]]&gt;=AU$2),1,0)</f>
        <v>0</v>
      </c>
      <c r="AV70" s="276" cm="1">
        <f t="array" ref="AV70">IF(AND(AV$2&lt;&gt;0,TblTech[[#This Row],[Hour]:[Hour]]&gt;=AV$2),1,0)</f>
        <v>0</v>
      </c>
      <c r="AW70" s="276" cm="1">
        <f t="array" ref="AW70">IF(AND(AW$2&lt;&gt;0,TblTech[[#This Row],[Hour]:[Hour]]&gt;=AW$2),1,0)</f>
        <v>0</v>
      </c>
      <c r="AX70" s="276" cm="1">
        <f t="array" ref="AX70">IF(AND(AX$2&lt;&gt;0,TblTech[[#This Row],[Hour]:[Hour]]&gt;=AX$2),1,0)</f>
        <v>0</v>
      </c>
      <c r="AY70" s="276" cm="1">
        <f t="array" ref="AY70">IF(AND(AY$2&lt;&gt;0,TblTech[[#This Row],[Hour]:[Hour]]&gt;=AY$2),1,0)</f>
        <v>0</v>
      </c>
      <c r="AZ70" s="276" cm="1">
        <f t="array" ref="AZ70">IF(AND(AZ$2&lt;&gt;0,TblTech[[#This Row],[Hour]:[Hour]]&gt;=AZ$2),1,0)</f>
        <v>0</v>
      </c>
      <c r="BA70" s="276" cm="1">
        <f t="array" ref="BA70">IF(AND(BA$2&lt;&gt;0,TblTech[[#This Row],[Hour]:[Hour]]&gt;=BA$2),1,0)</f>
        <v>0</v>
      </c>
      <c r="BB70" s="276" cm="1">
        <f t="array" ref="BB70">IF(AND(BB$2&lt;&gt;0,TblTech[[#This Row],[Hour]:[Hour]]&gt;=BB$2),1,0)</f>
        <v>0</v>
      </c>
      <c r="BC70" s="276" cm="1">
        <f t="array" ref="BC70">IF(AND(BC$2&lt;&gt;0,TblTech[[#This Row],[Hour]:[Hour]]&gt;=BC$2),1,0)</f>
        <v>0</v>
      </c>
      <c r="BD70" s="276" cm="1">
        <f t="array" ref="BD70">IF(AND(BD$2&lt;&gt;0,TblTech[[#This Row],[Hour]:[Hour]]&gt;=BD$2),1,0)</f>
        <v>0</v>
      </c>
      <c r="BE70" s="276" cm="1">
        <f t="array" ref="BE70">IF(AND(BE$2&lt;&gt;0,TblTech[[#This Row],[Hour]:[Hour]]&gt;=BE$2),1,0)</f>
        <v>0</v>
      </c>
      <c r="BF70" s="276" cm="1">
        <f t="array" ref="BF70">IF(AND(BF$2&lt;&gt;0,TblTech[[#This Row],[Hour]:[Hour]]&gt;=BF$2),1,0)</f>
        <v>0</v>
      </c>
      <c r="BG70" s="276" cm="1">
        <f t="array" ref="BG70">IF(AND(BG$2&lt;&gt;0,TblTech[[#This Row],[Hour]:[Hour]]&gt;=BG$2),1,0)</f>
        <v>0</v>
      </c>
      <c r="BH70" s="276" cm="1">
        <f t="array" ref="BH70">IF(AND(BH$2&lt;&gt;0,TblTech[[#This Row],[Hour]:[Hour]]&gt;=BH$2),1,0)</f>
        <v>0</v>
      </c>
      <c r="BI70" s="276" cm="1">
        <f t="array" ref="BI70">IF(AND(BI$2&lt;&gt;0,TblTech[[#This Row],[Hour]:[Hour]]&gt;=BI$2),1,0)</f>
        <v>0</v>
      </c>
      <c r="BJ70" s="276" cm="1">
        <f t="array" ref="BJ70">IF(AND(BJ$2&lt;&gt;0,TblTech[[#This Row],[Hour]:[Hour]]&gt;=BJ$2),1,0)</f>
        <v>0</v>
      </c>
      <c r="BK70" s="276" cm="1">
        <f t="array" ref="BK70">IF(AND(BK$2&lt;&gt;0,TblTech[[#This Row],[Hour]:[Hour]]&gt;=BK$2),1,0)</f>
        <v>0</v>
      </c>
      <c r="BL70" s="276" cm="1">
        <f t="array" ref="BL70">IF(AND(BL$2&lt;&gt;0,TblTech[[#This Row],[Hour]:[Hour]]&gt;=BL$2),1,0)</f>
        <v>0</v>
      </c>
      <c r="BM70" s="276" cm="1">
        <f t="array" ref="BM70">IF(AND(BM$2&lt;&gt;0,TblTech[[#This Row],[Hour]:[Hour]]&gt;=BM$2),1,0)</f>
        <v>0</v>
      </c>
      <c r="BN70" s="276" cm="1">
        <f t="array" ref="BN70">IF(AND(BN$2&lt;&gt;0,TblTech[[#This Row],[Hour]:[Hour]]&gt;=BN$2),1,0)</f>
        <v>0</v>
      </c>
      <c r="BO70" s="276" cm="1">
        <f t="array" ref="BO70">IF(AND(BO$2&lt;&gt;0,TblTech[[#This Row],[Hour]:[Hour]]&gt;=BO$2),1,0)</f>
        <v>0</v>
      </c>
      <c r="BP70" s="276" cm="1">
        <f t="array" ref="BP70">IF(AND(BP$2&lt;&gt;0,TblTech[[#This Row],[Hour]:[Hour]]&gt;=BP$2),1,0)</f>
        <v>0</v>
      </c>
      <c r="BQ70" s="276" cm="1">
        <f t="array" ref="BQ70">IF(AND(BQ$2&lt;&gt;0,TblTech[[#This Row],[Hour]:[Hour]]&gt;=BQ$2),1,0)</f>
        <v>0</v>
      </c>
      <c r="BR70" s="276" cm="1">
        <f t="array" ref="BR70">IF(AND(BR$2&lt;&gt;0,TblTech[[#This Row],[Hour]:[Hour]]&gt;=BR$2),1,0)</f>
        <v>0</v>
      </c>
      <c r="BS70" s="276" cm="1">
        <f t="array" ref="BS70">IF(AND(BS$2&lt;&gt;0,TblTech[[#This Row],[Hour]:[Hour]]&gt;=BS$2),1,0)</f>
        <v>0</v>
      </c>
      <c r="BT70" s="276" cm="1">
        <f t="array" ref="BT70">IF(AND(BT$2&lt;&gt;0,TblTech[[#This Row],[Hour]:[Hour]]&gt;=BT$2),1,0)</f>
        <v>0</v>
      </c>
      <c r="BU70" s="276" cm="1">
        <f t="array" ref="BU70">IF(AND(BU$2&lt;&gt;0,TblTech[[#This Row],[Hour]:[Hour]]&gt;=BU$2),1,0)</f>
        <v>0</v>
      </c>
      <c r="BV70" s="276" cm="1">
        <f t="array" ref="BV70">IF(AND(BV$2&lt;&gt;0,TblTech[[#This Row],[Hour]:[Hour]]&gt;=BV$2),1,0)</f>
        <v>0</v>
      </c>
      <c r="BW70" s="276" cm="1">
        <f t="array" ref="BW70">IF(AND(BW$2&lt;&gt;0,TblTech[[#This Row],[Hour]:[Hour]]&gt;=BW$2),1,0)</f>
        <v>0</v>
      </c>
      <c r="BX70" s="276" cm="1">
        <f t="array" ref="BX70">IF(AND(BX$2&lt;&gt;0,TblTech[[#This Row],[Hour]:[Hour]]&gt;=BX$2),1,0)</f>
        <v>0</v>
      </c>
      <c r="BY70" s="276" cm="1">
        <f t="array" ref="BY70">IF(AND(BY$2&lt;&gt;0,TblTech[[#This Row],[Hour]:[Hour]]&gt;=BY$2),1,0)</f>
        <v>0</v>
      </c>
      <c r="BZ70" s="276" cm="1">
        <f t="array" ref="BZ70">IF(AND(BZ$2&lt;&gt;0,TblTech[[#This Row],[Hour]:[Hour]]&gt;=BZ$2),1,0)</f>
        <v>0</v>
      </c>
      <c r="CA70" s="377">
        <f>IFERROR(INDEX($H$4:$H$79,MATCH(INDEX(TblTech[[#Headers],[1-1]:[11-1]],1,MATCH(TblTech[[#This Row],[Hour]],$M$2:$BZ$2,0)),$G$4:$G$79,0)),)</f>
        <v>0</v>
      </c>
    </row>
    <row r="71" spans="1:79" x14ac:dyDescent="0.2">
      <c r="A71" s="268">
        <f>TblRezone[[#This Row],[Hour]]</f>
        <v>68</v>
      </c>
      <c r="B71" s="269">
        <f ca="1">TblExplore[[#This Row],[Land-DB]]</f>
        <v>110</v>
      </c>
      <c r="C71" s="270">
        <f ca="1">TblProd[[#This Row],[Techpoints]]</f>
        <v>0</v>
      </c>
      <c r="D71" s="270">
        <f ca="1">TblProd[[#This Row],[Required]]</f>
        <v>3750</v>
      </c>
      <c r="E71" s="271"/>
      <c r="F71" s="272"/>
      <c r="G71" s="273"/>
      <c r="H71" s="274"/>
      <c r="I71" s="273"/>
      <c r="J71" s="269"/>
      <c r="K71" s="93">
        <f ca="1">IF(TblTech[[#This Row],[Sum of tech]]&lt;&gt;OFFSET(TblTech[[#This Row],[Sum of tech]],-1,0),1,0)</f>
        <v>0</v>
      </c>
      <c r="L71" s="275">
        <f>COUNTIF(TblTech[[#This Row],[1-1]:[11-1]],1)</f>
        <v>0</v>
      </c>
      <c r="M71" s="276" cm="1">
        <f t="array" ref="M71">IF(AND(M$2&lt;&gt;0,TblTech[[#This Row],[Hour]:[Hour]]&gt;=M$2),1,0)</f>
        <v>0</v>
      </c>
      <c r="N71" s="276" cm="1">
        <f t="array" ref="N71">IF(AND(N$2&lt;&gt;0,TblTech[[#This Row],[Hour]:[Hour]]&gt;=N$2),1,0)</f>
        <v>0</v>
      </c>
      <c r="O71" s="276" cm="1">
        <f t="array" ref="O71">IF(AND(O$2&lt;&gt;0,TblTech[[#This Row],[Hour]:[Hour]]&gt;=O$2),1,0)</f>
        <v>0</v>
      </c>
      <c r="P71" s="276" cm="1">
        <f t="array" ref="P71">IF(AND(P$2&lt;&gt;0,TblTech[[#This Row],[Hour]:[Hour]]&gt;=P$2),1,0)</f>
        <v>0</v>
      </c>
      <c r="Q71" s="276" cm="1">
        <f t="array" ref="Q71">IF(AND(Q$2&lt;&gt;0,TblTech[[#This Row],[Hour]:[Hour]]&gt;=Q$2),1,0)</f>
        <v>0</v>
      </c>
      <c r="R71" s="276" cm="1">
        <f t="array" ref="R71">IF(AND(R$2&lt;&gt;0,TblTech[[#This Row],[Hour]:[Hour]]&gt;=R$2),1,0)</f>
        <v>0</v>
      </c>
      <c r="S71" s="276" cm="1">
        <f t="array" ref="S71">IF(AND(S$2&lt;&gt;0,TblTech[[#This Row],[Hour]:[Hour]]&gt;=S$2),1,0)</f>
        <v>0</v>
      </c>
      <c r="T71" s="276" cm="1">
        <f t="array" ref="T71">IF(AND(T$2&lt;&gt;0,TblTech[[#This Row],[Hour]:[Hour]]&gt;=T$2),1,0)</f>
        <v>0</v>
      </c>
      <c r="U71" s="276" cm="1">
        <f t="array" ref="U71">IF(AND(U$2&lt;&gt;0,TblTech[[#This Row],[Hour]:[Hour]]&gt;=U$2),1,0)</f>
        <v>0</v>
      </c>
      <c r="V71" s="276" cm="1">
        <f t="array" ref="V71">IF(AND(V$2&lt;&gt;0,TblTech[[#This Row],[Hour]:[Hour]]&gt;=V$2),1,0)</f>
        <v>0</v>
      </c>
      <c r="W71" s="276" cm="1">
        <f t="array" ref="W71">IF(AND(W$2&lt;&gt;0,TblTech[[#This Row],[Hour]:[Hour]]&gt;=W$2),1,0)</f>
        <v>0</v>
      </c>
      <c r="X71" s="276" cm="1">
        <f t="array" ref="X71">IF(AND(X$2&lt;&gt;0,TblTech[[#This Row],[Hour]:[Hour]]&gt;=X$2),1,0)</f>
        <v>0</v>
      </c>
      <c r="Y71" s="276" cm="1">
        <f t="array" ref="Y71">IF(AND(Y$2&lt;&gt;0,TblTech[[#This Row],[Hour]:[Hour]]&gt;=Y$2),1,0)</f>
        <v>0</v>
      </c>
      <c r="Z71" s="276" cm="1">
        <f t="array" ref="Z71">IF(AND(Z$2&lt;&gt;0,TblTech[[#This Row],[Hour]:[Hour]]&gt;=Z$2),1,0)</f>
        <v>0</v>
      </c>
      <c r="AA71" s="276" cm="1">
        <f t="array" ref="AA71">IF(AND(AA$2&lt;&gt;0,TblTech[[#This Row],[Hour]:[Hour]]&gt;=AA$2),1,0)</f>
        <v>0</v>
      </c>
      <c r="AB71" s="276" cm="1">
        <f t="array" ref="AB71">IF(AND(AB$2&lt;&gt;0,TblTech[[#This Row],[Hour]:[Hour]]&gt;=AB$2),1,0)</f>
        <v>0</v>
      </c>
      <c r="AC71" s="276" cm="1">
        <f t="array" ref="AC71">IF(AND(AC$2&lt;&gt;0,TblTech[[#This Row],[Hour]:[Hour]]&gt;=AC$2),1,0)</f>
        <v>0</v>
      </c>
      <c r="AD71" s="276" cm="1">
        <f t="array" ref="AD71">IF(AND(AD$2&lt;&gt;0,TblTech[[#This Row],[Hour]:[Hour]]&gt;=AD$2),1,0)</f>
        <v>0</v>
      </c>
      <c r="AE71" s="276" cm="1">
        <f t="array" ref="AE71">IF(AND(AE$2&lt;&gt;0,TblTech[[#This Row],[Hour]:[Hour]]&gt;=AE$2),1,0)</f>
        <v>0</v>
      </c>
      <c r="AF71" s="276" cm="1">
        <f t="array" ref="AF71">IF(AND(AF$2&lt;&gt;0,TblTech[[#This Row],[Hour]:[Hour]]&gt;=AF$2),1,0)</f>
        <v>0</v>
      </c>
      <c r="AG71" s="276" cm="1">
        <f t="array" ref="AG71">IF(AND(AG$2&lt;&gt;0,TblTech[[#This Row],[Hour]:[Hour]]&gt;=AG$2),1,0)</f>
        <v>0</v>
      </c>
      <c r="AH71" s="276" cm="1">
        <f t="array" ref="AH71">IF(AND(AH$2&lt;&gt;0,TblTech[[#This Row],[Hour]:[Hour]]&gt;=AH$2),1,0)</f>
        <v>0</v>
      </c>
      <c r="AI71" s="276" cm="1">
        <f t="array" ref="AI71">IF(AND(AI$2&lt;&gt;0,TblTech[[#This Row],[Hour]:[Hour]]&gt;=AI$2),1,0)</f>
        <v>0</v>
      </c>
      <c r="AJ71" s="276" cm="1">
        <f t="array" ref="AJ71">IF(AND(AJ$2&lt;&gt;0,TblTech[[#This Row],[Hour]:[Hour]]&gt;=AJ$2),1,0)</f>
        <v>0</v>
      </c>
      <c r="AK71" s="276" cm="1">
        <f t="array" ref="AK71">IF(AND(AK$2&lt;&gt;0,TblTech[[#This Row],[Hour]:[Hour]]&gt;=AK$2),1,0)</f>
        <v>0</v>
      </c>
      <c r="AL71" s="276" cm="1">
        <f t="array" ref="AL71">IF(AND(AL$2&lt;&gt;0,TblTech[[#This Row],[Hour]:[Hour]]&gt;=AL$2),1,0)</f>
        <v>0</v>
      </c>
      <c r="AM71" s="276" cm="1">
        <f t="array" ref="AM71">IF(AND(AM$2&lt;&gt;0,TblTech[[#This Row],[Hour]:[Hour]]&gt;=AM$2),1,0)</f>
        <v>0</v>
      </c>
      <c r="AN71" s="276" cm="1">
        <f t="array" ref="AN71">IF(AND(AN$2&lt;&gt;0,TblTech[[#This Row],[Hour]:[Hour]]&gt;=AN$2),1,0)</f>
        <v>0</v>
      </c>
      <c r="AO71" s="276" cm="1">
        <f t="array" ref="AO71">IF(AND(AO$2&lt;&gt;0,TblTech[[#This Row],[Hour]:[Hour]]&gt;=AO$2),1,0)</f>
        <v>0</v>
      </c>
      <c r="AP71" s="276" cm="1">
        <f t="array" ref="AP71">IF(AND(AP$2&lt;&gt;0,TblTech[[#This Row],[Hour]:[Hour]]&gt;=AP$2),1,0)</f>
        <v>0</v>
      </c>
      <c r="AQ71" s="276" cm="1">
        <f t="array" ref="AQ71">IF(AND(AQ$2&lt;&gt;0,TblTech[[#This Row],[Hour]:[Hour]]&gt;=AQ$2),1,0)</f>
        <v>0</v>
      </c>
      <c r="AR71" s="276" cm="1">
        <f t="array" ref="AR71">IF(AND(AR$2&lt;&gt;0,TblTech[[#This Row],[Hour]:[Hour]]&gt;=AR$2),1,0)</f>
        <v>0</v>
      </c>
      <c r="AS71" s="276" cm="1">
        <f t="array" ref="AS71">IF(AND(AS$2&lt;&gt;0,TblTech[[#This Row],[Hour]:[Hour]]&gt;=AS$2),1,0)</f>
        <v>0</v>
      </c>
      <c r="AT71" s="276" cm="1">
        <f t="array" ref="AT71">IF(AND(AT$2&lt;&gt;0,TblTech[[#This Row],[Hour]:[Hour]]&gt;=AT$2),1,0)</f>
        <v>0</v>
      </c>
      <c r="AU71" s="276" cm="1">
        <f t="array" ref="AU71">IF(AND(AU$2&lt;&gt;0,TblTech[[#This Row],[Hour]:[Hour]]&gt;=AU$2),1,0)</f>
        <v>0</v>
      </c>
      <c r="AV71" s="276" cm="1">
        <f t="array" ref="AV71">IF(AND(AV$2&lt;&gt;0,TblTech[[#This Row],[Hour]:[Hour]]&gt;=AV$2),1,0)</f>
        <v>0</v>
      </c>
      <c r="AW71" s="276" cm="1">
        <f t="array" ref="AW71">IF(AND(AW$2&lt;&gt;0,TblTech[[#This Row],[Hour]:[Hour]]&gt;=AW$2),1,0)</f>
        <v>0</v>
      </c>
      <c r="AX71" s="276" cm="1">
        <f t="array" ref="AX71">IF(AND(AX$2&lt;&gt;0,TblTech[[#This Row],[Hour]:[Hour]]&gt;=AX$2),1,0)</f>
        <v>0</v>
      </c>
      <c r="AY71" s="276" cm="1">
        <f t="array" ref="AY71">IF(AND(AY$2&lt;&gt;0,TblTech[[#This Row],[Hour]:[Hour]]&gt;=AY$2),1,0)</f>
        <v>0</v>
      </c>
      <c r="AZ71" s="276" cm="1">
        <f t="array" ref="AZ71">IF(AND(AZ$2&lt;&gt;0,TblTech[[#This Row],[Hour]:[Hour]]&gt;=AZ$2),1,0)</f>
        <v>0</v>
      </c>
      <c r="BA71" s="276" cm="1">
        <f t="array" ref="BA71">IF(AND(BA$2&lt;&gt;0,TblTech[[#This Row],[Hour]:[Hour]]&gt;=BA$2),1,0)</f>
        <v>0</v>
      </c>
      <c r="BB71" s="276" cm="1">
        <f t="array" ref="BB71">IF(AND(BB$2&lt;&gt;0,TblTech[[#This Row],[Hour]:[Hour]]&gt;=BB$2),1,0)</f>
        <v>0</v>
      </c>
      <c r="BC71" s="276" cm="1">
        <f t="array" ref="BC71">IF(AND(BC$2&lt;&gt;0,TblTech[[#This Row],[Hour]:[Hour]]&gt;=BC$2),1,0)</f>
        <v>0</v>
      </c>
      <c r="BD71" s="276" cm="1">
        <f t="array" ref="BD71">IF(AND(BD$2&lt;&gt;0,TblTech[[#This Row],[Hour]:[Hour]]&gt;=BD$2),1,0)</f>
        <v>0</v>
      </c>
      <c r="BE71" s="276" cm="1">
        <f t="array" ref="BE71">IF(AND(BE$2&lt;&gt;0,TblTech[[#This Row],[Hour]:[Hour]]&gt;=BE$2),1,0)</f>
        <v>0</v>
      </c>
      <c r="BF71" s="276" cm="1">
        <f t="array" ref="BF71">IF(AND(BF$2&lt;&gt;0,TblTech[[#This Row],[Hour]:[Hour]]&gt;=BF$2),1,0)</f>
        <v>0</v>
      </c>
      <c r="BG71" s="276" cm="1">
        <f t="array" ref="BG71">IF(AND(BG$2&lt;&gt;0,TblTech[[#This Row],[Hour]:[Hour]]&gt;=BG$2),1,0)</f>
        <v>0</v>
      </c>
      <c r="BH71" s="276" cm="1">
        <f t="array" ref="BH71">IF(AND(BH$2&lt;&gt;0,TblTech[[#This Row],[Hour]:[Hour]]&gt;=BH$2),1,0)</f>
        <v>0</v>
      </c>
      <c r="BI71" s="276" cm="1">
        <f t="array" ref="BI71">IF(AND(BI$2&lt;&gt;0,TblTech[[#This Row],[Hour]:[Hour]]&gt;=BI$2),1,0)</f>
        <v>0</v>
      </c>
      <c r="BJ71" s="276" cm="1">
        <f t="array" ref="BJ71">IF(AND(BJ$2&lt;&gt;0,TblTech[[#This Row],[Hour]:[Hour]]&gt;=BJ$2),1,0)</f>
        <v>0</v>
      </c>
      <c r="BK71" s="276" cm="1">
        <f t="array" ref="BK71">IF(AND(BK$2&lt;&gt;0,TblTech[[#This Row],[Hour]:[Hour]]&gt;=BK$2),1,0)</f>
        <v>0</v>
      </c>
      <c r="BL71" s="276" cm="1">
        <f t="array" ref="BL71">IF(AND(BL$2&lt;&gt;0,TblTech[[#This Row],[Hour]:[Hour]]&gt;=BL$2),1,0)</f>
        <v>0</v>
      </c>
      <c r="BM71" s="276" cm="1">
        <f t="array" ref="BM71">IF(AND(BM$2&lt;&gt;0,TblTech[[#This Row],[Hour]:[Hour]]&gt;=BM$2),1,0)</f>
        <v>0</v>
      </c>
      <c r="BN71" s="276" cm="1">
        <f t="array" ref="BN71">IF(AND(BN$2&lt;&gt;0,TblTech[[#This Row],[Hour]:[Hour]]&gt;=BN$2),1,0)</f>
        <v>0</v>
      </c>
      <c r="BO71" s="276" cm="1">
        <f t="array" ref="BO71">IF(AND(BO$2&lt;&gt;0,TblTech[[#This Row],[Hour]:[Hour]]&gt;=BO$2),1,0)</f>
        <v>0</v>
      </c>
      <c r="BP71" s="276" cm="1">
        <f t="array" ref="BP71">IF(AND(BP$2&lt;&gt;0,TblTech[[#This Row],[Hour]:[Hour]]&gt;=BP$2),1,0)</f>
        <v>0</v>
      </c>
      <c r="BQ71" s="276" cm="1">
        <f t="array" ref="BQ71">IF(AND(BQ$2&lt;&gt;0,TblTech[[#This Row],[Hour]:[Hour]]&gt;=BQ$2),1,0)</f>
        <v>0</v>
      </c>
      <c r="BR71" s="276" cm="1">
        <f t="array" ref="BR71">IF(AND(BR$2&lt;&gt;0,TblTech[[#This Row],[Hour]:[Hour]]&gt;=BR$2),1,0)</f>
        <v>0</v>
      </c>
      <c r="BS71" s="276" cm="1">
        <f t="array" ref="BS71">IF(AND(BS$2&lt;&gt;0,TblTech[[#This Row],[Hour]:[Hour]]&gt;=BS$2),1,0)</f>
        <v>0</v>
      </c>
      <c r="BT71" s="276" cm="1">
        <f t="array" ref="BT71">IF(AND(BT$2&lt;&gt;0,TblTech[[#This Row],[Hour]:[Hour]]&gt;=BT$2),1,0)</f>
        <v>0</v>
      </c>
      <c r="BU71" s="276" cm="1">
        <f t="array" ref="BU71">IF(AND(BU$2&lt;&gt;0,TblTech[[#This Row],[Hour]:[Hour]]&gt;=BU$2),1,0)</f>
        <v>0</v>
      </c>
      <c r="BV71" s="276" cm="1">
        <f t="array" ref="BV71">IF(AND(BV$2&lt;&gt;0,TblTech[[#This Row],[Hour]:[Hour]]&gt;=BV$2),1,0)</f>
        <v>0</v>
      </c>
      <c r="BW71" s="276" cm="1">
        <f t="array" ref="BW71">IF(AND(BW$2&lt;&gt;0,TblTech[[#This Row],[Hour]:[Hour]]&gt;=BW$2),1,0)</f>
        <v>0</v>
      </c>
      <c r="BX71" s="276" cm="1">
        <f t="array" ref="BX71">IF(AND(BX$2&lt;&gt;0,TblTech[[#This Row],[Hour]:[Hour]]&gt;=BX$2),1,0)</f>
        <v>0</v>
      </c>
      <c r="BY71" s="276" cm="1">
        <f t="array" ref="BY71">IF(AND(BY$2&lt;&gt;0,TblTech[[#This Row],[Hour]:[Hour]]&gt;=BY$2),1,0)</f>
        <v>0</v>
      </c>
      <c r="BZ71" s="276" cm="1">
        <f t="array" ref="BZ71">IF(AND(BZ$2&lt;&gt;0,TblTech[[#This Row],[Hour]:[Hour]]&gt;=BZ$2),1,0)</f>
        <v>0</v>
      </c>
      <c r="CA71" s="377">
        <f>IFERROR(INDEX($H$4:$H$79,MATCH(INDEX(TblTech[[#Headers],[1-1]:[11-1]],1,MATCH(TblTech[[#This Row],[Hour]],$M$2:$BZ$2,0)),$G$4:$G$79,0)),)</f>
        <v>0</v>
      </c>
    </row>
    <row r="72" spans="1:79" x14ac:dyDescent="0.2">
      <c r="A72" s="268">
        <f>TblRezone[[#This Row],[Hour]]</f>
        <v>69</v>
      </c>
      <c r="B72" s="269">
        <f ca="1">TblExplore[[#This Row],[Land-DB]]</f>
        <v>110</v>
      </c>
      <c r="C72" s="270">
        <f ca="1">TblProd[[#This Row],[Techpoints]]</f>
        <v>0</v>
      </c>
      <c r="D72" s="270">
        <f ca="1">TblProd[[#This Row],[Required]]</f>
        <v>3750</v>
      </c>
      <c r="E72" s="271"/>
      <c r="F72" s="272"/>
      <c r="G72" s="273" t="s">
        <v>616</v>
      </c>
      <c r="H72" s="274" t="s">
        <v>731</v>
      </c>
      <c r="I72" s="273" t="s">
        <v>617</v>
      </c>
      <c r="J72" s="269"/>
      <c r="K72" s="93">
        <f ca="1">IF(TblTech[[#This Row],[Sum of tech]]&lt;&gt;OFFSET(TblTech[[#This Row],[Sum of tech]],-1,0),1,0)</f>
        <v>0</v>
      </c>
      <c r="L72" s="275">
        <f>COUNTIF(TblTech[[#This Row],[1-1]:[11-1]],1)</f>
        <v>0</v>
      </c>
      <c r="M72" s="276" cm="1">
        <f t="array" ref="M72">IF(AND(M$2&lt;&gt;0,TblTech[[#This Row],[Hour]:[Hour]]&gt;=M$2),1,0)</f>
        <v>0</v>
      </c>
      <c r="N72" s="276" cm="1">
        <f t="array" ref="N72">IF(AND(N$2&lt;&gt;0,TblTech[[#This Row],[Hour]:[Hour]]&gt;=N$2),1,0)</f>
        <v>0</v>
      </c>
      <c r="O72" s="276" cm="1">
        <f t="array" ref="O72">IF(AND(O$2&lt;&gt;0,TblTech[[#This Row],[Hour]:[Hour]]&gt;=O$2),1,0)</f>
        <v>0</v>
      </c>
      <c r="P72" s="276" cm="1">
        <f t="array" ref="P72">IF(AND(P$2&lt;&gt;0,TblTech[[#This Row],[Hour]:[Hour]]&gt;=P$2),1,0)</f>
        <v>0</v>
      </c>
      <c r="Q72" s="276" cm="1">
        <f t="array" ref="Q72">IF(AND(Q$2&lt;&gt;0,TblTech[[#This Row],[Hour]:[Hour]]&gt;=Q$2),1,0)</f>
        <v>0</v>
      </c>
      <c r="R72" s="276" cm="1">
        <f t="array" ref="R72">IF(AND(R$2&lt;&gt;0,TblTech[[#This Row],[Hour]:[Hour]]&gt;=R$2),1,0)</f>
        <v>0</v>
      </c>
      <c r="S72" s="276" cm="1">
        <f t="array" ref="S72">IF(AND(S$2&lt;&gt;0,TblTech[[#This Row],[Hour]:[Hour]]&gt;=S$2),1,0)</f>
        <v>0</v>
      </c>
      <c r="T72" s="276" cm="1">
        <f t="array" ref="T72">IF(AND(T$2&lt;&gt;0,TblTech[[#This Row],[Hour]:[Hour]]&gt;=T$2),1,0)</f>
        <v>0</v>
      </c>
      <c r="U72" s="276" cm="1">
        <f t="array" ref="U72">IF(AND(U$2&lt;&gt;0,TblTech[[#This Row],[Hour]:[Hour]]&gt;=U$2),1,0)</f>
        <v>0</v>
      </c>
      <c r="V72" s="276" cm="1">
        <f t="array" ref="V72">IF(AND(V$2&lt;&gt;0,TblTech[[#This Row],[Hour]:[Hour]]&gt;=V$2),1,0)</f>
        <v>0</v>
      </c>
      <c r="W72" s="276" cm="1">
        <f t="array" ref="W72">IF(AND(W$2&lt;&gt;0,TblTech[[#This Row],[Hour]:[Hour]]&gt;=W$2),1,0)</f>
        <v>0</v>
      </c>
      <c r="X72" s="276" cm="1">
        <f t="array" ref="X72">IF(AND(X$2&lt;&gt;0,TblTech[[#This Row],[Hour]:[Hour]]&gt;=X$2),1,0)</f>
        <v>0</v>
      </c>
      <c r="Y72" s="276" cm="1">
        <f t="array" ref="Y72">IF(AND(Y$2&lt;&gt;0,TblTech[[#This Row],[Hour]:[Hour]]&gt;=Y$2),1,0)</f>
        <v>0</v>
      </c>
      <c r="Z72" s="276" cm="1">
        <f t="array" ref="Z72">IF(AND(Z$2&lt;&gt;0,TblTech[[#This Row],[Hour]:[Hour]]&gt;=Z$2),1,0)</f>
        <v>0</v>
      </c>
      <c r="AA72" s="276" cm="1">
        <f t="array" ref="AA72">IF(AND(AA$2&lt;&gt;0,TblTech[[#This Row],[Hour]:[Hour]]&gt;=AA$2),1,0)</f>
        <v>0</v>
      </c>
      <c r="AB72" s="276" cm="1">
        <f t="array" ref="AB72">IF(AND(AB$2&lt;&gt;0,TblTech[[#This Row],[Hour]:[Hour]]&gt;=AB$2),1,0)</f>
        <v>0</v>
      </c>
      <c r="AC72" s="276" cm="1">
        <f t="array" ref="AC72">IF(AND(AC$2&lt;&gt;0,TblTech[[#This Row],[Hour]:[Hour]]&gt;=AC$2),1,0)</f>
        <v>0</v>
      </c>
      <c r="AD72" s="276" cm="1">
        <f t="array" ref="AD72">IF(AND(AD$2&lt;&gt;0,TblTech[[#This Row],[Hour]:[Hour]]&gt;=AD$2),1,0)</f>
        <v>0</v>
      </c>
      <c r="AE72" s="276" cm="1">
        <f t="array" ref="AE72">IF(AND(AE$2&lt;&gt;0,TblTech[[#This Row],[Hour]:[Hour]]&gt;=AE$2),1,0)</f>
        <v>0</v>
      </c>
      <c r="AF72" s="276" cm="1">
        <f t="array" ref="AF72">IF(AND(AF$2&lt;&gt;0,TblTech[[#This Row],[Hour]:[Hour]]&gt;=AF$2),1,0)</f>
        <v>0</v>
      </c>
      <c r="AG72" s="276" cm="1">
        <f t="array" ref="AG72">IF(AND(AG$2&lt;&gt;0,TblTech[[#This Row],[Hour]:[Hour]]&gt;=AG$2),1,0)</f>
        <v>0</v>
      </c>
      <c r="AH72" s="276" cm="1">
        <f t="array" ref="AH72">IF(AND(AH$2&lt;&gt;0,TblTech[[#This Row],[Hour]:[Hour]]&gt;=AH$2),1,0)</f>
        <v>0</v>
      </c>
      <c r="AI72" s="276" cm="1">
        <f t="array" ref="AI72">IF(AND(AI$2&lt;&gt;0,TblTech[[#This Row],[Hour]:[Hour]]&gt;=AI$2),1,0)</f>
        <v>0</v>
      </c>
      <c r="AJ72" s="276" cm="1">
        <f t="array" ref="AJ72">IF(AND(AJ$2&lt;&gt;0,TblTech[[#This Row],[Hour]:[Hour]]&gt;=AJ$2),1,0)</f>
        <v>0</v>
      </c>
      <c r="AK72" s="276" cm="1">
        <f t="array" ref="AK72">IF(AND(AK$2&lt;&gt;0,TblTech[[#This Row],[Hour]:[Hour]]&gt;=AK$2),1,0)</f>
        <v>0</v>
      </c>
      <c r="AL72" s="276" cm="1">
        <f t="array" ref="AL72">IF(AND(AL$2&lt;&gt;0,TblTech[[#This Row],[Hour]:[Hour]]&gt;=AL$2),1,0)</f>
        <v>0</v>
      </c>
      <c r="AM72" s="276" cm="1">
        <f t="array" ref="AM72">IF(AND(AM$2&lt;&gt;0,TblTech[[#This Row],[Hour]:[Hour]]&gt;=AM$2),1,0)</f>
        <v>0</v>
      </c>
      <c r="AN72" s="276" cm="1">
        <f t="array" ref="AN72">IF(AND(AN$2&lt;&gt;0,TblTech[[#This Row],[Hour]:[Hour]]&gt;=AN$2),1,0)</f>
        <v>0</v>
      </c>
      <c r="AO72" s="276" cm="1">
        <f t="array" ref="AO72">IF(AND(AO$2&lt;&gt;0,TblTech[[#This Row],[Hour]:[Hour]]&gt;=AO$2),1,0)</f>
        <v>0</v>
      </c>
      <c r="AP72" s="276" cm="1">
        <f t="array" ref="AP72">IF(AND(AP$2&lt;&gt;0,TblTech[[#This Row],[Hour]:[Hour]]&gt;=AP$2),1,0)</f>
        <v>0</v>
      </c>
      <c r="AQ72" s="276" cm="1">
        <f t="array" ref="AQ72">IF(AND(AQ$2&lt;&gt;0,TblTech[[#This Row],[Hour]:[Hour]]&gt;=AQ$2),1,0)</f>
        <v>0</v>
      </c>
      <c r="AR72" s="276" cm="1">
        <f t="array" ref="AR72">IF(AND(AR$2&lt;&gt;0,TblTech[[#This Row],[Hour]:[Hour]]&gt;=AR$2),1,0)</f>
        <v>0</v>
      </c>
      <c r="AS72" s="276" cm="1">
        <f t="array" ref="AS72">IF(AND(AS$2&lt;&gt;0,TblTech[[#This Row],[Hour]:[Hour]]&gt;=AS$2),1,0)</f>
        <v>0</v>
      </c>
      <c r="AT72" s="276" cm="1">
        <f t="array" ref="AT72">IF(AND(AT$2&lt;&gt;0,TblTech[[#This Row],[Hour]:[Hour]]&gt;=AT$2),1,0)</f>
        <v>0</v>
      </c>
      <c r="AU72" s="276" cm="1">
        <f t="array" ref="AU72">IF(AND(AU$2&lt;&gt;0,TblTech[[#This Row],[Hour]:[Hour]]&gt;=AU$2),1,0)</f>
        <v>0</v>
      </c>
      <c r="AV72" s="276" cm="1">
        <f t="array" ref="AV72">IF(AND(AV$2&lt;&gt;0,TblTech[[#This Row],[Hour]:[Hour]]&gt;=AV$2),1,0)</f>
        <v>0</v>
      </c>
      <c r="AW72" s="276" cm="1">
        <f t="array" ref="AW72">IF(AND(AW$2&lt;&gt;0,TblTech[[#This Row],[Hour]:[Hour]]&gt;=AW$2),1,0)</f>
        <v>0</v>
      </c>
      <c r="AX72" s="276" cm="1">
        <f t="array" ref="AX72">IF(AND(AX$2&lt;&gt;0,TblTech[[#This Row],[Hour]:[Hour]]&gt;=AX$2),1,0)</f>
        <v>0</v>
      </c>
      <c r="AY72" s="276" cm="1">
        <f t="array" ref="AY72">IF(AND(AY$2&lt;&gt;0,TblTech[[#This Row],[Hour]:[Hour]]&gt;=AY$2),1,0)</f>
        <v>0</v>
      </c>
      <c r="AZ72" s="276" cm="1">
        <f t="array" ref="AZ72">IF(AND(AZ$2&lt;&gt;0,TblTech[[#This Row],[Hour]:[Hour]]&gt;=AZ$2),1,0)</f>
        <v>0</v>
      </c>
      <c r="BA72" s="276" cm="1">
        <f t="array" ref="BA72">IF(AND(BA$2&lt;&gt;0,TblTech[[#This Row],[Hour]:[Hour]]&gt;=BA$2),1,0)</f>
        <v>0</v>
      </c>
      <c r="BB72" s="276" cm="1">
        <f t="array" ref="BB72">IF(AND(BB$2&lt;&gt;0,TblTech[[#This Row],[Hour]:[Hour]]&gt;=BB$2),1,0)</f>
        <v>0</v>
      </c>
      <c r="BC72" s="276" cm="1">
        <f t="array" ref="BC72">IF(AND(BC$2&lt;&gt;0,TblTech[[#This Row],[Hour]:[Hour]]&gt;=BC$2),1,0)</f>
        <v>0</v>
      </c>
      <c r="BD72" s="276" cm="1">
        <f t="array" ref="BD72">IF(AND(BD$2&lt;&gt;0,TblTech[[#This Row],[Hour]:[Hour]]&gt;=BD$2),1,0)</f>
        <v>0</v>
      </c>
      <c r="BE72" s="276" cm="1">
        <f t="array" ref="BE72">IF(AND(BE$2&lt;&gt;0,TblTech[[#This Row],[Hour]:[Hour]]&gt;=BE$2),1,0)</f>
        <v>0</v>
      </c>
      <c r="BF72" s="276" cm="1">
        <f t="array" ref="BF72">IF(AND(BF$2&lt;&gt;0,TblTech[[#This Row],[Hour]:[Hour]]&gt;=BF$2),1,0)</f>
        <v>0</v>
      </c>
      <c r="BG72" s="276" cm="1">
        <f t="array" ref="BG72">IF(AND(BG$2&lt;&gt;0,TblTech[[#This Row],[Hour]:[Hour]]&gt;=BG$2),1,0)</f>
        <v>0</v>
      </c>
      <c r="BH72" s="276" cm="1">
        <f t="array" ref="BH72">IF(AND(BH$2&lt;&gt;0,TblTech[[#This Row],[Hour]:[Hour]]&gt;=BH$2),1,0)</f>
        <v>0</v>
      </c>
      <c r="BI72" s="276" cm="1">
        <f t="array" ref="BI72">IF(AND(BI$2&lt;&gt;0,TblTech[[#This Row],[Hour]:[Hour]]&gt;=BI$2),1,0)</f>
        <v>0</v>
      </c>
      <c r="BJ72" s="276" cm="1">
        <f t="array" ref="BJ72">IF(AND(BJ$2&lt;&gt;0,TblTech[[#This Row],[Hour]:[Hour]]&gt;=BJ$2),1,0)</f>
        <v>0</v>
      </c>
      <c r="BK72" s="276" cm="1">
        <f t="array" ref="BK72">IF(AND(BK$2&lt;&gt;0,TblTech[[#This Row],[Hour]:[Hour]]&gt;=BK$2),1,0)</f>
        <v>0</v>
      </c>
      <c r="BL72" s="276" cm="1">
        <f t="array" ref="BL72">IF(AND(BL$2&lt;&gt;0,TblTech[[#This Row],[Hour]:[Hour]]&gt;=BL$2),1,0)</f>
        <v>0</v>
      </c>
      <c r="BM72" s="276" cm="1">
        <f t="array" ref="BM72">IF(AND(BM$2&lt;&gt;0,TblTech[[#This Row],[Hour]:[Hour]]&gt;=BM$2),1,0)</f>
        <v>0</v>
      </c>
      <c r="BN72" s="276" cm="1">
        <f t="array" ref="BN72">IF(AND(BN$2&lt;&gt;0,TblTech[[#This Row],[Hour]:[Hour]]&gt;=BN$2),1,0)</f>
        <v>0</v>
      </c>
      <c r="BO72" s="276" cm="1">
        <f t="array" ref="BO72">IF(AND(BO$2&lt;&gt;0,TblTech[[#This Row],[Hour]:[Hour]]&gt;=BO$2),1,0)</f>
        <v>0</v>
      </c>
      <c r="BP72" s="276" cm="1">
        <f t="array" ref="BP72">IF(AND(BP$2&lt;&gt;0,TblTech[[#This Row],[Hour]:[Hour]]&gt;=BP$2),1,0)</f>
        <v>0</v>
      </c>
      <c r="BQ72" s="276" cm="1">
        <f t="array" ref="BQ72">IF(AND(BQ$2&lt;&gt;0,TblTech[[#This Row],[Hour]:[Hour]]&gt;=BQ$2),1,0)</f>
        <v>0</v>
      </c>
      <c r="BR72" s="276" cm="1">
        <f t="array" ref="BR72">IF(AND(BR$2&lt;&gt;0,TblTech[[#This Row],[Hour]:[Hour]]&gt;=BR$2),1,0)</f>
        <v>0</v>
      </c>
      <c r="BS72" s="276" cm="1">
        <f t="array" ref="BS72">IF(AND(BS$2&lt;&gt;0,TblTech[[#This Row],[Hour]:[Hour]]&gt;=BS$2),1,0)</f>
        <v>0</v>
      </c>
      <c r="BT72" s="276" cm="1">
        <f t="array" ref="BT72">IF(AND(BT$2&lt;&gt;0,TblTech[[#This Row],[Hour]:[Hour]]&gt;=BT$2),1,0)</f>
        <v>0</v>
      </c>
      <c r="BU72" s="276" cm="1">
        <f t="array" ref="BU72">IF(AND(BU$2&lt;&gt;0,TblTech[[#This Row],[Hour]:[Hour]]&gt;=BU$2),1,0)</f>
        <v>0</v>
      </c>
      <c r="BV72" s="276" cm="1">
        <f t="array" ref="BV72">IF(AND(BV$2&lt;&gt;0,TblTech[[#This Row],[Hour]:[Hour]]&gt;=BV$2),1,0)</f>
        <v>0</v>
      </c>
      <c r="BW72" s="276" cm="1">
        <f t="array" ref="BW72">IF(AND(BW$2&lt;&gt;0,TblTech[[#This Row],[Hour]:[Hour]]&gt;=BW$2),1,0)</f>
        <v>0</v>
      </c>
      <c r="BX72" s="276" cm="1">
        <f t="array" ref="BX72">IF(AND(BX$2&lt;&gt;0,TblTech[[#This Row],[Hour]:[Hour]]&gt;=BX$2),1,0)</f>
        <v>0</v>
      </c>
      <c r="BY72" s="276" cm="1">
        <f t="array" ref="BY72">IF(AND(BY$2&lt;&gt;0,TblTech[[#This Row],[Hour]:[Hour]]&gt;=BY$2),1,0)</f>
        <v>0</v>
      </c>
      <c r="BZ72" s="276" cm="1">
        <f t="array" ref="BZ72">IF(AND(BZ$2&lt;&gt;0,TblTech[[#This Row],[Hour]:[Hour]]&gt;=BZ$2),1,0)</f>
        <v>0</v>
      </c>
      <c r="CA72" s="377">
        <f>IFERROR(INDEX($H$4:$H$79,MATCH(INDEX(TblTech[[#Headers],[1-1]:[11-1]],1,MATCH(TblTech[[#This Row],[Hour]],$M$2:$BZ$2,0)),$G$4:$G$79,0)),)</f>
        <v>0</v>
      </c>
    </row>
    <row r="73" spans="1:79" x14ac:dyDescent="0.2">
      <c r="A73" s="268">
        <f>TblRezone[[#This Row],[Hour]]</f>
        <v>70</v>
      </c>
      <c r="B73" s="269">
        <f ca="1">TblExplore[[#This Row],[Land-DB]]</f>
        <v>110</v>
      </c>
      <c r="C73" s="270">
        <f ca="1">TblProd[[#This Row],[Techpoints]]</f>
        <v>0</v>
      </c>
      <c r="D73" s="270">
        <f ca="1">TblProd[[#This Row],[Required]]</f>
        <v>3750</v>
      </c>
      <c r="E73" s="271"/>
      <c r="F73" s="272"/>
      <c r="G73" s="273" t="s">
        <v>618</v>
      </c>
      <c r="H73" s="274" t="s">
        <v>732</v>
      </c>
      <c r="I73" s="273" t="s">
        <v>555</v>
      </c>
      <c r="J73" s="269"/>
      <c r="K73" s="93">
        <f ca="1">IF(TblTech[[#This Row],[Sum of tech]]&lt;&gt;OFFSET(TblTech[[#This Row],[Sum of tech]],-1,0),1,0)</f>
        <v>0</v>
      </c>
      <c r="L73" s="275">
        <f>COUNTIF(TblTech[[#This Row],[1-1]:[11-1]],1)</f>
        <v>0</v>
      </c>
      <c r="M73" s="276" cm="1">
        <f t="array" ref="M73">IF(AND(M$2&lt;&gt;0,TblTech[[#This Row],[Hour]:[Hour]]&gt;=M$2),1,0)</f>
        <v>0</v>
      </c>
      <c r="N73" s="276" cm="1">
        <f t="array" ref="N73">IF(AND(N$2&lt;&gt;0,TblTech[[#This Row],[Hour]:[Hour]]&gt;=N$2),1,0)</f>
        <v>0</v>
      </c>
      <c r="O73" s="276" cm="1">
        <f t="array" ref="O73">IF(AND(O$2&lt;&gt;0,TblTech[[#This Row],[Hour]:[Hour]]&gt;=O$2),1,0)</f>
        <v>0</v>
      </c>
      <c r="P73" s="276" cm="1">
        <f t="array" ref="P73">IF(AND(P$2&lt;&gt;0,TblTech[[#This Row],[Hour]:[Hour]]&gt;=P$2),1,0)</f>
        <v>0</v>
      </c>
      <c r="Q73" s="276" cm="1">
        <f t="array" ref="Q73">IF(AND(Q$2&lt;&gt;0,TblTech[[#This Row],[Hour]:[Hour]]&gt;=Q$2),1,0)</f>
        <v>0</v>
      </c>
      <c r="R73" s="276" cm="1">
        <f t="array" ref="R73">IF(AND(R$2&lt;&gt;0,TblTech[[#This Row],[Hour]:[Hour]]&gt;=R$2),1,0)</f>
        <v>0</v>
      </c>
      <c r="S73" s="276" cm="1">
        <f t="array" ref="S73">IF(AND(S$2&lt;&gt;0,TblTech[[#This Row],[Hour]:[Hour]]&gt;=S$2),1,0)</f>
        <v>0</v>
      </c>
      <c r="T73" s="276" cm="1">
        <f t="array" ref="T73">IF(AND(T$2&lt;&gt;0,TblTech[[#This Row],[Hour]:[Hour]]&gt;=T$2),1,0)</f>
        <v>0</v>
      </c>
      <c r="U73" s="276" cm="1">
        <f t="array" ref="U73">IF(AND(U$2&lt;&gt;0,TblTech[[#This Row],[Hour]:[Hour]]&gt;=U$2),1,0)</f>
        <v>0</v>
      </c>
      <c r="V73" s="276" cm="1">
        <f t="array" ref="V73">IF(AND(V$2&lt;&gt;0,TblTech[[#This Row],[Hour]:[Hour]]&gt;=V$2),1,0)</f>
        <v>0</v>
      </c>
      <c r="W73" s="276" cm="1">
        <f t="array" ref="W73">IF(AND(W$2&lt;&gt;0,TblTech[[#This Row],[Hour]:[Hour]]&gt;=W$2),1,0)</f>
        <v>0</v>
      </c>
      <c r="X73" s="276" cm="1">
        <f t="array" ref="X73">IF(AND(X$2&lt;&gt;0,TblTech[[#This Row],[Hour]:[Hour]]&gt;=X$2),1,0)</f>
        <v>0</v>
      </c>
      <c r="Y73" s="276" cm="1">
        <f t="array" ref="Y73">IF(AND(Y$2&lt;&gt;0,TblTech[[#This Row],[Hour]:[Hour]]&gt;=Y$2),1,0)</f>
        <v>0</v>
      </c>
      <c r="Z73" s="276" cm="1">
        <f t="array" ref="Z73">IF(AND(Z$2&lt;&gt;0,TblTech[[#This Row],[Hour]:[Hour]]&gt;=Z$2),1,0)</f>
        <v>0</v>
      </c>
      <c r="AA73" s="276" cm="1">
        <f t="array" ref="AA73">IF(AND(AA$2&lt;&gt;0,TblTech[[#This Row],[Hour]:[Hour]]&gt;=AA$2),1,0)</f>
        <v>0</v>
      </c>
      <c r="AB73" s="276" cm="1">
        <f t="array" ref="AB73">IF(AND(AB$2&lt;&gt;0,TblTech[[#This Row],[Hour]:[Hour]]&gt;=AB$2),1,0)</f>
        <v>0</v>
      </c>
      <c r="AC73" s="276" cm="1">
        <f t="array" ref="AC73">IF(AND(AC$2&lt;&gt;0,TblTech[[#This Row],[Hour]:[Hour]]&gt;=AC$2),1,0)</f>
        <v>0</v>
      </c>
      <c r="AD73" s="276" cm="1">
        <f t="array" ref="AD73">IF(AND(AD$2&lt;&gt;0,TblTech[[#This Row],[Hour]:[Hour]]&gt;=AD$2),1,0)</f>
        <v>0</v>
      </c>
      <c r="AE73" s="276" cm="1">
        <f t="array" ref="AE73">IF(AND(AE$2&lt;&gt;0,TblTech[[#This Row],[Hour]:[Hour]]&gt;=AE$2),1,0)</f>
        <v>0</v>
      </c>
      <c r="AF73" s="276" cm="1">
        <f t="array" ref="AF73">IF(AND(AF$2&lt;&gt;0,TblTech[[#This Row],[Hour]:[Hour]]&gt;=AF$2),1,0)</f>
        <v>0</v>
      </c>
      <c r="AG73" s="276" cm="1">
        <f t="array" ref="AG73">IF(AND(AG$2&lt;&gt;0,TblTech[[#This Row],[Hour]:[Hour]]&gt;=AG$2),1,0)</f>
        <v>0</v>
      </c>
      <c r="AH73" s="276" cm="1">
        <f t="array" ref="AH73">IF(AND(AH$2&lt;&gt;0,TblTech[[#This Row],[Hour]:[Hour]]&gt;=AH$2),1,0)</f>
        <v>0</v>
      </c>
      <c r="AI73" s="276" cm="1">
        <f t="array" ref="AI73">IF(AND(AI$2&lt;&gt;0,TblTech[[#This Row],[Hour]:[Hour]]&gt;=AI$2),1,0)</f>
        <v>0</v>
      </c>
      <c r="AJ73" s="276" cm="1">
        <f t="array" ref="AJ73">IF(AND(AJ$2&lt;&gt;0,TblTech[[#This Row],[Hour]:[Hour]]&gt;=AJ$2),1,0)</f>
        <v>0</v>
      </c>
      <c r="AK73" s="276" cm="1">
        <f t="array" ref="AK73">IF(AND(AK$2&lt;&gt;0,TblTech[[#This Row],[Hour]:[Hour]]&gt;=AK$2),1,0)</f>
        <v>0</v>
      </c>
      <c r="AL73" s="276" cm="1">
        <f t="array" ref="AL73">IF(AND(AL$2&lt;&gt;0,TblTech[[#This Row],[Hour]:[Hour]]&gt;=AL$2),1,0)</f>
        <v>0</v>
      </c>
      <c r="AM73" s="276" cm="1">
        <f t="array" ref="AM73">IF(AND(AM$2&lt;&gt;0,TblTech[[#This Row],[Hour]:[Hour]]&gt;=AM$2),1,0)</f>
        <v>0</v>
      </c>
      <c r="AN73" s="276" cm="1">
        <f t="array" ref="AN73">IF(AND(AN$2&lt;&gt;0,TblTech[[#This Row],[Hour]:[Hour]]&gt;=AN$2),1,0)</f>
        <v>0</v>
      </c>
      <c r="AO73" s="276" cm="1">
        <f t="array" ref="AO73">IF(AND(AO$2&lt;&gt;0,TblTech[[#This Row],[Hour]:[Hour]]&gt;=AO$2),1,0)</f>
        <v>0</v>
      </c>
      <c r="AP73" s="276" cm="1">
        <f t="array" ref="AP73">IF(AND(AP$2&lt;&gt;0,TblTech[[#This Row],[Hour]:[Hour]]&gt;=AP$2),1,0)</f>
        <v>0</v>
      </c>
      <c r="AQ73" s="276" cm="1">
        <f t="array" ref="AQ73">IF(AND(AQ$2&lt;&gt;0,TblTech[[#This Row],[Hour]:[Hour]]&gt;=AQ$2),1,0)</f>
        <v>0</v>
      </c>
      <c r="AR73" s="276" cm="1">
        <f t="array" ref="AR73">IF(AND(AR$2&lt;&gt;0,TblTech[[#This Row],[Hour]:[Hour]]&gt;=AR$2),1,0)</f>
        <v>0</v>
      </c>
      <c r="AS73" s="276" cm="1">
        <f t="array" ref="AS73">IF(AND(AS$2&lt;&gt;0,TblTech[[#This Row],[Hour]:[Hour]]&gt;=AS$2),1,0)</f>
        <v>0</v>
      </c>
      <c r="AT73" s="276" cm="1">
        <f t="array" ref="AT73">IF(AND(AT$2&lt;&gt;0,TblTech[[#This Row],[Hour]:[Hour]]&gt;=AT$2),1,0)</f>
        <v>0</v>
      </c>
      <c r="AU73" s="276" cm="1">
        <f t="array" ref="AU73">IF(AND(AU$2&lt;&gt;0,TblTech[[#This Row],[Hour]:[Hour]]&gt;=AU$2),1,0)</f>
        <v>0</v>
      </c>
      <c r="AV73" s="276" cm="1">
        <f t="array" ref="AV73">IF(AND(AV$2&lt;&gt;0,TblTech[[#This Row],[Hour]:[Hour]]&gt;=AV$2),1,0)</f>
        <v>0</v>
      </c>
      <c r="AW73" s="276" cm="1">
        <f t="array" ref="AW73">IF(AND(AW$2&lt;&gt;0,TblTech[[#This Row],[Hour]:[Hour]]&gt;=AW$2),1,0)</f>
        <v>0</v>
      </c>
      <c r="AX73" s="276" cm="1">
        <f t="array" ref="AX73">IF(AND(AX$2&lt;&gt;0,TblTech[[#This Row],[Hour]:[Hour]]&gt;=AX$2),1,0)</f>
        <v>0</v>
      </c>
      <c r="AY73" s="276" cm="1">
        <f t="array" ref="AY73">IF(AND(AY$2&lt;&gt;0,TblTech[[#This Row],[Hour]:[Hour]]&gt;=AY$2),1,0)</f>
        <v>0</v>
      </c>
      <c r="AZ73" s="276" cm="1">
        <f t="array" ref="AZ73">IF(AND(AZ$2&lt;&gt;0,TblTech[[#This Row],[Hour]:[Hour]]&gt;=AZ$2),1,0)</f>
        <v>0</v>
      </c>
      <c r="BA73" s="276" cm="1">
        <f t="array" ref="BA73">IF(AND(BA$2&lt;&gt;0,TblTech[[#This Row],[Hour]:[Hour]]&gt;=BA$2),1,0)</f>
        <v>0</v>
      </c>
      <c r="BB73" s="276" cm="1">
        <f t="array" ref="BB73">IF(AND(BB$2&lt;&gt;0,TblTech[[#This Row],[Hour]:[Hour]]&gt;=BB$2),1,0)</f>
        <v>0</v>
      </c>
      <c r="BC73" s="276" cm="1">
        <f t="array" ref="BC73">IF(AND(BC$2&lt;&gt;0,TblTech[[#This Row],[Hour]:[Hour]]&gt;=BC$2),1,0)</f>
        <v>0</v>
      </c>
      <c r="BD73" s="276" cm="1">
        <f t="array" ref="BD73">IF(AND(BD$2&lt;&gt;0,TblTech[[#This Row],[Hour]:[Hour]]&gt;=BD$2),1,0)</f>
        <v>0</v>
      </c>
      <c r="BE73" s="276" cm="1">
        <f t="array" ref="BE73">IF(AND(BE$2&lt;&gt;0,TblTech[[#This Row],[Hour]:[Hour]]&gt;=BE$2),1,0)</f>
        <v>0</v>
      </c>
      <c r="BF73" s="276" cm="1">
        <f t="array" ref="BF73">IF(AND(BF$2&lt;&gt;0,TblTech[[#This Row],[Hour]:[Hour]]&gt;=BF$2),1,0)</f>
        <v>0</v>
      </c>
      <c r="BG73" s="276" cm="1">
        <f t="array" ref="BG73">IF(AND(BG$2&lt;&gt;0,TblTech[[#This Row],[Hour]:[Hour]]&gt;=BG$2),1,0)</f>
        <v>0</v>
      </c>
      <c r="BH73" s="276" cm="1">
        <f t="array" ref="BH73">IF(AND(BH$2&lt;&gt;0,TblTech[[#This Row],[Hour]:[Hour]]&gt;=BH$2),1,0)</f>
        <v>0</v>
      </c>
      <c r="BI73" s="276" cm="1">
        <f t="array" ref="BI73">IF(AND(BI$2&lt;&gt;0,TblTech[[#This Row],[Hour]:[Hour]]&gt;=BI$2),1,0)</f>
        <v>0</v>
      </c>
      <c r="BJ73" s="276" cm="1">
        <f t="array" ref="BJ73">IF(AND(BJ$2&lt;&gt;0,TblTech[[#This Row],[Hour]:[Hour]]&gt;=BJ$2),1,0)</f>
        <v>0</v>
      </c>
      <c r="BK73" s="276" cm="1">
        <f t="array" ref="BK73">IF(AND(BK$2&lt;&gt;0,TblTech[[#This Row],[Hour]:[Hour]]&gt;=BK$2),1,0)</f>
        <v>0</v>
      </c>
      <c r="BL73" s="276" cm="1">
        <f t="array" ref="BL73">IF(AND(BL$2&lt;&gt;0,TblTech[[#This Row],[Hour]:[Hour]]&gt;=BL$2),1,0)</f>
        <v>0</v>
      </c>
      <c r="BM73" s="276" cm="1">
        <f t="array" ref="BM73">IF(AND(BM$2&lt;&gt;0,TblTech[[#This Row],[Hour]:[Hour]]&gt;=BM$2),1,0)</f>
        <v>0</v>
      </c>
      <c r="BN73" s="276" cm="1">
        <f t="array" ref="BN73">IF(AND(BN$2&lt;&gt;0,TblTech[[#This Row],[Hour]:[Hour]]&gt;=BN$2),1,0)</f>
        <v>0</v>
      </c>
      <c r="BO73" s="276" cm="1">
        <f t="array" ref="BO73">IF(AND(BO$2&lt;&gt;0,TblTech[[#This Row],[Hour]:[Hour]]&gt;=BO$2),1,0)</f>
        <v>0</v>
      </c>
      <c r="BP73" s="276" cm="1">
        <f t="array" ref="BP73">IF(AND(BP$2&lt;&gt;0,TblTech[[#This Row],[Hour]:[Hour]]&gt;=BP$2),1,0)</f>
        <v>0</v>
      </c>
      <c r="BQ73" s="276" cm="1">
        <f t="array" ref="BQ73">IF(AND(BQ$2&lt;&gt;0,TblTech[[#This Row],[Hour]:[Hour]]&gt;=BQ$2),1,0)</f>
        <v>0</v>
      </c>
      <c r="BR73" s="276" cm="1">
        <f t="array" ref="BR73">IF(AND(BR$2&lt;&gt;0,TblTech[[#This Row],[Hour]:[Hour]]&gt;=BR$2),1,0)</f>
        <v>0</v>
      </c>
      <c r="BS73" s="276" cm="1">
        <f t="array" ref="BS73">IF(AND(BS$2&lt;&gt;0,TblTech[[#This Row],[Hour]:[Hour]]&gt;=BS$2),1,0)</f>
        <v>0</v>
      </c>
      <c r="BT73" s="276" cm="1">
        <f t="array" ref="BT73">IF(AND(BT$2&lt;&gt;0,TblTech[[#This Row],[Hour]:[Hour]]&gt;=BT$2),1,0)</f>
        <v>0</v>
      </c>
      <c r="BU73" s="276" cm="1">
        <f t="array" ref="BU73">IF(AND(BU$2&lt;&gt;0,TblTech[[#This Row],[Hour]:[Hour]]&gt;=BU$2),1,0)</f>
        <v>0</v>
      </c>
      <c r="BV73" s="276" cm="1">
        <f t="array" ref="BV73">IF(AND(BV$2&lt;&gt;0,TblTech[[#This Row],[Hour]:[Hour]]&gt;=BV$2),1,0)</f>
        <v>0</v>
      </c>
      <c r="BW73" s="276" cm="1">
        <f t="array" ref="BW73">IF(AND(BW$2&lt;&gt;0,TblTech[[#This Row],[Hour]:[Hour]]&gt;=BW$2),1,0)</f>
        <v>0</v>
      </c>
      <c r="BX73" s="276" cm="1">
        <f t="array" ref="BX73">IF(AND(BX$2&lt;&gt;0,TblTech[[#This Row],[Hour]:[Hour]]&gt;=BX$2),1,0)</f>
        <v>0</v>
      </c>
      <c r="BY73" s="276" cm="1">
        <f t="array" ref="BY73">IF(AND(BY$2&lt;&gt;0,TblTech[[#This Row],[Hour]:[Hour]]&gt;=BY$2),1,0)</f>
        <v>0</v>
      </c>
      <c r="BZ73" s="276" cm="1">
        <f t="array" ref="BZ73">IF(AND(BZ$2&lt;&gt;0,TblTech[[#This Row],[Hour]:[Hour]]&gt;=BZ$2),1,0)</f>
        <v>0</v>
      </c>
      <c r="CA73" s="377">
        <f>IFERROR(INDEX($H$4:$H$79,MATCH(INDEX(TblTech[[#Headers],[1-1]:[11-1]],1,MATCH(TblTech[[#This Row],[Hour]],$M$2:$BZ$2,0)),$G$4:$G$79,0)),)</f>
        <v>0</v>
      </c>
    </row>
    <row r="74" spans="1:79" x14ac:dyDescent="0.2">
      <c r="A74" s="268">
        <f>TblRezone[[#This Row],[Hour]]</f>
        <v>71</v>
      </c>
      <c r="B74" s="269">
        <f ca="1">TblExplore[[#This Row],[Land-DB]]</f>
        <v>110</v>
      </c>
      <c r="C74" s="270">
        <f ca="1">TblProd[[#This Row],[Techpoints]]</f>
        <v>0</v>
      </c>
      <c r="D74" s="270">
        <f ca="1">TblProd[[#This Row],[Required]]</f>
        <v>3750</v>
      </c>
      <c r="E74" s="271"/>
      <c r="F74" s="272"/>
      <c r="G74" s="273" t="s">
        <v>619</v>
      </c>
      <c r="H74" s="274" t="s">
        <v>733</v>
      </c>
      <c r="I74" s="273" t="s">
        <v>756</v>
      </c>
      <c r="J74" s="269"/>
      <c r="K74" s="93">
        <f ca="1">IF(TblTech[[#This Row],[Sum of tech]]&lt;&gt;OFFSET(TblTech[[#This Row],[Sum of tech]],-1,0),1,0)</f>
        <v>0</v>
      </c>
      <c r="L74" s="275">
        <f>COUNTIF(TblTech[[#This Row],[1-1]:[11-1]],1)</f>
        <v>0</v>
      </c>
      <c r="M74" s="276" cm="1">
        <f t="array" ref="M74">IF(AND(M$2&lt;&gt;0,TblTech[[#This Row],[Hour]:[Hour]]&gt;=M$2),1,0)</f>
        <v>0</v>
      </c>
      <c r="N74" s="276" cm="1">
        <f t="array" ref="N74">IF(AND(N$2&lt;&gt;0,TblTech[[#This Row],[Hour]:[Hour]]&gt;=N$2),1,0)</f>
        <v>0</v>
      </c>
      <c r="O74" s="276" cm="1">
        <f t="array" ref="O74">IF(AND(O$2&lt;&gt;0,TblTech[[#This Row],[Hour]:[Hour]]&gt;=O$2),1,0)</f>
        <v>0</v>
      </c>
      <c r="P74" s="276" cm="1">
        <f t="array" ref="P74">IF(AND(P$2&lt;&gt;0,TblTech[[#This Row],[Hour]:[Hour]]&gt;=P$2),1,0)</f>
        <v>0</v>
      </c>
      <c r="Q74" s="276" cm="1">
        <f t="array" ref="Q74">IF(AND(Q$2&lt;&gt;0,TblTech[[#This Row],[Hour]:[Hour]]&gt;=Q$2),1,0)</f>
        <v>0</v>
      </c>
      <c r="R74" s="276" cm="1">
        <f t="array" ref="R74">IF(AND(R$2&lt;&gt;0,TblTech[[#This Row],[Hour]:[Hour]]&gt;=R$2),1,0)</f>
        <v>0</v>
      </c>
      <c r="S74" s="276" cm="1">
        <f t="array" ref="S74">IF(AND(S$2&lt;&gt;0,TblTech[[#This Row],[Hour]:[Hour]]&gt;=S$2),1,0)</f>
        <v>0</v>
      </c>
      <c r="T74" s="276" cm="1">
        <f t="array" ref="T74">IF(AND(T$2&lt;&gt;0,TblTech[[#This Row],[Hour]:[Hour]]&gt;=T$2),1,0)</f>
        <v>0</v>
      </c>
      <c r="U74" s="276" cm="1">
        <f t="array" ref="U74">IF(AND(U$2&lt;&gt;0,TblTech[[#This Row],[Hour]:[Hour]]&gt;=U$2),1,0)</f>
        <v>0</v>
      </c>
      <c r="V74" s="276" cm="1">
        <f t="array" ref="V74">IF(AND(V$2&lt;&gt;0,TblTech[[#This Row],[Hour]:[Hour]]&gt;=V$2),1,0)</f>
        <v>0</v>
      </c>
      <c r="W74" s="276" cm="1">
        <f t="array" ref="W74">IF(AND(W$2&lt;&gt;0,TblTech[[#This Row],[Hour]:[Hour]]&gt;=W$2),1,0)</f>
        <v>0</v>
      </c>
      <c r="X74" s="276" cm="1">
        <f t="array" ref="X74">IF(AND(X$2&lt;&gt;0,TblTech[[#This Row],[Hour]:[Hour]]&gt;=X$2),1,0)</f>
        <v>0</v>
      </c>
      <c r="Y74" s="276" cm="1">
        <f t="array" ref="Y74">IF(AND(Y$2&lt;&gt;0,TblTech[[#This Row],[Hour]:[Hour]]&gt;=Y$2),1,0)</f>
        <v>0</v>
      </c>
      <c r="Z74" s="276" cm="1">
        <f t="array" ref="Z74">IF(AND(Z$2&lt;&gt;0,TblTech[[#This Row],[Hour]:[Hour]]&gt;=Z$2),1,0)</f>
        <v>0</v>
      </c>
      <c r="AA74" s="276" cm="1">
        <f t="array" ref="AA74">IF(AND(AA$2&lt;&gt;0,TblTech[[#This Row],[Hour]:[Hour]]&gt;=AA$2),1,0)</f>
        <v>0</v>
      </c>
      <c r="AB74" s="276" cm="1">
        <f t="array" ref="AB74">IF(AND(AB$2&lt;&gt;0,TblTech[[#This Row],[Hour]:[Hour]]&gt;=AB$2),1,0)</f>
        <v>0</v>
      </c>
      <c r="AC74" s="276" cm="1">
        <f t="array" ref="AC74">IF(AND(AC$2&lt;&gt;0,TblTech[[#This Row],[Hour]:[Hour]]&gt;=AC$2),1,0)</f>
        <v>0</v>
      </c>
      <c r="AD74" s="276" cm="1">
        <f t="array" ref="AD74">IF(AND(AD$2&lt;&gt;0,TblTech[[#This Row],[Hour]:[Hour]]&gt;=AD$2),1,0)</f>
        <v>0</v>
      </c>
      <c r="AE74" s="276" cm="1">
        <f t="array" ref="AE74">IF(AND(AE$2&lt;&gt;0,TblTech[[#This Row],[Hour]:[Hour]]&gt;=AE$2),1,0)</f>
        <v>0</v>
      </c>
      <c r="AF74" s="276" cm="1">
        <f t="array" ref="AF74">IF(AND(AF$2&lt;&gt;0,TblTech[[#This Row],[Hour]:[Hour]]&gt;=AF$2),1,0)</f>
        <v>0</v>
      </c>
      <c r="AG74" s="276" cm="1">
        <f t="array" ref="AG74">IF(AND(AG$2&lt;&gt;0,TblTech[[#This Row],[Hour]:[Hour]]&gt;=AG$2),1,0)</f>
        <v>0</v>
      </c>
      <c r="AH74" s="276" cm="1">
        <f t="array" ref="AH74">IF(AND(AH$2&lt;&gt;0,TblTech[[#This Row],[Hour]:[Hour]]&gt;=AH$2),1,0)</f>
        <v>0</v>
      </c>
      <c r="AI74" s="276" cm="1">
        <f t="array" ref="AI74">IF(AND(AI$2&lt;&gt;0,TblTech[[#This Row],[Hour]:[Hour]]&gt;=AI$2),1,0)</f>
        <v>0</v>
      </c>
      <c r="AJ74" s="276" cm="1">
        <f t="array" ref="AJ74">IF(AND(AJ$2&lt;&gt;0,TblTech[[#This Row],[Hour]:[Hour]]&gt;=AJ$2),1,0)</f>
        <v>0</v>
      </c>
      <c r="AK74" s="276" cm="1">
        <f t="array" ref="AK74">IF(AND(AK$2&lt;&gt;0,TblTech[[#This Row],[Hour]:[Hour]]&gt;=AK$2),1,0)</f>
        <v>0</v>
      </c>
      <c r="AL74" s="276" cm="1">
        <f t="array" ref="AL74">IF(AND(AL$2&lt;&gt;0,TblTech[[#This Row],[Hour]:[Hour]]&gt;=AL$2),1,0)</f>
        <v>0</v>
      </c>
      <c r="AM74" s="276" cm="1">
        <f t="array" ref="AM74">IF(AND(AM$2&lt;&gt;0,TblTech[[#This Row],[Hour]:[Hour]]&gt;=AM$2),1,0)</f>
        <v>0</v>
      </c>
      <c r="AN74" s="276" cm="1">
        <f t="array" ref="AN74">IF(AND(AN$2&lt;&gt;0,TblTech[[#This Row],[Hour]:[Hour]]&gt;=AN$2),1,0)</f>
        <v>0</v>
      </c>
      <c r="AO74" s="276" cm="1">
        <f t="array" ref="AO74">IF(AND(AO$2&lt;&gt;0,TblTech[[#This Row],[Hour]:[Hour]]&gt;=AO$2),1,0)</f>
        <v>0</v>
      </c>
      <c r="AP74" s="276" cm="1">
        <f t="array" ref="AP74">IF(AND(AP$2&lt;&gt;0,TblTech[[#This Row],[Hour]:[Hour]]&gt;=AP$2),1,0)</f>
        <v>0</v>
      </c>
      <c r="AQ74" s="276" cm="1">
        <f t="array" ref="AQ74">IF(AND(AQ$2&lt;&gt;0,TblTech[[#This Row],[Hour]:[Hour]]&gt;=AQ$2),1,0)</f>
        <v>0</v>
      </c>
      <c r="AR74" s="276" cm="1">
        <f t="array" ref="AR74">IF(AND(AR$2&lt;&gt;0,TblTech[[#This Row],[Hour]:[Hour]]&gt;=AR$2),1,0)</f>
        <v>0</v>
      </c>
      <c r="AS74" s="276" cm="1">
        <f t="array" ref="AS74">IF(AND(AS$2&lt;&gt;0,TblTech[[#This Row],[Hour]:[Hour]]&gt;=AS$2),1,0)</f>
        <v>0</v>
      </c>
      <c r="AT74" s="276" cm="1">
        <f t="array" ref="AT74">IF(AND(AT$2&lt;&gt;0,TblTech[[#This Row],[Hour]:[Hour]]&gt;=AT$2),1,0)</f>
        <v>0</v>
      </c>
      <c r="AU74" s="276" cm="1">
        <f t="array" ref="AU74">IF(AND(AU$2&lt;&gt;0,TblTech[[#This Row],[Hour]:[Hour]]&gt;=AU$2),1,0)</f>
        <v>0</v>
      </c>
      <c r="AV74" s="276" cm="1">
        <f t="array" ref="AV74">IF(AND(AV$2&lt;&gt;0,TblTech[[#This Row],[Hour]:[Hour]]&gt;=AV$2),1,0)</f>
        <v>0</v>
      </c>
      <c r="AW74" s="276" cm="1">
        <f t="array" ref="AW74">IF(AND(AW$2&lt;&gt;0,TblTech[[#This Row],[Hour]:[Hour]]&gt;=AW$2),1,0)</f>
        <v>0</v>
      </c>
      <c r="AX74" s="276" cm="1">
        <f t="array" ref="AX74">IF(AND(AX$2&lt;&gt;0,TblTech[[#This Row],[Hour]:[Hour]]&gt;=AX$2),1,0)</f>
        <v>0</v>
      </c>
      <c r="AY74" s="276" cm="1">
        <f t="array" ref="AY74">IF(AND(AY$2&lt;&gt;0,TblTech[[#This Row],[Hour]:[Hour]]&gt;=AY$2),1,0)</f>
        <v>0</v>
      </c>
      <c r="AZ74" s="276" cm="1">
        <f t="array" ref="AZ74">IF(AND(AZ$2&lt;&gt;0,TblTech[[#This Row],[Hour]:[Hour]]&gt;=AZ$2),1,0)</f>
        <v>0</v>
      </c>
      <c r="BA74" s="276" cm="1">
        <f t="array" ref="BA74">IF(AND(BA$2&lt;&gt;0,TblTech[[#This Row],[Hour]:[Hour]]&gt;=BA$2),1,0)</f>
        <v>0</v>
      </c>
      <c r="BB74" s="276" cm="1">
        <f t="array" ref="BB74">IF(AND(BB$2&lt;&gt;0,TblTech[[#This Row],[Hour]:[Hour]]&gt;=BB$2),1,0)</f>
        <v>0</v>
      </c>
      <c r="BC74" s="276" cm="1">
        <f t="array" ref="BC74">IF(AND(BC$2&lt;&gt;0,TblTech[[#This Row],[Hour]:[Hour]]&gt;=BC$2),1,0)</f>
        <v>0</v>
      </c>
      <c r="BD74" s="276" cm="1">
        <f t="array" ref="BD74">IF(AND(BD$2&lt;&gt;0,TblTech[[#This Row],[Hour]:[Hour]]&gt;=BD$2),1,0)</f>
        <v>0</v>
      </c>
      <c r="BE74" s="276" cm="1">
        <f t="array" ref="BE74">IF(AND(BE$2&lt;&gt;0,TblTech[[#This Row],[Hour]:[Hour]]&gt;=BE$2),1,0)</f>
        <v>0</v>
      </c>
      <c r="BF74" s="276" cm="1">
        <f t="array" ref="BF74">IF(AND(BF$2&lt;&gt;0,TblTech[[#This Row],[Hour]:[Hour]]&gt;=BF$2),1,0)</f>
        <v>0</v>
      </c>
      <c r="BG74" s="276" cm="1">
        <f t="array" ref="BG74">IF(AND(BG$2&lt;&gt;0,TblTech[[#This Row],[Hour]:[Hour]]&gt;=BG$2),1,0)</f>
        <v>0</v>
      </c>
      <c r="BH74" s="276" cm="1">
        <f t="array" ref="BH74">IF(AND(BH$2&lt;&gt;0,TblTech[[#This Row],[Hour]:[Hour]]&gt;=BH$2),1,0)</f>
        <v>0</v>
      </c>
      <c r="BI74" s="276" cm="1">
        <f t="array" ref="BI74">IF(AND(BI$2&lt;&gt;0,TblTech[[#This Row],[Hour]:[Hour]]&gt;=BI$2),1,0)</f>
        <v>0</v>
      </c>
      <c r="BJ74" s="276" cm="1">
        <f t="array" ref="BJ74">IF(AND(BJ$2&lt;&gt;0,TblTech[[#This Row],[Hour]:[Hour]]&gt;=BJ$2),1,0)</f>
        <v>0</v>
      </c>
      <c r="BK74" s="276" cm="1">
        <f t="array" ref="BK74">IF(AND(BK$2&lt;&gt;0,TblTech[[#This Row],[Hour]:[Hour]]&gt;=BK$2),1,0)</f>
        <v>0</v>
      </c>
      <c r="BL74" s="276" cm="1">
        <f t="array" ref="BL74">IF(AND(BL$2&lt;&gt;0,TblTech[[#This Row],[Hour]:[Hour]]&gt;=BL$2),1,0)</f>
        <v>0</v>
      </c>
      <c r="BM74" s="276" cm="1">
        <f t="array" ref="BM74">IF(AND(BM$2&lt;&gt;0,TblTech[[#This Row],[Hour]:[Hour]]&gt;=BM$2),1,0)</f>
        <v>0</v>
      </c>
      <c r="BN74" s="276" cm="1">
        <f t="array" ref="BN74">IF(AND(BN$2&lt;&gt;0,TblTech[[#This Row],[Hour]:[Hour]]&gt;=BN$2),1,0)</f>
        <v>0</v>
      </c>
      <c r="BO74" s="276" cm="1">
        <f t="array" ref="BO74">IF(AND(BO$2&lt;&gt;0,TblTech[[#This Row],[Hour]:[Hour]]&gt;=BO$2),1,0)</f>
        <v>0</v>
      </c>
      <c r="BP74" s="276" cm="1">
        <f t="array" ref="BP74">IF(AND(BP$2&lt;&gt;0,TblTech[[#This Row],[Hour]:[Hour]]&gt;=BP$2),1,0)</f>
        <v>0</v>
      </c>
      <c r="BQ74" s="276" cm="1">
        <f t="array" ref="BQ74">IF(AND(BQ$2&lt;&gt;0,TblTech[[#This Row],[Hour]:[Hour]]&gt;=BQ$2),1,0)</f>
        <v>0</v>
      </c>
      <c r="BR74" s="276" cm="1">
        <f t="array" ref="BR74">IF(AND(BR$2&lt;&gt;0,TblTech[[#This Row],[Hour]:[Hour]]&gt;=BR$2),1,0)</f>
        <v>0</v>
      </c>
      <c r="BS74" s="276" cm="1">
        <f t="array" ref="BS74">IF(AND(BS$2&lt;&gt;0,TblTech[[#This Row],[Hour]:[Hour]]&gt;=BS$2),1,0)</f>
        <v>0</v>
      </c>
      <c r="BT74" s="276" cm="1">
        <f t="array" ref="BT74">IF(AND(BT$2&lt;&gt;0,TblTech[[#This Row],[Hour]:[Hour]]&gt;=BT$2),1,0)</f>
        <v>0</v>
      </c>
      <c r="BU74" s="276" cm="1">
        <f t="array" ref="BU74">IF(AND(BU$2&lt;&gt;0,TblTech[[#This Row],[Hour]:[Hour]]&gt;=BU$2),1,0)</f>
        <v>0</v>
      </c>
      <c r="BV74" s="276" cm="1">
        <f t="array" ref="BV74">IF(AND(BV$2&lt;&gt;0,TblTech[[#This Row],[Hour]:[Hour]]&gt;=BV$2),1,0)</f>
        <v>0</v>
      </c>
      <c r="BW74" s="276" cm="1">
        <f t="array" ref="BW74">IF(AND(BW$2&lt;&gt;0,TblTech[[#This Row],[Hour]:[Hour]]&gt;=BW$2),1,0)</f>
        <v>0</v>
      </c>
      <c r="BX74" s="276" cm="1">
        <f t="array" ref="BX74">IF(AND(BX$2&lt;&gt;0,TblTech[[#This Row],[Hour]:[Hour]]&gt;=BX$2),1,0)</f>
        <v>0</v>
      </c>
      <c r="BY74" s="276" cm="1">
        <f t="array" ref="BY74">IF(AND(BY$2&lt;&gt;0,TblTech[[#This Row],[Hour]:[Hour]]&gt;=BY$2),1,0)</f>
        <v>0</v>
      </c>
      <c r="BZ74" s="276" cm="1">
        <f t="array" ref="BZ74">IF(AND(BZ$2&lt;&gt;0,TblTech[[#This Row],[Hour]:[Hour]]&gt;=BZ$2),1,0)</f>
        <v>0</v>
      </c>
      <c r="CA74" s="377">
        <f>IFERROR(INDEX($H$4:$H$79,MATCH(INDEX(TblTech[[#Headers],[1-1]:[11-1]],1,MATCH(TblTech[[#This Row],[Hour]],$M$2:$BZ$2,0)),$G$4:$G$79,0)),)</f>
        <v>0</v>
      </c>
    </row>
    <row r="75" spans="1:79" x14ac:dyDescent="0.2">
      <c r="A75" s="268">
        <f>TblRezone[[#This Row],[Hour]]</f>
        <v>72</v>
      </c>
      <c r="B75" s="269">
        <f ca="1">TblExplore[[#This Row],[Land-DB]]</f>
        <v>110</v>
      </c>
      <c r="C75" s="270">
        <f ca="1">TblProd[[#This Row],[Techpoints]]</f>
        <v>0</v>
      </c>
      <c r="D75" s="270">
        <f ca="1">TblProd[[#This Row],[Required]]</f>
        <v>3750</v>
      </c>
      <c r="E75" s="271"/>
      <c r="F75" s="272"/>
      <c r="G75" s="273"/>
      <c r="H75" s="274"/>
      <c r="I75" s="273"/>
      <c r="J75" s="269"/>
      <c r="K75" s="93">
        <f ca="1">IF(TblTech[[#This Row],[Sum of tech]]&lt;&gt;OFFSET(TblTech[[#This Row],[Sum of tech]],-1,0),1,0)</f>
        <v>0</v>
      </c>
      <c r="L75" s="275">
        <f>COUNTIF(TblTech[[#This Row],[1-1]:[11-1]],1)</f>
        <v>0</v>
      </c>
      <c r="M75" s="276" cm="1">
        <f t="array" ref="M75">IF(AND(M$2&lt;&gt;0,TblTech[[#This Row],[Hour]:[Hour]]&gt;=M$2),1,0)</f>
        <v>0</v>
      </c>
      <c r="N75" s="276" cm="1">
        <f t="array" ref="N75">IF(AND(N$2&lt;&gt;0,TblTech[[#This Row],[Hour]:[Hour]]&gt;=N$2),1,0)</f>
        <v>0</v>
      </c>
      <c r="O75" s="276" cm="1">
        <f t="array" ref="O75">IF(AND(O$2&lt;&gt;0,TblTech[[#This Row],[Hour]:[Hour]]&gt;=O$2),1,0)</f>
        <v>0</v>
      </c>
      <c r="P75" s="276" cm="1">
        <f t="array" ref="P75">IF(AND(P$2&lt;&gt;0,TblTech[[#This Row],[Hour]:[Hour]]&gt;=P$2),1,0)</f>
        <v>0</v>
      </c>
      <c r="Q75" s="276" cm="1">
        <f t="array" ref="Q75">IF(AND(Q$2&lt;&gt;0,TblTech[[#This Row],[Hour]:[Hour]]&gt;=Q$2),1,0)</f>
        <v>0</v>
      </c>
      <c r="R75" s="276" cm="1">
        <f t="array" ref="R75">IF(AND(R$2&lt;&gt;0,TblTech[[#This Row],[Hour]:[Hour]]&gt;=R$2),1,0)</f>
        <v>0</v>
      </c>
      <c r="S75" s="276" cm="1">
        <f t="array" ref="S75">IF(AND(S$2&lt;&gt;0,TblTech[[#This Row],[Hour]:[Hour]]&gt;=S$2),1,0)</f>
        <v>0</v>
      </c>
      <c r="T75" s="276" cm="1">
        <f t="array" ref="T75">IF(AND(T$2&lt;&gt;0,TblTech[[#This Row],[Hour]:[Hour]]&gt;=T$2),1,0)</f>
        <v>0</v>
      </c>
      <c r="U75" s="276" cm="1">
        <f t="array" ref="U75">IF(AND(U$2&lt;&gt;0,TblTech[[#This Row],[Hour]:[Hour]]&gt;=U$2),1,0)</f>
        <v>0</v>
      </c>
      <c r="V75" s="276" cm="1">
        <f t="array" ref="V75">IF(AND(V$2&lt;&gt;0,TblTech[[#This Row],[Hour]:[Hour]]&gt;=V$2),1,0)</f>
        <v>0</v>
      </c>
      <c r="W75" s="276" cm="1">
        <f t="array" ref="W75">IF(AND(W$2&lt;&gt;0,TblTech[[#This Row],[Hour]:[Hour]]&gt;=W$2),1,0)</f>
        <v>0</v>
      </c>
      <c r="X75" s="276" cm="1">
        <f t="array" ref="X75">IF(AND(X$2&lt;&gt;0,TblTech[[#This Row],[Hour]:[Hour]]&gt;=X$2),1,0)</f>
        <v>0</v>
      </c>
      <c r="Y75" s="276" cm="1">
        <f t="array" ref="Y75">IF(AND(Y$2&lt;&gt;0,TblTech[[#This Row],[Hour]:[Hour]]&gt;=Y$2),1,0)</f>
        <v>0</v>
      </c>
      <c r="Z75" s="276" cm="1">
        <f t="array" ref="Z75">IF(AND(Z$2&lt;&gt;0,TblTech[[#This Row],[Hour]:[Hour]]&gt;=Z$2),1,0)</f>
        <v>0</v>
      </c>
      <c r="AA75" s="276" cm="1">
        <f t="array" ref="AA75">IF(AND(AA$2&lt;&gt;0,TblTech[[#This Row],[Hour]:[Hour]]&gt;=AA$2),1,0)</f>
        <v>0</v>
      </c>
      <c r="AB75" s="276" cm="1">
        <f t="array" ref="AB75">IF(AND(AB$2&lt;&gt;0,TblTech[[#This Row],[Hour]:[Hour]]&gt;=AB$2),1,0)</f>
        <v>0</v>
      </c>
      <c r="AC75" s="276" cm="1">
        <f t="array" ref="AC75">IF(AND(AC$2&lt;&gt;0,TblTech[[#This Row],[Hour]:[Hour]]&gt;=AC$2),1,0)</f>
        <v>0</v>
      </c>
      <c r="AD75" s="276" cm="1">
        <f t="array" ref="AD75">IF(AND(AD$2&lt;&gt;0,TblTech[[#This Row],[Hour]:[Hour]]&gt;=AD$2),1,0)</f>
        <v>0</v>
      </c>
      <c r="AE75" s="276" cm="1">
        <f t="array" ref="AE75">IF(AND(AE$2&lt;&gt;0,TblTech[[#This Row],[Hour]:[Hour]]&gt;=AE$2),1,0)</f>
        <v>0</v>
      </c>
      <c r="AF75" s="276" cm="1">
        <f t="array" ref="AF75">IF(AND(AF$2&lt;&gt;0,TblTech[[#This Row],[Hour]:[Hour]]&gt;=AF$2),1,0)</f>
        <v>0</v>
      </c>
      <c r="AG75" s="276" cm="1">
        <f t="array" ref="AG75">IF(AND(AG$2&lt;&gt;0,TblTech[[#This Row],[Hour]:[Hour]]&gt;=AG$2),1,0)</f>
        <v>0</v>
      </c>
      <c r="AH75" s="276" cm="1">
        <f t="array" ref="AH75">IF(AND(AH$2&lt;&gt;0,TblTech[[#This Row],[Hour]:[Hour]]&gt;=AH$2),1,0)</f>
        <v>0</v>
      </c>
      <c r="AI75" s="276" cm="1">
        <f t="array" ref="AI75">IF(AND(AI$2&lt;&gt;0,TblTech[[#This Row],[Hour]:[Hour]]&gt;=AI$2),1,0)</f>
        <v>0</v>
      </c>
      <c r="AJ75" s="276" cm="1">
        <f t="array" ref="AJ75">IF(AND(AJ$2&lt;&gt;0,TblTech[[#This Row],[Hour]:[Hour]]&gt;=AJ$2),1,0)</f>
        <v>0</v>
      </c>
      <c r="AK75" s="276" cm="1">
        <f t="array" ref="AK75">IF(AND(AK$2&lt;&gt;0,TblTech[[#This Row],[Hour]:[Hour]]&gt;=AK$2),1,0)</f>
        <v>0</v>
      </c>
      <c r="AL75" s="276" cm="1">
        <f t="array" ref="AL75">IF(AND(AL$2&lt;&gt;0,TblTech[[#This Row],[Hour]:[Hour]]&gt;=AL$2),1,0)</f>
        <v>0</v>
      </c>
      <c r="AM75" s="276" cm="1">
        <f t="array" ref="AM75">IF(AND(AM$2&lt;&gt;0,TblTech[[#This Row],[Hour]:[Hour]]&gt;=AM$2),1,0)</f>
        <v>0</v>
      </c>
      <c r="AN75" s="276" cm="1">
        <f t="array" ref="AN75">IF(AND(AN$2&lt;&gt;0,TblTech[[#This Row],[Hour]:[Hour]]&gt;=AN$2),1,0)</f>
        <v>0</v>
      </c>
      <c r="AO75" s="276" cm="1">
        <f t="array" ref="AO75">IF(AND(AO$2&lt;&gt;0,TblTech[[#This Row],[Hour]:[Hour]]&gt;=AO$2),1,0)</f>
        <v>0</v>
      </c>
      <c r="AP75" s="276" cm="1">
        <f t="array" ref="AP75">IF(AND(AP$2&lt;&gt;0,TblTech[[#This Row],[Hour]:[Hour]]&gt;=AP$2),1,0)</f>
        <v>0</v>
      </c>
      <c r="AQ75" s="276" cm="1">
        <f t="array" ref="AQ75">IF(AND(AQ$2&lt;&gt;0,TblTech[[#This Row],[Hour]:[Hour]]&gt;=AQ$2),1,0)</f>
        <v>0</v>
      </c>
      <c r="AR75" s="276" cm="1">
        <f t="array" ref="AR75">IF(AND(AR$2&lt;&gt;0,TblTech[[#This Row],[Hour]:[Hour]]&gt;=AR$2),1,0)</f>
        <v>0</v>
      </c>
      <c r="AS75" s="276" cm="1">
        <f t="array" ref="AS75">IF(AND(AS$2&lt;&gt;0,TblTech[[#This Row],[Hour]:[Hour]]&gt;=AS$2),1,0)</f>
        <v>0</v>
      </c>
      <c r="AT75" s="276" cm="1">
        <f t="array" ref="AT75">IF(AND(AT$2&lt;&gt;0,TblTech[[#This Row],[Hour]:[Hour]]&gt;=AT$2),1,0)</f>
        <v>0</v>
      </c>
      <c r="AU75" s="276" cm="1">
        <f t="array" ref="AU75">IF(AND(AU$2&lt;&gt;0,TblTech[[#This Row],[Hour]:[Hour]]&gt;=AU$2),1,0)</f>
        <v>0</v>
      </c>
      <c r="AV75" s="276" cm="1">
        <f t="array" ref="AV75">IF(AND(AV$2&lt;&gt;0,TblTech[[#This Row],[Hour]:[Hour]]&gt;=AV$2),1,0)</f>
        <v>0</v>
      </c>
      <c r="AW75" s="276" cm="1">
        <f t="array" ref="AW75">IF(AND(AW$2&lt;&gt;0,TblTech[[#This Row],[Hour]:[Hour]]&gt;=AW$2),1,0)</f>
        <v>0</v>
      </c>
      <c r="AX75" s="276" cm="1">
        <f t="array" ref="AX75">IF(AND(AX$2&lt;&gt;0,TblTech[[#This Row],[Hour]:[Hour]]&gt;=AX$2),1,0)</f>
        <v>0</v>
      </c>
      <c r="AY75" s="276" cm="1">
        <f t="array" ref="AY75">IF(AND(AY$2&lt;&gt;0,TblTech[[#This Row],[Hour]:[Hour]]&gt;=AY$2),1,0)</f>
        <v>0</v>
      </c>
      <c r="AZ75" s="276" cm="1">
        <f t="array" ref="AZ75">IF(AND(AZ$2&lt;&gt;0,TblTech[[#This Row],[Hour]:[Hour]]&gt;=AZ$2),1,0)</f>
        <v>0</v>
      </c>
      <c r="BA75" s="276" cm="1">
        <f t="array" ref="BA75">IF(AND(BA$2&lt;&gt;0,TblTech[[#This Row],[Hour]:[Hour]]&gt;=BA$2),1,0)</f>
        <v>0</v>
      </c>
      <c r="BB75" s="276" cm="1">
        <f t="array" ref="BB75">IF(AND(BB$2&lt;&gt;0,TblTech[[#This Row],[Hour]:[Hour]]&gt;=BB$2),1,0)</f>
        <v>0</v>
      </c>
      <c r="BC75" s="276" cm="1">
        <f t="array" ref="BC75">IF(AND(BC$2&lt;&gt;0,TblTech[[#This Row],[Hour]:[Hour]]&gt;=BC$2),1,0)</f>
        <v>0</v>
      </c>
      <c r="BD75" s="276" cm="1">
        <f t="array" ref="BD75">IF(AND(BD$2&lt;&gt;0,TblTech[[#This Row],[Hour]:[Hour]]&gt;=BD$2),1,0)</f>
        <v>0</v>
      </c>
      <c r="BE75" s="276" cm="1">
        <f t="array" ref="BE75">IF(AND(BE$2&lt;&gt;0,TblTech[[#This Row],[Hour]:[Hour]]&gt;=BE$2),1,0)</f>
        <v>0</v>
      </c>
      <c r="BF75" s="276" cm="1">
        <f t="array" ref="BF75">IF(AND(BF$2&lt;&gt;0,TblTech[[#This Row],[Hour]:[Hour]]&gt;=BF$2),1,0)</f>
        <v>0</v>
      </c>
      <c r="BG75" s="276" cm="1">
        <f t="array" ref="BG75">IF(AND(BG$2&lt;&gt;0,TblTech[[#This Row],[Hour]:[Hour]]&gt;=BG$2),1,0)</f>
        <v>0</v>
      </c>
      <c r="BH75" s="276" cm="1">
        <f t="array" ref="BH75">IF(AND(BH$2&lt;&gt;0,TblTech[[#This Row],[Hour]:[Hour]]&gt;=BH$2),1,0)</f>
        <v>0</v>
      </c>
      <c r="BI75" s="276" cm="1">
        <f t="array" ref="BI75">IF(AND(BI$2&lt;&gt;0,TblTech[[#This Row],[Hour]:[Hour]]&gt;=BI$2),1,0)</f>
        <v>0</v>
      </c>
      <c r="BJ75" s="276" cm="1">
        <f t="array" ref="BJ75">IF(AND(BJ$2&lt;&gt;0,TblTech[[#This Row],[Hour]:[Hour]]&gt;=BJ$2),1,0)</f>
        <v>0</v>
      </c>
      <c r="BK75" s="276" cm="1">
        <f t="array" ref="BK75">IF(AND(BK$2&lt;&gt;0,TblTech[[#This Row],[Hour]:[Hour]]&gt;=BK$2),1,0)</f>
        <v>0</v>
      </c>
      <c r="BL75" s="276" cm="1">
        <f t="array" ref="BL75">IF(AND(BL$2&lt;&gt;0,TblTech[[#This Row],[Hour]:[Hour]]&gt;=BL$2),1,0)</f>
        <v>0</v>
      </c>
      <c r="BM75" s="276" cm="1">
        <f t="array" ref="BM75">IF(AND(BM$2&lt;&gt;0,TblTech[[#This Row],[Hour]:[Hour]]&gt;=BM$2),1,0)</f>
        <v>0</v>
      </c>
      <c r="BN75" s="276" cm="1">
        <f t="array" ref="BN75">IF(AND(BN$2&lt;&gt;0,TblTech[[#This Row],[Hour]:[Hour]]&gt;=BN$2),1,0)</f>
        <v>0</v>
      </c>
      <c r="BO75" s="276" cm="1">
        <f t="array" ref="BO75">IF(AND(BO$2&lt;&gt;0,TblTech[[#This Row],[Hour]:[Hour]]&gt;=BO$2),1,0)</f>
        <v>0</v>
      </c>
      <c r="BP75" s="276" cm="1">
        <f t="array" ref="BP75">IF(AND(BP$2&lt;&gt;0,TblTech[[#This Row],[Hour]:[Hour]]&gt;=BP$2),1,0)</f>
        <v>0</v>
      </c>
      <c r="BQ75" s="276" cm="1">
        <f t="array" ref="BQ75">IF(AND(BQ$2&lt;&gt;0,TblTech[[#This Row],[Hour]:[Hour]]&gt;=BQ$2),1,0)</f>
        <v>0</v>
      </c>
      <c r="BR75" s="276" cm="1">
        <f t="array" ref="BR75">IF(AND(BR$2&lt;&gt;0,TblTech[[#This Row],[Hour]:[Hour]]&gt;=BR$2),1,0)</f>
        <v>0</v>
      </c>
      <c r="BS75" s="276" cm="1">
        <f t="array" ref="BS75">IF(AND(BS$2&lt;&gt;0,TblTech[[#This Row],[Hour]:[Hour]]&gt;=BS$2),1,0)</f>
        <v>0</v>
      </c>
      <c r="BT75" s="276" cm="1">
        <f t="array" ref="BT75">IF(AND(BT$2&lt;&gt;0,TblTech[[#This Row],[Hour]:[Hour]]&gt;=BT$2),1,0)</f>
        <v>0</v>
      </c>
      <c r="BU75" s="276" cm="1">
        <f t="array" ref="BU75">IF(AND(BU$2&lt;&gt;0,TblTech[[#This Row],[Hour]:[Hour]]&gt;=BU$2),1,0)</f>
        <v>0</v>
      </c>
      <c r="BV75" s="276" cm="1">
        <f t="array" ref="BV75">IF(AND(BV$2&lt;&gt;0,TblTech[[#This Row],[Hour]:[Hour]]&gt;=BV$2),1,0)</f>
        <v>0</v>
      </c>
      <c r="BW75" s="276" cm="1">
        <f t="array" ref="BW75">IF(AND(BW$2&lt;&gt;0,TblTech[[#This Row],[Hour]:[Hour]]&gt;=BW$2),1,0)</f>
        <v>0</v>
      </c>
      <c r="BX75" s="276" cm="1">
        <f t="array" ref="BX75">IF(AND(BX$2&lt;&gt;0,TblTech[[#This Row],[Hour]:[Hour]]&gt;=BX$2),1,0)</f>
        <v>0</v>
      </c>
      <c r="BY75" s="276" cm="1">
        <f t="array" ref="BY75">IF(AND(BY$2&lt;&gt;0,TblTech[[#This Row],[Hour]:[Hour]]&gt;=BY$2),1,0)</f>
        <v>0</v>
      </c>
      <c r="BZ75" s="276" cm="1">
        <f t="array" ref="BZ75">IF(AND(BZ$2&lt;&gt;0,TblTech[[#This Row],[Hour]:[Hour]]&gt;=BZ$2),1,0)</f>
        <v>0</v>
      </c>
      <c r="CA75" s="377">
        <f>IFERROR(INDEX($H$4:$H$79,MATCH(INDEX(TblTech[[#Headers],[1-1]:[11-1]],1,MATCH(TblTech[[#This Row],[Hour]],$M$2:$BZ$2,0)),$G$4:$G$79,0)),)</f>
        <v>0</v>
      </c>
    </row>
    <row r="76" spans="1:79" x14ac:dyDescent="0.2">
      <c r="A76" s="268">
        <f>TblRezone[[#This Row],[Hour]]</f>
        <v>73</v>
      </c>
      <c r="B76" s="269">
        <f ca="1">TblExplore[[#This Row],[Land-DB]]</f>
        <v>110</v>
      </c>
      <c r="C76" s="270">
        <f ca="1">TblProd[[#This Row],[Techpoints]]</f>
        <v>0</v>
      </c>
      <c r="D76" s="270">
        <f ca="1">TblProd[[#This Row],[Required]]</f>
        <v>3750</v>
      </c>
      <c r="E76" s="271"/>
      <c r="F76" s="272"/>
      <c r="G76" s="273" t="s">
        <v>620</v>
      </c>
      <c r="H76" s="274" t="s">
        <v>724</v>
      </c>
      <c r="I76" s="273" t="s">
        <v>605</v>
      </c>
      <c r="J76" s="269"/>
      <c r="K76" s="93">
        <f ca="1">IF(TblTech[[#This Row],[Sum of tech]]&lt;&gt;OFFSET(TblTech[[#This Row],[Sum of tech]],-1,0),1,0)</f>
        <v>0</v>
      </c>
      <c r="L76" s="275">
        <f>COUNTIF(TblTech[[#This Row],[1-1]:[11-1]],1)</f>
        <v>0</v>
      </c>
      <c r="M76" s="276" cm="1">
        <f t="array" ref="M76">IF(AND(M$2&lt;&gt;0,TblTech[[#This Row],[Hour]:[Hour]]&gt;=M$2),1,0)</f>
        <v>0</v>
      </c>
      <c r="N76" s="276" cm="1">
        <f t="array" ref="N76">IF(AND(N$2&lt;&gt;0,TblTech[[#This Row],[Hour]:[Hour]]&gt;=N$2),1,0)</f>
        <v>0</v>
      </c>
      <c r="O76" s="276" cm="1">
        <f t="array" ref="O76">IF(AND(O$2&lt;&gt;0,TblTech[[#This Row],[Hour]:[Hour]]&gt;=O$2),1,0)</f>
        <v>0</v>
      </c>
      <c r="P76" s="276" cm="1">
        <f t="array" ref="P76">IF(AND(P$2&lt;&gt;0,TblTech[[#This Row],[Hour]:[Hour]]&gt;=P$2),1,0)</f>
        <v>0</v>
      </c>
      <c r="Q76" s="276" cm="1">
        <f t="array" ref="Q76">IF(AND(Q$2&lt;&gt;0,TblTech[[#This Row],[Hour]:[Hour]]&gt;=Q$2),1,0)</f>
        <v>0</v>
      </c>
      <c r="R76" s="276" cm="1">
        <f t="array" ref="R76">IF(AND(R$2&lt;&gt;0,TblTech[[#This Row],[Hour]:[Hour]]&gt;=R$2),1,0)</f>
        <v>0</v>
      </c>
      <c r="S76" s="276" cm="1">
        <f t="array" ref="S76">IF(AND(S$2&lt;&gt;0,TblTech[[#This Row],[Hour]:[Hour]]&gt;=S$2),1,0)</f>
        <v>0</v>
      </c>
      <c r="T76" s="276" cm="1">
        <f t="array" ref="T76">IF(AND(T$2&lt;&gt;0,TblTech[[#This Row],[Hour]:[Hour]]&gt;=T$2),1,0)</f>
        <v>0</v>
      </c>
      <c r="U76" s="276" cm="1">
        <f t="array" ref="U76">IF(AND(U$2&lt;&gt;0,TblTech[[#This Row],[Hour]:[Hour]]&gt;=U$2),1,0)</f>
        <v>0</v>
      </c>
      <c r="V76" s="276" cm="1">
        <f t="array" ref="V76">IF(AND(V$2&lt;&gt;0,TblTech[[#This Row],[Hour]:[Hour]]&gt;=V$2),1,0)</f>
        <v>0</v>
      </c>
      <c r="W76" s="276" cm="1">
        <f t="array" ref="W76">IF(AND(W$2&lt;&gt;0,TblTech[[#This Row],[Hour]:[Hour]]&gt;=W$2),1,0)</f>
        <v>0</v>
      </c>
      <c r="X76" s="276" cm="1">
        <f t="array" ref="X76">IF(AND(X$2&lt;&gt;0,TblTech[[#This Row],[Hour]:[Hour]]&gt;=X$2),1,0)</f>
        <v>0</v>
      </c>
      <c r="Y76" s="276" cm="1">
        <f t="array" ref="Y76">IF(AND(Y$2&lt;&gt;0,TblTech[[#This Row],[Hour]:[Hour]]&gt;=Y$2),1,0)</f>
        <v>0</v>
      </c>
      <c r="Z76" s="276" cm="1">
        <f t="array" ref="Z76">IF(AND(Z$2&lt;&gt;0,TblTech[[#This Row],[Hour]:[Hour]]&gt;=Z$2),1,0)</f>
        <v>0</v>
      </c>
      <c r="AA76" s="276" cm="1">
        <f t="array" ref="AA76">IF(AND(AA$2&lt;&gt;0,TblTech[[#This Row],[Hour]:[Hour]]&gt;=AA$2),1,0)</f>
        <v>0</v>
      </c>
      <c r="AB76" s="276" cm="1">
        <f t="array" ref="AB76">IF(AND(AB$2&lt;&gt;0,TblTech[[#This Row],[Hour]:[Hour]]&gt;=AB$2),1,0)</f>
        <v>0</v>
      </c>
      <c r="AC76" s="276" cm="1">
        <f t="array" ref="AC76">IF(AND(AC$2&lt;&gt;0,TblTech[[#This Row],[Hour]:[Hour]]&gt;=AC$2),1,0)</f>
        <v>0</v>
      </c>
      <c r="AD76" s="276" cm="1">
        <f t="array" ref="AD76">IF(AND(AD$2&lt;&gt;0,TblTech[[#This Row],[Hour]:[Hour]]&gt;=AD$2),1,0)</f>
        <v>0</v>
      </c>
      <c r="AE76" s="276" cm="1">
        <f t="array" ref="AE76">IF(AND(AE$2&lt;&gt;0,TblTech[[#This Row],[Hour]:[Hour]]&gt;=AE$2),1,0)</f>
        <v>0</v>
      </c>
      <c r="AF76" s="276" cm="1">
        <f t="array" ref="AF76">IF(AND(AF$2&lt;&gt;0,TblTech[[#This Row],[Hour]:[Hour]]&gt;=AF$2),1,0)</f>
        <v>0</v>
      </c>
      <c r="AG76" s="276" cm="1">
        <f t="array" ref="AG76">IF(AND(AG$2&lt;&gt;0,TblTech[[#This Row],[Hour]:[Hour]]&gt;=AG$2),1,0)</f>
        <v>0</v>
      </c>
      <c r="AH76" s="276" cm="1">
        <f t="array" ref="AH76">IF(AND(AH$2&lt;&gt;0,TblTech[[#This Row],[Hour]:[Hour]]&gt;=AH$2),1,0)</f>
        <v>0</v>
      </c>
      <c r="AI76" s="276" cm="1">
        <f t="array" ref="AI76">IF(AND(AI$2&lt;&gt;0,TblTech[[#This Row],[Hour]:[Hour]]&gt;=AI$2),1,0)</f>
        <v>0</v>
      </c>
      <c r="AJ76" s="276" cm="1">
        <f t="array" ref="AJ76">IF(AND(AJ$2&lt;&gt;0,TblTech[[#This Row],[Hour]:[Hour]]&gt;=AJ$2),1,0)</f>
        <v>0</v>
      </c>
      <c r="AK76" s="276" cm="1">
        <f t="array" ref="AK76">IF(AND(AK$2&lt;&gt;0,TblTech[[#This Row],[Hour]:[Hour]]&gt;=AK$2),1,0)</f>
        <v>0</v>
      </c>
      <c r="AL76" s="276" cm="1">
        <f t="array" ref="AL76">IF(AND(AL$2&lt;&gt;0,TblTech[[#This Row],[Hour]:[Hour]]&gt;=AL$2),1,0)</f>
        <v>0</v>
      </c>
      <c r="AM76" s="276" cm="1">
        <f t="array" ref="AM76">IF(AND(AM$2&lt;&gt;0,TblTech[[#This Row],[Hour]:[Hour]]&gt;=AM$2),1,0)</f>
        <v>0</v>
      </c>
      <c r="AN76" s="276" cm="1">
        <f t="array" ref="AN76">IF(AND(AN$2&lt;&gt;0,TblTech[[#This Row],[Hour]:[Hour]]&gt;=AN$2),1,0)</f>
        <v>0</v>
      </c>
      <c r="AO76" s="276" cm="1">
        <f t="array" ref="AO76">IF(AND(AO$2&lt;&gt;0,TblTech[[#This Row],[Hour]:[Hour]]&gt;=AO$2),1,0)</f>
        <v>0</v>
      </c>
      <c r="AP76" s="276" cm="1">
        <f t="array" ref="AP76">IF(AND(AP$2&lt;&gt;0,TblTech[[#This Row],[Hour]:[Hour]]&gt;=AP$2),1,0)</f>
        <v>0</v>
      </c>
      <c r="AQ76" s="276" cm="1">
        <f t="array" ref="AQ76">IF(AND(AQ$2&lt;&gt;0,TblTech[[#This Row],[Hour]:[Hour]]&gt;=AQ$2),1,0)</f>
        <v>0</v>
      </c>
      <c r="AR76" s="276" cm="1">
        <f t="array" ref="AR76">IF(AND(AR$2&lt;&gt;0,TblTech[[#This Row],[Hour]:[Hour]]&gt;=AR$2),1,0)</f>
        <v>0</v>
      </c>
      <c r="AS76" s="276" cm="1">
        <f t="array" ref="AS76">IF(AND(AS$2&lt;&gt;0,TblTech[[#This Row],[Hour]:[Hour]]&gt;=AS$2),1,0)</f>
        <v>0</v>
      </c>
      <c r="AT76" s="276" cm="1">
        <f t="array" ref="AT76">IF(AND(AT$2&lt;&gt;0,TblTech[[#This Row],[Hour]:[Hour]]&gt;=AT$2),1,0)</f>
        <v>0</v>
      </c>
      <c r="AU76" s="276" cm="1">
        <f t="array" ref="AU76">IF(AND(AU$2&lt;&gt;0,TblTech[[#This Row],[Hour]:[Hour]]&gt;=AU$2),1,0)</f>
        <v>0</v>
      </c>
      <c r="AV76" s="276" cm="1">
        <f t="array" ref="AV76">IF(AND(AV$2&lt;&gt;0,TblTech[[#This Row],[Hour]:[Hour]]&gt;=AV$2),1,0)</f>
        <v>0</v>
      </c>
      <c r="AW76" s="276" cm="1">
        <f t="array" ref="AW76">IF(AND(AW$2&lt;&gt;0,TblTech[[#This Row],[Hour]:[Hour]]&gt;=AW$2),1,0)</f>
        <v>0</v>
      </c>
      <c r="AX76" s="276" cm="1">
        <f t="array" ref="AX76">IF(AND(AX$2&lt;&gt;0,TblTech[[#This Row],[Hour]:[Hour]]&gt;=AX$2),1,0)</f>
        <v>0</v>
      </c>
      <c r="AY76" s="276" cm="1">
        <f t="array" ref="AY76">IF(AND(AY$2&lt;&gt;0,TblTech[[#This Row],[Hour]:[Hour]]&gt;=AY$2),1,0)</f>
        <v>0</v>
      </c>
      <c r="AZ76" s="276" cm="1">
        <f t="array" ref="AZ76">IF(AND(AZ$2&lt;&gt;0,TblTech[[#This Row],[Hour]:[Hour]]&gt;=AZ$2),1,0)</f>
        <v>0</v>
      </c>
      <c r="BA76" s="276" cm="1">
        <f t="array" ref="BA76">IF(AND(BA$2&lt;&gt;0,TblTech[[#This Row],[Hour]:[Hour]]&gt;=BA$2),1,0)</f>
        <v>0</v>
      </c>
      <c r="BB76" s="276" cm="1">
        <f t="array" ref="BB76">IF(AND(BB$2&lt;&gt;0,TblTech[[#This Row],[Hour]:[Hour]]&gt;=BB$2),1,0)</f>
        <v>0</v>
      </c>
      <c r="BC76" s="276" cm="1">
        <f t="array" ref="BC76">IF(AND(BC$2&lt;&gt;0,TblTech[[#This Row],[Hour]:[Hour]]&gt;=BC$2),1,0)</f>
        <v>0</v>
      </c>
      <c r="BD76" s="276" cm="1">
        <f t="array" ref="BD76">IF(AND(BD$2&lt;&gt;0,TblTech[[#This Row],[Hour]:[Hour]]&gt;=BD$2),1,0)</f>
        <v>0</v>
      </c>
      <c r="BE76" s="276" cm="1">
        <f t="array" ref="BE76">IF(AND(BE$2&lt;&gt;0,TblTech[[#This Row],[Hour]:[Hour]]&gt;=BE$2),1,0)</f>
        <v>0</v>
      </c>
      <c r="BF76" s="276" cm="1">
        <f t="array" ref="BF76">IF(AND(BF$2&lt;&gt;0,TblTech[[#This Row],[Hour]:[Hour]]&gt;=BF$2),1,0)</f>
        <v>0</v>
      </c>
      <c r="BG76" s="276" cm="1">
        <f t="array" ref="BG76">IF(AND(BG$2&lt;&gt;0,TblTech[[#This Row],[Hour]:[Hour]]&gt;=BG$2),1,0)</f>
        <v>0</v>
      </c>
      <c r="BH76" s="276" cm="1">
        <f t="array" ref="BH76">IF(AND(BH$2&lt;&gt;0,TblTech[[#This Row],[Hour]:[Hour]]&gt;=BH$2),1,0)</f>
        <v>0</v>
      </c>
      <c r="BI76" s="276" cm="1">
        <f t="array" ref="BI76">IF(AND(BI$2&lt;&gt;0,TblTech[[#This Row],[Hour]:[Hour]]&gt;=BI$2),1,0)</f>
        <v>0</v>
      </c>
      <c r="BJ76" s="276" cm="1">
        <f t="array" ref="BJ76">IF(AND(BJ$2&lt;&gt;0,TblTech[[#This Row],[Hour]:[Hour]]&gt;=BJ$2),1,0)</f>
        <v>0</v>
      </c>
      <c r="BK76" s="276" cm="1">
        <f t="array" ref="BK76">IF(AND(BK$2&lt;&gt;0,TblTech[[#This Row],[Hour]:[Hour]]&gt;=BK$2),1,0)</f>
        <v>0</v>
      </c>
      <c r="BL76" s="276" cm="1">
        <f t="array" ref="BL76">IF(AND(BL$2&lt;&gt;0,TblTech[[#This Row],[Hour]:[Hour]]&gt;=BL$2),1,0)</f>
        <v>0</v>
      </c>
      <c r="BM76" s="276" cm="1">
        <f t="array" ref="BM76">IF(AND(BM$2&lt;&gt;0,TblTech[[#This Row],[Hour]:[Hour]]&gt;=BM$2),1,0)</f>
        <v>0</v>
      </c>
      <c r="BN76" s="276" cm="1">
        <f t="array" ref="BN76">IF(AND(BN$2&lt;&gt;0,TblTech[[#This Row],[Hour]:[Hour]]&gt;=BN$2),1,0)</f>
        <v>0</v>
      </c>
      <c r="BO76" s="276" cm="1">
        <f t="array" ref="BO76">IF(AND(BO$2&lt;&gt;0,TblTech[[#This Row],[Hour]:[Hour]]&gt;=BO$2),1,0)</f>
        <v>0</v>
      </c>
      <c r="BP76" s="276" cm="1">
        <f t="array" ref="BP76">IF(AND(BP$2&lt;&gt;0,TblTech[[#This Row],[Hour]:[Hour]]&gt;=BP$2),1,0)</f>
        <v>0</v>
      </c>
      <c r="BQ76" s="276" cm="1">
        <f t="array" ref="BQ76">IF(AND(BQ$2&lt;&gt;0,TblTech[[#This Row],[Hour]:[Hour]]&gt;=BQ$2),1,0)</f>
        <v>0</v>
      </c>
      <c r="BR76" s="276" cm="1">
        <f t="array" ref="BR76">IF(AND(BR$2&lt;&gt;0,TblTech[[#This Row],[Hour]:[Hour]]&gt;=BR$2),1,0)</f>
        <v>0</v>
      </c>
      <c r="BS76" s="276" cm="1">
        <f t="array" ref="BS76">IF(AND(BS$2&lt;&gt;0,TblTech[[#This Row],[Hour]:[Hour]]&gt;=BS$2),1,0)</f>
        <v>0</v>
      </c>
      <c r="BT76" s="276" cm="1">
        <f t="array" ref="BT76">IF(AND(BT$2&lt;&gt;0,TblTech[[#This Row],[Hour]:[Hour]]&gt;=BT$2),1,0)</f>
        <v>0</v>
      </c>
      <c r="BU76" s="276" cm="1">
        <f t="array" ref="BU76">IF(AND(BU$2&lt;&gt;0,TblTech[[#This Row],[Hour]:[Hour]]&gt;=BU$2),1,0)</f>
        <v>0</v>
      </c>
      <c r="BV76" s="276" cm="1">
        <f t="array" ref="BV76">IF(AND(BV$2&lt;&gt;0,TblTech[[#This Row],[Hour]:[Hour]]&gt;=BV$2),1,0)</f>
        <v>0</v>
      </c>
      <c r="BW76" s="276" cm="1">
        <f t="array" ref="BW76">IF(AND(BW$2&lt;&gt;0,TblTech[[#This Row],[Hour]:[Hour]]&gt;=BW$2),1,0)</f>
        <v>0</v>
      </c>
      <c r="BX76" s="276" cm="1">
        <f t="array" ref="BX76">IF(AND(BX$2&lt;&gt;0,TblTech[[#This Row],[Hour]:[Hour]]&gt;=BX$2),1,0)</f>
        <v>0</v>
      </c>
      <c r="BY76" s="276" cm="1">
        <f t="array" ref="BY76">IF(AND(BY$2&lt;&gt;0,TblTech[[#This Row],[Hour]:[Hour]]&gt;=BY$2),1,0)</f>
        <v>0</v>
      </c>
      <c r="BZ76" s="276" cm="1">
        <f t="array" ref="BZ76">IF(AND(BZ$2&lt;&gt;0,TblTech[[#This Row],[Hour]:[Hour]]&gt;=BZ$2),1,0)</f>
        <v>0</v>
      </c>
      <c r="CA76" s="377">
        <f>IFERROR(INDEX($H$4:$H$79,MATCH(INDEX(TblTech[[#Headers],[1-1]:[11-1]],1,MATCH(TblTech[[#This Row],[Hour]],$M$2:$BZ$2,0)),$G$4:$G$79,0)),)</f>
        <v>0</v>
      </c>
    </row>
    <row r="77" spans="1:79" x14ac:dyDescent="0.2">
      <c r="A77" s="268">
        <f>TblRezone[[#This Row],[Hour]]</f>
        <v>74</v>
      </c>
      <c r="B77" s="269">
        <f ca="1">TblExplore[[#This Row],[Land-DB]]</f>
        <v>110</v>
      </c>
      <c r="C77" s="270">
        <f ca="1">TblProd[[#This Row],[Techpoints]]</f>
        <v>0</v>
      </c>
      <c r="D77" s="270">
        <f ca="1">TblProd[[#This Row],[Required]]</f>
        <v>3750</v>
      </c>
      <c r="E77" s="271"/>
      <c r="F77" s="272"/>
      <c r="G77" s="273" t="s">
        <v>622</v>
      </c>
      <c r="H77" s="274" t="s">
        <v>734</v>
      </c>
      <c r="I77" s="273" t="s">
        <v>621</v>
      </c>
      <c r="J77" s="269"/>
      <c r="K77" s="93">
        <f ca="1">IF(TblTech[[#This Row],[Sum of tech]]&lt;&gt;OFFSET(TblTech[[#This Row],[Sum of tech]],-1,0),1,0)</f>
        <v>0</v>
      </c>
      <c r="L77" s="275">
        <f>COUNTIF(TblTech[[#This Row],[1-1]:[11-1]],1)</f>
        <v>0</v>
      </c>
      <c r="M77" s="276" cm="1">
        <f t="array" ref="M77">IF(AND(M$2&lt;&gt;0,TblTech[[#This Row],[Hour]:[Hour]]&gt;=M$2),1,0)</f>
        <v>0</v>
      </c>
      <c r="N77" s="276" cm="1">
        <f t="array" ref="N77">IF(AND(N$2&lt;&gt;0,TblTech[[#This Row],[Hour]:[Hour]]&gt;=N$2),1,0)</f>
        <v>0</v>
      </c>
      <c r="O77" s="276" cm="1">
        <f t="array" ref="O77">IF(AND(O$2&lt;&gt;0,TblTech[[#This Row],[Hour]:[Hour]]&gt;=O$2),1,0)</f>
        <v>0</v>
      </c>
      <c r="P77" s="276" cm="1">
        <f t="array" ref="P77">IF(AND(P$2&lt;&gt;0,TblTech[[#This Row],[Hour]:[Hour]]&gt;=P$2),1,0)</f>
        <v>0</v>
      </c>
      <c r="Q77" s="276" cm="1">
        <f t="array" ref="Q77">IF(AND(Q$2&lt;&gt;0,TblTech[[#This Row],[Hour]:[Hour]]&gt;=Q$2),1,0)</f>
        <v>0</v>
      </c>
      <c r="R77" s="276" cm="1">
        <f t="array" ref="R77">IF(AND(R$2&lt;&gt;0,TblTech[[#This Row],[Hour]:[Hour]]&gt;=R$2),1,0)</f>
        <v>0</v>
      </c>
      <c r="S77" s="276" cm="1">
        <f t="array" ref="S77">IF(AND(S$2&lt;&gt;0,TblTech[[#This Row],[Hour]:[Hour]]&gt;=S$2),1,0)</f>
        <v>0</v>
      </c>
      <c r="T77" s="276" cm="1">
        <f t="array" ref="T77">IF(AND(T$2&lt;&gt;0,TblTech[[#This Row],[Hour]:[Hour]]&gt;=T$2),1,0)</f>
        <v>0</v>
      </c>
      <c r="U77" s="276" cm="1">
        <f t="array" ref="U77">IF(AND(U$2&lt;&gt;0,TblTech[[#This Row],[Hour]:[Hour]]&gt;=U$2),1,0)</f>
        <v>0</v>
      </c>
      <c r="V77" s="276" cm="1">
        <f t="array" ref="V77">IF(AND(V$2&lt;&gt;0,TblTech[[#This Row],[Hour]:[Hour]]&gt;=V$2),1,0)</f>
        <v>0</v>
      </c>
      <c r="W77" s="276" cm="1">
        <f t="array" ref="W77">IF(AND(W$2&lt;&gt;0,TblTech[[#This Row],[Hour]:[Hour]]&gt;=W$2),1,0)</f>
        <v>0</v>
      </c>
      <c r="X77" s="276" cm="1">
        <f t="array" ref="X77">IF(AND(X$2&lt;&gt;0,TblTech[[#This Row],[Hour]:[Hour]]&gt;=X$2),1,0)</f>
        <v>0</v>
      </c>
      <c r="Y77" s="276" cm="1">
        <f t="array" ref="Y77">IF(AND(Y$2&lt;&gt;0,TblTech[[#This Row],[Hour]:[Hour]]&gt;=Y$2),1,0)</f>
        <v>0</v>
      </c>
      <c r="Z77" s="276" cm="1">
        <f t="array" ref="Z77">IF(AND(Z$2&lt;&gt;0,TblTech[[#This Row],[Hour]:[Hour]]&gt;=Z$2),1,0)</f>
        <v>0</v>
      </c>
      <c r="AA77" s="276" cm="1">
        <f t="array" ref="AA77">IF(AND(AA$2&lt;&gt;0,TblTech[[#This Row],[Hour]:[Hour]]&gt;=AA$2),1,0)</f>
        <v>0</v>
      </c>
      <c r="AB77" s="276" cm="1">
        <f t="array" ref="AB77">IF(AND(AB$2&lt;&gt;0,TblTech[[#This Row],[Hour]:[Hour]]&gt;=AB$2),1,0)</f>
        <v>0</v>
      </c>
      <c r="AC77" s="276" cm="1">
        <f t="array" ref="AC77">IF(AND(AC$2&lt;&gt;0,TblTech[[#This Row],[Hour]:[Hour]]&gt;=AC$2),1,0)</f>
        <v>0</v>
      </c>
      <c r="AD77" s="276" cm="1">
        <f t="array" ref="AD77">IF(AND(AD$2&lt;&gt;0,TblTech[[#This Row],[Hour]:[Hour]]&gt;=AD$2),1,0)</f>
        <v>0</v>
      </c>
      <c r="AE77" s="276" cm="1">
        <f t="array" ref="AE77">IF(AND(AE$2&lt;&gt;0,TblTech[[#This Row],[Hour]:[Hour]]&gt;=AE$2),1,0)</f>
        <v>0</v>
      </c>
      <c r="AF77" s="276" cm="1">
        <f t="array" ref="AF77">IF(AND(AF$2&lt;&gt;0,TblTech[[#This Row],[Hour]:[Hour]]&gt;=AF$2),1,0)</f>
        <v>0</v>
      </c>
      <c r="AG77" s="276" cm="1">
        <f t="array" ref="AG77">IF(AND(AG$2&lt;&gt;0,TblTech[[#This Row],[Hour]:[Hour]]&gt;=AG$2),1,0)</f>
        <v>0</v>
      </c>
      <c r="AH77" s="276" cm="1">
        <f t="array" ref="AH77">IF(AND(AH$2&lt;&gt;0,TblTech[[#This Row],[Hour]:[Hour]]&gt;=AH$2),1,0)</f>
        <v>0</v>
      </c>
      <c r="AI77" s="276" cm="1">
        <f t="array" ref="AI77">IF(AND(AI$2&lt;&gt;0,TblTech[[#This Row],[Hour]:[Hour]]&gt;=AI$2),1,0)</f>
        <v>0</v>
      </c>
      <c r="AJ77" s="276" cm="1">
        <f t="array" ref="AJ77">IF(AND(AJ$2&lt;&gt;0,TblTech[[#This Row],[Hour]:[Hour]]&gt;=AJ$2),1,0)</f>
        <v>0</v>
      </c>
      <c r="AK77" s="276" cm="1">
        <f t="array" ref="AK77">IF(AND(AK$2&lt;&gt;0,TblTech[[#This Row],[Hour]:[Hour]]&gt;=AK$2),1,0)</f>
        <v>0</v>
      </c>
      <c r="AL77" s="276" cm="1">
        <f t="array" ref="AL77">IF(AND(AL$2&lt;&gt;0,TblTech[[#This Row],[Hour]:[Hour]]&gt;=AL$2),1,0)</f>
        <v>0</v>
      </c>
      <c r="AM77" s="276" cm="1">
        <f t="array" ref="AM77">IF(AND(AM$2&lt;&gt;0,TblTech[[#This Row],[Hour]:[Hour]]&gt;=AM$2),1,0)</f>
        <v>0</v>
      </c>
      <c r="AN77" s="276" cm="1">
        <f t="array" ref="AN77">IF(AND(AN$2&lt;&gt;0,TblTech[[#This Row],[Hour]:[Hour]]&gt;=AN$2),1,0)</f>
        <v>0</v>
      </c>
      <c r="AO77" s="276" cm="1">
        <f t="array" ref="AO77">IF(AND(AO$2&lt;&gt;0,TblTech[[#This Row],[Hour]:[Hour]]&gt;=AO$2),1,0)</f>
        <v>0</v>
      </c>
      <c r="AP77" s="276" cm="1">
        <f t="array" ref="AP77">IF(AND(AP$2&lt;&gt;0,TblTech[[#This Row],[Hour]:[Hour]]&gt;=AP$2),1,0)</f>
        <v>0</v>
      </c>
      <c r="AQ77" s="276" cm="1">
        <f t="array" ref="AQ77">IF(AND(AQ$2&lt;&gt;0,TblTech[[#This Row],[Hour]:[Hour]]&gt;=AQ$2),1,0)</f>
        <v>0</v>
      </c>
      <c r="AR77" s="276" cm="1">
        <f t="array" ref="AR77">IF(AND(AR$2&lt;&gt;0,TblTech[[#This Row],[Hour]:[Hour]]&gt;=AR$2),1,0)</f>
        <v>0</v>
      </c>
      <c r="AS77" s="276" cm="1">
        <f t="array" ref="AS77">IF(AND(AS$2&lt;&gt;0,TblTech[[#This Row],[Hour]:[Hour]]&gt;=AS$2),1,0)</f>
        <v>0</v>
      </c>
      <c r="AT77" s="276" cm="1">
        <f t="array" ref="AT77">IF(AND(AT$2&lt;&gt;0,TblTech[[#This Row],[Hour]:[Hour]]&gt;=AT$2),1,0)</f>
        <v>0</v>
      </c>
      <c r="AU77" s="276" cm="1">
        <f t="array" ref="AU77">IF(AND(AU$2&lt;&gt;0,TblTech[[#This Row],[Hour]:[Hour]]&gt;=AU$2),1,0)</f>
        <v>0</v>
      </c>
      <c r="AV77" s="276" cm="1">
        <f t="array" ref="AV77">IF(AND(AV$2&lt;&gt;0,TblTech[[#This Row],[Hour]:[Hour]]&gt;=AV$2),1,0)</f>
        <v>0</v>
      </c>
      <c r="AW77" s="276" cm="1">
        <f t="array" ref="AW77">IF(AND(AW$2&lt;&gt;0,TblTech[[#This Row],[Hour]:[Hour]]&gt;=AW$2),1,0)</f>
        <v>0</v>
      </c>
      <c r="AX77" s="276" cm="1">
        <f t="array" ref="AX77">IF(AND(AX$2&lt;&gt;0,TblTech[[#This Row],[Hour]:[Hour]]&gt;=AX$2),1,0)</f>
        <v>0</v>
      </c>
      <c r="AY77" s="276" cm="1">
        <f t="array" ref="AY77">IF(AND(AY$2&lt;&gt;0,TblTech[[#This Row],[Hour]:[Hour]]&gt;=AY$2),1,0)</f>
        <v>0</v>
      </c>
      <c r="AZ77" s="276" cm="1">
        <f t="array" ref="AZ77">IF(AND(AZ$2&lt;&gt;0,TblTech[[#This Row],[Hour]:[Hour]]&gt;=AZ$2),1,0)</f>
        <v>0</v>
      </c>
      <c r="BA77" s="276" cm="1">
        <f t="array" ref="BA77">IF(AND(BA$2&lt;&gt;0,TblTech[[#This Row],[Hour]:[Hour]]&gt;=BA$2),1,0)</f>
        <v>0</v>
      </c>
      <c r="BB77" s="276" cm="1">
        <f t="array" ref="BB77">IF(AND(BB$2&lt;&gt;0,TblTech[[#This Row],[Hour]:[Hour]]&gt;=BB$2),1,0)</f>
        <v>0</v>
      </c>
      <c r="BC77" s="276" cm="1">
        <f t="array" ref="BC77">IF(AND(BC$2&lt;&gt;0,TblTech[[#This Row],[Hour]:[Hour]]&gt;=BC$2),1,0)</f>
        <v>0</v>
      </c>
      <c r="BD77" s="276" cm="1">
        <f t="array" ref="BD77">IF(AND(BD$2&lt;&gt;0,TblTech[[#This Row],[Hour]:[Hour]]&gt;=BD$2),1,0)</f>
        <v>0</v>
      </c>
      <c r="BE77" s="276" cm="1">
        <f t="array" ref="BE77">IF(AND(BE$2&lt;&gt;0,TblTech[[#This Row],[Hour]:[Hour]]&gt;=BE$2),1,0)</f>
        <v>0</v>
      </c>
      <c r="BF77" s="276" cm="1">
        <f t="array" ref="BF77">IF(AND(BF$2&lt;&gt;0,TblTech[[#This Row],[Hour]:[Hour]]&gt;=BF$2),1,0)</f>
        <v>0</v>
      </c>
      <c r="BG77" s="276" cm="1">
        <f t="array" ref="BG77">IF(AND(BG$2&lt;&gt;0,TblTech[[#This Row],[Hour]:[Hour]]&gt;=BG$2),1,0)</f>
        <v>0</v>
      </c>
      <c r="BH77" s="276" cm="1">
        <f t="array" ref="BH77">IF(AND(BH$2&lt;&gt;0,TblTech[[#This Row],[Hour]:[Hour]]&gt;=BH$2),1,0)</f>
        <v>0</v>
      </c>
      <c r="BI77" s="276" cm="1">
        <f t="array" ref="BI77">IF(AND(BI$2&lt;&gt;0,TblTech[[#This Row],[Hour]:[Hour]]&gt;=BI$2),1,0)</f>
        <v>0</v>
      </c>
      <c r="BJ77" s="276" cm="1">
        <f t="array" ref="BJ77">IF(AND(BJ$2&lt;&gt;0,TblTech[[#This Row],[Hour]:[Hour]]&gt;=BJ$2),1,0)</f>
        <v>0</v>
      </c>
      <c r="BK77" s="276" cm="1">
        <f t="array" ref="BK77">IF(AND(BK$2&lt;&gt;0,TblTech[[#This Row],[Hour]:[Hour]]&gt;=BK$2),1,0)</f>
        <v>0</v>
      </c>
      <c r="BL77" s="276" cm="1">
        <f t="array" ref="BL77">IF(AND(BL$2&lt;&gt;0,TblTech[[#This Row],[Hour]:[Hour]]&gt;=BL$2),1,0)</f>
        <v>0</v>
      </c>
      <c r="BM77" s="276" cm="1">
        <f t="array" ref="BM77">IF(AND(BM$2&lt;&gt;0,TblTech[[#This Row],[Hour]:[Hour]]&gt;=BM$2),1,0)</f>
        <v>0</v>
      </c>
      <c r="BN77" s="276" cm="1">
        <f t="array" ref="BN77">IF(AND(BN$2&lt;&gt;0,TblTech[[#This Row],[Hour]:[Hour]]&gt;=BN$2),1,0)</f>
        <v>0</v>
      </c>
      <c r="BO77" s="276" cm="1">
        <f t="array" ref="BO77">IF(AND(BO$2&lt;&gt;0,TblTech[[#This Row],[Hour]:[Hour]]&gt;=BO$2),1,0)</f>
        <v>0</v>
      </c>
      <c r="BP77" s="276" cm="1">
        <f t="array" ref="BP77">IF(AND(BP$2&lt;&gt;0,TblTech[[#This Row],[Hour]:[Hour]]&gt;=BP$2),1,0)</f>
        <v>0</v>
      </c>
      <c r="BQ77" s="276" cm="1">
        <f t="array" ref="BQ77">IF(AND(BQ$2&lt;&gt;0,TblTech[[#This Row],[Hour]:[Hour]]&gt;=BQ$2),1,0)</f>
        <v>0</v>
      </c>
      <c r="BR77" s="276" cm="1">
        <f t="array" ref="BR77">IF(AND(BR$2&lt;&gt;0,TblTech[[#This Row],[Hour]:[Hour]]&gt;=BR$2),1,0)</f>
        <v>0</v>
      </c>
      <c r="BS77" s="276" cm="1">
        <f t="array" ref="BS77">IF(AND(BS$2&lt;&gt;0,TblTech[[#This Row],[Hour]:[Hour]]&gt;=BS$2),1,0)</f>
        <v>0</v>
      </c>
      <c r="BT77" s="276" cm="1">
        <f t="array" ref="BT77">IF(AND(BT$2&lt;&gt;0,TblTech[[#This Row],[Hour]:[Hour]]&gt;=BT$2),1,0)</f>
        <v>0</v>
      </c>
      <c r="BU77" s="276" cm="1">
        <f t="array" ref="BU77">IF(AND(BU$2&lt;&gt;0,TblTech[[#This Row],[Hour]:[Hour]]&gt;=BU$2),1,0)</f>
        <v>0</v>
      </c>
      <c r="BV77" s="276" cm="1">
        <f t="array" ref="BV77">IF(AND(BV$2&lt;&gt;0,TblTech[[#This Row],[Hour]:[Hour]]&gt;=BV$2),1,0)</f>
        <v>0</v>
      </c>
      <c r="BW77" s="276" cm="1">
        <f t="array" ref="BW77">IF(AND(BW$2&lt;&gt;0,TblTech[[#This Row],[Hour]:[Hour]]&gt;=BW$2),1,0)</f>
        <v>0</v>
      </c>
      <c r="BX77" s="276" cm="1">
        <f t="array" ref="BX77">IF(AND(BX$2&lt;&gt;0,TblTech[[#This Row],[Hour]:[Hour]]&gt;=BX$2),1,0)</f>
        <v>0</v>
      </c>
      <c r="BY77" s="276" cm="1">
        <f t="array" ref="BY77">IF(AND(BY$2&lt;&gt;0,TblTech[[#This Row],[Hour]:[Hour]]&gt;=BY$2),1,0)</f>
        <v>0</v>
      </c>
      <c r="BZ77" s="276" cm="1">
        <f t="array" ref="BZ77">IF(AND(BZ$2&lt;&gt;0,TblTech[[#This Row],[Hour]:[Hour]]&gt;=BZ$2),1,0)</f>
        <v>0</v>
      </c>
      <c r="CA77" s="377">
        <f>IFERROR(INDEX($H$4:$H$79,MATCH(INDEX(TblTech[[#Headers],[1-1]:[11-1]],1,MATCH(TblTech[[#This Row],[Hour]],$M$2:$BZ$2,0)),$G$4:$G$79,0)),)</f>
        <v>0</v>
      </c>
    </row>
    <row r="78" spans="1:79" x14ac:dyDescent="0.2">
      <c r="A78" s="268">
        <f>TblRezone[[#This Row],[Hour]]</f>
        <v>75</v>
      </c>
      <c r="B78" s="269">
        <f ca="1">TblExplore[[#This Row],[Land-DB]]</f>
        <v>110</v>
      </c>
      <c r="C78" s="270">
        <f ca="1">TblProd[[#This Row],[Techpoints]]</f>
        <v>0</v>
      </c>
      <c r="D78" s="270">
        <f ca="1">TblProd[[#This Row],[Required]]</f>
        <v>3750</v>
      </c>
      <c r="E78" s="271"/>
      <c r="F78" s="272"/>
      <c r="G78" s="273"/>
      <c r="H78" s="274"/>
      <c r="I78" s="273"/>
      <c r="J78" s="269"/>
      <c r="K78" s="93">
        <f ca="1">IF(TblTech[[#This Row],[Sum of tech]]&lt;&gt;OFFSET(TblTech[[#This Row],[Sum of tech]],-1,0),1,0)</f>
        <v>0</v>
      </c>
      <c r="L78" s="275">
        <f>COUNTIF(TblTech[[#This Row],[1-1]:[11-1]],1)</f>
        <v>0</v>
      </c>
      <c r="M78" s="276" cm="1">
        <f t="array" ref="M78">IF(AND(M$2&lt;&gt;0,TblTech[[#This Row],[Hour]:[Hour]]&gt;=M$2),1,0)</f>
        <v>0</v>
      </c>
      <c r="N78" s="276" cm="1">
        <f t="array" ref="N78">IF(AND(N$2&lt;&gt;0,TblTech[[#This Row],[Hour]:[Hour]]&gt;=N$2),1,0)</f>
        <v>0</v>
      </c>
      <c r="O78" s="276" cm="1">
        <f t="array" ref="O78">IF(AND(O$2&lt;&gt;0,TblTech[[#This Row],[Hour]:[Hour]]&gt;=O$2),1,0)</f>
        <v>0</v>
      </c>
      <c r="P78" s="276" cm="1">
        <f t="array" ref="P78">IF(AND(P$2&lt;&gt;0,TblTech[[#This Row],[Hour]:[Hour]]&gt;=P$2),1,0)</f>
        <v>0</v>
      </c>
      <c r="Q78" s="276" cm="1">
        <f t="array" ref="Q78">IF(AND(Q$2&lt;&gt;0,TblTech[[#This Row],[Hour]:[Hour]]&gt;=Q$2),1,0)</f>
        <v>0</v>
      </c>
      <c r="R78" s="276" cm="1">
        <f t="array" ref="R78">IF(AND(R$2&lt;&gt;0,TblTech[[#This Row],[Hour]:[Hour]]&gt;=R$2),1,0)</f>
        <v>0</v>
      </c>
      <c r="S78" s="276" cm="1">
        <f t="array" ref="S78">IF(AND(S$2&lt;&gt;0,TblTech[[#This Row],[Hour]:[Hour]]&gt;=S$2),1,0)</f>
        <v>0</v>
      </c>
      <c r="T78" s="276" cm="1">
        <f t="array" ref="T78">IF(AND(T$2&lt;&gt;0,TblTech[[#This Row],[Hour]:[Hour]]&gt;=T$2),1,0)</f>
        <v>0</v>
      </c>
      <c r="U78" s="276" cm="1">
        <f t="array" ref="U78">IF(AND(U$2&lt;&gt;0,TblTech[[#This Row],[Hour]:[Hour]]&gt;=U$2),1,0)</f>
        <v>0</v>
      </c>
      <c r="V78" s="276" cm="1">
        <f t="array" ref="V78">IF(AND(V$2&lt;&gt;0,TblTech[[#This Row],[Hour]:[Hour]]&gt;=V$2),1,0)</f>
        <v>0</v>
      </c>
      <c r="W78" s="276" cm="1">
        <f t="array" ref="W78">IF(AND(W$2&lt;&gt;0,TblTech[[#This Row],[Hour]:[Hour]]&gt;=W$2),1,0)</f>
        <v>0</v>
      </c>
      <c r="X78" s="276" cm="1">
        <f t="array" ref="X78">IF(AND(X$2&lt;&gt;0,TblTech[[#This Row],[Hour]:[Hour]]&gt;=X$2),1,0)</f>
        <v>0</v>
      </c>
      <c r="Y78" s="276" cm="1">
        <f t="array" ref="Y78">IF(AND(Y$2&lt;&gt;0,TblTech[[#This Row],[Hour]:[Hour]]&gt;=Y$2),1,0)</f>
        <v>0</v>
      </c>
      <c r="Z78" s="276" cm="1">
        <f t="array" ref="Z78">IF(AND(Z$2&lt;&gt;0,TblTech[[#This Row],[Hour]:[Hour]]&gt;=Z$2),1,0)</f>
        <v>0</v>
      </c>
      <c r="AA78" s="276" cm="1">
        <f t="array" ref="AA78">IF(AND(AA$2&lt;&gt;0,TblTech[[#This Row],[Hour]:[Hour]]&gt;=AA$2),1,0)</f>
        <v>0</v>
      </c>
      <c r="AB78" s="276" cm="1">
        <f t="array" ref="AB78">IF(AND(AB$2&lt;&gt;0,TblTech[[#This Row],[Hour]:[Hour]]&gt;=AB$2),1,0)</f>
        <v>0</v>
      </c>
      <c r="AC78" s="276" cm="1">
        <f t="array" ref="AC78">IF(AND(AC$2&lt;&gt;0,TblTech[[#This Row],[Hour]:[Hour]]&gt;=AC$2),1,0)</f>
        <v>0</v>
      </c>
      <c r="AD78" s="276" cm="1">
        <f t="array" ref="AD78">IF(AND(AD$2&lt;&gt;0,TblTech[[#This Row],[Hour]:[Hour]]&gt;=AD$2),1,0)</f>
        <v>0</v>
      </c>
      <c r="AE78" s="276" cm="1">
        <f t="array" ref="AE78">IF(AND(AE$2&lt;&gt;0,TblTech[[#This Row],[Hour]:[Hour]]&gt;=AE$2),1,0)</f>
        <v>0</v>
      </c>
      <c r="AF78" s="276" cm="1">
        <f t="array" ref="AF78">IF(AND(AF$2&lt;&gt;0,TblTech[[#This Row],[Hour]:[Hour]]&gt;=AF$2),1,0)</f>
        <v>0</v>
      </c>
      <c r="AG78" s="276" cm="1">
        <f t="array" ref="AG78">IF(AND(AG$2&lt;&gt;0,TblTech[[#This Row],[Hour]:[Hour]]&gt;=AG$2),1,0)</f>
        <v>0</v>
      </c>
      <c r="AH78" s="276" cm="1">
        <f t="array" ref="AH78">IF(AND(AH$2&lt;&gt;0,TblTech[[#This Row],[Hour]:[Hour]]&gt;=AH$2),1,0)</f>
        <v>0</v>
      </c>
      <c r="AI78" s="276" cm="1">
        <f t="array" ref="AI78">IF(AND(AI$2&lt;&gt;0,TblTech[[#This Row],[Hour]:[Hour]]&gt;=AI$2),1,0)</f>
        <v>0</v>
      </c>
      <c r="AJ78" s="276" cm="1">
        <f t="array" ref="AJ78">IF(AND(AJ$2&lt;&gt;0,TblTech[[#This Row],[Hour]:[Hour]]&gt;=AJ$2),1,0)</f>
        <v>0</v>
      </c>
      <c r="AK78" s="276" cm="1">
        <f t="array" ref="AK78">IF(AND(AK$2&lt;&gt;0,TblTech[[#This Row],[Hour]:[Hour]]&gt;=AK$2),1,0)</f>
        <v>0</v>
      </c>
      <c r="AL78" s="276" cm="1">
        <f t="array" ref="AL78">IF(AND(AL$2&lt;&gt;0,TblTech[[#This Row],[Hour]:[Hour]]&gt;=AL$2),1,0)</f>
        <v>0</v>
      </c>
      <c r="AM78" s="276" cm="1">
        <f t="array" ref="AM78">IF(AND(AM$2&lt;&gt;0,TblTech[[#This Row],[Hour]:[Hour]]&gt;=AM$2),1,0)</f>
        <v>0</v>
      </c>
      <c r="AN78" s="276" cm="1">
        <f t="array" ref="AN78">IF(AND(AN$2&lt;&gt;0,TblTech[[#This Row],[Hour]:[Hour]]&gt;=AN$2),1,0)</f>
        <v>0</v>
      </c>
      <c r="AO78" s="276" cm="1">
        <f t="array" ref="AO78">IF(AND(AO$2&lt;&gt;0,TblTech[[#This Row],[Hour]:[Hour]]&gt;=AO$2),1,0)</f>
        <v>0</v>
      </c>
      <c r="AP78" s="276" cm="1">
        <f t="array" ref="AP78">IF(AND(AP$2&lt;&gt;0,TblTech[[#This Row],[Hour]:[Hour]]&gt;=AP$2),1,0)</f>
        <v>0</v>
      </c>
      <c r="AQ78" s="276" cm="1">
        <f t="array" ref="AQ78">IF(AND(AQ$2&lt;&gt;0,TblTech[[#This Row],[Hour]:[Hour]]&gt;=AQ$2),1,0)</f>
        <v>0</v>
      </c>
      <c r="AR78" s="276" cm="1">
        <f t="array" ref="AR78">IF(AND(AR$2&lt;&gt;0,TblTech[[#This Row],[Hour]:[Hour]]&gt;=AR$2),1,0)</f>
        <v>0</v>
      </c>
      <c r="AS78" s="276" cm="1">
        <f t="array" ref="AS78">IF(AND(AS$2&lt;&gt;0,TblTech[[#This Row],[Hour]:[Hour]]&gt;=AS$2),1,0)</f>
        <v>0</v>
      </c>
      <c r="AT78" s="276" cm="1">
        <f t="array" ref="AT78">IF(AND(AT$2&lt;&gt;0,TblTech[[#This Row],[Hour]:[Hour]]&gt;=AT$2),1,0)</f>
        <v>0</v>
      </c>
      <c r="AU78" s="276" cm="1">
        <f t="array" ref="AU78">IF(AND(AU$2&lt;&gt;0,TblTech[[#This Row],[Hour]:[Hour]]&gt;=AU$2),1,0)</f>
        <v>0</v>
      </c>
      <c r="AV78" s="276" cm="1">
        <f t="array" ref="AV78">IF(AND(AV$2&lt;&gt;0,TblTech[[#This Row],[Hour]:[Hour]]&gt;=AV$2),1,0)</f>
        <v>0</v>
      </c>
      <c r="AW78" s="276" cm="1">
        <f t="array" ref="AW78">IF(AND(AW$2&lt;&gt;0,TblTech[[#This Row],[Hour]:[Hour]]&gt;=AW$2),1,0)</f>
        <v>0</v>
      </c>
      <c r="AX78" s="276" cm="1">
        <f t="array" ref="AX78">IF(AND(AX$2&lt;&gt;0,TblTech[[#This Row],[Hour]:[Hour]]&gt;=AX$2),1,0)</f>
        <v>0</v>
      </c>
      <c r="AY78" s="276" cm="1">
        <f t="array" ref="AY78">IF(AND(AY$2&lt;&gt;0,TblTech[[#This Row],[Hour]:[Hour]]&gt;=AY$2),1,0)</f>
        <v>0</v>
      </c>
      <c r="AZ78" s="276" cm="1">
        <f t="array" ref="AZ78">IF(AND(AZ$2&lt;&gt;0,TblTech[[#This Row],[Hour]:[Hour]]&gt;=AZ$2),1,0)</f>
        <v>0</v>
      </c>
      <c r="BA78" s="276" cm="1">
        <f t="array" ref="BA78">IF(AND(BA$2&lt;&gt;0,TblTech[[#This Row],[Hour]:[Hour]]&gt;=BA$2),1,0)</f>
        <v>0</v>
      </c>
      <c r="BB78" s="276" cm="1">
        <f t="array" ref="BB78">IF(AND(BB$2&lt;&gt;0,TblTech[[#This Row],[Hour]:[Hour]]&gt;=BB$2),1,0)</f>
        <v>0</v>
      </c>
      <c r="BC78" s="276" cm="1">
        <f t="array" ref="BC78">IF(AND(BC$2&lt;&gt;0,TblTech[[#This Row],[Hour]:[Hour]]&gt;=BC$2),1,0)</f>
        <v>0</v>
      </c>
      <c r="BD78" s="276" cm="1">
        <f t="array" ref="BD78">IF(AND(BD$2&lt;&gt;0,TblTech[[#This Row],[Hour]:[Hour]]&gt;=BD$2),1,0)</f>
        <v>0</v>
      </c>
      <c r="BE78" s="276" cm="1">
        <f t="array" ref="BE78">IF(AND(BE$2&lt;&gt;0,TblTech[[#This Row],[Hour]:[Hour]]&gt;=BE$2),1,0)</f>
        <v>0</v>
      </c>
      <c r="BF78" s="276" cm="1">
        <f t="array" ref="BF78">IF(AND(BF$2&lt;&gt;0,TblTech[[#This Row],[Hour]:[Hour]]&gt;=BF$2),1,0)</f>
        <v>0</v>
      </c>
      <c r="BG78" s="276" cm="1">
        <f t="array" ref="BG78">IF(AND(BG$2&lt;&gt;0,TblTech[[#This Row],[Hour]:[Hour]]&gt;=BG$2),1,0)</f>
        <v>0</v>
      </c>
      <c r="BH78" s="276" cm="1">
        <f t="array" ref="BH78">IF(AND(BH$2&lt;&gt;0,TblTech[[#This Row],[Hour]:[Hour]]&gt;=BH$2),1,0)</f>
        <v>0</v>
      </c>
      <c r="BI78" s="276" cm="1">
        <f t="array" ref="BI78">IF(AND(BI$2&lt;&gt;0,TblTech[[#This Row],[Hour]:[Hour]]&gt;=BI$2),1,0)</f>
        <v>0</v>
      </c>
      <c r="BJ78" s="276" cm="1">
        <f t="array" ref="BJ78">IF(AND(BJ$2&lt;&gt;0,TblTech[[#This Row],[Hour]:[Hour]]&gt;=BJ$2),1,0)</f>
        <v>0</v>
      </c>
      <c r="BK78" s="276" cm="1">
        <f t="array" ref="BK78">IF(AND(BK$2&lt;&gt;0,TblTech[[#This Row],[Hour]:[Hour]]&gt;=BK$2),1,0)</f>
        <v>0</v>
      </c>
      <c r="BL78" s="276" cm="1">
        <f t="array" ref="BL78">IF(AND(BL$2&lt;&gt;0,TblTech[[#This Row],[Hour]:[Hour]]&gt;=BL$2),1,0)</f>
        <v>0</v>
      </c>
      <c r="BM78" s="276" cm="1">
        <f t="array" ref="BM78">IF(AND(BM$2&lt;&gt;0,TblTech[[#This Row],[Hour]:[Hour]]&gt;=BM$2),1,0)</f>
        <v>0</v>
      </c>
      <c r="BN78" s="276" cm="1">
        <f t="array" ref="BN78">IF(AND(BN$2&lt;&gt;0,TblTech[[#This Row],[Hour]:[Hour]]&gt;=BN$2),1,0)</f>
        <v>0</v>
      </c>
      <c r="BO78" s="276" cm="1">
        <f t="array" ref="BO78">IF(AND(BO$2&lt;&gt;0,TblTech[[#This Row],[Hour]:[Hour]]&gt;=BO$2),1,0)</f>
        <v>0</v>
      </c>
      <c r="BP78" s="276" cm="1">
        <f t="array" ref="BP78">IF(AND(BP$2&lt;&gt;0,TblTech[[#This Row],[Hour]:[Hour]]&gt;=BP$2),1,0)</f>
        <v>0</v>
      </c>
      <c r="BQ78" s="276" cm="1">
        <f t="array" ref="BQ78">IF(AND(BQ$2&lt;&gt;0,TblTech[[#This Row],[Hour]:[Hour]]&gt;=BQ$2),1,0)</f>
        <v>0</v>
      </c>
      <c r="BR78" s="276" cm="1">
        <f t="array" ref="BR78">IF(AND(BR$2&lt;&gt;0,TblTech[[#This Row],[Hour]:[Hour]]&gt;=BR$2),1,0)</f>
        <v>0</v>
      </c>
      <c r="BS78" s="276" cm="1">
        <f t="array" ref="BS78">IF(AND(BS$2&lt;&gt;0,TblTech[[#This Row],[Hour]:[Hour]]&gt;=BS$2),1,0)</f>
        <v>0</v>
      </c>
      <c r="BT78" s="276" cm="1">
        <f t="array" ref="BT78">IF(AND(BT$2&lt;&gt;0,TblTech[[#This Row],[Hour]:[Hour]]&gt;=BT$2),1,0)</f>
        <v>0</v>
      </c>
      <c r="BU78" s="276" cm="1">
        <f t="array" ref="BU78">IF(AND(BU$2&lt;&gt;0,TblTech[[#This Row],[Hour]:[Hour]]&gt;=BU$2),1,0)</f>
        <v>0</v>
      </c>
      <c r="BV78" s="276" cm="1">
        <f t="array" ref="BV78">IF(AND(BV$2&lt;&gt;0,TblTech[[#This Row],[Hour]:[Hour]]&gt;=BV$2),1,0)</f>
        <v>0</v>
      </c>
      <c r="BW78" s="276" cm="1">
        <f t="array" ref="BW78">IF(AND(BW$2&lt;&gt;0,TblTech[[#This Row],[Hour]:[Hour]]&gt;=BW$2),1,0)</f>
        <v>0</v>
      </c>
      <c r="BX78" s="276" cm="1">
        <f t="array" ref="BX78">IF(AND(BX$2&lt;&gt;0,TblTech[[#This Row],[Hour]:[Hour]]&gt;=BX$2),1,0)</f>
        <v>0</v>
      </c>
      <c r="BY78" s="276" cm="1">
        <f t="array" ref="BY78">IF(AND(BY$2&lt;&gt;0,TblTech[[#This Row],[Hour]:[Hour]]&gt;=BY$2),1,0)</f>
        <v>0</v>
      </c>
      <c r="BZ78" s="276" cm="1">
        <f t="array" ref="BZ78">IF(AND(BZ$2&lt;&gt;0,TblTech[[#This Row],[Hour]:[Hour]]&gt;=BZ$2),1,0)</f>
        <v>0</v>
      </c>
      <c r="CA78" s="377">
        <f>IFERROR(INDEX($H$4:$H$79,MATCH(INDEX(TblTech[[#Headers],[1-1]:[11-1]],1,MATCH(TblTech[[#This Row],[Hour]],$M$2:$BZ$2,0)),$G$4:$G$79,0)),)</f>
        <v>0</v>
      </c>
    </row>
    <row r="79" spans="1:79" x14ac:dyDescent="0.2">
      <c r="A79" s="268">
        <f>TblRezone[[#This Row],[Hour]]</f>
        <v>76</v>
      </c>
      <c r="B79" s="269">
        <f ca="1">TblExplore[[#This Row],[Land-DB]]</f>
        <v>110</v>
      </c>
      <c r="C79" s="270">
        <f ca="1">TblProd[[#This Row],[Techpoints]]</f>
        <v>0</v>
      </c>
      <c r="D79" s="270">
        <f ca="1">TblProd[[#This Row],[Required]]</f>
        <v>3750</v>
      </c>
      <c r="E79" s="271"/>
      <c r="F79" s="272"/>
      <c r="G79" s="273" t="s">
        <v>623</v>
      </c>
      <c r="H79" s="274" t="s">
        <v>735</v>
      </c>
      <c r="I79" s="273" t="s">
        <v>624</v>
      </c>
      <c r="J79" s="269"/>
      <c r="K79" s="93">
        <f ca="1">IF(TblTech[[#This Row],[Sum of tech]]&lt;&gt;OFFSET(TblTech[[#This Row],[Sum of tech]],-1,0),1,0)</f>
        <v>0</v>
      </c>
      <c r="L79" s="275">
        <f>COUNTIF(TblTech[[#This Row],[1-1]:[11-1]],1)</f>
        <v>0</v>
      </c>
      <c r="M79" s="276" cm="1">
        <f t="array" ref="M79">IF(AND(M$2&lt;&gt;0,TblTech[[#This Row],[Hour]:[Hour]]&gt;=M$2),1,0)</f>
        <v>0</v>
      </c>
      <c r="N79" s="276" cm="1">
        <f t="array" ref="N79">IF(AND(N$2&lt;&gt;0,TblTech[[#This Row],[Hour]:[Hour]]&gt;=N$2),1,0)</f>
        <v>0</v>
      </c>
      <c r="O79" s="276" cm="1">
        <f t="array" ref="O79">IF(AND(O$2&lt;&gt;0,TblTech[[#This Row],[Hour]:[Hour]]&gt;=O$2),1,0)</f>
        <v>0</v>
      </c>
      <c r="P79" s="276" cm="1">
        <f t="array" ref="P79">IF(AND(P$2&lt;&gt;0,TblTech[[#This Row],[Hour]:[Hour]]&gt;=P$2),1,0)</f>
        <v>0</v>
      </c>
      <c r="Q79" s="276" cm="1">
        <f t="array" ref="Q79">IF(AND(Q$2&lt;&gt;0,TblTech[[#This Row],[Hour]:[Hour]]&gt;=Q$2),1,0)</f>
        <v>0</v>
      </c>
      <c r="R79" s="276" cm="1">
        <f t="array" ref="R79">IF(AND(R$2&lt;&gt;0,TblTech[[#This Row],[Hour]:[Hour]]&gt;=R$2),1,0)</f>
        <v>0</v>
      </c>
      <c r="S79" s="276" cm="1">
        <f t="array" ref="S79">IF(AND(S$2&lt;&gt;0,TblTech[[#This Row],[Hour]:[Hour]]&gt;=S$2),1,0)</f>
        <v>0</v>
      </c>
      <c r="T79" s="276" cm="1">
        <f t="array" ref="T79">IF(AND(T$2&lt;&gt;0,TblTech[[#This Row],[Hour]:[Hour]]&gt;=T$2),1,0)</f>
        <v>0</v>
      </c>
      <c r="U79" s="276" cm="1">
        <f t="array" ref="U79">IF(AND(U$2&lt;&gt;0,TblTech[[#This Row],[Hour]:[Hour]]&gt;=U$2),1,0)</f>
        <v>0</v>
      </c>
      <c r="V79" s="276" cm="1">
        <f t="array" ref="V79">IF(AND(V$2&lt;&gt;0,TblTech[[#This Row],[Hour]:[Hour]]&gt;=V$2),1,0)</f>
        <v>0</v>
      </c>
      <c r="W79" s="276" cm="1">
        <f t="array" ref="W79">IF(AND(W$2&lt;&gt;0,TblTech[[#This Row],[Hour]:[Hour]]&gt;=W$2),1,0)</f>
        <v>0</v>
      </c>
      <c r="X79" s="276" cm="1">
        <f t="array" ref="X79">IF(AND(X$2&lt;&gt;0,TblTech[[#This Row],[Hour]:[Hour]]&gt;=X$2),1,0)</f>
        <v>0</v>
      </c>
      <c r="Y79" s="276" cm="1">
        <f t="array" ref="Y79">IF(AND(Y$2&lt;&gt;0,TblTech[[#This Row],[Hour]:[Hour]]&gt;=Y$2),1,0)</f>
        <v>0</v>
      </c>
      <c r="Z79" s="276" cm="1">
        <f t="array" ref="Z79">IF(AND(Z$2&lt;&gt;0,TblTech[[#This Row],[Hour]:[Hour]]&gt;=Z$2),1,0)</f>
        <v>0</v>
      </c>
      <c r="AA79" s="276" cm="1">
        <f t="array" ref="AA79">IF(AND(AA$2&lt;&gt;0,TblTech[[#This Row],[Hour]:[Hour]]&gt;=AA$2),1,0)</f>
        <v>0</v>
      </c>
      <c r="AB79" s="276" cm="1">
        <f t="array" ref="AB79">IF(AND(AB$2&lt;&gt;0,TblTech[[#This Row],[Hour]:[Hour]]&gt;=AB$2),1,0)</f>
        <v>0</v>
      </c>
      <c r="AC79" s="276" cm="1">
        <f t="array" ref="AC79">IF(AND(AC$2&lt;&gt;0,TblTech[[#This Row],[Hour]:[Hour]]&gt;=AC$2),1,0)</f>
        <v>0</v>
      </c>
      <c r="AD79" s="276" cm="1">
        <f t="array" ref="AD79">IF(AND(AD$2&lt;&gt;0,TblTech[[#This Row],[Hour]:[Hour]]&gt;=AD$2),1,0)</f>
        <v>0</v>
      </c>
      <c r="AE79" s="276" cm="1">
        <f t="array" ref="AE79">IF(AND(AE$2&lt;&gt;0,TblTech[[#This Row],[Hour]:[Hour]]&gt;=AE$2),1,0)</f>
        <v>0</v>
      </c>
      <c r="AF79" s="276" cm="1">
        <f t="array" ref="AF79">IF(AND(AF$2&lt;&gt;0,TblTech[[#This Row],[Hour]:[Hour]]&gt;=AF$2),1,0)</f>
        <v>0</v>
      </c>
      <c r="AG79" s="276" cm="1">
        <f t="array" ref="AG79">IF(AND(AG$2&lt;&gt;0,TblTech[[#This Row],[Hour]:[Hour]]&gt;=AG$2),1,0)</f>
        <v>0</v>
      </c>
      <c r="AH79" s="276" cm="1">
        <f t="array" ref="AH79">IF(AND(AH$2&lt;&gt;0,TblTech[[#This Row],[Hour]:[Hour]]&gt;=AH$2),1,0)</f>
        <v>0</v>
      </c>
      <c r="AI79" s="276" cm="1">
        <f t="array" ref="AI79">IF(AND(AI$2&lt;&gt;0,TblTech[[#This Row],[Hour]:[Hour]]&gt;=AI$2),1,0)</f>
        <v>0</v>
      </c>
      <c r="AJ79" s="276" cm="1">
        <f t="array" ref="AJ79">IF(AND(AJ$2&lt;&gt;0,TblTech[[#This Row],[Hour]:[Hour]]&gt;=AJ$2),1,0)</f>
        <v>0</v>
      </c>
      <c r="AK79" s="276" cm="1">
        <f t="array" ref="AK79">IF(AND(AK$2&lt;&gt;0,TblTech[[#This Row],[Hour]:[Hour]]&gt;=AK$2),1,0)</f>
        <v>0</v>
      </c>
      <c r="AL79" s="276" cm="1">
        <f t="array" ref="AL79">IF(AND(AL$2&lt;&gt;0,TblTech[[#This Row],[Hour]:[Hour]]&gt;=AL$2),1,0)</f>
        <v>0</v>
      </c>
      <c r="AM79" s="276" cm="1">
        <f t="array" ref="AM79">IF(AND(AM$2&lt;&gt;0,TblTech[[#This Row],[Hour]:[Hour]]&gt;=AM$2),1,0)</f>
        <v>0</v>
      </c>
      <c r="AN79" s="276" cm="1">
        <f t="array" ref="AN79">IF(AND(AN$2&lt;&gt;0,TblTech[[#This Row],[Hour]:[Hour]]&gt;=AN$2),1,0)</f>
        <v>0</v>
      </c>
      <c r="AO79" s="276" cm="1">
        <f t="array" ref="AO79">IF(AND(AO$2&lt;&gt;0,TblTech[[#This Row],[Hour]:[Hour]]&gt;=AO$2),1,0)</f>
        <v>0</v>
      </c>
      <c r="AP79" s="276" cm="1">
        <f t="array" ref="AP79">IF(AND(AP$2&lt;&gt;0,TblTech[[#This Row],[Hour]:[Hour]]&gt;=AP$2),1,0)</f>
        <v>0</v>
      </c>
      <c r="AQ79" s="276" cm="1">
        <f t="array" ref="AQ79">IF(AND(AQ$2&lt;&gt;0,TblTech[[#This Row],[Hour]:[Hour]]&gt;=AQ$2),1,0)</f>
        <v>0</v>
      </c>
      <c r="AR79" s="276" cm="1">
        <f t="array" ref="AR79">IF(AND(AR$2&lt;&gt;0,TblTech[[#This Row],[Hour]:[Hour]]&gt;=AR$2),1,0)</f>
        <v>0</v>
      </c>
      <c r="AS79" s="276" cm="1">
        <f t="array" ref="AS79">IF(AND(AS$2&lt;&gt;0,TblTech[[#This Row],[Hour]:[Hour]]&gt;=AS$2),1,0)</f>
        <v>0</v>
      </c>
      <c r="AT79" s="276" cm="1">
        <f t="array" ref="AT79">IF(AND(AT$2&lt;&gt;0,TblTech[[#This Row],[Hour]:[Hour]]&gt;=AT$2),1,0)</f>
        <v>0</v>
      </c>
      <c r="AU79" s="276" cm="1">
        <f t="array" ref="AU79">IF(AND(AU$2&lt;&gt;0,TblTech[[#This Row],[Hour]:[Hour]]&gt;=AU$2),1,0)</f>
        <v>0</v>
      </c>
      <c r="AV79" s="276" cm="1">
        <f t="array" ref="AV79">IF(AND(AV$2&lt;&gt;0,TblTech[[#This Row],[Hour]:[Hour]]&gt;=AV$2),1,0)</f>
        <v>0</v>
      </c>
      <c r="AW79" s="276" cm="1">
        <f t="array" ref="AW79">IF(AND(AW$2&lt;&gt;0,TblTech[[#This Row],[Hour]:[Hour]]&gt;=AW$2),1,0)</f>
        <v>0</v>
      </c>
      <c r="AX79" s="276" cm="1">
        <f t="array" ref="AX79">IF(AND(AX$2&lt;&gt;0,TblTech[[#This Row],[Hour]:[Hour]]&gt;=AX$2),1,0)</f>
        <v>0</v>
      </c>
      <c r="AY79" s="276" cm="1">
        <f t="array" ref="AY79">IF(AND(AY$2&lt;&gt;0,TblTech[[#This Row],[Hour]:[Hour]]&gt;=AY$2),1,0)</f>
        <v>0</v>
      </c>
      <c r="AZ79" s="276" cm="1">
        <f t="array" ref="AZ79">IF(AND(AZ$2&lt;&gt;0,TblTech[[#This Row],[Hour]:[Hour]]&gt;=AZ$2),1,0)</f>
        <v>0</v>
      </c>
      <c r="BA79" s="276" cm="1">
        <f t="array" ref="BA79">IF(AND(BA$2&lt;&gt;0,TblTech[[#This Row],[Hour]:[Hour]]&gt;=BA$2),1,0)</f>
        <v>0</v>
      </c>
      <c r="BB79" s="276" cm="1">
        <f t="array" ref="BB79">IF(AND(BB$2&lt;&gt;0,TblTech[[#This Row],[Hour]:[Hour]]&gt;=BB$2),1,0)</f>
        <v>0</v>
      </c>
      <c r="BC79" s="276" cm="1">
        <f t="array" ref="BC79">IF(AND(BC$2&lt;&gt;0,TblTech[[#This Row],[Hour]:[Hour]]&gt;=BC$2),1,0)</f>
        <v>0</v>
      </c>
      <c r="BD79" s="276" cm="1">
        <f t="array" ref="BD79">IF(AND(BD$2&lt;&gt;0,TblTech[[#This Row],[Hour]:[Hour]]&gt;=BD$2),1,0)</f>
        <v>0</v>
      </c>
      <c r="BE79" s="276" cm="1">
        <f t="array" ref="BE79">IF(AND(BE$2&lt;&gt;0,TblTech[[#This Row],[Hour]:[Hour]]&gt;=BE$2),1,0)</f>
        <v>0</v>
      </c>
      <c r="BF79" s="276" cm="1">
        <f t="array" ref="BF79">IF(AND(BF$2&lt;&gt;0,TblTech[[#This Row],[Hour]:[Hour]]&gt;=BF$2),1,0)</f>
        <v>0</v>
      </c>
      <c r="BG79" s="276" cm="1">
        <f t="array" ref="BG79">IF(AND(BG$2&lt;&gt;0,TblTech[[#This Row],[Hour]:[Hour]]&gt;=BG$2),1,0)</f>
        <v>0</v>
      </c>
      <c r="BH79" s="276" cm="1">
        <f t="array" ref="BH79">IF(AND(BH$2&lt;&gt;0,TblTech[[#This Row],[Hour]:[Hour]]&gt;=BH$2),1,0)</f>
        <v>0</v>
      </c>
      <c r="BI79" s="276" cm="1">
        <f t="array" ref="BI79">IF(AND(BI$2&lt;&gt;0,TblTech[[#This Row],[Hour]:[Hour]]&gt;=BI$2),1,0)</f>
        <v>0</v>
      </c>
      <c r="BJ79" s="276" cm="1">
        <f t="array" ref="BJ79">IF(AND(BJ$2&lt;&gt;0,TblTech[[#This Row],[Hour]:[Hour]]&gt;=BJ$2),1,0)</f>
        <v>0</v>
      </c>
      <c r="BK79" s="276" cm="1">
        <f t="array" ref="BK79">IF(AND(BK$2&lt;&gt;0,TblTech[[#This Row],[Hour]:[Hour]]&gt;=BK$2),1,0)</f>
        <v>0</v>
      </c>
      <c r="BL79" s="276" cm="1">
        <f t="array" ref="BL79">IF(AND(BL$2&lt;&gt;0,TblTech[[#This Row],[Hour]:[Hour]]&gt;=BL$2),1,0)</f>
        <v>0</v>
      </c>
      <c r="BM79" s="276" cm="1">
        <f t="array" ref="BM79">IF(AND(BM$2&lt;&gt;0,TblTech[[#This Row],[Hour]:[Hour]]&gt;=BM$2),1,0)</f>
        <v>0</v>
      </c>
      <c r="BN79" s="276" cm="1">
        <f t="array" ref="BN79">IF(AND(BN$2&lt;&gt;0,TblTech[[#This Row],[Hour]:[Hour]]&gt;=BN$2),1,0)</f>
        <v>0</v>
      </c>
      <c r="BO79" s="276" cm="1">
        <f t="array" ref="BO79">IF(AND(BO$2&lt;&gt;0,TblTech[[#This Row],[Hour]:[Hour]]&gt;=BO$2),1,0)</f>
        <v>0</v>
      </c>
      <c r="BP79" s="276" cm="1">
        <f t="array" ref="BP79">IF(AND(BP$2&lt;&gt;0,TblTech[[#This Row],[Hour]:[Hour]]&gt;=BP$2),1,0)</f>
        <v>0</v>
      </c>
      <c r="BQ79" s="276" cm="1">
        <f t="array" ref="BQ79">IF(AND(BQ$2&lt;&gt;0,TblTech[[#This Row],[Hour]:[Hour]]&gt;=BQ$2),1,0)</f>
        <v>0</v>
      </c>
      <c r="BR79" s="276" cm="1">
        <f t="array" ref="BR79">IF(AND(BR$2&lt;&gt;0,TblTech[[#This Row],[Hour]:[Hour]]&gt;=BR$2),1,0)</f>
        <v>0</v>
      </c>
      <c r="BS79" s="276" cm="1">
        <f t="array" ref="BS79">IF(AND(BS$2&lt;&gt;0,TblTech[[#This Row],[Hour]:[Hour]]&gt;=BS$2),1,0)</f>
        <v>0</v>
      </c>
      <c r="BT79" s="276" cm="1">
        <f t="array" ref="BT79">IF(AND(BT$2&lt;&gt;0,TblTech[[#This Row],[Hour]:[Hour]]&gt;=BT$2),1,0)</f>
        <v>0</v>
      </c>
      <c r="BU79" s="276" cm="1">
        <f t="array" ref="BU79">IF(AND(BU$2&lt;&gt;0,TblTech[[#This Row],[Hour]:[Hour]]&gt;=BU$2),1,0)</f>
        <v>0</v>
      </c>
      <c r="BV79" s="276" cm="1">
        <f t="array" ref="BV79">IF(AND(BV$2&lt;&gt;0,TblTech[[#This Row],[Hour]:[Hour]]&gt;=BV$2),1,0)</f>
        <v>0</v>
      </c>
      <c r="BW79" s="276" cm="1">
        <f t="array" ref="BW79">IF(AND(BW$2&lt;&gt;0,TblTech[[#This Row],[Hour]:[Hour]]&gt;=BW$2),1,0)</f>
        <v>0</v>
      </c>
      <c r="BX79" s="276" cm="1">
        <f t="array" ref="BX79">IF(AND(BX$2&lt;&gt;0,TblTech[[#This Row],[Hour]:[Hour]]&gt;=BX$2),1,0)</f>
        <v>0</v>
      </c>
      <c r="BY79" s="276" cm="1">
        <f t="array" ref="BY79">IF(AND(BY$2&lt;&gt;0,TblTech[[#This Row],[Hour]:[Hour]]&gt;=BY$2),1,0)</f>
        <v>0</v>
      </c>
      <c r="BZ79" s="276" cm="1">
        <f t="array" ref="BZ79">IF(AND(BZ$2&lt;&gt;0,TblTech[[#This Row],[Hour]:[Hour]]&gt;=BZ$2),1,0)</f>
        <v>0</v>
      </c>
      <c r="CA79" s="377">
        <f>IFERROR(INDEX($H$4:$H$79,MATCH(INDEX(TblTech[[#Headers],[1-1]:[11-1]],1,MATCH(TblTech[[#This Row],[Hour]],$M$2:$BZ$2,0)),$G$4:$G$79,0)),)</f>
        <v>0</v>
      </c>
    </row>
    <row r="80" spans="1:79" x14ac:dyDescent="0.2">
      <c r="A80" s="268">
        <f>TblRezone[[#This Row],[Hour]]</f>
        <v>77</v>
      </c>
      <c r="B80" s="269">
        <f ca="1">TblExplore[[#This Row],[Land-DB]]</f>
        <v>110</v>
      </c>
      <c r="C80" s="270">
        <f ca="1">TblProd[[#This Row],[Techpoints]]</f>
        <v>0</v>
      </c>
      <c r="D80" s="270">
        <f ca="1">TblProd[[#This Row],[Required]]</f>
        <v>3750</v>
      </c>
      <c r="E80" s="271"/>
      <c r="F80" s="277"/>
      <c r="G80" s="278"/>
      <c r="H80" s="269"/>
      <c r="I80" s="269"/>
      <c r="J80" s="269"/>
      <c r="K80" s="93">
        <f ca="1">IF(TblTech[[#This Row],[Sum of tech]]&lt;&gt;OFFSET(TblTech[[#This Row],[Sum of tech]],-1,0),1,0)</f>
        <v>0</v>
      </c>
      <c r="L80" s="275">
        <f>COUNTIF(TblTech[[#This Row],[1-1]:[11-1]],1)</f>
        <v>0</v>
      </c>
      <c r="M80" s="276" cm="1">
        <f t="array" ref="M80">IF(AND(M$2&lt;&gt;0,TblTech[[#This Row],[Hour]:[Hour]]&gt;=M$2),1,0)</f>
        <v>0</v>
      </c>
      <c r="N80" s="276" cm="1">
        <f t="array" ref="N80">IF(AND(N$2&lt;&gt;0,TblTech[[#This Row],[Hour]:[Hour]]&gt;=N$2),1,0)</f>
        <v>0</v>
      </c>
      <c r="O80" s="276" cm="1">
        <f t="array" ref="O80">IF(AND(O$2&lt;&gt;0,TblTech[[#This Row],[Hour]:[Hour]]&gt;=O$2),1,0)</f>
        <v>0</v>
      </c>
      <c r="P80" s="276" cm="1">
        <f t="array" ref="P80">IF(AND(P$2&lt;&gt;0,TblTech[[#This Row],[Hour]:[Hour]]&gt;=P$2),1,0)</f>
        <v>0</v>
      </c>
      <c r="Q80" s="276" cm="1">
        <f t="array" ref="Q80">IF(AND(Q$2&lt;&gt;0,TblTech[[#This Row],[Hour]:[Hour]]&gt;=Q$2),1,0)</f>
        <v>0</v>
      </c>
      <c r="R80" s="276" cm="1">
        <f t="array" ref="R80">IF(AND(R$2&lt;&gt;0,TblTech[[#This Row],[Hour]:[Hour]]&gt;=R$2),1,0)</f>
        <v>0</v>
      </c>
      <c r="S80" s="276" cm="1">
        <f t="array" ref="S80">IF(AND(S$2&lt;&gt;0,TblTech[[#This Row],[Hour]:[Hour]]&gt;=S$2),1,0)</f>
        <v>0</v>
      </c>
      <c r="T80" s="276" cm="1">
        <f t="array" ref="T80">IF(AND(T$2&lt;&gt;0,TblTech[[#This Row],[Hour]:[Hour]]&gt;=T$2),1,0)</f>
        <v>0</v>
      </c>
      <c r="U80" s="276" cm="1">
        <f t="array" ref="U80">IF(AND(U$2&lt;&gt;0,TblTech[[#This Row],[Hour]:[Hour]]&gt;=U$2),1,0)</f>
        <v>0</v>
      </c>
      <c r="V80" s="276" cm="1">
        <f t="array" ref="V80">IF(AND(V$2&lt;&gt;0,TblTech[[#This Row],[Hour]:[Hour]]&gt;=V$2),1,0)</f>
        <v>0</v>
      </c>
      <c r="W80" s="276" cm="1">
        <f t="array" ref="W80">IF(AND(W$2&lt;&gt;0,TblTech[[#This Row],[Hour]:[Hour]]&gt;=W$2),1,0)</f>
        <v>0</v>
      </c>
      <c r="X80" s="276" cm="1">
        <f t="array" ref="X80">IF(AND(X$2&lt;&gt;0,TblTech[[#This Row],[Hour]:[Hour]]&gt;=X$2),1,0)</f>
        <v>0</v>
      </c>
      <c r="Y80" s="276" cm="1">
        <f t="array" ref="Y80">IF(AND(Y$2&lt;&gt;0,TblTech[[#This Row],[Hour]:[Hour]]&gt;=Y$2),1,0)</f>
        <v>0</v>
      </c>
      <c r="Z80" s="276" cm="1">
        <f t="array" ref="Z80">IF(AND(Z$2&lt;&gt;0,TblTech[[#This Row],[Hour]:[Hour]]&gt;=Z$2),1,0)</f>
        <v>0</v>
      </c>
      <c r="AA80" s="276" cm="1">
        <f t="array" ref="AA80">IF(AND(AA$2&lt;&gt;0,TblTech[[#This Row],[Hour]:[Hour]]&gt;=AA$2),1,0)</f>
        <v>0</v>
      </c>
      <c r="AB80" s="276" cm="1">
        <f t="array" ref="AB80">IF(AND(AB$2&lt;&gt;0,TblTech[[#This Row],[Hour]:[Hour]]&gt;=AB$2),1,0)</f>
        <v>0</v>
      </c>
      <c r="AC80" s="276" cm="1">
        <f t="array" ref="AC80">IF(AND(AC$2&lt;&gt;0,TblTech[[#This Row],[Hour]:[Hour]]&gt;=AC$2),1,0)</f>
        <v>0</v>
      </c>
      <c r="AD80" s="276" cm="1">
        <f t="array" ref="AD80">IF(AND(AD$2&lt;&gt;0,TblTech[[#This Row],[Hour]:[Hour]]&gt;=AD$2),1,0)</f>
        <v>0</v>
      </c>
      <c r="AE80" s="276" cm="1">
        <f t="array" ref="AE80">IF(AND(AE$2&lt;&gt;0,TblTech[[#This Row],[Hour]:[Hour]]&gt;=AE$2),1,0)</f>
        <v>0</v>
      </c>
      <c r="AF80" s="276" cm="1">
        <f t="array" ref="AF80">IF(AND(AF$2&lt;&gt;0,TblTech[[#This Row],[Hour]:[Hour]]&gt;=AF$2),1,0)</f>
        <v>0</v>
      </c>
      <c r="AG80" s="276" cm="1">
        <f t="array" ref="AG80">IF(AND(AG$2&lt;&gt;0,TblTech[[#This Row],[Hour]:[Hour]]&gt;=AG$2),1,0)</f>
        <v>0</v>
      </c>
      <c r="AH80" s="276" cm="1">
        <f t="array" ref="AH80">IF(AND(AH$2&lt;&gt;0,TblTech[[#This Row],[Hour]:[Hour]]&gt;=AH$2),1,0)</f>
        <v>0</v>
      </c>
      <c r="AI80" s="276" cm="1">
        <f t="array" ref="AI80">IF(AND(AI$2&lt;&gt;0,TblTech[[#This Row],[Hour]:[Hour]]&gt;=AI$2),1,0)</f>
        <v>0</v>
      </c>
      <c r="AJ80" s="276" cm="1">
        <f t="array" ref="AJ80">IF(AND(AJ$2&lt;&gt;0,TblTech[[#This Row],[Hour]:[Hour]]&gt;=AJ$2),1,0)</f>
        <v>0</v>
      </c>
      <c r="AK80" s="276" cm="1">
        <f t="array" ref="AK80">IF(AND(AK$2&lt;&gt;0,TblTech[[#This Row],[Hour]:[Hour]]&gt;=AK$2),1,0)</f>
        <v>0</v>
      </c>
      <c r="AL80" s="276" cm="1">
        <f t="array" ref="AL80">IF(AND(AL$2&lt;&gt;0,TblTech[[#This Row],[Hour]:[Hour]]&gt;=AL$2),1,0)</f>
        <v>0</v>
      </c>
      <c r="AM80" s="276" cm="1">
        <f t="array" ref="AM80">IF(AND(AM$2&lt;&gt;0,TblTech[[#This Row],[Hour]:[Hour]]&gt;=AM$2),1,0)</f>
        <v>0</v>
      </c>
      <c r="AN80" s="276" cm="1">
        <f t="array" ref="AN80">IF(AND(AN$2&lt;&gt;0,TblTech[[#This Row],[Hour]:[Hour]]&gt;=AN$2),1,0)</f>
        <v>0</v>
      </c>
      <c r="AO80" s="276" cm="1">
        <f t="array" ref="AO80">IF(AND(AO$2&lt;&gt;0,TblTech[[#This Row],[Hour]:[Hour]]&gt;=AO$2),1,0)</f>
        <v>0</v>
      </c>
      <c r="AP80" s="276" cm="1">
        <f t="array" ref="AP80">IF(AND(AP$2&lt;&gt;0,TblTech[[#This Row],[Hour]:[Hour]]&gt;=AP$2),1,0)</f>
        <v>0</v>
      </c>
      <c r="AQ80" s="276" cm="1">
        <f t="array" ref="AQ80">IF(AND(AQ$2&lt;&gt;0,TblTech[[#This Row],[Hour]:[Hour]]&gt;=AQ$2),1,0)</f>
        <v>0</v>
      </c>
      <c r="AR80" s="276" cm="1">
        <f t="array" ref="AR80">IF(AND(AR$2&lt;&gt;0,TblTech[[#This Row],[Hour]:[Hour]]&gt;=AR$2),1,0)</f>
        <v>0</v>
      </c>
      <c r="AS80" s="276" cm="1">
        <f t="array" ref="AS80">IF(AND(AS$2&lt;&gt;0,TblTech[[#This Row],[Hour]:[Hour]]&gt;=AS$2),1,0)</f>
        <v>0</v>
      </c>
      <c r="AT80" s="276" cm="1">
        <f t="array" ref="AT80">IF(AND(AT$2&lt;&gt;0,TblTech[[#This Row],[Hour]:[Hour]]&gt;=AT$2),1,0)</f>
        <v>0</v>
      </c>
      <c r="AU80" s="276" cm="1">
        <f t="array" ref="AU80">IF(AND(AU$2&lt;&gt;0,TblTech[[#This Row],[Hour]:[Hour]]&gt;=AU$2),1,0)</f>
        <v>0</v>
      </c>
      <c r="AV80" s="276" cm="1">
        <f t="array" ref="AV80">IF(AND(AV$2&lt;&gt;0,TblTech[[#This Row],[Hour]:[Hour]]&gt;=AV$2),1,0)</f>
        <v>0</v>
      </c>
      <c r="AW80" s="276" cm="1">
        <f t="array" ref="AW80">IF(AND(AW$2&lt;&gt;0,TblTech[[#This Row],[Hour]:[Hour]]&gt;=AW$2),1,0)</f>
        <v>0</v>
      </c>
      <c r="AX80" s="276" cm="1">
        <f t="array" ref="AX80">IF(AND(AX$2&lt;&gt;0,TblTech[[#This Row],[Hour]:[Hour]]&gt;=AX$2),1,0)</f>
        <v>0</v>
      </c>
      <c r="AY80" s="276" cm="1">
        <f t="array" ref="AY80">IF(AND(AY$2&lt;&gt;0,TblTech[[#This Row],[Hour]:[Hour]]&gt;=AY$2),1,0)</f>
        <v>0</v>
      </c>
      <c r="AZ80" s="276" cm="1">
        <f t="array" ref="AZ80">IF(AND(AZ$2&lt;&gt;0,TblTech[[#This Row],[Hour]:[Hour]]&gt;=AZ$2),1,0)</f>
        <v>0</v>
      </c>
      <c r="BA80" s="276" cm="1">
        <f t="array" ref="BA80">IF(AND(BA$2&lt;&gt;0,TblTech[[#This Row],[Hour]:[Hour]]&gt;=BA$2),1,0)</f>
        <v>0</v>
      </c>
      <c r="BB80" s="276" cm="1">
        <f t="array" ref="BB80">IF(AND(BB$2&lt;&gt;0,TblTech[[#This Row],[Hour]:[Hour]]&gt;=BB$2),1,0)</f>
        <v>0</v>
      </c>
      <c r="BC80" s="276" cm="1">
        <f t="array" ref="BC80">IF(AND(BC$2&lt;&gt;0,TblTech[[#This Row],[Hour]:[Hour]]&gt;=BC$2),1,0)</f>
        <v>0</v>
      </c>
      <c r="BD80" s="276" cm="1">
        <f t="array" ref="BD80">IF(AND(BD$2&lt;&gt;0,TblTech[[#This Row],[Hour]:[Hour]]&gt;=BD$2),1,0)</f>
        <v>0</v>
      </c>
      <c r="BE80" s="276" cm="1">
        <f t="array" ref="BE80">IF(AND(BE$2&lt;&gt;0,TblTech[[#This Row],[Hour]:[Hour]]&gt;=BE$2),1,0)</f>
        <v>0</v>
      </c>
      <c r="BF80" s="276" cm="1">
        <f t="array" ref="BF80">IF(AND(BF$2&lt;&gt;0,TblTech[[#This Row],[Hour]:[Hour]]&gt;=BF$2),1,0)</f>
        <v>0</v>
      </c>
      <c r="BG80" s="276" cm="1">
        <f t="array" ref="BG80">IF(AND(BG$2&lt;&gt;0,TblTech[[#This Row],[Hour]:[Hour]]&gt;=BG$2),1,0)</f>
        <v>0</v>
      </c>
      <c r="BH80" s="276" cm="1">
        <f t="array" ref="BH80">IF(AND(BH$2&lt;&gt;0,TblTech[[#This Row],[Hour]:[Hour]]&gt;=BH$2),1,0)</f>
        <v>0</v>
      </c>
      <c r="BI80" s="276" cm="1">
        <f t="array" ref="BI80">IF(AND(BI$2&lt;&gt;0,TblTech[[#This Row],[Hour]:[Hour]]&gt;=BI$2),1,0)</f>
        <v>0</v>
      </c>
      <c r="BJ80" s="276" cm="1">
        <f t="array" ref="BJ80">IF(AND(BJ$2&lt;&gt;0,TblTech[[#This Row],[Hour]:[Hour]]&gt;=BJ$2),1,0)</f>
        <v>0</v>
      </c>
      <c r="BK80" s="276" cm="1">
        <f t="array" ref="BK80">IF(AND(BK$2&lt;&gt;0,TblTech[[#This Row],[Hour]:[Hour]]&gt;=BK$2),1,0)</f>
        <v>0</v>
      </c>
      <c r="BL80" s="276" cm="1">
        <f t="array" ref="BL80">IF(AND(BL$2&lt;&gt;0,TblTech[[#This Row],[Hour]:[Hour]]&gt;=BL$2),1,0)</f>
        <v>0</v>
      </c>
      <c r="BM80" s="276" cm="1">
        <f t="array" ref="BM80">IF(AND(BM$2&lt;&gt;0,TblTech[[#This Row],[Hour]:[Hour]]&gt;=BM$2),1,0)</f>
        <v>0</v>
      </c>
      <c r="BN80" s="276" cm="1">
        <f t="array" ref="BN80">IF(AND(BN$2&lt;&gt;0,TblTech[[#This Row],[Hour]:[Hour]]&gt;=BN$2),1,0)</f>
        <v>0</v>
      </c>
      <c r="BO80" s="276" cm="1">
        <f t="array" ref="BO80">IF(AND(BO$2&lt;&gt;0,TblTech[[#This Row],[Hour]:[Hour]]&gt;=BO$2),1,0)</f>
        <v>0</v>
      </c>
      <c r="BP80" s="276" cm="1">
        <f t="array" ref="BP80">IF(AND(BP$2&lt;&gt;0,TblTech[[#This Row],[Hour]:[Hour]]&gt;=BP$2),1,0)</f>
        <v>0</v>
      </c>
      <c r="BQ80" s="276" cm="1">
        <f t="array" ref="BQ80">IF(AND(BQ$2&lt;&gt;0,TblTech[[#This Row],[Hour]:[Hour]]&gt;=BQ$2),1,0)</f>
        <v>0</v>
      </c>
      <c r="BR80" s="276" cm="1">
        <f t="array" ref="BR80">IF(AND(BR$2&lt;&gt;0,TblTech[[#This Row],[Hour]:[Hour]]&gt;=BR$2),1,0)</f>
        <v>0</v>
      </c>
      <c r="BS80" s="276" cm="1">
        <f t="array" ref="BS80">IF(AND(BS$2&lt;&gt;0,TblTech[[#This Row],[Hour]:[Hour]]&gt;=BS$2),1,0)</f>
        <v>0</v>
      </c>
      <c r="BT80" s="276" cm="1">
        <f t="array" ref="BT80">IF(AND(BT$2&lt;&gt;0,TblTech[[#This Row],[Hour]:[Hour]]&gt;=BT$2),1,0)</f>
        <v>0</v>
      </c>
      <c r="BU80" s="276" cm="1">
        <f t="array" ref="BU80">IF(AND(BU$2&lt;&gt;0,TblTech[[#This Row],[Hour]:[Hour]]&gt;=BU$2),1,0)</f>
        <v>0</v>
      </c>
      <c r="BV80" s="276" cm="1">
        <f t="array" ref="BV80">IF(AND(BV$2&lt;&gt;0,TblTech[[#This Row],[Hour]:[Hour]]&gt;=BV$2),1,0)</f>
        <v>0</v>
      </c>
      <c r="BW80" s="276" cm="1">
        <f t="array" ref="BW80">IF(AND(BW$2&lt;&gt;0,TblTech[[#This Row],[Hour]:[Hour]]&gt;=BW$2),1,0)</f>
        <v>0</v>
      </c>
      <c r="BX80" s="276" cm="1">
        <f t="array" ref="BX80">IF(AND(BX$2&lt;&gt;0,TblTech[[#This Row],[Hour]:[Hour]]&gt;=BX$2),1,0)</f>
        <v>0</v>
      </c>
      <c r="BY80" s="276" cm="1">
        <f t="array" ref="BY80">IF(AND(BY$2&lt;&gt;0,TblTech[[#This Row],[Hour]:[Hour]]&gt;=BY$2),1,0)</f>
        <v>0</v>
      </c>
      <c r="BZ80" s="276" cm="1">
        <f t="array" ref="BZ80">IF(AND(BZ$2&lt;&gt;0,TblTech[[#This Row],[Hour]:[Hour]]&gt;=BZ$2),1,0)</f>
        <v>0</v>
      </c>
      <c r="CA80" s="377">
        <f>IFERROR(INDEX($H$4:$H$79,MATCH(INDEX(TblTech[[#Headers],[1-1]:[11-1]],1,MATCH(TblTech[[#This Row],[Hour]],$M$2:$BZ$2,0)),$G$4:$G$79,0)),)</f>
        <v>0</v>
      </c>
    </row>
    <row r="81" spans="1:79" x14ac:dyDescent="0.2">
      <c r="A81" s="268">
        <f>TblRezone[[#This Row],[Hour]]</f>
        <v>78</v>
      </c>
      <c r="B81" s="269">
        <f ca="1">TblExplore[[#This Row],[Land-DB]]</f>
        <v>110</v>
      </c>
      <c r="C81" s="270">
        <f ca="1">TblProd[[#This Row],[Techpoints]]</f>
        <v>0</v>
      </c>
      <c r="D81" s="270">
        <f ca="1">TblProd[[#This Row],[Required]]</f>
        <v>3750</v>
      </c>
      <c r="E81" s="279"/>
      <c r="F81" s="280"/>
      <c r="G81" s="273"/>
      <c r="H81" s="274"/>
      <c r="I81" s="274"/>
      <c r="J81" s="274"/>
      <c r="K81" s="93">
        <f ca="1">IF(TblTech[[#This Row],[Sum of tech]]&lt;&gt;OFFSET(TblTech[[#This Row],[Sum of tech]],-1,0),1,0)</f>
        <v>0</v>
      </c>
      <c r="L81" s="275">
        <f>COUNTIF(TblTech[[#This Row],[1-1]:[11-1]],1)</f>
        <v>0</v>
      </c>
      <c r="M81" s="276" cm="1">
        <f t="array" ref="M81">IF(AND(M$2&lt;&gt;0,TblTech[[#This Row],[Hour]:[Hour]]&gt;=M$2),1,0)</f>
        <v>0</v>
      </c>
      <c r="N81" s="276" cm="1">
        <f t="array" ref="N81">IF(AND(N$2&lt;&gt;0,TblTech[[#This Row],[Hour]:[Hour]]&gt;=N$2),1,0)</f>
        <v>0</v>
      </c>
      <c r="O81" s="276" cm="1">
        <f t="array" ref="O81">IF(AND(O$2&lt;&gt;0,TblTech[[#This Row],[Hour]:[Hour]]&gt;=O$2),1,0)</f>
        <v>0</v>
      </c>
      <c r="P81" s="276" cm="1">
        <f t="array" ref="P81">IF(AND(P$2&lt;&gt;0,TblTech[[#This Row],[Hour]:[Hour]]&gt;=P$2),1,0)</f>
        <v>0</v>
      </c>
      <c r="Q81" s="276" cm="1">
        <f t="array" ref="Q81">IF(AND(Q$2&lt;&gt;0,TblTech[[#This Row],[Hour]:[Hour]]&gt;=Q$2),1,0)</f>
        <v>0</v>
      </c>
      <c r="R81" s="276" cm="1">
        <f t="array" ref="R81">IF(AND(R$2&lt;&gt;0,TblTech[[#This Row],[Hour]:[Hour]]&gt;=R$2),1,0)</f>
        <v>0</v>
      </c>
      <c r="S81" s="276" cm="1">
        <f t="array" ref="S81">IF(AND(S$2&lt;&gt;0,TblTech[[#This Row],[Hour]:[Hour]]&gt;=S$2),1,0)</f>
        <v>0</v>
      </c>
      <c r="T81" s="276" cm="1">
        <f t="array" ref="T81">IF(AND(T$2&lt;&gt;0,TblTech[[#This Row],[Hour]:[Hour]]&gt;=T$2),1,0)</f>
        <v>0</v>
      </c>
      <c r="U81" s="276" cm="1">
        <f t="array" ref="U81">IF(AND(U$2&lt;&gt;0,TblTech[[#This Row],[Hour]:[Hour]]&gt;=U$2),1,0)</f>
        <v>0</v>
      </c>
      <c r="V81" s="276" cm="1">
        <f t="array" ref="V81">IF(AND(V$2&lt;&gt;0,TblTech[[#This Row],[Hour]:[Hour]]&gt;=V$2),1,0)</f>
        <v>0</v>
      </c>
      <c r="W81" s="276" cm="1">
        <f t="array" ref="W81">IF(AND(W$2&lt;&gt;0,TblTech[[#This Row],[Hour]:[Hour]]&gt;=W$2),1,0)</f>
        <v>0</v>
      </c>
      <c r="X81" s="276" cm="1">
        <f t="array" ref="X81">IF(AND(X$2&lt;&gt;0,TblTech[[#This Row],[Hour]:[Hour]]&gt;=X$2),1,0)</f>
        <v>0</v>
      </c>
      <c r="Y81" s="276" cm="1">
        <f t="array" ref="Y81">IF(AND(Y$2&lt;&gt;0,TblTech[[#This Row],[Hour]:[Hour]]&gt;=Y$2),1,0)</f>
        <v>0</v>
      </c>
      <c r="Z81" s="276" cm="1">
        <f t="array" ref="Z81">IF(AND(Z$2&lt;&gt;0,TblTech[[#This Row],[Hour]:[Hour]]&gt;=Z$2),1,0)</f>
        <v>0</v>
      </c>
      <c r="AA81" s="276" cm="1">
        <f t="array" ref="AA81">IF(AND(AA$2&lt;&gt;0,TblTech[[#This Row],[Hour]:[Hour]]&gt;=AA$2),1,0)</f>
        <v>0</v>
      </c>
      <c r="AB81" s="276" cm="1">
        <f t="array" ref="AB81">IF(AND(AB$2&lt;&gt;0,TblTech[[#This Row],[Hour]:[Hour]]&gt;=AB$2),1,0)</f>
        <v>0</v>
      </c>
      <c r="AC81" s="276" cm="1">
        <f t="array" ref="AC81">IF(AND(AC$2&lt;&gt;0,TblTech[[#This Row],[Hour]:[Hour]]&gt;=AC$2),1,0)</f>
        <v>0</v>
      </c>
      <c r="AD81" s="276" cm="1">
        <f t="array" ref="AD81">IF(AND(AD$2&lt;&gt;0,TblTech[[#This Row],[Hour]:[Hour]]&gt;=AD$2),1,0)</f>
        <v>0</v>
      </c>
      <c r="AE81" s="276" cm="1">
        <f t="array" ref="AE81">IF(AND(AE$2&lt;&gt;0,TblTech[[#This Row],[Hour]:[Hour]]&gt;=AE$2),1,0)</f>
        <v>0</v>
      </c>
      <c r="AF81" s="276" cm="1">
        <f t="array" ref="AF81">IF(AND(AF$2&lt;&gt;0,TblTech[[#This Row],[Hour]:[Hour]]&gt;=AF$2),1,0)</f>
        <v>0</v>
      </c>
      <c r="AG81" s="276" cm="1">
        <f t="array" ref="AG81">IF(AND(AG$2&lt;&gt;0,TblTech[[#This Row],[Hour]:[Hour]]&gt;=AG$2),1,0)</f>
        <v>0</v>
      </c>
      <c r="AH81" s="276" cm="1">
        <f t="array" ref="AH81">IF(AND(AH$2&lt;&gt;0,TblTech[[#This Row],[Hour]:[Hour]]&gt;=AH$2),1,0)</f>
        <v>0</v>
      </c>
      <c r="AI81" s="276" cm="1">
        <f t="array" ref="AI81">IF(AND(AI$2&lt;&gt;0,TblTech[[#This Row],[Hour]:[Hour]]&gt;=AI$2),1,0)</f>
        <v>0</v>
      </c>
      <c r="AJ81" s="276" cm="1">
        <f t="array" ref="AJ81">IF(AND(AJ$2&lt;&gt;0,TblTech[[#This Row],[Hour]:[Hour]]&gt;=AJ$2),1,0)</f>
        <v>0</v>
      </c>
      <c r="AK81" s="276" cm="1">
        <f t="array" ref="AK81">IF(AND(AK$2&lt;&gt;0,TblTech[[#This Row],[Hour]:[Hour]]&gt;=AK$2),1,0)</f>
        <v>0</v>
      </c>
      <c r="AL81" s="276" cm="1">
        <f t="array" ref="AL81">IF(AND(AL$2&lt;&gt;0,TblTech[[#This Row],[Hour]:[Hour]]&gt;=AL$2),1,0)</f>
        <v>0</v>
      </c>
      <c r="AM81" s="276" cm="1">
        <f t="array" ref="AM81">IF(AND(AM$2&lt;&gt;0,TblTech[[#This Row],[Hour]:[Hour]]&gt;=AM$2),1,0)</f>
        <v>0</v>
      </c>
      <c r="AN81" s="276" cm="1">
        <f t="array" ref="AN81">IF(AND(AN$2&lt;&gt;0,TblTech[[#This Row],[Hour]:[Hour]]&gt;=AN$2),1,0)</f>
        <v>0</v>
      </c>
      <c r="AO81" s="276" cm="1">
        <f t="array" ref="AO81">IF(AND(AO$2&lt;&gt;0,TblTech[[#This Row],[Hour]:[Hour]]&gt;=AO$2),1,0)</f>
        <v>0</v>
      </c>
      <c r="AP81" s="276" cm="1">
        <f t="array" ref="AP81">IF(AND(AP$2&lt;&gt;0,TblTech[[#This Row],[Hour]:[Hour]]&gt;=AP$2),1,0)</f>
        <v>0</v>
      </c>
      <c r="AQ81" s="276" cm="1">
        <f t="array" ref="AQ81">IF(AND(AQ$2&lt;&gt;0,TblTech[[#This Row],[Hour]:[Hour]]&gt;=AQ$2),1,0)</f>
        <v>0</v>
      </c>
      <c r="AR81" s="276" cm="1">
        <f t="array" ref="AR81">IF(AND(AR$2&lt;&gt;0,TblTech[[#This Row],[Hour]:[Hour]]&gt;=AR$2),1,0)</f>
        <v>0</v>
      </c>
      <c r="AS81" s="276" cm="1">
        <f t="array" ref="AS81">IF(AND(AS$2&lt;&gt;0,TblTech[[#This Row],[Hour]:[Hour]]&gt;=AS$2),1,0)</f>
        <v>0</v>
      </c>
      <c r="AT81" s="276" cm="1">
        <f t="array" ref="AT81">IF(AND(AT$2&lt;&gt;0,TblTech[[#This Row],[Hour]:[Hour]]&gt;=AT$2),1,0)</f>
        <v>0</v>
      </c>
      <c r="AU81" s="276" cm="1">
        <f t="array" ref="AU81">IF(AND(AU$2&lt;&gt;0,TblTech[[#This Row],[Hour]:[Hour]]&gt;=AU$2),1,0)</f>
        <v>0</v>
      </c>
      <c r="AV81" s="276" cm="1">
        <f t="array" ref="AV81">IF(AND(AV$2&lt;&gt;0,TblTech[[#This Row],[Hour]:[Hour]]&gt;=AV$2),1,0)</f>
        <v>0</v>
      </c>
      <c r="AW81" s="276" cm="1">
        <f t="array" ref="AW81">IF(AND(AW$2&lt;&gt;0,TblTech[[#This Row],[Hour]:[Hour]]&gt;=AW$2),1,0)</f>
        <v>0</v>
      </c>
      <c r="AX81" s="276" cm="1">
        <f t="array" ref="AX81">IF(AND(AX$2&lt;&gt;0,TblTech[[#This Row],[Hour]:[Hour]]&gt;=AX$2),1,0)</f>
        <v>0</v>
      </c>
      <c r="AY81" s="276" cm="1">
        <f t="array" ref="AY81">IF(AND(AY$2&lt;&gt;0,TblTech[[#This Row],[Hour]:[Hour]]&gt;=AY$2),1,0)</f>
        <v>0</v>
      </c>
      <c r="AZ81" s="276" cm="1">
        <f t="array" ref="AZ81">IF(AND(AZ$2&lt;&gt;0,TblTech[[#This Row],[Hour]:[Hour]]&gt;=AZ$2),1,0)</f>
        <v>0</v>
      </c>
      <c r="BA81" s="276" cm="1">
        <f t="array" ref="BA81">IF(AND(BA$2&lt;&gt;0,TblTech[[#This Row],[Hour]:[Hour]]&gt;=BA$2),1,0)</f>
        <v>0</v>
      </c>
      <c r="BB81" s="276" cm="1">
        <f t="array" ref="BB81">IF(AND(BB$2&lt;&gt;0,TblTech[[#This Row],[Hour]:[Hour]]&gt;=BB$2),1,0)</f>
        <v>0</v>
      </c>
      <c r="BC81" s="276" cm="1">
        <f t="array" ref="BC81">IF(AND(BC$2&lt;&gt;0,TblTech[[#This Row],[Hour]:[Hour]]&gt;=BC$2),1,0)</f>
        <v>0</v>
      </c>
      <c r="BD81" s="276" cm="1">
        <f t="array" ref="BD81">IF(AND(BD$2&lt;&gt;0,TblTech[[#This Row],[Hour]:[Hour]]&gt;=BD$2),1,0)</f>
        <v>0</v>
      </c>
      <c r="BE81" s="276" cm="1">
        <f t="array" ref="BE81">IF(AND(BE$2&lt;&gt;0,TblTech[[#This Row],[Hour]:[Hour]]&gt;=BE$2),1,0)</f>
        <v>0</v>
      </c>
      <c r="BF81" s="276" cm="1">
        <f t="array" ref="BF81">IF(AND(BF$2&lt;&gt;0,TblTech[[#This Row],[Hour]:[Hour]]&gt;=BF$2),1,0)</f>
        <v>0</v>
      </c>
      <c r="BG81" s="276" cm="1">
        <f t="array" ref="BG81">IF(AND(BG$2&lt;&gt;0,TblTech[[#This Row],[Hour]:[Hour]]&gt;=BG$2),1,0)</f>
        <v>0</v>
      </c>
      <c r="BH81" s="276" cm="1">
        <f t="array" ref="BH81">IF(AND(BH$2&lt;&gt;0,TblTech[[#This Row],[Hour]:[Hour]]&gt;=BH$2),1,0)</f>
        <v>0</v>
      </c>
      <c r="BI81" s="276" cm="1">
        <f t="array" ref="BI81">IF(AND(BI$2&lt;&gt;0,TblTech[[#This Row],[Hour]:[Hour]]&gt;=BI$2),1,0)</f>
        <v>0</v>
      </c>
      <c r="BJ81" s="276" cm="1">
        <f t="array" ref="BJ81">IF(AND(BJ$2&lt;&gt;0,TblTech[[#This Row],[Hour]:[Hour]]&gt;=BJ$2),1,0)</f>
        <v>0</v>
      </c>
      <c r="BK81" s="276" cm="1">
        <f t="array" ref="BK81">IF(AND(BK$2&lt;&gt;0,TblTech[[#This Row],[Hour]:[Hour]]&gt;=BK$2),1,0)</f>
        <v>0</v>
      </c>
      <c r="BL81" s="276" cm="1">
        <f t="array" ref="BL81">IF(AND(BL$2&lt;&gt;0,TblTech[[#This Row],[Hour]:[Hour]]&gt;=BL$2),1,0)</f>
        <v>0</v>
      </c>
      <c r="BM81" s="276" cm="1">
        <f t="array" ref="BM81">IF(AND(BM$2&lt;&gt;0,TblTech[[#This Row],[Hour]:[Hour]]&gt;=BM$2),1,0)</f>
        <v>0</v>
      </c>
      <c r="BN81" s="276" cm="1">
        <f t="array" ref="BN81">IF(AND(BN$2&lt;&gt;0,TblTech[[#This Row],[Hour]:[Hour]]&gt;=BN$2),1,0)</f>
        <v>0</v>
      </c>
      <c r="BO81" s="276" cm="1">
        <f t="array" ref="BO81">IF(AND(BO$2&lt;&gt;0,TblTech[[#This Row],[Hour]:[Hour]]&gt;=BO$2),1,0)</f>
        <v>0</v>
      </c>
      <c r="BP81" s="276" cm="1">
        <f t="array" ref="BP81">IF(AND(BP$2&lt;&gt;0,TblTech[[#This Row],[Hour]:[Hour]]&gt;=BP$2),1,0)</f>
        <v>0</v>
      </c>
      <c r="BQ81" s="276" cm="1">
        <f t="array" ref="BQ81">IF(AND(BQ$2&lt;&gt;0,TblTech[[#This Row],[Hour]:[Hour]]&gt;=BQ$2),1,0)</f>
        <v>0</v>
      </c>
      <c r="BR81" s="276" cm="1">
        <f t="array" ref="BR81">IF(AND(BR$2&lt;&gt;0,TblTech[[#This Row],[Hour]:[Hour]]&gt;=BR$2),1,0)</f>
        <v>0</v>
      </c>
      <c r="BS81" s="276" cm="1">
        <f t="array" ref="BS81">IF(AND(BS$2&lt;&gt;0,TblTech[[#This Row],[Hour]:[Hour]]&gt;=BS$2),1,0)</f>
        <v>0</v>
      </c>
      <c r="BT81" s="276" cm="1">
        <f t="array" ref="BT81">IF(AND(BT$2&lt;&gt;0,TblTech[[#This Row],[Hour]:[Hour]]&gt;=BT$2),1,0)</f>
        <v>0</v>
      </c>
      <c r="BU81" s="276" cm="1">
        <f t="array" ref="BU81">IF(AND(BU$2&lt;&gt;0,TblTech[[#This Row],[Hour]:[Hour]]&gt;=BU$2),1,0)</f>
        <v>0</v>
      </c>
      <c r="BV81" s="276" cm="1">
        <f t="array" ref="BV81">IF(AND(BV$2&lt;&gt;0,TblTech[[#This Row],[Hour]:[Hour]]&gt;=BV$2),1,0)</f>
        <v>0</v>
      </c>
      <c r="BW81" s="276" cm="1">
        <f t="array" ref="BW81">IF(AND(BW$2&lt;&gt;0,TblTech[[#This Row],[Hour]:[Hour]]&gt;=BW$2),1,0)</f>
        <v>0</v>
      </c>
      <c r="BX81" s="276" cm="1">
        <f t="array" ref="BX81">IF(AND(BX$2&lt;&gt;0,TblTech[[#This Row],[Hour]:[Hour]]&gt;=BX$2),1,0)</f>
        <v>0</v>
      </c>
      <c r="BY81" s="276" cm="1">
        <f t="array" ref="BY81">IF(AND(BY$2&lt;&gt;0,TblTech[[#This Row],[Hour]:[Hour]]&gt;=BY$2),1,0)</f>
        <v>0</v>
      </c>
      <c r="BZ81" s="276" cm="1">
        <f t="array" ref="BZ81">IF(AND(BZ$2&lt;&gt;0,TblTech[[#This Row],[Hour]:[Hour]]&gt;=BZ$2),1,0)</f>
        <v>0</v>
      </c>
      <c r="CA81" s="377">
        <f>IFERROR(INDEX($H$4:$H$79,MATCH(INDEX(TblTech[[#Headers],[1-1]:[11-1]],1,MATCH(TblTech[[#This Row],[Hour]],$M$2:$BZ$2,0)),$G$4:$G$79,0)),)</f>
        <v>0</v>
      </c>
    </row>
    <row r="82" spans="1:79" x14ac:dyDescent="0.2">
      <c r="A82" s="268">
        <f>TblRezone[[#This Row],[Hour]]</f>
        <v>79</v>
      </c>
      <c r="B82" s="269">
        <f ca="1">TblExplore[[#This Row],[Land-DB]]</f>
        <v>110</v>
      </c>
      <c r="C82" s="270">
        <f ca="1">TblProd[[#This Row],[Techpoints]]</f>
        <v>0</v>
      </c>
      <c r="D82" s="270">
        <f ca="1">TblProd[[#This Row],[Required]]</f>
        <v>3750</v>
      </c>
      <c r="E82" s="279"/>
      <c r="F82" s="280"/>
      <c r="G82" s="273" t="s">
        <v>972</v>
      </c>
      <c r="H82" s="274"/>
      <c r="I82" s="274"/>
      <c r="J82" s="274"/>
      <c r="K82" s="93">
        <f ca="1">IF(TblTech[[#This Row],[Sum of tech]]&lt;&gt;OFFSET(TblTech[[#This Row],[Sum of tech]],-1,0),1,0)</f>
        <v>0</v>
      </c>
      <c r="L82" s="275">
        <f>COUNTIF(TblTech[[#This Row],[1-1]:[11-1]],1)</f>
        <v>0</v>
      </c>
      <c r="M82" s="276" cm="1">
        <f t="array" ref="M82">IF(AND(M$2&lt;&gt;0,TblTech[[#This Row],[Hour]:[Hour]]&gt;=M$2),1,0)</f>
        <v>0</v>
      </c>
      <c r="N82" s="276" cm="1">
        <f t="array" ref="N82">IF(AND(N$2&lt;&gt;0,TblTech[[#This Row],[Hour]:[Hour]]&gt;=N$2),1,0)</f>
        <v>0</v>
      </c>
      <c r="O82" s="276" cm="1">
        <f t="array" ref="O82">IF(AND(O$2&lt;&gt;0,TblTech[[#This Row],[Hour]:[Hour]]&gt;=O$2),1,0)</f>
        <v>0</v>
      </c>
      <c r="P82" s="276" cm="1">
        <f t="array" ref="P82">IF(AND(P$2&lt;&gt;0,TblTech[[#This Row],[Hour]:[Hour]]&gt;=P$2),1,0)</f>
        <v>0</v>
      </c>
      <c r="Q82" s="276" cm="1">
        <f t="array" ref="Q82">IF(AND(Q$2&lt;&gt;0,TblTech[[#This Row],[Hour]:[Hour]]&gt;=Q$2),1,0)</f>
        <v>0</v>
      </c>
      <c r="R82" s="276" cm="1">
        <f t="array" ref="R82">IF(AND(R$2&lt;&gt;0,TblTech[[#This Row],[Hour]:[Hour]]&gt;=R$2),1,0)</f>
        <v>0</v>
      </c>
      <c r="S82" s="276" cm="1">
        <f t="array" ref="S82">IF(AND(S$2&lt;&gt;0,TblTech[[#This Row],[Hour]:[Hour]]&gt;=S$2),1,0)</f>
        <v>0</v>
      </c>
      <c r="T82" s="276" cm="1">
        <f t="array" ref="T82">IF(AND(T$2&lt;&gt;0,TblTech[[#This Row],[Hour]:[Hour]]&gt;=T$2),1,0)</f>
        <v>0</v>
      </c>
      <c r="U82" s="276" cm="1">
        <f t="array" ref="U82">IF(AND(U$2&lt;&gt;0,TblTech[[#This Row],[Hour]:[Hour]]&gt;=U$2),1,0)</f>
        <v>0</v>
      </c>
      <c r="V82" s="276" cm="1">
        <f t="array" ref="V82">IF(AND(V$2&lt;&gt;0,TblTech[[#This Row],[Hour]:[Hour]]&gt;=V$2),1,0)</f>
        <v>0</v>
      </c>
      <c r="W82" s="276" cm="1">
        <f t="array" ref="W82">IF(AND(W$2&lt;&gt;0,TblTech[[#This Row],[Hour]:[Hour]]&gt;=W$2),1,0)</f>
        <v>0</v>
      </c>
      <c r="X82" s="276" cm="1">
        <f t="array" ref="X82">IF(AND(X$2&lt;&gt;0,TblTech[[#This Row],[Hour]:[Hour]]&gt;=X$2),1,0)</f>
        <v>0</v>
      </c>
      <c r="Y82" s="276" cm="1">
        <f t="array" ref="Y82">IF(AND(Y$2&lt;&gt;0,TblTech[[#This Row],[Hour]:[Hour]]&gt;=Y$2),1,0)</f>
        <v>0</v>
      </c>
      <c r="Z82" s="276" cm="1">
        <f t="array" ref="Z82">IF(AND(Z$2&lt;&gt;0,TblTech[[#This Row],[Hour]:[Hour]]&gt;=Z$2),1,0)</f>
        <v>0</v>
      </c>
      <c r="AA82" s="276" cm="1">
        <f t="array" ref="AA82">IF(AND(AA$2&lt;&gt;0,TblTech[[#This Row],[Hour]:[Hour]]&gt;=AA$2),1,0)</f>
        <v>0</v>
      </c>
      <c r="AB82" s="276" cm="1">
        <f t="array" ref="AB82">IF(AND(AB$2&lt;&gt;0,TblTech[[#This Row],[Hour]:[Hour]]&gt;=AB$2),1,0)</f>
        <v>0</v>
      </c>
      <c r="AC82" s="276" cm="1">
        <f t="array" ref="AC82">IF(AND(AC$2&lt;&gt;0,TblTech[[#This Row],[Hour]:[Hour]]&gt;=AC$2),1,0)</f>
        <v>0</v>
      </c>
      <c r="AD82" s="276" cm="1">
        <f t="array" ref="AD82">IF(AND(AD$2&lt;&gt;0,TblTech[[#This Row],[Hour]:[Hour]]&gt;=AD$2),1,0)</f>
        <v>0</v>
      </c>
      <c r="AE82" s="276" cm="1">
        <f t="array" ref="AE82">IF(AND(AE$2&lt;&gt;0,TblTech[[#This Row],[Hour]:[Hour]]&gt;=AE$2),1,0)</f>
        <v>0</v>
      </c>
      <c r="AF82" s="276" cm="1">
        <f t="array" ref="AF82">IF(AND(AF$2&lt;&gt;0,TblTech[[#This Row],[Hour]:[Hour]]&gt;=AF$2),1,0)</f>
        <v>0</v>
      </c>
      <c r="AG82" s="276" cm="1">
        <f t="array" ref="AG82">IF(AND(AG$2&lt;&gt;0,TblTech[[#This Row],[Hour]:[Hour]]&gt;=AG$2),1,0)</f>
        <v>0</v>
      </c>
      <c r="AH82" s="276" cm="1">
        <f t="array" ref="AH82">IF(AND(AH$2&lt;&gt;0,TblTech[[#This Row],[Hour]:[Hour]]&gt;=AH$2),1,0)</f>
        <v>0</v>
      </c>
      <c r="AI82" s="276" cm="1">
        <f t="array" ref="AI82">IF(AND(AI$2&lt;&gt;0,TblTech[[#This Row],[Hour]:[Hour]]&gt;=AI$2),1,0)</f>
        <v>0</v>
      </c>
      <c r="AJ82" s="276" cm="1">
        <f t="array" ref="AJ82">IF(AND(AJ$2&lt;&gt;0,TblTech[[#This Row],[Hour]:[Hour]]&gt;=AJ$2),1,0)</f>
        <v>0</v>
      </c>
      <c r="AK82" s="276" cm="1">
        <f t="array" ref="AK82">IF(AND(AK$2&lt;&gt;0,TblTech[[#This Row],[Hour]:[Hour]]&gt;=AK$2),1,0)</f>
        <v>0</v>
      </c>
      <c r="AL82" s="276" cm="1">
        <f t="array" ref="AL82">IF(AND(AL$2&lt;&gt;0,TblTech[[#This Row],[Hour]:[Hour]]&gt;=AL$2),1,0)</f>
        <v>0</v>
      </c>
      <c r="AM82" s="276" cm="1">
        <f t="array" ref="AM82">IF(AND(AM$2&lt;&gt;0,TblTech[[#This Row],[Hour]:[Hour]]&gt;=AM$2),1,0)</f>
        <v>0</v>
      </c>
      <c r="AN82" s="276" cm="1">
        <f t="array" ref="AN82">IF(AND(AN$2&lt;&gt;0,TblTech[[#This Row],[Hour]:[Hour]]&gt;=AN$2),1,0)</f>
        <v>0</v>
      </c>
      <c r="AO82" s="276" cm="1">
        <f t="array" ref="AO82">IF(AND(AO$2&lt;&gt;0,TblTech[[#This Row],[Hour]:[Hour]]&gt;=AO$2),1,0)</f>
        <v>0</v>
      </c>
      <c r="AP82" s="276" cm="1">
        <f t="array" ref="AP82">IF(AND(AP$2&lt;&gt;0,TblTech[[#This Row],[Hour]:[Hour]]&gt;=AP$2),1,0)</f>
        <v>0</v>
      </c>
      <c r="AQ82" s="276" cm="1">
        <f t="array" ref="AQ82">IF(AND(AQ$2&lt;&gt;0,TblTech[[#This Row],[Hour]:[Hour]]&gt;=AQ$2),1,0)</f>
        <v>0</v>
      </c>
      <c r="AR82" s="276" cm="1">
        <f t="array" ref="AR82">IF(AND(AR$2&lt;&gt;0,TblTech[[#This Row],[Hour]:[Hour]]&gt;=AR$2),1,0)</f>
        <v>0</v>
      </c>
      <c r="AS82" s="276" cm="1">
        <f t="array" ref="AS82">IF(AND(AS$2&lt;&gt;0,TblTech[[#This Row],[Hour]:[Hour]]&gt;=AS$2),1,0)</f>
        <v>0</v>
      </c>
      <c r="AT82" s="276" cm="1">
        <f t="array" ref="AT82">IF(AND(AT$2&lt;&gt;0,TblTech[[#This Row],[Hour]:[Hour]]&gt;=AT$2),1,0)</f>
        <v>0</v>
      </c>
      <c r="AU82" s="276" cm="1">
        <f t="array" ref="AU82">IF(AND(AU$2&lt;&gt;0,TblTech[[#This Row],[Hour]:[Hour]]&gt;=AU$2),1,0)</f>
        <v>0</v>
      </c>
      <c r="AV82" s="276" cm="1">
        <f t="array" ref="AV82">IF(AND(AV$2&lt;&gt;0,TblTech[[#This Row],[Hour]:[Hour]]&gt;=AV$2),1,0)</f>
        <v>0</v>
      </c>
      <c r="AW82" s="276" cm="1">
        <f t="array" ref="AW82">IF(AND(AW$2&lt;&gt;0,TblTech[[#This Row],[Hour]:[Hour]]&gt;=AW$2),1,0)</f>
        <v>0</v>
      </c>
      <c r="AX82" s="276" cm="1">
        <f t="array" ref="AX82">IF(AND(AX$2&lt;&gt;0,TblTech[[#This Row],[Hour]:[Hour]]&gt;=AX$2),1,0)</f>
        <v>0</v>
      </c>
      <c r="AY82" s="276" cm="1">
        <f t="array" ref="AY82">IF(AND(AY$2&lt;&gt;0,TblTech[[#This Row],[Hour]:[Hour]]&gt;=AY$2),1,0)</f>
        <v>0</v>
      </c>
      <c r="AZ82" s="276" cm="1">
        <f t="array" ref="AZ82">IF(AND(AZ$2&lt;&gt;0,TblTech[[#This Row],[Hour]:[Hour]]&gt;=AZ$2),1,0)</f>
        <v>0</v>
      </c>
      <c r="BA82" s="276" cm="1">
        <f t="array" ref="BA82">IF(AND(BA$2&lt;&gt;0,TblTech[[#This Row],[Hour]:[Hour]]&gt;=BA$2),1,0)</f>
        <v>0</v>
      </c>
      <c r="BB82" s="276" cm="1">
        <f t="array" ref="BB82">IF(AND(BB$2&lt;&gt;0,TblTech[[#This Row],[Hour]:[Hour]]&gt;=BB$2),1,0)</f>
        <v>0</v>
      </c>
      <c r="BC82" s="276" cm="1">
        <f t="array" ref="BC82">IF(AND(BC$2&lt;&gt;0,TblTech[[#This Row],[Hour]:[Hour]]&gt;=BC$2),1,0)</f>
        <v>0</v>
      </c>
      <c r="BD82" s="276" cm="1">
        <f t="array" ref="BD82">IF(AND(BD$2&lt;&gt;0,TblTech[[#This Row],[Hour]:[Hour]]&gt;=BD$2),1,0)</f>
        <v>0</v>
      </c>
      <c r="BE82" s="276" cm="1">
        <f t="array" ref="BE82">IF(AND(BE$2&lt;&gt;0,TblTech[[#This Row],[Hour]:[Hour]]&gt;=BE$2),1,0)</f>
        <v>0</v>
      </c>
      <c r="BF82" s="276" cm="1">
        <f t="array" ref="BF82">IF(AND(BF$2&lt;&gt;0,TblTech[[#This Row],[Hour]:[Hour]]&gt;=BF$2),1,0)</f>
        <v>0</v>
      </c>
      <c r="BG82" s="276" cm="1">
        <f t="array" ref="BG82">IF(AND(BG$2&lt;&gt;0,TblTech[[#This Row],[Hour]:[Hour]]&gt;=BG$2),1,0)</f>
        <v>0</v>
      </c>
      <c r="BH82" s="276" cm="1">
        <f t="array" ref="BH82">IF(AND(BH$2&lt;&gt;0,TblTech[[#This Row],[Hour]:[Hour]]&gt;=BH$2),1,0)</f>
        <v>0</v>
      </c>
      <c r="BI82" s="276" cm="1">
        <f t="array" ref="BI82">IF(AND(BI$2&lt;&gt;0,TblTech[[#This Row],[Hour]:[Hour]]&gt;=BI$2),1,0)</f>
        <v>0</v>
      </c>
      <c r="BJ82" s="276" cm="1">
        <f t="array" ref="BJ82">IF(AND(BJ$2&lt;&gt;0,TblTech[[#This Row],[Hour]:[Hour]]&gt;=BJ$2),1,0)</f>
        <v>0</v>
      </c>
      <c r="BK82" s="276" cm="1">
        <f t="array" ref="BK82">IF(AND(BK$2&lt;&gt;0,TblTech[[#This Row],[Hour]:[Hour]]&gt;=BK$2),1,0)</f>
        <v>0</v>
      </c>
      <c r="BL82" s="276" cm="1">
        <f t="array" ref="BL82">IF(AND(BL$2&lt;&gt;0,TblTech[[#This Row],[Hour]:[Hour]]&gt;=BL$2),1,0)</f>
        <v>0</v>
      </c>
      <c r="BM82" s="276" cm="1">
        <f t="array" ref="BM82">IF(AND(BM$2&lt;&gt;0,TblTech[[#This Row],[Hour]:[Hour]]&gt;=BM$2),1,0)</f>
        <v>0</v>
      </c>
      <c r="BN82" s="276" cm="1">
        <f t="array" ref="BN82">IF(AND(BN$2&lt;&gt;0,TblTech[[#This Row],[Hour]:[Hour]]&gt;=BN$2),1,0)</f>
        <v>0</v>
      </c>
      <c r="BO82" s="276" cm="1">
        <f t="array" ref="BO82">IF(AND(BO$2&lt;&gt;0,TblTech[[#This Row],[Hour]:[Hour]]&gt;=BO$2),1,0)</f>
        <v>0</v>
      </c>
      <c r="BP82" s="276" cm="1">
        <f t="array" ref="BP82">IF(AND(BP$2&lt;&gt;0,TblTech[[#This Row],[Hour]:[Hour]]&gt;=BP$2),1,0)</f>
        <v>0</v>
      </c>
      <c r="BQ82" s="276" cm="1">
        <f t="array" ref="BQ82">IF(AND(BQ$2&lt;&gt;0,TblTech[[#This Row],[Hour]:[Hour]]&gt;=BQ$2),1,0)</f>
        <v>0</v>
      </c>
      <c r="BR82" s="276" cm="1">
        <f t="array" ref="BR82">IF(AND(BR$2&lt;&gt;0,TblTech[[#This Row],[Hour]:[Hour]]&gt;=BR$2),1,0)</f>
        <v>0</v>
      </c>
      <c r="BS82" s="276" cm="1">
        <f t="array" ref="BS82">IF(AND(BS$2&lt;&gt;0,TblTech[[#This Row],[Hour]:[Hour]]&gt;=BS$2),1,0)</f>
        <v>0</v>
      </c>
      <c r="BT82" s="276" cm="1">
        <f t="array" ref="BT82">IF(AND(BT$2&lt;&gt;0,TblTech[[#This Row],[Hour]:[Hour]]&gt;=BT$2),1,0)</f>
        <v>0</v>
      </c>
      <c r="BU82" s="276" cm="1">
        <f t="array" ref="BU82">IF(AND(BU$2&lt;&gt;0,TblTech[[#This Row],[Hour]:[Hour]]&gt;=BU$2),1,0)</f>
        <v>0</v>
      </c>
      <c r="BV82" s="276" cm="1">
        <f t="array" ref="BV82">IF(AND(BV$2&lt;&gt;0,TblTech[[#This Row],[Hour]:[Hour]]&gt;=BV$2),1,0)</f>
        <v>0</v>
      </c>
      <c r="BW82" s="276" cm="1">
        <f t="array" ref="BW82">IF(AND(BW$2&lt;&gt;0,TblTech[[#This Row],[Hour]:[Hour]]&gt;=BW$2),1,0)</f>
        <v>0</v>
      </c>
      <c r="BX82" s="276" cm="1">
        <f t="array" ref="BX82">IF(AND(BX$2&lt;&gt;0,TblTech[[#This Row],[Hour]:[Hour]]&gt;=BX$2),1,0)</f>
        <v>0</v>
      </c>
      <c r="BY82" s="276" cm="1">
        <f t="array" ref="BY82">IF(AND(BY$2&lt;&gt;0,TblTech[[#This Row],[Hour]:[Hour]]&gt;=BY$2),1,0)</f>
        <v>0</v>
      </c>
      <c r="BZ82" s="276" cm="1">
        <f t="array" ref="BZ82">IF(AND(BZ$2&lt;&gt;0,TblTech[[#This Row],[Hour]:[Hour]]&gt;=BZ$2),1,0)</f>
        <v>0</v>
      </c>
      <c r="CA82" s="377">
        <f>IFERROR(INDEX($H$4:$H$79,MATCH(INDEX(TblTech[[#Headers],[1-1]:[11-1]],1,MATCH(TblTech[[#This Row],[Hour]],$M$2:$BZ$2,0)),$G$4:$G$79,0)),)</f>
        <v>0</v>
      </c>
    </row>
    <row r="83" spans="1:79" x14ac:dyDescent="0.2">
      <c r="A83" s="268">
        <f>TblRezone[[#This Row],[Hour]]</f>
        <v>80</v>
      </c>
      <c r="B83" s="269">
        <f ca="1">TblExplore[[#This Row],[Land-DB]]</f>
        <v>110</v>
      </c>
      <c r="C83" s="270">
        <f ca="1">TblProd[[#This Row],[Techpoints]]</f>
        <v>0</v>
      </c>
      <c r="D83" s="270">
        <f ca="1">TblProd[[#This Row],[Required]]</f>
        <v>3750</v>
      </c>
      <c r="E83" s="279"/>
      <c r="F83" s="280"/>
      <c r="G83" s="273"/>
      <c r="H83" s="274"/>
      <c r="I83" s="274"/>
      <c r="J83" s="274"/>
      <c r="K83" s="93">
        <f ca="1">IF(TblTech[[#This Row],[Sum of tech]]&lt;&gt;OFFSET(TblTech[[#This Row],[Sum of tech]],-1,0),1,0)</f>
        <v>0</v>
      </c>
      <c r="L83" s="275">
        <f>COUNTIF(TblTech[[#This Row],[1-1]:[11-1]],1)</f>
        <v>0</v>
      </c>
      <c r="M83" s="276" cm="1">
        <f t="array" ref="M83">IF(AND(M$2&lt;&gt;0,TblTech[[#This Row],[Hour]:[Hour]]&gt;=M$2),1,0)</f>
        <v>0</v>
      </c>
      <c r="N83" s="276" cm="1">
        <f t="array" ref="N83">IF(AND(N$2&lt;&gt;0,TblTech[[#This Row],[Hour]:[Hour]]&gt;=N$2),1,0)</f>
        <v>0</v>
      </c>
      <c r="O83" s="276" cm="1">
        <f t="array" ref="O83">IF(AND(O$2&lt;&gt;0,TblTech[[#This Row],[Hour]:[Hour]]&gt;=O$2),1,0)</f>
        <v>0</v>
      </c>
      <c r="P83" s="276" cm="1">
        <f t="array" ref="P83">IF(AND(P$2&lt;&gt;0,TblTech[[#This Row],[Hour]:[Hour]]&gt;=P$2),1,0)</f>
        <v>0</v>
      </c>
      <c r="Q83" s="276" cm="1">
        <f t="array" ref="Q83">IF(AND(Q$2&lt;&gt;0,TblTech[[#This Row],[Hour]:[Hour]]&gt;=Q$2),1,0)</f>
        <v>0</v>
      </c>
      <c r="R83" s="276" cm="1">
        <f t="array" ref="R83">IF(AND(R$2&lt;&gt;0,TblTech[[#This Row],[Hour]:[Hour]]&gt;=R$2),1,0)</f>
        <v>0</v>
      </c>
      <c r="S83" s="276" cm="1">
        <f t="array" ref="S83">IF(AND(S$2&lt;&gt;0,TblTech[[#This Row],[Hour]:[Hour]]&gt;=S$2),1,0)</f>
        <v>0</v>
      </c>
      <c r="T83" s="276" cm="1">
        <f t="array" ref="T83">IF(AND(T$2&lt;&gt;0,TblTech[[#This Row],[Hour]:[Hour]]&gt;=T$2),1,0)</f>
        <v>0</v>
      </c>
      <c r="U83" s="276" cm="1">
        <f t="array" ref="U83">IF(AND(U$2&lt;&gt;0,TblTech[[#This Row],[Hour]:[Hour]]&gt;=U$2),1,0)</f>
        <v>0</v>
      </c>
      <c r="V83" s="276" cm="1">
        <f t="array" ref="V83">IF(AND(V$2&lt;&gt;0,TblTech[[#This Row],[Hour]:[Hour]]&gt;=V$2),1,0)</f>
        <v>0</v>
      </c>
      <c r="W83" s="276" cm="1">
        <f t="array" ref="W83">IF(AND(W$2&lt;&gt;0,TblTech[[#This Row],[Hour]:[Hour]]&gt;=W$2),1,0)</f>
        <v>0</v>
      </c>
      <c r="X83" s="276" cm="1">
        <f t="array" ref="X83">IF(AND(X$2&lt;&gt;0,TblTech[[#This Row],[Hour]:[Hour]]&gt;=X$2),1,0)</f>
        <v>0</v>
      </c>
      <c r="Y83" s="276" cm="1">
        <f t="array" ref="Y83">IF(AND(Y$2&lt;&gt;0,TblTech[[#This Row],[Hour]:[Hour]]&gt;=Y$2),1,0)</f>
        <v>0</v>
      </c>
      <c r="Z83" s="276" cm="1">
        <f t="array" ref="Z83">IF(AND(Z$2&lt;&gt;0,TblTech[[#This Row],[Hour]:[Hour]]&gt;=Z$2),1,0)</f>
        <v>0</v>
      </c>
      <c r="AA83" s="276" cm="1">
        <f t="array" ref="AA83">IF(AND(AA$2&lt;&gt;0,TblTech[[#This Row],[Hour]:[Hour]]&gt;=AA$2),1,0)</f>
        <v>0</v>
      </c>
      <c r="AB83" s="276" cm="1">
        <f t="array" ref="AB83">IF(AND(AB$2&lt;&gt;0,TblTech[[#This Row],[Hour]:[Hour]]&gt;=AB$2),1,0)</f>
        <v>0</v>
      </c>
      <c r="AC83" s="276" cm="1">
        <f t="array" ref="AC83">IF(AND(AC$2&lt;&gt;0,TblTech[[#This Row],[Hour]:[Hour]]&gt;=AC$2),1,0)</f>
        <v>0</v>
      </c>
      <c r="AD83" s="276" cm="1">
        <f t="array" ref="AD83">IF(AND(AD$2&lt;&gt;0,TblTech[[#This Row],[Hour]:[Hour]]&gt;=AD$2),1,0)</f>
        <v>0</v>
      </c>
      <c r="AE83" s="276" cm="1">
        <f t="array" ref="AE83">IF(AND(AE$2&lt;&gt;0,TblTech[[#This Row],[Hour]:[Hour]]&gt;=AE$2),1,0)</f>
        <v>0</v>
      </c>
      <c r="AF83" s="276" cm="1">
        <f t="array" ref="AF83">IF(AND(AF$2&lt;&gt;0,TblTech[[#This Row],[Hour]:[Hour]]&gt;=AF$2),1,0)</f>
        <v>0</v>
      </c>
      <c r="AG83" s="276" cm="1">
        <f t="array" ref="AG83">IF(AND(AG$2&lt;&gt;0,TblTech[[#This Row],[Hour]:[Hour]]&gt;=AG$2),1,0)</f>
        <v>0</v>
      </c>
      <c r="AH83" s="276" cm="1">
        <f t="array" ref="AH83">IF(AND(AH$2&lt;&gt;0,TblTech[[#This Row],[Hour]:[Hour]]&gt;=AH$2),1,0)</f>
        <v>0</v>
      </c>
      <c r="AI83" s="276" cm="1">
        <f t="array" ref="AI83">IF(AND(AI$2&lt;&gt;0,TblTech[[#This Row],[Hour]:[Hour]]&gt;=AI$2),1,0)</f>
        <v>0</v>
      </c>
      <c r="AJ83" s="276" cm="1">
        <f t="array" ref="AJ83">IF(AND(AJ$2&lt;&gt;0,TblTech[[#This Row],[Hour]:[Hour]]&gt;=AJ$2),1,0)</f>
        <v>0</v>
      </c>
      <c r="AK83" s="276" cm="1">
        <f t="array" ref="AK83">IF(AND(AK$2&lt;&gt;0,TblTech[[#This Row],[Hour]:[Hour]]&gt;=AK$2),1,0)</f>
        <v>0</v>
      </c>
      <c r="AL83" s="276" cm="1">
        <f t="array" ref="AL83">IF(AND(AL$2&lt;&gt;0,TblTech[[#This Row],[Hour]:[Hour]]&gt;=AL$2),1,0)</f>
        <v>0</v>
      </c>
      <c r="AM83" s="276" cm="1">
        <f t="array" ref="AM83">IF(AND(AM$2&lt;&gt;0,TblTech[[#This Row],[Hour]:[Hour]]&gt;=AM$2),1,0)</f>
        <v>0</v>
      </c>
      <c r="AN83" s="276" cm="1">
        <f t="array" ref="AN83">IF(AND(AN$2&lt;&gt;0,TblTech[[#This Row],[Hour]:[Hour]]&gt;=AN$2),1,0)</f>
        <v>0</v>
      </c>
      <c r="AO83" s="276" cm="1">
        <f t="array" ref="AO83">IF(AND(AO$2&lt;&gt;0,TblTech[[#This Row],[Hour]:[Hour]]&gt;=AO$2),1,0)</f>
        <v>0</v>
      </c>
      <c r="AP83" s="276" cm="1">
        <f t="array" ref="AP83">IF(AND(AP$2&lt;&gt;0,TblTech[[#This Row],[Hour]:[Hour]]&gt;=AP$2),1,0)</f>
        <v>0</v>
      </c>
      <c r="AQ83" s="276" cm="1">
        <f t="array" ref="AQ83">IF(AND(AQ$2&lt;&gt;0,TblTech[[#This Row],[Hour]:[Hour]]&gt;=AQ$2),1,0)</f>
        <v>0</v>
      </c>
      <c r="AR83" s="276" cm="1">
        <f t="array" ref="AR83">IF(AND(AR$2&lt;&gt;0,TblTech[[#This Row],[Hour]:[Hour]]&gt;=AR$2),1,0)</f>
        <v>0</v>
      </c>
      <c r="AS83" s="276" cm="1">
        <f t="array" ref="AS83">IF(AND(AS$2&lt;&gt;0,TblTech[[#This Row],[Hour]:[Hour]]&gt;=AS$2),1,0)</f>
        <v>0</v>
      </c>
      <c r="AT83" s="276" cm="1">
        <f t="array" ref="AT83">IF(AND(AT$2&lt;&gt;0,TblTech[[#This Row],[Hour]:[Hour]]&gt;=AT$2),1,0)</f>
        <v>0</v>
      </c>
      <c r="AU83" s="276" cm="1">
        <f t="array" ref="AU83">IF(AND(AU$2&lt;&gt;0,TblTech[[#This Row],[Hour]:[Hour]]&gt;=AU$2),1,0)</f>
        <v>0</v>
      </c>
      <c r="AV83" s="276" cm="1">
        <f t="array" ref="AV83">IF(AND(AV$2&lt;&gt;0,TblTech[[#This Row],[Hour]:[Hour]]&gt;=AV$2),1,0)</f>
        <v>0</v>
      </c>
      <c r="AW83" s="276" cm="1">
        <f t="array" ref="AW83">IF(AND(AW$2&lt;&gt;0,TblTech[[#This Row],[Hour]:[Hour]]&gt;=AW$2),1,0)</f>
        <v>0</v>
      </c>
      <c r="AX83" s="276" cm="1">
        <f t="array" ref="AX83">IF(AND(AX$2&lt;&gt;0,TblTech[[#This Row],[Hour]:[Hour]]&gt;=AX$2),1,0)</f>
        <v>0</v>
      </c>
      <c r="AY83" s="276" cm="1">
        <f t="array" ref="AY83">IF(AND(AY$2&lt;&gt;0,TblTech[[#This Row],[Hour]:[Hour]]&gt;=AY$2),1,0)</f>
        <v>0</v>
      </c>
      <c r="AZ83" s="276" cm="1">
        <f t="array" ref="AZ83">IF(AND(AZ$2&lt;&gt;0,TblTech[[#This Row],[Hour]:[Hour]]&gt;=AZ$2),1,0)</f>
        <v>0</v>
      </c>
      <c r="BA83" s="276" cm="1">
        <f t="array" ref="BA83">IF(AND(BA$2&lt;&gt;0,TblTech[[#This Row],[Hour]:[Hour]]&gt;=BA$2),1,0)</f>
        <v>0</v>
      </c>
      <c r="BB83" s="276" cm="1">
        <f t="array" ref="BB83">IF(AND(BB$2&lt;&gt;0,TblTech[[#This Row],[Hour]:[Hour]]&gt;=BB$2),1,0)</f>
        <v>0</v>
      </c>
      <c r="BC83" s="276" cm="1">
        <f t="array" ref="BC83">IF(AND(BC$2&lt;&gt;0,TblTech[[#This Row],[Hour]:[Hour]]&gt;=BC$2),1,0)</f>
        <v>0</v>
      </c>
      <c r="BD83" s="276" cm="1">
        <f t="array" ref="BD83">IF(AND(BD$2&lt;&gt;0,TblTech[[#This Row],[Hour]:[Hour]]&gt;=BD$2),1,0)</f>
        <v>0</v>
      </c>
      <c r="BE83" s="276" cm="1">
        <f t="array" ref="BE83">IF(AND(BE$2&lt;&gt;0,TblTech[[#This Row],[Hour]:[Hour]]&gt;=BE$2),1,0)</f>
        <v>0</v>
      </c>
      <c r="BF83" s="276" cm="1">
        <f t="array" ref="BF83">IF(AND(BF$2&lt;&gt;0,TblTech[[#This Row],[Hour]:[Hour]]&gt;=BF$2),1,0)</f>
        <v>0</v>
      </c>
      <c r="BG83" s="276" cm="1">
        <f t="array" ref="BG83">IF(AND(BG$2&lt;&gt;0,TblTech[[#This Row],[Hour]:[Hour]]&gt;=BG$2),1,0)</f>
        <v>0</v>
      </c>
      <c r="BH83" s="276" cm="1">
        <f t="array" ref="BH83">IF(AND(BH$2&lt;&gt;0,TblTech[[#This Row],[Hour]:[Hour]]&gt;=BH$2),1,0)</f>
        <v>0</v>
      </c>
      <c r="BI83" s="276" cm="1">
        <f t="array" ref="BI83">IF(AND(BI$2&lt;&gt;0,TblTech[[#This Row],[Hour]:[Hour]]&gt;=BI$2),1,0)</f>
        <v>0</v>
      </c>
      <c r="BJ83" s="276" cm="1">
        <f t="array" ref="BJ83">IF(AND(BJ$2&lt;&gt;0,TblTech[[#This Row],[Hour]:[Hour]]&gt;=BJ$2),1,0)</f>
        <v>0</v>
      </c>
      <c r="BK83" s="276" cm="1">
        <f t="array" ref="BK83">IF(AND(BK$2&lt;&gt;0,TblTech[[#This Row],[Hour]:[Hour]]&gt;=BK$2),1,0)</f>
        <v>0</v>
      </c>
      <c r="BL83" s="276" cm="1">
        <f t="array" ref="BL83">IF(AND(BL$2&lt;&gt;0,TblTech[[#This Row],[Hour]:[Hour]]&gt;=BL$2),1,0)</f>
        <v>0</v>
      </c>
      <c r="BM83" s="276" cm="1">
        <f t="array" ref="BM83">IF(AND(BM$2&lt;&gt;0,TblTech[[#This Row],[Hour]:[Hour]]&gt;=BM$2),1,0)</f>
        <v>0</v>
      </c>
      <c r="BN83" s="276" cm="1">
        <f t="array" ref="BN83">IF(AND(BN$2&lt;&gt;0,TblTech[[#This Row],[Hour]:[Hour]]&gt;=BN$2),1,0)</f>
        <v>0</v>
      </c>
      <c r="BO83" s="276" cm="1">
        <f t="array" ref="BO83">IF(AND(BO$2&lt;&gt;0,TblTech[[#This Row],[Hour]:[Hour]]&gt;=BO$2),1,0)</f>
        <v>0</v>
      </c>
      <c r="BP83" s="276" cm="1">
        <f t="array" ref="BP83">IF(AND(BP$2&lt;&gt;0,TblTech[[#This Row],[Hour]:[Hour]]&gt;=BP$2),1,0)</f>
        <v>0</v>
      </c>
      <c r="BQ83" s="276" cm="1">
        <f t="array" ref="BQ83">IF(AND(BQ$2&lt;&gt;0,TblTech[[#This Row],[Hour]:[Hour]]&gt;=BQ$2),1,0)</f>
        <v>0</v>
      </c>
      <c r="BR83" s="276" cm="1">
        <f t="array" ref="BR83">IF(AND(BR$2&lt;&gt;0,TblTech[[#This Row],[Hour]:[Hour]]&gt;=BR$2),1,0)</f>
        <v>0</v>
      </c>
      <c r="BS83" s="276" cm="1">
        <f t="array" ref="BS83">IF(AND(BS$2&lt;&gt;0,TblTech[[#This Row],[Hour]:[Hour]]&gt;=BS$2),1,0)</f>
        <v>0</v>
      </c>
      <c r="BT83" s="276" cm="1">
        <f t="array" ref="BT83">IF(AND(BT$2&lt;&gt;0,TblTech[[#This Row],[Hour]:[Hour]]&gt;=BT$2),1,0)</f>
        <v>0</v>
      </c>
      <c r="BU83" s="276" cm="1">
        <f t="array" ref="BU83">IF(AND(BU$2&lt;&gt;0,TblTech[[#This Row],[Hour]:[Hour]]&gt;=BU$2),1,0)</f>
        <v>0</v>
      </c>
      <c r="BV83" s="276" cm="1">
        <f t="array" ref="BV83">IF(AND(BV$2&lt;&gt;0,TblTech[[#This Row],[Hour]:[Hour]]&gt;=BV$2),1,0)</f>
        <v>0</v>
      </c>
      <c r="BW83" s="276" cm="1">
        <f t="array" ref="BW83">IF(AND(BW$2&lt;&gt;0,TblTech[[#This Row],[Hour]:[Hour]]&gt;=BW$2),1,0)</f>
        <v>0</v>
      </c>
      <c r="BX83" s="276" cm="1">
        <f t="array" ref="BX83">IF(AND(BX$2&lt;&gt;0,TblTech[[#This Row],[Hour]:[Hour]]&gt;=BX$2),1,0)</f>
        <v>0</v>
      </c>
      <c r="BY83" s="276" cm="1">
        <f t="array" ref="BY83">IF(AND(BY$2&lt;&gt;0,TblTech[[#This Row],[Hour]:[Hour]]&gt;=BY$2),1,0)</f>
        <v>0</v>
      </c>
      <c r="BZ83" s="276" cm="1">
        <f t="array" ref="BZ83">IF(AND(BZ$2&lt;&gt;0,TblTech[[#This Row],[Hour]:[Hour]]&gt;=BZ$2),1,0)</f>
        <v>0</v>
      </c>
      <c r="CA83" s="377">
        <f>IFERROR(INDEX($H$4:$H$79,MATCH(INDEX(TblTech[[#Headers],[1-1]:[11-1]],1,MATCH(TblTech[[#This Row],[Hour]],$M$2:$BZ$2,0)),$G$4:$G$79,0)),)</f>
        <v>0</v>
      </c>
    </row>
    <row r="84" spans="1:79" x14ac:dyDescent="0.2">
      <c r="A84" s="268">
        <f>TblRezone[[#This Row],[Hour]]</f>
        <v>81</v>
      </c>
      <c r="B84" s="269">
        <f ca="1">TblExplore[[#This Row],[Land-DB]]</f>
        <v>110</v>
      </c>
      <c r="C84" s="270">
        <f ca="1">TblProd[[#This Row],[Techpoints]]</f>
        <v>0</v>
      </c>
      <c r="D84" s="270">
        <f ca="1">TblProd[[#This Row],[Required]]</f>
        <v>3750</v>
      </c>
      <c r="E84" s="279"/>
      <c r="F84" s="280"/>
      <c r="G84" s="273"/>
      <c r="H84" s="274"/>
      <c r="I84" s="274"/>
      <c r="J84" s="274"/>
      <c r="K84" s="93">
        <f ca="1">IF(TblTech[[#This Row],[Sum of tech]]&lt;&gt;OFFSET(TblTech[[#This Row],[Sum of tech]],-1,0),1,0)</f>
        <v>0</v>
      </c>
      <c r="L84" s="275">
        <f>COUNTIF(TblTech[[#This Row],[1-1]:[11-1]],1)</f>
        <v>0</v>
      </c>
      <c r="M84" s="276" cm="1">
        <f t="array" ref="M84">IF(AND(M$2&lt;&gt;0,TblTech[[#This Row],[Hour]:[Hour]]&gt;=M$2),1,0)</f>
        <v>0</v>
      </c>
      <c r="N84" s="276" cm="1">
        <f t="array" ref="N84">IF(AND(N$2&lt;&gt;0,TblTech[[#This Row],[Hour]:[Hour]]&gt;=N$2),1,0)</f>
        <v>0</v>
      </c>
      <c r="O84" s="276" cm="1">
        <f t="array" ref="O84">IF(AND(O$2&lt;&gt;0,TblTech[[#This Row],[Hour]:[Hour]]&gt;=O$2),1,0)</f>
        <v>0</v>
      </c>
      <c r="P84" s="276" cm="1">
        <f t="array" ref="P84">IF(AND(P$2&lt;&gt;0,TblTech[[#This Row],[Hour]:[Hour]]&gt;=P$2),1,0)</f>
        <v>0</v>
      </c>
      <c r="Q84" s="276" cm="1">
        <f t="array" ref="Q84">IF(AND(Q$2&lt;&gt;0,TblTech[[#This Row],[Hour]:[Hour]]&gt;=Q$2),1,0)</f>
        <v>0</v>
      </c>
      <c r="R84" s="276" cm="1">
        <f t="array" ref="R84">IF(AND(R$2&lt;&gt;0,TblTech[[#This Row],[Hour]:[Hour]]&gt;=R$2),1,0)</f>
        <v>0</v>
      </c>
      <c r="S84" s="276" cm="1">
        <f t="array" ref="S84">IF(AND(S$2&lt;&gt;0,TblTech[[#This Row],[Hour]:[Hour]]&gt;=S$2),1,0)</f>
        <v>0</v>
      </c>
      <c r="T84" s="276" cm="1">
        <f t="array" ref="T84">IF(AND(T$2&lt;&gt;0,TblTech[[#This Row],[Hour]:[Hour]]&gt;=T$2),1,0)</f>
        <v>0</v>
      </c>
      <c r="U84" s="276" cm="1">
        <f t="array" ref="U84">IF(AND(U$2&lt;&gt;0,TblTech[[#This Row],[Hour]:[Hour]]&gt;=U$2),1,0)</f>
        <v>0</v>
      </c>
      <c r="V84" s="276" cm="1">
        <f t="array" ref="V84">IF(AND(V$2&lt;&gt;0,TblTech[[#This Row],[Hour]:[Hour]]&gt;=V$2),1,0)</f>
        <v>0</v>
      </c>
      <c r="W84" s="276" cm="1">
        <f t="array" ref="W84">IF(AND(W$2&lt;&gt;0,TblTech[[#This Row],[Hour]:[Hour]]&gt;=W$2),1,0)</f>
        <v>0</v>
      </c>
      <c r="X84" s="276" cm="1">
        <f t="array" ref="X84">IF(AND(X$2&lt;&gt;0,TblTech[[#This Row],[Hour]:[Hour]]&gt;=X$2),1,0)</f>
        <v>0</v>
      </c>
      <c r="Y84" s="276" cm="1">
        <f t="array" ref="Y84">IF(AND(Y$2&lt;&gt;0,TblTech[[#This Row],[Hour]:[Hour]]&gt;=Y$2),1,0)</f>
        <v>0</v>
      </c>
      <c r="Z84" s="276" cm="1">
        <f t="array" ref="Z84">IF(AND(Z$2&lt;&gt;0,TblTech[[#This Row],[Hour]:[Hour]]&gt;=Z$2),1,0)</f>
        <v>0</v>
      </c>
      <c r="AA84" s="276" cm="1">
        <f t="array" ref="AA84">IF(AND(AA$2&lt;&gt;0,TblTech[[#This Row],[Hour]:[Hour]]&gt;=AA$2),1,0)</f>
        <v>0</v>
      </c>
      <c r="AB84" s="276" cm="1">
        <f t="array" ref="AB84">IF(AND(AB$2&lt;&gt;0,TblTech[[#This Row],[Hour]:[Hour]]&gt;=AB$2),1,0)</f>
        <v>0</v>
      </c>
      <c r="AC84" s="276" cm="1">
        <f t="array" ref="AC84">IF(AND(AC$2&lt;&gt;0,TblTech[[#This Row],[Hour]:[Hour]]&gt;=AC$2),1,0)</f>
        <v>0</v>
      </c>
      <c r="AD84" s="276" cm="1">
        <f t="array" ref="AD84">IF(AND(AD$2&lt;&gt;0,TblTech[[#This Row],[Hour]:[Hour]]&gt;=AD$2),1,0)</f>
        <v>0</v>
      </c>
      <c r="AE84" s="276" cm="1">
        <f t="array" ref="AE84">IF(AND(AE$2&lt;&gt;0,TblTech[[#This Row],[Hour]:[Hour]]&gt;=AE$2),1,0)</f>
        <v>0</v>
      </c>
      <c r="AF84" s="276" cm="1">
        <f t="array" ref="AF84">IF(AND(AF$2&lt;&gt;0,TblTech[[#This Row],[Hour]:[Hour]]&gt;=AF$2),1,0)</f>
        <v>0</v>
      </c>
      <c r="AG84" s="276" cm="1">
        <f t="array" ref="AG84">IF(AND(AG$2&lt;&gt;0,TblTech[[#This Row],[Hour]:[Hour]]&gt;=AG$2),1,0)</f>
        <v>0</v>
      </c>
      <c r="AH84" s="276" cm="1">
        <f t="array" ref="AH84">IF(AND(AH$2&lt;&gt;0,TblTech[[#This Row],[Hour]:[Hour]]&gt;=AH$2),1,0)</f>
        <v>0</v>
      </c>
      <c r="AI84" s="276" cm="1">
        <f t="array" ref="AI84">IF(AND(AI$2&lt;&gt;0,TblTech[[#This Row],[Hour]:[Hour]]&gt;=AI$2),1,0)</f>
        <v>0</v>
      </c>
      <c r="AJ84" s="276" cm="1">
        <f t="array" ref="AJ84">IF(AND(AJ$2&lt;&gt;0,TblTech[[#This Row],[Hour]:[Hour]]&gt;=AJ$2),1,0)</f>
        <v>0</v>
      </c>
      <c r="AK84" s="276" cm="1">
        <f t="array" ref="AK84">IF(AND(AK$2&lt;&gt;0,TblTech[[#This Row],[Hour]:[Hour]]&gt;=AK$2),1,0)</f>
        <v>0</v>
      </c>
      <c r="AL84" s="276" cm="1">
        <f t="array" ref="AL84">IF(AND(AL$2&lt;&gt;0,TblTech[[#This Row],[Hour]:[Hour]]&gt;=AL$2),1,0)</f>
        <v>0</v>
      </c>
      <c r="AM84" s="276" cm="1">
        <f t="array" ref="AM84">IF(AND(AM$2&lt;&gt;0,TblTech[[#This Row],[Hour]:[Hour]]&gt;=AM$2),1,0)</f>
        <v>0</v>
      </c>
      <c r="AN84" s="276" cm="1">
        <f t="array" ref="AN84">IF(AND(AN$2&lt;&gt;0,TblTech[[#This Row],[Hour]:[Hour]]&gt;=AN$2),1,0)</f>
        <v>0</v>
      </c>
      <c r="AO84" s="276" cm="1">
        <f t="array" ref="AO84">IF(AND(AO$2&lt;&gt;0,TblTech[[#This Row],[Hour]:[Hour]]&gt;=AO$2),1,0)</f>
        <v>0</v>
      </c>
      <c r="AP84" s="276" cm="1">
        <f t="array" ref="AP84">IF(AND(AP$2&lt;&gt;0,TblTech[[#This Row],[Hour]:[Hour]]&gt;=AP$2),1,0)</f>
        <v>0</v>
      </c>
      <c r="AQ84" s="276" cm="1">
        <f t="array" ref="AQ84">IF(AND(AQ$2&lt;&gt;0,TblTech[[#This Row],[Hour]:[Hour]]&gt;=AQ$2),1,0)</f>
        <v>0</v>
      </c>
      <c r="AR84" s="276" cm="1">
        <f t="array" ref="AR84">IF(AND(AR$2&lt;&gt;0,TblTech[[#This Row],[Hour]:[Hour]]&gt;=AR$2),1,0)</f>
        <v>0</v>
      </c>
      <c r="AS84" s="276" cm="1">
        <f t="array" ref="AS84">IF(AND(AS$2&lt;&gt;0,TblTech[[#This Row],[Hour]:[Hour]]&gt;=AS$2),1,0)</f>
        <v>0</v>
      </c>
      <c r="AT84" s="276" cm="1">
        <f t="array" ref="AT84">IF(AND(AT$2&lt;&gt;0,TblTech[[#This Row],[Hour]:[Hour]]&gt;=AT$2),1,0)</f>
        <v>0</v>
      </c>
      <c r="AU84" s="276" cm="1">
        <f t="array" ref="AU84">IF(AND(AU$2&lt;&gt;0,TblTech[[#This Row],[Hour]:[Hour]]&gt;=AU$2),1,0)</f>
        <v>0</v>
      </c>
      <c r="AV84" s="276" cm="1">
        <f t="array" ref="AV84">IF(AND(AV$2&lt;&gt;0,TblTech[[#This Row],[Hour]:[Hour]]&gt;=AV$2),1,0)</f>
        <v>0</v>
      </c>
      <c r="AW84" s="276" cm="1">
        <f t="array" ref="AW84">IF(AND(AW$2&lt;&gt;0,TblTech[[#This Row],[Hour]:[Hour]]&gt;=AW$2),1,0)</f>
        <v>0</v>
      </c>
      <c r="AX84" s="276" cm="1">
        <f t="array" ref="AX84">IF(AND(AX$2&lt;&gt;0,TblTech[[#This Row],[Hour]:[Hour]]&gt;=AX$2),1,0)</f>
        <v>0</v>
      </c>
      <c r="AY84" s="276" cm="1">
        <f t="array" ref="AY84">IF(AND(AY$2&lt;&gt;0,TblTech[[#This Row],[Hour]:[Hour]]&gt;=AY$2),1,0)</f>
        <v>0</v>
      </c>
      <c r="AZ84" s="276" cm="1">
        <f t="array" ref="AZ84">IF(AND(AZ$2&lt;&gt;0,TblTech[[#This Row],[Hour]:[Hour]]&gt;=AZ$2),1,0)</f>
        <v>0</v>
      </c>
      <c r="BA84" s="276" cm="1">
        <f t="array" ref="BA84">IF(AND(BA$2&lt;&gt;0,TblTech[[#This Row],[Hour]:[Hour]]&gt;=BA$2),1,0)</f>
        <v>0</v>
      </c>
      <c r="BB84" s="276" cm="1">
        <f t="array" ref="BB84">IF(AND(BB$2&lt;&gt;0,TblTech[[#This Row],[Hour]:[Hour]]&gt;=BB$2),1,0)</f>
        <v>0</v>
      </c>
      <c r="BC84" s="276" cm="1">
        <f t="array" ref="BC84">IF(AND(BC$2&lt;&gt;0,TblTech[[#This Row],[Hour]:[Hour]]&gt;=BC$2),1,0)</f>
        <v>0</v>
      </c>
      <c r="BD84" s="276" cm="1">
        <f t="array" ref="BD84">IF(AND(BD$2&lt;&gt;0,TblTech[[#This Row],[Hour]:[Hour]]&gt;=BD$2),1,0)</f>
        <v>0</v>
      </c>
      <c r="BE84" s="276" cm="1">
        <f t="array" ref="BE84">IF(AND(BE$2&lt;&gt;0,TblTech[[#This Row],[Hour]:[Hour]]&gt;=BE$2),1,0)</f>
        <v>0</v>
      </c>
      <c r="BF84" s="276" cm="1">
        <f t="array" ref="BF84">IF(AND(BF$2&lt;&gt;0,TblTech[[#This Row],[Hour]:[Hour]]&gt;=BF$2),1,0)</f>
        <v>0</v>
      </c>
      <c r="BG84" s="276" cm="1">
        <f t="array" ref="BG84">IF(AND(BG$2&lt;&gt;0,TblTech[[#This Row],[Hour]:[Hour]]&gt;=BG$2),1,0)</f>
        <v>0</v>
      </c>
      <c r="BH84" s="276" cm="1">
        <f t="array" ref="BH84">IF(AND(BH$2&lt;&gt;0,TblTech[[#This Row],[Hour]:[Hour]]&gt;=BH$2),1,0)</f>
        <v>0</v>
      </c>
      <c r="BI84" s="276" cm="1">
        <f t="array" ref="BI84">IF(AND(BI$2&lt;&gt;0,TblTech[[#This Row],[Hour]:[Hour]]&gt;=BI$2),1,0)</f>
        <v>0</v>
      </c>
      <c r="BJ84" s="276" cm="1">
        <f t="array" ref="BJ84">IF(AND(BJ$2&lt;&gt;0,TblTech[[#This Row],[Hour]:[Hour]]&gt;=BJ$2),1,0)</f>
        <v>0</v>
      </c>
      <c r="BK84" s="276" cm="1">
        <f t="array" ref="BK84">IF(AND(BK$2&lt;&gt;0,TblTech[[#This Row],[Hour]:[Hour]]&gt;=BK$2),1,0)</f>
        <v>0</v>
      </c>
      <c r="BL84" s="276" cm="1">
        <f t="array" ref="BL84">IF(AND(BL$2&lt;&gt;0,TblTech[[#This Row],[Hour]:[Hour]]&gt;=BL$2),1,0)</f>
        <v>0</v>
      </c>
      <c r="BM84" s="276" cm="1">
        <f t="array" ref="BM84">IF(AND(BM$2&lt;&gt;0,TblTech[[#This Row],[Hour]:[Hour]]&gt;=BM$2),1,0)</f>
        <v>0</v>
      </c>
      <c r="BN84" s="276" cm="1">
        <f t="array" ref="BN84">IF(AND(BN$2&lt;&gt;0,TblTech[[#This Row],[Hour]:[Hour]]&gt;=BN$2),1,0)</f>
        <v>0</v>
      </c>
      <c r="BO84" s="276" cm="1">
        <f t="array" ref="BO84">IF(AND(BO$2&lt;&gt;0,TblTech[[#This Row],[Hour]:[Hour]]&gt;=BO$2),1,0)</f>
        <v>0</v>
      </c>
      <c r="BP84" s="276" cm="1">
        <f t="array" ref="BP84">IF(AND(BP$2&lt;&gt;0,TblTech[[#This Row],[Hour]:[Hour]]&gt;=BP$2),1,0)</f>
        <v>0</v>
      </c>
      <c r="BQ84" s="276" cm="1">
        <f t="array" ref="BQ84">IF(AND(BQ$2&lt;&gt;0,TblTech[[#This Row],[Hour]:[Hour]]&gt;=BQ$2),1,0)</f>
        <v>0</v>
      </c>
      <c r="BR84" s="276" cm="1">
        <f t="array" ref="BR84">IF(AND(BR$2&lt;&gt;0,TblTech[[#This Row],[Hour]:[Hour]]&gt;=BR$2),1,0)</f>
        <v>0</v>
      </c>
      <c r="BS84" s="276" cm="1">
        <f t="array" ref="BS84">IF(AND(BS$2&lt;&gt;0,TblTech[[#This Row],[Hour]:[Hour]]&gt;=BS$2),1,0)</f>
        <v>0</v>
      </c>
      <c r="BT84" s="276" cm="1">
        <f t="array" ref="BT84">IF(AND(BT$2&lt;&gt;0,TblTech[[#This Row],[Hour]:[Hour]]&gt;=BT$2),1,0)</f>
        <v>0</v>
      </c>
      <c r="BU84" s="276" cm="1">
        <f t="array" ref="BU84">IF(AND(BU$2&lt;&gt;0,TblTech[[#This Row],[Hour]:[Hour]]&gt;=BU$2),1,0)</f>
        <v>0</v>
      </c>
      <c r="BV84" s="276" cm="1">
        <f t="array" ref="BV84">IF(AND(BV$2&lt;&gt;0,TblTech[[#This Row],[Hour]:[Hour]]&gt;=BV$2),1,0)</f>
        <v>0</v>
      </c>
      <c r="BW84" s="276" cm="1">
        <f t="array" ref="BW84">IF(AND(BW$2&lt;&gt;0,TblTech[[#This Row],[Hour]:[Hour]]&gt;=BW$2),1,0)</f>
        <v>0</v>
      </c>
      <c r="BX84" s="276" cm="1">
        <f t="array" ref="BX84">IF(AND(BX$2&lt;&gt;0,TblTech[[#This Row],[Hour]:[Hour]]&gt;=BX$2),1,0)</f>
        <v>0</v>
      </c>
      <c r="BY84" s="276" cm="1">
        <f t="array" ref="BY84">IF(AND(BY$2&lt;&gt;0,TblTech[[#This Row],[Hour]:[Hour]]&gt;=BY$2),1,0)</f>
        <v>0</v>
      </c>
      <c r="BZ84" s="276" cm="1">
        <f t="array" ref="BZ84">IF(AND(BZ$2&lt;&gt;0,TblTech[[#This Row],[Hour]:[Hour]]&gt;=BZ$2),1,0)</f>
        <v>0</v>
      </c>
      <c r="CA84" s="377">
        <f>IFERROR(INDEX($H$4:$H$79,MATCH(INDEX(TblTech[[#Headers],[1-1]:[11-1]],1,MATCH(TblTech[[#This Row],[Hour]],$M$2:$BZ$2,0)),$G$4:$G$79,0)),)</f>
        <v>0</v>
      </c>
    </row>
    <row r="85" spans="1:79" x14ac:dyDescent="0.2">
      <c r="A85" s="268">
        <f>TblRezone[[#This Row],[Hour]]</f>
        <v>82</v>
      </c>
      <c r="B85" s="269">
        <f ca="1">TblExplore[[#This Row],[Land-DB]]</f>
        <v>110</v>
      </c>
      <c r="C85" s="270">
        <f ca="1">TblProd[[#This Row],[Techpoints]]</f>
        <v>0</v>
      </c>
      <c r="D85" s="270">
        <f ca="1">TblProd[[#This Row],[Required]]</f>
        <v>3750</v>
      </c>
      <c r="E85" s="279"/>
      <c r="F85" s="280"/>
      <c r="G85" s="273"/>
      <c r="H85" s="274"/>
      <c r="I85" s="274"/>
      <c r="J85" s="274"/>
      <c r="K85" s="93">
        <f ca="1">IF(TblTech[[#This Row],[Sum of tech]]&lt;&gt;OFFSET(TblTech[[#This Row],[Sum of tech]],-1,0),1,0)</f>
        <v>0</v>
      </c>
      <c r="L85" s="275">
        <f>COUNTIF(TblTech[[#This Row],[1-1]:[11-1]],1)</f>
        <v>0</v>
      </c>
      <c r="M85" s="276" cm="1">
        <f t="array" ref="M85">IF(AND(M$2&lt;&gt;0,TblTech[[#This Row],[Hour]:[Hour]]&gt;=M$2),1,0)</f>
        <v>0</v>
      </c>
      <c r="N85" s="276" cm="1">
        <f t="array" ref="N85">IF(AND(N$2&lt;&gt;0,TblTech[[#This Row],[Hour]:[Hour]]&gt;=N$2),1,0)</f>
        <v>0</v>
      </c>
      <c r="O85" s="276" cm="1">
        <f t="array" ref="O85">IF(AND(O$2&lt;&gt;0,TblTech[[#This Row],[Hour]:[Hour]]&gt;=O$2),1,0)</f>
        <v>0</v>
      </c>
      <c r="P85" s="276" cm="1">
        <f t="array" ref="P85">IF(AND(P$2&lt;&gt;0,TblTech[[#This Row],[Hour]:[Hour]]&gt;=P$2),1,0)</f>
        <v>0</v>
      </c>
      <c r="Q85" s="276" cm="1">
        <f t="array" ref="Q85">IF(AND(Q$2&lt;&gt;0,TblTech[[#This Row],[Hour]:[Hour]]&gt;=Q$2),1,0)</f>
        <v>0</v>
      </c>
      <c r="R85" s="276" cm="1">
        <f t="array" ref="R85">IF(AND(R$2&lt;&gt;0,TblTech[[#This Row],[Hour]:[Hour]]&gt;=R$2),1,0)</f>
        <v>0</v>
      </c>
      <c r="S85" s="276" cm="1">
        <f t="array" ref="S85">IF(AND(S$2&lt;&gt;0,TblTech[[#This Row],[Hour]:[Hour]]&gt;=S$2),1,0)</f>
        <v>0</v>
      </c>
      <c r="T85" s="276" cm="1">
        <f t="array" ref="T85">IF(AND(T$2&lt;&gt;0,TblTech[[#This Row],[Hour]:[Hour]]&gt;=T$2),1,0)</f>
        <v>0</v>
      </c>
      <c r="U85" s="276" cm="1">
        <f t="array" ref="U85">IF(AND(U$2&lt;&gt;0,TblTech[[#This Row],[Hour]:[Hour]]&gt;=U$2),1,0)</f>
        <v>0</v>
      </c>
      <c r="V85" s="276" cm="1">
        <f t="array" ref="V85">IF(AND(V$2&lt;&gt;0,TblTech[[#This Row],[Hour]:[Hour]]&gt;=V$2),1,0)</f>
        <v>0</v>
      </c>
      <c r="W85" s="276" cm="1">
        <f t="array" ref="W85">IF(AND(W$2&lt;&gt;0,TblTech[[#This Row],[Hour]:[Hour]]&gt;=W$2),1,0)</f>
        <v>0</v>
      </c>
      <c r="X85" s="276" cm="1">
        <f t="array" ref="X85">IF(AND(X$2&lt;&gt;0,TblTech[[#This Row],[Hour]:[Hour]]&gt;=X$2),1,0)</f>
        <v>0</v>
      </c>
      <c r="Y85" s="276" cm="1">
        <f t="array" ref="Y85">IF(AND(Y$2&lt;&gt;0,TblTech[[#This Row],[Hour]:[Hour]]&gt;=Y$2),1,0)</f>
        <v>0</v>
      </c>
      <c r="Z85" s="276" cm="1">
        <f t="array" ref="Z85">IF(AND(Z$2&lt;&gt;0,TblTech[[#This Row],[Hour]:[Hour]]&gt;=Z$2),1,0)</f>
        <v>0</v>
      </c>
      <c r="AA85" s="276" cm="1">
        <f t="array" ref="AA85">IF(AND(AA$2&lt;&gt;0,TblTech[[#This Row],[Hour]:[Hour]]&gt;=AA$2),1,0)</f>
        <v>0</v>
      </c>
      <c r="AB85" s="276" cm="1">
        <f t="array" ref="AB85">IF(AND(AB$2&lt;&gt;0,TblTech[[#This Row],[Hour]:[Hour]]&gt;=AB$2),1,0)</f>
        <v>0</v>
      </c>
      <c r="AC85" s="276" cm="1">
        <f t="array" ref="AC85">IF(AND(AC$2&lt;&gt;0,TblTech[[#This Row],[Hour]:[Hour]]&gt;=AC$2),1,0)</f>
        <v>0</v>
      </c>
      <c r="AD85" s="276" cm="1">
        <f t="array" ref="AD85">IF(AND(AD$2&lt;&gt;0,TblTech[[#This Row],[Hour]:[Hour]]&gt;=AD$2),1,0)</f>
        <v>0</v>
      </c>
      <c r="AE85" s="276" cm="1">
        <f t="array" ref="AE85">IF(AND(AE$2&lt;&gt;0,TblTech[[#This Row],[Hour]:[Hour]]&gt;=AE$2),1,0)</f>
        <v>0</v>
      </c>
      <c r="AF85" s="276" cm="1">
        <f t="array" ref="AF85">IF(AND(AF$2&lt;&gt;0,TblTech[[#This Row],[Hour]:[Hour]]&gt;=AF$2),1,0)</f>
        <v>0</v>
      </c>
      <c r="AG85" s="276" cm="1">
        <f t="array" ref="AG85">IF(AND(AG$2&lt;&gt;0,TblTech[[#This Row],[Hour]:[Hour]]&gt;=AG$2),1,0)</f>
        <v>0</v>
      </c>
      <c r="AH85" s="276" cm="1">
        <f t="array" ref="AH85">IF(AND(AH$2&lt;&gt;0,TblTech[[#This Row],[Hour]:[Hour]]&gt;=AH$2),1,0)</f>
        <v>0</v>
      </c>
      <c r="AI85" s="276" cm="1">
        <f t="array" ref="AI85">IF(AND(AI$2&lt;&gt;0,TblTech[[#This Row],[Hour]:[Hour]]&gt;=AI$2),1,0)</f>
        <v>0</v>
      </c>
      <c r="AJ85" s="276" cm="1">
        <f t="array" ref="AJ85">IF(AND(AJ$2&lt;&gt;0,TblTech[[#This Row],[Hour]:[Hour]]&gt;=AJ$2),1,0)</f>
        <v>0</v>
      </c>
      <c r="AK85" s="276" cm="1">
        <f t="array" ref="AK85">IF(AND(AK$2&lt;&gt;0,TblTech[[#This Row],[Hour]:[Hour]]&gt;=AK$2),1,0)</f>
        <v>0</v>
      </c>
      <c r="AL85" s="276" cm="1">
        <f t="array" ref="AL85">IF(AND(AL$2&lt;&gt;0,TblTech[[#This Row],[Hour]:[Hour]]&gt;=AL$2),1,0)</f>
        <v>0</v>
      </c>
      <c r="AM85" s="276" cm="1">
        <f t="array" ref="AM85">IF(AND(AM$2&lt;&gt;0,TblTech[[#This Row],[Hour]:[Hour]]&gt;=AM$2),1,0)</f>
        <v>0</v>
      </c>
      <c r="AN85" s="276" cm="1">
        <f t="array" ref="AN85">IF(AND(AN$2&lt;&gt;0,TblTech[[#This Row],[Hour]:[Hour]]&gt;=AN$2),1,0)</f>
        <v>0</v>
      </c>
      <c r="AO85" s="276" cm="1">
        <f t="array" ref="AO85">IF(AND(AO$2&lt;&gt;0,TblTech[[#This Row],[Hour]:[Hour]]&gt;=AO$2),1,0)</f>
        <v>0</v>
      </c>
      <c r="AP85" s="276" cm="1">
        <f t="array" ref="AP85">IF(AND(AP$2&lt;&gt;0,TblTech[[#This Row],[Hour]:[Hour]]&gt;=AP$2),1,0)</f>
        <v>0</v>
      </c>
      <c r="AQ85" s="276" cm="1">
        <f t="array" ref="AQ85">IF(AND(AQ$2&lt;&gt;0,TblTech[[#This Row],[Hour]:[Hour]]&gt;=AQ$2),1,0)</f>
        <v>0</v>
      </c>
      <c r="AR85" s="276" cm="1">
        <f t="array" ref="AR85">IF(AND(AR$2&lt;&gt;0,TblTech[[#This Row],[Hour]:[Hour]]&gt;=AR$2),1,0)</f>
        <v>0</v>
      </c>
      <c r="AS85" s="276" cm="1">
        <f t="array" ref="AS85">IF(AND(AS$2&lt;&gt;0,TblTech[[#This Row],[Hour]:[Hour]]&gt;=AS$2),1,0)</f>
        <v>0</v>
      </c>
      <c r="AT85" s="276" cm="1">
        <f t="array" ref="AT85">IF(AND(AT$2&lt;&gt;0,TblTech[[#This Row],[Hour]:[Hour]]&gt;=AT$2),1,0)</f>
        <v>0</v>
      </c>
      <c r="AU85" s="276" cm="1">
        <f t="array" ref="AU85">IF(AND(AU$2&lt;&gt;0,TblTech[[#This Row],[Hour]:[Hour]]&gt;=AU$2),1,0)</f>
        <v>0</v>
      </c>
      <c r="AV85" s="276" cm="1">
        <f t="array" ref="AV85">IF(AND(AV$2&lt;&gt;0,TblTech[[#This Row],[Hour]:[Hour]]&gt;=AV$2),1,0)</f>
        <v>0</v>
      </c>
      <c r="AW85" s="276" cm="1">
        <f t="array" ref="AW85">IF(AND(AW$2&lt;&gt;0,TblTech[[#This Row],[Hour]:[Hour]]&gt;=AW$2),1,0)</f>
        <v>0</v>
      </c>
      <c r="AX85" s="276" cm="1">
        <f t="array" ref="AX85">IF(AND(AX$2&lt;&gt;0,TblTech[[#This Row],[Hour]:[Hour]]&gt;=AX$2),1,0)</f>
        <v>0</v>
      </c>
      <c r="AY85" s="276" cm="1">
        <f t="array" ref="AY85">IF(AND(AY$2&lt;&gt;0,TblTech[[#This Row],[Hour]:[Hour]]&gt;=AY$2),1,0)</f>
        <v>0</v>
      </c>
      <c r="AZ85" s="276" cm="1">
        <f t="array" ref="AZ85">IF(AND(AZ$2&lt;&gt;0,TblTech[[#This Row],[Hour]:[Hour]]&gt;=AZ$2),1,0)</f>
        <v>0</v>
      </c>
      <c r="BA85" s="276" cm="1">
        <f t="array" ref="BA85">IF(AND(BA$2&lt;&gt;0,TblTech[[#This Row],[Hour]:[Hour]]&gt;=BA$2),1,0)</f>
        <v>0</v>
      </c>
      <c r="BB85" s="276" cm="1">
        <f t="array" ref="BB85">IF(AND(BB$2&lt;&gt;0,TblTech[[#This Row],[Hour]:[Hour]]&gt;=BB$2),1,0)</f>
        <v>0</v>
      </c>
      <c r="BC85" s="276" cm="1">
        <f t="array" ref="BC85">IF(AND(BC$2&lt;&gt;0,TblTech[[#This Row],[Hour]:[Hour]]&gt;=BC$2),1,0)</f>
        <v>0</v>
      </c>
      <c r="BD85" s="276" cm="1">
        <f t="array" ref="BD85">IF(AND(BD$2&lt;&gt;0,TblTech[[#This Row],[Hour]:[Hour]]&gt;=BD$2),1,0)</f>
        <v>0</v>
      </c>
      <c r="BE85" s="276" cm="1">
        <f t="array" ref="BE85">IF(AND(BE$2&lt;&gt;0,TblTech[[#This Row],[Hour]:[Hour]]&gt;=BE$2),1,0)</f>
        <v>0</v>
      </c>
      <c r="BF85" s="276" cm="1">
        <f t="array" ref="BF85">IF(AND(BF$2&lt;&gt;0,TblTech[[#This Row],[Hour]:[Hour]]&gt;=BF$2),1,0)</f>
        <v>0</v>
      </c>
      <c r="BG85" s="276" cm="1">
        <f t="array" ref="BG85">IF(AND(BG$2&lt;&gt;0,TblTech[[#This Row],[Hour]:[Hour]]&gt;=BG$2),1,0)</f>
        <v>0</v>
      </c>
      <c r="BH85" s="276" cm="1">
        <f t="array" ref="BH85">IF(AND(BH$2&lt;&gt;0,TblTech[[#This Row],[Hour]:[Hour]]&gt;=BH$2),1,0)</f>
        <v>0</v>
      </c>
      <c r="BI85" s="276" cm="1">
        <f t="array" ref="BI85">IF(AND(BI$2&lt;&gt;0,TblTech[[#This Row],[Hour]:[Hour]]&gt;=BI$2),1,0)</f>
        <v>0</v>
      </c>
      <c r="BJ85" s="276" cm="1">
        <f t="array" ref="BJ85">IF(AND(BJ$2&lt;&gt;0,TblTech[[#This Row],[Hour]:[Hour]]&gt;=BJ$2),1,0)</f>
        <v>0</v>
      </c>
      <c r="BK85" s="276" cm="1">
        <f t="array" ref="BK85">IF(AND(BK$2&lt;&gt;0,TblTech[[#This Row],[Hour]:[Hour]]&gt;=BK$2),1,0)</f>
        <v>0</v>
      </c>
      <c r="BL85" s="276" cm="1">
        <f t="array" ref="BL85">IF(AND(BL$2&lt;&gt;0,TblTech[[#This Row],[Hour]:[Hour]]&gt;=BL$2),1,0)</f>
        <v>0</v>
      </c>
      <c r="BM85" s="276" cm="1">
        <f t="array" ref="BM85">IF(AND(BM$2&lt;&gt;0,TblTech[[#This Row],[Hour]:[Hour]]&gt;=BM$2),1,0)</f>
        <v>0</v>
      </c>
      <c r="BN85" s="276" cm="1">
        <f t="array" ref="BN85">IF(AND(BN$2&lt;&gt;0,TblTech[[#This Row],[Hour]:[Hour]]&gt;=BN$2),1,0)</f>
        <v>0</v>
      </c>
      <c r="BO85" s="276" cm="1">
        <f t="array" ref="BO85">IF(AND(BO$2&lt;&gt;0,TblTech[[#This Row],[Hour]:[Hour]]&gt;=BO$2),1,0)</f>
        <v>0</v>
      </c>
      <c r="BP85" s="276" cm="1">
        <f t="array" ref="BP85">IF(AND(BP$2&lt;&gt;0,TblTech[[#This Row],[Hour]:[Hour]]&gt;=BP$2),1,0)</f>
        <v>0</v>
      </c>
      <c r="BQ85" s="276" cm="1">
        <f t="array" ref="BQ85">IF(AND(BQ$2&lt;&gt;0,TblTech[[#This Row],[Hour]:[Hour]]&gt;=BQ$2),1,0)</f>
        <v>0</v>
      </c>
      <c r="BR85" s="276" cm="1">
        <f t="array" ref="BR85">IF(AND(BR$2&lt;&gt;0,TblTech[[#This Row],[Hour]:[Hour]]&gt;=BR$2),1,0)</f>
        <v>0</v>
      </c>
      <c r="BS85" s="276" cm="1">
        <f t="array" ref="BS85">IF(AND(BS$2&lt;&gt;0,TblTech[[#This Row],[Hour]:[Hour]]&gt;=BS$2),1,0)</f>
        <v>0</v>
      </c>
      <c r="BT85" s="276" cm="1">
        <f t="array" ref="BT85">IF(AND(BT$2&lt;&gt;0,TblTech[[#This Row],[Hour]:[Hour]]&gt;=BT$2),1,0)</f>
        <v>0</v>
      </c>
      <c r="BU85" s="276" cm="1">
        <f t="array" ref="BU85">IF(AND(BU$2&lt;&gt;0,TblTech[[#This Row],[Hour]:[Hour]]&gt;=BU$2),1,0)</f>
        <v>0</v>
      </c>
      <c r="BV85" s="276" cm="1">
        <f t="array" ref="BV85">IF(AND(BV$2&lt;&gt;0,TblTech[[#This Row],[Hour]:[Hour]]&gt;=BV$2),1,0)</f>
        <v>0</v>
      </c>
      <c r="BW85" s="276" cm="1">
        <f t="array" ref="BW85">IF(AND(BW$2&lt;&gt;0,TblTech[[#This Row],[Hour]:[Hour]]&gt;=BW$2),1,0)</f>
        <v>0</v>
      </c>
      <c r="BX85" s="276" cm="1">
        <f t="array" ref="BX85">IF(AND(BX$2&lt;&gt;0,TblTech[[#This Row],[Hour]:[Hour]]&gt;=BX$2),1,0)</f>
        <v>0</v>
      </c>
      <c r="BY85" s="276" cm="1">
        <f t="array" ref="BY85">IF(AND(BY$2&lt;&gt;0,TblTech[[#This Row],[Hour]:[Hour]]&gt;=BY$2),1,0)</f>
        <v>0</v>
      </c>
      <c r="BZ85" s="276" cm="1">
        <f t="array" ref="BZ85">IF(AND(BZ$2&lt;&gt;0,TblTech[[#This Row],[Hour]:[Hour]]&gt;=BZ$2),1,0)</f>
        <v>0</v>
      </c>
      <c r="CA85" s="377">
        <f>IFERROR(INDEX($H$4:$H$79,MATCH(INDEX(TblTech[[#Headers],[1-1]:[11-1]],1,MATCH(TblTech[[#This Row],[Hour]],$M$2:$BZ$2,0)),$G$4:$G$79,0)),)</f>
        <v>0</v>
      </c>
    </row>
    <row r="86" spans="1:79" x14ac:dyDescent="0.2">
      <c r="A86" s="268">
        <f>TblRezone[[#This Row],[Hour]]</f>
        <v>83</v>
      </c>
      <c r="B86" s="269">
        <f ca="1">TblExplore[[#This Row],[Land-DB]]</f>
        <v>110</v>
      </c>
      <c r="C86" s="270">
        <f ca="1">TblProd[[#This Row],[Techpoints]]</f>
        <v>0</v>
      </c>
      <c r="D86" s="270">
        <f ca="1">TblProd[[#This Row],[Required]]</f>
        <v>3750</v>
      </c>
      <c r="E86" s="279"/>
      <c r="F86" s="280"/>
      <c r="G86" s="273"/>
      <c r="H86" s="274"/>
      <c r="I86" s="274"/>
      <c r="J86" s="274"/>
      <c r="K86" s="93">
        <f ca="1">IF(TblTech[[#This Row],[Sum of tech]]&lt;&gt;OFFSET(TblTech[[#This Row],[Sum of tech]],-1,0),1,0)</f>
        <v>0</v>
      </c>
      <c r="L86" s="275">
        <f>COUNTIF(TblTech[[#This Row],[1-1]:[11-1]],1)</f>
        <v>0</v>
      </c>
      <c r="M86" s="276" cm="1">
        <f t="array" ref="M86">IF(AND(M$2&lt;&gt;0,TblTech[[#This Row],[Hour]:[Hour]]&gt;=M$2),1,0)</f>
        <v>0</v>
      </c>
      <c r="N86" s="276" cm="1">
        <f t="array" ref="N86">IF(AND(N$2&lt;&gt;0,TblTech[[#This Row],[Hour]:[Hour]]&gt;=N$2),1,0)</f>
        <v>0</v>
      </c>
      <c r="O86" s="276" cm="1">
        <f t="array" ref="O86">IF(AND(O$2&lt;&gt;0,TblTech[[#This Row],[Hour]:[Hour]]&gt;=O$2),1,0)</f>
        <v>0</v>
      </c>
      <c r="P86" s="276" cm="1">
        <f t="array" ref="P86">IF(AND(P$2&lt;&gt;0,TblTech[[#This Row],[Hour]:[Hour]]&gt;=P$2),1,0)</f>
        <v>0</v>
      </c>
      <c r="Q86" s="276" cm="1">
        <f t="array" ref="Q86">IF(AND(Q$2&lt;&gt;0,TblTech[[#This Row],[Hour]:[Hour]]&gt;=Q$2),1,0)</f>
        <v>0</v>
      </c>
      <c r="R86" s="276" cm="1">
        <f t="array" ref="R86">IF(AND(R$2&lt;&gt;0,TblTech[[#This Row],[Hour]:[Hour]]&gt;=R$2),1,0)</f>
        <v>0</v>
      </c>
      <c r="S86" s="276" cm="1">
        <f t="array" ref="S86">IF(AND(S$2&lt;&gt;0,TblTech[[#This Row],[Hour]:[Hour]]&gt;=S$2),1,0)</f>
        <v>0</v>
      </c>
      <c r="T86" s="276" cm="1">
        <f t="array" ref="T86">IF(AND(T$2&lt;&gt;0,TblTech[[#This Row],[Hour]:[Hour]]&gt;=T$2),1,0)</f>
        <v>0</v>
      </c>
      <c r="U86" s="276" cm="1">
        <f t="array" ref="U86">IF(AND(U$2&lt;&gt;0,TblTech[[#This Row],[Hour]:[Hour]]&gt;=U$2),1,0)</f>
        <v>0</v>
      </c>
      <c r="V86" s="276" cm="1">
        <f t="array" ref="V86">IF(AND(V$2&lt;&gt;0,TblTech[[#This Row],[Hour]:[Hour]]&gt;=V$2),1,0)</f>
        <v>0</v>
      </c>
      <c r="W86" s="276" cm="1">
        <f t="array" ref="W86">IF(AND(W$2&lt;&gt;0,TblTech[[#This Row],[Hour]:[Hour]]&gt;=W$2),1,0)</f>
        <v>0</v>
      </c>
      <c r="X86" s="276" cm="1">
        <f t="array" ref="X86">IF(AND(X$2&lt;&gt;0,TblTech[[#This Row],[Hour]:[Hour]]&gt;=X$2),1,0)</f>
        <v>0</v>
      </c>
      <c r="Y86" s="276" cm="1">
        <f t="array" ref="Y86">IF(AND(Y$2&lt;&gt;0,TblTech[[#This Row],[Hour]:[Hour]]&gt;=Y$2),1,0)</f>
        <v>0</v>
      </c>
      <c r="Z86" s="276" cm="1">
        <f t="array" ref="Z86">IF(AND(Z$2&lt;&gt;0,TblTech[[#This Row],[Hour]:[Hour]]&gt;=Z$2),1,0)</f>
        <v>0</v>
      </c>
      <c r="AA86" s="276" cm="1">
        <f t="array" ref="AA86">IF(AND(AA$2&lt;&gt;0,TblTech[[#This Row],[Hour]:[Hour]]&gt;=AA$2),1,0)</f>
        <v>0</v>
      </c>
      <c r="AB86" s="276" cm="1">
        <f t="array" ref="AB86">IF(AND(AB$2&lt;&gt;0,TblTech[[#This Row],[Hour]:[Hour]]&gt;=AB$2),1,0)</f>
        <v>0</v>
      </c>
      <c r="AC86" s="276" cm="1">
        <f t="array" ref="AC86">IF(AND(AC$2&lt;&gt;0,TblTech[[#This Row],[Hour]:[Hour]]&gt;=AC$2),1,0)</f>
        <v>0</v>
      </c>
      <c r="AD86" s="276" cm="1">
        <f t="array" ref="AD86">IF(AND(AD$2&lt;&gt;0,TblTech[[#This Row],[Hour]:[Hour]]&gt;=AD$2),1,0)</f>
        <v>0</v>
      </c>
      <c r="AE86" s="276" cm="1">
        <f t="array" ref="AE86">IF(AND(AE$2&lt;&gt;0,TblTech[[#This Row],[Hour]:[Hour]]&gt;=AE$2),1,0)</f>
        <v>0</v>
      </c>
      <c r="AF86" s="276" cm="1">
        <f t="array" ref="AF86">IF(AND(AF$2&lt;&gt;0,TblTech[[#This Row],[Hour]:[Hour]]&gt;=AF$2),1,0)</f>
        <v>0</v>
      </c>
      <c r="AG86" s="276" cm="1">
        <f t="array" ref="AG86">IF(AND(AG$2&lt;&gt;0,TblTech[[#This Row],[Hour]:[Hour]]&gt;=AG$2),1,0)</f>
        <v>0</v>
      </c>
      <c r="AH86" s="276" cm="1">
        <f t="array" ref="AH86">IF(AND(AH$2&lt;&gt;0,TblTech[[#This Row],[Hour]:[Hour]]&gt;=AH$2),1,0)</f>
        <v>0</v>
      </c>
      <c r="AI86" s="276" cm="1">
        <f t="array" ref="AI86">IF(AND(AI$2&lt;&gt;0,TblTech[[#This Row],[Hour]:[Hour]]&gt;=AI$2),1,0)</f>
        <v>0</v>
      </c>
      <c r="AJ86" s="276" cm="1">
        <f t="array" ref="AJ86">IF(AND(AJ$2&lt;&gt;0,TblTech[[#This Row],[Hour]:[Hour]]&gt;=AJ$2),1,0)</f>
        <v>0</v>
      </c>
      <c r="AK86" s="276" cm="1">
        <f t="array" ref="AK86">IF(AND(AK$2&lt;&gt;0,TblTech[[#This Row],[Hour]:[Hour]]&gt;=AK$2),1,0)</f>
        <v>0</v>
      </c>
      <c r="AL86" s="276" cm="1">
        <f t="array" ref="AL86">IF(AND(AL$2&lt;&gt;0,TblTech[[#This Row],[Hour]:[Hour]]&gt;=AL$2),1,0)</f>
        <v>0</v>
      </c>
      <c r="AM86" s="276" cm="1">
        <f t="array" ref="AM86">IF(AND(AM$2&lt;&gt;0,TblTech[[#This Row],[Hour]:[Hour]]&gt;=AM$2),1,0)</f>
        <v>0</v>
      </c>
      <c r="AN86" s="276" cm="1">
        <f t="array" ref="AN86">IF(AND(AN$2&lt;&gt;0,TblTech[[#This Row],[Hour]:[Hour]]&gt;=AN$2),1,0)</f>
        <v>0</v>
      </c>
      <c r="AO86" s="276" cm="1">
        <f t="array" ref="AO86">IF(AND(AO$2&lt;&gt;0,TblTech[[#This Row],[Hour]:[Hour]]&gt;=AO$2),1,0)</f>
        <v>0</v>
      </c>
      <c r="AP86" s="276" cm="1">
        <f t="array" ref="AP86">IF(AND(AP$2&lt;&gt;0,TblTech[[#This Row],[Hour]:[Hour]]&gt;=AP$2),1,0)</f>
        <v>0</v>
      </c>
      <c r="AQ86" s="276" cm="1">
        <f t="array" ref="AQ86">IF(AND(AQ$2&lt;&gt;0,TblTech[[#This Row],[Hour]:[Hour]]&gt;=AQ$2),1,0)</f>
        <v>0</v>
      </c>
      <c r="AR86" s="276" cm="1">
        <f t="array" ref="AR86">IF(AND(AR$2&lt;&gt;0,TblTech[[#This Row],[Hour]:[Hour]]&gt;=AR$2),1,0)</f>
        <v>0</v>
      </c>
      <c r="AS86" s="276" cm="1">
        <f t="array" ref="AS86">IF(AND(AS$2&lt;&gt;0,TblTech[[#This Row],[Hour]:[Hour]]&gt;=AS$2),1,0)</f>
        <v>0</v>
      </c>
      <c r="AT86" s="276" cm="1">
        <f t="array" ref="AT86">IF(AND(AT$2&lt;&gt;0,TblTech[[#This Row],[Hour]:[Hour]]&gt;=AT$2),1,0)</f>
        <v>0</v>
      </c>
      <c r="AU86" s="276" cm="1">
        <f t="array" ref="AU86">IF(AND(AU$2&lt;&gt;0,TblTech[[#This Row],[Hour]:[Hour]]&gt;=AU$2),1,0)</f>
        <v>0</v>
      </c>
      <c r="AV86" s="276" cm="1">
        <f t="array" ref="AV86">IF(AND(AV$2&lt;&gt;0,TblTech[[#This Row],[Hour]:[Hour]]&gt;=AV$2),1,0)</f>
        <v>0</v>
      </c>
      <c r="AW86" s="276" cm="1">
        <f t="array" ref="AW86">IF(AND(AW$2&lt;&gt;0,TblTech[[#This Row],[Hour]:[Hour]]&gt;=AW$2),1,0)</f>
        <v>0</v>
      </c>
      <c r="AX86" s="276" cm="1">
        <f t="array" ref="AX86">IF(AND(AX$2&lt;&gt;0,TblTech[[#This Row],[Hour]:[Hour]]&gt;=AX$2),1,0)</f>
        <v>0</v>
      </c>
      <c r="AY86" s="276" cm="1">
        <f t="array" ref="AY86">IF(AND(AY$2&lt;&gt;0,TblTech[[#This Row],[Hour]:[Hour]]&gt;=AY$2),1,0)</f>
        <v>0</v>
      </c>
      <c r="AZ86" s="276" cm="1">
        <f t="array" ref="AZ86">IF(AND(AZ$2&lt;&gt;0,TblTech[[#This Row],[Hour]:[Hour]]&gt;=AZ$2),1,0)</f>
        <v>0</v>
      </c>
      <c r="BA86" s="276" cm="1">
        <f t="array" ref="BA86">IF(AND(BA$2&lt;&gt;0,TblTech[[#This Row],[Hour]:[Hour]]&gt;=BA$2),1,0)</f>
        <v>0</v>
      </c>
      <c r="BB86" s="276" cm="1">
        <f t="array" ref="BB86">IF(AND(BB$2&lt;&gt;0,TblTech[[#This Row],[Hour]:[Hour]]&gt;=BB$2),1,0)</f>
        <v>0</v>
      </c>
      <c r="BC86" s="276" cm="1">
        <f t="array" ref="BC86">IF(AND(BC$2&lt;&gt;0,TblTech[[#This Row],[Hour]:[Hour]]&gt;=BC$2),1,0)</f>
        <v>0</v>
      </c>
      <c r="BD86" s="276" cm="1">
        <f t="array" ref="BD86">IF(AND(BD$2&lt;&gt;0,TblTech[[#This Row],[Hour]:[Hour]]&gt;=BD$2),1,0)</f>
        <v>0</v>
      </c>
      <c r="BE86" s="276" cm="1">
        <f t="array" ref="BE86">IF(AND(BE$2&lt;&gt;0,TblTech[[#This Row],[Hour]:[Hour]]&gt;=BE$2),1,0)</f>
        <v>0</v>
      </c>
      <c r="BF86" s="276" cm="1">
        <f t="array" ref="BF86">IF(AND(BF$2&lt;&gt;0,TblTech[[#This Row],[Hour]:[Hour]]&gt;=BF$2),1,0)</f>
        <v>0</v>
      </c>
      <c r="BG86" s="276" cm="1">
        <f t="array" ref="BG86">IF(AND(BG$2&lt;&gt;0,TblTech[[#This Row],[Hour]:[Hour]]&gt;=BG$2),1,0)</f>
        <v>0</v>
      </c>
      <c r="BH86" s="276" cm="1">
        <f t="array" ref="BH86">IF(AND(BH$2&lt;&gt;0,TblTech[[#This Row],[Hour]:[Hour]]&gt;=BH$2),1,0)</f>
        <v>0</v>
      </c>
      <c r="BI86" s="276" cm="1">
        <f t="array" ref="BI86">IF(AND(BI$2&lt;&gt;0,TblTech[[#This Row],[Hour]:[Hour]]&gt;=BI$2),1,0)</f>
        <v>0</v>
      </c>
      <c r="BJ86" s="276" cm="1">
        <f t="array" ref="BJ86">IF(AND(BJ$2&lt;&gt;0,TblTech[[#This Row],[Hour]:[Hour]]&gt;=BJ$2),1,0)</f>
        <v>0</v>
      </c>
      <c r="BK86" s="276" cm="1">
        <f t="array" ref="BK86">IF(AND(BK$2&lt;&gt;0,TblTech[[#This Row],[Hour]:[Hour]]&gt;=BK$2),1,0)</f>
        <v>0</v>
      </c>
      <c r="BL86" s="276" cm="1">
        <f t="array" ref="BL86">IF(AND(BL$2&lt;&gt;0,TblTech[[#This Row],[Hour]:[Hour]]&gt;=BL$2),1,0)</f>
        <v>0</v>
      </c>
      <c r="BM86" s="276" cm="1">
        <f t="array" ref="BM86">IF(AND(BM$2&lt;&gt;0,TblTech[[#This Row],[Hour]:[Hour]]&gt;=BM$2),1,0)</f>
        <v>0</v>
      </c>
      <c r="BN86" s="276" cm="1">
        <f t="array" ref="BN86">IF(AND(BN$2&lt;&gt;0,TblTech[[#This Row],[Hour]:[Hour]]&gt;=BN$2),1,0)</f>
        <v>0</v>
      </c>
      <c r="BO86" s="276" cm="1">
        <f t="array" ref="BO86">IF(AND(BO$2&lt;&gt;0,TblTech[[#This Row],[Hour]:[Hour]]&gt;=BO$2),1,0)</f>
        <v>0</v>
      </c>
      <c r="BP86" s="276" cm="1">
        <f t="array" ref="BP86">IF(AND(BP$2&lt;&gt;0,TblTech[[#This Row],[Hour]:[Hour]]&gt;=BP$2),1,0)</f>
        <v>0</v>
      </c>
      <c r="BQ86" s="276" cm="1">
        <f t="array" ref="BQ86">IF(AND(BQ$2&lt;&gt;0,TblTech[[#This Row],[Hour]:[Hour]]&gt;=BQ$2),1,0)</f>
        <v>0</v>
      </c>
      <c r="BR86" s="276" cm="1">
        <f t="array" ref="BR86">IF(AND(BR$2&lt;&gt;0,TblTech[[#This Row],[Hour]:[Hour]]&gt;=BR$2),1,0)</f>
        <v>0</v>
      </c>
      <c r="BS86" s="276" cm="1">
        <f t="array" ref="BS86">IF(AND(BS$2&lt;&gt;0,TblTech[[#This Row],[Hour]:[Hour]]&gt;=BS$2),1,0)</f>
        <v>0</v>
      </c>
      <c r="BT86" s="276" cm="1">
        <f t="array" ref="BT86">IF(AND(BT$2&lt;&gt;0,TblTech[[#This Row],[Hour]:[Hour]]&gt;=BT$2),1,0)</f>
        <v>0</v>
      </c>
      <c r="BU86" s="276" cm="1">
        <f t="array" ref="BU86">IF(AND(BU$2&lt;&gt;0,TblTech[[#This Row],[Hour]:[Hour]]&gt;=BU$2),1,0)</f>
        <v>0</v>
      </c>
      <c r="BV86" s="276" cm="1">
        <f t="array" ref="BV86">IF(AND(BV$2&lt;&gt;0,TblTech[[#This Row],[Hour]:[Hour]]&gt;=BV$2),1,0)</f>
        <v>0</v>
      </c>
      <c r="BW86" s="276" cm="1">
        <f t="array" ref="BW86">IF(AND(BW$2&lt;&gt;0,TblTech[[#This Row],[Hour]:[Hour]]&gt;=BW$2),1,0)</f>
        <v>0</v>
      </c>
      <c r="BX86" s="276" cm="1">
        <f t="array" ref="BX86">IF(AND(BX$2&lt;&gt;0,TblTech[[#This Row],[Hour]:[Hour]]&gt;=BX$2),1,0)</f>
        <v>0</v>
      </c>
      <c r="BY86" s="276" cm="1">
        <f t="array" ref="BY86">IF(AND(BY$2&lt;&gt;0,TblTech[[#This Row],[Hour]:[Hour]]&gt;=BY$2),1,0)</f>
        <v>0</v>
      </c>
      <c r="BZ86" s="276" cm="1">
        <f t="array" ref="BZ86">IF(AND(BZ$2&lt;&gt;0,TblTech[[#This Row],[Hour]:[Hour]]&gt;=BZ$2),1,0)</f>
        <v>0</v>
      </c>
      <c r="CA86" s="377">
        <f>IFERROR(INDEX($H$4:$H$79,MATCH(INDEX(TblTech[[#Headers],[1-1]:[11-1]],1,MATCH(TblTech[[#This Row],[Hour]],$M$2:$BZ$2,0)),$G$4:$G$79,0)),)</f>
        <v>0</v>
      </c>
    </row>
    <row r="87" spans="1:79" x14ac:dyDescent="0.2">
      <c r="A87" s="268">
        <f>TblRezone[[#This Row],[Hour]]</f>
        <v>84</v>
      </c>
      <c r="B87" s="269">
        <f ca="1">TblExplore[[#This Row],[Land-DB]]</f>
        <v>110</v>
      </c>
      <c r="C87" s="270">
        <f ca="1">TblProd[[#This Row],[Techpoints]]</f>
        <v>0</v>
      </c>
      <c r="D87" s="270">
        <f ca="1">TblProd[[#This Row],[Required]]</f>
        <v>3750</v>
      </c>
      <c r="E87" s="279"/>
      <c r="F87" s="280"/>
      <c r="G87" s="273"/>
      <c r="H87" s="274"/>
      <c r="I87" s="274"/>
      <c r="J87" s="274"/>
      <c r="K87" s="93">
        <f ca="1">IF(TblTech[[#This Row],[Sum of tech]]&lt;&gt;OFFSET(TblTech[[#This Row],[Sum of tech]],-1,0),1,0)</f>
        <v>0</v>
      </c>
      <c r="L87" s="275">
        <f>COUNTIF(TblTech[[#This Row],[1-1]:[11-1]],1)</f>
        <v>0</v>
      </c>
      <c r="M87" s="276" cm="1">
        <f t="array" ref="M87">IF(AND(M$2&lt;&gt;0,TblTech[[#This Row],[Hour]:[Hour]]&gt;=M$2),1,0)</f>
        <v>0</v>
      </c>
      <c r="N87" s="276" cm="1">
        <f t="array" ref="N87">IF(AND(N$2&lt;&gt;0,TblTech[[#This Row],[Hour]:[Hour]]&gt;=N$2),1,0)</f>
        <v>0</v>
      </c>
      <c r="O87" s="276" cm="1">
        <f t="array" ref="O87">IF(AND(O$2&lt;&gt;0,TblTech[[#This Row],[Hour]:[Hour]]&gt;=O$2),1,0)</f>
        <v>0</v>
      </c>
      <c r="P87" s="276" cm="1">
        <f t="array" ref="P87">IF(AND(P$2&lt;&gt;0,TblTech[[#This Row],[Hour]:[Hour]]&gt;=P$2),1,0)</f>
        <v>0</v>
      </c>
      <c r="Q87" s="276" cm="1">
        <f t="array" ref="Q87">IF(AND(Q$2&lt;&gt;0,TblTech[[#This Row],[Hour]:[Hour]]&gt;=Q$2),1,0)</f>
        <v>0</v>
      </c>
      <c r="R87" s="276" cm="1">
        <f t="array" ref="R87">IF(AND(R$2&lt;&gt;0,TblTech[[#This Row],[Hour]:[Hour]]&gt;=R$2),1,0)</f>
        <v>0</v>
      </c>
      <c r="S87" s="276" cm="1">
        <f t="array" ref="S87">IF(AND(S$2&lt;&gt;0,TblTech[[#This Row],[Hour]:[Hour]]&gt;=S$2),1,0)</f>
        <v>0</v>
      </c>
      <c r="T87" s="276" cm="1">
        <f t="array" ref="T87">IF(AND(T$2&lt;&gt;0,TblTech[[#This Row],[Hour]:[Hour]]&gt;=T$2),1,0)</f>
        <v>0</v>
      </c>
      <c r="U87" s="276" cm="1">
        <f t="array" ref="U87">IF(AND(U$2&lt;&gt;0,TblTech[[#This Row],[Hour]:[Hour]]&gt;=U$2),1,0)</f>
        <v>0</v>
      </c>
      <c r="V87" s="276" cm="1">
        <f t="array" ref="V87">IF(AND(V$2&lt;&gt;0,TblTech[[#This Row],[Hour]:[Hour]]&gt;=V$2),1,0)</f>
        <v>0</v>
      </c>
      <c r="W87" s="276" cm="1">
        <f t="array" ref="W87">IF(AND(W$2&lt;&gt;0,TblTech[[#This Row],[Hour]:[Hour]]&gt;=W$2),1,0)</f>
        <v>0</v>
      </c>
      <c r="X87" s="276" cm="1">
        <f t="array" ref="X87">IF(AND(X$2&lt;&gt;0,TblTech[[#This Row],[Hour]:[Hour]]&gt;=X$2),1,0)</f>
        <v>0</v>
      </c>
      <c r="Y87" s="276" cm="1">
        <f t="array" ref="Y87">IF(AND(Y$2&lt;&gt;0,TblTech[[#This Row],[Hour]:[Hour]]&gt;=Y$2),1,0)</f>
        <v>0</v>
      </c>
      <c r="Z87" s="276" cm="1">
        <f t="array" ref="Z87">IF(AND(Z$2&lt;&gt;0,TblTech[[#This Row],[Hour]:[Hour]]&gt;=Z$2),1,0)</f>
        <v>0</v>
      </c>
      <c r="AA87" s="276" cm="1">
        <f t="array" ref="AA87">IF(AND(AA$2&lt;&gt;0,TblTech[[#This Row],[Hour]:[Hour]]&gt;=AA$2),1,0)</f>
        <v>0</v>
      </c>
      <c r="AB87" s="276" cm="1">
        <f t="array" ref="AB87">IF(AND(AB$2&lt;&gt;0,TblTech[[#This Row],[Hour]:[Hour]]&gt;=AB$2),1,0)</f>
        <v>0</v>
      </c>
      <c r="AC87" s="276" cm="1">
        <f t="array" ref="AC87">IF(AND(AC$2&lt;&gt;0,TblTech[[#This Row],[Hour]:[Hour]]&gt;=AC$2),1,0)</f>
        <v>0</v>
      </c>
      <c r="AD87" s="276" cm="1">
        <f t="array" ref="AD87">IF(AND(AD$2&lt;&gt;0,TblTech[[#This Row],[Hour]:[Hour]]&gt;=AD$2),1,0)</f>
        <v>0</v>
      </c>
      <c r="AE87" s="276" cm="1">
        <f t="array" ref="AE87">IF(AND(AE$2&lt;&gt;0,TblTech[[#This Row],[Hour]:[Hour]]&gt;=AE$2),1,0)</f>
        <v>0</v>
      </c>
      <c r="AF87" s="276" cm="1">
        <f t="array" ref="AF87">IF(AND(AF$2&lt;&gt;0,TblTech[[#This Row],[Hour]:[Hour]]&gt;=AF$2),1,0)</f>
        <v>0</v>
      </c>
      <c r="AG87" s="276" cm="1">
        <f t="array" ref="AG87">IF(AND(AG$2&lt;&gt;0,TblTech[[#This Row],[Hour]:[Hour]]&gt;=AG$2),1,0)</f>
        <v>0</v>
      </c>
      <c r="AH87" s="276" cm="1">
        <f t="array" ref="AH87">IF(AND(AH$2&lt;&gt;0,TblTech[[#This Row],[Hour]:[Hour]]&gt;=AH$2),1,0)</f>
        <v>0</v>
      </c>
      <c r="AI87" s="276" cm="1">
        <f t="array" ref="AI87">IF(AND(AI$2&lt;&gt;0,TblTech[[#This Row],[Hour]:[Hour]]&gt;=AI$2),1,0)</f>
        <v>0</v>
      </c>
      <c r="AJ87" s="276" cm="1">
        <f t="array" ref="AJ87">IF(AND(AJ$2&lt;&gt;0,TblTech[[#This Row],[Hour]:[Hour]]&gt;=AJ$2),1,0)</f>
        <v>0</v>
      </c>
      <c r="AK87" s="276" cm="1">
        <f t="array" ref="AK87">IF(AND(AK$2&lt;&gt;0,TblTech[[#This Row],[Hour]:[Hour]]&gt;=AK$2),1,0)</f>
        <v>0</v>
      </c>
      <c r="AL87" s="276" cm="1">
        <f t="array" ref="AL87">IF(AND(AL$2&lt;&gt;0,TblTech[[#This Row],[Hour]:[Hour]]&gt;=AL$2),1,0)</f>
        <v>0</v>
      </c>
      <c r="AM87" s="276" cm="1">
        <f t="array" ref="AM87">IF(AND(AM$2&lt;&gt;0,TblTech[[#This Row],[Hour]:[Hour]]&gt;=AM$2),1,0)</f>
        <v>0</v>
      </c>
      <c r="AN87" s="276" cm="1">
        <f t="array" ref="AN87">IF(AND(AN$2&lt;&gt;0,TblTech[[#This Row],[Hour]:[Hour]]&gt;=AN$2),1,0)</f>
        <v>0</v>
      </c>
      <c r="AO87" s="276" cm="1">
        <f t="array" ref="AO87">IF(AND(AO$2&lt;&gt;0,TblTech[[#This Row],[Hour]:[Hour]]&gt;=AO$2),1,0)</f>
        <v>0</v>
      </c>
      <c r="AP87" s="276" cm="1">
        <f t="array" ref="AP87">IF(AND(AP$2&lt;&gt;0,TblTech[[#This Row],[Hour]:[Hour]]&gt;=AP$2),1,0)</f>
        <v>0</v>
      </c>
      <c r="AQ87" s="276" cm="1">
        <f t="array" ref="AQ87">IF(AND(AQ$2&lt;&gt;0,TblTech[[#This Row],[Hour]:[Hour]]&gt;=AQ$2),1,0)</f>
        <v>0</v>
      </c>
      <c r="AR87" s="276" cm="1">
        <f t="array" ref="AR87">IF(AND(AR$2&lt;&gt;0,TblTech[[#This Row],[Hour]:[Hour]]&gt;=AR$2),1,0)</f>
        <v>0</v>
      </c>
      <c r="AS87" s="276" cm="1">
        <f t="array" ref="AS87">IF(AND(AS$2&lt;&gt;0,TblTech[[#This Row],[Hour]:[Hour]]&gt;=AS$2),1,0)</f>
        <v>0</v>
      </c>
      <c r="AT87" s="276" cm="1">
        <f t="array" ref="AT87">IF(AND(AT$2&lt;&gt;0,TblTech[[#This Row],[Hour]:[Hour]]&gt;=AT$2),1,0)</f>
        <v>0</v>
      </c>
      <c r="AU87" s="276" cm="1">
        <f t="array" ref="AU87">IF(AND(AU$2&lt;&gt;0,TblTech[[#This Row],[Hour]:[Hour]]&gt;=AU$2),1,0)</f>
        <v>0</v>
      </c>
      <c r="AV87" s="276" cm="1">
        <f t="array" ref="AV87">IF(AND(AV$2&lt;&gt;0,TblTech[[#This Row],[Hour]:[Hour]]&gt;=AV$2),1,0)</f>
        <v>0</v>
      </c>
      <c r="AW87" s="276" cm="1">
        <f t="array" ref="AW87">IF(AND(AW$2&lt;&gt;0,TblTech[[#This Row],[Hour]:[Hour]]&gt;=AW$2),1,0)</f>
        <v>0</v>
      </c>
      <c r="AX87" s="276" cm="1">
        <f t="array" ref="AX87">IF(AND(AX$2&lt;&gt;0,TblTech[[#This Row],[Hour]:[Hour]]&gt;=AX$2),1,0)</f>
        <v>0</v>
      </c>
      <c r="AY87" s="276" cm="1">
        <f t="array" ref="AY87">IF(AND(AY$2&lt;&gt;0,TblTech[[#This Row],[Hour]:[Hour]]&gt;=AY$2),1,0)</f>
        <v>0</v>
      </c>
      <c r="AZ87" s="276" cm="1">
        <f t="array" ref="AZ87">IF(AND(AZ$2&lt;&gt;0,TblTech[[#This Row],[Hour]:[Hour]]&gt;=AZ$2),1,0)</f>
        <v>0</v>
      </c>
      <c r="BA87" s="276" cm="1">
        <f t="array" ref="BA87">IF(AND(BA$2&lt;&gt;0,TblTech[[#This Row],[Hour]:[Hour]]&gt;=BA$2),1,0)</f>
        <v>0</v>
      </c>
      <c r="BB87" s="276" cm="1">
        <f t="array" ref="BB87">IF(AND(BB$2&lt;&gt;0,TblTech[[#This Row],[Hour]:[Hour]]&gt;=BB$2),1,0)</f>
        <v>0</v>
      </c>
      <c r="BC87" s="276" cm="1">
        <f t="array" ref="BC87">IF(AND(BC$2&lt;&gt;0,TblTech[[#This Row],[Hour]:[Hour]]&gt;=BC$2),1,0)</f>
        <v>0</v>
      </c>
      <c r="BD87" s="276" cm="1">
        <f t="array" ref="BD87">IF(AND(BD$2&lt;&gt;0,TblTech[[#This Row],[Hour]:[Hour]]&gt;=BD$2),1,0)</f>
        <v>0</v>
      </c>
      <c r="BE87" s="276" cm="1">
        <f t="array" ref="BE87">IF(AND(BE$2&lt;&gt;0,TblTech[[#This Row],[Hour]:[Hour]]&gt;=BE$2),1,0)</f>
        <v>0</v>
      </c>
      <c r="BF87" s="276" cm="1">
        <f t="array" ref="BF87">IF(AND(BF$2&lt;&gt;0,TblTech[[#This Row],[Hour]:[Hour]]&gt;=BF$2),1,0)</f>
        <v>0</v>
      </c>
      <c r="BG87" s="276" cm="1">
        <f t="array" ref="BG87">IF(AND(BG$2&lt;&gt;0,TblTech[[#This Row],[Hour]:[Hour]]&gt;=BG$2),1,0)</f>
        <v>0</v>
      </c>
      <c r="BH87" s="276" cm="1">
        <f t="array" ref="BH87">IF(AND(BH$2&lt;&gt;0,TblTech[[#This Row],[Hour]:[Hour]]&gt;=BH$2),1,0)</f>
        <v>0</v>
      </c>
      <c r="BI87" s="276" cm="1">
        <f t="array" ref="BI87">IF(AND(BI$2&lt;&gt;0,TblTech[[#This Row],[Hour]:[Hour]]&gt;=BI$2),1,0)</f>
        <v>0</v>
      </c>
      <c r="BJ87" s="276" cm="1">
        <f t="array" ref="BJ87">IF(AND(BJ$2&lt;&gt;0,TblTech[[#This Row],[Hour]:[Hour]]&gt;=BJ$2),1,0)</f>
        <v>0</v>
      </c>
      <c r="BK87" s="276" cm="1">
        <f t="array" ref="BK87">IF(AND(BK$2&lt;&gt;0,TblTech[[#This Row],[Hour]:[Hour]]&gt;=BK$2),1,0)</f>
        <v>0</v>
      </c>
      <c r="BL87" s="276" cm="1">
        <f t="array" ref="BL87">IF(AND(BL$2&lt;&gt;0,TblTech[[#This Row],[Hour]:[Hour]]&gt;=BL$2),1,0)</f>
        <v>0</v>
      </c>
      <c r="BM87" s="276" cm="1">
        <f t="array" ref="BM87">IF(AND(BM$2&lt;&gt;0,TblTech[[#This Row],[Hour]:[Hour]]&gt;=BM$2),1,0)</f>
        <v>0</v>
      </c>
      <c r="BN87" s="276" cm="1">
        <f t="array" ref="BN87">IF(AND(BN$2&lt;&gt;0,TblTech[[#This Row],[Hour]:[Hour]]&gt;=BN$2),1,0)</f>
        <v>0</v>
      </c>
      <c r="BO87" s="276" cm="1">
        <f t="array" ref="BO87">IF(AND(BO$2&lt;&gt;0,TblTech[[#This Row],[Hour]:[Hour]]&gt;=BO$2),1,0)</f>
        <v>0</v>
      </c>
      <c r="BP87" s="276" cm="1">
        <f t="array" ref="BP87">IF(AND(BP$2&lt;&gt;0,TblTech[[#This Row],[Hour]:[Hour]]&gt;=BP$2),1,0)</f>
        <v>0</v>
      </c>
      <c r="BQ87" s="276" cm="1">
        <f t="array" ref="BQ87">IF(AND(BQ$2&lt;&gt;0,TblTech[[#This Row],[Hour]:[Hour]]&gt;=BQ$2),1,0)</f>
        <v>0</v>
      </c>
      <c r="BR87" s="276" cm="1">
        <f t="array" ref="BR87">IF(AND(BR$2&lt;&gt;0,TblTech[[#This Row],[Hour]:[Hour]]&gt;=BR$2),1,0)</f>
        <v>0</v>
      </c>
      <c r="BS87" s="276" cm="1">
        <f t="array" ref="BS87">IF(AND(BS$2&lt;&gt;0,TblTech[[#This Row],[Hour]:[Hour]]&gt;=BS$2),1,0)</f>
        <v>0</v>
      </c>
      <c r="BT87" s="276" cm="1">
        <f t="array" ref="BT87">IF(AND(BT$2&lt;&gt;0,TblTech[[#This Row],[Hour]:[Hour]]&gt;=BT$2),1,0)</f>
        <v>0</v>
      </c>
      <c r="BU87" s="276" cm="1">
        <f t="array" ref="BU87">IF(AND(BU$2&lt;&gt;0,TblTech[[#This Row],[Hour]:[Hour]]&gt;=BU$2),1,0)</f>
        <v>0</v>
      </c>
      <c r="BV87" s="276" cm="1">
        <f t="array" ref="BV87">IF(AND(BV$2&lt;&gt;0,TblTech[[#This Row],[Hour]:[Hour]]&gt;=BV$2),1,0)</f>
        <v>0</v>
      </c>
      <c r="BW87" s="276" cm="1">
        <f t="array" ref="BW87">IF(AND(BW$2&lt;&gt;0,TblTech[[#This Row],[Hour]:[Hour]]&gt;=BW$2),1,0)</f>
        <v>0</v>
      </c>
      <c r="BX87" s="276" cm="1">
        <f t="array" ref="BX87">IF(AND(BX$2&lt;&gt;0,TblTech[[#This Row],[Hour]:[Hour]]&gt;=BX$2),1,0)</f>
        <v>0</v>
      </c>
      <c r="BY87" s="276" cm="1">
        <f t="array" ref="BY87">IF(AND(BY$2&lt;&gt;0,TblTech[[#This Row],[Hour]:[Hour]]&gt;=BY$2),1,0)</f>
        <v>0</v>
      </c>
      <c r="BZ87" s="276" cm="1">
        <f t="array" ref="BZ87">IF(AND(BZ$2&lt;&gt;0,TblTech[[#This Row],[Hour]:[Hour]]&gt;=BZ$2),1,0)</f>
        <v>0</v>
      </c>
      <c r="CA87" s="377">
        <f>IFERROR(INDEX($H$4:$H$79,MATCH(INDEX(TblTech[[#Headers],[1-1]:[11-1]],1,MATCH(TblTech[[#This Row],[Hour]],$M$2:$BZ$2,0)),$G$4:$G$79,0)),)</f>
        <v>0</v>
      </c>
    </row>
    <row r="88" spans="1:79" x14ac:dyDescent="0.2">
      <c r="A88" s="268">
        <f>TblRezone[[#This Row],[Hour]]</f>
        <v>85</v>
      </c>
      <c r="B88" s="269">
        <f ca="1">TblExplore[[#This Row],[Land-DB]]</f>
        <v>110</v>
      </c>
      <c r="C88" s="270">
        <f ca="1">TblProd[[#This Row],[Techpoints]]</f>
        <v>0</v>
      </c>
      <c r="D88" s="270">
        <f ca="1">TblProd[[#This Row],[Required]]</f>
        <v>3750</v>
      </c>
      <c r="E88" s="279"/>
      <c r="F88" s="280"/>
      <c r="G88" s="273"/>
      <c r="H88" s="274"/>
      <c r="I88" s="274"/>
      <c r="J88" s="274"/>
      <c r="K88" s="93">
        <f ca="1">IF(TblTech[[#This Row],[Sum of tech]]&lt;&gt;OFFSET(TblTech[[#This Row],[Sum of tech]],-1,0),1,0)</f>
        <v>0</v>
      </c>
      <c r="L88" s="275">
        <f>COUNTIF(TblTech[[#This Row],[1-1]:[11-1]],1)</f>
        <v>0</v>
      </c>
      <c r="M88" s="276" cm="1">
        <f t="array" ref="M88">IF(AND(M$2&lt;&gt;0,TblTech[[#This Row],[Hour]:[Hour]]&gt;=M$2),1,0)</f>
        <v>0</v>
      </c>
      <c r="N88" s="276" cm="1">
        <f t="array" ref="N88">IF(AND(N$2&lt;&gt;0,TblTech[[#This Row],[Hour]:[Hour]]&gt;=N$2),1,0)</f>
        <v>0</v>
      </c>
      <c r="O88" s="276" cm="1">
        <f t="array" ref="O88">IF(AND(O$2&lt;&gt;0,TblTech[[#This Row],[Hour]:[Hour]]&gt;=O$2),1,0)</f>
        <v>0</v>
      </c>
      <c r="P88" s="276" cm="1">
        <f t="array" ref="P88">IF(AND(P$2&lt;&gt;0,TblTech[[#This Row],[Hour]:[Hour]]&gt;=P$2),1,0)</f>
        <v>0</v>
      </c>
      <c r="Q88" s="276" cm="1">
        <f t="array" ref="Q88">IF(AND(Q$2&lt;&gt;0,TblTech[[#This Row],[Hour]:[Hour]]&gt;=Q$2),1,0)</f>
        <v>0</v>
      </c>
      <c r="R88" s="276" cm="1">
        <f t="array" ref="R88">IF(AND(R$2&lt;&gt;0,TblTech[[#This Row],[Hour]:[Hour]]&gt;=R$2),1,0)</f>
        <v>0</v>
      </c>
      <c r="S88" s="276" cm="1">
        <f t="array" ref="S88">IF(AND(S$2&lt;&gt;0,TblTech[[#This Row],[Hour]:[Hour]]&gt;=S$2),1,0)</f>
        <v>0</v>
      </c>
      <c r="T88" s="276" cm="1">
        <f t="array" ref="T88">IF(AND(T$2&lt;&gt;0,TblTech[[#This Row],[Hour]:[Hour]]&gt;=T$2),1,0)</f>
        <v>0</v>
      </c>
      <c r="U88" s="276" cm="1">
        <f t="array" ref="U88">IF(AND(U$2&lt;&gt;0,TblTech[[#This Row],[Hour]:[Hour]]&gt;=U$2),1,0)</f>
        <v>0</v>
      </c>
      <c r="V88" s="276" cm="1">
        <f t="array" ref="V88">IF(AND(V$2&lt;&gt;0,TblTech[[#This Row],[Hour]:[Hour]]&gt;=V$2),1,0)</f>
        <v>0</v>
      </c>
      <c r="W88" s="276" cm="1">
        <f t="array" ref="W88">IF(AND(W$2&lt;&gt;0,TblTech[[#This Row],[Hour]:[Hour]]&gt;=W$2),1,0)</f>
        <v>0</v>
      </c>
      <c r="X88" s="276" cm="1">
        <f t="array" ref="X88">IF(AND(X$2&lt;&gt;0,TblTech[[#This Row],[Hour]:[Hour]]&gt;=X$2),1,0)</f>
        <v>0</v>
      </c>
      <c r="Y88" s="276" cm="1">
        <f t="array" ref="Y88">IF(AND(Y$2&lt;&gt;0,TblTech[[#This Row],[Hour]:[Hour]]&gt;=Y$2),1,0)</f>
        <v>0</v>
      </c>
      <c r="Z88" s="276" cm="1">
        <f t="array" ref="Z88">IF(AND(Z$2&lt;&gt;0,TblTech[[#This Row],[Hour]:[Hour]]&gt;=Z$2),1,0)</f>
        <v>0</v>
      </c>
      <c r="AA88" s="276" cm="1">
        <f t="array" ref="AA88">IF(AND(AA$2&lt;&gt;0,TblTech[[#This Row],[Hour]:[Hour]]&gt;=AA$2),1,0)</f>
        <v>0</v>
      </c>
      <c r="AB88" s="276" cm="1">
        <f t="array" ref="AB88">IF(AND(AB$2&lt;&gt;0,TblTech[[#This Row],[Hour]:[Hour]]&gt;=AB$2),1,0)</f>
        <v>0</v>
      </c>
      <c r="AC88" s="276" cm="1">
        <f t="array" ref="AC88">IF(AND(AC$2&lt;&gt;0,TblTech[[#This Row],[Hour]:[Hour]]&gt;=AC$2),1,0)</f>
        <v>0</v>
      </c>
      <c r="AD88" s="276" cm="1">
        <f t="array" ref="AD88">IF(AND(AD$2&lt;&gt;0,TblTech[[#This Row],[Hour]:[Hour]]&gt;=AD$2),1,0)</f>
        <v>0</v>
      </c>
      <c r="AE88" s="276" cm="1">
        <f t="array" ref="AE88">IF(AND(AE$2&lt;&gt;0,TblTech[[#This Row],[Hour]:[Hour]]&gt;=AE$2),1,0)</f>
        <v>0</v>
      </c>
      <c r="AF88" s="276" cm="1">
        <f t="array" ref="AF88">IF(AND(AF$2&lt;&gt;0,TblTech[[#This Row],[Hour]:[Hour]]&gt;=AF$2),1,0)</f>
        <v>0</v>
      </c>
      <c r="AG88" s="276" cm="1">
        <f t="array" ref="AG88">IF(AND(AG$2&lt;&gt;0,TblTech[[#This Row],[Hour]:[Hour]]&gt;=AG$2),1,0)</f>
        <v>0</v>
      </c>
      <c r="AH88" s="276" cm="1">
        <f t="array" ref="AH88">IF(AND(AH$2&lt;&gt;0,TblTech[[#This Row],[Hour]:[Hour]]&gt;=AH$2),1,0)</f>
        <v>0</v>
      </c>
      <c r="AI88" s="276" cm="1">
        <f t="array" ref="AI88">IF(AND(AI$2&lt;&gt;0,TblTech[[#This Row],[Hour]:[Hour]]&gt;=AI$2),1,0)</f>
        <v>0</v>
      </c>
      <c r="AJ88" s="276" cm="1">
        <f t="array" ref="AJ88">IF(AND(AJ$2&lt;&gt;0,TblTech[[#This Row],[Hour]:[Hour]]&gt;=AJ$2),1,0)</f>
        <v>0</v>
      </c>
      <c r="AK88" s="276" cm="1">
        <f t="array" ref="AK88">IF(AND(AK$2&lt;&gt;0,TblTech[[#This Row],[Hour]:[Hour]]&gt;=AK$2),1,0)</f>
        <v>0</v>
      </c>
      <c r="AL88" s="276" cm="1">
        <f t="array" ref="AL88">IF(AND(AL$2&lt;&gt;0,TblTech[[#This Row],[Hour]:[Hour]]&gt;=AL$2),1,0)</f>
        <v>0</v>
      </c>
      <c r="AM88" s="276" cm="1">
        <f t="array" ref="AM88">IF(AND(AM$2&lt;&gt;0,TblTech[[#This Row],[Hour]:[Hour]]&gt;=AM$2),1,0)</f>
        <v>0</v>
      </c>
      <c r="AN88" s="276" cm="1">
        <f t="array" ref="AN88">IF(AND(AN$2&lt;&gt;0,TblTech[[#This Row],[Hour]:[Hour]]&gt;=AN$2),1,0)</f>
        <v>0</v>
      </c>
      <c r="AO88" s="276" cm="1">
        <f t="array" ref="AO88">IF(AND(AO$2&lt;&gt;0,TblTech[[#This Row],[Hour]:[Hour]]&gt;=AO$2),1,0)</f>
        <v>0</v>
      </c>
      <c r="AP88" s="276" cm="1">
        <f t="array" ref="AP88">IF(AND(AP$2&lt;&gt;0,TblTech[[#This Row],[Hour]:[Hour]]&gt;=AP$2),1,0)</f>
        <v>0</v>
      </c>
      <c r="AQ88" s="276" cm="1">
        <f t="array" ref="AQ88">IF(AND(AQ$2&lt;&gt;0,TblTech[[#This Row],[Hour]:[Hour]]&gt;=AQ$2),1,0)</f>
        <v>0</v>
      </c>
      <c r="AR88" s="276" cm="1">
        <f t="array" ref="AR88">IF(AND(AR$2&lt;&gt;0,TblTech[[#This Row],[Hour]:[Hour]]&gt;=AR$2),1,0)</f>
        <v>0</v>
      </c>
      <c r="AS88" s="276" cm="1">
        <f t="array" ref="AS88">IF(AND(AS$2&lt;&gt;0,TblTech[[#This Row],[Hour]:[Hour]]&gt;=AS$2),1,0)</f>
        <v>0</v>
      </c>
      <c r="AT88" s="276" cm="1">
        <f t="array" ref="AT88">IF(AND(AT$2&lt;&gt;0,TblTech[[#This Row],[Hour]:[Hour]]&gt;=AT$2),1,0)</f>
        <v>0</v>
      </c>
      <c r="AU88" s="276" cm="1">
        <f t="array" ref="AU88">IF(AND(AU$2&lt;&gt;0,TblTech[[#This Row],[Hour]:[Hour]]&gt;=AU$2),1,0)</f>
        <v>0</v>
      </c>
      <c r="AV88" s="276" cm="1">
        <f t="array" ref="AV88">IF(AND(AV$2&lt;&gt;0,TblTech[[#This Row],[Hour]:[Hour]]&gt;=AV$2),1,0)</f>
        <v>0</v>
      </c>
      <c r="AW88" s="276" cm="1">
        <f t="array" ref="AW88">IF(AND(AW$2&lt;&gt;0,TblTech[[#This Row],[Hour]:[Hour]]&gt;=AW$2),1,0)</f>
        <v>0</v>
      </c>
      <c r="AX88" s="276" cm="1">
        <f t="array" ref="AX88">IF(AND(AX$2&lt;&gt;0,TblTech[[#This Row],[Hour]:[Hour]]&gt;=AX$2),1,0)</f>
        <v>0</v>
      </c>
      <c r="AY88" s="276" cm="1">
        <f t="array" ref="AY88">IF(AND(AY$2&lt;&gt;0,TblTech[[#This Row],[Hour]:[Hour]]&gt;=AY$2),1,0)</f>
        <v>0</v>
      </c>
      <c r="AZ88" s="276" cm="1">
        <f t="array" ref="AZ88">IF(AND(AZ$2&lt;&gt;0,TblTech[[#This Row],[Hour]:[Hour]]&gt;=AZ$2),1,0)</f>
        <v>0</v>
      </c>
      <c r="BA88" s="276" cm="1">
        <f t="array" ref="BA88">IF(AND(BA$2&lt;&gt;0,TblTech[[#This Row],[Hour]:[Hour]]&gt;=BA$2),1,0)</f>
        <v>0</v>
      </c>
      <c r="BB88" s="276" cm="1">
        <f t="array" ref="BB88">IF(AND(BB$2&lt;&gt;0,TblTech[[#This Row],[Hour]:[Hour]]&gt;=BB$2),1,0)</f>
        <v>0</v>
      </c>
      <c r="BC88" s="276" cm="1">
        <f t="array" ref="BC88">IF(AND(BC$2&lt;&gt;0,TblTech[[#This Row],[Hour]:[Hour]]&gt;=BC$2),1,0)</f>
        <v>0</v>
      </c>
      <c r="BD88" s="276" cm="1">
        <f t="array" ref="BD88">IF(AND(BD$2&lt;&gt;0,TblTech[[#This Row],[Hour]:[Hour]]&gt;=BD$2),1,0)</f>
        <v>0</v>
      </c>
      <c r="BE88" s="276" cm="1">
        <f t="array" ref="BE88">IF(AND(BE$2&lt;&gt;0,TblTech[[#This Row],[Hour]:[Hour]]&gt;=BE$2),1,0)</f>
        <v>0</v>
      </c>
      <c r="BF88" s="276" cm="1">
        <f t="array" ref="BF88">IF(AND(BF$2&lt;&gt;0,TblTech[[#This Row],[Hour]:[Hour]]&gt;=BF$2),1,0)</f>
        <v>0</v>
      </c>
      <c r="BG88" s="276" cm="1">
        <f t="array" ref="BG88">IF(AND(BG$2&lt;&gt;0,TblTech[[#This Row],[Hour]:[Hour]]&gt;=BG$2),1,0)</f>
        <v>0</v>
      </c>
      <c r="BH88" s="276" cm="1">
        <f t="array" ref="BH88">IF(AND(BH$2&lt;&gt;0,TblTech[[#This Row],[Hour]:[Hour]]&gt;=BH$2),1,0)</f>
        <v>0</v>
      </c>
      <c r="BI88" s="276" cm="1">
        <f t="array" ref="BI88">IF(AND(BI$2&lt;&gt;0,TblTech[[#This Row],[Hour]:[Hour]]&gt;=BI$2),1,0)</f>
        <v>0</v>
      </c>
      <c r="BJ88" s="276" cm="1">
        <f t="array" ref="BJ88">IF(AND(BJ$2&lt;&gt;0,TblTech[[#This Row],[Hour]:[Hour]]&gt;=BJ$2),1,0)</f>
        <v>0</v>
      </c>
      <c r="BK88" s="276" cm="1">
        <f t="array" ref="BK88">IF(AND(BK$2&lt;&gt;0,TblTech[[#This Row],[Hour]:[Hour]]&gt;=BK$2),1,0)</f>
        <v>0</v>
      </c>
      <c r="BL88" s="276" cm="1">
        <f t="array" ref="BL88">IF(AND(BL$2&lt;&gt;0,TblTech[[#This Row],[Hour]:[Hour]]&gt;=BL$2),1,0)</f>
        <v>0</v>
      </c>
      <c r="BM88" s="276" cm="1">
        <f t="array" ref="BM88">IF(AND(BM$2&lt;&gt;0,TblTech[[#This Row],[Hour]:[Hour]]&gt;=BM$2),1,0)</f>
        <v>0</v>
      </c>
      <c r="BN88" s="276" cm="1">
        <f t="array" ref="BN88">IF(AND(BN$2&lt;&gt;0,TblTech[[#This Row],[Hour]:[Hour]]&gt;=BN$2),1,0)</f>
        <v>0</v>
      </c>
      <c r="BO88" s="276" cm="1">
        <f t="array" ref="BO88">IF(AND(BO$2&lt;&gt;0,TblTech[[#This Row],[Hour]:[Hour]]&gt;=BO$2),1,0)</f>
        <v>0</v>
      </c>
      <c r="BP88" s="276" cm="1">
        <f t="array" ref="BP88">IF(AND(BP$2&lt;&gt;0,TblTech[[#This Row],[Hour]:[Hour]]&gt;=BP$2),1,0)</f>
        <v>0</v>
      </c>
      <c r="BQ88" s="276" cm="1">
        <f t="array" ref="BQ88">IF(AND(BQ$2&lt;&gt;0,TblTech[[#This Row],[Hour]:[Hour]]&gt;=BQ$2),1,0)</f>
        <v>0</v>
      </c>
      <c r="BR88" s="276" cm="1">
        <f t="array" ref="BR88">IF(AND(BR$2&lt;&gt;0,TblTech[[#This Row],[Hour]:[Hour]]&gt;=BR$2),1,0)</f>
        <v>0</v>
      </c>
      <c r="BS88" s="276" cm="1">
        <f t="array" ref="BS88">IF(AND(BS$2&lt;&gt;0,TblTech[[#This Row],[Hour]:[Hour]]&gt;=BS$2),1,0)</f>
        <v>0</v>
      </c>
      <c r="BT88" s="276" cm="1">
        <f t="array" ref="BT88">IF(AND(BT$2&lt;&gt;0,TblTech[[#This Row],[Hour]:[Hour]]&gt;=BT$2),1,0)</f>
        <v>0</v>
      </c>
      <c r="BU88" s="276" cm="1">
        <f t="array" ref="BU88">IF(AND(BU$2&lt;&gt;0,TblTech[[#This Row],[Hour]:[Hour]]&gt;=BU$2),1,0)</f>
        <v>0</v>
      </c>
      <c r="BV88" s="276" cm="1">
        <f t="array" ref="BV88">IF(AND(BV$2&lt;&gt;0,TblTech[[#This Row],[Hour]:[Hour]]&gt;=BV$2),1,0)</f>
        <v>0</v>
      </c>
      <c r="BW88" s="276" cm="1">
        <f t="array" ref="BW88">IF(AND(BW$2&lt;&gt;0,TblTech[[#This Row],[Hour]:[Hour]]&gt;=BW$2),1,0)</f>
        <v>0</v>
      </c>
      <c r="BX88" s="276" cm="1">
        <f t="array" ref="BX88">IF(AND(BX$2&lt;&gt;0,TblTech[[#This Row],[Hour]:[Hour]]&gt;=BX$2),1,0)</f>
        <v>0</v>
      </c>
      <c r="BY88" s="276" cm="1">
        <f t="array" ref="BY88">IF(AND(BY$2&lt;&gt;0,TblTech[[#This Row],[Hour]:[Hour]]&gt;=BY$2),1,0)</f>
        <v>0</v>
      </c>
      <c r="BZ88" s="276" cm="1">
        <f t="array" ref="BZ88">IF(AND(BZ$2&lt;&gt;0,TblTech[[#This Row],[Hour]:[Hour]]&gt;=BZ$2),1,0)</f>
        <v>0</v>
      </c>
      <c r="CA88" s="377">
        <f>IFERROR(INDEX($H$4:$H$79,MATCH(INDEX(TblTech[[#Headers],[1-1]:[11-1]],1,MATCH(TblTech[[#This Row],[Hour]],$M$2:$BZ$2,0)),$G$4:$G$79,0)),)</f>
        <v>0</v>
      </c>
    </row>
    <row r="89" spans="1:79" x14ac:dyDescent="0.2">
      <c r="A89" s="268">
        <f>TblRezone[[#This Row],[Hour]]</f>
        <v>86</v>
      </c>
      <c r="B89" s="269">
        <f ca="1">TblExplore[[#This Row],[Land-DB]]</f>
        <v>110</v>
      </c>
      <c r="C89" s="270">
        <f ca="1">TblProd[[#This Row],[Techpoints]]</f>
        <v>0</v>
      </c>
      <c r="D89" s="270">
        <f ca="1">TblProd[[#This Row],[Required]]</f>
        <v>3750</v>
      </c>
      <c r="E89" s="279"/>
      <c r="F89" s="280"/>
      <c r="G89" s="273"/>
      <c r="H89" s="274"/>
      <c r="I89" s="274"/>
      <c r="J89" s="274"/>
      <c r="K89" s="93">
        <f ca="1">IF(TblTech[[#This Row],[Sum of tech]]&lt;&gt;OFFSET(TblTech[[#This Row],[Sum of tech]],-1,0),1,0)</f>
        <v>0</v>
      </c>
      <c r="L89" s="275">
        <f>COUNTIF(TblTech[[#This Row],[1-1]:[11-1]],1)</f>
        <v>0</v>
      </c>
      <c r="M89" s="276" cm="1">
        <f t="array" ref="M89">IF(AND(M$2&lt;&gt;0,TblTech[[#This Row],[Hour]:[Hour]]&gt;=M$2),1,0)</f>
        <v>0</v>
      </c>
      <c r="N89" s="276" cm="1">
        <f t="array" ref="N89">IF(AND(N$2&lt;&gt;0,TblTech[[#This Row],[Hour]:[Hour]]&gt;=N$2),1,0)</f>
        <v>0</v>
      </c>
      <c r="O89" s="276" cm="1">
        <f t="array" ref="O89">IF(AND(O$2&lt;&gt;0,TblTech[[#This Row],[Hour]:[Hour]]&gt;=O$2),1,0)</f>
        <v>0</v>
      </c>
      <c r="P89" s="276" cm="1">
        <f t="array" ref="P89">IF(AND(P$2&lt;&gt;0,TblTech[[#This Row],[Hour]:[Hour]]&gt;=P$2),1,0)</f>
        <v>0</v>
      </c>
      <c r="Q89" s="276" cm="1">
        <f t="array" ref="Q89">IF(AND(Q$2&lt;&gt;0,TblTech[[#This Row],[Hour]:[Hour]]&gt;=Q$2),1,0)</f>
        <v>0</v>
      </c>
      <c r="R89" s="276" cm="1">
        <f t="array" ref="R89">IF(AND(R$2&lt;&gt;0,TblTech[[#This Row],[Hour]:[Hour]]&gt;=R$2),1,0)</f>
        <v>0</v>
      </c>
      <c r="S89" s="276" cm="1">
        <f t="array" ref="S89">IF(AND(S$2&lt;&gt;0,TblTech[[#This Row],[Hour]:[Hour]]&gt;=S$2),1,0)</f>
        <v>0</v>
      </c>
      <c r="T89" s="276" cm="1">
        <f t="array" ref="T89">IF(AND(T$2&lt;&gt;0,TblTech[[#This Row],[Hour]:[Hour]]&gt;=T$2),1,0)</f>
        <v>0</v>
      </c>
      <c r="U89" s="276" cm="1">
        <f t="array" ref="U89">IF(AND(U$2&lt;&gt;0,TblTech[[#This Row],[Hour]:[Hour]]&gt;=U$2),1,0)</f>
        <v>0</v>
      </c>
      <c r="V89" s="276" cm="1">
        <f t="array" ref="V89">IF(AND(V$2&lt;&gt;0,TblTech[[#This Row],[Hour]:[Hour]]&gt;=V$2),1,0)</f>
        <v>0</v>
      </c>
      <c r="W89" s="276" cm="1">
        <f t="array" ref="W89">IF(AND(W$2&lt;&gt;0,TblTech[[#This Row],[Hour]:[Hour]]&gt;=W$2),1,0)</f>
        <v>0</v>
      </c>
      <c r="X89" s="276" cm="1">
        <f t="array" ref="X89">IF(AND(X$2&lt;&gt;0,TblTech[[#This Row],[Hour]:[Hour]]&gt;=X$2),1,0)</f>
        <v>0</v>
      </c>
      <c r="Y89" s="276" cm="1">
        <f t="array" ref="Y89">IF(AND(Y$2&lt;&gt;0,TblTech[[#This Row],[Hour]:[Hour]]&gt;=Y$2),1,0)</f>
        <v>0</v>
      </c>
      <c r="Z89" s="276" cm="1">
        <f t="array" ref="Z89">IF(AND(Z$2&lt;&gt;0,TblTech[[#This Row],[Hour]:[Hour]]&gt;=Z$2),1,0)</f>
        <v>0</v>
      </c>
      <c r="AA89" s="276" cm="1">
        <f t="array" ref="AA89">IF(AND(AA$2&lt;&gt;0,TblTech[[#This Row],[Hour]:[Hour]]&gt;=AA$2),1,0)</f>
        <v>0</v>
      </c>
      <c r="AB89" s="276" cm="1">
        <f t="array" ref="AB89">IF(AND(AB$2&lt;&gt;0,TblTech[[#This Row],[Hour]:[Hour]]&gt;=AB$2),1,0)</f>
        <v>0</v>
      </c>
      <c r="AC89" s="276" cm="1">
        <f t="array" ref="AC89">IF(AND(AC$2&lt;&gt;0,TblTech[[#This Row],[Hour]:[Hour]]&gt;=AC$2),1,0)</f>
        <v>0</v>
      </c>
      <c r="AD89" s="276" cm="1">
        <f t="array" ref="AD89">IF(AND(AD$2&lt;&gt;0,TblTech[[#This Row],[Hour]:[Hour]]&gt;=AD$2),1,0)</f>
        <v>0</v>
      </c>
      <c r="AE89" s="276" cm="1">
        <f t="array" ref="AE89">IF(AND(AE$2&lt;&gt;0,TblTech[[#This Row],[Hour]:[Hour]]&gt;=AE$2),1,0)</f>
        <v>0</v>
      </c>
      <c r="AF89" s="276" cm="1">
        <f t="array" ref="AF89">IF(AND(AF$2&lt;&gt;0,TblTech[[#This Row],[Hour]:[Hour]]&gt;=AF$2),1,0)</f>
        <v>0</v>
      </c>
      <c r="AG89" s="276" cm="1">
        <f t="array" ref="AG89">IF(AND(AG$2&lt;&gt;0,TblTech[[#This Row],[Hour]:[Hour]]&gt;=AG$2),1,0)</f>
        <v>0</v>
      </c>
      <c r="AH89" s="276" cm="1">
        <f t="array" ref="AH89">IF(AND(AH$2&lt;&gt;0,TblTech[[#This Row],[Hour]:[Hour]]&gt;=AH$2),1,0)</f>
        <v>0</v>
      </c>
      <c r="AI89" s="276" cm="1">
        <f t="array" ref="AI89">IF(AND(AI$2&lt;&gt;0,TblTech[[#This Row],[Hour]:[Hour]]&gt;=AI$2),1,0)</f>
        <v>0</v>
      </c>
      <c r="AJ89" s="276" cm="1">
        <f t="array" ref="AJ89">IF(AND(AJ$2&lt;&gt;0,TblTech[[#This Row],[Hour]:[Hour]]&gt;=AJ$2),1,0)</f>
        <v>0</v>
      </c>
      <c r="AK89" s="276" cm="1">
        <f t="array" ref="AK89">IF(AND(AK$2&lt;&gt;0,TblTech[[#This Row],[Hour]:[Hour]]&gt;=AK$2),1,0)</f>
        <v>0</v>
      </c>
      <c r="AL89" s="276" cm="1">
        <f t="array" ref="AL89">IF(AND(AL$2&lt;&gt;0,TblTech[[#This Row],[Hour]:[Hour]]&gt;=AL$2),1,0)</f>
        <v>0</v>
      </c>
      <c r="AM89" s="276" cm="1">
        <f t="array" ref="AM89">IF(AND(AM$2&lt;&gt;0,TblTech[[#This Row],[Hour]:[Hour]]&gt;=AM$2),1,0)</f>
        <v>0</v>
      </c>
      <c r="AN89" s="276" cm="1">
        <f t="array" ref="AN89">IF(AND(AN$2&lt;&gt;0,TblTech[[#This Row],[Hour]:[Hour]]&gt;=AN$2),1,0)</f>
        <v>0</v>
      </c>
      <c r="AO89" s="276" cm="1">
        <f t="array" ref="AO89">IF(AND(AO$2&lt;&gt;0,TblTech[[#This Row],[Hour]:[Hour]]&gt;=AO$2),1,0)</f>
        <v>0</v>
      </c>
      <c r="AP89" s="276" cm="1">
        <f t="array" ref="AP89">IF(AND(AP$2&lt;&gt;0,TblTech[[#This Row],[Hour]:[Hour]]&gt;=AP$2),1,0)</f>
        <v>0</v>
      </c>
      <c r="AQ89" s="276" cm="1">
        <f t="array" ref="AQ89">IF(AND(AQ$2&lt;&gt;0,TblTech[[#This Row],[Hour]:[Hour]]&gt;=AQ$2),1,0)</f>
        <v>0</v>
      </c>
      <c r="AR89" s="276" cm="1">
        <f t="array" ref="AR89">IF(AND(AR$2&lt;&gt;0,TblTech[[#This Row],[Hour]:[Hour]]&gt;=AR$2),1,0)</f>
        <v>0</v>
      </c>
      <c r="AS89" s="276" cm="1">
        <f t="array" ref="AS89">IF(AND(AS$2&lt;&gt;0,TblTech[[#This Row],[Hour]:[Hour]]&gt;=AS$2),1,0)</f>
        <v>0</v>
      </c>
      <c r="AT89" s="276" cm="1">
        <f t="array" ref="AT89">IF(AND(AT$2&lt;&gt;0,TblTech[[#This Row],[Hour]:[Hour]]&gt;=AT$2),1,0)</f>
        <v>0</v>
      </c>
      <c r="AU89" s="276" cm="1">
        <f t="array" ref="AU89">IF(AND(AU$2&lt;&gt;0,TblTech[[#This Row],[Hour]:[Hour]]&gt;=AU$2),1,0)</f>
        <v>0</v>
      </c>
      <c r="AV89" s="276" cm="1">
        <f t="array" ref="AV89">IF(AND(AV$2&lt;&gt;0,TblTech[[#This Row],[Hour]:[Hour]]&gt;=AV$2),1,0)</f>
        <v>0</v>
      </c>
      <c r="AW89" s="276" cm="1">
        <f t="array" ref="AW89">IF(AND(AW$2&lt;&gt;0,TblTech[[#This Row],[Hour]:[Hour]]&gt;=AW$2),1,0)</f>
        <v>0</v>
      </c>
      <c r="AX89" s="276" cm="1">
        <f t="array" ref="AX89">IF(AND(AX$2&lt;&gt;0,TblTech[[#This Row],[Hour]:[Hour]]&gt;=AX$2),1,0)</f>
        <v>0</v>
      </c>
      <c r="AY89" s="276" cm="1">
        <f t="array" ref="AY89">IF(AND(AY$2&lt;&gt;0,TblTech[[#This Row],[Hour]:[Hour]]&gt;=AY$2),1,0)</f>
        <v>0</v>
      </c>
      <c r="AZ89" s="276" cm="1">
        <f t="array" ref="AZ89">IF(AND(AZ$2&lt;&gt;0,TblTech[[#This Row],[Hour]:[Hour]]&gt;=AZ$2),1,0)</f>
        <v>0</v>
      </c>
      <c r="BA89" s="276" cm="1">
        <f t="array" ref="BA89">IF(AND(BA$2&lt;&gt;0,TblTech[[#This Row],[Hour]:[Hour]]&gt;=BA$2),1,0)</f>
        <v>0</v>
      </c>
      <c r="BB89" s="276" cm="1">
        <f t="array" ref="BB89">IF(AND(BB$2&lt;&gt;0,TblTech[[#This Row],[Hour]:[Hour]]&gt;=BB$2),1,0)</f>
        <v>0</v>
      </c>
      <c r="BC89" s="276" cm="1">
        <f t="array" ref="BC89">IF(AND(BC$2&lt;&gt;0,TblTech[[#This Row],[Hour]:[Hour]]&gt;=BC$2),1,0)</f>
        <v>0</v>
      </c>
      <c r="BD89" s="276" cm="1">
        <f t="array" ref="BD89">IF(AND(BD$2&lt;&gt;0,TblTech[[#This Row],[Hour]:[Hour]]&gt;=BD$2),1,0)</f>
        <v>0</v>
      </c>
      <c r="BE89" s="276" cm="1">
        <f t="array" ref="BE89">IF(AND(BE$2&lt;&gt;0,TblTech[[#This Row],[Hour]:[Hour]]&gt;=BE$2),1,0)</f>
        <v>0</v>
      </c>
      <c r="BF89" s="276" cm="1">
        <f t="array" ref="BF89">IF(AND(BF$2&lt;&gt;0,TblTech[[#This Row],[Hour]:[Hour]]&gt;=BF$2),1,0)</f>
        <v>0</v>
      </c>
      <c r="BG89" s="276" cm="1">
        <f t="array" ref="BG89">IF(AND(BG$2&lt;&gt;0,TblTech[[#This Row],[Hour]:[Hour]]&gt;=BG$2),1,0)</f>
        <v>0</v>
      </c>
      <c r="BH89" s="276" cm="1">
        <f t="array" ref="BH89">IF(AND(BH$2&lt;&gt;0,TblTech[[#This Row],[Hour]:[Hour]]&gt;=BH$2),1,0)</f>
        <v>0</v>
      </c>
      <c r="BI89" s="276" cm="1">
        <f t="array" ref="BI89">IF(AND(BI$2&lt;&gt;0,TblTech[[#This Row],[Hour]:[Hour]]&gt;=BI$2),1,0)</f>
        <v>0</v>
      </c>
      <c r="BJ89" s="276" cm="1">
        <f t="array" ref="BJ89">IF(AND(BJ$2&lt;&gt;0,TblTech[[#This Row],[Hour]:[Hour]]&gt;=BJ$2),1,0)</f>
        <v>0</v>
      </c>
      <c r="BK89" s="276" cm="1">
        <f t="array" ref="BK89">IF(AND(BK$2&lt;&gt;0,TblTech[[#This Row],[Hour]:[Hour]]&gt;=BK$2),1,0)</f>
        <v>0</v>
      </c>
      <c r="BL89" s="276" cm="1">
        <f t="array" ref="BL89">IF(AND(BL$2&lt;&gt;0,TblTech[[#This Row],[Hour]:[Hour]]&gt;=BL$2),1,0)</f>
        <v>0</v>
      </c>
      <c r="BM89" s="276" cm="1">
        <f t="array" ref="BM89">IF(AND(BM$2&lt;&gt;0,TblTech[[#This Row],[Hour]:[Hour]]&gt;=BM$2),1,0)</f>
        <v>0</v>
      </c>
      <c r="BN89" s="276" cm="1">
        <f t="array" ref="BN89">IF(AND(BN$2&lt;&gt;0,TblTech[[#This Row],[Hour]:[Hour]]&gt;=BN$2),1,0)</f>
        <v>0</v>
      </c>
      <c r="BO89" s="276" cm="1">
        <f t="array" ref="BO89">IF(AND(BO$2&lt;&gt;0,TblTech[[#This Row],[Hour]:[Hour]]&gt;=BO$2),1,0)</f>
        <v>0</v>
      </c>
      <c r="BP89" s="276" cm="1">
        <f t="array" ref="BP89">IF(AND(BP$2&lt;&gt;0,TblTech[[#This Row],[Hour]:[Hour]]&gt;=BP$2),1,0)</f>
        <v>0</v>
      </c>
      <c r="BQ89" s="276" cm="1">
        <f t="array" ref="BQ89">IF(AND(BQ$2&lt;&gt;0,TblTech[[#This Row],[Hour]:[Hour]]&gt;=BQ$2),1,0)</f>
        <v>0</v>
      </c>
      <c r="BR89" s="276" cm="1">
        <f t="array" ref="BR89">IF(AND(BR$2&lt;&gt;0,TblTech[[#This Row],[Hour]:[Hour]]&gt;=BR$2),1,0)</f>
        <v>0</v>
      </c>
      <c r="BS89" s="276" cm="1">
        <f t="array" ref="BS89">IF(AND(BS$2&lt;&gt;0,TblTech[[#This Row],[Hour]:[Hour]]&gt;=BS$2),1,0)</f>
        <v>0</v>
      </c>
      <c r="BT89" s="276" cm="1">
        <f t="array" ref="BT89">IF(AND(BT$2&lt;&gt;0,TblTech[[#This Row],[Hour]:[Hour]]&gt;=BT$2),1,0)</f>
        <v>0</v>
      </c>
      <c r="BU89" s="276" cm="1">
        <f t="array" ref="BU89">IF(AND(BU$2&lt;&gt;0,TblTech[[#This Row],[Hour]:[Hour]]&gt;=BU$2),1,0)</f>
        <v>0</v>
      </c>
      <c r="BV89" s="276" cm="1">
        <f t="array" ref="BV89">IF(AND(BV$2&lt;&gt;0,TblTech[[#This Row],[Hour]:[Hour]]&gt;=BV$2),1,0)</f>
        <v>0</v>
      </c>
      <c r="BW89" s="276" cm="1">
        <f t="array" ref="BW89">IF(AND(BW$2&lt;&gt;0,TblTech[[#This Row],[Hour]:[Hour]]&gt;=BW$2),1,0)</f>
        <v>0</v>
      </c>
      <c r="BX89" s="276" cm="1">
        <f t="array" ref="BX89">IF(AND(BX$2&lt;&gt;0,TblTech[[#This Row],[Hour]:[Hour]]&gt;=BX$2),1,0)</f>
        <v>0</v>
      </c>
      <c r="BY89" s="276" cm="1">
        <f t="array" ref="BY89">IF(AND(BY$2&lt;&gt;0,TblTech[[#This Row],[Hour]:[Hour]]&gt;=BY$2),1,0)</f>
        <v>0</v>
      </c>
      <c r="BZ89" s="276" cm="1">
        <f t="array" ref="BZ89">IF(AND(BZ$2&lt;&gt;0,TblTech[[#This Row],[Hour]:[Hour]]&gt;=BZ$2),1,0)</f>
        <v>0</v>
      </c>
      <c r="CA89" s="377">
        <f>IFERROR(INDEX($H$4:$H$79,MATCH(INDEX(TblTech[[#Headers],[1-1]:[11-1]],1,MATCH(TblTech[[#This Row],[Hour]],$M$2:$BZ$2,0)),$G$4:$G$79,0)),)</f>
        <v>0</v>
      </c>
    </row>
    <row r="90" spans="1:79" x14ac:dyDescent="0.2">
      <c r="A90" s="268">
        <f>TblRezone[[#This Row],[Hour]]</f>
        <v>87</v>
      </c>
      <c r="B90" s="269">
        <f ca="1">TblExplore[[#This Row],[Land-DB]]</f>
        <v>110</v>
      </c>
      <c r="C90" s="270">
        <f ca="1">TblProd[[#This Row],[Techpoints]]</f>
        <v>0</v>
      </c>
      <c r="D90" s="270">
        <f ca="1">TblProd[[#This Row],[Required]]</f>
        <v>3750</v>
      </c>
      <c r="E90" s="279"/>
      <c r="F90" s="280"/>
      <c r="G90" s="273"/>
      <c r="H90" s="274"/>
      <c r="I90" s="274"/>
      <c r="J90" s="274"/>
      <c r="K90" s="93">
        <f ca="1">IF(TblTech[[#This Row],[Sum of tech]]&lt;&gt;OFFSET(TblTech[[#This Row],[Sum of tech]],-1,0),1,0)</f>
        <v>0</v>
      </c>
      <c r="L90" s="275">
        <f>COUNTIF(TblTech[[#This Row],[1-1]:[11-1]],1)</f>
        <v>0</v>
      </c>
      <c r="M90" s="276" cm="1">
        <f t="array" ref="M90">IF(AND(M$2&lt;&gt;0,TblTech[[#This Row],[Hour]:[Hour]]&gt;=M$2),1,0)</f>
        <v>0</v>
      </c>
      <c r="N90" s="276" cm="1">
        <f t="array" ref="N90">IF(AND(N$2&lt;&gt;0,TblTech[[#This Row],[Hour]:[Hour]]&gt;=N$2),1,0)</f>
        <v>0</v>
      </c>
      <c r="O90" s="276" cm="1">
        <f t="array" ref="O90">IF(AND(O$2&lt;&gt;0,TblTech[[#This Row],[Hour]:[Hour]]&gt;=O$2),1,0)</f>
        <v>0</v>
      </c>
      <c r="P90" s="276" cm="1">
        <f t="array" ref="P90">IF(AND(P$2&lt;&gt;0,TblTech[[#This Row],[Hour]:[Hour]]&gt;=P$2),1,0)</f>
        <v>0</v>
      </c>
      <c r="Q90" s="276" cm="1">
        <f t="array" ref="Q90">IF(AND(Q$2&lt;&gt;0,TblTech[[#This Row],[Hour]:[Hour]]&gt;=Q$2),1,0)</f>
        <v>0</v>
      </c>
      <c r="R90" s="276" cm="1">
        <f t="array" ref="R90">IF(AND(R$2&lt;&gt;0,TblTech[[#This Row],[Hour]:[Hour]]&gt;=R$2),1,0)</f>
        <v>0</v>
      </c>
      <c r="S90" s="276" cm="1">
        <f t="array" ref="S90">IF(AND(S$2&lt;&gt;0,TblTech[[#This Row],[Hour]:[Hour]]&gt;=S$2),1,0)</f>
        <v>0</v>
      </c>
      <c r="T90" s="276" cm="1">
        <f t="array" ref="T90">IF(AND(T$2&lt;&gt;0,TblTech[[#This Row],[Hour]:[Hour]]&gt;=T$2),1,0)</f>
        <v>0</v>
      </c>
      <c r="U90" s="276" cm="1">
        <f t="array" ref="U90">IF(AND(U$2&lt;&gt;0,TblTech[[#This Row],[Hour]:[Hour]]&gt;=U$2),1,0)</f>
        <v>0</v>
      </c>
      <c r="V90" s="276" cm="1">
        <f t="array" ref="V90">IF(AND(V$2&lt;&gt;0,TblTech[[#This Row],[Hour]:[Hour]]&gt;=V$2),1,0)</f>
        <v>0</v>
      </c>
      <c r="W90" s="276" cm="1">
        <f t="array" ref="W90">IF(AND(W$2&lt;&gt;0,TblTech[[#This Row],[Hour]:[Hour]]&gt;=W$2),1,0)</f>
        <v>0</v>
      </c>
      <c r="X90" s="276" cm="1">
        <f t="array" ref="X90">IF(AND(X$2&lt;&gt;0,TblTech[[#This Row],[Hour]:[Hour]]&gt;=X$2),1,0)</f>
        <v>0</v>
      </c>
      <c r="Y90" s="276" cm="1">
        <f t="array" ref="Y90">IF(AND(Y$2&lt;&gt;0,TblTech[[#This Row],[Hour]:[Hour]]&gt;=Y$2),1,0)</f>
        <v>0</v>
      </c>
      <c r="Z90" s="276" cm="1">
        <f t="array" ref="Z90">IF(AND(Z$2&lt;&gt;0,TblTech[[#This Row],[Hour]:[Hour]]&gt;=Z$2),1,0)</f>
        <v>0</v>
      </c>
      <c r="AA90" s="276" cm="1">
        <f t="array" ref="AA90">IF(AND(AA$2&lt;&gt;0,TblTech[[#This Row],[Hour]:[Hour]]&gt;=AA$2),1,0)</f>
        <v>0</v>
      </c>
      <c r="AB90" s="276" cm="1">
        <f t="array" ref="AB90">IF(AND(AB$2&lt;&gt;0,TblTech[[#This Row],[Hour]:[Hour]]&gt;=AB$2),1,0)</f>
        <v>0</v>
      </c>
      <c r="AC90" s="276" cm="1">
        <f t="array" ref="AC90">IF(AND(AC$2&lt;&gt;0,TblTech[[#This Row],[Hour]:[Hour]]&gt;=AC$2),1,0)</f>
        <v>0</v>
      </c>
      <c r="AD90" s="276" cm="1">
        <f t="array" ref="AD90">IF(AND(AD$2&lt;&gt;0,TblTech[[#This Row],[Hour]:[Hour]]&gt;=AD$2),1,0)</f>
        <v>0</v>
      </c>
      <c r="AE90" s="276" cm="1">
        <f t="array" ref="AE90">IF(AND(AE$2&lt;&gt;0,TblTech[[#This Row],[Hour]:[Hour]]&gt;=AE$2),1,0)</f>
        <v>0</v>
      </c>
      <c r="AF90" s="276" cm="1">
        <f t="array" ref="AF90">IF(AND(AF$2&lt;&gt;0,TblTech[[#This Row],[Hour]:[Hour]]&gt;=AF$2),1,0)</f>
        <v>0</v>
      </c>
      <c r="AG90" s="276" cm="1">
        <f t="array" ref="AG90">IF(AND(AG$2&lt;&gt;0,TblTech[[#This Row],[Hour]:[Hour]]&gt;=AG$2),1,0)</f>
        <v>0</v>
      </c>
      <c r="AH90" s="276" cm="1">
        <f t="array" ref="AH90">IF(AND(AH$2&lt;&gt;0,TblTech[[#This Row],[Hour]:[Hour]]&gt;=AH$2),1,0)</f>
        <v>0</v>
      </c>
      <c r="AI90" s="276" cm="1">
        <f t="array" ref="AI90">IF(AND(AI$2&lt;&gt;0,TblTech[[#This Row],[Hour]:[Hour]]&gt;=AI$2),1,0)</f>
        <v>0</v>
      </c>
      <c r="AJ90" s="276" cm="1">
        <f t="array" ref="AJ90">IF(AND(AJ$2&lt;&gt;0,TblTech[[#This Row],[Hour]:[Hour]]&gt;=AJ$2),1,0)</f>
        <v>0</v>
      </c>
      <c r="AK90" s="276" cm="1">
        <f t="array" ref="AK90">IF(AND(AK$2&lt;&gt;0,TblTech[[#This Row],[Hour]:[Hour]]&gt;=AK$2),1,0)</f>
        <v>0</v>
      </c>
      <c r="AL90" s="276" cm="1">
        <f t="array" ref="AL90">IF(AND(AL$2&lt;&gt;0,TblTech[[#This Row],[Hour]:[Hour]]&gt;=AL$2),1,0)</f>
        <v>0</v>
      </c>
      <c r="AM90" s="276" cm="1">
        <f t="array" ref="AM90">IF(AND(AM$2&lt;&gt;0,TblTech[[#This Row],[Hour]:[Hour]]&gt;=AM$2),1,0)</f>
        <v>0</v>
      </c>
      <c r="AN90" s="276" cm="1">
        <f t="array" ref="AN90">IF(AND(AN$2&lt;&gt;0,TblTech[[#This Row],[Hour]:[Hour]]&gt;=AN$2),1,0)</f>
        <v>0</v>
      </c>
      <c r="AO90" s="276" cm="1">
        <f t="array" ref="AO90">IF(AND(AO$2&lt;&gt;0,TblTech[[#This Row],[Hour]:[Hour]]&gt;=AO$2),1,0)</f>
        <v>0</v>
      </c>
      <c r="AP90" s="276" cm="1">
        <f t="array" ref="AP90">IF(AND(AP$2&lt;&gt;0,TblTech[[#This Row],[Hour]:[Hour]]&gt;=AP$2),1,0)</f>
        <v>0</v>
      </c>
      <c r="AQ90" s="276" cm="1">
        <f t="array" ref="AQ90">IF(AND(AQ$2&lt;&gt;0,TblTech[[#This Row],[Hour]:[Hour]]&gt;=AQ$2),1,0)</f>
        <v>0</v>
      </c>
      <c r="AR90" s="276" cm="1">
        <f t="array" ref="AR90">IF(AND(AR$2&lt;&gt;0,TblTech[[#This Row],[Hour]:[Hour]]&gt;=AR$2),1,0)</f>
        <v>0</v>
      </c>
      <c r="AS90" s="276" cm="1">
        <f t="array" ref="AS90">IF(AND(AS$2&lt;&gt;0,TblTech[[#This Row],[Hour]:[Hour]]&gt;=AS$2),1,0)</f>
        <v>0</v>
      </c>
      <c r="AT90" s="276" cm="1">
        <f t="array" ref="AT90">IF(AND(AT$2&lt;&gt;0,TblTech[[#This Row],[Hour]:[Hour]]&gt;=AT$2),1,0)</f>
        <v>0</v>
      </c>
      <c r="AU90" s="276" cm="1">
        <f t="array" ref="AU90">IF(AND(AU$2&lt;&gt;0,TblTech[[#This Row],[Hour]:[Hour]]&gt;=AU$2),1,0)</f>
        <v>0</v>
      </c>
      <c r="AV90" s="276" cm="1">
        <f t="array" ref="AV90">IF(AND(AV$2&lt;&gt;0,TblTech[[#This Row],[Hour]:[Hour]]&gt;=AV$2),1,0)</f>
        <v>0</v>
      </c>
      <c r="AW90" s="276" cm="1">
        <f t="array" ref="AW90">IF(AND(AW$2&lt;&gt;0,TblTech[[#This Row],[Hour]:[Hour]]&gt;=AW$2),1,0)</f>
        <v>0</v>
      </c>
      <c r="AX90" s="276" cm="1">
        <f t="array" ref="AX90">IF(AND(AX$2&lt;&gt;0,TblTech[[#This Row],[Hour]:[Hour]]&gt;=AX$2),1,0)</f>
        <v>0</v>
      </c>
      <c r="AY90" s="276" cm="1">
        <f t="array" ref="AY90">IF(AND(AY$2&lt;&gt;0,TblTech[[#This Row],[Hour]:[Hour]]&gt;=AY$2),1,0)</f>
        <v>0</v>
      </c>
      <c r="AZ90" s="276" cm="1">
        <f t="array" ref="AZ90">IF(AND(AZ$2&lt;&gt;0,TblTech[[#This Row],[Hour]:[Hour]]&gt;=AZ$2),1,0)</f>
        <v>0</v>
      </c>
      <c r="BA90" s="276" cm="1">
        <f t="array" ref="BA90">IF(AND(BA$2&lt;&gt;0,TblTech[[#This Row],[Hour]:[Hour]]&gt;=BA$2),1,0)</f>
        <v>0</v>
      </c>
      <c r="BB90" s="276" cm="1">
        <f t="array" ref="BB90">IF(AND(BB$2&lt;&gt;0,TblTech[[#This Row],[Hour]:[Hour]]&gt;=BB$2),1,0)</f>
        <v>0</v>
      </c>
      <c r="BC90" s="276" cm="1">
        <f t="array" ref="BC90">IF(AND(BC$2&lt;&gt;0,TblTech[[#This Row],[Hour]:[Hour]]&gt;=BC$2),1,0)</f>
        <v>0</v>
      </c>
      <c r="BD90" s="276" cm="1">
        <f t="array" ref="BD90">IF(AND(BD$2&lt;&gt;0,TblTech[[#This Row],[Hour]:[Hour]]&gt;=BD$2),1,0)</f>
        <v>0</v>
      </c>
      <c r="BE90" s="276" cm="1">
        <f t="array" ref="BE90">IF(AND(BE$2&lt;&gt;0,TblTech[[#This Row],[Hour]:[Hour]]&gt;=BE$2),1,0)</f>
        <v>0</v>
      </c>
      <c r="BF90" s="276" cm="1">
        <f t="array" ref="BF90">IF(AND(BF$2&lt;&gt;0,TblTech[[#This Row],[Hour]:[Hour]]&gt;=BF$2),1,0)</f>
        <v>0</v>
      </c>
      <c r="BG90" s="276" cm="1">
        <f t="array" ref="BG90">IF(AND(BG$2&lt;&gt;0,TblTech[[#This Row],[Hour]:[Hour]]&gt;=BG$2),1,0)</f>
        <v>0</v>
      </c>
      <c r="BH90" s="276" cm="1">
        <f t="array" ref="BH90">IF(AND(BH$2&lt;&gt;0,TblTech[[#This Row],[Hour]:[Hour]]&gt;=BH$2),1,0)</f>
        <v>0</v>
      </c>
      <c r="BI90" s="276" cm="1">
        <f t="array" ref="BI90">IF(AND(BI$2&lt;&gt;0,TblTech[[#This Row],[Hour]:[Hour]]&gt;=BI$2),1,0)</f>
        <v>0</v>
      </c>
      <c r="BJ90" s="276" cm="1">
        <f t="array" ref="BJ90">IF(AND(BJ$2&lt;&gt;0,TblTech[[#This Row],[Hour]:[Hour]]&gt;=BJ$2),1,0)</f>
        <v>0</v>
      </c>
      <c r="BK90" s="276" cm="1">
        <f t="array" ref="BK90">IF(AND(BK$2&lt;&gt;0,TblTech[[#This Row],[Hour]:[Hour]]&gt;=BK$2),1,0)</f>
        <v>0</v>
      </c>
      <c r="BL90" s="276" cm="1">
        <f t="array" ref="BL90">IF(AND(BL$2&lt;&gt;0,TblTech[[#This Row],[Hour]:[Hour]]&gt;=BL$2),1,0)</f>
        <v>0</v>
      </c>
      <c r="BM90" s="276" cm="1">
        <f t="array" ref="BM90">IF(AND(BM$2&lt;&gt;0,TblTech[[#This Row],[Hour]:[Hour]]&gt;=BM$2),1,0)</f>
        <v>0</v>
      </c>
      <c r="BN90" s="276" cm="1">
        <f t="array" ref="BN90">IF(AND(BN$2&lt;&gt;0,TblTech[[#This Row],[Hour]:[Hour]]&gt;=BN$2),1,0)</f>
        <v>0</v>
      </c>
      <c r="BO90" s="276" cm="1">
        <f t="array" ref="BO90">IF(AND(BO$2&lt;&gt;0,TblTech[[#This Row],[Hour]:[Hour]]&gt;=BO$2),1,0)</f>
        <v>0</v>
      </c>
      <c r="BP90" s="276" cm="1">
        <f t="array" ref="BP90">IF(AND(BP$2&lt;&gt;0,TblTech[[#This Row],[Hour]:[Hour]]&gt;=BP$2),1,0)</f>
        <v>0</v>
      </c>
      <c r="BQ90" s="276" cm="1">
        <f t="array" ref="BQ90">IF(AND(BQ$2&lt;&gt;0,TblTech[[#This Row],[Hour]:[Hour]]&gt;=BQ$2),1,0)</f>
        <v>0</v>
      </c>
      <c r="BR90" s="276" cm="1">
        <f t="array" ref="BR90">IF(AND(BR$2&lt;&gt;0,TblTech[[#This Row],[Hour]:[Hour]]&gt;=BR$2),1,0)</f>
        <v>0</v>
      </c>
      <c r="BS90" s="276" cm="1">
        <f t="array" ref="BS90">IF(AND(BS$2&lt;&gt;0,TblTech[[#This Row],[Hour]:[Hour]]&gt;=BS$2),1,0)</f>
        <v>0</v>
      </c>
      <c r="BT90" s="276" cm="1">
        <f t="array" ref="BT90">IF(AND(BT$2&lt;&gt;0,TblTech[[#This Row],[Hour]:[Hour]]&gt;=BT$2),1,0)</f>
        <v>0</v>
      </c>
      <c r="BU90" s="276" cm="1">
        <f t="array" ref="BU90">IF(AND(BU$2&lt;&gt;0,TblTech[[#This Row],[Hour]:[Hour]]&gt;=BU$2),1,0)</f>
        <v>0</v>
      </c>
      <c r="BV90" s="276" cm="1">
        <f t="array" ref="BV90">IF(AND(BV$2&lt;&gt;0,TblTech[[#This Row],[Hour]:[Hour]]&gt;=BV$2),1,0)</f>
        <v>0</v>
      </c>
      <c r="BW90" s="276" cm="1">
        <f t="array" ref="BW90">IF(AND(BW$2&lt;&gt;0,TblTech[[#This Row],[Hour]:[Hour]]&gt;=BW$2),1,0)</f>
        <v>0</v>
      </c>
      <c r="BX90" s="276" cm="1">
        <f t="array" ref="BX90">IF(AND(BX$2&lt;&gt;0,TblTech[[#This Row],[Hour]:[Hour]]&gt;=BX$2),1,0)</f>
        <v>0</v>
      </c>
      <c r="BY90" s="276" cm="1">
        <f t="array" ref="BY90">IF(AND(BY$2&lt;&gt;0,TblTech[[#This Row],[Hour]:[Hour]]&gt;=BY$2),1,0)</f>
        <v>0</v>
      </c>
      <c r="BZ90" s="276" cm="1">
        <f t="array" ref="BZ90">IF(AND(BZ$2&lt;&gt;0,TblTech[[#This Row],[Hour]:[Hour]]&gt;=BZ$2),1,0)</f>
        <v>0</v>
      </c>
      <c r="CA90" s="377">
        <f>IFERROR(INDEX($H$4:$H$79,MATCH(INDEX(TblTech[[#Headers],[1-1]:[11-1]],1,MATCH(TblTech[[#This Row],[Hour]],$M$2:$BZ$2,0)),$G$4:$G$79,0)),)</f>
        <v>0</v>
      </c>
    </row>
    <row r="91" spans="1:79" x14ac:dyDescent="0.2">
      <c r="A91" s="268">
        <f>TblRezone[[#This Row],[Hour]]</f>
        <v>88</v>
      </c>
      <c r="B91" s="269">
        <f ca="1">TblExplore[[#This Row],[Land-DB]]</f>
        <v>110</v>
      </c>
      <c r="C91" s="270">
        <f ca="1">TblProd[[#This Row],[Techpoints]]</f>
        <v>0</v>
      </c>
      <c r="D91" s="270">
        <f ca="1">TblProd[[#This Row],[Required]]</f>
        <v>3750</v>
      </c>
      <c r="E91" s="279"/>
      <c r="F91" s="280"/>
      <c r="G91" s="273"/>
      <c r="H91" s="274"/>
      <c r="I91" s="274"/>
      <c r="J91" s="274"/>
      <c r="K91" s="93">
        <f ca="1">IF(TblTech[[#This Row],[Sum of tech]]&lt;&gt;OFFSET(TblTech[[#This Row],[Sum of tech]],-1,0),1,0)</f>
        <v>0</v>
      </c>
      <c r="L91" s="275">
        <f>COUNTIF(TblTech[[#This Row],[1-1]:[11-1]],1)</f>
        <v>0</v>
      </c>
      <c r="M91" s="276" cm="1">
        <f t="array" ref="M91">IF(AND(M$2&lt;&gt;0,TblTech[[#This Row],[Hour]:[Hour]]&gt;=M$2),1,0)</f>
        <v>0</v>
      </c>
      <c r="N91" s="276" cm="1">
        <f t="array" ref="N91">IF(AND(N$2&lt;&gt;0,TblTech[[#This Row],[Hour]:[Hour]]&gt;=N$2),1,0)</f>
        <v>0</v>
      </c>
      <c r="O91" s="276" cm="1">
        <f t="array" ref="O91">IF(AND(O$2&lt;&gt;0,TblTech[[#This Row],[Hour]:[Hour]]&gt;=O$2),1,0)</f>
        <v>0</v>
      </c>
      <c r="P91" s="276" cm="1">
        <f t="array" ref="P91">IF(AND(P$2&lt;&gt;0,TblTech[[#This Row],[Hour]:[Hour]]&gt;=P$2),1,0)</f>
        <v>0</v>
      </c>
      <c r="Q91" s="276" cm="1">
        <f t="array" ref="Q91">IF(AND(Q$2&lt;&gt;0,TblTech[[#This Row],[Hour]:[Hour]]&gt;=Q$2),1,0)</f>
        <v>0</v>
      </c>
      <c r="R91" s="276" cm="1">
        <f t="array" ref="R91">IF(AND(R$2&lt;&gt;0,TblTech[[#This Row],[Hour]:[Hour]]&gt;=R$2),1,0)</f>
        <v>0</v>
      </c>
      <c r="S91" s="276" cm="1">
        <f t="array" ref="S91">IF(AND(S$2&lt;&gt;0,TblTech[[#This Row],[Hour]:[Hour]]&gt;=S$2),1,0)</f>
        <v>0</v>
      </c>
      <c r="T91" s="276" cm="1">
        <f t="array" ref="T91">IF(AND(T$2&lt;&gt;0,TblTech[[#This Row],[Hour]:[Hour]]&gt;=T$2),1,0)</f>
        <v>0</v>
      </c>
      <c r="U91" s="276" cm="1">
        <f t="array" ref="U91">IF(AND(U$2&lt;&gt;0,TblTech[[#This Row],[Hour]:[Hour]]&gt;=U$2),1,0)</f>
        <v>0</v>
      </c>
      <c r="V91" s="276" cm="1">
        <f t="array" ref="V91">IF(AND(V$2&lt;&gt;0,TblTech[[#This Row],[Hour]:[Hour]]&gt;=V$2),1,0)</f>
        <v>0</v>
      </c>
      <c r="W91" s="276" cm="1">
        <f t="array" ref="W91">IF(AND(W$2&lt;&gt;0,TblTech[[#This Row],[Hour]:[Hour]]&gt;=W$2),1,0)</f>
        <v>0</v>
      </c>
      <c r="X91" s="276" cm="1">
        <f t="array" ref="X91">IF(AND(X$2&lt;&gt;0,TblTech[[#This Row],[Hour]:[Hour]]&gt;=X$2),1,0)</f>
        <v>0</v>
      </c>
      <c r="Y91" s="276" cm="1">
        <f t="array" ref="Y91">IF(AND(Y$2&lt;&gt;0,TblTech[[#This Row],[Hour]:[Hour]]&gt;=Y$2),1,0)</f>
        <v>0</v>
      </c>
      <c r="Z91" s="276" cm="1">
        <f t="array" ref="Z91">IF(AND(Z$2&lt;&gt;0,TblTech[[#This Row],[Hour]:[Hour]]&gt;=Z$2),1,0)</f>
        <v>0</v>
      </c>
      <c r="AA91" s="276" cm="1">
        <f t="array" ref="AA91">IF(AND(AA$2&lt;&gt;0,TblTech[[#This Row],[Hour]:[Hour]]&gt;=AA$2),1,0)</f>
        <v>0</v>
      </c>
      <c r="AB91" s="276" cm="1">
        <f t="array" ref="AB91">IF(AND(AB$2&lt;&gt;0,TblTech[[#This Row],[Hour]:[Hour]]&gt;=AB$2),1,0)</f>
        <v>0</v>
      </c>
      <c r="AC91" s="276" cm="1">
        <f t="array" ref="AC91">IF(AND(AC$2&lt;&gt;0,TblTech[[#This Row],[Hour]:[Hour]]&gt;=AC$2),1,0)</f>
        <v>0</v>
      </c>
      <c r="AD91" s="276" cm="1">
        <f t="array" ref="AD91">IF(AND(AD$2&lt;&gt;0,TblTech[[#This Row],[Hour]:[Hour]]&gt;=AD$2),1,0)</f>
        <v>0</v>
      </c>
      <c r="AE91" s="276" cm="1">
        <f t="array" ref="AE91">IF(AND(AE$2&lt;&gt;0,TblTech[[#This Row],[Hour]:[Hour]]&gt;=AE$2),1,0)</f>
        <v>0</v>
      </c>
      <c r="AF91" s="276" cm="1">
        <f t="array" ref="AF91">IF(AND(AF$2&lt;&gt;0,TblTech[[#This Row],[Hour]:[Hour]]&gt;=AF$2),1,0)</f>
        <v>0</v>
      </c>
      <c r="AG91" s="276" cm="1">
        <f t="array" ref="AG91">IF(AND(AG$2&lt;&gt;0,TblTech[[#This Row],[Hour]:[Hour]]&gt;=AG$2),1,0)</f>
        <v>0</v>
      </c>
      <c r="AH91" s="276" cm="1">
        <f t="array" ref="AH91">IF(AND(AH$2&lt;&gt;0,TblTech[[#This Row],[Hour]:[Hour]]&gt;=AH$2),1,0)</f>
        <v>0</v>
      </c>
      <c r="AI91" s="276" cm="1">
        <f t="array" ref="AI91">IF(AND(AI$2&lt;&gt;0,TblTech[[#This Row],[Hour]:[Hour]]&gt;=AI$2),1,0)</f>
        <v>0</v>
      </c>
      <c r="AJ91" s="276" cm="1">
        <f t="array" ref="AJ91">IF(AND(AJ$2&lt;&gt;0,TblTech[[#This Row],[Hour]:[Hour]]&gt;=AJ$2),1,0)</f>
        <v>0</v>
      </c>
      <c r="AK91" s="276" cm="1">
        <f t="array" ref="AK91">IF(AND(AK$2&lt;&gt;0,TblTech[[#This Row],[Hour]:[Hour]]&gt;=AK$2),1,0)</f>
        <v>0</v>
      </c>
      <c r="AL91" s="276" cm="1">
        <f t="array" ref="AL91">IF(AND(AL$2&lt;&gt;0,TblTech[[#This Row],[Hour]:[Hour]]&gt;=AL$2),1,0)</f>
        <v>0</v>
      </c>
      <c r="AM91" s="276" cm="1">
        <f t="array" ref="AM91">IF(AND(AM$2&lt;&gt;0,TblTech[[#This Row],[Hour]:[Hour]]&gt;=AM$2),1,0)</f>
        <v>0</v>
      </c>
      <c r="AN91" s="276" cm="1">
        <f t="array" ref="AN91">IF(AND(AN$2&lt;&gt;0,TblTech[[#This Row],[Hour]:[Hour]]&gt;=AN$2),1,0)</f>
        <v>0</v>
      </c>
      <c r="AO91" s="276" cm="1">
        <f t="array" ref="AO91">IF(AND(AO$2&lt;&gt;0,TblTech[[#This Row],[Hour]:[Hour]]&gt;=AO$2),1,0)</f>
        <v>0</v>
      </c>
      <c r="AP91" s="276" cm="1">
        <f t="array" ref="AP91">IF(AND(AP$2&lt;&gt;0,TblTech[[#This Row],[Hour]:[Hour]]&gt;=AP$2),1,0)</f>
        <v>0</v>
      </c>
      <c r="AQ91" s="276" cm="1">
        <f t="array" ref="AQ91">IF(AND(AQ$2&lt;&gt;0,TblTech[[#This Row],[Hour]:[Hour]]&gt;=AQ$2),1,0)</f>
        <v>0</v>
      </c>
      <c r="AR91" s="276" cm="1">
        <f t="array" ref="AR91">IF(AND(AR$2&lt;&gt;0,TblTech[[#This Row],[Hour]:[Hour]]&gt;=AR$2),1,0)</f>
        <v>0</v>
      </c>
      <c r="AS91" s="276" cm="1">
        <f t="array" ref="AS91">IF(AND(AS$2&lt;&gt;0,TblTech[[#This Row],[Hour]:[Hour]]&gt;=AS$2),1,0)</f>
        <v>0</v>
      </c>
      <c r="AT91" s="276" cm="1">
        <f t="array" ref="AT91">IF(AND(AT$2&lt;&gt;0,TblTech[[#This Row],[Hour]:[Hour]]&gt;=AT$2),1,0)</f>
        <v>0</v>
      </c>
      <c r="AU91" s="276" cm="1">
        <f t="array" ref="AU91">IF(AND(AU$2&lt;&gt;0,TblTech[[#This Row],[Hour]:[Hour]]&gt;=AU$2),1,0)</f>
        <v>0</v>
      </c>
      <c r="AV91" s="276" cm="1">
        <f t="array" ref="AV91">IF(AND(AV$2&lt;&gt;0,TblTech[[#This Row],[Hour]:[Hour]]&gt;=AV$2),1,0)</f>
        <v>0</v>
      </c>
      <c r="AW91" s="276" cm="1">
        <f t="array" ref="AW91">IF(AND(AW$2&lt;&gt;0,TblTech[[#This Row],[Hour]:[Hour]]&gt;=AW$2),1,0)</f>
        <v>0</v>
      </c>
      <c r="AX91" s="276" cm="1">
        <f t="array" ref="AX91">IF(AND(AX$2&lt;&gt;0,TblTech[[#This Row],[Hour]:[Hour]]&gt;=AX$2),1,0)</f>
        <v>0</v>
      </c>
      <c r="AY91" s="276" cm="1">
        <f t="array" ref="AY91">IF(AND(AY$2&lt;&gt;0,TblTech[[#This Row],[Hour]:[Hour]]&gt;=AY$2),1,0)</f>
        <v>0</v>
      </c>
      <c r="AZ91" s="276" cm="1">
        <f t="array" ref="AZ91">IF(AND(AZ$2&lt;&gt;0,TblTech[[#This Row],[Hour]:[Hour]]&gt;=AZ$2),1,0)</f>
        <v>0</v>
      </c>
      <c r="BA91" s="276" cm="1">
        <f t="array" ref="BA91">IF(AND(BA$2&lt;&gt;0,TblTech[[#This Row],[Hour]:[Hour]]&gt;=BA$2),1,0)</f>
        <v>0</v>
      </c>
      <c r="BB91" s="276" cm="1">
        <f t="array" ref="BB91">IF(AND(BB$2&lt;&gt;0,TblTech[[#This Row],[Hour]:[Hour]]&gt;=BB$2),1,0)</f>
        <v>0</v>
      </c>
      <c r="BC91" s="276" cm="1">
        <f t="array" ref="BC91">IF(AND(BC$2&lt;&gt;0,TblTech[[#This Row],[Hour]:[Hour]]&gt;=BC$2),1,0)</f>
        <v>0</v>
      </c>
      <c r="BD91" s="276" cm="1">
        <f t="array" ref="BD91">IF(AND(BD$2&lt;&gt;0,TblTech[[#This Row],[Hour]:[Hour]]&gt;=BD$2),1,0)</f>
        <v>0</v>
      </c>
      <c r="BE91" s="276" cm="1">
        <f t="array" ref="BE91">IF(AND(BE$2&lt;&gt;0,TblTech[[#This Row],[Hour]:[Hour]]&gt;=BE$2),1,0)</f>
        <v>0</v>
      </c>
      <c r="BF91" s="276" cm="1">
        <f t="array" ref="BF91">IF(AND(BF$2&lt;&gt;0,TblTech[[#This Row],[Hour]:[Hour]]&gt;=BF$2),1,0)</f>
        <v>0</v>
      </c>
      <c r="BG91" s="276" cm="1">
        <f t="array" ref="BG91">IF(AND(BG$2&lt;&gt;0,TblTech[[#This Row],[Hour]:[Hour]]&gt;=BG$2),1,0)</f>
        <v>0</v>
      </c>
      <c r="BH91" s="276" cm="1">
        <f t="array" ref="BH91">IF(AND(BH$2&lt;&gt;0,TblTech[[#This Row],[Hour]:[Hour]]&gt;=BH$2),1,0)</f>
        <v>0</v>
      </c>
      <c r="BI91" s="276" cm="1">
        <f t="array" ref="BI91">IF(AND(BI$2&lt;&gt;0,TblTech[[#This Row],[Hour]:[Hour]]&gt;=BI$2),1,0)</f>
        <v>0</v>
      </c>
      <c r="BJ91" s="276" cm="1">
        <f t="array" ref="BJ91">IF(AND(BJ$2&lt;&gt;0,TblTech[[#This Row],[Hour]:[Hour]]&gt;=BJ$2),1,0)</f>
        <v>0</v>
      </c>
      <c r="BK91" s="276" cm="1">
        <f t="array" ref="BK91">IF(AND(BK$2&lt;&gt;0,TblTech[[#This Row],[Hour]:[Hour]]&gt;=BK$2),1,0)</f>
        <v>0</v>
      </c>
      <c r="BL91" s="276" cm="1">
        <f t="array" ref="BL91">IF(AND(BL$2&lt;&gt;0,TblTech[[#This Row],[Hour]:[Hour]]&gt;=BL$2),1,0)</f>
        <v>0</v>
      </c>
      <c r="BM91" s="276" cm="1">
        <f t="array" ref="BM91">IF(AND(BM$2&lt;&gt;0,TblTech[[#This Row],[Hour]:[Hour]]&gt;=BM$2),1,0)</f>
        <v>0</v>
      </c>
      <c r="BN91" s="276" cm="1">
        <f t="array" ref="BN91">IF(AND(BN$2&lt;&gt;0,TblTech[[#This Row],[Hour]:[Hour]]&gt;=BN$2),1,0)</f>
        <v>0</v>
      </c>
      <c r="BO91" s="276" cm="1">
        <f t="array" ref="BO91">IF(AND(BO$2&lt;&gt;0,TblTech[[#This Row],[Hour]:[Hour]]&gt;=BO$2),1,0)</f>
        <v>0</v>
      </c>
      <c r="BP91" s="276" cm="1">
        <f t="array" ref="BP91">IF(AND(BP$2&lt;&gt;0,TblTech[[#This Row],[Hour]:[Hour]]&gt;=BP$2),1,0)</f>
        <v>0</v>
      </c>
      <c r="BQ91" s="276" cm="1">
        <f t="array" ref="BQ91">IF(AND(BQ$2&lt;&gt;0,TblTech[[#This Row],[Hour]:[Hour]]&gt;=BQ$2),1,0)</f>
        <v>0</v>
      </c>
      <c r="BR91" s="276" cm="1">
        <f t="array" ref="BR91">IF(AND(BR$2&lt;&gt;0,TblTech[[#This Row],[Hour]:[Hour]]&gt;=BR$2),1,0)</f>
        <v>0</v>
      </c>
      <c r="BS91" s="276" cm="1">
        <f t="array" ref="BS91">IF(AND(BS$2&lt;&gt;0,TblTech[[#This Row],[Hour]:[Hour]]&gt;=BS$2),1,0)</f>
        <v>0</v>
      </c>
      <c r="BT91" s="276" cm="1">
        <f t="array" ref="BT91">IF(AND(BT$2&lt;&gt;0,TblTech[[#This Row],[Hour]:[Hour]]&gt;=BT$2),1,0)</f>
        <v>0</v>
      </c>
      <c r="BU91" s="276" cm="1">
        <f t="array" ref="BU91">IF(AND(BU$2&lt;&gt;0,TblTech[[#This Row],[Hour]:[Hour]]&gt;=BU$2),1,0)</f>
        <v>0</v>
      </c>
      <c r="BV91" s="276" cm="1">
        <f t="array" ref="BV91">IF(AND(BV$2&lt;&gt;0,TblTech[[#This Row],[Hour]:[Hour]]&gt;=BV$2),1,0)</f>
        <v>0</v>
      </c>
      <c r="BW91" s="276" cm="1">
        <f t="array" ref="BW91">IF(AND(BW$2&lt;&gt;0,TblTech[[#This Row],[Hour]:[Hour]]&gt;=BW$2),1,0)</f>
        <v>0</v>
      </c>
      <c r="BX91" s="276" cm="1">
        <f t="array" ref="BX91">IF(AND(BX$2&lt;&gt;0,TblTech[[#This Row],[Hour]:[Hour]]&gt;=BX$2),1,0)</f>
        <v>0</v>
      </c>
      <c r="BY91" s="276" cm="1">
        <f t="array" ref="BY91">IF(AND(BY$2&lt;&gt;0,TblTech[[#This Row],[Hour]:[Hour]]&gt;=BY$2),1,0)</f>
        <v>0</v>
      </c>
      <c r="BZ91" s="276" cm="1">
        <f t="array" ref="BZ91">IF(AND(BZ$2&lt;&gt;0,TblTech[[#This Row],[Hour]:[Hour]]&gt;=BZ$2),1,0)</f>
        <v>0</v>
      </c>
      <c r="CA91" s="377">
        <f>IFERROR(INDEX($H$4:$H$79,MATCH(INDEX(TblTech[[#Headers],[1-1]:[11-1]],1,MATCH(TblTech[[#This Row],[Hour]],$M$2:$BZ$2,0)),$G$4:$G$79,0)),)</f>
        <v>0</v>
      </c>
    </row>
    <row r="92" spans="1:79" x14ac:dyDescent="0.2">
      <c r="A92" s="268">
        <f>TblRezone[[#This Row],[Hour]]</f>
        <v>89</v>
      </c>
      <c r="B92" s="269">
        <f ca="1">TblExplore[[#This Row],[Land-DB]]</f>
        <v>110</v>
      </c>
      <c r="C92" s="270">
        <f ca="1">TblProd[[#This Row],[Techpoints]]</f>
        <v>0</v>
      </c>
      <c r="D92" s="270">
        <f ca="1">TblProd[[#This Row],[Required]]</f>
        <v>3750</v>
      </c>
      <c r="E92" s="279"/>
      <c r="F92" s="280"/>
      <c r="G92" s="273"/>
      <c r="H92" s="274"/>
      <c r="I92" s="274"/>
      <c r="J92" s="274"/>
      <c r="K92" s="93">
        <f ca="1">IF(TblTech[[#This Row],[Sum of tech]]&lt;&gt;OFFSET(TblTech[[#This Row],[Sum of tech]],-1,0),1,0)</f>
        <v>0</v>
      </c>
      <c r="L92" s="275">
        <f>COUNTIF(TblTech[[#This Row],[1-1]:[11-1]],1)</f>
        <v>0</v>
      </c>
      <c r="M92" s="276" cm="1">
        <f t="array" ref="M92">IF(AND(M$2&lt;&gt;0,TblTech[[#This Row],[Hour]:[Hour]]&gt;=M$2),1,0)</f>
        <v>0</v>
      </c>
      <c r="N92" s="276" cm="1">
        <f t="array" ref="N92">IF(AND(N$2&lt;&gt;0,TblTech[[#This Row],[Hour]:[Hour]]&gt;=N$2),1,0)</f>
        <v>0</v>
      </c>
      <c r="O92" s="276" cm="1">
        <f t="array" ref="O92">IF(AND(O$2&lt;&gt;0,TblTech[[#This Row],[Hour]:[Hour]]&gt;=O$2),1,0)</f>
        <v>0</v>
      </c>
      <c r="P92" s="276" cm="1">
        <f t="array" ref="P92">IF(AND(P$2&lt;&gt;0,TblTech[[#This Row],[Hour]:[Hour]]&gt;=P$2),1,0)</f>
        <v>0</v>
      </c>
      <c r="Q92" s="276" cm="1">
        <f t="array" ref="Q92">IF(AND(Q$2&lt;&gt;0,TblTech[[#This Row],[Hour]:[Hour]]&gt;=Q$2),1,0)</f>
        <v>0</v>
      </c>
      <c r="R92" s="276" cm="1">
        <f t="array" ref="R92">IF(AND(R$2&lt;&gt;0,TblTech[[#This Row],[Hour]:[Hour]]&gt;=R$2),1,0)</f>
        <v>0</v>
      </c>
      <c r="S92" s="276" cm="1">
        <f t="array" ref="S92">IF(AND(S$2&lt;&gt;0,TblTech[[#This Row],[Hour]:[Hour]]&gt;=S$2),1,0)</f>
        <v>0</v>
      </c>
      <c r="T92" s="276" cm="1">
        <f t="array" ref="T92">IF(AND(T$2&lt;&gt;0,TblTech[[#This Row],[Hour]:[Hour]]&gt;=T$2),1,0)</f>
        <v>0</v>
      </c>
      <c r="U92" s="276" cm="1">
        <f t="array" ref="U92">IF(AND(U$2&lt;&gt;0,TblTech[[#This Row],[Hour]:[Hour]]&gt;=U$2),1,0)</f>
        <v>0</v>
      </c>
      <c r="V92" s="276" cm="1">
        <f t="array" ref="V92">IF(AND(V$2&lt;&gt;0,TblTech[[#This Row],[Hour]:[Hour]]&gt;=V$2),1,0)</f>
        <v>0</v>
      </c>
      <c r="W92" s="276" cm="1">
        <f t="array" ref="W92">IF(AND(W$2&lt;&gt;0,TblTech[[#This Row],[Hour]:[Hour]]&gt;=W$2),1,0)</f>
        <v>0</v>
      </c>
      <c r="X92" s="276" cm="1">
        <f t="array" ref="X92">IF(AND(X$2&lt;&gt;0,TblTech[[#This Row],[Hour]:[Hour]]&gt;=X$2),1,0)</f>
        <v>0</v>
      </c>
      <c r="Y92" s="276" cm="1">
        <f t="array" ref="Y92">IF(AND(Y$2&lt;&gt;0,TblTech[[#This Row],[Hour]:[Hour]]&gt;=Y$2),1,0)</f>
        <v>0</v>
      </c>
      <c r="Z92" s="276" cm="1">
        <f t="array" ref="Z92">IF(AND(Z$2&lt;&gt;0,TblTech[[#This Row],[Hour]:[Hour]]&gt;=Z$2),1,0)</f>
        <v>0</v>
      </c>
      <c r="AA92" s="276" cm="1">
        <f t="array" ref="AA92">IF(AND(AA$2&lt;&gt;0,TblTech[[#This Row],[Hour]:[Hour]]&gt;=AA$2),1,0)</f>
        <v>0</v>
      </c>
      <c r="AB92" s="276" cm="1">
        <f t="array" ref="AB92">IF(AND(AB$2&lt;&gt;0,TblTech[[#This Row],[Hour]:[Hour]]&gt;=AB$2),1,0)</f>
        <v>0</v>
      </c>
      <c r="AC92" s="276" cm="1">
        <f t="array" ref="AC92">IF(AND(AC$2&lt;&gt;0,TblTech[[#This Row],[Hour]:[Hour]]&gt;=AC$2),1,0)</f>
        <v>0</v>
      </c>
      <c r="AD92" s="276" cm="1">
        <f t="array" ref="AD92">IF(AND(AD$2&lt;&gt;0,TblTech[[#This Row],[Hour]:[Hour]]&gt;=AD$2),1,0)</f>
        <v>0</v>
      </c>
      <c r="AE92" s="276" cm="1">
        <f t="array" ref="AE92">IF(AND(AE$2&lt;&gt;0,TblTech[[#This Row],[Hour]:[Hour]]&gt;=AE$2),1,0)</f>
        <v>0</v>
      </c>
      <c r="AF92" s="276" cm="1">
        <f t="array" ref="AF92">IF(AND(AF$2&lt;&gt;0,TblTech[[#This Row],[Hour]:[Hour]]&gt;=AF$2),1,0)</f>
        <v>0</v>
      </c>
      <c r="AG92" s="276" cm="1">
        <f t="array" ref="AG92">IF(AND(AG$2&lt;&gt;0,TblTech[[#This Row],[Hour]:[Hour]]&gt;=AG$2),1,0)</f>
        <v>0</v>
      </c>
      <c r="AH92" s="276" cm="1">
        <f t="array" ref="AH92">IF(AND(AH$2&lt;&gt;0,TblTech[[#This Row],[Hour]:[Hour]]&gt;=AH$2),1,0)</f>
        <v>0</v>
      </c>
      <c r="AI92" s="276" cm="1">
        <f t="array" ref="AI92">IF(AND(AI$2&lt;&gt;0,TblTech[[#This Row],[Hour]:[Hour]]&gt;=AI$2),1,0)</f>
        <v>0</v>
      </c>
      <c r="AJ92" s="276" cm="1">
        <f t="array" ref="AJ92">IF(AND(AJ$2&lt;&gt;0,TblTech[[#This Row],[Hour]:[Hour]]&gt;=AJ$2),1,0)</f>
        <v>0</v>
      </c>
      <c r="AK92" s="276" cm="1">
        <f t="array" ref="AK92">IF(AND(AK$2&lt;&gt;0,TblTech[[#This Row],[Hour]:[Hour]]&gt;=AK$2),1,0)</f>
        <v>0</v>
      </c>
      <c r="AL92" s="276" cm="1">
        <f t="array" ref="AL92">IF(AND(AL$2&lt;&gt;0,TblTech[[#This Row],[Hour]:[Hour]]&gt;=AL$2),1,0)</f>
        <v>0</v>
      </c>
      <c r="AM92" s="276" cm="1">
        <f t="array" ref="AM92">IF(AND(AM$2&lt;&gt;0,TblTech[[#This Row],[Hour]:[Hour]]&gt;=AM$2),1,0)</f>
        <v>0</v>
      </c>
      <c r="AN92" s="276" cm="1">
        <f t="array" ref="AN92">IF(AND(AN$2&lt;&gt;0,TblTech[[#This Row],[Hour]:[Hour]]&gt;=AN$2),1,0)</f>
        <v>0</v>
      </c>
      <c r="AO92" s="276" cm="1">
        <f t="array" ref="AO92">IF(AND(AO$2&lt;&gt;0,TblTech[[#This Row],[Hour]:[Hour]]&gt;=AO$2),1,0)</f>
        <v>0</v>
      </c>
      <c r="AP92" s="276" cm="1">
        <f t="array" ref="AP92">IF(AND(AP$2&lt;&gt;0,TblTech[[#This Row],[Hour]:[Hour]]&gt;=AP$2),1,0)</f>
        <v>0</v>
      </c>
      <c r="AQ92" s="276" cm="1">
        <f t="array" ref="AQ92">IF(AND(AQ$2&lt;&gt;0,TblTech[[#This Row],[Hour]:[Hour]]&gt;=AQ$2),1,0)</f>
        <v>0</v>
      </c>
      <c r="AR92" s="276" cm="1">
        <f t="array" ref="AR92">IF(AND(AR$2&lt;&gt;0,TblTech[[#This Row],[Hour]:[Hour]]&gt;=AR$2),1,0)</f>
        <v>0</v>
      </c>
      <c r="AS92" s="276" cm="1">
        <f t="array" ref="AS92">IF(AND(AS$2&lt;&gt;0,TblTech[[#This Row],[Hour]:[Hour]]&gt;=AS$2),1,0)</f>
        <v>0</v>
      </c>
      <c r="AT92" s="276" cm="1">
        <f t="array" ref="AT92">IF(AND(AT$2&lt;&gt;0,TblTech[[#This Row],[Hour]:[Hour]]&gt;=AT$2),1,0)</f>
        <v>0</v>
      </c>
      <c r="AU92" s="276" cm="1">
        <f t="array" ref="AU92">IF(AND(AU$2&lt;&gt;0,TblTech[[#This Row],[Hour]:[Hour]]&gt;=AU$2),1,0)</f>
        <v>0</v>
      </c>
      <c r="AV92" s="276" cm="1">
        <f t="array" ref="AV92">IF(AND(AV$2&lt;&gt;0,TblTech[[#This Row],[Hour]:[Hour]]&gt;=AV$2),1,0)</f>
        <v>0</v>
      </c>
      <c r="AW92" s="276" cm="1">
        <f t="array" ref="AW92">IF(AND(AW$2&lt;&gt;0,TblTech[[#This Row],[Hour]:[Hour]]&gt;=AW$2),1,0)</f>
        <v>0</v>
      </c>
      <c r="AX92" s="276" cm="1">
        <f t="array" ref="AX92">IF(AND(AX$2&lt;&gt;0,TblTech[[#This Row],[Hour]:[Hour]]&gt;=AX$2),1,0)</f>
        <v>0</v>
      </c>
      <c r="AY92" s="276" cm="1">
        <f t="array" ref="AY92">IF(AND(AY$2&lt;&gt;0,TblTech[[#This Row],[Hour]:[Hour]]&gt;=AY$2),1,0)</f>
        <v>0</v>
      </c>
      <c r="AZ92" s="276" cm="1">
        <f t="array" ref="AZ92">IF(AND(AZ$2&lt;&gt;0,TblTech[[#This Row],[Hour]:[Hour]]&gt;=AZ$2),1,0)</f>
        <v>0</v>
      </c>
      <c r="BA92" s="276" cm="1">
        <f t="array" ref="BA92">IF(AND(BA$2&lt;&gt;0,TblTech[[#This Row],[Hour]:[Hour]]&gt;=BA$2),1,0)</f>
        <v>0</v>
      </c>
      <c r="BB92" s="276" cm="1">
        <f t="array" ref="BB92">IF(AND(BB$2&lt;&gt;0,TblTech[[#This Row],[Hour]:[Hour]]&gt;=BB$2),1,0)</f>
        <v>0</v>
      </c>
      <c r="BC92" s="276" cm="1">
        <f t="array" ref="BC92">IF(AND(BC$2&lt;&gt;0,TblTech[[#This Row],[Hour]:[Hour]]&gt;=BC$2),1,0)</f>
        <v>0</v>
      </c>
      <c r="BD92" s="276" cm="1">
        <f t="array" ref="BD92">IF(AND(BD$2&lt;&gt;0,TblTech[[#This Row],[Hour]:[Hour]]&gt;=BD$2),1,0)</f>
        <v>0</v>
      </c>
      <c r="BE92" s="276" cm="1">
        <f t="array" ref="BE92">IF(AND(BE$2&lt;&gt;0,TblTech[[#This Row],[Hour]:[Hour]]&gt;=BE$2),1,0)</f>
        <v>0</v>
      </c>
      <c r="BF92" s="276" cm="1">
        <f t="array" ref="BF92">IF(AND(BF$2&lt;&gt;0,TblTech[[#This Row],[Hour]:[Hour]]&gt;=BF$2),1,0)</f>
        <v>0</v>
      </c>
      <c r="BG92" s="276" cm="1">
        <f t="array" ref="BG92">IF(AND(BG$2&lt;&gt;0,TblTech[[#This Row],[Hour]:[Hour]]&gt;=BG$2),1,0)</f>
        <v>0</v>
      </c>
      <c r="BH92" s="276" cm="1">
        <f t="array" ref="BH92">IF(AND(BH$2&lt;&gt;0,TblTech[[#This Row],[Hour]:[Hour]]&gt;=BH$2),1,0)</f>
        <v>0</v>
      </c>
      <c r="BI92" s="276" cm="1">
        <f t="array" ref="BI92">IF(AND(BI$2&lt;&gt;0,TblTech[[#This Row],[Hour]:[Hour]]&gt;=BI$2),1,0)</f>
        <v>0</v>
      </c>
      <c r="BJ92" s="276" cm="1">
        <f t="array" ref="BJ92">IF(AND(BJ$2&lt;&gt;0,TblTech[[#This Row],[Hour]:[Hour]]&gt;=BJ$2),1,0)</f>
        <v>0</v>
      </c>
      <c r="BK92" s="276" cm="1">
        <f t="array" ref="BK92">IF(AND(BK$2&lt;&gt;0,TblTech[[#This Row],[Hour]:[Hour]]&gt;=BK$2),1,0)</f>
        <v>0</v>
      </c>
      <c r="BL92" s="276" cm="1">
        <f t="array" ref="BL92">IF(AND(BL$2&lt;&gt;0,TblTech[[#This Row],[Hour]:[Hour]]&gt;=BL$2),1,0)</f>
        <v>0</v>
      </c>
      <c r="BM92" s="276" cm="1">
        <f t="array" ref="BM92">IF(AND(BM$2&lt;&gt;0,TblTech[[#This Row],[Hour]:[Hour]]&gt;=BM$2),1,0)</f>
        <v>0</v>
      </c>
      <c r="BN92" s="276" cm="1">
        <f t="array" ref="BN92">IF(AND(BN$2&lt;&gt;0,TblTech[[#This Row],[Hour]:[Hour]]&gt;=BN$2),1,0)</f>
        <v>0</v>
      </c>
      <c r="BO92" s="276" cm="1">
        <f t="array" ref="BO92">IF(AND(BO$2&lt;&gt;0,TblTech[[#This Row],[Hour]:[Hour]]&gt;=BO$2),1,0)</f>
        <v>0</v>
      </c>
      <c r="BP92" s="276" cm="1">
        <f t="array" ref="BP92">IF(AND(BP$2&lt;&gt;0,TblTech[[#This Row],[Hour]:[Hour]]&gt;=BP$2),1,0)</f>
        <v>0</v>
      </c>
      <c r="BQ92" s="276" cm="1">
        <f t="array" ref="BQ92">IF(AND(BQ$2&lt;&gt;0,TblTech[[#This Row],[Hour]:[Hour]]&gt;=BQ$2),1,0)</f>
        <v>0</v>
      </c>
      <c r="BR92" s="276" cm="1">
        <f t="array" ref="BR92">IF(AND(BR$2&lt;&gt;0,TblTech[[#This Row],[Hour]:[Hour]]&gt;=BR$2),1,0)</f>
        <v>0</v>
      </c>
      <c r="BS92" s="276" cm="1">
        <f t="array" ref="BS92">IF(AND(BS$2&lt;&gt;0,TblTech[[#This Row],[Hour]:[Hour]]&gt;=BS$2),1,0)</f>
        <v>0</v>
      </c>
      <c r="BT92" s="276" cm="1">
        <f t="array" ref="BT92">IF(AND(BT$2&lt;&gt;0,TblTech[[#This Row],[Hour]:[Hour]]&gt;=BT$2),1,0)</f>
        <v>0</v>
      </c>
      <c r="BU92" s="276" cm="1">
        <f t="array" ref="BU92">IF(AND(BU$2&lt;&gt;0,TblTech[[#This Row],[Hour]:[Hour]]&gt;=BU$2),1,0)</f>
        <v>0</v>
      </c>
      <c r="BV92" s="276" cm="1">
        <f t="array" ref="BV92">IF(AND(BV$2&lt;&gt;0,TblTech[[#This Row],[Hour]:[Hour]]&gt;=BV$2),1,0)</f>
        <v>0</v>
      </c>
      <c r="BW92" s="276" cm="1">
        <f t="array" ref="BW92">IF(AND(BW$2&lt;&gt;0,TblTech[[#This Row],[Hour]:[Hour]]&gt;=BW$2),1,0)</f>
        <v>0</v>
      </c>
      <c r="BX92" s="276" cm="1">
        <f t="array" ref="BX92">IF(AND(BX$2&lt;&gt;0,TblTech[[#This Row],[Hour]:[Hour]]&gt;=BX$2),1,0)</f>
        <v>0</v>
      </c>
      <c r="BY92" s="276" cm="1">
        <f t="array" ref="BY92">IF(AND(BY$2&lt;&gt;0,TblTech[[#This Row],[Hour]:[Hour]]&gt;=BY$2),1,0)</f>
        <v>0</v>
      </c>
      <c r="BZ92" s="276" cm="1">
        <f t="array" ref="BZ92">IF(AND(BZ$2&lt;&gt;0,TblTech[[#This Row],[Hour]:[Hour]]&gt;=BZ$2),1,0)</f>
        <v>0</v>
      </c>
      <c r="CA92" s="377">
        <f>IFERROR(INDEX($H$4:$H$79,MATCH(INDEX(TblTech[[#Headers],[1-1]:[11-1]],1,MATCH(TblTech[[#This Row],[Hour]],$M$2:$BZ$2,0)),$G$4:$G$79,0)),)</f>
        <v>0</v>
      </c>
    </row>
    <row r="93" spans="1:79" x14ac:dyDescent="0.2">
      <c r="A93" s="268">
        <f>TblRezone[[#This Row],[Hour]]</f>
        <v>90</v>
      </c>
      <c r="B93" s="269">
        <f ca="1">TblExplore[[#This Row],[Land-DB]]</f>
        <v>110</v>
      </c>
      <c r="C93" s="270">
        <f ca="1">TblProd[[#This Row],[Techpoints]]</f>
        <v>0</v>
      </c>
      <c r="D93" s="270">
        <f ca="1">TblProd[[#This Row],[Required]]</f>
        <v>3750</v>
      </c>
      <c r="E93" s="279"/>
      <c r="F93" s="280"/>
      <c r="G93" s="273"/>
      <c r="H93" s="274"/>
      <c r="I93" s="274"/>
      <c r="J93" s="274"/>
      <c r="K93" s="93">
        <f ca="1">IF(TblTech[[#This Row],[Sum of tech]]&lt;&gt;OFFSET(TblTech[[#This Row],[Sum of tech]],-1,0),1,0)</f>
        <v>0</v>
      </c>
      <c r="L93" s="275">
        <f>COUNTIF(TblTech[[#This Row],[1-1]:[11-1]],1)</f>
        <v>0</v>
      </c>
      <c r="M93" s="276" cm="1">
        <f t="array" ref="M93">IF(AND(M$2&lt;&gt;0,TblTech[[#This Row],[Hour]:[Hour]]&gt;=M$2),1,0)</f>
        <v>0</v>
      </c>
      <c r="N93" s="276" cm="1">
        <f t="array" ref="N93">IF(AND(N$2&lt;&gt;0,TblTech[[#This Row],[Hour]:[Hour]]&gt;=N$2),1,0)</f>
        <v>0</v>
      </c>
      <c r="O93" s="276" cm="1">
        <f t="array" ref="O93">IF(AND(O$2&lt;&gt;0,TblTech[[#This Row],[Hour]:[Hour]]&gt;=O$2),1,0)</f>
        <v>0</v>
      </c>
      <c r="P93" s="276" cm="1">
        <f t="array" ref="P93">IF(AND(P$2&lt;&gt;0,TblTech[[#This Row],[Hour]:[Hour]]&gt;=P$2),1,0)</f>
        <v>0</v>
      </c>
      <c r="Q93" s="276" cm="1">
        <f t="array" ref="Q93">IF(AND(Q$2&lt;&gt;0,TblTech[[#This Row],[Hour]:[Hour]]&gt;=Q$2),1,0)</f>
        <v>0</v>
      </c>
      <c r="R93" s="276" cm="1">
        <f t="array" ref="R93">IF(AND(R$2&lt;&gt;0,TblTech[[#This Row],[Hour]:[Hour]]&gt;=R$2),1,0)</f>
        <v>0</v>
      </c>
      <c r="S93" s="276" cm="1">
        <f t="array" ref="S93">IF(AND(S$2&lt;&gt;0,TblTech[[#This Row],[Hour]:[Hour]]&gt;=S$2),1,0)</f>
        <v>0</v>
      </c>
      <c r="T93" s="276" cm="1">
        <f t="array" ref="T93">IF(AND(T$2&lt;&gt;0,TblTech[[#This Row],[Hour]:[Hour]]&gt;=T$2),1,0)</f>
        <v>0</v>
      </c>
      <c r="U93" s="276" cm="1">
        <f t="array" ref="U93">IF(AND(U$2&lt;&gt;0,TblTech[[#This Row],[Hour]:[Hour]]&gt;=U$2),1,0)</f>
        <v>0</v>
      </c>
      <c r="V93" s="276" cm="1">
        <f t="array" ref="V93">IF(AND(V$2&lt;&gt;0,TblTech[[#This Row],[Hour]:[Hour]]&gt;=V$2),1,0)</f>
        <v>0</v>
      </c>
      <c r="W93" s="276" cm="1">
        <f t="array" ref="W93">IF(AND(W$2&lt;&gt;0,TblTech[[#This Row],[Hour]:[Hour]]&gt;=W$2),1,0)</f>
        <v>0</v>
      </c>
      <c r="X93" s="276" cm="1">
        <f t="array" ref="X93">IF(AND(X$2&lt;&gt;0,TblTech[[#This Row],[Hour]:[Hour]]&gt;=X$2),1,0)</f>
        <v>0</v>
      </c>
      <c r="Y93" s="276" cm="1">
        <f t="array" ref="Y93">IF(AND(Y$2&lt;&gt;0,TblTech[[#This Row],[Hour]:[Hour]]&gt;=Y$2),1,0)</f>
        <v>0</v>
      </c>
      <c r="Z93" s="276" cm="1">
        <f t="array" ref="Z93">IF(AND(Z$2&lt;&gt;0,TblTech[[#This Row],[Hour]:[Hour]]&gt;=Z$2),1,0)</f>
        <v>0</v>
      </c>
      <c r="AA93" s="276" cm="1">
        <f t="array" ref="AA93">IF(AND(AA$2&lt;&gt;0,TblTech[[#This Row],[Hour]:[Hour]]&gt;=AA$2),1,0)</f>
        <v>0</v>
      </c>
      <c r="AB93" s="276" cm="1">
        <f t="array" ref="AB93">IF(AND(AB$2&lt;&gt;0,TblTech[[#This Row],[Hour]:[Hour]]&gt;=AB$2),1,0)</f>
        <v>0</v>
      </c>
      <c r="AC93" s="276" cm="1">
        <f t="array" ref="AC93">IF(AND(AC$2&lt;&gt;0,TblTech[[#This Row],[Hour]:[Hour]]&gt;=AC$2),1,0)</f>
        <v>0</v>
      </c>
      <c r="AD93" s="276" cm="1">
        <f t="array" ref="AD93">IF(AND(AD$2&lt;&gt;0,TblTech[[#This Row],[Hour]:[Hour]]&gt;=AD$2),1,0)</f>
        <v>0</v>
      </c>
      <c r="AE93" s="276" cm="1">
        <f t="array" ref="AE93">IF(AND(AE$2&lt;&gt;0,TblTech[[#This Row],[Hour]:[Hour]]&gt;=AE$2),1,0)</f>
        <v>0</v>
      </c>
      <c r="AF93" s="276" cm="1">
        <f t="array" ref="AF93">IF(AND(AF$2&lt;&gt;0,TblTech[[#This Row],[Hour]:[Hour]]&gt;=AF$2),1,0)</f>
        <v>0</v>
      </c>
      <c r="AG93" s="276" cm="1">
        <f t="array" ref="AG93">IF(AND(AG$2&lt;&gt;0,TblTech[[#This Row],[Hour]:[Hour]]&gt;=AG$2),1,0)</f>
        <v>0</v>
      </c>
      <c r="AH93" s="276" cm="1">
        <f t="array" ref="AH93">IF(AND(AH$2&lt;&gt;0,TblTech[[#This Row],[Hour]:[Hour]]&gt;=AH$2),1,0)</f>
        <v>0</v>
      </c>
      <c r="AI93" s="276" cm="1">
        <f t="array" ref="AI93">IF(AND(AI$2&lt;&gt;0,TblTech[[#This Row],[Hour]:[Hour]]&gt;=AI$2),1,0)</f>
        <v>0</v>
      </c>
      <c r="AJ93" s="276" cm="1">
        <f t="array" ref="AJ93">IF(AND(AJ$2&lt;&gt;0,TblTech[[#This Row],[Hour]:[Hour]]&gt;=AJ$2),1,0)</f>
        <v>0</v>
      </c>
      <c r="AK93" s="276" cm="1">
        <f t="array" ref="AK93">IF(AND(AK$2&lt;&gt;0,TblTech[[#This Row],[Hour]:[Hour]]&gt;=AK$2),1,0)</f>
        <v>0</v>
      </c>
      <c r="AL93" s="276" cm="1">
        <f t="array" ref="AL93">IF(AND(AL$2&lt;&gt;0,TblTech[[#This Row],[Hour]:[Hour]]&gt;=AL$2),1,0)</f>
        <v>0</v>
      </c>
      <c r="AM93" s="276" cm="1">
        <f t="array" ref="AM93">IF(AND(AM$2&lt;&gt;0,TblTech[[#This Row],[Hour]:[Hour]]&gt;=AM$2),1,0)</f>
        <v>0</v>
      </c>
      <c r="AN93" s="276" cm="1">
        <f t="array" ref="AN93">IF(AND(AN$2&lt;&gt;0,TblTech[[#This Row],[Hour]:[Hour]]&gt;=AN$2),1,0)</f>
        <v>0</v>
      </c>
      <c r="AO93" s="276" cm="1">
        <f t="array" ref="AO93">IF(AND(AO$2&lt;&gt;0,TblTech[[#This Row],[Hour]:[Hour]]&gt;=AO$2),1,0)</f>
        <v>0</v>
      </c>
      <c r="AP93" s="276" cm="1">
        <f t="array" ref="AP93">IF(AND(AP$2&lt;&gt;0,TblTech[[#This Row],[Hour]:[Hour]]&gt;=AP$2),1,0)</f>
        <v>0</v>
      </c>
      <c r="AQ93" s="276" cm="1">
        <f t="array" ref="AQ93">IF(AND(AQ$2&lt;&gt;0,TblTech[[#This Row],[Hour]:[Hour]]&gt;=AQ$2),1,0)</f>
        <v>0</v>
      </c>
      <c r="AR93" s="276" cm="1">
        <f t="array" ref="AR93">IF(AND(AR$2&lt;&gt;0,TblTech[[#This Row],[Hour]:[Hour]]&gt;=AR$2),1,0)</f>
        <v>0</v>
      </c>
      <c r="AS93" s="276" cm="1">
        <f t="array" ref="AS93">IF(AND(AS$2&lt;&gt;0,TblTech[[#This Row],[Hour]:[Hour]]&gt;=AS$2),1,0)</f>
        <v>0</v>
      </c>
      <c r="AT93" s="276" cm="1">
        <f t="array" ref="AT93">IF(AND(AT$2&lt;&gt;0,TblTech[[#This Row],[Hour]:[Hour]]&gt;=AT$2),1,0)</f>
        <v>0</v>
      </c>
      <c r="AU93" s="276" cm="1">
        <f t="array" ref="AU93">IF(AND(AU$2&lt;&gt;0,TblTech[[#This Row],[Hour]:[Hour]]&gt;=AU$2),1,0)</f>
        <v>0</v>
      </c>
      <c r="AV93" s="276" cm="1">
        <f t="array" ref="AV93">IF(AND(AV$2&lt;&gt;0,TblTech[[#This Row],[Hour]:[Hour]]&gt;=AV$2),1,0)</f>
        <v>0</v>
      </c>
      <c r="AW93" s="276" cm="1">
        <f t="array" ref="AW93">IF(AND(AW$2&lt;&gt;0,TblTech[[#This Row],[Hour]:[Hour]]&gt;=AW$2),1,0)</f>
        <v>0</v>
      </c>
      <c r="AX93" s="276" cm="1">
        <f t="array" ref="AX93">IF(AND(AX$2&lt;&gt;0,TblTech[[#This Row],[Hour]:[Hour]]&gt;=AX$2),1,0)</f>
        <v>0</v>
      </c>
      <c r="AY93" s="276" cm="1">
        <f t="array" ref="AY93">IF(AND(AY$2&lt;&gt;0,TblTech[[#This Row],[Hour]:[Hour]]&gt;=AY$2),1,0)</f>
        <v>0</v>
      </c>
      <c r="AZ93" s="276" cm="1">
        <f t="array" ref="AZ93">IF(AND(AZ$2&lt;&gt;0,TblTech[[#This Row],[Hour]:[Hour]]&gt;=AZ$2),1,0)</f>
        <v>0</v>
      </c>
      <c r="BA93" s="276" cm="1">
        <f t="array" ref="BA93">IF(AND(BA$2&lt;&gt;0,TblTech[[#This Row],[Hour]:[Hour]]&gt;=BA$2),1,0)</f>
        <v>0</v>
      </c>
      <c r="BB93" s="276" cm="1">
        <f t="array" ref="BB93">IF(AND(BB$2&lt;&gt;0,TblTech[[#This Row],[Hour]:[Hour]]&gt;=BB$2),1,0)</f>
        <v>0</v>
      </c>
      <c r="BC93" s="276" cm="1">
        <f t="array" ref="BC93">IF(AND(BC$2&lt;&gt;0,TblTech[[#This Row],[Hour]:[Hour]]&gt;=BC$2),1,0)</f>
        <v>0</v>
      </c>
      <c r="BD93" s="276" cm="1">
        <f t="array" ref="BD93">IF(AND(BD$2&lt;&gt;0,TblTech[[#This Row],[Hour]:[Hour]]&gt;=BD$2),1,0)</f>
        <v>0</v>
      </c>
      <c r="BE93" s="276" cm="1">
        <f t="array" ref="BE93">IF(AND(BE$2&lt;&gt;0,TblTech[[#This Row],[Hour]:[Hour]]&gt;=BE$2),1,0)</f>
        <v>0</v>
      </c>
      <c r="BF93" s="276" cm="1">
        <f t="array" ref="BF93">IF(AND(BF$2&lt;&gt;0,TblTech[[#This Row],[Hour]:[Hour]]&gt;=BF$2),1,0)</f>
        <v>0</v>
      </c>
      <c r="BG93" s="276" cm="1">
        <f t="array" ref="BG93">IF(AND(BG$2&lt;&gt;0,TblTech[[#This Row],[Hour]:[Hour]]&gt;=BG$2),1,0)</f>
        <v>0</v>
      </c>
      <c r="BH93" s="276" cm="1">
        <f t="array" ref="BH93">IF(AND(BH$2&lt;&gt;0,TblTech[[#This Row],[Hour]:[Hour]]&gt;=BH$2),1,0)</f>
        <v>0</v>
      </c>
      <c r="BI93" s="276" cm="1">
        <f t="array" ref="BI93">IF(AND(BI$2&lt;&gt;0,TblTech[[#This Row],[Hour]:[Hour]]&gt;=BI$2),1,0)</f>
        <v>0</v>
      </c>
      <c r="BJ93" s="276" cm="1">
        <f t="array" ref="BJ93">IF(AND(BJ$2&lt;&gt;0,TblTech[[#This Row],[Hour]:[Hour]]&gt;=BJ$2),1,0)</f>
        <v>0</v>
      </c>
      <c r="BK93" s="276" cm="1">
        <f t="array" ref="BK93">IF(AND(BK$2&lt;&gt;0,TblTech[[#This Row],[Hour]:[Hour]]&gt;=BK$2),1,0)</f>
        <v>0</v>
      </c>
      <c r="BL93" s="276" cm="1">
        <f t="array" ref="BL93">IF(AND(BL$2&lt;&gt;0,TblTech[[#This Row],[Hour]:[Hour]]&gt;=BL$2),1,0)</f>
        <v>0</v>
      </c>
      <c r="BM93" s="276" cm="1">
        <f t="array" ref="BM93">IF(AND(BM$2&lt;&gt;0,TblTech[[#This Row],[Hour]:[Hour]]&gt;=BM$2),1,0)</f>
        <v>0</v>
      </c>
      <c r="BN93" s="276" cm="1">
        <f t="array" ref="BN93">IF(AND(BN$2&lt;&gt;0,TblTech[[#This Row],[Hour]:[Hour]]&gt;=BN$2),1,0)</f>
        <v>0</v>
      </c>
      <c r="BO93" s="276" cm="1">
        <f t="array" ref="BO93">IF(AND(BO$2&lt;&gt;0,TblTech[[#This Row],[Hour]:[Hour]]&gt;=BO$2),1,0)</f>
        <v>0</v>
      </c>
      <c r="BP93" s="276" cm="1">
        <f t="array" ref="BP93">IF(AND(BP$2&lt;&gt;0,TblTech[[#This Row],[Hour]:[Hour]]&gt;=BP$2),1,0)</f>
        <v>0</v>
      </c>
      <c r="BQ93" s="276" cm="1">
        <f t="array" ref="BQ93">IF(AND(BQ$2&lt;&gt;0,TblTech[[#This Row],[Hour]:[Hour]]&gt;=BQ$2),1,0)</f>
        <v>0</v>
      </c>
      <c r="BR93" s="276" cm="1">
        <f t="array" ref="BR93">IF(AND(BR$2&lt;&gt;0,TblTech[[#This Row],[Hour]:[Hour]]&gt;=BR$2),1,0)</f>
        <v>0</v>
      </c>
      <c r="BS93" s="276" cm="1">
        <f t="array" ref="BS93">IF(AND(BS$2&lt;&gt;0,TblTech[[#This Row],[Hour]:[Hour]]&gt;=BS$2),1,0)</f>
        <v>0</v>
      </c>
      <c r="BT93" s="276" cm="1">
        <f t="array" ref="BT93">IF(AND(BT$2&lt;&gt;0,TblTech[[#This Row],[Hour]:[Hour]]&gt;=BT$2),1,0)</f>
        <v>0</v>
      </c>
      <c r="BU93" s="276" cm="1">
        <f t="array" ref="BU93">IF(AND(BU$2&lt;&gt;0,TblTech[[#This Row],[Hour]:[Hour]]&gt;=BU$2),1,0)</f>
        <v>0</v>
      </c>
      <c r="BV93" s="276" cm="1">
        <f t="array" ref="BV93">IF(AND(BV$2&lt;&gt;0,TblTech[[#This Row],[Hour]:[Hour]]&gt;=BV$2),1,0)</f>
        <v>0</v>
      </c>
      <c r="BW93" s="276" cm="1">
        <f t="array" ref="BW93">IF(AND(BW$2&lt;&gt;0,TblTech[[#This Row],[Hour]:[Hour]]&gt;=BW$2),1,0)</f>
        <v>0</v>
      </c>
      <c r="BX93" s="276" cm="1">
        <f t="array" ref="BX93">IF(AND(BX$2&lt;&gt;0,TblTech[[#This Row],[Hour]:[Hour]]&gt;=BX$2),1,0)</f>
        <v>0</v>
      </c>
      <c r="BY93" s="276" cm="1">
        <f t="array" ref="BY93">IF(AND(BY$2&lt;&gt;0,TblTech[[#This Row],[Hour]:[Hour]]&gt;=BY$2),1,0)</f>
        <v>0</v>
      </c>
      <c r="BZ93" s="276" cm="1">
        <f t="array" ref="BZ93">IF(AND(BZ$2&lt;&gt;0,TblTech[[#This Row],[Hour]:[Hour]]&gt;=BZ$2),1,0)</f>
        <v>0</v>
      </c>
      <c r="CA93" s="377">
        <f>IFERROR(INDEX($H$4:$H$79,MATCH(INDEX(TblTech[[#Headers],[1-1]:[11-1]],1,MATCH(TblTech[[#This Row],[Hour]],$M$2:$BZ$2,0)),$G$4:$G$79,0)),)</f>
        <v>0</v>
      </c>
    </row>
    <row r="94" spans="1:79" x14ac:dyDescent="0.2">
      <c r="A94" s="268">
        <f>TblRezone[[#This Row],[Hour]]</f>
        <v>91</v>
      </c>
      <c r="B94" s="269">
        <f ca="1">TblExplore[[#This Row],[Land-DB]]</f>
        <v>110</v>
      </c>
      <c r="C94" s="270">
        <f ca="1">TblProd[[#This Row],[Techpoints]]</f>
        <v>0</v>
      </c>
      <c r="D94" s="270">
        <f ca="1">TblProd[[#This Row],[Required]]</f>
        <v>3750</v>
      </c>
      <c r="E94" s="279"/>
      <c r="F94" s="280"/>
      <c r="G94" s="273"/>
      <c r="H94" s="274"/>
      <c r="I94" s="274"/>
      <c r="J94" s="274"/>
      <c r="K94" s="93">
        <f ca="1">IF(TblTech[[#This Row],[Sum of tech]]&lt;&gt;OFFSET(TblTech[[#This Row],[Sum of tech]],-1,0),1,0)</f>
        <v>0</v>
      </c>
      <c r="L94" s="275">
        <f>COUNTIF(TblTech[[#This Row],[1-1]:[11-1]],1)</f>
        <v>0</v>
      </c>
      <c r="M94" s="276" cm="1">
        <f t="array" ref="M94">IF(AND(M$2&lt;&gt;0,TblTech[[#This Row],[Hour]:[Hour]]&gt;=M$2),1,0)</f>
        <v>0</v>
      </c>
      <c r="N94" s="276" cm="1">
        <f t="array" ref="N94">IF(AND(N$2&lt;&gt;0,TblTech[[#This Row],[Hour]:[Hour]]&gt;=N$2),1,0)</f>
        <v>0</v>
      </c>
      <c r="O94" s="276" cm="1">
        <f t="array" ref="O94">IF(AND(O$2&lt;&gt;0,TblTech[[#This Row],[Hour]:[Hour]]&gt;=O$2),1,0)</f>
        <v>0</v>
      </c>
      <c r="P94" s="276" cm="1">
        <f t="array" ref="P94">IF(AND(P$2&lt;&gt;0,TblTech[[#This Row],[Hour]:[Hour]]&gt;=P$2),1,0)</f>
        <v>0</v>
      </c>
      <c r="Q94" s="276" cm="1">
        <f t="array" ref="Q94">IF(AND(Q$2&lt;&gt;0,TblTech[[#This Row],[Hour]:[Hour]]&gt;=Q$2),1,0)</f>
        <v>0</v>
      </c>
      <c r="R94" s="276" cm="1">
        <f t="array" ref="R94">IF(AND(R$2&lt;&gt;0,TblTech[[#This Row],[Hour]:[Hour]]&gt;=R$2),1,0)</f>
        <v>0</v>
      </c>
      <c r="S94" s="276" cm="1">
        <f t="array" ref="S94">IF(AND(S$2&lt;&gt;0,TblTech[[#This Row],[Hour]:[Hour]]&gt;=S$2),1,0)</f>
        <v>0</v>
      </c>
      <c r="T94" s="276" cm="1">
        <f t="array" ref="T94">IF(AND(T$2&lt;&gt;0,TblTech[[#This Row],[Hour]:[Hour]]&gt;=T$2),1,0)</f>
        <v>0</v>
      </c>
      <c r="U94" s="276" cm="1">
        <f t="array" ref="U94">IF(AND(U$2&lt;&gt;0,TblTech[[#This Row],[Hour]:[Hour]]&gt;=U$2),1,0)</f>
        <v>0</v>
      </c>
      <c r="V94" s="276" cm="1">
        <f t="array" ref="V94">IF(AND(V$2&lt;&gt;0,TblTech[[#This Row],[Hour]:[Hour]]&gt;=V$2),1,0)</f>
        <v>0</v>
      </c>
      <c r="W94" s="276" cm="1">
        <f t="array" ref="W94">IF(AND(W$2&lt;&gt;0,TblTech[[#This Row],[Hour]:[Hour]]&gt;=W$2),1,0)</f>
        <v>0</v>
      </c>
      <c r="X94" s="276" cm="1">
        <f t="array" ref="X94">IF(AND(X$2&lt;&gt;0,TblTech[[#This Row],[Hour]:[Hour]]&gt;=X$2),1,0)</f>
        <v>0</v>
      </c>
      <c r="Y94" s="276" cm="1">
        <f t="array" ref="Y94">IF(AND(Y$2&lt;&gt;0,TblTech[[#This Row],[Hour]:[Hour]]&gt;=Y$2),1,0)</f>
        <v>0</v>
      </c>
      <c r="Z94" s="276" cm="1">
        <f t="array" ref="Z94">IF(AND(Z$2&lt;&gt;0,TblTech[[#This Row],[Hour]:[Hour]]&gt;=Z$2),1,0)</f>
        <v>0</v>
      </c>
      <c r="AA94" s="276" cm="1">
        <f t="array" ref="AA94">IF(AND(AA$2&lt;&gt;0,TblTech[[#This Row],[Hour]:[Hour]]&gt;=AA$2),1,0)</f>
        <v>0</v>
      </c>
      <c r="AB94" s="276" cm="1">
        <f t="array" ref="AB94">IF(AND(AB$2&lt;&gt;0,TblTech[[#This Row],[Hour]:[Hour]]&gt;=AB$2),1,0)</f>
        <v>0</v>
      </c>
      <c r="AC94" s="276" cm="1">
        <f t="array" ref="AC94">IF(AND(AC$2&lt;&gt;0,TblTech[[#This Row],[Hour]:[Hour]]&gt;=AC$2),1,0)</f>
        <v>0</v>
      </c>
      <c r="AD94" s="276" cm="1">
        <f t="array" ref="AD94">IF(AND(AD$2&lt;&gt;0,TblTech[[#This Row],[Hour]:[Hour]]&gt;=AD$2),1,0)</f>
        <v>0</v>
      </c>
      <c r="AE94" s="276" cm="1">
        <f t="array" ref="AE94">IF(AND(AE$2&lt;&gt;0,TblTech[[#This Row],[Hour]:[Hour]]&gt;=AE$2),1,0)</f>
        <v>0</v>
      </c>
      <c r="AF94" s="276" cm="1">
        <f t="array" ref="AF94">IF(AND(AF$2&lt;&gt;0,TblTech[[#This Row],[Hour]:[Hour]]&gt;=AF$2),1,0)</f>
        <v>0</v>
      </c>
      <c r="AG94" s="276" cm="1">
        <f t="array" ref="AG94">IF(AND(AG$2&lt;&gt;0,TblTech[[#This Row],[Hour]:[Hour]]&gt;=AG$2),1,0)</f>
        <v>0</v>
      </c>
      <c r="AH94" s="276" cm="1">
        <f t="array" ref="AH94">IF(AND(AH$2&lt;&gt;0,TblTech[[#This Row],[Hour]:[Hour]]&gt;=AH$2),1,0)</f>
        <v>0</v>
      </c>
      <c r="AI94" s="276" cm="1">
        <f t="array" ref="AI94">IF(AND(AI$2&lt;&gt;0,TblTech[[#This Row],[Hour]:[Hour]]&gt;=AI$2),1,0)</f>
        <v>0</v>
      </c>
      <c r="AJ94" s="276" cm="1">
        <f t="array" ref="AJ94">IF(AND(AJ$2&lt;&gt;0,TblTech[[#This Row],[Hour]:[Hour]]&gt;=AJ$2),1,0)</f>
        <v>0</v>
      </c>
      <c r="AK94" s="276" cm="1">
        <f t="array" ref="AK94">IF(AND(AK$2&lt;&gt;0,TblTech[[#This Row],[Hour]:[Hour]]&gt;=AK$2),1,0)</f>
        <v>0</v>
      </c>
      <c r="AL94" s="276" cm="1">
        <f t="array" ref="AL94">IF(AND(AL$2&lt;&gt;0,TblTech[[#This Row],[Hour]:[Hour]]&gt;=AL$2),1,0)</f>
        <v>0</v>
      </c>
      <c r="AM94" s="276" cm="1">
        <f t="array" ref="AM94">IF(AND(AM$2&lt;&gt;0,TblTech[[#This Row],[Hour]:[Hour]]&gt;=AM$2),1,0)</f>
        <v>0</v>
      </c>
      <c r="AN94" s="276" cm="1">
        <f t="array" ref="AN94">IF(AND(AN$2&lt;&gt;0,TblTech[[#This Row],[Hour]:[Hour]]&gt;=AN$2),1,0)</f>
        <v>0</v>
      </c>
      <c r="AO94" s="276" cm="1">
        <f t="array" ref="AO94">IF(AND(AO$2&lt;&gt;0,TblTech[[#This Row],[Hour]:[Hour]]&gt;=AO$2),1,0)</f>
        <v>0</v>
      </c>
      <c r="AP94" s="276" cm="1">
        <f t="array" ref="AP94">IF(AND(AP$2&lt;&gt;0,TblTech[[#This Row],[Hour]:[Hour]]&gt;=AP$2),1,0)</f>
        <v>0</v>
      </c>
      <c r="AQ94" s="276" cm="1">
        <f t="array" ref="AQ94">IF(AND(AQ$2&lt;&gt;0,TblTech[[#This Row],[Hour]:[Hour]]&gt;=AQ$2),1,0)</f>
        <v>0</v>
      </c>
      <c r="AR94" s="276" cm="1">
        <f t="array" ref="AR94">IF(AND(AR$2&lt;&gt;0,TblTech[[#This Row],[Hour]:[Hour]]&gt;=AR$2),1,0)</f>
        <v>0</v>
      </c>
      <c r="AS94" s="276" cm="1">
        <f t="array" ref="AS94">IF(AND(AS$2&lt;&gt;0,TblTech[[#This Row],[Hour]:[Hour]]&gt;=AS$2),1,0)</f>
        <v>0</v>
      </c>
      <c r="AT94" s="276" cm="1">
        <f t="array" ref="AT94">IF(AND(AT$2&lt;&gt;0,TblTech[[#This Row],[Hour]:[Hour]]&gt;=AT$2),1,0)</f>
        <v>0</v>
      </c>
      <c r="AU94" s="276" cm="1">
        <f t="array" ref="AU94">IF(AND(AU$2&lt;&gt;0,TblTech[[#This Row],[Hour]:[Hour]]&gt;=AU$2),1,0)</f>
        <v>0</v>
      </c>
      <c r="AV94" s="276" cm="1">
        <f t="array" ref="AV94">IF(AND(AV$2&lt;&gt;0,TblTech[[#This Row],[Hour]:[Hour]]&gt;=AV$2),1,0)</f>
        <v>0</v>
      </c>
      <c r="AW94" s="276" cm="1">
        <f t="array" ref="AW94">IF(AND(AW$2&lt;&gt;0,TblTech[[#This Row],[Hour]:[Hour]]&gt;=AW$2),1,0)</f>
        <v>0</v>
      </c>
      <c r="AX94" s="276" cm="1">
        <f t="array" ref="AX94">IF(AND(AX$2&lt;&gt;0,TblTech[[#This Row],[Hour]:[Hour]]&gt;=AX$2),1,0)</f>
        <v>0</v>
      </c>
      <c r="AY94" s="276" cm="1">
        <f t="array" ref="AY94">IF(AND(AY$2&lt;&gt;0,TblTech[[#This Row],[Hour]:[Hour]]&gt;=AY$2),1,0)</f>
        <v>0</v>
      </c>
      <c r="AZ94" s="276" cm="1">
        <f t="array" ref="AZ94">IF(AND(AZ$2&lt;&gt;0,TblTech[[#This Row],[Hour]:[Hour]]&gt;=AZ$2),1,0)</f>
        <v>0</v>
      </c>
      <c r="BA94" s="276" cm="1">
        <f t="array" ref="BA94">IF(AND(BA$2&lt;&gt;0,TblTech[[#This Row],[Hour]:[Hour]]&gt;=BA$2),1,0)</f>
        <v>0</v>
      </c>
      <c r="BB94" s="276" cm="1">
        <f t="array" ref="BB94">IF(AND(BB$2&lt;&gt;0,TblTech[[#This Row],[Hour]:[Hour]]&gt;=BB$2),1,0)</f>
        <v>0</v>
      </c>
      <c r="BC94" s="276" cm="1">
        <f t="array" ref="BC94">IF(AND(BC$2&lt;&gt;0,TblTech[[#This Row],[Hour]:[Hour]]&gt;=BC$2),1,0)</f>
        <v>0</v>
      </c>
      <c r="BD94" s="276" cm="1">
        <f t="array" ref="BD94">IF(AND(BD$2&lt;&gt;0,TblTech[[#This Row],[Hour]:[Hour]]&gt;=BD$2),1,0)</f>
        <v>0</v>
      </c>
      <c r="BE94" s="276" cm="1">
        <f t="array" ref="BE94">IF(AND(BE$2&lt;&gt;0,TblTech[[#This Row],[Hour]:[Hour]]&gt;=BE$2),1,0)</f>
        <v>0</v>
      </c>
      <c r="BF94" s="276" cm="1">
        <f t="array" ref="BF94">IF(AND(BF$2&lt;&gt;0,TblTech[[#This Row],[Hour]:[Hour]]&gt;=BF$2),1,0)</f>
        <v>0</v>
      </c>
      <c r="BG94" s="276" cm="1">
        <f t="array" ref="BG94">IF(AND(BG$2&lt;&gt;0,TblTech[[#This Row],[Hour]:[Hour]]&gt;=BG$2),1,0)</f>
        <v>0</v>
      </c>
      <c r="BH94" s="276" cm="1">
        <f t="array" ref="BH94">IF(AND(BH$2&lt;&gt;0,TblTech[[#This Row],[Hour]:[Hour]]&gt;=BH$2),1,0)</f>
        <v>0</v>
      </c>
      <c r="BI94" s="276" cm="1">
        <f t="array" ref="BI94">IF(AND(BI$2&lt;&gt;0,TblTech[[#This Row],[Hour]:[Hour]]&gt;=BI$2),1,0)</f>
        <v>0</v>
      </c>
      <c r="BJ94" s="276" cm="1">
        <f t="array" ref="BJ94">IF(AND(BJ$2&lt;&gt;0,TblTech[[#This Row],[Hour]:[Hour]]&gt;=BJ$2),1,0)</f>
        <v>0</v>
      </c>
      <c r="BK94" s="276" cm="1">
        <f t="array" ref="BK94">IF(AND(BK$2&lt;&gt;0,TblTech[[#This Row],[Hour]:[Hour]]&gt;=BK$2),1,0)</f>
        <v>0</v>
      </c>
      <c r="BL94" s="276" cm="1">
        <f t="array" ref="BL94">IF(AND(BL$2&lt;&gt;0,TblTech[[#This Row],[Hour]:[Hour]]&gt;=BL$2),1,0)</f>
        <v>0</v>
      </c>
      <c r="BM94" s="276" cm="1">
        <f t="array" ref="BM94">IF(AND(BM$2&lt;&gt;0,TblTech[[#This Row],[Hour]:[Hour]]&gt;=BM$2),1,0)</f>
        <v>0</v>
      </c>
      <c r="BN94" s="276" cm="1">
        <f t="array" ref="BN94">IF(AND(BN$2&lt;&gt;0,TblTech[[#This Row],[Hour]:[Hour]]&gt;=BN$2),1,0)</f>
        <v>0</v>
      </c>
      <c r="BO94" s="276" cm="1">
        <f t="array" ref="BO94">IF(AND(BO$2&lt;&gt;0,TblTech[[#This Row],[Hour]:[Hour]]&gt;=BO$2),1,0)</f>
        <v>0</v>
      </c>
      <c r="BP94" s="276" cm="1">
        <f t="array" ref="BP94">IF(AND(BP$2&lt;&gt;0,TblTech[[#This Row],[Hour]:[Hour]]&gt;=BP$2),1,0)</f>
        <v>0</v>
      </c>
      <c r="BQ94" s="276" cm="1">
        <f t="array" ref="BQ94">IF(AND(BQ$2&lt;&gt;0,TblTech[[#This Row],[Hour]:[Hour]]&gt;=BQ$2),1,0)</f>
        <v>0</v>
      </c>
      <c r="BR94" s="276" cm="1">
        <f t="array" ref="BR94">IF(AND(BR$2&lt;&gt;0,TblTech[[#This Row],[Hour]:[Hour]]&gt;=BR$2),1,0)</f>
        <v>0</v>
      </c>
      <c r="BS94" s="276" cm="1">
        <f t="array" ref="BS94">IF(AND(BS$2&lt;&gt;0,TblTech[[#This Row],[Hour]:[Hour]]&gt;=BS$2),1,0)</f>
        <v>0</v>
      </c>
      <c r="BT94" s="276" cm="1">
        <f t="array" ref="BT94">IF(AND(BT$2&lt;&gt;0,TblTech[[#This Row],[Hour]:[Hour]]&gt;=BT$2),1,0)</f>
        <v>0</v>
      </c>
      <c r="BU94" s="276" cm="1">
        <f t="array" ref="BU94">IF(AND(BU$2&lt;&gt;0,TblTech[[#This Row],[Hour]:[Hour]]&gt;=BU$2),1,0)</f>
        <v>0</v>
      </c>
      <c r="BV94" s="276" cm="1">
        <f t="array" ref="BV94">IF(AND(BV$2&lt;&gt;0,TblTech[[#This Row],[Hour]:[Hour]]&gt;=BV$2),1,0)</f>
        <v>0</v>
      </c>
      <c r="BW94" s="276" cm="1">
        <f t="array" ref="BW94">IF(AND(BW$2&lt;&gt;0,TblTech[[#This Row],[Hour]:[Hour]]&gt;=BW$2),1,0)</f>
        <v>0</v>
      </c>
      <c r="BX94" s="276" cm="1">
        <f t="array" ref="BX94">IF(AND(BX$2&lt;&gt;0,TblTech[[#This Row],[Hour]:[Hour]]&gt;=BX$2),1,0)</f>
        <v>0</v>
      </c>
      <c r="BY94" s="276" cm="1">
        <f t="array" ref="BY94">IF(AND(BY$2&lt;&gt;0,TblTech[[#This Row],[Hour]:[Hour]]&gt;=BY$2),1,0)</f>
        <v>0</v>
      </c>
      <c r="BZ94" s="276" cm="1">
        <f t="array" ref="BZ94">IF(AND(BZ$2&lt;&gt;0,TblTech[[#This Row],[Hour]:[Hour]]&gt;=BZ$2),1,0)</f>
        <v>0</v>
      </c>
      <c r="CA94" s="377">
        <f>IFERROR(INDEX($H$4:$H$79,MATCH(INDEX(TblTech[[#Headers],[1-1]:[11-1]],1,MATCH(TblTech[[#This Row],[Hour]],$M$2:$BZ$2,0)),$G$4:$G$79,0)),)</f>
        <v>0</v>
      </c>
    </row>
    <row r="95" spans="1:79" x14ac:dyDescent="0.2">
      <c r="A95" s="268">
        <f>TblRezone[[#This Row],[Hour]]</f>
        <v>92</v>
      </c>
      <c r="B95" s="269">
        <f ca="1">TblExplore[[#This Row],[Land-DB]]</f>
        <v>110</v>
      </c>
      <c r="C95" s="270">
        <f ca="1">TblProd[[#This Row],[Techpoints]]</f>
        <v>0</v>
      </c>
      <c r="D95" s="270">
        <f ca="1">TblProd[[#This Row],[Required]]</f>
        <v>3750</v>
      </c>
      <c r="E95" s="279"/>
      <c r="F95" s="280"/>
      <c r="G95" s="273"/>
      <c r="H95" s="274"/>
      <c r="I95" s="274"/>
      <c r="J95" s="274"/>
      <c r="K95" s="93">
        <f ca="1">IF(TblTech[[#This Row],[Sum of tech]]&lt;&gt;OFFSET(TblTech[[#This Row],[Sum of tech]],-1,0),1,0)</f>
        <v>0</v>
      </c>
      <c r="L95" s="275">
        <f>COUNTIF(TblTech[[#This Row],[1-1]:[11-1]],1)</f>
        <v>0</v>
      </c>
      <c r="M95" s="276" cm="1">
        <f t="array" ref="M95">IF(AND(M$2&lt;&gt;0,TblTech[[#This Row],[Hour]:[Hour]]&gt;=M$2),1,0)</f>
        <v>0</v>
      </c>
      <c r="N95" s="276" cm="1">
        <f t="array" ref="N95">IF(AND(N$2&lt;&gt;0,TblTech[[#This Row],[Hour]:[Hour]]&gt;=N$2),1,0)</f>
        <v>0</v>
      </c>
      <c r="O95" s="276" cm="1">
        <f t="array" ref="O95">IF(AND(O$2&lt;&gt;0,TblTech[[#This Row],[Hour]:[Hour]]&gt;=O$2),1,0)</f>
        <v>0</v>
      </c>
      <c r="P95" s="276" cm="1">
        <f t="array" ref="P95">IF(AND(P$2&lt;&gt;0,TblTech[[#This Row],[Hour]:[Hour]]&gt;=P$2),1,0)</f>
        <v>0</v>
      </c>
      <c r="Q95" s="276" cm="1">
        <f t="array" ref="Q95">IF(AND(Q$2&lt;&gt;0,TblTech[[#This Row],[Hour]:[Hour]]&gt;=Q$2),1,0)</f>
        <v>0</v>
      </c>
      <c r="R95" s="276" cm="1">
        <f t="array" ref="R95">IF(AND(R$2&lt;&gt;0,TblTech[[#This Row],[Hour]:[Hour]]&gt;=R$2),1,0)</f>
        <v>0</v>
      </c>
      <c r="S95" s="276" cm="1">
        <f t="array" ref="S95">IF(AND(S$2&lt;&gt;0,TblTech[[#This Row],[Hour]:[Hour]]&gt;=S$2),1,0)</f>
        <v>0</v>
      </c>
      <c r="T95" s="276" cm="1">
        <f t="array" ref="T95">IF(AND(T$2&lt;&gt;0,TblTech[[#This Row],[Hour]:[Hour]]&gt;=T$2),1,0)</f>
        <v>0</v>
      </c>
      <c r="U95" s="276" cm="1">
        <f t="array" ref="U95">IF(AND(U$2&lt;&gt;0,TblTech[[#This Row],[Hour]:[Hour]]&gt;=U$2),1,0)</f>
        <v>0</v>
      </c>
      <c r="V95" s="276" cm="1">
        <f t="array" ref="V95">IF(AND(V$2&lt;&gt;0,TblTech[[#This Row],[Hour]:[Hour]]&gt;=V$2),1,0)</f>
        <v>0</v>
      </c>
      <c r="W95" s="276" cm="1">
        <f t="array" ref="W95">IF(AND(W$2&lt;&gt;0,TblTech[[#This Row],[Hour]:[Hour]]&gt;=W$2),1,0)</f>
        <v>0</v>
      </c>
      <c r="X95" s="276" cm="1">
        <f t="array" ref="X95">IF(AND(X$2&lt;&gt;0,TblTech[[#This Row],[Hour]:[Hour]]&gt;=X$2),1,0)</f>
        <v>0</v>
      </c>
      <c r="Y95" s="276" cm="1">
        <f t="array" ref="Y95">IF(AND(Y$2&lt;&gt;0,TblTech[[#This Row],[Hour]:[Hour]]&gt;=Y$2),1,0)</f>
        <v>0</v>
      </c>
      <c r="Z95" s="276" cm="1">
        <f t="array" ref="Z95">IF(AND(Z$2&lt;&gt;0,TblTech[[#This Row],[Hour]:[Hour]]&gt;=Z$2),1,0)</f>
        <v>0</v>
      </c>
      <c r="AA95" s="276" cm="1">
        <f t="array" ref="AA95">IF(AND(AA$2&lt;&gt;0,TblTech[[#This Row],[Hour]:[Hour]]&gt;=AA$2),1,0)</f>
        <v>0</v>
      </c>
      <c r="AB95" s="276" cm="1">
        <f t="array" ref="AB95">IF(AND(AB$2&lt;&gt;0,TblTech[[#This Row],[Hour]:[Hour]]&gt;=AB$2),1,0)</f>
        <v>0</v>
      </c>
      <c r="AC95" s="276" cm="1">
        <f t="array" ref="AC95">IF(AND(AC$2&lt;&gt;0,TblTech[[#This Row],[Hour]:[Hour]]&gt;=AC$2),1,0)</f>
        <v>0</v>
      </c>
      <c r="AD95" s="276" cm="1">
        <f t="array" ref="AD95">IF(AND(AD$2&lt;&gt;0,TblTech[[#This Row],[Hour]:[Hour]]&gt;=AD$2),1,0)</f>
        <v>0</v>
      </c>
      <c r="AE95" s="276" cm="1">
        <f t="array" ref="AE95">IF(AND(AE$2&lt;&gt;0,TblTech[[#This Row],[Hour]:[Hour]]&gt;=AE$2),1,0)</f>
        <v>0</v>
      </c>
      <c r="AF95" s="276" cm="1">
        <f t="array" ref="AF95">IF(AND(AF$2&lt;&gt;0,TblTech[[#This Row],[Hour]:[Hour]]&gt;=AF$2),1,0)</f>
        <v>0</v>
      </c>
      <c r="AG95" s="276" cm="1">
        <f t="array" ref="AG95">IF(AND(AG$2&lt;&gt;0,TblTech[[#This Row],[Hour]:[Hour]]&gt;=AG$2),1,0)</f>
        <v>0</v>
      </c>
      <c r="AH95" s="276" cm="1">
        <f t="array" ref="AH95">IF(AND(AH$2&lt;&gt;0,TblTech[[#This Row],[Hour]:[Hour]]&gt;=AH$2),1,0)</f>
        <v>0</v>
      </c>
      <c r="AI95" s="276" cm="1">
        <f t="array" ref="AI95">IF(AND(AI$2&lt;&gt;0,TblTech[[#This Row],[Hour]:[Hour]]&gt;=AI$2),1,0)</f>
        <v>0</v>
      </c>
      <c r="AJ95" s="276" cm="1">
        <f t="array" ref="AJ95">IF(AND(AJ$2&lt;&gt;0,TblTech[[#This Row],[Hour]:[Hour]]&gt;=AJ$2),1,0)</f>
        <v>0</v>
      </c>
      <c r="AK95" s="276" cm="1">
        <f t="array" ref="AK95">IF(AND(AK$2&lt;&gt;0,TblTech[[#This Row],[Hour]:[Hour]]&gt;=AK$2),1,0)</f>
        <v>0</v>
      </c>
      <c r="AL95" s="276" cm="1">
        <f t="array" ref="AL95">IF(AND(AL$2&lt;&gt;0,TblTech[[#This Row],[Hour]:[Hour]]&gt;=AL$2),1,0)</f>
        <v>0</v>
      </c>
      <c r="AM95" s="276" cm="1">
        <f t="array" ref="AM95">IF(AND(AM$2&lt;&gt;0,TblTech[[#This Row],[Hour]:[Hour]]&gt;=AM$2),1,0)</f>
        <v>0</v>
      </c>
      <c r="AN95" s="276" cm="1">
        <f t="array" ref="AN95">IF(AND(AN$2&lt;&gt;0,TblTech[[#This Row],[Hour]:[Hour]]&gt;=AN$2),1,0)</f>
        <v>0</v>
      </c>
      <c r="AO95" s="276" cm="1">
        <f t="array" ref="AO95">IF(AND(AO$2&lt;&gt;0,TblTech[[#This Row],[Hour]:[Hour]]&gt;=AO$2),1,0)</f>
        <v>0</v>
      </c>
      <c r="AP95" s="276" cm="1">
        <f t="array" ref="AP95">IF(AND(AP$2&lt;&gt;0,TblTech[[#This Row],[Hour]:[Hour]]&gt;=AP$2),1,0)</f>
        <v>0</v>
      </c>
      <c r="AQ95" s="276" cm="1">
        <f t="array" ref="AQ95">IF(AND(AQ$2&lt;&gt;0,TblTech[[#This Row],[Hour]:[Hour]]&gt;=AQ$2),1,0)</f>
        <v>0</v>
      </c>
      <c r="AR95" s="276" cm="1">
        <f t="array" ref="AR95">IF(AND(AR$2&lt;&gt;0,TblTech[[#This Row],[Hour]:[Hour]]&gt;=AR$2),1,0)</f>
        <v>0</v>
      </c>
      <c r="AS95" s="276" cm="1">
        <f t="array" ref="AS95">IF(AND(AS$2&lt;&gt;0,TblTech[[#This Row],[Hour]:[Hour]]&gt;=AS$2),1,0)</f>
        <v>0</v>
      </c>
      <c r="AT95" s="276" cm="1">
        <f t="array" ref="AT95">IF(AND(AT$2&lt;&gt;0,TblTech[[#This Row],[Hour]:[Hour]]&gt;=AT$2),1,0)</f>
        <v>0</v>
      </c>
      <c r="AU95" s="276" cm="1">
        <f t="array" ref="AU95">IF(AND(AU$2&lt;&gt;0,TblTech[[#This Row],[Hour]:[Hour]]&gt;=AU$2),1,0)</f>
        <v>0</v>
      </c>
      <c r="AV95" s="276" cm="1">
        <f t="array" ref="AV95">IF(AND(AV$2&lt;&gt;0,TblTech[[#This Row],[Hour]:[Hour]]&gt;=AV$2),1,0)</f>
        <v>0</v>
      </c>
      <c r="AW95" s="276" cm="1">
        <f t="array" ref="AW95">IF(AND(AW$2&lt;&gt;0,TblTech[[#This Row],[Hour]:[Hour]]&gt;=AW$2),1,0)</f>
        <v>0</v>
      </c>
      <c r="AX95" s="276" cm="1">
        <f t="array" ref="AX95">IF(AND(AX$2&lt;&gt;0,TblTech[[#This Row],[Hour]:[Hour]]&gt;=AX$2),1,0)</f>
        <v>0</v>
      </c>
      <c r="AY95" s="276" cm="1">
        <f t="array" ref="AY95">IF(AND(AY$2&lt;&gt;0,TblTech[[#This Row],[Hour]:[Hour]]&gt;=AY$2),1,0)</f>
        <v>0</v>
      </c>
      <c r="AZ95" s="276" cm="1">
        <f t="array" ref="AZ95">IF(AND(AZ$2&lt;&gt;0,TblTech[[#This Row],[Hour]:[Hour]]&gt;=AZ$2),1,0)</f>
        <v>0</v>
      </c>
      <c r="BA95" s="276" cm="1">
        <f t="array" ref="BA95">IF(AND(BA$2&lt;&gt;0,TblTech[[#This Row],[Hour]:[Hour]]&gt;=BA$2),1,0)</f>
        <v>0</v>
      </c>
      <c r="BB95" s="276" cm="1">
        <f t="array" ref="BB95">IF(AND(BB$2&lt;&gt;0,TblTech[[#This Row],[Hour]:[Hour]]&gt;=BB$2),1,0)</f>
        <v>0</v>
      </c>
      <c r="BC95" s="276" cm="1">
        <f t="array" ref="BC95">IF(AND(BC$2&lt;&gt;0,TblTech[[#This Row],[Hour]:[Hour]]&gt;=BC$2),1,0)</f>
        <v>0</v>
      </c>
      <c r="BD95" s="276" cm="1">
        <f t="array" ref="BD95">IF(AND(BD$2&lt;&gt;0,TblTech[[#This Row],[Hour]:[Hour]]&gt;=BD$2),1,0)</f>
        <v>0</v>
      </c>
      <c r="BE95" s="276" cm="1">
        <f t="array" ref="BE95">IF(AND(BE$2&lt;&gt;0,TblTech[[#This Row],[Hour]:[Hour]]&gt;=BE$2),1,0)</f>
        <v>0</v>
      </c>
      <c r="BF95" s="276" cm="1">
        <f t="array" ref="BF95">IF(AND(BF$2&lt;&gt;0,TblTech[[#This Row],[Hour]:[Hour]]&gt;=BF$2),1,0)</f>
        <v>0</v>
      </c>
      <c r="BG95" s="276" cm="1">
        <f t="array" ref="BG95">IF(AND(BG$2&lt;&gt;0,TblTech[[#This Row],[Hour]:[Hour]]&gt;=BG$2),1,0)</f>
        <v>0</v>
      </c>
      <c r="BH95" s="276" cm="1">
        <f t="array" ref="BH95">IF(AND(BH$2&lt;&gt;0,TblTech[[#This Row],[Hour]:[Hour]]&gt;=BH$2),1,0)</f>
        <v>0</v>
      </c>
      <c r="BI95" s="276" cm="1">
        <f t="array" ref="BI95">IF(AND(BI$2&lt;&gt;0,TblTech[[#This Row],[Hour]:[Hour]]&gt;=BI$2),1,0)</f>
        <v>0</v>
      </c>
      <c r="BJ95" s="276" cm="1">
        <f t="array" ref="BJ95">IF(AND(BJ$2&lt;&gt;0,TblTech[[#This Row],[Hour]:[Hour]]&gt;=BJ$2),1,0)</f>
        <v>0</v>
      </c>
      <c r="BK95" s="276" cm="1">
        <f t="array" ref="BK95">IF(AND(BK$2&lt;&gt;0,TblTech[[#This Row],[Hour]:[Hour]]&gt;=BK$2),1,0)</f>
        <v>0</v>
      </c>
      <c r="BL95" s="276" cm="1">
        <f t="array" ref="BL95">IF(AND(BL$2&lt;&gt;0,TblTech[[#This Row],[Hour]:[Hour]]&gt;=BL$2),1,0)</f>
        <v>0</v>
      </c>
      <c r="BM95" s="276" cm="1">
        <f t="array" ref="BM95">IF(AND(BM$2&lt;&gt;0,TblTech[[#This Row],[Hour]:[Hour]]&gt;=BM$2),1,0)</f>
        <v>0</v>
      </c>
      <c r="BN95" s="276" cm="1">
        <f t="array" ref="BN95">IF(AND(BN$2&lt;&gt;0,TblTech[[#This Row],[Hour]:[Hour]]&gt;=BN$2),1,0)</f>
        <v>0</v>
      </c>
      <c r="BO95" s="276" cm="1">
        <f t="array" ref="BO95">IF(AND(BO$2&lt;&gt;0,TblTech[[#This Row],[Hour]:[Hour]]&gt;=BO$2),1,0)</f>
        <v>0</v>
      </c>
      <c r="BP95" s="276" cm="1">
        <f t="array" ref="BP95">IF(AND(BP$2&lt;&gt;0,TblTech[[#This Row],[Hour]:[Hour]]&gt;=BP$2),1,0)</f>
        <v>0</v>
      </c>
      <c r="BQ95" s="276" cm="1">
        <f t="array" ref="BQ95">IF(AND(BQ$2&lt;&gt;0,TblTech[[#This Row],[Hour]:[Hour]]&gt;=BQ$2),1,0)</f>
        <v>0</v>
      </c>
      <c r="BR95" s="276" cm="1">
        <f t="array" ref="BR95">IF(AND(BR$2&lt;&gt;0,TblTech[[#This Row],[Hour]:[Hour]]&gt;=BR$2),1,0)</f>
        <v>0</v>
      </c>
      <c r="BS95" s="276" cm="1">
        <f t="array" ref="BS95">IF(AND(BS$2&lt;&gt;0,TblTech[[#This Row],[Hour]:[Hour]]&gt;=BS$2),1,0)</f>
        <v>0</v>
      </c>
      <c r="BT95" s="276" cm="1">
        <f t="array" ref="BT95">IF(AND(BT$2&lt;&gt;0,TblTech[[#This Row],[Hour]:[Hour]]&gt;=BT$2),1,0)</f>
        <v>0</v>
      </c>
      <c r="BU95" s="276" cm="1">
        <f t="array" ref="BU95">IF(AND(BU$2&lt;&gt;0,TblTech[[#This Row],[Hour]:[Hour]]&gt;=BU$2),1,0)</f>
        <v>0</v>
      </c>
      <c r="BV95" s="276" cm="1">
        <f t="array" ref="BV95">IF(AND(BV$2&lt;&gt;0,TblTech[[#This Row],[Hour]:[Hour]]&gt;=BV$2),1,0)</f>
        <v>0</v>
      </c>
      <c r="BW95" s="276" cm="1">
        <f t="array" ref="BW95">IF(AND(BW$2&lt;&gt;0,TblTech[[#This Row],[Hour]:[Hour]]&gt;=BW$2),1,0)</f>
        <v>0</v>
      </c>
      <c r="BX95" s="276" cm="1">
        <f t="array" ref="BX95">IF(AND(BX$2&lt;&gt;0,TblTech[[#This Row],[Hour]:[Hour]]&gt;=BX$2),1,0)</f>
        <v>0</v>
      </c>
      <c r="BY95" s="276" cm="1">
        <f t="array" ref="BY95">IF(AND(BY$2&lt;&gt;0,TblTech[[#This Row],[Hour]:[Hour]]&gt;=BY$2),1,0)</f>
        <v>0</v>
      </c>
      <c r="BZ95" s="276" cm="1">
        <f t="array" ref="BZ95">IF(AND(BZ$2&lt;&gt;0,TblTech[[#This Row],[Hour]:[Hour]]&gt;=BZ$2),1,0)</f>
        <v>0</v>
      </c>
      <c r="CA95" s="377">
        <f>IFERROR(INDEX($H$4:$H$79,MATCH(INDEX(TblTech[[#Headers],[1-1]:[11-1]],1,MATCH(TblTech[[#This Row],[Hour]],$M$2:$BZ$2,0)),$G$4:$G$79,0)),)</f>
        <v>0</v>
      </c>
    </row>
    <row r="96" spans="1:79" x14ac:dyDescent="0.2">
      <c r="A96" s="268">
        <f>TblRezone[[#This Row],[Hour]]</f>
        <v>93</v>
      </c>
      <c r="B96" s="269">
        <f ca="1">TblExplore[[#This Row],[Land-DB]]</f>
        <v>110</v>
      </c>
      <c r="C96" s="270">
        <f ca="1">TblProd[[#This Row],[Techpoints]]</f>
        <v>0</v>
      </c>
      <c r="D96" s="270">
        <f ca="1">TblProd[[#This Row],[Required]]</f>
        <v>3750</v>
      </c>
      <c r="E96" s="279"/>
      <c r="F96" s="280"/>
      <c r="G96" s="273"/>
      <c r="H96" s="274"/>
      <c r="I96" s="274"/>
      <c r="J96" s="274"/>
      <c r="K96" s="93">
        <f ca="1">IF(TblTech[[#This Row],[Sum of tech]]&lt;&gt;OFFSET(TblTech[[#This Row],[Sum of tech]],-1,0),1,0)</f>
        <v>0</v>
      </c>
      <c r="L96" s="275">
        <f>COUNTIF(TblTech[[#This Row],[1-1]:[11-1]],1)</f>
        <v>0</v>
      </c>
      <c r="M96" s="276" cm="1">
        <f t="array" ref="M96">IF(AND(M$2&lt;&gt;0,TblTech[[#This Row],[Hour]:[Hour]]&gt;=M$2),1,0)</f>
        <v>0</v>
      </c>
      <c r="N96" s="276" cm="1">
        <f t="array" ref="N96">IF(AND(N$2&lt;&gt;0,TblTech[[#This Row],[Hour]:[Hour]]&gt;=N$2),1,0)</f>
        <v>0</v>
      </c>
      <c r="O96" s="276" cm="1">
        <f t="array" ref="O96">IF(AND(O$2&lt;&gt;0,TblTech[[#This Row],[Hour]:[Hour]]&gt;=O$2),1,0)</f>
        <v>0</v>
      </c>
      <c r="P96" s="276" cm="1">
        <f t="array" ref="P96">IF(AND(P$2&lt;&gt;0,TblTech[[#This Row],[Hour]:[Hour]]&gt;=P$2),1,0)</f>
        <v>0</v>
      </c>
      <c r="Q96" s="276" cm="1">
        <f t="array" ref="Q96">IF(AND(Q$2&lt;&gt;0,TblTech[[#This Row],[Hour]:[Hour]]&gt;=Q$2),1,0)</f>
        <v>0</v>
      </c>
      <c r="R96" s="276" cm="1">
        <f t="array" ref="R96">IF(AND(R$2&lt;&gt;0,TblTech[[#This Row],[Hour]:[Hour]]&gt;=R$2),1,0)</f>
        <v>0</v>
      </c>
      <c r="S96" s="276" cm="1">
        <f t="array" ref="S96">IF(AND(S$2&lt;&gt;0,TblTech[[#This Row],[Hour]:[Hour]]&gt;=S$2),1,0)</f>
        <v>0</v>
      </c>
      <c r="T96" s="276" cm="1">
        <f t="array" ref="T96">IF(AND(T$2&lt;&gt;0,TblTech[[#This Row],[Hour]:[Hour]]&gt;=T$2),1,0)</f>
        <v>0</v>
      </c>
      <c r="U96" s="276" cm="1">
        <f t="array" ref="U96">IF(AND(U$2&lt;&gt;0,TblTech[[#This Row],[Hour]:[Hour]]&gt;=U$2),1,0)</f>
        <v>0</v>
      </c>
      <c r="V96" s="276" cm="1">
        <f t="array" ref="V96">IF(AND(V$2&lt;&gt;0,TblTech[[#This Row],[Hour]:[Hour]]&gt;=V$2),1,0)</f>
        <v>0</v>
      </c>
      <c r="W96" s="276" cm="1">
        <f t="array" ref="W96">IF(AND(W$2&lt;&gt;0,TblTech[[#This Row],[Hour]:[Hour]]&gt;=W$2),1,0)</f>
        <v>0</v>
      </c>
      <c r="X96" s="276" cm="1">
        <f t="array" ref="X96">IF(AND(X$2&lt;&gt;0,TblTech[[#This Row],[Hour]:[Hour]]&gt;=X$2),1,0)</f>
        <v>0</v>
      </c>
      <c r="Y96" s="276" cm="1">
        <f t="array" ref="Y96">IF(AND(Y$2&lt;&gt;0,TblTech[[#This Row],[Hour]:[Hour]]&gt;=Y$2),1,0)</f>
        <v>0</v>
      </c>
      <c r="Z96" s="276" cm="1">
        <f t="array" ref="Z96">IF(AND(Z$2&lt;&gt;0,TblTech[[#This Row],[Hour]:[Hour]]&gt;=Z$2),1,0)</f>
        <v>0</v>
      </c>
      <c r="AA96" s="276" cm="1">
        <f t="array" ref="AA96">IF(AND(AA$2&lt;&gt;0,TblTech[[#This Row],[Hour]:[Hour]]&gt;=AA$2),1,0)</f>
        <v>0</v>
      </c>
      <c r="AB96" s="276" cm="1">
        <f t="array" ref="AB96">IF(AND(AB$2&lt;&gt;0,TblTech[[#This Row],[Hour]:[Hour]]&gt;=AB$2),1,0)</f>
        <v>0</v>
      </c>
      <c r="AC96" s="276" cm="1">
        <f t="array" ref="AC96">IF(AND(AC$2&lt;&gt;0,TblTech[[#This Row],[Hour]:[Hour]]&gt;=AC$2),1,0)</f>
        <v>0</v>
      </c>
      <c r="AD96" s="276" cm="1">
        <f t="array" ref="AD96">IF(AND(AD$2&lt;&gt;0,TblTech[[#This Row],[Hour]:[Hour]]&gt;=AD$2),1,0)</f>
        <v>0</v>
      </c>
      <c r="AE96" s="276" cm="1">
        <f t="array" ref="AE96">IF(AND(AE$2&lt;&gt;0,TblTech[[#This Row],[Hour]:[Hour]]&gt;=AE$2),1,0)</f>
        <v>0</v>
      </c>
      <c r="AF96" s="276" cm="1">
        <f t="array" ref="AF96">IF(AND(AF$2&lt;&gt;0,TblTech[[#This Row],[Hour]:[Hour]]&gt;=AF$2),1,0)</f>
        <v>0</v>
      </c>
      <c r="AG96" s="276" cm="1">
        <f t="array" ref="AG96">IF(AND(AG$2&lt;&gt;0,TblTech[[#This Row],[Hour]:[Hour]]&gt;=AG$2),1,0)</f>
        <v>0</v>
      </c>
      <c r="AH96" s="276" cm="1">
        <f t="array" ref="AH96">IF(AND(AH$2&lt;&gt;0,TblTech[[#This Row],[Hour]:[Hour]]&gt;=AH$2),1,0)</f>
        <v>0</v>
      </c>
      <c r="AI96" s="276" cm="1">
        <f t="array" ref="AI96">IF(AND(AI$2&lt;&gt;0,TblTech[[#This Row],[Hour]:[Hour]]&gt;=AI$2),1,0)</f>
        <v>0</v>
      </c>
      <c r="AJ96" s="276" cm="1">
        <f t="array" ref="AJ96">IF(AND(AJ$2&lt;&gt;0,TblTech[[#This Row],[Hour]:[Hour]]&gt;=AJ$2),1,0)</f>
        <v>0</v>
      </c>
      <c r="AK96" s="276" cm="1">
        <f t="array" ref="AK96">IF(AND(AK$2&lt;&gt;0,TblTech[[#This Row],[Hour]:[Hour]]&gt;=AK$2),1,0)</f>
        <v>0</v>
      </c>
      <c r="AL96" s="276" cm="1">
        <f t="array" ref="AL96">IF(AND(AL$2&lt;&gt;0,TblTech[[#This Row],[Hour]:[Hour]]&gt;=AL$2),1,0)</f>
        <v>0</v>
      </c>
      <c r="AM96" s="276" cm="1">
        <f t="array" ref="AM96">IF(AND(AM$2&lt;&gt;0,TblTech[[#This Row],[Hour]:[Hour]]&gt;=AM$2),1,0)</f>
        <v>0</v>
      </c>
      <c r="AN96" s="276" cm="1">
        <f t="array" ref="AN96">IF(AND(AN$2&lt;&gt;0,TblTech[[#This Row],[Hour]:[Hour]]&gt;=AN$2),1,0)</f>
        <v>0</v>
      </c>
      <c r="AO96" s="276" cm="1">
        <f t="array" ref="AO96">IF(AND(AO$2&lt;&gt;0,TblTech[[#This Row],[Hour]:[Hour]]&gt;=AO$2),1,0)</f>
        <v>0</v>
      </c>
      <c r="AP96" s="276" cm="1">
        <f t="array" ref="AP96">IF(AND(AP$2&lt;&gt;0,TblTech[[#This Row],[Hour]:[Hour]]&gt;=AP$2),1,0)</f>
        <v>0</v>
      </c>
      <c r="AQ96" s="276" cm="1">
        <f t="array" ref="AQ96">IF(AND(AQ$2&lt;&gt;0,TblTech[[#This Row],[Hour]:[Hour]]&gt;=AQ$2),1,0)</f>
        <v>0</v>
      </c>
      <c r="AR96" s="276" cm="1">
        <f t="array" ref="AR96">IF(AND(AR$2&lt;&gt;0,TblTech[[#This Row],[Hour]:[Hour]]&gt;=AR$2),1,0)</f>
        <v>0</v>
      </c>
      <c r="AS96" s="276" cm="1">
        <f t="array" ref="AS96">IF(AND(AS$2&lt;&gt;0,TblTech[[#This Row],[Hour]:[Hour]]&gt;=AS$2),1,0)</f>
        <v>0</v>
      </c>
      <c r="AT96" s="276" cm="1">
        <f t="array" ref="AT96">IF(AND(AT$2&lt;&gt;0,TblTech[[#This Row],[Hour]:[Hour]]&gt;=AT$2),1,0)</f>
        <v>0</v>
      </c>
      <c r="AU96" s="276" cm="1">
        <f t="array" ref="AU96">IF(AND(AU$2&lt;&gt;0,TblTech[[#This Row],[Hour]:[Hour]]&gt;=AU$2),1,0)</f>
        <v>0</v>
      </c>
      <c r="AV96" s="276" cm="1">
        <f t="array" ref="AV96">IF(AND(AV$2&lt;&gt;0,TblTech[[#This Row],[Hour]:[Hour]]&gt;=AV$2),1,0)</f>
        <v>0</v>
      </c>
      <c r="AW96" s="276" cm="1">
        <f t="array" ref="AW96">IF(AND(AW$2&lt;&gt;0,TblTech[[#This Row],[Hour]:[Hour]]&gt;=AW$2),1,0)</f>
        <v>0</v>
      </c>
      <c r="AX96" s="276" cm="1">
        <f t="array" ref="AX96">IF(AND(AX$2&lt;&gt;0,TblTech[[#This Row],[Hour]:[Hour]]&gt;=AX$2),1,0)</f>
        <v>0</v>
      </c>
      <c r="AY96" s="276" cm="1">
        <f t="array" ref="AY96">IF(AND(AY$2&lt;&gt;0,TblTech[[#This Row],[Hour]:[Hour]]&gt;=AY$2),1,0)</f>
        <v>0</v>
      </c>
      <c r="AZ96" s="276" cm="1">
        <f t="array" ref="AZ96">IF(AND(AZ$2&lt;&gt;0,TblTech[[#This Row],[Hour]:[Hour]]&gt;=AZ$2),1,0)</f>
        <v>0</v>
      </c>
      <c r="BA96" s="276" cm="1">
        <f t="array" ref="BA96">IF(AND(BA$2&lt;&gt;0,TblTech[[#This Row],[Hour]:[Hour]]&gt;=BA$2),1,0)</f>
        <v>0</v>
      </c>
      <c r="BB96" s="276" cm="1">
        <f t="array" ref="BB96">IF(AND(BB$2&lt;&gt;0,TblTech[[#This Row],[Hour]:[Hour]]&gt;=BB$2),1,0)</f>
        <v>0</v>
      </c>
      <c r="BC96" s="276" cm="1">
        <f t="array" ref="BC96">IF(AND(BC$2&lt;&gt;0,TblTech[[#This Row],[Hour]:[Hour]]&gt;=BC$2),1,0)</f>
        <v>0</v>
      </c>
      <c r="BD96" s="276" cm="1">
        <f t="array" ref="BD96">IF(AND(BD$2&lt;&gt;0,TblTech[[#This Row],[Hour]:[Hour]]&gt;=BD$2),1,0)</f>
        <v>0</v>
      </c>
      <c r="BE96" s="276" cm="1">
        <f t="array" ref="BE96">IF(AND(BE$2&lt;&gt;0,TblTech[[#This Row],[Hour]:[Hour]]&gt;=BE$2),1,0)</f>
        <v>0</v>
      </c>
      <c r="BF96" s="276" cm="1">
        <f t="array" ref="BF96">IF(AND(BF$2&lt;&gt;0,TblTech[[#This Row],[Hour]:[Hour]]&gt;=BF$2),1,0)</f>
        <v>0</v>
      </c>
      <c r="BG96" s="276" cm="1">
        <f t="array" ref="BG96">IF(AND(BG$2&lt;&gt;0,TblTech[[#This Row],[Hour]:[Hour]]&gt;=BG$2),1,0)</f>
        <v>0</v>
      </c>
      <c r="BH96" s="276" cm="1">
        <f t="array" ref="BH96">IF(AND(BH$2&lt;&gt;0,TblTech[[#This Row],[Hour]:[Hour]]&gt;=BH$2),1,0)</f>
        <v>0</v>
      </c>
      <c r="BI96" s="276" cm="1">
        <f t="array" ref="BI96">IF(AND(BI$2&lt;&gt;0,TblTech[[#This Row],[Hour]:[Hour]]&gt;=BI$2),1,0)</f>
        <v>0</v>
      </c>
      <c r="BJ96" s="276" cm="1">
        <f t="array" ref="BJ96">IF(AND(BJ$2&lt;&gt;0,TblTech[[#This Row],[Hour]:[Hour]]&gt;=BJ$2),1,0)</f>
        <v>0</v>
      </c>
      <c r="BK96" s="276" cm="1">
        <f t="array" ref="BK96">IF(AND(BK$2&lt;&gt;0,TblTech[[#This Row],[Hour]:[Hour]]&gt;=BK$2),1,0)</f>
        <v>0</v>
      </c>
      <c r="BL96" s="276" cm="1">
        <f t="array" ref="BL96">IF(AND(BL$2&lt;&gt;0,TblTech[[#This Row],[Hour]:[Hour]]&gt;=BL$2),1,0)</f>
        <v>0</v>
      </c>
      <c r="BM96" s="276" cm="1">
        <f t="array" ref="BM96">IF(AND(BM$2&lt;&gt;0,TblTech[[#This Row],[Hour]:[Hour]]&gt;=BM$2),1,0)</f>
        <v>0</v>
      </c>
      <c r="BN96" s="276" cm="1">
        <f t="array" ref="BN96">IF(AND(BN$2&lt;&gt;0,TblTech[[#This Row],[Hour]:[Hour]]&gt;=BN$2),1,0)</f>
        <v>0</v>
      </c>
      <c r="BO96" s="276" cm="1">
        <f t="array" ref="BO96">IF(AND(BO$2&lt;&gt;0,TblTech[[#This Row],[Hour]:[Hour]]&gt;=BO$2),1,0)</f>
        <v>0</v>
      </c>
      <c r="BP96" s="276" cm="1">
        <f t="array" ref="BP96">IF(AND(BP$2&lt;&gt;0,TblTech[[#This Row],[Hour]:[Hour]]&gt;=BP$2),1,0)</f>
        <v>0</v>
      </c>
      <c r="BQ96" s="276" cm="1">
        <f t="array" ref="BQ96">IF(AND(BQ$2&lt;&gt;0,TblTech[[#This Row],[Hour]:[Hour]]&gt;=BQ$2),1,0)</f>
        <v>0</v>
      </c>
      <c r="BR96" s="276" cm="1">
        <f t="array" ref="BR96">IF(AND(BR$2&lt;&gt;0,TblTech[[#This Row],[Hour]:[Hour]]&gt;=BR$2),1,0)</f>
        <v>0</v>
      </c>
      <c r="BS96" s="276" cm="1">
        <f t="array" ref="BS96">IF(AND(BS$2&lt;&gt;0,TblTech[[#This Row],[Hour]:[Hour]]&gt;=BS$2),1,0)</f>
        <v>0</v>
      </c>
      <c r="BT96" s="276" cm="1">
        <f t="array" ref="BT96">IF(AND(BT$2&lt;&gt;0,TblTech[[#This Row],[Hour]:[Hour]]&gt;=BT$2),1,0)</f>
        <v>0</v>
      </c>
      <c r="BU96" s="276" cm="1">
        <f t="array" ref="BU96">IF(AND(BU$2&lt;&gt;0,TblTech[[#This Row],[Hour]:[Hour]]&gt;=BU$2),1,0)</f>
        <v>0</v>
      </c>
      <c r="BV96" s="276" cm="1">
        <f t="array" ref="BV96">IF(AND(BV$2&lt;&gt;0,TblTech[[#This Row],[Hour]:[Hour]]&gt;=BV$2),1,0)</f>
        <v>0</v>
      </c>
      <c r="BW96" s="276" cm="1">
        <f t="array" ref="BW96">IF(AND(BW$2&lt;&gt;0,TblTech[[#This Row],[Hour]:[Hour]]&gt;=BW$2),1,0)</f>
        <v>0</v>
      </c>
      <c r="BX96" s="276" cm="1">
        <f t="array" ref="BX96">IF(AND(BX$2&lt;&gt;0,TblTech[[#This Row],[Hour]:[Hour]]&gt;=BX$2),1,0)</f>
        <v>0</v>
      </c>
      <c r="BY96" s="276" cm="1">
        <f t="array" ref="BY96">IF(AND(BY$2&lt;&gt;0,TblTech[[#This Row],[Hour]:[Hour]]&gt;=BY$2),1,0)</f>
        <v>0</v>
      </c>
      <c r="BZ96" s="276" cm="1">
        <f t="array" ref="BZ96">IF(AND(BZ$2&lt;&gt;0,TblTech[[#This Row],[Hour]:[Hour]]&gt;=BZ$2),1,0)</f>
        <v>0</v>
      </c>
      <c r="CA96" s="377">
        <f>IFERROR(INDEX($H$4:$H$79,MATCH(INDEX(TblTech[[#Headers],[1-1]:[11-1]],1,MATCH(TblTech[[#This Row],[Hour]],$M$2:$BZ$2,0)),$G$4:$G$79,0)),)</f>
        <v>0</v>
      </c>
    </row>
    <row r="97" spans="1:79" x14ac:dyDescent="0.2">
      <c r="A97" s="268">
        <f>TblRezone[[#This Row],[Hour]]</f>
        <v>94</v>
      </c>
      <c r="B97" s="269">
        <f ca="1">TblExplore[[#This Row],[Land-DB]]</f>
        <v>110</v>
      </c>
      <c r="C97" s="270">
        <f ca="1">TblProd[[#This Row],[Techpoints]]</f>
        <v>0</v>
      </c>
      <c r="D97" s="270">
        <f ca="1">TblProd[[#This Row],[Required]]</f>
        <v>3750</v>
      </c>
      <c r="E97" s="279"/>
      <c r="F97" s="280"/>
      <c r="G97" s="273"/>
      <c r="H97" s="274"/>
      <c r="I97" s="274"/>
      <c r="J97" s="274"/>
      <c r="K97" s="93">
        <f ca="1">IF(TblTech[[#This Row],[Sum of tech]]&lt;&gt;OFFSET(TblTech[[#This Row],[Sum of tech]],-1,0),1,0)</f>
        <v>0</v>
      </c>
      <c r="L97" s="275">
        <f>COUNTIF(TblTech[[#This Row],[1-1]:[11-1]],1)</f>
        <v>0</v>
      </c>
      <c r="M97" s="276" cm="1">
        <f t="array" ref="M97">IF(AND(M$2&lt;&gt;0,TblTech[[#This Row],[Hour]:[Hour]]&gt;=M$2),1,0)</f>
        <v>0</v>
      </c>
      <c r="N97" s="276" cm="1">
        <f t="array" ref="N97">IF(AND(N$2&lt;&gt;0,TblTech[[#This Row],[Hour]:[Hour]]&gt;=N$2),1,0)</f>
        <v>0</v>
      </c>
      <c r="O97" s="276" cm="1">
        <f t="array" ref="O97">IF(AND(O$2&lt;&gt;0,TblTech[[#This Row],[Hour]:[Hour]]&gt;=O$2),1,0)</f>
        <v>0</v>
      </c>
      <c r="P97" s="276" cm="1">
        <f t="array" ref="P97">IF(AND(P$2&lt;&gt;0,TblTech[[#This Row],[Hour]:[Hour]]&gt;=P$2),1,0)</f>
        <v>0</v>
      </c>
      <c r="Q97" s="276" cm="1">
        <f t="array" ref="Q97">IF(AND(Q$2&lt;&gt;0,TblTech[[#This Row],[Hour]:[Hour]]&gt;=Q$2),1,0)</f>
        <v>0</v>
      </c>
      <c r="R97" s="276" cm="1">
        <f t="array" ref="R97">IF(AND(R$2&lt;&gt;0,TblTech[[#This Row],[Hour]:[Hour]]&gt;=R$2),1,0)</f>
        <v>0</v>
      </c>
      <c r="S97" s="276" cm="1">
        <f t="array" ref="S97">IF(AND(S$2&lt;&gt;0,TblTech[[#This Row],[Hour]:[Hour]]&gt;=S$2),1,0)</f>
        <v>0</v>
      </c>
      <c r="T97" s="276" cm="1">
        <f t="array" ref="T97">IF(AND(T$2&lt;&gt;0,TblTech[[#This Row],[Hour]:[Hour]]&gt;=T$2),1,0)</f>
        <v>0</v>
      </c>
      <c r="U97" s="276" cm="1">
        <f t="array" ref="U97">IF(AND(U$2&lt;&gt;0,TblTech[[#This Row],[Hour]:[Hour]]&gt;=U$2),1,0)</f>
        <v>0</v>
      </c>
      <c r="V97" s="276" cm="1">
        <f t="array" ref="V97">IF(AND(V$2&lt;&gt;0,TblTech[[#This Row],[Hour]:[Hour]]&gt;=V$2),1,0)</f>
        <v>0</v>
      </c>
      <c r="W97" s="276" cm="1">
        <f t="array" ref="W97">IF(AND(W$2&lt;&gt;0,TblTech[[#This Row],[Hour]:[Hour]]&gt;=W$2),1,0)</f>
        <v>0</v>
      </c>
      <c r="X97" s="276" cm="1">
        <f t="array" ref="X97">IF(AND(X$2&lt;&gt;0,TblTech[[#This Row],[Hour]:[Hour]]&gt;=X$2),1,0)</f>
        <v>0</v>
      </c>
      <c r="Y97" s="276" cm="1">
        <f t="array" ref="Y97">IF(AND(Y$2&lt;&gt;0,TblTech[[#This Row],[Hour]:[Hour]]&gt;=Y$2),1,0)</f>
        <v>0</v>
      </c>
      <c r="Z97" s="276" cm="1">
        <f t="array" ref="Z97">IF(AND(Z$2&lt;&gt;0,TblTech[[#This Row],[Hour]:[Hour]]&gt;=Z$2),1,0)</f>
        <v>0</v>
      </c>
      <c r="AA97" s="276" cm="1">
        <f t="array" ref="AA97">IF(AND(AA$2&lt;&gt;0,TblTech[[#This Row],[Hour]:[Hour]]&gt;=AA$2),1,0)</f>
        <v>0</v>
      </c>
      <c r="AB97" s="276" cm="1">
        <f t="array" ref="AB97">IF(AND(AB$2&lt;&gt;0,TblTech[[#This Row],[Hour]:[Hour]]&gt;=AB$2),1,0)</f>
        <v>0</v>
      </c>
      <c r="AC97" s="276" cm="1">
        <f t="array" ref="AC97">IF(AND(AC$2&lt;&gt;0,TblTech[[#This Row],[Hour]:[Hour]]&gt;=AC$2),1,0)</f>
        <v>0</v>
      </c>
      <c r="AD97" s="276" cm="1">
        <f t="array" ref="AD97">IF(AND(AD$2&lt;&gt;0,TblTech[[#This Row],[Hour]:[Hour]]&gt;=AD$2),1,0)</f>
        <v>0</v>
      </c>
      <c r="AE97" s="276" cm="1">
        <f t="array" ref="AE97">IF(AND(AE$2&lt;&gt;0,TblTech[[#This Row],[Hour]:[Hour]]&gt;=AE$2),1,0)</f>
        <v>0</v>
      </c>
      <c r="AF97" s="276" cm="1">
        <f t="array" ref="AF97">IF(AND(AF$2&lt;&gt;0,TblTech[[#This Row],[Hour]:[Hour]]&gt;=AF$2),1,0)</f>
        <v>0</v>
      </c>
      <c r="AG97" s="276" cm="1">
        <f t="array" ref="AG97">IF(AND(AG$2&lt;&gt;0,TblTech[[#This Row],[Hour]:[Hour]]&gt;=AG$2),1,0)</f>
        <v>0</v>
      </c>
      <c r="AH97" s="276" cm="1">
        <f t="array" ref="AH97">IF(AND(AH$2&lt;&gt;0,TblTech[[#This Row],[Hour]:[Hour]]&gt;=AH$2),1,0)</f>
        <v>0</v>
      </c>
      <c r="AI97" s="276" cm="1">
        <f t="array" ref="AI97">IF(AND(AI$2&lt;&gt;0,TblTech[[#This Row],[Hour]:[Hour]]&gt;=AI$2),1,0)</f>
        <v>0</v>
      </c>
      <c r="AJ97" s="276" cm="1">
        <f t="array" ref="AJ97">IF(AND(AJ$2&lt;&gt;0,TblTech[[#This Row],[Hour]:[Hour]]&gt;=AJ$2),1,0)</f>
        <v>0</v>
      </c>
      <c r="AK97" s="276" cm="1">
        <f t="array" ref="AK97">IF(AND(AK$2&lt;&gt;0,TblTech[[#This Row],[Hour]:[Hour]]&gt;=AK$2),1,0)</f>
        <v>0</v>
      </c>
      <c r="AL97" s="276" cm="1">
        <f t="array" ref="AL97">IF(AND(AL$2&lt;&gt;0,TblTech[[#This Row],[Hour]:[Hour]]&gt;=AL$2),1,0)</f>
        <v>0</v>
      </c>
      <c r="AM97" s="276" cm="1">
        <f t="array" ref="AM97">IF(AND(AM$2&lt;&gt;0,TblTech[[#This Row],[Hour]:[Hour]]&gt;=AM$2),1,0)</f>
        <v>0</v>
      </c>
      <c r="AN97" s="276" cm="1">
        <f t="array" ref="AN97">IF(AND(AN$2&lt;&gt;0,TblTech[[#This Row],[Hour]:[Hour]]&gt;=AN$2),1,0)</f>
        <v>0</v>
      </c>
      <c r="AO97" s="276" cm="1">
        <f t="array" ref="AO97">IF(AND(AO$2&lt;&gt;0,TblTech[[#This Row],[Hour]:[Hour]]&gt;=AO$2),1,0)</f>
        <v>0</v>
      </c>
      <c r="AP97" s="276" cm="1">
        <f t="array" ref="AP97">IF(AND(AP$2&lt;&gt;0,TblTech[[#This Row],[Hour]:[Hour]]&gt;=AP$2),1,0)</f>
        <v>0</v>
      </c>
      <c r="AQ97" s="276" cm="1">
        <f t="array" ref="AQ97">IF(AND(AQ$2&lt;&gt;0,TblTech[[#This Row],[Hour]:[Hour]]&gt;=AQ$2),1,0)</f>
        <v>0</v>
      </c>
      <c r="AR97" s="276" cm="1">
        <f t="array" ref="AR97">IF(AND(AR$2&lt;&gt;0,TblTech[[#This Row],[Hour]:[Hour]]&gt;=AR$2),1,0)</f>
        <v>0</v>
      </c>
      <c r="AS97" s="276" cm="1">
        <f t="array" ref="AS97">IF(AND(AS$2&lt;&gt;0,TblTech[[#This Row],[Hour]:[Hour]]&gt;=AS$2),1,0)</f>
        <v>0</v>
      </c>
      <c r="AT97" s="276" cm="1">
        <f t="array" ref="AT97">IF(AND(AT$2&lt;&gt;0,TblTech[[#This Row],[Hour]:[Hour]]&gt;=AT$2),1,0)</f>
        <v>0</v>
      </c>
      <c r="AU97" s="276" cm="1">
        <f t="array" ref="AU97">IF(AND(AU$2&lt;&gt;0,TblTech[[#This Row],[Hour]:[Hour]]&gt;=AU$2),1,0)</f>
        <v>0</v>
      </c>
      <c r="AV97" s="276" cm="1">
        <f t="array" ref="AV97">IF(AND(AV$2&lt;&gt;0,TblTech[[#This Row],[Hour]:[Hour]]&gt;=AV$2),1,0)</f>
        <v>0</v>
      </c>
      <c r="AW97" s="276" cm="1">
        <f t="array" ref="AW97">IF(AND(AW$2&lt;&gt;0,TblTech[[#This Row],[Hour]:[Hour]]&gt;=AW$2),1,0)</f>
        <v>0</v>
      </c>
      <c r="AX97" s="276" cm="1">
        <f t="array" ref="AX97">IF(AND(AX$2&lt;&gt;0,TblTech[[#This Row],[Hour]:[Hour]]&gt;=AX$2),1,0)</f>
        <v>0</v>
      </c>
      <c r="AY97" s="276" cm="1">
        <f t="array" ref="AY97">IF(AND(AY$2&lt;&gt;0,TblTech[[#This Row],[Hour]:[Hour]]&gt;=AY$2),1,0)</f>
        <v>0</v>
      </c>
      <c r="AZ97" s="276" cm="1">
        <f t="array" ref="AZ97">IF(AND(AZ$2&lt;&gt;0,TblTech[[#This Row],[Hour]:[Hour]]&gt;=AZ$2),1,0)</f>
        <v>0</v>
      </c>
      <c r="BA97" s="276" cm="1">
        <f t="array" ref="BA97">IF(AND(BA$2&lt;&gt;0,TblTech[[#This Row],[Hour]:[Hour]]&gt;=BA$2),1,0)</f>
        <v>0</v>
      </c>
      <c r="BB97" s="276" cm="1">
        <f t="array" ref="BB97">IF(AND(BB$2&lt;&gt;0,TblTech[[#This Row],[Hour]:[Hour]]&gt;=BB$2),1,0)</f>
        <v>0</v>
      </c>
      <c r="BC97" s="276" cm="1">
        <f t="array" ref="BC97">IF(AND(BC$2&lt;&gt;0,TblTech[[#This Row],[Hour]:[Hour]]&gt;=BC$2),1,0)</f>
        <v>0</v>
      </c>
      <c r="BD97" s="276" cm="1">
        <f t="array" ref="BD97">IF(AND(BD$2&lt;&gt;0,TblTech[[#This Row],[Hour]:[Hour]]&gt;=BD$2),1,0)</f>
        <v>0</v>
      </c>
      <c r="BE97" s="276" cm="1">
        <f t="array" ref="BE97">IF(AND(BE$2&lt;&gt;0,TblTech[[#This Row],[Hour]:[Hour]]&gt;=BE$2),1,0)</f>
        <v>0</v>
      </c>
      <c r="BF97" s="276" cm="1">
        <f t="array" ref="BF97">IF(AND(BF$2&lt;&gt;0,TblTech[[#This Row],[Hour]:[Hour]]&gt;=BF$2),1,0)</f>
        <v>0</v>
      </c>
      <c r="BG97" s="276" cm="1">
        <f t="array" ref="BG97">IF(AND(BG$2&lt;&gt;0,TblTech[[#This Row],[Hour]:[Hour]]&gt;=BG$2),1,0)</f>
        <v>0</v>
      </c>
      <c r="BH97" s="276" cm="1">
        <f t="array" ref="BH97">IF(AND(BH$2&lt;&gt;0,TblTech[[#This Row],[Hour]:[Hour]]&gt;=BH$2),1,0)</f>
        <v>0</v>
      </c>
      <c r="BI97" s="276" cm="1">
        <f t="array" ref="BI97">IF(AND(BI$2&lt;&gt;0,TblTech[[#This Row],[Hour]:[Hour]]&gt;=BI$2),1,0)</f>
        <v>0</v>
      </c>
      <c r="BJ97" s="276" cm="1">
        <f t="array" ref="BJ97">IF(AND(BJ$2&lt;&gt;0,TblTech[[#This Row],[Hour]:[Hour]]&gt;=BJ$2),1,0)</f>
        <v>0</v>
      </c>
      <c r="BK97" s="276" cm="1">
        <f t="array" ref="BK97">IF(AND(BK$2&lt;&gt;0,TblTech[[#This Row],[Hour]:[Hour]]&gt;=BK$2),1,0)</f>
        <v>0</v>
      </c>
      <c r="BL97" s="276" cm="1">
        <f t="array" ref="BL97">IF(AND(BL$2&lt;&gt;0,TblTech[[#This Row],[Hour]:[Hour]]&gt;=BL$2),1,0)</f>
        <v>0</v>
      </c>
      <c r="BM97" s="276" cm="1">
        <f t="array" ref="BM97">IF(AND(BM$2&lt;&gt;0,TblTech[[#This Row],[Hour]:[Hour]]&gt;=BM$2),1,0)</f>
        <v>0</v>
      </c>
      <c r="BN97" s="276" cm="1">
        <f t="array" ref="BN97">IF(AND(BN$2&lt;&gt;0,TblTech[[#This Row],[Hour]:[Hour]]&gt;=BN$2),1,0)</f>
        <v>0</v>
      </c>
      <c r="BO97" s="276" cm="1">
        <f t="array" ref="BO97">IF(AND(BO$2&lt;&gt;0,TblTech[[#This Row],[Hour]:[Hour]]&gt;=BO$2),1,0)</f>
        <v>0</v>
      </c>
      <c r="BP97" s="276" cm="1">
        <f t="array" ref="BP97">IF(AND(BP$2&lt;&gt;0,TblTech[[#This Row],[Hour]:[Hour]]&gt;=BP$2),1,0)</f>
        <v>0</v>
      </c>
      <c r="BQ97" s="276" cm="1">
        <f t="array" ref="BQ97">IF(AND(BQ$2&lt;&gt;0,TblTech[[#This Row],[Hour]:[Hour]]&gt;=BQ$2),1,0)</f>
        <v>0</v>
      </c>
      <c r="BR97" s="276" cm="1">
        <f t="array" ref="BR97">IF(AND(BR$2&lt;&gt;0,TblTech[[#This Row],[Hour]:[Hour]]&gt;=BR$2),1,0)</f>
        <v>0</v>
      </c>
      <c r="BS97" s="276" cm="1">
        <f t="array" ref="BS97">IF(AND(BS$2&lt;&gt;0,TblTech[[#This Row],[Hour]:[Hour]]&gt;=BS$2),1,0)</f>
        <v>0</v>
      </c>
      <c r="BT97" s="276" cm="1">
        <f t="array" ref="BT97">IF(AND(BT$2&lt;&gt;0,TblTech[[#This Row],[Hour]:[Hour]]&gt;=BT$2),1,0)</f>
        <v>0</v>
      </c>
      <c r="BU97" s="276" cm="1">
        <f t="array" ref="BU97">IF(AND(BU$2&lt;&gt;0,TblTech[[#This Row],[Hour]:[Hour]]&gt;=BU$2),1,0)</f>
        <v>0</v>
      </c>
      <c r="BV97" s="276" cm="1">
        <f t="array" ref="BV97">IF(AND(BV$2&lt;&gt;0,TblTech[[#This Row],[Hour]:[Hour]]&gt;=BV$2),1,0)</f>
        <v>0</v>
      </c>
      <c r="BW97" s="276" cm="1">
        <f t="array" ref="BW97">IF(AND(BW$2&lt;&gt;0,TblTech[[#This Row],[Hour]:[Hour]]&gt;=BW$2),1,0)</f>
        <v>0</v>
      </c>
      <c r="BX97" s="276" cm="1">
        <f t="array" ref="BX97">IF(AND(BX$2&lt;&gt;0,TblTech[[#This Row],[Hour]:[Hour]]&gt;=BX$2),1,0)</f>
        <v>0</v>
      </c>
      <c r="BY97" s="276" cm="1">
        <f t="array" ref="BY97">IF(AND(BY$2&lt;&gt;0,TblTech[[#This Row],[Hour]:[Hour]]&gt;=BY$2),1,0)</f>
        <v>0</v>
      </c>
      <c r="BZ97" s="276" cm="1">
        <f t="array" ref="BZ97">IF(AND(BZ$2&lt;&gt;0,TblTech[[#This Row],[Hour]:[Hour]]&gt;=BZ$2),1,0)</f>
        <v>0</v>
      </c>
      <c r="CA97" s="377">
        <f>IFERROR(INDEX($H$4:$H$79,MATCH(INDEX(TblTech[[#Headers],[1-1]:[11-1]],1,MATCH(TblTech[[#This Row],[Hour]],$M$2:$BZ$2,0)),$G$4:$G$79,0)),)</f>
        <v>0</v>
      </c>
    </row>
    <row r="98" spans="1:79" x14ac:dyDescent="0.2">
      <c r="A98" s="268">
        <f>TblRezone[[#This Row],[Hour]]</f>
        <v>95</v>
      </c>
      <c r="B98" s="269">
        <f ca="1">TblExplore[[#This Row],[Land-DB]]</f>
        <v>110</v>
      </c>
      <c r="C98" s="270">
        <f ca="1">TblProd[[#This Row],[Techpoints]]</f>
        <v>0</v>
      </c>
      <c r="D98" s="270">
        <f ca="1">TblProd[[#This Row],[Required]]</f>
        <v>3750</v>
      </c>
      <c r="E98" s="279"/>
      <c r="F98" s="280"/>
      <c r="G98" s="273"/>
      <c r="H98" s="274"/>
      <c r="I98" s="274"/>
      <c r="J98" s="274"/>
      <c r="K98" s="93">
        <f ca="1">IF(TblTech[[#This Row],[Sum of tech]]&lt;&gt;OFFSET(TblTech[[#This Row],[Sum of tech]],-1,0),1,0)</f>
        <v>0</v>
      </c>
      <c r="L98" s="275">
        <f>COUNTIF(TblTech[[#This Row],[1-1]:[11-1]],1)</f>
        <v>0</v>
      </c>
      <c r="M98" s="276" cm="1">
        <f t="array" ref="M98">IF(AND(M$2&lt;&gt;0,TblTech[[#This Row],[Hour]:[Hour]]&gt;=M$2),1,0)</f>
        <v>0</v>
      </c>
      <c r="N98" s="276" cm="1">
        <f t="array" ref="N98">IF(AND(N$2&lt;&gt;0,TblTech[[#This Row],[Hour]:[Hour]]&gt;=N$2),1,0)</f>
        <v>0</v>
      </c>
      <c r="O98" s="276" cm="1">
        <f t="array" ref="O98">IF(AND(O$2&lt;&gt;0,TblTech[[#This Row],[Hour]:[Hour]]&gt;=O$2),1,0)</f>
        <v>0</v>
      </c>
      <c r="P98" s="276" cm="1">
        <f t="array" ref="P98">IF(AND(P$2&lt;&gt;0,TblTech[[#This Row],[Hour]:[Hour]]&gt;=P$2),1,0)</f>
        <v>0</v>
      </c>
      <c r="Q98" s="276" cm="1">
        <f t="array" ref="Q98">IF(AND(Q$2&lt;&gt;0,TblTech[[#This Row],[Hour]:[Hour]]&gt;=Q$2),1,0)</f>
        <v>0</v>
      </c>
      <c r="R98" s="276" cm="1">
        <f t="array" ref="R98">IF(AND(R$2&lt;&gt;0,TblTech[[#This Row],[Hour]:[Hour]]&gt;=R$2),1,0)</f>
        <v>0</v>
      </c>
      <c r="S98" s="276" cm="1">
        <f t="array" ref="S98">IF(AND(S$2&lt;&gt;0,TblTech[[#This Row],[Hour]:[Hour]]&gt;=S$2),1,0)</f>
        <v>0</v>
      </c>
      <c r="T98" s="276" cm="1">
        <f t="array" ref="T98">IF(AND(T$2&lt;&gt;0,TblTech[[#This Row],[Hour]:[Hour]]&gt;=T$2),1,0)</f>
        <v>0</v>
      </c>
      <c r="U98" s="276" cm="1">
        <f t="array" ref="U98">IF(AND(U$2&lt;&gt;0,TblTech[[#This Row],[Hour]:[Hour]]&gt;=U$2),1,0)</f>
        <v>0</v>
      </c>
      <c r="V98" s="276" cm="1">
        <f t="array" ref="V98">IF(AND(V$2&lt;&gt;0,TblTech[[#This Row],[Hour]:[Hour]]&gt;=V$2),1,0)</f>
        <v>0</v>
      </c>
      <c r="W98" s="276" cm="1">
        <f t="array" ref="W98">IF(AND(W$2&lt;&gt;0,TblTech[[#This Row],[Hour]:[Hour]]&gt;=W$2),1,0)</f>
        <v>0</v>
      </c>
      <c r="X98" s="276" cm="1">
        <f t="array" ref="X98">IF(AND(X$2&lt;&gt;0,TblTech[[#This Row],[Hour]:[Hour]]&gt;=X$2),1,0)</f>
        <v>0</v>
      </c>
      <c r="Y98" s="276" cm="1">
        <f t="array" ref="Y98">IF(AND(Y$2&lt;&gt;0,TblTech[[#This Row],[Hour]:[Hour]]&gt;=Y$2),1,0)</f>
        <v>0</v>
      </c>
      <c r="Z98" s="276" cm="1">
        <f t="array" ref="Z98">IF(AND(Z$2&lt;&gt;0,TblTech[[#This Row],[Hour]:[Hour]]&gt;=Z$2),1,0)</f>
        <v>0</v>
      </c>
      <c r="AA98" s="276" cm="1">
        <f t="array" ref="AA98">IF(AND(AA$2&lt;&gt;0,TblTech[[#This Row],[Hour]:[Hour]]&gt;=AA$2),1,0)</f>
        <v>0</v>
      </c>
      <c r="AB98" s="276" cm="1">
        <f t="array" ref="AB98">IF(AND(AB$2&lt;&gt;0,TblTech[[#This Row],[Hour]:[Hour]]&gt;=AB$2),1,0)</f>
        <v>0</v>
      </c>
      <c r="AC98" s="276" cm="1">
        <f t="array" ref="AC98">IF(AND(AC$2&lt;&gt;0,TblTech[[#This Row],[Hour]:[Hour]]&gt;=AC$2),1,0)</f>
        <v>0</v>
      </c>
      <c r="AD98" s="276" cm="1">
        <f t="array" ref="AD98">IF(AND(AD$2&lt;&gt;0,TblTech[[#This Row],[Hour]:[Hour]]&gt;=AD$2),1,0)</f>
        <v>0</v>
      </c>
      <c r="AE98" s="276" cm="1">
        <f t="array" ref="AE98">IF(AND(AE$2&lt;&gt;0,TblTech[[#This Row],[Hour]:[Hour]]&gt;=AE$2),1,0)</f>
        <v>0</v>
      </c>
      <c r="AF98" s="276" cm="1">
        <f t="array" ref="AF98">IF(AND(AF$2&lt;&gt;0,TblTech[[#This Row],[Hour]:[Hour]]&gt;=AF$2),1,0)</f>
        <v>0</v>
      </c>
      <c r="AG98" s="276" cm="1">
        <f t="array" ref="AG98">IF(AND(AG$2&lt;&gt;0,TblTech[[#This Row],[Hour]:[Hour]]&gt;=AG$2),1,0)</f>
        <v>0</v>
      </c>
      <c r="AH98" s="276" cm="1">
        <f t="array" ref="AH98">IF(AND(AH$2&lt;&gt;0,TblTech[[#This Row],[Hour]:[Hour]]&gt;=AH$2),1,0)</f>
        <v>0</v>
      </c>
      <c r="AI98" s="276" cm="1">
        <f t="array" ref="AI98">IF(AND(AI$2&lt;&gt;0,TblTech[[#This Row],[Hour]:[Hour]]&gt;=AI$2),1,0)</f>
        <v>0</v>
      </c>
      <c r="AJ98" s="276" cm="1">
        <f t="array" ref="AJ98">IF(AND(AJ$2&lt;&gt;0,TblTech[[#This Row],[Hour]:[Hour]]&gt;=AJ$2),1,0)</f>
        <v>0</v>
      </c>
      <c r="AK98" s="276" cm="1">
        <f t="array" ref="AK98">IF(AND(AK$2&lt;&gt;0,TblTech[[#This Row],[Hour]:[Hour]]&gt;=AK$2),1,0)</f>
        <v>0</v>
      </c>
      <c r="AL98" s="276" cm="1">
        <f t="array" ref="AL98">IF(AND(AL$2&lt;&gt;0,TblTech[[#This Row],[Hour]:[Hour]]&gt;=AL$2),1,0)</f>
        <v>0</v>
      </c>
      <c r="AM98" s="276" cm="1">
        <f t="array" ref="AM98">IF(AND(AM$2&lt;&gt;0,TblTech[[#This Row],[Hour]:[Hour]]&gt;=AM$2),1,0)</f>
        <v>0</v>
      </c>
      <c r="AN98" s="276" cm="1">
        <f t="array" ref="AN98">IF(AND(AN$2&lt;&gt;0,TblTech[[#This Row],[Hour]:[Hour]]&gt;=AN$2),1,0)</f>
        <v>0</v>
      </c>
      <c r="AO98" s="276" cm="1">
        <f t="array" ref="AO98">IF(AND(AO$2&lt;&gt;0,TblTech[[#This Row],[Hour]:[Hour]]&gt;=AO$2),1,0)</f>
        <v>0</v>
      </c>
      <c r="AP98" s="276" cm="1">
        <f t="array" ref="AP98">IF(AND(AP$2&lt;&gt;0,TblTech[[#This Row],[Hour]:[Hour]]&gt;=AP$2),1,0)</f>
        <v>0</v>
      </c>
      <c r="AQ98" s="276" cm="1">
        <f t="array" ref="AQ98">IF(AND(AQ$2&lt;&gt;0,TblTech[[#This Row],[Hour]:[Hour]]&gt;=AQ$2),1,0)</f>
        <v>0</v>
      </c>
      <c r="AR98" s="276" cm="1">
        <f t="array" ref="AR98">IF(AND(AR$2&lt;&gt;0,TblTech[[#This Row],[Hour]:[Hour]]&gt;=AR$2),1,0)</f>
        <v>0</v>
      </c>
      <c r="AS98" s="276" cm="1">
        <f t="array" ref="AS98">IF(AND(AS$2&lt;&gt;0,TblTech[[#This Row],[Hour]:[Hour]]&gt;=AS$2),1,0)</f>
        <v>0</v>
      </c>
      <c r="AT98" s="276" cm="1">
        <f t="array" ref="AT98">IF(AND(AT$2&lt;&gt;0,TblTech[[#This Row],[Hour]:[Hour]]&gt;=AT$2),1,0)</f>
        <v>0</v>
      </c>
      <c r="AU98" s="276" cm="1">
        <f t="array" ref="AU98">IF(AND(AU$2&lt;&gt;0,TblTech[[#This Row],[Hour]:[Hour]]&gt;=AU$2),1,0)</f>
        <v>0</v>
      </c>
      <c r="AV98" s="276" cm="1">
        <f t="array" ref="AV98">IF(AND(AV$2&lt;&gt;0,TblTech[[#This Row],[Hour]:[Hour]]&gt;=AV$2),1,0)</f>
        <v>0</v>
      </c>
      <c r="AW98" s="276" cm="1">
        <f t="array" ref="AW98">IF(AND(AW$2&lt;&gt;0,TblTech[[#This Row],[Hour]:[Hour]]&gt;=AW$2),1,0)</f>
        <v>0</v>
      </c>
      <c r="AX98" s="276" cm="1">
        <f t="array" ref="AX98">IF(AND(AX$2&lt;&gt;0,TblTech[[#This Row],[Hour]:[Hour]]&gt;=AX$2),1,0)</f>
        <v>0</v>
      </c>
      <c r="AY98" s="276" cm="1">
        <f t="array" ref="AY98">IF(AND(AY$2&lt;&gt;0,TblTech[[#This Row],[Hour]:[Hour]]&gt;=AY$2),1,0)</f>
        <v>0</v>
      </c>
      <c r="AZ98" s="276" cm="1">
        <f t="array" ref="AZ98">IF(AND(AZ$2&lt;&gt;0,TblTech[[#This Row],[Hour]:[Hour]]&gt;=AZ$2),1,0)</f>
        <v>0</v>
      </c>
      <c r="BA98" s="276" cm="1">
        <f t="array" ref="BA98">IF(AND(BA$2&lt;&gt;0,TblTech[[#This Row],[Hour]:[Hour]]&gt;=BA$2),1,0)</f>
        <v>0</v>
      </c>
      <c r="BB98" s="276" cm="1">
        <f t="array" ref="BB98">IF(AND(BB$2&lt;&gt;0,TblTech[[#This Row],[Hour]:[Hour]]&gt;=BB$2),1,0)</f>
        <v>0</v>
      </c>
      <c r="BC98" s="276" cm="1">
        <f t="array" ref="BC98">IF(AND(BC$2&lt;&gt;0,TblTech[[#This Row],[Hour]:[Hour]]&gt;=BC$2),1,0)</f>
        <v>0</v>
      </c>
      <c r="BD98" s="276" cm="1">
        <f t="array" ref="BD98">IF(AND(BD$2&lt;&gt;0,TblTech[[#This Row],[Hour]:[Hour]]&gt;=BD$2),1,0)</f>
        <v>0</v>
      </c>
      <c r="BE98" s="276" cm="1">
        <f t="array" ref="BE98">IF(AND(BE$2&lt;&gt;0,TblTech[[#This Row],[Hour]:[Hour]]&gt;=BE$2),1,0)</f>
        <v>0</v>
      </c>
      <c r="BF98" s="276" cm="1">
        <f t="array" ref="BF98">IF(AND(BF$2&lt;&gt;0,TblTech[[#This Row],[Hour]:[Hour]]&gt;=BF$2),1,0)</f>
        <v>0</v>
      </c>
      <c r="BG98" s="276" cm="1">
        <f t="array" ref="BG98">IF(AND(BG$2&lt;&gt;0,TblTech[[#This Row],[Hour]:[Hour]]&gt;=BG$2),1,0)</f>
        <v>0</v>
      </c>
      <c r="BH98" s="276" cm="1">
        <f t="array" ref="BH98">IF(AND(BH$2&lt;&gt;0,TblTech[[#This Row],[Hour]:[Hour]]&gt;=BH$2),1,0)</f>
        <v>0</v>
      </c>
      <c r="BI98" s="276" cm="1">
        <f t="array" ref="BI98">IF(AND(BI$2&lt;&gt;0,TblTech[[#This Row],[Hour]:[Hour]]&gt;=BI$2),1,0)</f>
        <v>0</v>
      </c>
      <c r="BJ98" s="276" cm="1">
        <f t="array" ref="BJ98">IF(AND(BJ$2&lt;&gt;0,TblTech[[#This Row],[Hour]:[Hour]]&gt;=BJ$2),1,0)</f>
        <v>0</v>
      </c>
      <c r="BK98" s="276" cm="1">
        <f t="array" ref="BK98">IF(AND(BK$2&lt;&gt;0,TblTech[[#This Row],[Hour]:[Hour]]&gt;=BK$2),1,0)</f>
        <v>0</v>
      </c>
      <c r="BL98" s="276" cm="1">
        <f t="array" ref="BL98">IF(AND(BL$2&lt;&gt;0,TblTech[[#This Row],[Hour]:[Hour]]&gt;=BL$2),1,0)</f>
        <v>0</v>
      </c>
      <c r="BM98" s="276" cm="1">
        <f t="array" ref="BM98">IF(AND(BM$2&lt;&gt;0,TblTech[[#This Row],[Hour]:[Hour]]&gt;=BM$2),1,0)</f>
        <v>0</v>
      </c>
      <c r="BN98" s="276" cm="1">
        <f t="array" ref="BN98">IF(AND(BN$2&lt;&gt;0,TblTech[[#This Row],[Hour]:[Hour]]&gt;=BN$2),1,0)</f>
        <v>0</v>
      </c>
      <c r="BO98" s="276" cm="1">
        <f t="array" ref="BO98">IF(AND(BO$2&lt;&gt;0,TblTech[[#This Row],[Hour]:[Hour]]&gt;=BO$2),1,0)</f>
        <v>0</v>
      </c>
      <c r="BP98" s="276" cm="1">
        <f t="array" ref="BP98">IF(AND(BP$2&lt;&gt;0,TblTech[[#This Row],[Hour]:[Hour]]&gt;=BP$2),1,0)</f>
        <v>0</v>
      </c>
      <c r="BQ98" s="276" cm="1">
        <f t="array" ref="BQ98">IF(AND(BQ$2&lt;&gt;0,TblTech[[#This Row],[Hour]:[Hour]]&gt;=BQ$2),1,0)</f>
        <v>0</v>
      </c>
      <c r="BR98" s="276" cm="1">
        <f t="array" ref="BR98">IF(AND(BR$2&lt;&gt;0,TblTech[[#This Row],[Hour]:[Hour]]&gt;=BR$2),1,0)</f>
        <v>0</v>
      </c>
      <c r="BS98" s="276" cm="1">
        <f t="array" ref="BS98">IF(AND(BS$2&lt;&gt;0,TblTech[[#This Row],[Hour]:[Hour]]&gt;=BS$2),1,0)</f>
        <v>0</v>
      </c>
      <c r="BT98" s="276" cm="1">
        <f t="array" ref="BT98">IF(AND(BT$2&lt;&gt;0,TblTech[[#This Row],[Hour]:[Hour]]&gt;=BT$2),1,0)</f>
        <v>0</v>
      </c>
      <c r="BU98" s="276" cm="1">
        <f t="array" ref="BU98">IF(AND(BU$2&lt;&gt;0,TblTech[[#This Row],[Hour]:[Hour]]&gt;=BU$2),1,0)</f>
        <v>0</v>
      </c>
      <c r="BV98" s="276" cm="1">
        <f t="array" ref="BV98">IF(AND(BV$2&lt;&gt;0,TblTech[[#This Row],[Hour]:[Hour]]&gt;=BV$2),1,0)</f>
        <v>0</v>
      </c>
      <c r="BW98" s="276" cm="1">
        <f t="array" ref="BW98">IF(AND(BW$2&lt;&gt;0,TblTech[[#This Row],[Hour]:[Hour]]&gt;=BW$2),1,0)</f>
        <v>0</v>
      </c>
      <c r="BX98" s="276" cm="1">
        <f t="array" ref="BX98">IF(AND(BX$2&lt;&gt;0,TblTech[[#This Row],[Hour]:[Hour]]&gt;=BX$2),1,0)</f>
        <v>0</v>
      </c>
      <c r="BY98" s="276" cm="1">
        <f t="array" ref="BY98">IF(AND(BY$2&lt;&gt;0,TblTech[[#This Row],[Hour]:[Hour]]&gt;=BY$2),1,0)</f>
        <v>0</v>
      </c>
      <c r="BZ98" s="276" cm="1">
        <f t="array" ref="BZ98">IF(AND(BZ$2&lt;&gt;0,TblTech[[#This Row],[Hour]:[Hour]]&gt;=BZ$2),1,0)</f>
        <v>0</v>
      </c>
      <c r="CA98" s="377">
        <f>IFERROR(INDEX($H$4:$H$79,MATCH(INDEX(TblTech[[#Headers],[1-1]:[11-1]],1,MATCH(TblTech[[#This Row],[Hour]],$M$2:$BZ$2,0)),$G$4:$G$79,0)),)</f>
        <v>0</v>
      </c>
    </row>
    <row r="99" spans="1:79" x14ac:dyDescent="0.2">
      <c r="A99" s="268">
        <f>TblRezone[[#This Row],[Hour]]</f>
        <v>96</v>
      </c>
      <c r="B99" s="269">
        <f ca="1">TblExplore[[#This Row],[Land-DB]]</f>
        <v>110</v>
      </c>
      <c r="C99" s="270">
        <f ca="1">TblProd[[#This Row],[Techpoints]]</f>
        <v>0</v>
      </c>
      <c r="D99" s="270">
        <f ca="1">TblProd[[#This Row],[Required]]</f>
        <v>3750</v>
      </c>
      <c r="E99" s="279"/>
      <c r="F99" s="280"/>
      <c r="G99" s="273"/>
      <c r="H99" s="274"/>
      <c r="I99" s="274"/>
      <c r="J99" s="274"/>
      <c r="K99" s="93">
        <f ca="1">IF(TblTech[[#This Row],[Sum of tech]]&lt;&gt;OFFSET(TblTech[[#This Row],[Sum of tech]],-1,0),1,0)</f>
        <v>0</v>
      </c>
      <c r="L99" s="275">
        <f>COUNTIF(TblTech[[#This Row],[1-1]:[11-1]],1)</f>
        <v>0</v>
      </c>
      <c r="M99" s="276" cm="1">
        <f t="array" ref="M99">IF(AND(M$2&lt;&gt;0,TblTech[[#This Row],[Hour]:[Hour]]&gt;=M$2),1,0)</f>
        <v>0</v>
      </c>
      <c r="N99" s="276" cm="1">
        <f t="array" ref="N99">IF(AND(N$2&lt;&gt;0,TblTech[[#This Row],[Hour]:[Hour]]&gt;=N$2),1,0)</f>
        <v>0</v>
      </c>
      <c r="O99" s="276" cm="1">
        <f t="array" ref="O99">IF(AND(O$2&lt;&gt;0,TblTech[[#This Row],[Hour]:[Hour]]&gt;=O$2),1,0)</f>
        <v>0</v>
      </c>
      <c r="P99" s="276" cm="1">
        <f t="array" ref="P99">IF(AND(P$2&lt;&gt;0,TblTech[[#This Row],[Hour]:[Hour]]&gt;=P$2),1,0)</f>
        <v>0</v>
      </c>
      <c r="Q99" s="276" cm="1">
        <f t="array" ref="Q99">IF(AND(Q$2&lt;&gt;0,TblTech[[#This Row],[Hour]:[Hour]]&gt;=Q$2),1,0)</f>
        <v>0</v>
      </c>
      <c r="R99" s="276" cm="1">
        <f t="array" ref="R99">IF(AND(R$2&lt;&gt;0,TblTech[[#This Row],[Hour]:[Hour]]&gt;=R$2),1,0)</f>
        <v>0</v>
      </c>
      <c r="S99" s="276" cm="1">
        <f t="array" ref="S99">IF(AND(S$2&lt;&gt;0,TblTech[[#This Row],[Hour]:[Hour]]&gt;=S$2),1,0)</f>
        <v>0</v>
      </c>
      <c r="T99" s="276" cm="1">
        <f t="array" ref="T99">IF(AND(T$2&lt;&gt;0,TblTech[[#This Row],[Hour]:[Hour]]&gt;=T$2),1,0)</f>
        <v>0</v>
      </c>
      <c r="U99" s="276" cm="1">
        <f t="array" ref="U99">IF(AND(U$2&lt;&gt;0,TblTech[[#This Row],[Hour]:[Hour]]&gt;=U$2),1,0)</f>
        <v>0</v>
      </c>
      <c r="V99" s="276" cm="1">
        <f t="array" ref="V99">IF(AND(V$2&lt;&gt;0,TblTech[[#This Row],[Hour]:[Hour]]&gt;=V$2),1,0)</f>
        <v>0</v>
      </c>
      <c r="W99" s="276" cm="1">
        <f t="array" ref="W99">IF(AND(W$2&lt;&gt;0,TblTech[[#This Row],[Hour]:[Hour]]&gt;=W$2),1,0)</f>
        <v>0</v>
      </c>
      <c r="X99" s="276" cm="1">
        <f t="array" ref="X99">IF(AND(X$2&lt;&gt;0,TblTech[[#This Row],[Hour]:[Hour]]&gt;=X$2),1,0)</f>
        <v>0</v>
      </c>
      <c r="Y99" s="276" cm="1">
        <f t="array" ref="Y99">IF(AND(Y$2&lt;&gt;0,TblTech[[#This Row],[Hour]:[Hour]]&gt;=Y$2),1,0)</f>
        <v>0</v>
      </c>
      <c r="Z99" s="276" cm="1">
        <f t="array" ref="Z99">IF(AND(Z$2&lt;&gt;0,TblTech[[#This Row],[Hour]:[Hour]]&gt;=Z$2),1,0)</f>
        <v>0</v>
      </c>
      <c r="AA99" s="276" cm="1">
        <f t="array" ref="AA99">IF(AND(AA$2&lt;&gt;0,TblTech[[#This Row],[Hour]:[Hour]]&gt;=AA$2),1,0)</f>
        <v>0</v>
      </c>
      <c r="AB99" s="276" cm="1">
        <f t="array" ref="AB99">IF(AND(AB$2&lt;&gt;0,TblTech[[#This Row],[Hour]:[Hour]]&gt;=AB$2),1,0)</f>
        <v>0</v>
      </c>
      <c r="AC99" s="276" cm="1">
        <f t="array" ref="AC99">IF(AND(AC$2&lt;&gt;0,TblTech[[#This Row],[Hour]:[Hour]]&gt;=AC$2),1,0)</f>
        <v>0</v>
      </c>
      <c r="AD99" s="276" cm="1">
        <f t="array" ref="AD99">IF(AND(AD$2&lt;&gt;0,TblTech[[#This Row],[Hour]:[Hour]]&gt;=AD$2),1,0)</f>
        <v>0</v>
      </c>
      <c r="AE99" s="276" cm="1">
        <f t="array" ref="AE99">IF(AND(AE$2&lt;&gt;0,TblTech[[#This Row],[Hour]:[Hour]]&gt;=AE$2),1,0)</f>
        <v>0</v>
      </c>
      <c r="AF99" s="276" cm="1">
        <f t="array" ref="AF99">IF(AND(AF$2&lt;&gt;0,TblTech[[#This Row],[Hour]:[Hour]]&gt;=AF$2),1,0)</f>
        <v>0</v>
      </c>
      <c r="AG99" s="276" cm="1">
        <f t="array" ref="AG99">IF(AND(AG$2&lt;&gt;0,TblTech[[#This Row],[Hour]:[Hour]]&gt;=AG$2),1,0)</f>
        <v>0</v>
      </c>
      <c r="AH99" s="276" cm="1">
        <f t="array" ref="AH99">IF(AND(AH$2&lt;&gt;0,TblTech[[#This Row],[Hour]:[Hour]]&gt;=AH$2),1,0)</f>
        <v>0</v>
      </c>
      <c r="AI99" s="276" cm="1">
        <f t="array" ref="AI99">IF(AND(AI$2&lt;&gt;0,TblTech[[#This Row],[Hour]:[Hour]]&gt;=AI$2),1,0)</f>
        <v>0</v>
      </c>
      <c r="AJ99" s="276" cm="1">
        <f t="array" ref="AJ99">IF(AND(AJ$2&lt;&gt;0,TblTech[[#This Row],[Hour]:[Hour]]&gt;=AJ$2),1,0)</f>
        <v>0</v>
      </c>
      <c r="AK99" s="276" cm="1">
        <f t="array" ref="AK99">IF(AND(AK$2&lt;&gt;0,TblTech[[#This Row],[Hour]:[Hour]]&gt;=AK$2),1,0)</f>
        <v>0</v>
      </c>
      <c r="AL99" s="276" cm="1">
        <f t="array" ref="AL99">IF(AND(AL$2&lt;&gt;0,TblTech[[#This Row],[Hour]:[Hour]]&gt;=AL$2),1,0)</f>
        <v>0</v>
      </c>
      <c r="AM99" s="276" cm="1">
        <f t="array" ref="AM99">IF(AND(AM$2&lt;&gt;0,TblTech[[#This Row],[Hour]:[Hour]]&gt;=AM$2),1,0)</f>
        <v>0</v>
      </c>
      <c r="AN99" s="276" cm="1">
        <f t="array" ref="AN99">IF(AND(AN$2&lt;&gt;0,TblTech[[#This Row],[Hour]:[Hour]]&gt;=AN$2),1,0)</f>
        <v>0</v>
      </c>
      <c r="AO99" s="276" cm="1">
        <f t="array" ref="AO99">IF(AND(AO$2&lt;&gt;0,TblTech[[#This Row],[Hour]:[Hour]]&gt;=AO$2),1,0)</f>
        <v>0</v>
      </c>
      <c r="AP99" s="276" cm="1">
        <f t="array" ref="AP99">IF(AND(AP$2&lt;&gt;0,TblTech[[#This Row],[Hour]:[Hour]]&gt;=AP$2),1,0)</f>
        <v>0</v>
      </c>
      <c r="AQ99" s="276" cm="1">
        <f t="array" ref="AQ99">IF(AND(AQ$2&lt;&gt;0,TblTech[[#This Row],[Hour]:[Hour]]&gt;=AQ$2),1,0)</f>
        <v>0</v>
      </c>
      <c r="AR99" s="276" cm="1">
        <f t="array" ref="AR99">IF(AND(AR$2&lt;&gt;0,TblTech[[#This Row],[Hour]:[Hour]]&gt;=AR$2),1,0)</f>
        <v>0</v>
      </c>
      <c r="AS99" s="276" cm="1">
        <f t="array" ref="AS99">IF(AND(AS$2&lt;&gt;0,TblTech[[#This Row],[Hour]:[Hour]]&gt;=AS$2),1,0)</f>
        <v>0</v>
      </c>
      <c r="AT99" s="276" cm="1">
        <f t="array" ref="AT99">IF(AND(AT$2&lt;&gt;0,TblTech[[#This Row],[Hour]:[Hour]]&gt;=AT$2),1,0)</f>
        <v>0</v>
      </c>
      <c r="AU99" s="276" cm="1">
        <f t="array" ref="AU99">IF(AND(AU$2&lt;&gt;0,TblTech[[#This Row],[Hour]:[Hour]]&gt;=AU$2),1,0)</f>
        <v>0</v>
      </c>
      <c r="AV99" s="276" cm="1">
        <f t="array" ref="AV99">IF(AND(AV$2&lt;&gt;0,TblTech[[#This Row],[Hour]:[Hour]]&gt;=AV$2),1,0)</f>
        <v>0</v>
      </c>
      <c r="AW99" s="276" cm="1">
        <f t="array" ref="AW99">IF(AND(AW$2&lt;&gt;0,TblTech[[#This Row],[Hour]:[Hour]]&gt;=AW$2),1,0)</f>
        <v>0</v>
      </c>
      <c r="AX99" s="276" cm="1">
        <f t="array" ref="AX99">IF(AND(AX$2&lt;&gt;0,TblTech[[#This Row],[Hour]:[Hour]]&gt;=AX$2),1,0)</f>
        <v>0</v>
      </c>
      <c r="AY99" s="276" cm="1">
        <f t="array" ref="AY99">IF(AND(AY$2&lt;&gt;0,TblTech[[#This Row],[Hour]:[Hour]]&gt;=AY$2),1,0)</f>
        <v>0</v>
      </c>
      <c r="AZ99" s="276" cm="1">
        <f t="array" ref="AZ99">IF(AND(AZ$2&lt;&gt;0,TblTech[[#This Row],[Hour]:[Hour]]&gt;=AZ$2),1,0)</f>
        <v>0</v>
      </c>
      <c r="BA99" s="276" cm="1">
        <f t="array" ref="BA99">IF(AND(BA$2&lt;&gt;0,TblTech[[#This Row],[Hour]:[Hour]]&gt;=BA$2),1,0)</f>
        <v>0</v>
      </c>
      <c r="BB99" s="276" cm="1">
        <f t="array" ref="BB99">IF(AND(BB$2&lt;&gt;0,TblTech[[#This Row],[Hour]:[Hour]]&gt;=BB$2),1,0)</f>
        <v>0</v>
      </c>
      <c r="BC99" s="276" cm="1">
        <f t="array" ref="BC99">IF(AND(BC$2&lt;&gt;0,TblTech[[#This Row],[Hour]:[Hour]]&gt;=BC$2),1,0)</f>
        <v>0</v>
      </c>
      <c r="BD99" s="276" cm="1">
        <f t="array" ref="BD99">IF(AND(BD$2&lt;&gt;0,TblTech[[#This Row],[Hour]:[Hour]]&gt;=BD$2),1,0)</f>
        <v>0</v>
      </c>
      <c r="BE99" s="276" cm="1">
        <f t="array" ref="BE99">IF(AND(BE$2&lt;&gt;0,TblTech[[#This Row],[Hour]:[Hour]]&gt;=BE$2),1,0)</f>
        <v>0</v>
      </c>
      <c r="BF99" s="276" cm="1">
        <f t="array" ref="BF99">IF(AND(BF$2&lt;&gt;0,TblTech[[#This Row],[Hour]:[Hour]]&gt;=BF$2),1,0)</f>
        <v>0</v>
      </c>
      <c r="BG99" s="276" cm="1">
        <f t="array" ref="BG99">IF(AND(BG$2&lt;&gt;0,TblTech[[#This Row],[Hour]:[Hour]]&gt;=BG$2),1,0)</f>
        <v>0</v>
      </c>
      <c r="BH99" s="276" cm="1">
        <f t="array" ref="BH99">IF(AND(BH$2&lt;&gt;0,TblTech[[#This Row],[Hour]:[Hour]]&gt;=BH$2),1,0)</f>
        <v>0</v>
      </c>
      <c r="BI99" s="276" cm="1">
        <f t="array" ref="BI99">IF(AND(BI$2&lt;&gt;0,TblTech[[#This Row],[Hour]:[Hour]]&gt;=BI$2),1,0)</f>
        <v>0</v>
      </c>
      <c r="BJ99" s="276" cm="1">
        <f t="array" ref="BJ99">IF(AND(BJ$2&lt;&gt;0,TblTech[[#This Row],[Hour]:[Hour]]&gt;=BJ$2),1,0)</f>
        <v>0</v>
      </c>
      <c r="BK99" s="276" cm="1">
        <f t="array" ref="BK99">IF(AND(BK$2&lt;&gt;0,TblTech[[#This Row],[Hour]:[Hour]]&gt;=BK$2),1,0)</f>
        <v>0</v>
      </c>
      <c r="BL99" s="276" cm="1">
        <f t="array" ref="BL99">IF(AND(BL$2&lt;&gt;0,TblTech[[#This Row],[Hour]:[Hour]]&gt;=BL$2),1,0)</f>
        <v>0</v>
      </c>
      <c r="BM99" s="276" cm="1">
        <f t="array" ref="BM99">IF(AND(BM$2&lt;&gt;0,TblTech[[#This Row],[Hour]:[Hour]]&gt;=BM$2),1,0)</f>
        <v>0</v>
      </c>
      <c r="BN99" s="276" cm="1">
        <f t="array" ref="BN99">IF(AND(BN$2&lt;&gt;0,TblTech[[#This Row],[Hour]:[Hour]]&gt;=BN$2),1,0)</f>
        <v>0</v>
      </c>
      <c r="BO99" s="276" cm="1">
        <f t="array" ref="BO99">IF(AND(BO$2&lt;&gt;0,TblTech[[#This Row],[Hour]:[Hour]]&gt;=BO$2),1,0)</f>
        <v>0</v>
      </c>
      <c r="BP99" s="276" cm="1">
        <f t="array" ref="BP99">IF(AND(BP$2&lt;&gt;0,TblTech[[#This Row],[Hour]:[Hour]]&gt;=BP$2),1,0)</f>
        <v>0</v>
      </c>
      <c r="BQ99" s="276" cm="1">
        <f t="array" ref="BQ99">IF(AND(BQ$2&lt;&gt;0,TblTech[[#This Row],[Hour]:[Hour]]&gt;=BQ$2),1,0)</f>
        <v>0</v>
      </c>
      <c r="BR99" s="276" cm="1">
        <f t="array" ref="BR99">IF(AND(BR$2&lt;&gt;0,TblTech[[#This Row],[Hour]:[Hour]]&gt;=BR$2),1,0)</f>
        <v>0</v>
      </c>
      <c r="BS99" s="276" cm="1">
        <f t="array" ref="BS99">IF(AND(BS$2&lt;&gt;0,TblTech[[#This Row],[Hour]:[Hour]]&gt;=BS$2),1,0)</f>
        <v>0</v>
      </c>
      <c r="BT99" s="276" cm="1">
        <f t="array" ref="BT99">IF(AND(BT$2&lt;&gt;0,TblTech[[#This Row],[Hour]:[Hour]]&gt;=BT$2),1,0)</f>
        <v>0</v>
      </c>
      <c r="BU99" s="276" cm="1">
        <f t="array" ref="BU99">IF(AND(BU$2&lt;&gt;0,TblTech[[#This Row],[Hour]:[Hour]]&gt;=BU$2),1,0)</f>
        <v>0</v>
      </c>
      <c r="BV99" s="276" cm="1">
        <f t="array" ref="BV99">IF(AND(BV$2&lt;&gt;0,TblTech[[#This Row],[Hour]:[Hour]]&gt;=BV$2),1,0)</f>
        <v>0</v>
      </c>
      <c r="BW99" s="276" cm="1">
        <f t="array" ref="BW99">IF(AND(BW$2&lt;&gt;0,TblTech[[#This Row],[Hour]:[Hour]]&gt;=BW$2),1,0)</f>
        <v>0</v>
      </c>
      <c r="BX99" s="276" cm="1">
        <f t="array" ref="BX99">IF(AND(BX$2&lt;&gt;0,TblTech[[#This Row],[Hour]:[Hour]]&gt;=BX$2),1,0)</f>
        <v>0</v>
      </c>
      <c r="BY99" s="276" cm="1">
        <f t="array" ref="BY99">IF(AND(BY$2&lt;&gt;0,TblTech[[#This Row],[Hour]:[Hour]]&gt;=BY$2),1,0)</f>
        <v>0</v>
      </c>
      <c r="BZ99" s="276" cm="1">
        <f t="array" ref="BZ99">IF(AND(BZ$2&lt;&gt;0,TblTech[[#This Row],[Hour]:[Hour]]&gt;=BZ$2),1,0)</f>
        <v>0</v>
      </c>
      <c r="CA99" s="377">
        <f>IFERROR(INDEX($H$4:$H$79,MATCH(INDEX(TblTech[[#Headers],[1-1]:[11-1]],1,MATCH(TblTech[[#This Row],[Hour]],$M$2:$BZ$2,0)),$G$4:$G$79,0)),)</f>
        <v>0</v>
      </c>
    </row>
    <row r="100" spans="1:79" x14ac:dyDescent="0.2">
      <c r="A100" s="268">
        <f>TblRezone[[#This Row],[Hour]]</f>
        <v>97</v>
      </c>
      <c r="B100" s="269">
        <f ca="1">TblExplore[[#This Row],[Land-DB]]</f>
        <v>110</v>
      </c>
      <c r="C100" s="270">
        <f ca="1">TblProd[[#This Row],[Techpoints]]</f>
        <v>0</v>
      </c>
      <c r="D100" s="270">
        <f ca="1">TblProd[[#This Row],[Required]]</f>
        <v>3750</v>
      </c>
      <c r="E100" s="279"/>
      <c r="F100" s="280"/>
      <c r="G100" s="273"/>
      <c r="H100" s="274"/>
      <c r="I100" s="274"/>
      <c r="J100" s="274"/>
      <c r="K100" s="93">
        <f ca="1">IF(TblTech[[#This Row],[Sum of tech]]&lt;&gt;OFFSET(TblTech[[#This Row],[Sum of tech]],-1,0),1,0)</f>
        <v>0</v>
      </c>
      <c r="L100" s="275">
        <f>COUNTIF(TblTech[[#This Row],[1-1]:[11-1]],1)</f>
        <v>0</v>
      </c>
      <c r="M100" s="276" cm="1">
        <f t="array" ref="M100">IF(AND(M$2&lt;&gt;0,TblTech[[#This Row],[Hour]:[Hour]]&gt;=M$2),1,0)</f>
        <v>0</v>
      </c>
      <c r="N100" s="276" cm="1">
        <f t="array" ref="N100">IF(AND(N$2&lt;&gt;0,TblTech[[#This Row],[Hour]:[Hour]]&gt;=N$2),1,0)</f>
        <v>0</v>
      </c>
      <c r="O100" s="276" cm="1">
        <f t="array" ref="O100">IF(AND(O$2&lt;&gt;0,TblTech[[#This Row],[Hour]:[Hour]]&gt;=O$2),1,0)</f>
        <v>0</v>
      </c>
      <c r="P100" s="276" cm="1">
        <f t="array" ref="P100">IF(AND(P$2&lt;&gt;0,TblTech[[#This Row],[Hour]:[Hour]]&gt;=P$2),1,0)</f>
        <v>0</v>
      </c>
      <c r="Q100" s="276" cm="1">
        <f t="array" ref="Q100">IF(AND(Q$2&lt;&gt;0,TblTech[[#This Row],[Hour]:[Hour]]&gt;=Q$2),1,0)</f>
        <v>0</v>
      </c>
      <c r="R100" s="276" cm="1">
        <f t="array" ref="R100">IF(AND(R$2&lt;&gt;0,TblTech[[#This Row],[Hour]:[Hour]]&gt;=R$2),1,0)</f>
        <v>0</v>
      </c>
      <c r="S100" s="276" cm="1">
        <f t="array" ref="S100">IF(AND(S$2&lt;&gt;0,TblTech[[#This Row],[Hour]:[Hour]]&gt;=S$2),1,0)</f>
        <v>0</v>
      </c>
      <c r="T100" s="276" cm="1">
        <f t="array" ref="T100">IF(AND(T$2&lt;&gt;0,TblTech[[#This Row],[Hour]:[Hour]]&gt;=T$2),1,0)</f>
        <v>0</v>
      </c>
      <c r="U100" s="276" cm="1">
        <f t="array" ref="U100">IF(AND(U$2&lt;&gt;0,TblTech[[#This Row],[Hour]:[Hour]]&gt;=U$2),1,0)</f>
        <v>0</v>
      </c>
      <c r="V100" s="276" cm="1">
        <f t="array" ref="V100">IF(AND(V$2&lt;&gt;0,TblTech[[#This Row],[Hour]:[Hour]]&gt;=V$2),1,0)</f>
        <v>0</v>
      </c>
      <c r="W100" s="276" cm="1">
        <f t="array" ref="W100">IF(AND(W$2&lt;&gt;0,TblTech[[#This Row],[Hour]:[Hour]]&gt;=W$2),1,0)</f>
        <v>0</v>
      </c>
      <c r="X100" s="276" cm="1">
        <f t="array" ref="X100">IF(AND(X$2&lt;&gt;0,TblTech[[#This Row],[Hour]:[Hour]]&gt;=X$2),1,0)</f>
        <v>0</v>
      </c>
      <c r="Y100" s="276" cm="1">
        <f t="array" ref="Y100">IF(AND(Y$2&lt;&gt;0,TblTech[[#This Row],[Hour]:[Hour]]&gt;=Y$2),1,0)</f>
        <v>0</v>
      </c>
      <c r="Z100" s="276" cm="1">
        <f t="array" ref="Z100">IF(AND(Z$2&lt;&gt;0,TblTech[[#This Row],[Hour]:[Hour]]&gt;=Z$2),1,0)</f>
        <v>0</v>
      </c>
      <c r="AA100" s="276" cm="1">
        <f t="array" ref="AA100">IF(AND(AA$2&lt;&gt;0,TblTech[[#This Row],[Hour]:[Hour]]&gt;=AA$2),1,0)</f>
        <v>0</v>
      </c>
      <c r="AB100" s="276" cm="1">
        <f t="array" ref="AB100">IF(AND(AB$2&lt;&gt;0,TblTech[[#This Row],[Hour]:[Hour]]&gt;=AB$2),1,0)</f>
        <v>0</v>
      </c>
      <c r="AC100" s="276" cm="1">
        <f t="array" ref="AC100">IF(AND(AC$2&lt;&gt;0,TblTech[[#This Row],[Hour]:[Hour]]&gt;=AC$2),1,0)</f>
        <v>0</v>
      </c>
      <c r="AD100" s="276" cm="1">
        <f t="array" ref="AD100">IF(AND(AD$2&lt;&gt;0,TblTech[[#This Row],[Hour]:[Hour]]&gt;=AD$2),1,0)</f>
        <v>0</v>
      </c>
      <c r="AE100" s="276" cm="1">
        <f t="array" ref="AE100">IF(AND(AE$2&lt;&gt;0,TblTech[[#This Row],[Hour]:[Hour]]&gt;=AE$2),1,0)</f>
        <v>0</v>
      </c>
      <c r="AF100" s="276" cm="1">
        <f t="array" ref="AF100">IF(AND(AF$2&lt;&gt;0,TblTech[[#This Row],[Hour]:[Hour]]&gt;=AF$2),1,0)</f>
        <v>0</v>
      </c>
      <c r="AG100" s="276" cm="1">
        <f t="array" ref="AG100">IF(AND(AG$2&lt;&gt;0,TblTech[[#This Row],[Hour]:[Hour]]&gt;=AG$2),1,0)</f>
        <v>0</v>
      </c>
      <c r="AH100" s="276" cm="1">
        <f t="array" ref="AH100">IF(AND(AH$2&lt;&gt;0,TblTech[[#This Row],[Hour]:[Hour]]&gt;=AH$2),1,0)</f>
        <v>0</v>
      </c>
      <c r="AI100" s="276" cm="1">
        <f t="array" ref="AI100">IF(AND(AI$2&lt;&gt;0,TblTech[[#This Row],[Hour]:[Hour]]&gt;=AI$2),1,0)</f>
        <v>0</v>
      </c>
      <c r="AJ100" s="276" cm="1">
        <f t="array" ref="AJ100">IF(AND(AJ$2&lt;&gt;0,TblTech[[#This Row],[Hour]:[Hour]]&gt;=AJ$2),1,0)</f>
        <v>0</v>
      </c>
      <c r="AK100" s="276" cm="1">
        <f t="array" ref="AK100">IF(AND(AK$2&lt;&gt;0,TblTech[[#This Row],[Hour]:[Hour]]&gt;=AK$2),1,0)</f>
        <v>0</v>
      </c>
      <c r="AL100" s="276" cm="1">
        <f t="array" ref="AL100">IF(AND(AL$2&lt;&gt;0,TblTech[[#This Row],[Hour]:[Hour]]&gt;=AL$2),1,0)</f>
        <v>0</v>
      </c>
      <c r="AM100" s="276" cm="1">
        <f t="array" ref="AM100">IF(AND(AM$2&lt;&gt;0,TblTech[[#This Row],[Hour]:[Hour]]&gt;=AM$2),1,0)</f>
        <v>0</v>
      </c>
      <c r="AN100" s="276" cm="1">
        <f t="array" ref="AN100">IF(AND(AN$2&lt;&gt;0,TblTech[[#This Row],[Hour]:[Hour]]&gt;=AN$2),1,0)</f>
        <v>0</v>
      </c>
      <c r="AO100" s="276" cm="1">
        <f t="array" ref="AO100">IF(AND(AO$2&lt;&gt;0,TblTech[[#This Row],[Hour]:[Hour]]&gt;=AO$2),1,0)</f>
        <v>0</v>
      </c>
      <c r="AP100" s="276" cm="1">
        <f t="array" ref="AP100">IF(AND(AP$2&lt;&gt;0,TblTech[[#This Row],[Hour]:[Hour]]&gt;=AP$2),1,0)</f>
        <v>0</v>
      </c>
      <c r="AQ100" s="276" cm="1">
        <f t="array" ref="AQ100">IF(AND(AQ$2&lt;&gt;0,TblTech[[#This Row],[Hour]:[Hour]]&gt;=AQ$2),1,0)</f>
        <v>0</v>
      </c>
      <c r="AR100" s="276" cm="1">
        <f t="array" ref="AR100">IF(AND(AR$2&lt;&gt;0,TblTech[[#This Row],[Hour]:[Hour]]&gt;=AR$2),1,0)</f>
        <v>0</v>
      </c>
      <c r="AS100" s="276" cm="1">
        <f t="array" ref="AS100">IF(AND(AS$2&lt;&gt;0,TblTech[[#This Row],[Hour]:[Hour]]&gt;=AS$2),1,0)</f>
        <v>0</v>
      </c>
      <c r="AT100" s="276" cm="1">
        <f t="array" ref="AT100">IF(AND(AT$2&lt;&gt;0,TblTech[[#This Row],[Hour]:[Hour]]&gt;=AT$2),1,0)</f>
        <v>0</v>
      </c>
      <c r="AU100" s="276" cm="1">
        <f t="array" ref="AU100">IF(AND(AU$2&lt;&gt;0,TblTech[[#This Row],[Hour]:[Hour]]&gt;=AU$2),1,0)</f>
        <v>0</v>
      </c>
      <c r="AV100" s="276" cm="1">
        <f t="array" ref="AV100">IF(AND(AV$2&lt;&gt;0,TblTech[[#This Row],[Hour]:[Hour]]&gt;=AV$2),1,0)</f>
        <v>0</v>
      </c>
      <c r="AW100" s="276" cm="1">
        <f t="array" ref="AW100">IF(AND(AW$2&lt;&gt;0,TblTech[[#This Row],[Hour]:[Hour]]&gt;=AW$2),1,0)</f>
        <v>0</v>
      </c>
      <c r="AX100" s="276" cm="1">
        <f t="array" ref="AX100">IF(AND(AX$2&lt;&gt;0,TblTech[[#This Row],[Hour]:[Hour]]&gt;=AX$2),1,0)</f>
        <v>0</v>
      </c>
      <c r="AY100" s="276" cm="1">
        <f t="array" ref="AY100">IF(AND(AY$2&lt;&gt;0,TblTech[[#This Row],[Hour]:[Hour]]&gt;=AY$2),1,0)</f>
        <v>0</v>
      </c>
      <c r="AZ100" s="276" cm="1">
        <f t="array" ref="AZ100">IF(AND(AZ$2&lt;&gt;0,TblTech[[#This Row],[Hour]:[Hour]]&gt;=AZ$2),1,0)</f>
        <v>0</v>
      </c>
      <c r="BA100" s="276" cm="1">
        <f t="array" ref="BA100">IF(AND(BA$2&lt;&gt;0,TblTech[[#This Row],[Hour]:[Hour]]&gt;=BA$2),1,0)</f>
        <v>0</v>
      </c>
      <c r="BB100" s="276" cm="1">
        <f t="array" ref="BB100">IF(AND(BB$2&lt;&gt;0,TblTech[[#This Row],[Hour]:[Hour]]&gt;=BB$2),1,0)</f>
        <v>0</v>
      </c>
      <c r="BC100" s="276" cm="1">
        <f t="array" ref="BC100">IF(AND(BC$2&lt;&gt;0,TblTech[[#This Row],[Hour]:[Hour]]&gt;=BC$2),1,0)</f>
        <v>0</v>
      </c>
      <c r="BD100" s="276" cm="1">
        <f t="array" ref="BD100">IF(AND(BD$2&lt;&gt;0,TblTech[[#This Row],[Hour]:[Hour]]&gt;=BD$2),1,0)</f>
        <v>0</v>
      </c>
      <c r="BE100" s="276" cm="1">
        <f t="array" ref="BE100">IF(AND(BE$2&lt;&gt;0,TblTech[[#This Row],[Hour]:[Hour]]&gt;=BE$2),1,0)</f>
        <v>0</v>
      </c>
      <c r="BF100" s="276" cm="1">
        <f t="array" ref="BF100">IF(AND(BF$2&lt;&gt;0,TblTech[[#This Row],[Hour]:[Hour]]&gt;=BF$2),1,0)</f>
        <v>0</v>
      </c>
      <c r="BG100" s="276" cm="1">
        <f t="array" ref="BG100">IF(AND(BG$2&lt;&gt;0,TblTech[[#This Row],[Hour]:[Hour]]&gt;=BG$2),1,0)</f>
        <v>0</v>
      </c>
      <c r="BH100" s="276" cm="1">
        <f t="array" ref="BH100">IF(AND(BH$2&lt;&gt;0,TblTech[[#This Row],[Hour]:[Hour]]&gt;=BH$2),1,0)</f>
        <v>0</v>
      </c>
      <c r="BI100" s="276" cm="1">
        <f t="array" ref="BI100">IF(AND(BI$2&lt;&gt;0,TblTech[[#This Row],[Hour]:[Hour]]&gt;=BI$2),1,0)</f>
        <v>0</v>
      </c>
      <c r="BJ100" s="276" cm="1">
        <f t="array" ref="BJ100">IF(AND(BJ$2&lt;&gt;0,TblTech[[#This Row],[Hour]:[Hour]]&gt;=BJ$2),1,0)</f>
        <v>0</v>
      </c>
      <c r="BK100" s="276" cm="1">
        <f t="array" ref="BK100">IF(AND(BK$2&lt;&gt;0,TblTech[[#This Row],[Hour]:[Hour]]&gt;=BK$2),1,0)</f>
        <v>0</v>
      </c>
      <c r="BL100" s="276" cm="1">
        <f t="array" ref="BL100">IF(AND(BL$2&lt;&gt;0,TblTech[[#This Row],[Hour]:[Hour]]&gt;=BL$2),1,0)</f>
        <v>0</v>
      </c>
      <c r="BM100" s="276" cm="1">
        <f t="array" ref="BM100">IF(AND(BM$2&lt;&gt;0,TblTech[[#This Row],[Hour]:[Hour]]&gt;=BM$2),1,0)</f>
        <v>0</v>
      </c>
      <c r="BN100" s="276" cm="1">
        <f t="array" ref="BN100">IF(AND(BN$2&lt;&gt;0,TblTech[[#This Row],[Hour]:[Hour]]&gt;=BN$2),1,0)</f>
        <v>0</v>
      </c>
      <c r="BO100" s="276" cm="1">
        <f t="array" ref="BO100">IF(AND(BO$2&lt;&gt;0,TblTech[[#This Row],[Hour]:[Hour]]&gt;=BO$2),1,0)</f>
        <v>0</v>
      </c>
      <c r="BP100" s="276" cm="1">
        <f t="array" ref="BP100">IF(AND(BP$2&lt;&gt;0,TblTech[[#This Row],[Hour]:[Hour]]&gt;=BP$2),1,0)</f>
        <v>0</v>
      </c>
      <c r="BQ100" s="276" cm="1">
        <f t="array" ref="BQ100">IF(AND(BQ$2&lt;&gt;0,TblTech[[#This Row],[Hour]:[Hour]]&gt;=BQ$2),1,0)</f>
        <v>0</v>
      </c>
      <c r="BR100" s="276" cm="1">
        <f t="array" ref="BR100">IF(AND(BR$2&lt;&gt;0,TblTech[[#This Row],[Hour]:[Hour]]&gt;=BR$2),1,0)</f>
        <v>0</v>
      </c>
      <c r="BS100" s="276" cm="1">
        <f t="array" ref="BS100">IF(AND(BS$2&lt;&gt;0,TblTech[[#This Row],[Hour]:[Hour]]&gt;=BS$2),1,0)</f>
        <v>0</v>
      </c>
      <c r="BT100" s="276" cm="1">
        <f t="array" ref="BT100">IF(AND(BT$2&lt;&gt;0,TblTech[[#This Row],[Hour]:[Hour]]&gt;=BT$2),1,0)</f>
        <v>0</v>
      </c>
      <c r="BU100" s="276" cm="1">
        <f t="array" ref="BU100">IF(AND(BU$2&lt;&gt;0,TblTech[[#This Row],[Hour]:[Hour]]&gt;=BU$2),1,0)</f>
        <v>0</v>
      </c>
      <c r="BV100" s="276" cm="1">
        <f t="array" ref="BV100">IF(AND(BV$2&lt;&gt;0,TblTech[[#This Row],[Hour]:[Hour]]&gt;=BV$2),1,0)</f>
        <v>0</v>
      </c>
      <c r="BW100" s="276" cm="1">
        <f t="array" ref="BW100">IF(AND(BW$2&lt;&gt;0,TblTech[[#This Row],[Hour]:[Hour]]&gt;=BW$2),1,0)</f>
        <v>0</v>
      </c>
      <c r="BX100" s="276" cm="1">
        <f t="array" ref="BX100">IF(AND(BX$2&lt;&gt;0,TblTech[[#This Row],[Hour]:[Hour]]&gt;=BX$2),1,0)</f>
        <v>0</v>
      </c>
      <c r="BY100" s="276" cm="1">
        <f t="array" ref="BY100">IF(AND(BY$2&lt;&gt;0,TblTech[[#This Row],[Hour]:[Hour]]&gt;=BY$2),1,0)</f>
        <v>0</v>
      </c>
      <c r="BZ100" s="276" cm="1">
        <f t="array" ref="BZ100">IF(AND(BZ$2&lt;&gt;0,TblTech[[#This Row],[Hour]:[Hour]]&gt;=BZ$2),1,0)</f>
        <v>0</v>
      </c>
      <c r="CA100" s="377">
        <f>IFERROR(INDEX($H$4:$H$79,MATCH(INDEX(TblTech[[#Headers],[1-1]:[11-1]],1,MATCH(TblTech[[#This Row],[Hour]],$M$2:$BZ$2,0)),$G$4:$G$79,0)),)</f>
        <v>0</v>
      </c>
    </row>
    <row r="101" spans="1:79" x14ac:dyDescent="0.2">
      <c r="A101" s="268">
        <f>TblRezone[[#This Row],[Hour]]</f>
        <v>98</v>
      </c>
      <c r="B101" s="269">
        <f ca="1">TblExplore[[#This Row],[Land-DB]]</f>
        <v>110</v>
      </c>
      <c r="C101" s="270">
        <f ca="1">TblProd[[#This Row],[Techpoints]]</f>
        <v>0</v>
      </c>
      <c r="D101" s="270">
        <f ca="1">TblProd[[#This Row],[Required]]</f>
        <v>3750</v>
      </c>
      <c r="E101" s="279"/>
      <c r="F101" s="280"/>
      <c r="G101" s="273"/>
      <c r="H101" s="274"/>
      <c r="I101" s="274"/>
      <c r="J101" s="274"/>
      <c r="K101" s="93">
        <f ca="1">IF(TblTech[[#This Row],[Sum of tech]]&lt;&gt;OFFSET(TblTech[[#This Row],[Sum of tech]],-1,0),1,0)</f>
        <v>0</v>
      </c>
      <c r="L101" s="275">
        <f>COUNTIF(TblTech[[#This Row],[1-1]:[11-1]],1)</f>
        <v>0</v>
      </c>
      <c r="M101" s="276" cm="1">
        <f t="array" ref="M101">IF(AND(M$2&lt;&gt;0,TblTech[[#This Row],[Hour]:[Hour]]&gt;=M$2),1,0)</f>
        <v>0</v>
      </c>
      <c r="N101" s="276" cm="1">
        <f t="array" ref="N101">IF(AND(N$2&lt;&gt;0,TblTech[[#This Row],[Hour]:[Hour]]&gt;=N$2),1,0)</f>
        <v>0</v>
      </c>
      <c r="O101" s="276" cm="1">
        <f t="array" ref="O101">IF(AND(O$2&lt;&gt;0,TblTech[[#This Row],[Hour]:[Hour]]&gt;=O$2),1,0)</f>
        <v>0</v>
      </c>
      <c r="P101" s="276" cm="1">
        <f t="array" ref="P101">IF(AND(P$2&lt;&gt;0,TblTech[[#This Row],[Hour]:[Hour]]&gt;=P$2),1,0)</f>
        <v>0</v>
      </c>
      <c r="Q101" s="276" cm="1">
        <f t="array" ref="Q101">IF(AND(Q$2&lt;&gt;0,TblTech[[#This Row],[Hour]:[Hour]]&gt;=Q$2),1,0)</f>
        <v>0</v>
      </c>
      <c r="R101" s="276" cm="1">
        <f t="array" ref="R101">IF(AND(R$2&lt;&gt;0,TblTech[[#This Row],[Hour]:[Hour]]&gt;=R$2),1,0)</f>
        <v>0</v>
      </c>
      <c r="S101" s="276" cm="1">
        <f t="array" ref="S101">IF(AND(S$2&lt;&gt;0,TblTech[[#This Row],[Hour]:[Hour]]&gt;=S$2),1,0)</f>
        <v>0</v>
      </c>
      <c r="T101" s="276" cm="1">
        <f t="array" ref="T101">IF(AND(T$2&lt;&gt;0,TblTech[[#This Row],[Hour]:[Hour]]&gt;=T$2),1,0)</f>
        <v>0</v>
      </c>
      <c r="U101" s="276" cm="1">
        <f t="array" ref="U101">IF(AND(U$2&lt;&gt;0,TblTech[[#This Row],[Hour]:[Hour]]&gt;=U$2),1,0)</f>
        <v>0</v>
      </c>
      <c r="V101" s="276" cm="1">
        <f t="array" ref="V101">IF(AND(V$2&lt;&gt;0,TblTech[[#This Row],[Hour]:[Hour]]&gt;=V$2),1,0)</f>
        <v>0</v>
      </c>
      <c r="W101" s="276" cm="1">
        <f t="array" ref="W101">IF(AND(W$2&lt;&gt;0,TblTech[[#This Row],[Hour]:[Hour]]&gt;=W$2),1,0)</f>
        <v>0</v>
      </c>
      <c r="X101" s="276" cm="1">
        <f t="array" ref="X101">IF(AND(X$2&lt;&gt;0,TblTech[[#This Row],[Hour]:[Hour]]&gt;=X$2),1,0)</f>
        <v>0</v>
      </c>
      <c r="Y101" s="276" cm="1">
        <f t="array" ref="Y101">IF(AND(Y$2&lt;&gt;0,TblTech[[#This Row],[Hour]:[Hour]]&gt;=Y$2),1,0)</f>
        <v>0</v>
      </c>
      <c r="Z101" s="276" cm="1">
        <f t="array" ref="Z101">IF(AND(Z$2&lt;&gt;0,TblTech[[#This Row],[Hour]:[Hour]]&gt;=Z$2),1,0)</f>
        <v>0</v>
      </c>
      <c r="AA101" s="276" cm="1">
        <f t="array" ref="AA101">IF(AND(AA$2&lt;&gt;0,TblTech[[#This Row],[Hour]:[Hour]]&gt;=AA$2),1,0)</f>
        <v>0</v>
      </c>
      <c r="AB101" s="276" cm="1">
        <f t="array" ref="AB101">IF(AND(AB$2&lt;&gt;0,TblTech[[#This Row],[Hour]:[Hour]]&gt;=AB$2),1,0)</f>
        <v>0</v>
      </c>
      <c r="AC101" s="276" cm="1">
        <f t="array" ref="AC101">IF(AND(AC$2&lt;&gt;0,TblTech[[#This Row],[Hour]:[Hour]]&gt;=AC$2),1,0)</f>
        <v>0</v>
      </c>
      <c r="AD101" s="276" cm="1">
        <f t="array" ref="AD101">IF(AND(AD$2&lt;&gt;0,TblTech[[#This Row],[Hour]:[Hour]]&gt;=AD$2),1,0)</f>
        <v>0</v>
      </c>
      <c r="AE101" s="276" cm="1">
        <f t="array" ref="AE101">IF(AND(AE$2&lt;&gt;0,TblTech[[#This Row],[Hour]:[Hour]]&gt;=AE$2),1,0)</f>
        <v>0</v>
      </c>
      <c r="AF101" s="276" cm="1">
        <f t="array" ref="AF101">IF(AND(AF$2&lt;&gt;0,TblTech[[#This Row],[Hour]:[Hour]]&gt;=AF$2),1,0)</f>
        <v>0</v>
      </c>
      <c r="AG101" s="276" cm="1">
        <f t="array" ref="AG101">IF(AND(AG$2&lt;&gt;0,TblTech[[#This Row],[Hour]:[Hour]]&gt;=AG$2),1,0)</f>
        <v>0</v>
      </c>
      <c r="AH101" s="276" cm="1">
        <f t="array" ref="AH101">IF(AND(AH$2&lt;&gt;0,TblTech[[#This Row],[Hour]:[Hour]]&gt;=AH$2),1,0)</f>
        <v>0</v>
      </c>
      <c r="AI101" s="276" cm="1">
        <f t="array" ref="AI101">IF(AND(AI$2&lt;&gt;0,TblTech[[#This Row],[Hour]:[Hour]]&gt;=AI$2),1,0)</f>
        <v>0</v>
      </c>
      <c r="AJ101" s="276" cm="1">
        <f t="array" ref="AJ101">IF(AND(AJ$2&lt;&gt;0,TblTech[[#This Row],[Hour]:[Hour]]&gt;=AJ$2),1,0)</f>
        <v>0</v>
      </c>
      <c r="AK101" s="276" cm="1">
        <f t="array" ref="AK101">IF(AND(AK$2&lt;&gt;0,TblTech[[#This Row],[Hour]:[Hour]]&gt;=AK$2),1,0)</f>
        <v>0</v>
      </c>
      <c r="AL101" s="276" cm="1">
        <f t="array" ref="AL101">IF(AND(AL$2&lt;&gt;0,TblTech[[#This Row],[Hour]:[Hour]]&gt;=AL$2),1,0)</f>
        <v>0</v>
      </c>
      <c r="AM101" s="276" cm="1">
        <f t="array" ref="AM101">IF(AND(AM$2&lt;&gt;0,TblTech[[#This Row],[Hour]:[Hour]]&gt;=AM$2),1,0)</f>
        <v>0</v>
      </c>
      <c r="AN101" s="276" cm="1">
        <f t="array" ref="AN101">IF(AND(AN$2&lt;&gt;0,TblTech[[#This Row],[Hour]:[Hour]]&gt;=AN$2),1,0)</f>
        <v>0</v>
      </c>
      <c r="AO101" s="276" cm="1">
        <f t="array" ref="AO101">IF(AND(AO$2&lt;&gt;0,TblTech[[#This Row],[Hour]:[Hour]]&gt;=AO$2),1,0)</f>
        <v>0</v>
      </c>
      <c r="AP101" s="276" cm="1">
        <f t="array" ref="AP101">IF(AND(AP$2&lt;&gt;0,TblTech[[#This Row],[Hour]:[Hour]]&gt;=AP$2),1,0)</f>
        <v>0</v>
      </c>
      <c r="AQ101" s="276" cm="1">
        <f t="array" ref="AQ101">IF(AND(AQ$2&lt;&gt;0,TblTech[[#This Row],[Hour]:[Hour]]&gt;=AQ$2),1,0)</f>
        <v>0</v>
      </c>
      <c r="AR101" s="276" cm="1">
        <f t="array" ref="AR101">IF(AND(AR$2&lt;&gt;0,TblTech[[#This Row],[Hour]:[Hour]]&gt;=AR$2),1,0)</f>
        <v>0</v>
      </c>
      <c r="AS101" s="276" cm="1">
        <f t="array" ref="AS101">IF(AND(AS$2&lt;&gt;0,TblTech[[#This Row],[Hour]:[Hour]]&gt;=AS$2),1,0)</f>
        <v>0</v>
      </c>
      <c r="AT101" s="276" cm="1">
        <f t="array" ref="AT101">IF(AND(AT$2&lt;&gt;0,TblTech[[#This Row],[Hour]:[Hour]]&gt;=AT$2),1,0)</f>
        <v>0</v>
      </c>
      <c r="AU101" s="276" cm="1">
        <f t="array" ref="AU101">IF(AND(AU$2&lt;&gt;0,TblTech[[#This Row],[Hour]:[Hour]]&gt;=AU$2),1,0)</f>
        <v>0</v>
      </c>
      <c r="AV101" s="276" cm="1">
        <f t="array" ref="AV101">IF(AND(AV$2&lt;&gt;0,TblTech[[#This Row],[Hour]:[Hour]]&gt;=AV$2),1,0)</f>
        <v>0</v>
      </c>
      <c r="AW101" s="276" cm="1">
        <f t="array" ref="AW101">IF(AND(AW$2&lt;&gt;0,TblTech[[#This Row],[Hour]:[Hour]]&gt;=AW$2),1,0)</f>
        <v>0</v>
      </c>
      <c r="AX101" s="276" cm="1">
        <f t="array" ref="AX101">IF(AND(AX$2&lt;&gt;0,TblTech[[#This Row],[Hour]:[Hour]]&gt;=AX$2),1,0)</f>
        <v>0</v>
      </c>
      <c r="AY101" s="276" cm="1">
        <f t="array" ref="AY101">IF(AND(AY$2&lt;&gt;0,TblTech[[#This Row],[Hour]:[Hour]]&gt;=AY$2),1,0)</f>
        <v>0</v>
      </c>
      <c r="AZ101" s="276" cm="1">
        <f t="array" ref="AZ101">IF(AND(AZ$2&lt;&gt;0,TblTech[[#This Row],[Hour]:[Hour]]&gt;=AZ$2),1,0)</f>
        <v>0</v>
      </c>
      <c r="BA101" s="276" cm="1">
        <f t="array" ref="BA101">IF(AND(BA$2&lt;&gt;0,TblTech[[#This Row],[Hour]:[Hour]]&gt;=BA$2),1,0)</f>
        <v>0</v>
      </c>
      <c r="BB101" s="276" cm="1">
        <f t="array" ref="BB101">IF(AND(BB$2&lt;&gt;0,TblTech[[#This Row],[Hour]:[Hour]]&gt;=BB$2),1,0)</f>
        <v>0</v>
      </c>
      <c r="BC101" s="276" cm="1">
        <f t="array" ref="BC101">IF(AND(BC$2&lt;&gt;0,TblTech[[#This Row],[Hour]:[Hour]]&gt;=BC$2),1,0)</f>
        <v>0</v>
      </c>
      <c r="BD101" s="276" cm="1">
        <f t="array" ref="BD101">IF(AND(BD$2&lt;&gt;0,TblTech[[#This Row],[Hour]:[Hour]]&gt;=BD$2),1,0)</f>
        <v>0</v>
      </c>
      <c r="BE101" s="276" cm="1">
        <f t="array" ref="BE101">IF(AND(BE$2&lt;&gt;0,TblTech[[#This Row],[Hour]:[Hour]]&gt;=BE$2),1,0)</f>
        <v>0</v>
      </c>
      <c r="BF101" s="276" cm="1">
        <f t="array" ref="BF101">IF(AND(BF$2&lt;&gt;0,TblTech[[#This Row],[Hour]:[Hour]]&gt;=BF$2),1,0)</f>
        <v>0</v>
      </c>
      <c r="BG101" s="276" cm="1">
        <f t="array" ref="BG101">IF(AND(BG$2&lt;&gt;0,TblTech[[#This Row],[Hour]:[Hour]]&gt;=BG$2),1,0)</f>
        <v>0</v>
      </c>
      <c r="BH101" s="276" cm="1">
        <f t="array" ref="BH101">IF(AND(BH$2&lt;&gt;0,TblTech[[#This Row],[Hour]:[Hour]]&gt;=BH$2),1,0)</f>
        <v>0</v>
      </c>
      <c r="BI101" s="276" cm="1">
        <f t="array" ref="BI101">IF(AND(BI$2&lt;&gt;0,TblTech[[#This Row],[Hour]:[Hour]]&gt;=BI$2),1,0)</f>
        <v>0</v>
      </c>
      <c r="BJ101" s="276" cm="1">
        <f t="array" ref="BJ101">IF(AND(BJ$2&lt;&gt;0,TblTech[[#This Row],[Hour]:[Hour]]&gt;=BJ$2),1,0)</f>
        <v>0</v>
      </c>
      <c r="BK101" s="276" cm="1">
        <f t="array" ref="BK101">IF(AND(BK$2&lt;&gt;0,TblTech[[#This Row],[Hour]:[Hour]]&gt;=BK$2),1,0)</f>
        <v>0</v>
      </c>
      <c r="BL101" s="276" cm="1">
        <f t="array" ref="BL101">IF(AND(BL$2&lt;&gt;0,TblTech[[#This Row],[Hour]:[Hour]]&gt;=BL$2),1,0)</f>
        <v>0</v>
      </c>
      <c r="BM101" s="276" cm="1">
        <f t="array" ref="BM101">IF(AND(BM$2&lt;&gt;0,TblTech[[#This Row],[Hour]:[Hour]]&gt;=BM$2),1,0)</f>
        <v>0</v>
      </c>
      <c r="BN101" s="276" cm="1">
        <f t="array" ref="BN101">IF(AND(BN$2&lt;&gt;0,TblTech[[#This Row],[Hour]:[Hour]]&gt;=BN$2),1,0)</f>
        <v>0</v>
      </c>
      <c r="BO101" s="276" cm="1">
        <f t="array" ref="BO101">IF(AND(BO$2&lt;&gt;0,TblTech[[#This Row],[Hour]:[Hour]]&gt;=BO$2),1,0)</f>
        <v>0</v>
      </c>
      <c r="BP101" s="276" cm="1">
        <f t="array" ref="BP101">IF(AND(BP$2&lt;&gt;0,TblTech[[#This Row],[Hour]:[Hour]]&gt;=BP$2),1,0)</f>
        <v>0</v>
      </c>
      <c r="BQ101" s="276" cm="1">
        <f t="array" ref="BQ101">IF(AND(BQ$2&lt;&gt;0,TblTech[[#This Row],[Hour]:[Hour]]&gt;=BQ$2),1,0)</f>
        <v>0</v>
      </c>
      <c r="BR101" s="276" cm="1">
        <f t="array" ref="BR101">IF(AND(BR$2&lt;&gt;0,TblTech[[#This Row],[Hour]:[Hour]]&gt;=BR$2),1,0)</f>
        <v>0</v>
      </c>
      <c r="BS101" s="276" cm="1">
        <f t="array" ref="BS101">IF(AND(BS$2&lt;&gt;0,TblTech[[#This Row],[Hour]:[Hour]]&gt;=BS$2),1,0)</f>
        <v>0</v>
      </c>
      <c r="BT101" s="276" cm="1">
        <f t="array" ref="BT101">IF(AND(BT$2&lt;&gt;0,TblTech[[#This Row],[Hour]:[Hour]]&gt;=BT$2),1,0)</f>
        <v>0</v>
      </c>
      <c r="BU101" s="276" cm="1">
        <f t="array" ref="BU101">IF(AND(BU$2&lt;&gt;0,TblTech[[#This Row],[Hour]:[Hour]]&gt;=BU$2),1,0)</f>
        <v>0</v>
      </c>
      <c r="BV101" s="276" cm="1">
        <f t="array" ref="BV101">IF(AND(BV$2&lt;&gt;0,TblTech[[#This Row],[Hour]:[Hour]]&gt;=BV$2),1,0)</f>
        <v>0</v>
      </c>
      <c r="BW101" s="276" cm="1">
        <f t="array" ref="BW101">IF(AND(BW$2&lt;&gt;0,TblTech[[#This Row],[Hour]:[Hour]]&gt;=BW$2),1,0)</f>
        <v>0</v>
      </c>
      <c r="BX101" s="276" cm="1">
        <f t="array" ref="BX101">IF(AND(BX$2&lt;&gt;0,TblTech[[#This Row],[Hour]:[Hour]]&gt;=BX$2),1,0)</f>
        <v>0</v>
      </c>
      <c r="BY101" s="276" cm="1">
        <f t="array" ref="BY101">IF(AND(BY$2&lt;&gt;0,TblTech[[#This Row],[Hour]:[Hour]]&gt;=BY$2),1,0)</f>
        <v>0</v>
      </c>
      <c r="BZ101" s="276" cm="1">
        <f t="array" ref="BZ101">IF(AND(BZ$2&lt;&gt;0,TblTech[[#This Row],[Hour]:[Hour]]&gt;=BZ$2),1,0)</f>
        <v>0</v>
      </c>
      <c r="CA101" s="377">
        <f>IFERROR(INDEX($H$4:$H$79,MATCH(INDEX(TblTech[[#Headers],[1-1]:[11-1]],1,MATCH(TblTech[[#This Row],[Hour]],$M$2:$BZ$2,0)),$G$4:$G$79,0)),)</f>
        <v>0</v>
      </c>
    </row>
    <row r="102" spans="1:79" x14ac:dyDescent="0.2">
      <c r="A102" s="268">
        <f>TblRezone[[#This Row],[Hour]]</f>
        <v>99</v>
      </c>
      <c r="B102" s="269">
        <f ca="1">TblExplore[[#This Row],[Land-DB]]</f>
        <v>110</v>
      </c>
      <c r="C102" s="270">
        <f ca="1">TblProd[[#This Row],[Techpoints]]</f>
        <v>0</v>
      </c>
      <c r="D102" s="270">
        <f ca="1">TblProd[[#This Row],[Required]]</f>
        <v>3750</v>
      </c>
      <c r="E102" s="279"/>
      <c r="F102" s="280"/>
      <c r="G102" s="273"/>
      <c r="H102" s="274"/>
      <c r="I102" s="274"/>
      <c r="J102" s="274"/>
      <c r="K102" s="93">
        <f ca="1">IF(TblTech[[#This Row],[Sum of tech]]&lt;&gt;OFFSET(TblTech[[#This Row],[Sum of tech]],-1,0),1,0)</f>
        <v>0</v>
      </c>
      <c r="L102" s="275">
        <f>COUNTIF(TblTech[[#This Row],[1-1]:[11-1]],1)</f>
        <v>0</v>
      </c>
      <c r="M102" s="276" cm="1">
        <f t="array" ref="M102">IF(AND(M$2&lt;&gt;0,TblTech[[#This Row],[Hour]:[Hour]]&gt;=M$2),1,0)</f>
        <v>0</v>
      </c>
      <c r="N102" s="276" cm="1">
        <f t="array" ref="N102">IF(AND(N$2&lt;&gt;0,TblTech[[#This Row],[Hour]:[Hour]]&gt;=N$2),1,0)</f>
        <v>0</v>
      </c>
      <c r="O102" s="276" cm="1">
        <f t="array" ref="O102">IF(AND(O$2&lt;&gt;0,TblTech[[#This Row],[Hour]:[Hour]]&gt;=O$2),1,0)</f>
        <v>0</v>
      </c>
      <c r="P102" s="276" cm="1">
        <f t="array" ref="P102">IF(AND(P$2&lt;&gt;0,TblTech[[#This Row],[Hour]:[Hour]]&gt;=P$2),1,0)</f>
        <v>0</v>
      </c>
      <c r="Q102" s="276" cm="1">
        <f t="array" ref="Q102">IF(AND(Q$2&lt;&gt;0,TblTech[[#This Row],[Hour]:[Hour]]&gt;=Q$2),1,0)</f>
        <v>0</v>
      </c>
      <c r="R102" s="276" cm="1">
        <f t="array" ref="R102">IF(AND(R$2&lt;&gt;0,TblTech[[#This Row],[Hour]:[Hour]]&gt;=R$2),1,0)</f>
        <v>0</v>
      </c>
      <c r="S102" s="276" cm="1">
        <f t="array" ref="S102">IF(AND(S$2&lt;&gt;0,TblTech[[#This Row],[Hour]:[Hour]]&gt;=S$2),1,0)</f>
        <v>0</v>
      </c>
      <c r="T102" s="276" cm="1">
        <f t="array" ref="T102">IF(AND(T$2&lt;&gt;0,TblTech[[#This Row],[Hour]:[Hour]]&gt;=T$2),1,0)</f>
        <v>0</v>
      </c>
      <c r="U102" s="276" cm="1">
        <f t="array" ref="U102">IF(AND(U$2&lt;&gt;0,TblTech[[#This Row],[Hour]:[Hour]]&gt;=U$2),1,0)</f>
        <v>0</v>
      </c>
      <c r="V102" s="276" cm="1">
        <f t="array" ref="V102">IF(AND(V$2&lt;&gt;0,TblTech[[#This Row],[Hour]:[Hour]]&gt;=V$2),1,0)</f>
        <v>0</v>
      </c>
      <c r="W102" s="276" cm="1">
        <f t="array" ref="W102">IF(AND(W$2&lt;&gt;0,TblTech[[#This Row],[Hour]:[Hour]]&gt;=W$2),1,0)</f>
        <v>0</v>
      </c>
      <c r="X102" s="276" cm="1">
        <f t="array" ref="X102">IF(AND(X$2&lt;&gt;0,TblTech[[#This Row],[Hour]:[Hour]]&gt;=X$2),1,0)</f>
        <v>0</v>
      </c>
      <c r="Y102" s="276" cm="1">
        <f t="array" ref="Y102">IF(AND(Y$2&lt;&gt;0,TblTech[[#This Row],[Hour]:[Hour]]&gt;=Y$2),1,0)</f>
        <v>0</v>
      </c>
      <c r="Z102" s="276" cm="1">
        <f t="array" ref="Z102">IF(AND(Z$2&lt;&gt;0,TblTech[[#This Row],[Hour]:[Hour]]&gt;=Z$2),1,0)</f>
        <v>0</v>
      </c>
      <c r="AA102" s="276" cm="1">
        <f t="array" ref="AA102">IF(AND(AA$2&lt;&gt;0,TblTech[[#This Row],[Hour]:[Hour]]&gt;=AA$2),1,0)</f>
        <v>0</v>
      </c>
      <c r="AB102" s="276" cm="1">
        <f t="array" ref="AB102">IF(AND(AB$2&lt;&gt;0,TblTech[[#This Row],[Hour]:[Hour]]&gt;=AB$2),1,0)</f>
        <v>0</v>
      </c>
      <c r="AC102" s="276" cm="1">
        <f t="array" ref="AC102">IF(AND(AC$2&lt;&gt;0,TblTech[[#This Row],[Hour]:[Hour]]&gt;=AC$2),1,0)</f>
        <v>0</v>
      </c>
      <c r="AD102" s="276" cm="1">
        <f t="array" ref="AD102">IF(AND(AD$2&lt;&gt;0,TblTech[[#This Row],[Hour]:[Hour]]&gt;=AD$2),1,0)</f>
        <v>0</v>
      </c>
      <c r="AE102" s="276" cm="1">
        <f t="array" ref="AE102">IF(AND(AE$2&lt;&gt;0,TblTech[[#This Row],[Hour]:[Hour]]&gt;=AE$2),1,0)</f>
        <v>0</v>
      </c>
      <c r="AF102" s="276" cm="1">
        <f t="array" ref="AF102">IF(AND(AF$2&lt;&gt;0,TblTech[[#This Row],[Hour]:[Hour]]&gt;=AF$2),1,0)</f>
        <v>0</v>
      </c>
      <c r="AG102" s="276" cm="1">
        <f t="array" ref="AG102">IF(AND(AG$2&lt;&gt;0,TblTech[[#This Row],[Hour]:[Hour]]&gt;=AG$2),1,0)</f>
        <v>0</v>
      </c>
      <c r="AH102" s="276" cm="1">
        <f t="array" ref="AH102">IF(AND(AH$2&lt;&gt;0,TblTech[[#This Row],[Hour]:[Hour]]&gt;=AH$2),1,0)</f>
        <v>0</v>
      </c>
      <c r="AI102" s="276" cm="1">
        <f t="array" ref="AI102">IF(AND(AI$2&lt;&gt;0,TblTech[[#This Row],[Hour]:[Hour]]&gt;=AI$2),1,0)</f>
        <v>0</v>
      </c>
      <c r="AJ102" s="276" cm="1">
        <f t="array" ref="AJ102">IF(AND(AJ$2&lt;&gt;0,TblTech[[#This Row],[Hour]:[Hour]]&gt;=AJ$2),1,0)</f>
        <v>0</v>
      </c>
      <c r="AK102" s="276" cm="1">
        <f t="array" ref="AK102">IF(AND(AK$2&lt;&gt;0,TblTech[[#This Row],[Hour]:[Hour]]&gt;=AK$2),1,0)</f>
        <v>0</v>
      </c>
      <c r="AL102" s="276" cm="1">
        <f t="array" ref="AL102">IF(AND(AL$2&lt;&gt;0,TblTech[[#This Row],[Hour]:[Hour]]&gt;=AL$2),1,0)</f>
        <v>0</v>
      </c>
      <c r="AM102" s="276" cm="1">
        <f t="array" ref="AM102">IF(AND(AM$2&lt;&gt;0,TblTech[[#This Row],[Hour]:[Hour]]&gt;=AM$2),1,0)</f>
        <v>0</v>
      </c>
      <c r="AN102" s="276" cm="1">
        <f t="array" ref="AN102">IF(AND(AN$2&lt;&gt;0,TblTech[[#This Row],[Hour]:[Hour]]&gt;=AN$2),1,0)</f>
        <v>0</v>
      </c>
      <c r="AO102" s="276" cm="1">
        <f t="array" ref="AO102">IF(AND(AO$2&lt;&gt;0,TblTech[[#This Row],[Hour]:[Hour]]&gt;=AO$2),1,0)</f>
        <v>0</v>
      </c>
      <c r="AP102" s="276" cm="1">
        <f t="array" ref="AP102">IF(AND(AP$2&lt;&gt;0,TblTech[[#This Row],[Hour]:[Hour]]&gt;=AP$2),1,0)</f>
        <v>0</v>
      </c>
      <c r="AQ102" s="276" cm="1">
        <f t="array" ref="AQ102">IF(AND(AQ$2&lt;&gt;0,TblTech[[#This Row],[Hour]:[Hour]]&gt;=AQ$2),1,0)</f>
        <v>0</v>
      </c>
      <c r="AR102" s="276" cm="1">
        <f t="array" ref="AR102">IF(AND(AR$2&lt;&gt;0,TblTech[[#This Row],[Hour]:[Hour]]&gt;=AR$2),1,0)</f>
        <v>0</v>
      </c>
      <c r="AS102" s="276" cm="1">
        <f t="array" ref="AS102">IF(AND(AS$2&lt;&gt;0,TblTech[[#This Row],[Hour]:[Hour]]&gt;=AS$2),1,0)</f>
        <v>0</v>
      </c>
      <c r="AT102" s="276" cm="1">
        <f t="array" ref="AT102">IF(AND(AT$2&lt;&gt;0,TblTech[[#This Row],[Hour]:[Hour]]&gt;=AT$2),1,0)</f>
        <v>0</v>
      </c>
      <c r="AU102" s="276" cm="1">
        <f t="array" ref="AU102">IF(AND(AU$2&lt;&gt;0,TblTech[[#This Row],[Hour]:[Hour]]&gt;=AU$2),1,0)</f>
        <v>0</v>
      </c>
      <c r="AV102" s="276" cm="1">
        <f t="array" ref="AV102">IF(AND(AV$2&lt;&gt;0,TblTech[[#This Row],[Hour]:[Hour]]&gt;=AV$2),1,0)</f>
        <v>0</v>
      </c>
      <c r="AW102" s="276" cm="1">
        <f t="array" ref="AW102">IF(AND(AW$2&lt;&gt;0,TblTech[[#This Row],[Hour]:[Hour]]&gt;=AW$2),1,0)</f>
        <v>0</v>
      </c>
      <c r="AX102" s="276" cm="1">
        <f t="array" ref="AX102">IF(AND(AX$2&lt;&gt;0,TblTech[[#This Row],[Hour]:[Hour]]&gt;=AX$2),1,0)</f>
        <v>0</v>
      </c>
      <c r="AY102" s="276" cm="1">
        <f t="array" ref="AY102">IF(AND(AY$2&lt;&gt;0,TblTech[[#This Row],[Hour]:[Hour]]&gt;=AY$2),1,0)</f>
        <v>0</v>
      </c>
      <c r="AZ102" s="276" cm="1">
        <f t="array" ref="AZ102">IF(AND(AZ$2&lt;&gt;0,TblTech[[#This Row],[Hour]:[Hour]]&gt;=AZ$2),1,0)</f>
        <v>0</v>
      </c>
      <c r="BA102" s="276" cm="1">
        <f t="array" ref="BA102">IF(AND(BA$2&lt;&gt;0,TblTech[[#This Row],[Hour]:[Hour]]&gt;=BA$2),1,0)</f>
        <v>0</v>
      </c>
      <c r="BB102" s="276" cm="1">
        <f t="array" ref="BB102">IF(AND(BB$2&lt;&gt;0,TblTech[[#This Row],[Hour]:[Hour]]&gt;=BB$2),1,0)</f>
        <v>0</v>
      </c>
      <c r="BC102" s="276" cm="1">
        <f t="array" ref="BC102">IF(AND(BC$2&lt;&gt;0,TblTech[[#This Row],[Hour]:[Hour]]&gt;=BC$2),1,0)</f>
        <v>0</v>
      </c>
      <c r="BD102" s="276" cm="1">
        <f t="array" ref="BD102">IF(AND(BD$2&lt;&gt;0,TblTech[[#This Row],[Hour]:[Hour]]&gt;=BD$2),1,0)</f>
        <v>0</v>
      </c>
      <c r="BE102" s="276" cm="1">
        <f t="array" ref="BE102">IF(AND(BE$2&lt;&gt;0,TblTech[[#This Row],[Hour]:[Hour]]&gt;=BE$2),1,0)</f>
        <v>0</v>
      </c>
      <c r="BF102" s="276" cm="1">
        <f t="array" ref="BF102">IF(AND(BF$2&lt;&gt;0,TblTech[[#This Row],[Hour]:[Hour]]&gt;=BF$2),1,0)</f>
        <v>0</v>
      </c>
      <c r="BG102" s="276" cm="1">
        <f t="array" ref="BG102">IF(AND(BG$2&lt;&gt;0,TblTech[[#This Row],[Hour]:[Hour]]&gt;=BG$2),1,0)</f>
        <v>0</v>
      </c>
      <c r="BH102" s="276" cm="1">
        <f t="array" ref="BH102">IF(AND(BH$2&lt;&gt;0,TblTech[[#This Row],[Hour]:[Hour]]&gt;=BH$2),1,0)</f>
        <v>0</v>
      </c>
      <c r="BI102" s="276" cm="1">
        <f t="array" ref="BI102">IF(AND(BI$2&lt;&gt;0,TblTech[[#This Row],[Hour]:[Hour]]&gt;=BI$2),1,0)</f>
        <v>0</v>
      </c>
      <c r="BJ102" s="276" cm="1">
        <f t="array" ref="BJ102">IF(AND(BJ$2&lt;&gt;0,TblTech[[#This Row],[Hour]:[Hour]]&gt;=BJ$2),1,0)</f>
        <v>0</v>
      </c>
      <c r="BK102" s="276" cm="1">
        <f t="array" ref="BK102">IF(AND(BK$2&lt;&gt;0,TblTech[[#This Row],[Hour]:[Hour]]&gt;=BK$2),1,0)</f>
        <v>0</v>
      </c>
      <c r="BL102" s="276" cm="1">
        <f t="array" ref="BL102">IF(AND(BL$2&lt;&gt;0,TblTech[[#This Row],[Hour]:[Hour]]&gt;=BL$2),1,0)</f>
        <v>0</v>
      </c>
      <c r="BM102" s="276" cm="1">
        <f t="array" ref="BM102">IF(AND(BM$2&lt;&gt;0,TblTech[[#This Row],[Hour]:[Hour]]&gt;=BM$2),1,0)</f>
        <v>0</v>
      </c>
      <c r="BN102" s="276" cm="1">
        <f t="array" ref="BN102">IF(AND(BN$2&lt;&gt;0,TblTech[[#This Row],[Hour]:[Hour]]&gt;=BN$2),1,0)</f>
        <v>0</v>
      </c>
      <c r="BO102" s="276" cm="1">
        <f t="array" ref="BO102">IF(AND(BO$2&lt;&gt;0,TblTech[[#This Row],[Hour]:[Hour]]&gt;=BO$2),1,0)</f>
        <v>0</v>
      </c>
      <c r="BP102" s="276" cm="1">
        <f t="array" ref="BP102">IF(AND(BP$2&lt;&gt;0,TblTech[[#This Row],[Hour]:[Hour]]&gt;=BP$2),1,0)</f>
        <v>0</v>
      </c>
      <c r="BQ102" s="276" cm="1">
        <f t="array" ref="BQ102">IF(AND(BQ$2&lt;&gt;0,TblTech[[#This Row],[Hour]:[Hour]]&gt;=BQ$2),1,0)</f>
        <v>0</v>
      </c>
      <c r="BR102" s="276" cm="1">
        <f t="array" ref="BR102">IF(AND(BR$2&lt;&gt;0,TblTech[[#This Row],[Hour]:[Hour]]&gt;=BR$2),1,0)</f>
        <v>0</v>
      </c>
      <c r="BS102" s="276" cm="1">
        <f t="array" ref="BS102">IF(AND(BS$2&lt;&gt;0,TblTech[[#This Row],[Hour]:[Hour]]&gt;=BS$2),1,0)</f>
        <v>0</v>
      </c>
      <c r="BT102" s="276" cm="1">
        <f t="array" ref="BT102">IF(AND(BT$2&lt;&gt;0,TblTech[[#This Row],[Hour]:[Hour]]&gt;=BT$2),1,0)</f>
        <v>0</v>
      </c>
      <c r="BU102" s="276" cm="1">
        <f t="array" ref="BU102">IF(AND(BU$2&lt;&gt;0,TblTech[[#This Row],[Hour]:[Hour]]&gt;=BU$2),1,0)</f>
        <v>0</v>
      </c>
      <c r="BV102" s="276" cm="1">
        <f t="array" ref="BV102">IF(AND(BV$2&lt;&gt;0,TblTech[[#This Row],[Hour]:[Hour]]&gt;=BV$2),1,0)</f>
        <v>0</v>
      </c>
      <c r="BW102" s="276" cm="1">
        <f t="array" ref="BW102">IF(AND(BW$2&lt;&gt;0,TblTech[[#This Row],[Hour]:[Hour]]&gt;=BW$2),1,0)</f>
        <v>0</v>
      </c>
      <c r="BX102" s="276" cm="1">
        <f t="array" ref="BX102">IF(AND(BX$2&lt;&gt;0,TblTech[[#This Row],[Hour]:[Hour]]&gt;=BX$2),1,0)</f>
        <v>0</v>
      </c>
      <c r="BY102" s="276" cm="1">
        <f t="array" ref="BY102">IF(AND(BY$2&lt;&gt;0,TblTech[[#This Row],[Hour]:[Hour]]&gt;=BY$2),1,0)</f>
        <v>0</v>
      </c>
      <c r="BZ102" s="276" cm="1">
        <f t="array" ref="BZ102">IF(AND(BZ$2&lt;&gt;0,TblTech[[#This Row],[Hour]:[Hour]]&gt;=BZ$2),1,0)</f>
        <v>0</v>
      </c>
      <c r="CA102" s="377">
        <f>IFERROR(INDEX($H$4:$H$79,MATCH(INDEX(TblTech[[#Headers],[1-1]:[11-1]],1,MATCH(TblTech[[#This Row],[Hour]],$M$2:$BZ$2,0)),$G$4:$G$79,0)),)</f>
        <v>0</v>
      </c>
    </row>
    <row r="103" spans="1:79" x14ac:dyDescent="0.2">
      <c r="A103" s="268">
        <f>TblRezone[[#This Row],[Hour]]</f>
        <v>100</v>
      </c>
      <c r="B103" s="269">
        <f ca="1">TblExplore[[#This Row],[Land-DB]]</f>
        <v>110</v>
      </c>
      <c r="C103" s="270">
        <f ca="1">TblProd[[#This Row],[Techpoints]]</f>
        <v>0</v>
      </c>
      <c r="D103" s="270">
        <f ca="1">TblProd[[#This Row],[Required]]</f>
        <v>3750</v>
      </c>
      <c r="E103" s="279"/>
      <c r="F103" s="280"/>
      <c r="G103" s="273"/>
      <c r="H103" s="274"/>
      <c r="I103" s="274"/>
      <c r="J103" s="274"/>
      <c r="K103" s="93">
        <f ca="1">IF(TblTech[[#This Row],[Sum of tech]]&lt;&gt;OFFSET(TblTech[[#This Row],[Sum of tech]],-1,0),1,0)</f>
        <v>0</v>
      </c>
      <c r="L103" s="275">
        <f>COUNTIF(TblTech[[#This Row],[1-1]:[11-1]],1)</f>
        <v>0</v>
      </c>
      <c r="M103" s="276" cm="1">
        <f t="array" ref="M103">IF(AND(M$2&lt;&gt;0,TblTech[[#This Row],[Hour]:[Hour]]&gt;=M$2),1,0)</f>
        <v>0</v>
      </c>
      <c r="N103" s="276" cm="1">
        <f t="array" ref="N103">IF(AND(N$2&lt;&gt;0,TblTech[[#This Row],[Hour]:[Hour]]&gt;=N$2),1,0)</f>
        <v>0</v>
      </c>
      <c r="O103" s="276" cm="1">
        <f t="array" ref="O103">IF(AND(O$2&lt;&gt;0,TblTech[[#This Row],[Hour]:[Hour]]&gt;=O$2),1,0)</f>
        <v>0</v>
      </c>
      <c r="P103" s="276" cm="1">
        <f t="array" ref="P103">IF(AND(P$2&lt;&gt;0,TblTech[[#This Row],[Hour]:[Hour]]&gt;=P$2),1,0)</f>
        <v>0</v>
      </c>
      <c r="Q103" s="276" cm="1">
        <f t="array" ref="Q103">IF(AND(Q$2&lt;&gt;0,TblTech[[#This Row],[Hour]:[Hour]]&gt;=Q$2),1,0)</f>
        <v>0</v>
      </c>
      <c r="R103" s="276" cm="1">
        <f t="array" ref="R103">IF(AND(R$2&lt;&gt;0,TblTech[[#This Row],[Hour]:[Hour]]&gt;=R$2),1,0)</f>
        <v>0</v>
      </c>
      <c r="S103" s="276" cm="1">
        <f t="array" ref="S103">IF(AND(S$2&lt;&gt;0,TblTech[[#This Row],[Hour]:[Hour]]&gt;=S$2),1,0)</f>
        <v>0</v>
      </c>
      <c r="T103" s="276" cm="1">
        <f t="array" ref="T103">IF(AND(T$2&lt;&gt;0,TblTech[[#This Row],[Hour]:[Hour]]&gt;=T$2),1,0)</f>
        <v>0</v>
      </c>
      <c r="U103" s="276" cm="1">
        <f t="array" ref="U103">IF(AND(U$2&lt;&gt;0,TblTech[[#This Row],[Hour]:[Hour]]&gt;=U$2),1,0)</f>
        <v>0</v>
      </c>
      <c r="V103" s="276" cm="1">
        <f t="array" ref="V103">IF(AND(V$2&lt;&gt;0,TblTech[[#This Row],[Hour]:[Hour]]&gt;=V$2),1,0)</f>
        <v>0</v>
      </c>
      <c r="W103" s="276" cm="1">
        <f t="array" ref="W103">IF(AND(W$2&lt;&gt;0,TblTech[[#This Row],[Hour]:[Hour]]&gt;=W$2),1,0)</f>
        <v>0</v>
      </c>
      <c r="X103" s="276" cm="1">
        <f t="array" ref="X103">IF(AND(X$2&lt;&gt;0,TblTech[[#This Row],[Hour]:[Hour]]&gt;=X$2),1,0)</f>
        <v>0</v>
      </c>
      <c r="Y103" s="276" cm="1">
        <f t="array" ref="Y103">IF(AND(Y$2&lt;&gt;0,TblTech[[#This Row],[Hour]:[Hour]]&gt;=Y$2),1,0)</f>
        <v>0</v>
      </c>
      <c r="Z103" s="276" cm="1">
        <f t="array" ref="Z103">IF(AND(Z$2&lt;&gt;0,TblTech[[#This Row],[Hour]:[Hour]]&gt;=Z$2),1,0)</f>
        <v>0</v>
      </c>
      <c r="AA103" s="276" cm="1">
        <f t="array" ref="AA103">IF(AND(AA$2&lt;&gt;0,TblTech[[#This Row],[Hour]:[Hour]]&gt;=AA$2),1,0)</f>
        <v>0</v>
      </c>
      <c r="AB103" s="276" cm="1">
        <f t="array" ref="AB103">IF(AND(AB$2&lt;&gt;0,TblTech[[#This Row],[Hour]:[Hour]]&gt;=AB$2),1,0)</f>
        <v>0</v>
      </c>
      <c r="AC103" s="276" cm="1">
        <f t="array" ref="AC103">IF(AND(AC$2&lt;&gt;0,TblTech[[#This Row],[Hour]:[Hour]]&gt;=AC$2),1,0)</f>
        <v>0</v>
      </c>
      <c r="AD103" s="276" cm="1">
        <f t="array" ref="AD103">IF(AND(AD$2&lt;&gt;0,TblTech[[#This Row],[Hour]:[Hour]]&gt;=AD$2),1,0)</f>
        <v>0</v>
      </c>
      <c r="AE103" s="276" cm="1">
        <f t="array" ref="AE103">IF(AND(AE$2&lt;&gt;0,TblTech[[#This Row],[Hour]:[Hour]]&gt;=AE$2),1,0)</f>
        <v>0</v>
      </c>
      <c r="AF103" s="276" cm="1">
        <f t="array" ref="AF103">IF(AND(AF$2&lt;&gt;0,TblTech[[#This Row],[Hour]:[Hour]]&gt;=AF$2),1,0)</f>
        <v>0</v>
      </c>
      <c r="AG103" s="276" cm="1">
        <f t="array" ref="AG103">IF(AND(AG$2&lt;&gt;0,TblTech[[#This Row],[Hour]:[Hour]]&gt;=AG$2),1,0)</f>
        <v>0</v>
      </c>
      <c r="AH103" s="276" cm="1">
        <f t="array" ref="AH103">IF(AND(AH$2&lt;&gt;0,TblTech[[#This Row],[Hour]:[Hour]]&gt;=AH$2),1,0)</f>
        <v>0</v>
      </c>
      <c r="AI103" s="276" cm="1">
        <f t="array" ref="AI103">IF(AND(AI$2&lt;&gt;0,TblTech[[#This Row],[Hour]:[Hour]]&gt;=AI$2),1,0)</f>
        <v>0</v>
      </c>
      <c r="AJ103" s="276" cm="1">
        <f t="array" ref="AJ103">IF(AND(AJ$2&lt;&gt;0,TblTech[[#This Row],[Hour]:[Hour]]&gt;=AJ$2),1,0)</f>
        <v>0</v>
      </c>
      <c r="AK103" s="276" cm="1">
        <f t="array" ref="AK103">IF(AND(AK$2&lt;&gt;0,TblTech[[#This Row],[Hour]:[Hour]]&gt;=AK$2),1,0)</f>
        <v>0</v>
      </c>
      <c r="AL103" s="276" cm="1">
        <f t="array" ref="AL103">IF(AND(AL$2&lt;&gt;0,TblTech[[#This Row],[Hour]:[Hour]]&gt;=AL$2),1,0)</f>
        <v>0</v>
      </c>
      <c r="AM103" s="276" cm="1">
        <f t="array" ref="AM103">IF(AND(AM$2&lt;&gt;0,TblTech[[#This Row],[Hour]:[Hour]]&gt;=AM$2),1,0)</f>
        <v>0</v>
      </c>
      <c r="AN103" s="276" cm="1">
        <f t="array" ref="AN103">IF(AND(AN$2&lt;&gt;0,TblTech[[#This Row],[Hour]:[Hour]]&gt;=AN$2),1,0)</f>
        <v>0</v>
      </c>
      <c r="AO103" s="276" cm="1">
        <f t="array" ref="AO103">IF(AND(AO$2&lt;&gt;0,TblTech[[#This Row],[Hour]:[Hour]]&gt;=AO$2),1,0)</f>
        <v>0</v>
      </c>
      <c r="AP103" s="276" cm="1">
        <f t="array" ref="AP103">IF(AND(AP$2&lt;&gt;0,TblTech[[#This Row],[Hour]:[Hour]]&gt;=AP$2),1,0)</f>
        <v>0</v>
      </c>
      <c r="AQ103" s="276" cm="1">
        <f t="array" ref="AQ103">IF(AND(AQ$2&lt;&gt;0,TblTech[[#This Row],[Hour]:[Hour]]&gt;=AQ$2),1,0)</f>
        <v>0</v>
      </c>
      <c r="AR103" s="276" cm="1">
        <f t="array" ref="AR103">IF(AND(AR$2&lt;&gt;0,TblTech[[#This Row],[Hour]:[Hour]]&gt;=AR$2),1,0)</f>
        <v>0</v>
      </c>
      <c r="AS103" s="276" cm="1">
        <f t="array" ref="AS103">IF(AND(AS$2&lt;&gt;0,TblTech[[#This Row],[Hour]:[Hour]]&gt;=AS$2),1,0)</f>
        <v>0</v>
      </c>
      <c r="AT103" s="276" cm="1">
        <f t="array" ref="AT103">IF(AND(AT$2&lt;&gt;0,TblTech[[#This Row],[Hour]:[Hour]]&gt;=AT$2),1,0)</f>
        <v>0</v>
      </c>
      <c r="AU103" s="276" cm="1">
        <f t="array" ref="AU103">IF(AND(AU$2&lt;&gt;0,TblTech[[#This Row],[Hour]:[Hour]]&gt;=AU$2),1,0)</f>
        <v>0</v>
      </c>
      <c r="AV103" s="276" cm="1">
        <f t="array" ref="AV103">IF(AND(AV$2&lt;&gt;0,TblTech[[#This Row],[Hour]:[Hour]]&gt;=AV$2),1,0)</f>
        <v>0</v>
      </c>
      <c r="AW103" s="276" cm="1">
        <f t="array" ref="AW103">IF(AND(AW$2&lt;&gt;0,TblTech[[#This Row],[Hour]:[Hour]]&gt;=AW$2),1,0)</f>
        <v>0</v>
      </c>
      <c r="AX103" s="276" cm="1">
        <f t="array" ref="AX103">IF(AND(AX$2&lt;&gt;0,TblTech[[#This Row],[Hour]:[Hour]]&gt;=AX$2),1,0)</f>
        <v>0</v>
      </c>
      <c r="AY103" s="276" cm="1">
        <f t="array" ref="AY103">IF(AND(AY$2&lt;&gt;0,TblTech[[#This Row],[Hour]:[Hour]]&gt;=AY$2),1,0)</f>
        <v>0</v>
      </c>
      <c r="AZ103" s="276" cm="1">
        <f t="array" ref="AZ103">IF(AND(AZ$2&lt;&gt;0,TblTech[[#This Row],[Hour]:[Hour]]&gt;=AZ$2),1,0)</f>
        <v>0</v>
      </c>
      <c r="BA103" s="276" cm="1">
        <f t="array" ref="BA103">IF(AND(BA$2&lt;&gt;0,TblTech[[#This Row],[Hour]:[Hour]]&gt;=BA$2),1,0)</f>
        <v>0</v>
      </c>
      <c r="BB103" s="276" cm="1">
        <f t="array" ref="BB103">IF(AND(BB$2&lt;&gt;0,TblTech[[#This Row],[Hour]:[Hour]]&gt;=BB$2),1,0)</f>
        <v>0</v>
      </c>
      <c r="BC103" s="276" cm="1">
        <f t="array" ref="BC103">IF(AND(BC$2&lt;&gt;0,TblTech[[#This Row],[Hour]:[Hour]]&gt;=BC$2),1,0)</f>
        <v>0</v>
      </c>
      <c r="BD103" s="276" cm="1">
        <f t="array" ref="BD103">IF(AND(BD$2&lt;&gt;0,TblTech[[#This Row],[Hour]:[Hour]]&gt;=BD$2),1,0)</f>
        <v>0</v>
      </c>
      <c r="BE103" s="276" cm="1">
        <f t="array" ref="BE103">IF(AND(BE$2&lt;&gt;0,TblTech[[#This Row],[Hour]:[Hour]]&gt;=BE$2),1,0)</f>
        <v>0</v>
      </c>
      <c r="BF103" s="276" cm="1">
        <f t="array" ref="BF103">IF(AND(BF$2&lt;&gt;0,TblTech[[#This Row],[Hour]:[Hour]]&gt;=BF$2),1,0)</f>
        <v>0</v>
      </c>
      <c r="BG103" s="276" cm="1">
        <f t="array" ref="BG103">IF(AND(BG$2&lt;&gt;0,TblTech[[#This Row],[Hour]:[Hour]]&gt;=BG$2),1,0)</f>
        <v>0</v>
      </c>
      <c r="BH103" s="276" cm="1">
        <f t="array" ref="BH103">IF(AND(BH$2&lt;&gt;0,TblTech[[#This Row],[Hour]:[Hour]]&gt;=BH$2),1,0)</f>
        <v>0</v>
      </c>
      <c r="BI103" s="276" cm="1">
        <f t="array" ref="BI103">IF(AND(BI$2&lt;&gt;0,TblTech[[#This Row],[Hour]:[Hour]]&gt;=BI$2),1,0)</f>
        <v>0</v>
      </c>
      <c r="BJ103" s="276" cm="1">
        <f t="array" ref="BJ103">IF(AND(BJ$2&lt;&gt;0,TblTech[[#This Row],[Hour]:[Hour]]&gt;=BJ$2),1,0)</f>
        <v>0</v>
      </c>
      <c r="BK103" s="276" cm="1">
        <f t="array" ref="BK103">IF(AND(BK$2&lt;&gt;0,TblTech[[#This Row],[Hour]:[Hour]]&gt;=BK$2),1,0)</f>
        <v>0</v>
      </c>
      <c r="BL103" s="276" cm="1">
        <f t="array" ref="BL103">IF(AND(BL$2&lt;&gt;0,TblTech[[#This Row],[Hour]:[Hour]]&gt;=BL$2),1,0)</f>
        <v>0</v>
      </c>
      <c r="BM103" s="276" cm="1">
        <f t="array" ref="BM103">IF(AND(BM$2&lt;&gt;0,TblTech[[#This Row],[Hour]:[Hour]]&gt;=BM$2),1,0)</f>
        <v>0</v>
      </c>
      <c r="BN103" s="276" cm="1">
        <f t="array" ref="BN103">IF(AND(BN$2&lt;&gt;0,TblTech[[#This Row],[Hour]:[Hour]]&gt;=BN$2),1,0)</f>
        <v>0</v>
      </c>
      <c r="BO103" s="276" cm="1">
        <f t="array" ref="BO103">IF(AND(BO$2&lt;&gt;0,TblTech[[#This Row],[Hour]:[Hour]]&gt;=BO$2),1,0)</f>
        <v>0</v>
      </c>
      <c r="BP103" s="276" cm="1">
        <f t="array" ref="BP103">IF(AND(BP$2&lt;&gt;0,TblTech[[#This Row],[Hour]:[Hour]]&gt;=BP$2),1,0)</f>
        <v>0</v>
      </c>
      <c r="BQ103" s="276" cm="1">
        <f t="array" ref="BQ103">IF(AND(BQ$2&lt;&gt;0,TblTech[[#This Row],[Hour]:[Hour]]&gt;=BQ$2),1,0)</f>
        <v>0</v>
      </c>
      <c r="BR103" s="276" cm="1">
        <f t="array" ref="BR103">IF(AND(BR$2&lt;&gt;0,TblTech[[#This Row],[Hour]:[Hour]]&gt;=BR$2),1,0)</f>
        <v>0</v>
      </c>
      <c r="BS103" s="276" cm="1">
        <f t="array" ref="BS103">IF(AND(BS$2&lt;&gt;0,TblTech[[#This Row],[Hour]:[Hour]]&gt;=BS$2),1,0)</f>
        <v>0</v>
      </c>
      <c r="BT103" s="276" cm="1">
        <f t="array" ref="BT103">IF(AND(BT$2&lt;&gt;0,TblTech[[#This Row],[Hour]:[Hour]]&gt;=BT$2),1,0)</f>
        <v>0</v>
      </c>
      <c r="BU103" s="276" cm="1">
        <f t="array" ref="BU103">IF(AND(BU$2&lt;&gt;0,TblTech[[#This Row],[Hour]:[Hour]]&gt;=BU$2),1,0)</f>
        <v>0</v>
      </c>
      <c r="BV103" s="276" cm="1">
        <f t="array" ref="BV103">IF(AND(BV$2&lt;&gt;0,TblTech[[#This Row],[Hour]:[Hour]]&gt;=BV$2),1,0)</f>
        <v>0</v>
      </c>
      <c r="BW103" s="276" cm="1">
        <f t="array" ref="BW103">IF(AND(BW$2&lt;&gt;0,TblTech[[#This Row],[Hour]:[Hour]]&gt;=BW$2),1,0)</f>
        <v>0</v>
      </c>
      <c r="BX103" s="276" cm="1">
        <f t="array" ref="BX103">IF(AND(BX$2&lt;&gt;0,TblTech[[#This Row],[Hour]:[Hour]]&gt;=BX$2),1,0)</f>
        <v>0</v>
      </c>
      <c r="BY103" s="276" cm="1">
        <f t="array" ref="BY103">IF(AND(BY$2&lt;&gt;0,TblTech[[#This Row],[Hour]:[Hour]]&gt;=BY$2),1,0)</f>
        <v>0</v>
      </c>
      <c r="BZ103" s="276" cm="1">
        <f t="array" ref="BZ103">IF(AND(BZ$2&lt;&gt;0,TblTech[[#This Row],[Hour]:[Hour]]&gt;=BZ$2),1,0)</f>
        <v>0</v>
      </c>
      <c r="CA103" s="377">
        <f>IFERROR(INDEX($H$4:$H$79,MATCH(INDEX(TblTech[[#Headers],[1-1]:[11-1]],1,MATCH(TblTech[[#This Row],[Hour]],$M$2:$BZ$2,0)),$G$4:$G$79,0)),)</f>
        <v>0</v>
      </c>
    </row>
    <row r="104" spans="1:79" x14ac:dyDescent="0.2">
      <c r="A104" s="268">
        <f>TblRezone[[#This Row],[Hour]]</f>
        <v>101</v>
      </c>
      <c r="B104" s="269">
        <f ca="1">TblExplore[[#This Row],[Land-DB]]</f>
        <v>110</v>
      </c>
      <c r="C104" s="270">
        <f ca="1">TblProd[[#This Row],[Techpoints]]</f>
        <v>0</v>
      </c>
      <c r="D104" s="270">
        <f ca="1">TblProd[[#This Row],[Required]]</f>
        <v>3750</v>
      </c>
      <c r="E104" s="279"/>
      <c r="F104" s="280"/>
      <c r="G104" s="273"/>
      <c r="H104" s="274"/>
      <c r="I104" s="274"/>
      <c r="J104" s="274"/>
      <c r="K104" s="93">
        <f ca="1">IF(TblTech[[#This Row],[Sum of tech]]&lt;&gt;OFFSET(TblTech[[#This Row],[Sum of tech]],-1,0),1,0)</f>
        <v>0</v>
      </c>
      <c r="L104" s="275">
        <f>COUNTIF(TblTech[[#This Row],[1-1]:[11-1]],1)</f>
        <v>0</v>
      </c>
      <c r="M104" s="276" cm="1">
        <f t="array" ref="M104">IF(AND(M$2&lt;&gt;0,TblTech[[#This Row],[Hour]:[Hour]]&gt;=M$2),1,0)</f>
        <v>0</v>
      </c>
      <c r="N104" s="276" cm="1">
        <f t="array" ref="N104">IF(AND(N$2&lt;&gt;0,TblTech[[#This Row],[Hour]:[Hour]]&gt;=N$2),1,0)</f>
        <v>0</v>
      </c>
      <c r="O104" s="276" cm="1">
        <f t="array" ref="O104">IF(AND(O$2&lt;&gt;0,TblTech[[#This Row],[Hour]:[Hour]]&gt;=O$2),1,0)</f>
        <v>0</v>
      </c>
      <c r="P104" s="276" cm="1">
        <f t="array" ref="P104">IF(AND(P$2&lt;&gt;0,TblTech[[#This Row],[Hour]:[Hour]]&gt;=P$2),1,0)</f>
        <v>0</v>
      </c>
      <c r="Q104" s="276" cm="1">
        <f t="array" ref="Q104">IF(AND(Q$2&lt;&gt;0,TblTech[[#This Row],[Hour]:[Hour]]&gt;=Q$2),1,0)</f>
        <v>0</v>
      </c>
      <c r="R104" s="276" cm="1">
        <f t="array" ref="R104">IF(AND(R$2&lt;&gt;0,TblTech[[#This Row],[Hour]:[Hour]]&gt;=R$2),1,0)</f>
        <v>0</v>
      </c>
      <c r="S104" s="276" cm="1">
        <f t="array" ref="S104">IF(AND(S$2&lt;&gt;0,TblTech[[#This Row],[Hour]:[Hour]]&gt;=S$2),1,0)</f>
        <v>0</v>
      </c>
      <c r="T104" s="276" cm="1">
        <f t="array" ref="T104">IF(AND(T$2&lt;&gt;0,TblTech[[#This Row],[Hour]:[Hour]]&gt;=T$2),1,0)</f>
        <v>0</v>
      </c>
      <c r="U104" s="276" cm="1">
        <f t="array" ref="U104">IF(AND(U$2&lt;&gt;0,TblTech[[#This Row],[Hour]:[Hour]]&gt;=U$2),1,0)</f>
        <v>0</v>
      </c>
      <c r="V104" s="276" cm="1">
        <f t="array" ref="V104">IF(AND(V$2&lt;&gt;0,TblTech[[#This Row],[Hour]:[Hour]]&gt;=V$2),1,0)</f>
        <v>0</v>
      </c>
      <c r="W104" s="276" cm="1">
        <f t="array" ref="W104">IF(AND(W$2&lt;&gt;0,TblTech[[#This Row],[Hour]:[Hour]]&gt;=W$2),1,0)</f>
        <v>0</v>
      </c>
      <c r="X104" s="276" cm="1">
        <f t="array" ref="X104">IF(AND(X$2&lt;&gt;0,TblTech[[#This Row],[Hour]:[Hour]]&gt;=X$2),1,0)</f>
        <v>0</v>
      </c>
      <c r="Y104" s="276" cm="1">
        <f t="array" ref="Y104">IF(AND(Y$2&lt;&gt;0,TblTech[[#This Row],[Hour]:[Hour]]&gt;=Y$2),1,0)</f>
        <v>0</v>
      </c>
      <c r="Z104" s="276" cm="1">
        <f t="array" ref="Z104">IF(AND(Z$2&lt;&gt;0,TblTech[[#This Row],[Hour]:[Hour]]&gt;=Z$2),1,0)</f>
        <v>0</v>
      </c>
      <c r="AA104" s="276" cm="1">
        <f t="array" ref="AA104">IF(AND(AA$2&lt;&gt;0,TblTech[[#This Row],[Hour]:[Hour]]&gt;=AA$2),1,0)</f>
        <v>0</v>
      </c>
      <c r="AB104" s="276" cm="1">
        <f t="array" ref="AB104">IF(AND(AB$2&lt;&gt;0,TblTech[[#This Row],[Hour]:[Hour]]&gt;=AB$2),1,0)</f>
        <v>0</v>
      </c>
      <c r="AC104" s="276" cm="1">
        <f t="array" ref="AC104">IF(AND(AC$2&lt;&gt;0,TblTech[[#This Row],[Hour]:[Hour]]&gt;=AC$2),1,0)</f>
        <v>0</v>
      </c>
      <c r="AD104" s="276" cm="1">
        <f t="array" ref="AD104">IF(AND(AD$2&lt;&gt;0,TblTech[[#This Row],[Hour]:[Hour]]&gt;=AD$2),1,0)</f>
        <v>0</v>
      </c>
      <c r="AE104" s="276" cm="1">
        <f t="array" ref="AE104">IF(AND(AE$2&lt;&gt;0,TblTech[[#This Row],[Hour]:[Hour]]&gt;=AE$2),1,0)</f>
        <v>0</v>
      </c>
      <c r="AF104" s="276" cm="1">
        <f t="array" ref="AF104">IF(AND(AF$2&lt;&gt;0,TblTech[[#This Row],[Hour]:[Hour]]&gt;=AF$2),1,0)</f>
        <v>0</v>
      </c>
      <c r="AG104" s="276" cm="1">
        <f t="array" ref="AG104">IF(AND(AG$2&lt;&gt;0,TblTech[[#This Row],[Hour]:[Hour]]&gt;=AG$2),1,0)</f>
        <v>0</v>
      </c>
      <c r="AH104" s="276" cm="1">
        <f t="array" ref="AH104">IF(AND(AH$2&lt;&gt;0,TblTech[[#This Row],[Hour]:[Hour]]&gt;=AH$2),1,0)</f>
        <v>0</v>
      </c>
      <c r="AI104" s="276" cm="1">
        <f t="array" ref="AI104">IF(AND(AI$2&lt;&gt;0,TblTech[[#This Row],[Hour]:[Hour]]&gt;=AI$2),1,0)</f>
        <v>0</v>
      </c>
      <c r="AJ104" s="276" cm="1">
        <f t="array" ref="AJ104">IF(AND(AJ$2&lt;&gt;0,TblTech[[#This Row],[Hour]:[Hour]]&gt;=AJ$2),1,0)</f>
        <v>0</v>
      </c>
      <c r="AK104" s="276" cm="1">
        <f t="array" ref="AK104">IF(AND(AK$2&lt;&gt;0,TblTech[[#This Row],[Hour]:[Hour]]&gt;=AK$2),1,0)</f>
        <v>0</v>
      </c>
      <c r="AL104" s="276" cm="1">
        <f t="array" ref="AL104">IF(AND(AL$2&lt;&gt;0,TblTech[[#This Row],[Hour]:[Hour]]&gt;=AL$2),1,0)</f>
        <v>0</v>
      </c>
      <c r="AM104" s="276" cm="1">
        <f t="array" ref="AM104">IF(AND(AM$2&lt;&gt;0,TblTech[[#This Row],[Hour]:[Hour]]&gt;=AM$2),1,0)</f>
        <v>0</v>
      </c>
      <c r="AN104" s="276" cm="1">
        <f t="array" ref="AN104">IF(AND(AN$2&lt;&gt;0,TblTech[[#This Row],[Hour]:[Hour]]&gt;=AN$2),1,0)</f>
        <v>0</v>
      </c>
      <c r="AO104" s="276" cm="1">
        <f t="array" ref="AO104">IF(AND(AO$2&lt;&gt;0,TblTech[[#This Row],[Hour]:[Hour]]&gt;=AO$2),1,0)</f>
        <v>0</v>
      </c>
      <c r="AP104" s="276" cm="1">
        <f t="array" ref="AP104">IF(AND(AP$2&lt;&gt;0,TblTech[[#This Row],[Hour]:[Hour]]&gt;=AP$2),1,0)</f>
        <v>0</v>
      </c>
      <c r="AQ104" s="276" cm="1">
        <f t="array" ref="AQ104">IF(AND(AQ$2&lt;&gt;0,TblTech[[#This Row],[Hour]:[Hour]]&gt;=AQ$2),1,0)</f>
        <v>0</v>
      </c>
      <c r="AR104" s="276" cm="1">
        <f t="array" ref="AR104">IF(AND(AR$2&lt;&gt;0,TblTech[[#This Row],[Hour]:[Hour]]&gt;=AR$2),1,0)</f>
        <v>0</v>
      </c>
      <c r="AS104" s="276" cm="1">
        <f t="array" ref="AS104">IF(AND(AS$2&lt;&gt;0,TblTech[[#This Row],[Hour]:[Hour]]&gt;=AS$2),1,0)</f>
        <v>0</v>
      </c>
      <c r="AT104" s="276" cm="1">
        <f t="array" ref="AT104">IF(AND(AT$2&lt;&gt;0,TblTech[[#This Row],[Hour]:[Hour]]&gt;=AT$2),1,0)</f>
        <v>0</v>
      </c>
      <c r="AU104" s="276" cm="1">
        <f t="array" ref="AU104">IF(AND(AU$2&lt;&gt;0,TblTech[[#This Row],[Hour]:[Hour]]&gt;=AU$2),1,0)</f>
        <v>0</v>
      </c>
      <c r="AV104" s="276" cm="1">
        <f t="array" ref="AV104">IF(AND(AV$2&lt;&gt;0,TblTech[[#This Row],[Hour]:[Hour]]&gt;=AV$2),1,0)</f>
        <v>0</v>
      </c>
      <c r="AW104" s="276" cm="1">
        <f t="array" ref="AW104">IF(AND(AW$2&lt;&gt;0,TblTech[[#This Row],[Hour]:[Hour]]&gt;=AW$2),1,0)</f>
        <v>0</v>
      </c>
      <c r="AX104" s="276" cm="1">
        <f t="array" ref="AX104">IF(AND(AX$2&lt;&gt;0,TblTech[[#This Row],[Hour]:[Hour]]&gt;=AX$2),1,0)</f>
        <v>0</v>
      </c>
      <c r="AY104" s="276" cm="1">
        <f t="array" ref="AY104">IF(AND(AY$2&lt;&gt;0,TblTech[[#This Row],[Hour]:[Hour]]&gt;=AY$2),1,0)</f>
        <v>0</v>
      </c>
      <c r="AZ104" s="276" cm="1">
        <f t="array" ref="AZ104">IF(AND(AZ$2&lt;&gt;0,TblTech[[#This Row],[Hour]:[Hour]]&gt;=AZ$2),1,0)</f>
        <v>0</v>
      </c>
      <c r="BA104" s="276" cm="1">
        <f t="array" ref="BA104">IF(AND(BA$2&lt;&gt;0,TblTech[[#This Row],[Hour]:[Hour]]&gt;=BA$2),1,0)</f>
        <v>0</v>
      </c>
      <c r="BB104" s="276" cm="1">
        <f t="array" ref="BB104">IF(AND(BB$2&lt;&gt;0,TblTech[[#This Row],[Hour]:[Hour]]&gt;=BB$2),1,0)</f>
        <v>0</v>
      </c>
      <c r="BC104" s="276" cm="1">
        <f t="array" ref="BC104">IF(AND(BC$2&lt;&gt;0,TblTech[[#This Row],[Hour]:[Hour]]&gt;=BC$2),1,0)</f>
        <v>0</v>
      </c>
      <c r="BD104" s="276" cm="1">
        <f t="array" ref="BD104">IF(AND(BD$2&lt;&gt;0,TblTech[[#This Row],[Hour]:[Hour]]&gt;=BD$2),1,0)</f>
        <v>0</v>
      </c>
      <c r="BE104" s="276" cm="1">
        <f t="array" ref="BE104">IF(AND(BE$2&lt;&gt;0,TblTech[[#This Row],[Hour]:[Hour]]&gt;=BE$2),1,0)</f>
        <v>0</v>
      </c>
      <c r="BF104" s="276" cm="1">
        <f t="array" ref="BF104">IF(AND(BF$2&lt;&gt;0,TblTech[[#This Row],[Hour]:[Hour]]&gt;=BF$2),1,0)</f>
        <v>0</v>
      </c>
      <c r="BG104" s="276" cm="1">
        <f t="array" ref="BG104">IF(AND(BG$2&lt;&gt;0,TblTech[[#This Row],[Hour]:[Hour]]&gt;=BG$2),1,0)</f>
        <v>0</v>
      </c>
      <c r="BH104" s="276" cm="1">
        <f t="array" ref="BH104">IF(AND(BH$2&lt;&gt;0,TblTech[[#This Row],[Hour]:[Hour]]&gt;=BH$2),1,0)</f>
        <v>0</v>
      </c>
      <c r="BI104" s="276" cm="1">
        <f t="array" ref="BI104">IF(AND(BI$2&lt;&gt;0,TblTech[[#This Row],[Hour]:[Hour]]&gt;=BI$2),1,0)</f>
        <v>0</v>
      </c>
      <c r="BJ104" s="276" cm="1">
        <f t="array" ref="BJ104">IF(AND(BJ$2&lt;&gt;0,TblTech[[#This Row],[Hour]:[Hour]]&gt;=BJ$2),1,0)</f>
        <v>0</v>
      </c>
      <c r="BK104" s="276" cm="1">
        <f t="array" ref="BK104">IF(AND(BK$2&lt;&gt;0,TblTech[[#This Row],[Hour]:[Hour]]&gt;=BK$2),1,0)</f>
        <v>0</v>
      </c>
      <c r="BL104" s="276" cm="1">
        <f t="array" ref="BL104">IF(AND(BL$2&lt;&gt;0,TblTech[[#This Row],[Hour]:[Hour]]&gt;=BL$2),1,0)</f>
        <v>0</v>
      </c>
      <c r="BM104" s="276" cm="1">
        <f t="array" ref="BM104">IF(AND(BM$2&lt;&gt;0,TblTech[[#This Row],[Hour]:[Hour]]&gt;=BM$2),1,0)</f>
        <v>0</v>
      </c>
      <c r="BN104" s="276" cm="1">
        <f t="array" ref="BN104">IF(AND(BN$2&lt;&gt;0,TblTech[[#This Row],[Hour]:[Hour]]&gt;=BN$2),1,0)</f>
        <v>0</v>
      </c>
      <c r="BO104" s="276" cm="1">
        <f t="array" ref="BO104">IF(AND(BO$2&lt;&gt;0,TblTech[[#This Row],[Hour]:[Hour]]&gt;=BO$2),1,0)</f>
        <v>0</v>
      </c>
      <c r="BP104" s="276" cm="1">
        <f t="array" ref="BP104">IF(AND(BP$2&lt;&gt;0,TblTech[[#This Row],[Hour]:[Hour]]&gt;=BP$2),1,0)</f>
        <v>0</v>
      </c>
      <c r="BQ104" s="276" cm="1">
        <f t="array" ref="BQ104">IF(AND(BQ$2&lt;&gt;0,TblTech[[#This Row],[Hour]:[Hour]]&gt;=BQ$2),1,0)</f>
        <v>0</v>
      </c>
      <c r="BR104" s="276" cm="1">
        <f t="array" ref="BR104">IF(AND(BR$2&lt;&gt;0,TblTech[[#This Row],[Hour]:[Hour]]&gt;=BR$2),1,0)</f>
        <v>0</v>
      </c>
      <c r="BS104" s="276" cm="1">
        <f t="array" ref="BS104">IF(AND(BS$2&lt;&gt;0,TblTech[[#This Row],[Hour]:[Hour]]&gt;=BS$2),1,0)</f>
        <v>0</v>
      </c>
      <c r="BT104" s="276" cm="1">
        <f t="array" ref="BT104">IF(AND(BT$2&lt;&gt;0,TblTech[[#This Row],[Hour]:[Hour]]&gt;=BT$2),1,0)</f>
        <v>0</v>
      </c>
      <c r="BU104" s="276" cm="1">
        <f t="array" ref="BU104">IF(AND(BU$2&lt;&gt;0,TblTech[[#This Row],[Hour]:[Hour]]&gt;=BU$2),1,0)</f>
        <v>0</v>
      </c>
      <c r="BV104" s="276" cm="1">
        <f t="array" ref="BV104">IF(AND(BV$2&lt;&gt;0,TblTech[[#This Row],[Hour]:[Hour]]&gt;=BV$2),1,0)</f>
        <v>0</v>
      </c>
      <c r="BW104" s="276" cm="1">
        <f t="array" ref="BW104">IF(AND(BW$2&lt;&gt;0,TblTech[[#This Row],[Hour]:[Hour]]&gt;=BW$2),1,0)</f>
        <v>0</v>
      </c>
      <c r="BX104" s="276" cm="1">
        <f t="array" ref="BX104">IF(AND(BX$2&lt;&gt;0,TblTech[[#This Row],[Hour]:[Hour]]&gt;=BX$2),1,0)</f>
        <v>0</v>
      </c>
      <c r="BY104" s="276" cm="1">
        <f t="array" ref="BY104">IF(AND(BY$2&lt;&gt;0,TblTech[[#This Row],[Hour]:[Hour]]&gt;=BY$2),1,0)</f>
        <v>0</v>
      </c>
      <c r="BZ104" s="276" cm="1">
        <f t="array" ref="BZ104">IF(AND(BZ$2&lt;&gt;0,TblTech[[#This Row],[Hour]:[Hour]]&gt;=BZ$2),1,0)</f>
        <v>0</v>
      </c>
      <c r="CA104" s="377">
        <f>IFERROR(INDEX($H$4:$H$79,MATCH(INDEX(TblTech[[#Headers],[1-1]:[11-1]],1,MATCH(TblTech[[#This Row],[Hour]],$M$2:$BZ$2,0)),$G$4:$G$79,0)),)</f>
        <v>0</v>
      </c>
    </row>
    <row r="105" spans="1:79" x14ac:dyDescent="0.2">
      <c r="A105" s="268">
        <f>TblRezone[[#This Row],[Hour]]</f>
        <v>102</v>
      </c>
      <c r="B105" s="269">
        <f ca="1">TblExplore[[#This Row],[Land-DB]]</f>
        <v>110</v>
      </c>
      <c r="C105" s="270">
        <f ca="1">TblProd[[#This Row],[Techpoints]]</f>
        <v>0</v>
      </c>
      <c r="D105" s="270">
        <f ca="1">TblProd[[#This Row],[Required]]</f>
        <v>3750</v>
      </c>
      <c r="E105" s="279"/>
      <c r="F105" s="280"/>
      <c r="G105" s="273"/>
      <c r="H105" s="274"/>
      <c r="I105" s="274"/>
      <c r="J105" s="274"/>
      <c r="K105" s="93">
        <f ca="1">IF(TblTech[[#This Row],[Sum of tech]]&lt;&gt;OFFSET(TblTech[[#This Row],[Sum of tech]],-1,0),1,0)</f>
        <v>0</v>
      </c>
      <c r="L105" s="275">
        <f>COUNTIF(TblTech[[#This Row],[1-1]:[11-1]],1)</f>
        <v>0</v>
      </c>
      <c r="M105" s="276" cm="1">
        <f t="array" ref="M105">IF(AND(M$2&lt;&gt;0,TblTech[[#This Row],[Hour]:[Hour]]&gt;=M$2),1,0)</f>
        <v>0</v>
      </c>
      <c r="N105" s="276" cm="1">
        <f t="array" ref="N105">IF(AND(N$2&lt;&gt;0,TblTech[[#This Row],[Hour]:[Hour]]&gt;=N$2),1,0)</f>
        <v>0</v>
      </c>
      <c r="O105" s="276" cm="1">
        <f t="array" ref="O105">IF(AND(O$2&lt;&gt;0,TblTech[[#This Row],[Hour]:[Hour]]&gt;=O$2),1,0)</f>
        <v>0</v>
      </c>
      <c r="P105" s="276" cm="1">
        <f t="array" ref="P105">IF(AND(P$2&lt;&gt;0,TblTech[[#This Row],[Hour]:[Hour]]&gt;=P$2),1,0)</f>
        <v>0</v>
      </c>
      <c r="Q105" s="276" cm="1">
        <f t="array" ref="Q105">IF(AND(Q$2&lt;&gt;0,TblTech[[#This Row],[Hour]:[Hour]]&gt;=Q$2),1,0)</f>
        <v>0</v>
      </c>
      <c r="R105" s="276" cm="1">
        <f t="array" ref="R105">IF(AND(R$2&lt;&gt;0,TblTech[[#This Row],[Hour]:[Hour]]&gt;=R$2),1,0)</f>
        <v>0</v>
      </c>
      <c r="S105" s="276" cm="1">
        <f t="array" ref="S105">IF(AND(S$2&lt;&gt;0,TblTech[[#This Row],[Hour]:[Hour]]&gt;=S$2),1,0)</f>
        <v>0</v>
      </c>
      <c r="T105" s="276" cm="1">
        <f t="array" ref="T105">IF(AND(T$2&lt;&gt;0,TblTech[[#This Row],[Hour]:[Hour]]&gt;=T$2),1,0)</f>
        <v>0</v>
      </c>
      <c r="U105" s="276" cm="1">
        <f t="array" ref="U105">IF(AND(U$2&lt;&gt;0,TblTech[[#This Row],[Hour]:[Hour]]&gt;=U$2),1,0)</f>
        <v>0</v>
      </c>
      <c r="V105" s="276" cm="1">
        <f t="array" ref="V105">IF(AND(V$2&lt;&gt;0,TblTech[[#This Row],[Hour]:[Hour]]&gt;=V$2),1,0)</f>
        <v>0</v>
      </c>
      <c r="W105" s="276" cm="1">
        <f t="array" ref="W105">IF(AND(W$2&lt;&gt;0,TblTech[[#This Row],[Hour]:[Hour]]&gt;=W$2),1,0)</f>
        <v>0</v>
      </c>
      <c r="X105" s="276" cm="1">
        <f t="array" ref="X105">IF(AND(X$2&lt;&gt;0,TblTech[[#This Row],[Hour]:[Hour]]&gt;=X$2),1,0)</f>
        <v>0</v>
      </c>
      <c r="Y105" s="276" cm="1">
        <f t="array" ref="Y105">IF(AND(Y$2&lt;&gt;0,TblTech[[#This Row],[Hour]:[Hour]]&gt;=Y$2),1,0)</f>
        <v>0</v>
      </c>
      <c r="Z105" s="276" cm="1">
        <f t="array" ref="Z105">IF(AND(Z$2&lt;&gt;0,TblTech[[#This Row],[Hour]:[Hour]]&gt;=Z$2),1,0)</f>
        <v>0</v>
      </c>
      <c r="AA105" s="276" cm="1">
        <f t="array" ref="AA105">IF(AND(AA$2&lt;&gt;0,TblTech[[#This Row],[Hour]:[Hour]]&gt;=AA$2),1,0)</f>
        <v>0</v>
      </c>
      <c r="AB105" s="276" cm="1">
        <f t="array" ref="AB105">IF(AND(AB$2&lt;&gt;0,TblTech[[#This Row],[Hour]:[Hour]]&gt;=AB$2),1,0)</f>
        <v>0</v>
      </c>
      <c r="AC105" s="276" cm="1">
        <f t="array" ref="AC105">IF(AND(AC$2&lt;&gt;0,TblTech[[#This Row],[Hour]:[Hour]]&gt;=AC$2),1,0)</f>
        <v>0</v>
      </c>
      <c r="AD105" s="276" cm="1">
        <f t="array" ref="AD105">IF(AND(AD$2&lt;&gt;0,TblTech[[#This Row],[Hour]:[Hour]]&gt;=AD$2),1,0)</f>
        <v>0</v>
      </c>
      <c r="AE105" s="276" cm="1">
        <f t="array" ref="AE105">IF(AND(AE$2&lt;&gt;0,TblTech[[#This Row],[Hour]:[Hour]]&gt;=AE$2),1,0)</f>
        <v>0</v>
      </c>
      <c r="AF105" s="276" cm="1">
        <f t="array" ref="AF105">IF(AND(AF$2&lt;&gt;0,TblTech[[#This Row],[Hour]:[Hour]]&gt;=AF$2),1,0)</f>
        <v>0</v>
      </c>
      <c r="AG105" s="276" cm="1">
        <f t="array" ref="AG105">IF(AND(AG$2&lt;&gt;0,TblTech[[#This Row],[Hour]:[Hour]]&gt;=AG$2),1,0)</f>
        <v>0</v>
      </c>
      <c r="AH105" s="276" cm="1">
        <f t="array" ref="AH105">IF(AND(AH$2&lt;&gt;0,TblTech[[#This Row],[Hour]:[Hour]]&gt;=AH$2),1,0)</f>
        <v>0</v>
      </c>
      <c r="AI105" s="276" cm="1">
        <f t="array" ref="AI105">IF(AND(AI$2&lt;&gt;0,TblTech[[#This Row],[Hour]:[Hour]]&gt;=AI$2),1,0)</f>
        <v>0</v>
      </c>
      <c r="AJ105" s="276" cm="1">
        <f t="array" ref="AJ105">IF(AND(AJ$2&lt;&gt;0,TblTech[[#This Row],[Hour]:[Hour]]&gt;=AJ$2),1,0)</f>
        <v>0</v>
      </c>
      <c r="AK105" s="276" cm="1">
        <f t="array" ref="AK105">IF(AND(AK$2&lt;&gt;0,TblTech[[#This Row],[Hour]:[Hour]]&gt;=AK$2),1,0)</f>
        <v>0</v>
      </c>
      <c r="AL105" s="276" cm="1">
        <f t="array" ref="AL105">IF(AND(AL$2&lt;&gt;0,TblTech[[#This Row],[Hour]:[Hour]]&gt;=AL$2),1,0)</f>
        <v>0</v>
      </c>
      <c r="AM105" s="276" cm="1">
        <f t="array" ref="AM105">IF(AND(AM$2&lt;&gt;0,TblTech[[#This Row],[Hour]:[Hour]]&gt;=AM$2),1,0)</f>
        <v>0</v>
      </c>
      <c r="AN105" s="276" cm="1">
        <f t="array" ref="AN105">IF(AND(AN$2&lt;&gt;0,TblTech[[#This Row],[Hour]:[Hour]]&gt;=AN$2),1,0)</f>
        <v>0</v>
      </c>
      <c r="AO105" s="276" cm="1">
        <f t="array" ref="AO105">IF(AND(AO$2&lt;&gt;0,TblTech[[#This Row],[Hour]:[Hour]]&gt;=AO$2),1,0)</f>
        <v>0</v>
      </c>
      <c r="AP105" s="276" cm="1">
        <f t="array" ref="AP105">IF(AND(AP$2&lt;&gt;0,TblTech[[#This Row],[Hour]:[Hour]]&gt;=AP$2),1,0)</f>
        <v>0</v>
      </c>
      <c r="AQ105" s="276" cm="1">
        <f t="array" ref="AQ105">IF(AND(AQ$2&lt;&gt;0,TblTech[[#This Row],[Hour]:[Hour]]&gt;=AQ$2),1,0)</f>
        <v>0</v>
      </c>
      <c r="AR105" s="276" cm="1">
        <f t="array" ref="AR105">IF(AND(AR$2&lt;&gt;0,TblTech[[#This Row],[Hour]:[Hour]]&gt;=AR$2),1,0)</f>
        <v>0</v>
      </c>
      <c r="AS105" s="276" cm="1">
        <f t="array" ref="AS105">IF(AND(AS$2&lt;&gt;0,TblTech[[#This Row],[Hour]:[Hour]]&gt;=AS$2),1,0)</f>
        <v>0</v>
      </c>
      <c r="AT105" s="276" cm="1">
        <f t="array" ref="AT105">IF(AND(AT$2&lt;&gt;0,TblTech[[#This Row],[Hour]:[Hour]]&gt;=AT$2),1,0)</f>
        <v>0</v>
      </c>
      <c r="AU105" s="276" cm="1">
        <f t="array" ref="AU105">IF(AND(AU$2&lt;&gt;0,TblTech[[#This Row],[Hour]:[Hour]]&gt;=AU$2),1,0)</f>
        <v>0</v>
      </c>
      <c r="AV105" s="276" cm="1">
        <f t="array" ref="AV105">IF(AND(AV$2&lt;&gt;0,TblTech[[#This Row],[Hour]:[Hour]]&gt;=AV$2),1,0)</f>
        <v>0</v>
      </c>
      <c r="AW105" s="276" cm="1">
        <f t="array" ref="AW105">IF(AND(AW$2&lt;&gt;0,TblTech[[#This Row],[Hour]:[Hour]]&gt;=AW$2),1,0)</f>
        <v>0</v>
      </c>
      <c r="AX105" s="276" cm="1">
        <f t="array" ref="AX105">IF(AND(AX$2&lt;&gt;0,TblTech[[#This Row],[Hour]:[Hour]]&gt;=AX$2),1,0)</f>
        <v>0</v>
      </c>
      <c r="AY105" s="276" cm="1">
        <f t="array" ref="AY105">IF(AND(AY$2&lt;&gt;0,TblTech[[#This Row],[Hour]:[Hour]]&gt;=AY$2),1,0)</f>
        <v>0</v>
      </c>
      <c r="AZ105" s="276" cm="1">
        <f t="array" ref="AZ105">IF(AND(AZ$2&lt;&gt;0,TblTech[[#This Row],[Hour]:[Hour]]&gt;=AZ$2),1,0)</f>
        <v>0</v>
      </c>
      <c r="BA105" s="276" cm="1">
        <f t="array" ref="BA105">IF(AND(BA$2&lt;&gt;0,TblTech[[#This Row],[Hour]:[Hour]]&gt;=BA$2),1,0)</f>
        <v>0</v>
      </c>
      <c r="BB105" s="276" cm="1">
        <f t="array" ref="BB105">IF(AND(BB$2&lt;&gt;0,TblTech[[#This Row],[Hour]:[Hour]]&gt;=BB$2),1,0)</f>
        <v>0</v>
      </c>
      <c r="BC105" s="276" cm="1">
        <f t="array" ref="BC105">IF(AND(BC$2&lt;&gt;0,TblTech[[#This Row],[Hour]:[Hour]]&gt;=BC$2),1,0)</f>
        <v>0</v>
      </c>
      <c r="BD105" s="276" cm="1">
        <f t="array" ref="BD105">IF(AND(BD$2&lt;&gt;0,TblTech[[#This Row],[Hour]:[Hour]]&gt;=BD$2),1,0)</f>
        <v>0</v>
      </c>
      <c r="BE105" s="276" cm="1">
        <f t="array" ref="BE105">IF(AND(BE$2&lt;&gt;0,TblTech[[#This Row],[Hour]:[Hour]]&gt;=BE$2),1,0)</f>
        <v>0</v>
      </c>
      <c r="BF105" s="276" cm="1">
        <f t="array" ref="BF105">IF(AND(BF$2&lt;&gt;0,TblTech[[#This Row],[Hour]:[Hour]]&gt;=BF$2),1,0)</f>
        <v>0</v>
      </c>
      <c r="BG105" s="276" cm="1">
        <f t="array" ref="BG105">IF(AND(BG$2&lt;&gt;0,TblTech[[#This Row],[Hour]:[Hour]]&gt;=BG$2),1,0)</f>
        <v>0</v>
      </c>
      <c r="BH105" s="276" cm="1">
        <f t="array" ref="BH105">IF(AND(BH$2&lt;&gt;0,TblTech[[#This Row],[Hour]:[Hour]]&gt;=BH$2),1,0)</f>
        <v>0</v>
      </c>
      <c r="BI105" s="276" cm="1">
        <f t="array" ref="BI105">IF(AND(BI$2&lt;&gt;0,TblTech[[#This Row],[Hour]:[Hour]]&gt;=BI$2),1,0)</f>
        <v>0</v>
      </c>
      <c r="BJ105" s="276" cm="1">
        <f t="array" ref="BJ105">IF(AND(BJ$2&lt;&gt;0,TblTech[[#This Row],[Hour]:[Hour]]&gt;=BJ$2),1,0)</f>
        <v>0</v>
      </c>
      <c r="BK105" s="276" cm="1">
        <f t="array" ref="BK105">IF(AND(BK$2&lt;&gt;0,TblTech[[#This Row],[Hour]:[Hour]]&gt;=BK$2),1,0)</f>
        <v>0</v>
      </c>
      <c r="BL105" s="276" cm="1">
        <f t="array" ref="BL105">IF(AND(BL$2&lt;&gt;0,TblTech[[#This Row],[Hour]:[Hour]]&gt;=BL$2),1,0)</f>
        <v>0</v>
      </c>
      <c r="BM105" s="276" cm="1">
        <f t="array" ref="BM105">IF(AND(BM$2&lt;&gt;0,TblTech[[#This Row],[Hour]:[Hour]]&gt;=BM$2),1,0)</f>
        <v>0</v>
      </c>
      <c r="BN105" s="276" cm="1">
        <f t="array" ref="BN105">IF(AND(BN$2&lt;&gt;0,TblTech[[#This Row],[Hour]:[Hour]]&gt;=BN$2),1,0)</f>
        <v>0</v>
      </c>
      <c r="BO105" s="276" cm="1">
        <f t="array" ref="BO105">IF(AND(BO$2&lt;&gt;0,TblTech[[#This Row],[Hour]:[Hour]]&gt;=BO$2),1,0)</f>
        <v>0</v>
      </c>
      <c r="BP105" s="276" cm="1">
        <f t="array" ref="BP105">IF(AND(BP$2&lt;&gt;0,TblTech[[#This Row],[Hour]:[Hour]]&gt;=BP$2),1,0)</f>
        <v>0</v>
      </c>
      <c r="BQ105" s="276" cm="1">
        <f t="array" ref="BQ105">IF(AND(BQ$2&lt;&gt;0,TblTech[[#This Row],[Hour]:[Hour]]&gt;=BQ$2),1,0)</f>
        <v>0</v>
      </c>
      <c r="BR105" s="276" cm="1">
        <f t="array" ref="BR105">IF(AND(BR$2&lt;&gt;0,TblTech[[#This Row],[Hour]:[Hour]]&gt;=BR$2),1,0)</f>
        <v>0</v>
      </c>
      <c r="BS105" s="276" cm="1">
        <f t="array" ref="BS105">IF(AND(BS$2&lt;&gt;0,TblTech[[#This Row],[Hour]:[Hour]]&gt;=BS$2),1,0)</f>
        <v>0</v>
      </c>
      <c r="BT105" s="276" cm="1">
        <f t="array" ref="BT105">IF(AND(BT$2&lt;&gt;0,TblTech[[#This Row],[Hour]:[Hour]]&gt;=BT$2),1,0)</f>
        <v>0</v>
      </c>
      <c r="BU105" s="276" cm="1">
        <f t="array" ref="BU105">IF(AND(BU$2&lt;&gt;0,TblTech[[#This Row],[Hour]:[Hour]]&gt;=BU$2),1,0)</f>
        <v>0</v>
      </c>
      <c r="BV105" s="276" cm="1">
        <f t="array" ref="BV105">IF(AND(BV$2&lt;&gt;0,TblTech[[#This Row],[Hour]:[Hour]]&gt;=BV$2),1,0)</f>
        <v>0</v>
      </c>
      <c r="BW105" s="276" cm="1">
        <f t="array" ref="BW105">IF(AND(BW$2&lt;&gt;0,TblTech[[#This Row],[Hour]:[Hour]]&gt;=BW$2),1,0)</f>
        <v>0</v>
      </c>
      <c r="BX105" s="276" cm="1">
        <f t="array" ref="BX105">IF(AND(BX$2&lt;&gt;0,TblTech[[#This Row],[Hour]:[Hour]]&gt;=BX$2),1,0)</f>
        <v>0</v>
      </c>
      <c r="BY105" s="276" cm="1">
        <f t="array" ref="BY105">IF(AND(BY$2&lt;&gt;0,TblTech[[#This Row],[Hour]:[Hour]]&gt;=BY$2),1,0)</f>
        <v>0</v>
      </c>
      <c r="BZ105" s="276" cm="1">
        <f t="array" ref="BZ105">IF(AND(BZ$2&lt;&gt;0,TblTech[[#This Row],[Hour]:[Hour]]&gt;=BZ$2),1,0)</f>
        <v>0</v>
      </c>
      <c r="CA105" s="377">
        <f>IFERROR(INDEX($H$4:$H$79,MATCH(INDEX(TblTech[[#Headers],[1-1]:[11-1]],1,MATCH(TblTech[[#This Row],[Hour]],$M$2:$BZ$2,0)),$G$4:$G$79,0)),)</f>
        <v>0</v>
      </c>
    </row>
    <row r="106" spans="1:79" x14ac:dyDescent="0.2">
      <c r="A106" s="268">
        <f>TblRezone[[#This Row],[Hour]]</f>
        <v>103</v>
      </c>
      <c r="B106" s="269">
        <f ca="1">TblExplore[[#This Row],[Land-DB]]</f>
        <v>110</v>
      </c>
      <c r="C106" s="270">
        <f ca="1">TblProd[[#This Row],[Techpoints]]</f>
        <v>0</v>
      </c>
      <c r="D106" s="270">
        <f ca="1">TblProd[[#This Row],[Required]]</f>
        <v>3750</v>
      </c>
      <c r="E106" s="279"/>
      <c r="F106" s="280"/>
      <c r="G106" s="273"/>
      <c r="H106" s="274"/>
      <c r="I106" s="274"/>
      <c r="J106" s="274"/>
      <c r="K106" s="93">
        <f ca="1">IF(TblTech[[#This Row],[Sum of tech]]&lt;&gt;OFFSET(TblTech[[#This Row],[Sum of tech]],-1,0),1,0)</f>
        <v>0</v>
      </c>
      <c r="L106" s="275">
        <f>COUNTIF(TblTech[[#This Row],[1-1]:[11-1]],1)</f>
        <v>0</v>
      </c>
      <c r="M106" s="276" cm="1">
        <f t="array" ref="M106">IF(AND(M$2&lt;&gt;0,TblTech[[#This Row],[Hour]:[Hour]]&gt;=M$2),1,0)</f>
        <v>0</v>
      </c>
      <c r="N106" s="276" cm="1">
        <f t="array" ref="N106">IF(AND(N$2&lt;&gt;0,TblTech[[#This Row],[Hour]:[Hour]]&gt;=N$2),1,0)</f>
        <v>0</v>
      </c>
      <c r="O106" s="276" cm="1">
        <f t="array" ref="O106">IF(AND(O$2&lt;&gt;0,TblTech[[#This Row],[Hour]:[Hour]]&gt;=O$2),1,0)</f>
        <v>0</v>
      </c>
      <c r="P106" s="276" cm="1">
        <f t="array" ref="P106">IF(AND(P$2&lt;&gt;0,TblTech[[#This Row],[Hour]:[Hour]]&gt;=P$2),1,0)</f>
        <v>0</v>
      </c>
      <c r="Q106" s="276" cm="1">
        <f t="array" ref="Q106">IF(AND(Q$2&lt;&gt;0,TblTech[[#This Row],[Hour]:[Hour]]&gt;=Q$2),1,0)</f>
        <v>0</v>
      </c>
      <c r="R106" s="276" cm="1">
        <f t="array" ref="R106">IF(AND(R$2&lt;&gt;0,TblTech[[#This Row],[Hour]:[Hour]]&gt;=R$2),1,0)</f>
        <v>0</v>
      </c>
      <c r="S106" s="276" cm="1">
        <f t="array" ref="S106">IF(AND(S$2&lt;&gt;0,TblTech[[#This Row],[Hour]:[Hour]]&gt;=S$2),1,0)</f>
        <v>0</v>
      </c>
      <c r="T106" s="276" cm="1">
        <f t="array" ref="T106">IF(AND(T$2&lt;&gt;0,TblTech[[#This Row],[Hour]:[Hour]]&gt;=T$2),1,0)</f>
        <v>0</v>
      </c>
      <c r="U106" s="276" cm="1">
        <f t="array" ref="U106">IF(AND(U$2&lt;&gt;0,TblTech[[#This Row],[Hour]:[Hour]]&gt;=U$2),1,0)</f>
        <v>0</v>
      </c>
      <c r="V106" s="276" cm="1">
        <f t="array" ref="V106">IF(AND(V$2&lt;&gt;0,TblTech[[#This Row],[Hour]:[Hour]]&gt;=V$2),1,0)</f>
        <v>0</v>
      </c>
      <c r="W106" s="276" cm="1">
        <f t="array" ref="W106">IF(AND(W$2&lt;&gt;0,TblTech[[#This Row],[Hour]:[Hour]]&gt;=W$2),1,0)</f>
        <v>0</v>
      </c>
      <c r="X106" s="276" cm="1">
        <f t="array" ref="X106">IF(AND(X$2&lt;&gt;0,TblTech[[#This Row],[Hour]:[Hour]]&gt;=X$2),1,0)</f>
        <v>0</v>
      </c>
      <c r="Y106" s="276" cm="1">
        <f t="array" ref="Y106">IF(AND(Y$2&lt;&gt;0,TblTech[[#This Row],[Hour]:[Hour]]&gt;=Y$2),1,0)</f>
        <v>0</v>
      </c>
      <c r="Z106" s="276" cm="1">
        <f t="array" ref="Z106">IF(AND(Z$2&lt;&gt;0,TblTech[[#This Row],[Hour]:[Hour]]&gt;=Z$2),1,0)</f>
        <v>0</v>
      </c>
      <c r="AA106" s="276" cm="1">
        <f t="array" ref="AA106">IF(AND(AA$2&lt;&gt;0,TblTech[[#This Row],[Hour]:[Hour]]&gt;=AA$2),1,0)</f>
        <v>0</v>
      </c>
      <c r="AB106" s="276" cm="1">
        <f t="array" ref="AB106">IF(AND(AB$2&lt;&gt;0,TblTech[[#This Row],[Hour]:[Hour]]&gt;=AB$2),1,0)</f>
        <v>0</v>
      </c>
      <c r="AC106" s="276" cm="1">
        <f t="array" ref="AC106">IF(AND(AC$2&lt;&gt;0,TblTech[[#This Row],[Hour]:[Hour]]&gt;=AC$2),1,0)</f>
        <v>0</v>
      </c>
      <c r="AD106" s="276" cm="1">
        <f t="array" ref="AD106">IF(AND(AD$2&lt;&gt;0,TblTech[[#This Row],[Hour]:[Hour]]&gt;=AD$2),1,0)</f>
        <v>0</v>
      </c>
      <c r="AE106" s="276" cm="1">
        <f t="array" ref="AE106">IF(AND(AE$2&lt;&gt;0,TblTech[[#This Row],[Hour]:[Hour]]&gt;=AE$2),1,0)</f>
        <v>0</v>
      </c>
      <c r="AF106" s="276" cm="1">
        <f t="array" ref="AF106">IF(AND(AF$2&lt;&gt;0,TblTech[[#This Row],[Hour]:[Hour]]&gt;=AF$2),1,0)</f>
        <v>0</v>
      </c>
      <c r="AG106" s="276" cm="1">
        <f t="array" ref="AG106">IF(AND(AG$2&lt;&gt;0,TblTech[[#This Row],[Hour]:[Hour]]&gt;=AG$2),1,0)</f>
        <v>0</v>
      </c>
      <c r="AH106" s="276" cm="1">
        <f t="array" ref="AH106">IF(AND(AH$2&lt;&gt;0,TblTech[[#This Row],[Hour]:[Hour]]&gt;=AH$2),1,0)</f>
        <v>0</v>
      </c>
      <c r="AI106" s="276" cm="1">
        <f t="array" ref="AI106">IF(AND(AI$2&lt;&gt;0,TblTech[[#This Row],[Hour]:[Hour]]&gt;=AI$2),1,0)</f>
        <v>0</v>
      </c>
      <c r="AJ106" s="276" cm="1">
        <f t="array" ref="AJ106">IF(AND(AJ$2&lt;&gt;0,TblTech[[#This Row],[Hour]:[Hour]]&gt;=AJ$2),1,0)</f>
        <v>0</v>
      </c>
      <c r="AK106" s="276" cm="1">
        <f t="array" ref="AK106">IF(AND(AK$2&lt;&gt;0,TblTech[[#This Row],[Hour]:[Hour]]&gt;=AK$2),1,0)</f>
        <v>0</v>
      </c>
      <c r="AL106" s="276" cm="1">
        <f t="array" ref="AL106">IF(AND(AL$2&lt;&gt;0,TblTech[[#This Row],[Hour]:[Hour]]&gt;=AL$2),1,0)</f>
        <v>0</v>
      </c>
      <c r="AM106" s="276" cm="1">
        <f t="array" ref="AM106">IF(AND(AM$2&lt;&gt;0,TblTech[[#This Row],[Hour]:[Hour]]&gt;=AM$2),1,0)</f>
        <v>0</v>
      </c>
      <c r="AN106" s="276" cm="1">
        <f t="array" ref="AN106">IF(AND(AN$2&lt;&gt;0,TblTech[[#This Row],[Hour]:[Hour]]&gt;=AN$2),1,0)</f>
        <v>0</v>
      </c>
      <c r="AO106" s="276" cm="1">
        <f t="array" ref="AO106">IF(AND(AO$2&lt;&gt;0,TblTech[[#This Row],[Hour]:[Hour]]&gt;=AO$2),1,0)</f>
        <v>0</v>
      </c>
      <c r="AP106" s="276" cm="1">
        <f t="array" ref="AP106">IF(AND(AP$2&lt;&gt;0,TblTech[[#This Row],[Hour]:[Hour]]&gt;=AP$2),1,0)</f>
        <v>0</v>
      </c>
      <c r="AQ106" s="276" cm="1">
        <f t="array" ref="AQ106">IF(AND(AQ$2&lt;&gt;0,TblTech[[#This Row],[Hour]:[Hour]]&gt;=AQ$2),1,0)</f>
        <v>0</v>
      </c>
      <c r="AR106" s="276" cm="1">
        <f t="array" ref="AR106">IF(AND(AR$2&lt;&gt;0,TblTech[[#This Row],[Hour]:[Hour]]&gt;=AR$2),1,0)</f>
        <v>0</v>
      </c>
      <c r="AS106" s="276" cm="1">
        <f t="array" ref="AS106">IF(AND(AS$2&lt;&gt;0,TblTech[[#This Row],[Hour]:[Hour]]&gt;=AS$2),1,0)</f>
        <v>0</v>
      </c>
      <c r="AT106" s="276" cm="1">
        <f t="array" ref="AT106">IF(AND(AT$2&lt;&gt;0,TblTech[[#This Row],[Hour]:[Hour]]&gt;=AT$2),1,0)</f>
        <v>0</v>
      </c>
      <c r="AU106" s="276" cm="1">
        <f t="array" ref="AU106">IF(AND(AU$2&lt;&gt;0,TblTech[[#This Row],[Hour]:[Hour]]&gt;=AU$2),1,0)</f>
        <v>0</v>
      </c>
      <c r="AV106" s="276" cm="1">
        <f t="array" ref="AV106">IF(AND(AV$2&lt;&gt;0,TblTech[[#This Row],[Hour]:[Hour]]&gt;=AV$2),1,0)</f>
        <v>0</v>
      </c>
      <c r="AW106" s="276" cm="1">
        <f t="array" ref="AW106">IF(AND(AW$2&lt;&gt;0,TblTech[[#This Row],[Hour]:[Hour]]&gt;=AW$2),1,0)</f>
        <v>0</v>
      </c>
      <c r="AX106" s="276" cm="1">
        <f t="array" ref="AX106">IF(AND(AX$2&lt;&gt;0,TblTech[[#This Row],[Hour]:[Hour]]&gt;=AX$2),1,0)</f>
        <v>0</v>
      </c>
      <c r="AY106" s="276" cm="1">
        <f t="array" ref="AY106">IF(AND(AY$2&lt;&gt;0,TblTech[[#This Row],[Hour]:[Hour]]&gt;=AY$2),1,0)</f>
        <v>0</v>
      </c>
      <c r="AZ106" s="276" cm="1">
        <f t="array" ref="AZ106">IF(AND(AZ$2&lt;&gt;0,TblTech[[#This Row],[Hour]:[Hour]]&gt;=AZ$2),1,0)</f>
        <v>0</v>
      </c>
      <c r="BA106" s="276" cm="1">
        <f t="array" ref="BA106">IF(AND(BA$2&lt;&gt;0,TblTech[[#This Row],[Hour]:[Hour]]&gt;=BA$2),1,0)</f>
        <v>0</v>
      </c>
      <c r="BB106" s="276" cm="1">
        <f t="array" ref="BB106">IF(AND(BB$2&lt;&gt;0,TblTech[[#This Row],[Hour]:[Hour]]&gt;=BB$2),1,0)</f>
        <v>0</v>
      </c>
      <c r="BC106" s="276" cm="1">
        <f t="array" ref="BC106">IF(AND(BC$2&lt;&gt;0,TblTech[[#This Row],[Hour]:[Hour]]&gt;=BC$2),1,0)</f>
        <v>0</v>
      </c>
      <c r="BD106" s="276" cm="1">
        <f t="array" ref="BD106">IF(AND(BD$2&lt;&gt;0,TblTech[[#This Row],[Hour]:[Hour]]&gt;=BD$2),1,0)</f>
        <v>0</v>
      </c>
      <c r="BE106" s="276" cm="1">
        <f t="array" ref="BE106">IF(AND(BE$2&lt;&gt;0,TblTech[[#This Row],[Hour]:[Hour]]&gt;=BE$2),1,0)</f>
        <v>0</v>
      </c>
      <c r="BF106" s="276" cm="1">
        <f t="array" ref="BF106">IF(AND(BF$2&lt;&gt;0,TblTech[[#This Row],[Hour]:[Hour]]&gt;=BF$2),1,0)</f>
        <v>0</v>
      </c>
      <c r="BG106" s="276" cm="1">
        <f t="array" ref="BG106">IF(AND(BG$2&lt;&gt;0,TblTech[[#This Row],[Hour]:[Hour]]&gt;=BG$2),1,0)</f>
        <v>0</v>
      </c>
      <c r="BH106" s="276" cm="1">
        <f t="array" ref="BH106">IF(AND(BH$2&lt;&gt;0,TblTech[[#This Row],[Hour]:[Hour]]&gt;=BH$2),1,0)</f>
        <v>0</v>
      </c>
      <c r="BI106" s="276" cm="1">
        <f t="array" ref="BI106">IF(AND(BI$2&lt;&gt;0,TblTech[[#This Row],[Hour]:[Hour]]&gt;=BI$2),1,0)</f>
        <v>0</v>
      </c>
      <c r="BJ106" s="276" cm="1">
        <f t="array" ref="BJ106">IF(AND(BJ$2&lt;&gt;0,TblTech[[#This Row],[Hour]:[Hour]]&gt;=BJ$2),1,0)</f>
        <v>0</v>
      </c>
      <c r="BK106" s="276" cm="1">
        <f t="array" ref="BK106">IF(AND(BK$2&lt;&gt;0,TblTech[[#This Row],[Hour]:[Hour]]&gt;=BK$2),1,0)</f>
        <v>0</v>
      </c>
      <c r="BL106" s="276" cm="1">
        <f t="array" ref="BL106">IF(AND(BL$2&lt;&gt;0,TblTech[[#This Row],[Hour]:[Hour]]&gt;=BL$2),1,0)</f>
        <v>0</v>
      </c>
      <c r="BM106" s="276" cm="1">
        <f t="array" ref="BM106">IF(AND(BM$2&lt;&gt;0,TblTech[[#This Row],[Hour]:[Hour]]&gt;=BM$2),1,0)</f>
        <v>0</v>
      </c>
      <c r="BN106" s="276" cm="1">
        <f t="array" ref="BN106">IF(AND(BN$2&lt;&gt;0,TblTech[[#This Row],[Hour]:[Hour]]&gt;=BN$2),1,0)</f>
        <v>0</v>
      </c>
      <c r="BO106" s="276" cm="1">
        <f t="array" ref="BO106">IF(AND(BO$2&lt;&gt;0,TblTech[[#This Row],[Hour]:[Hour]]&gt;=BO$2),1,0)</f>
        <v>0</v>
      </c>
      <c r="BP106" s="276" cm="1">
        <f t="array" ref="BP106">IF(AND(BP$2&lt;&gt;0,TblTech[[#This Row],[Hour]:[Hour]]&gt;=BP$2),1,0)</f>
        <v>0</v>
      </c>
      <c r="BQ106" s="276" cm="1">
        <f t="array" ref="BQ106">IF(AND(BQ$2&lt;&gt;0,TblTech[[#This Row],[Hour]:[Hour]]&gt;=BQ$2),1,0)</f>
        <v>0</v>
      </c>
      <c r="BR106" s="276" cm="1">
        <f t="array" ref="BR106">IF(AND(BR$2&lt;&gt;0,TblTech[[#This Row],[Hour]:[Hour]]&gt;=BR$2),1,0)</f>
        <v>0</v>
      </c>
      <c r="BS106" s="276" cm="1">
        <f t="array" ref="BS106">IF(AND(BS$2&lt;&gt;0,TblTech[[#This Row],[Hour]:[Hour]]&gt;=BS$2),1,0)</f>
        <v>0</v>
      </c>
      <c r="BT106" s="276" cm="1">
        <f t="array" ref="BT106">IF(AND(BT$2&lt;&gt;0,TblTech[[#This Row],[Hour]:[Hour]]&gt;=BT$2),1,0)</f>
        <v>0</v>
      </c>
      <c r="BU106" s="276" cm="1">
        <f t="array" ref="BU106">IF(AND(BU$2&lt;&gt;0,TblTech[[#This Row],[Hour]:[Hour]]&gt;=BU$2),1,0)</f>
        <v>0</v>
      </c>
      <c r="BV106" s="276" cm="1">
        <f t="array" ref="BV106">IF(AND(BV$2&lt;&gt;0,TblTech[[#This Row],[Hour]:[Hour]]&gt;=BV$2),1,0)</f>
        <v>0</v>
      </c>
      <c r="BW106" s="276" cm="1">
        <f t="array" ref="BW106">IF(AND(BW$2&lt;&gt;0,TblTech[[#This Row],[Hour]:[Hour]]&gt;=BW$2),1,0)</f>
        <v>0</v>
      </c>
      <c r="BX106" s="276" cm="1">
        <f t="array" ref="BX106">IF(AND(BX$2&lt;&gt;0,TblTech[[#This Row],[Hour]:[Hour]]&gt;=BX$2),1,0)</f>
        <v>0</v>
      </c>
      <c r="BY106" s="276" cm="1">
        <f t="array" ref="BY106">IF(AND(BY$2&lt;&gt;0,TblTech[[#This Row],[Hour]:[Hour]]&gt;=BY$2),1,0)</f>
        <v>0</v>
      </c>
      <c r="BZ106" s="276" cm="1">
        <f t="array" ref="BZ106">IF(AND(BZ$2&lt;&gt;0,TblTech[[#This Row],[Hour]:[Hour]]&gt;=BZ$2),1,0)</f>
        <v>0</v>
      </c>
      <c r="CA106" s="377">
        <f>IFERROR(INDEX($H$4:$H$79,MATCH(INDEX(TblTech[[#Headers],[1-1]:[11-1]],1,MATCH(TblTech[[#This Row],[Hour]],$M$2:$BZ$2,0)),$G$4:$G$79,0)),)</f>
        <v>0</v>
      </c>
    </row>
    <row r="107" spans="1:79" x14ac:dyDescent="0.2">
      <c r="A107" s="268">
        <f>TblRezone[[#This Row],[Hour]]</f>
        <v>104</v>
      </c>
      <c r="B107" s="269">
        <f ca="1">TblExplore[[#This Row],[Land-DB]]</f>
        <v>110</v>
      </c>
      <c r="C107" s="270">
        <f ca="1">TblProd[[#This Row],[Techpoints]]</f>
        <v>0</v>
      </c>
      <c r="D107" s="270">
        <f ca="1">TblProd[[#This Row],[Required]]</f>
        <v>3750</v>
      </c>
      <c r="E107" s="279"/>
      <c r="F107" s="280"/>
      <c r="G107" s="273"/>
      <c r="H107" s="274"/>
      <c r="I107" s="274"/>
      <c r="J107" s="274"/>
      <c r="K107" s="93">
        <f ca="1">IF(TblTech[[#This Row],[Sum of tech]]&lt;&gt;OFFSET(TblTech[[#This Row],[Sum of tech]],-1,0),1,0)</f>
        <v>0</v>
      </c>
      <c r="L107" s="275">
        <f>COUNTIF(TblTech[[#This Row],[1-1]:[11-1]],1)</f>
        <v>0</v>
      </c>
      <c r="M107" s="276" cm="1">
        <f t="array" ref="M107">IF(AND(M$2&lt;&gt;0,TblTech[[#This Row],[Hour]:[Hour]]&gt;=M$2),1,0)</f>
        <v>0</v>
      </c>
      <c r="N107" s="276" cm="1">
        <f t="array" ref="N107">IF(AND(N$2&lt;&gt;0,TblTech[[#This Row],[Hour]:[Hour]]&gt;=N$2),1,0)</f>
        <v>0</v>
      </c>
      <c r="O107" s="276" cm="1">
        <f t="array" ref="O107">IF(AND(O$2&lt;&gt;0,TblTech[[#This Row],[Hour]:[Hour]]&gt;=O$2),1,0)</f>
        <v>0</v>
      </c>
      <c r="P107" s="276" cm="1">
        <f t="array" ref="P107">IF(AND(P$2&lt;&gt;0,TblTech[[#This Row],[Hour]:[Hour]]&gt;=P$2),1,0)</f>
        <v>0</v>
      </c>
      <c r="Q107" s="276" cm="1">
        <f t="array" ref="Q107">IF(AND(Q$2&lt;&gt;0,TblTech[[#This Row],[Hour]:[Hour]]&gt;=Q$2),1,0)</f>
        <v>0</v>
      </c>
      <c r="R107" s="276" cm="1">
        <f t="array" ref="R107">IF(AND(R$2&lt;&gt;0,TblTech[[#This Row],[Hour]:[Hour]]&gt;=R$2),1,0)</f>
        <v>0</v>
      </c>
      <c r="S107" s="276" cm="1">
        <f t="array" ref="S107">IF(AND(S$2&lt;&gt;0,TblTech[[#This Row],[Hour]:[Hour]]&gt;=S$2),1,0)</f>
        <v>0</v>
      </c>
      <c r="T107" s="276" cm="1">
        <f t="array" ref="T107">IF(AND(T$2&lt;&gt;0,TblTech[[#This Row],[Hour]:[Hour]]&gt;=T$2),1,0)</f>
        <v>0</v>
      </c>
      <c r="U107" s="276" cm="1">
        <f t="array" ref="U107">IF(AND(U$2&lt;&gt;0,TblTech[[#This Row],[Hour]:[Hour]]&gt;=U$2),1,0)</f>
        <v>0</v>
      </c>
      <c r="V107" s="276" cm="1">
        <f t="array" ref="V107">IF(AND(V$2&lt;&gt;0,TblTech[[#This Row],[Hour]:[Hour]]&gt;=V$2),1,0)</f>
        <v>0</v>
      </c>
      <c r="W107" s="276" cm="1">
        <f t="array" ref="W107">IF(AND(W$2&lt;&gt;0,TblTech[[#This Row],[Hour]:[Hour]]&gt;=W$2),1,0)</f>
        <v>0</v>
      </c>
      <c r="X107" s="276" cm="1">
        <f t="array" ref="X107">IF(AND(X$2&lt;&gt;0,TblTech[[#This Row],[Hour]:[Hour]]&gt;=X$2),1,0)</f>
        <v>0</v>
      </c>
      <c r="Y107" s="276" cm="1">
        <f t="array" ref="Y107">IF(AND(Y$2&lt;&gt;0,TblTech[[#This Row],[Hour]:[Hour]]&gt;=Y$2),1,0)</f>
        <v>0</v>
      </c>
      <c r="Z107" s="276" cm="1">
        <f t="array" ref="Z107">IF(AND(Z$2&lt;&gt;0,TblTech[[#This Row],[Hour]:[Hour]]&gt;=Z$2),1,0)</f>
        <v>0</v>
      </c>
      <c r="AA107" s="276" cm="1">
        <f t="array" ref="AA107">IF(AND(AA$2&lt;&gt;0,TblTech[[#This Row],[Hour]:[Hour]]&gt;=AA$2),1,0)</f>
        <v>0</v>
      </c>
      <c r="AB107" s="276" cm="1">
        <f t="array" ref="AB107">IF(AND(AB$2&lt;&gt;0,TblTech[[#This Row],[Hour]:[Hour]]&gt;=AB$2),1,0)</f>
        <v>0</v>
      </c>
      <c r="AC107" s="276" cm="1">
        <f t="array" ref="AC107">IF(AND(AC$2&lt;&gt;0,TblTech[[#This Row],[Hour]:[Hour]]&gt;=AC$2),1,0)</f>
        <v>0</v>
      </c>
      <c r="AD107" s="276" cm="1">
        <f t="array" ref="AD107">IF(AND(AD$2&lt;&gt;0,TblTech[[#This Row],[Hour]:[Hour]]&gt;=AD$2),1,0)</f>
        <v>0</v>
      </c>
      <c r="AE107" s="276" cm="1">
        <f t="array" ref="AE107">IF(AND(AE$2&lt;&gt;0,TblTech[[#This Row],[Hour]:[Hour]]&gt;=AE$2),1,0)</f>
        <v>0</v>
      </c>
      <c r="AF107" s="276" cm="1">
        <f t="array" ref="AF107">IF(AND(AF$2&lt;&gt;0,TblTech[[#This Row],[Hour]:[Hour]]&gt;=AF$2),1,0)</f>
        <v>0</v>
      </c>
      <c r="AG107" s="276" cm="1">
        <f t="array" ref="AG107">IF(AND(AG$2&lt;&gt;0,TblTech[[#This Row],[Hour]:[Hour]]&gt;=AG$2),1,0)</f>
        <v>0</v>
      </c>
      <c r="AH107" s="276" cm="1">
        <f t="array" ref="AH107">IF(AND(AH$2&lt;&gt;0,TblTech[[#This Row],[Hour]:[Hour]]&gt;=AH$2),1,0)</f>
        <v>0</v>
      </c>
      <c r="AI107" s="276" cm="1">
        <f t="array" ref="AI107">IF(AND(AI$2&lt;&gt;0,TblTech[[#This Row],[Hour]:[Hour]]&gt;=AI$2),1,0)</f>
        <v>0</v>
      </c>
      <c r="AJ107" s="276" cm="1">
        <f t="array" ref="AJ107">IF(AND(AJ$2&lt;&gt;0,TblTech[[#This Row],[Hour]:[Hour]]&gt;=AJ$2),1,0)</f>
        <v>0</v>
      </c>
      <c r="AK107" s="276" cm="1">
        <f t="array" ref="AK107">IF(AND(AK$2&lt;&gt;0,TblTech[[#This Row],[Hour]:[Hour]]&gt;=AK$2),1,0)</f>
        <v>0</v>
      </c>
      <c r="AL107" s="276" cm="1">
        <f t="array" ref="AL107">IF(AND(AL$2&lt;&gt;0,TblTech[[#This Row],[Hour]:[Hour]]&gt;=AL$2),1,0)</f>
        <v>0</v>
      </c>
      <c r="AM107" s="276" cm="1">
        <f t="array" ref="AM107">IF(AND(AM$2&lt;&gt;0,TblTech[[#This Row],[Hour]:[Hour]]&gt;=AM$2),1,0)</f>
        <v>0</v>
      </c>
      <c r="AN107" s="276" cm="1">
        <f t="array" ref="AN107">IF(AND(AN$2&lt;&gt;0,TblTech[[#This Row],[Hour]:[Hour]]&gt;=AN$2),1,0)</f>
        <v>0</v>
      </c>
      <c r="AO107" s="276" cm="1">
        <f t="array" ref="AO107">IF(AND(AO$2&lt;&gt;0,TblTech[[#This Row],[Hour]:[Hour]]&gt;=AO$2),1,0)</f>
        <v>0</v>
      </c>
      <c r="AP107" s="276" cm="1">
        <f t="array" ref="AP107">IF(AND(AP$2&lt;&gt;0,TblTech[[#This Row],[Hour]:[Hour]]&gt;=AP$2),1,0)</f>
        <v>0</v>
      </c>
      <c r="AQ107" s="276" cm="1">
        <f t="array" ref="AQ107">IF(AND(AQ$2&lt;&gt;0,TblTech[[#This Row],[Hour]:[Hour]]&gt;=AQ$2),1,0)</f>
        <v>0</v>
      </c>
      <c r="AR107" s="276" cm="1">
        <f t="array" ref="AR107">IF(AND(AR$2&lt;&gt;0,TblTech[[#This Row],[Hour]:[Hour]]&gt;=AR$2),1,0)</f>
        <v>0</v>
      </c>
      <c r="AS107" s="276" cm="1">
        <f t="array" ref="AS107">IF(AND(AS$2&lt;&gt;0,TblTech[[#This Row],[Hour]:[Hour]]&gt;=AS$2),1,0)</f>
        <v>0</v>
      </c>
      <c r="AT107" s="276" cm="1">
        <f t="array" ref="AT107">IF(AND(AT$2&lt;&gt;0,TblTech[[#This Row],[Hour]:[Hour]]&gt;=AT$2),1,0)</f>
        <v>0</v>
      </c>
      <c r="AU107" s="276" cm="1">
        <f t="array" ref="AU107">IF(AND(AU$2&lt;&gt;0,TblTech[[#This Row],[Hour]:[Hour]]&gt;=AU$2),1,0)</f>
        <v>0</v>
      </c>
      <c r="AV107" s="276" cm="1">
        <f t="array" ref="AV107">IF(AND(AV$2&lt;&gt;0,TblTech[[#This Row],[Hour]:[Hour]]&gt;=AV$2),1,0)</f>
        <v>0</v>
      </c>
      <c r="AW107" s="276" cm="1">
        <f t="array" ref="AW107">IF(AND(AW$2&lt;&gt;0,TblTech[[#This Row],[Hour]:[Hour]]&gt;=AW$2),1,0)</f>
        <v>0</v>
      </c>
      <c r="AX107" s="276" cm="1">
        <f t="array" ref="AX107">IF(AND(AX$2&lt;&gt;0,TblTech[[#This Row],[Hour]:[Hour]]&gt;=AX$2),1,0)</f>
        <v>0</v>
      </c>
      <c r="AY107" s="276" cm="1">
        <f t="array" ref="AY107">IF(AND(AY$2&lt;&gt;0,TblTech[[#This Row],[Hour]:[Hour]]&gt;=AY$2),1,0)</f>
        <v>0</v>
      </c>
      <c r="AZ107" s="276" cm="1">
        <f t="array" ref="AZ107">IF(AND(AZ$2&lt;&gt;0,TblTech[[#This Row],[Hour]:[Hour]]&gt;=AZ$2),1,0)</f>
        <v>0</v>
      </c>
      <c r="BA107" s="276" cm="1">
        <f t="array" ref="BA107">IF(AND(BA$2&lt;&gt;0,TblTech[[#This Row],[Hour]:[Hour]]&gt;=BA$2),1,0)</f>
        <v>0</v>
      </c>
      <c r="BB107" s="276" cm="1">
        <f t="array" ref="BB107">IF(AND(BB$2&lt;&gt;0,TblTech[[#This Row],[Hour]:[Hour]]&gt;=BB$2),1,0)</f>
        <v>0</v>
      </c>
      <c r="BC107" s="276" cm="1">
        <f t="array" ref="BC107">IF(AND(BC$2&lt;&gt;0,TblTech[[#This Row],[Hour]:[Hour]]&gt;=BC$2),1,0)</f>
        <v>0</v>
      </c>
      <c r="BD107" s="276" cm="1">
        <f t="array" ref="BD107">IF(AND(BD$2&lt;&gt;0,TblTech[[#This Row],[Hour]:[Hour]]&gt;=BD$2),1,0)</f>
        <v>0</v>
      </c>
      <c r="BE107" s="276" cm="1">
        <f t="array" ref="BE107">IF(AND(BE$2&lt;&gt;0,TblTech[[#This Row],[Hour]:[Hour]]&gt;=BE$2),1,0)</f>
        <v>0</v>
      </c>
      <c r="BF107" s="276" cm="1">
        <f t="array" ref="BF107">IF(AND(BF$2&lt;&gt;0,TblTech[[#This Row],[Hour]:[Hour]]&gt;=BF$2),1,0)</f>
        <v>0</v>
      </c>
      <c r="BG107" s="276" cm="1">
        <f t="array" ref="BG107">IF(AND(BG$2&lt;&gt;0,TblTech[[#This Row],[Hour]:[Hour]]&gt;=BG$2),1,0)</f>
        <v>0</v>
      </c>
      <c r="BH107" s="276" cm="1">
        <f t="array" ref="BH107">IF(AND(BH$2&lt;&gt;0,TblTech[[#This Row],[Hour]:[Hour]]&gt;=BH$2),1,0)</f>
        <v>0</v>
      </c>
      <c r="BI107" s="276" cm="1">
        <f t="array" ref="BI107">IF(AND(BI$2&lt;&gt;0,TblTech[[#This Row],[Hour]:[Hour]]&gt;=BI$2),1,0)</f>
        <v>0</v>
      </c>
      <c r="BJ107" s="276" cm="1">
        <f t="array" ref="BJ107">IF(AND(BJ$2&lt;&gt;0,TblTech[[#This Row],[Hour]:[Hour]]&gt;=BJ$2),1,0)</f>
        <v>0</v>
      </c>
      <c r="BK107" s="276" cm="1">
        <f t="array" ref="BK107">IF(AND(BK$2&lt;&gt;0,TblTech[[#This Row],[Hour]:[Hour]]&gt;=BK$2),1,0)</f>
        <v>0</v>
      </c>
      <c r="BL107" s="276" cm="1">
        <f t="array" ref="BL107">IF(AND(BL$2&lt;&gt;0,TblTech[[#This Row],[Hour]:[Hour]]&gt;=BL$2),1,0)</f>
        <v>0</v>
      </c>
      <c r="BM107" s="276" cm="1">
        <f t="array" ref="BM107">IF(AND(BM$2&lt;&gt;0,TblTech[[#This Row],[Hour]:[Hour]]&gt;=BM$2),1,0)</f>
        <v>0</v>
      </c>
      <c r="BN107" s="276" cm="1">
        <f t="array" ref="BN107">IF(AND(BN$2&lt;&gt;0,TblTech[[#This Row],[Hour]:[Hour]]&gt;=BN$2),1,0)</f>
        <v>0</v>
      </c>
      <c r="BO107" s="276" cm="1">
        <f t="array" ref="BO107">IF(AND(BO$2&lt;&gt;0,TblTech[[#This Row],[Hour]:[Hour]]&gt;=BO$2),1,0)</f>
        <v>0</v>
      </c>
      <c r="BP107" s="276" cm="1">
        <f t="array" ref="BP107">IF(AND(BP$2&lt;&gt;0,TblTech[[#This Row],[Hour]:[Hour]]&gt;=BP$2),1,0)</f>
        <v>0</v>
      </c>
      <c r="BQ107" s="276" cm="1">
        <f t="array" ref="BQ107">IF(AND(BQ$2&lt;&gt;0,TblTech[[#This Row],[Hour]:[Hour]]&gt;=BQ$2),1,0)</f>
        <v>0</v>
      </c>
      <c r="BR107" s="276" cm="1">
        <f t="array" ref="BR107">IF(AND(BR$2&lt;&gt;0,TblTech[[#This Row],[Hour]:[Hour]]&gt;=BR$2),1,0)</f>
        <v>0</v>
      </c>
      <c r="BS107" s="276" cm="1">
        <f t="array" ref="BS107">IF(AND(BS$2&lt;&gt;0,TblTech[[#This Row],[Hour]:[Hour]]&gt;=BS$2),1,0)</f>
        <v>0</v>
      </c>
      <c r="BT107" s="276" cm="1">
        <f t="array" ref="BT107">IF(AND(BT$2&lt;&gt;0,TblTech[[#This Row],[Hour]:[Hour]]&gt;=BT$2),1,0)</f>
        <v>0</v>
      </c>
      <c r="BU107" s="276" cm="1">
        <f t="array" ref="BU107">IF(AND(BU$2&lt;&gt;0,TblTech[[#This Row],[Hour]:[Hour]]&gt;=BU$2),1,0)</f>
        <v>0</v>
      </c>
      <c r="BV107" s="276" cm="1">
        <f t="array" ref="BV107">IF(AND(BV$2&lt;&gt;0,TblTech[[#This Row],[Hour]:[Hour]]&gt;=BV$2),1,0)</f>
        <v>0</v>
      </c>
      <c r="BW107" s="276" cm="1">
        <f t="array" ref="BW107">IF(AND(BW$2&lt;&gt;0,TblTech[[#This Row],[Hour]:[Hour]]&gt;=BW$2),1,0)</f>
        <v>0</v>
      </c>
      <c r="BX107" s="276" cm="1">
        <f t="array" ref="BX107">IF(AND(BX$2&lt;&gt;0,TblTech[[#This Row],[Hour]:[Hour]]&gt;=BX$2),1,0)</f>
        <v>0</v>
      </c>
      <c r="BY107" s="276" cm="1">
        <f t="array" ref="BY107">IF(AND(BY$2&lt;&gt;0,TblTech[[#This Row],[Hour]:[Hour]]&gt;=BY$2),1,0)</f>
        <v>0</v>
      </c>
      <c r="BZ107" s="276" cm="1">
        <f t="array" ref="BZ107">IF(AND(BZ$2&lt;&gt;0,TblTech[[#This Row],[Hour]:[Hour]]&gt;=BZ$2),1,0)</f>
        <v>0</v>
      </c>
      <c r="CA107" s="377">
        <f>IFERROR(INDEX($H$4:$H$79,MATCH(INDEX(TblTech[[#Headers],[1-1]:[11-1]],1,MATCH(TblTech[[#This Row],[Hour]],$M$2:$BZ$2,0)),$G$4:$G$79,0)),)</f>
        <v>0</v>
      </c>
    </row>
    <row r="108" spans="1:79" x14ac:dyDescent="0.2">
      <c r="A108" s="268">
        <f>TblRezone[[#This Row],[Hour]]</f>
        <v>105</v>
      </c>
      <c r="B108" s="269">
        <f ca="1">TblExplore[[#This Row],[Land-DB]]</f>
        <v>110</v>
      </c>
      <c r="C108" s="270">
        <f ca="1">TblProd[[#This Row],[Techpoints]]</f>
        <v>0</v>
      </c>
      <c r="D108" s="270">
        <f ca="1">TblProd[[#This Row],[Required]]</f>
        <v>3750</v>
      </c>
      <c r="E108" s="279"/>
      <c r="F108" s="280"/>
      <c r="G108" s="273"/>
      <c r="H108" s="274"/>
      <c r="I108" s="274"/>
      <c r="J108" s="274"/>
      <c r="K108" s="93">
        <f ca="1">IF(TblTech[[#This Row],[Sum of tech]]&lt;&gt;OFFSET(TblTech[[#This Row],[Sum of tech]],-1,0),1,0)</f>
        <v>0</v>
      </c>
      <c r="L108" s="275">
        <f>COUNTIF(TblTech[[#This Row],[1-1]:[11-1]],1)</f>
        <v>0</v>
      </c>
      <c r="M108" s="276" cm="1">
        <f t="array" ref="M108">IF(AND(M$2&lt;&gt;0,TblTech[[#This Row],[Hour]:[Hour]]&gt;=M$2),1,0)</f>
        <v>0</v>
      </c>
      <c r="N108" s="276" cm="1">
        <f t="array" ref="N108">IF(AND(N$2&lt;&gt;0,TblTech[[#This Row],[Hour]:[Hour]]&gt;=N$2),1,0)</f>
        <v>0</v>
      </c>
      <c r="O108" s="276" cm="1">
        <f t="array" ref="O108">IF(AND(O$2&lt;&gt;0,TblTech[[#This Row],[Hour]:[Hour]]&gt;=O$2),1,0)</f>
        <v>0</v>
      </c>
      <c r="P108" s="276" cm="1">
        <f t="array" ref="P108">IF(AND(P$2&lt;&gt;0,TblTech[[#This Row],[Hour]:[Hour]]&gt;=P$2),1,0)</f>
        <v>0</v>
      </c>
      <c r="Q108" s="276" cm="1">
        <f t="array" ref="Q108">IF(AND(Q$2&lt;&gt;0,TblTech[[#This Row],[Hour]:[Hour]]&gt;=Q$2),1,0)</f>
        <v>0</v>
      </c>
      <c r="R108" s="276" cm="1">
        <f t="array" ref="R108">IF(AND(R$2&lt;&gt;0,TblTech[[#This Row],[Hour]:[Hour]]&gt;=R$2),1,0)</f>
        <v>0</v>
      </c>
      <c r="S108" s="276" cm="1">
        <f t="array" ref="S108">IF(AND(S$2&lt;&gt;0,TblTech[[#This Row],[Hour]:[Hour]]&gt;=S$2),1,0)</f>
        <v>0</v>
      </c>
      <c r="T108" s="276" cm="1">
        <f t="array" ref="T108">IF(AND(T$2&lt;&gt;0,TblTech[[#This Row],[Hour]:[Hour]]&gt;=T$2),1,0)</f>
        <v>0</v>
      </c>
      <c r="U108" s="276" cm="1">
        <f t="array" ref="U108">IF(AND(U$2&lt;&gt;0,TblTech[[#This Row],[Hour]:[Hour]]&gt;=U$2),1,0)</f>
        <v>0</v>
      </c>
      <c r="V108" s="276" cm="1">
        <f t="array" ref="V108">IF(AND(V$2&lt;&gt;0,TblTech[[#This Row],[Hour]:[Hour]]&gt;=V$2),1,0)</f>
        <v>0</v>
      </c>
      <c r="W108" s="276" cm="1">
        <f t="array" ref="W108">IF(AND(W$2&lt;&gt;0,TblTech[[#This Row],[Hour]:[Hour]]&gt;=W$2),1,0)</f>
        <v>0</v>
      </c>
      <c r="X108" s="276" cm="1">
        <f t="array" ref="X108">IF(AND(X$2&lt;&gt;0,TblTech[[#This Row],[Hour]:[Hour]]&gt;=X$2),1,0)</f>
        <v>0</v>
      </c>
      <c r="Y108" s="276" cm="1">
        <f t="array" ref="Y108">IF(AND(Y$2&lt;&gt;0,TblTech[[#This Row],[Hour]:[Hour]]&gt;=Y$2),1,0)</f>
        <v>0</v>
      </c>
      <c r="Z108" s="276" cm="1">
        <f t="array" ref="Z108">IF(AND(Z$2&lt;&gt;0,TblTech[[#This Row],[Hour]:[Hour]]&gt;=Z$2),1,0)</f>
        <v>0</v>
      </c>
      <c r="AA108" s="276" cm="1">
        <f t="array" ref="AA108">IF(AND(AA$2&lt;&gt;0,TblTech[[#This Row],[Hour]:[Hour]]&gt;=AA$2),1,0)</f>
        <v>0</v>
      </c>
      <c r="AB108" s="276" cm="1">
        <f t="array" ref="AB108">IF(AND(AB$2&lt;&gt;0,TblTech[[#This Row],[Hour]:[Hour]]&gt;=AB$2),1,0)</f>
        <v>0</v>
      </c>
      <c r="AC108" s="276" cm="1">
        <f t="array" ref="AC108">IF(AND(AC$2&lt;&gt;0,TblTech[[#This Row],[Hour]:[Hour]]&gt;=AC$2),1,0)</f>
        <v>0</v>
      </c>
      <c r="AD108" s="276" cm="1">
        <f t="array" ref="AD108">IF(AND(AD$2&lt;&gt;0,TblTech[[#This Row],[Hour]:[Hour]]&gt;=AD$2),1,0)</f>
        <v>0</v>
      </c>
      <c r="AE108" s="276" cm="1">
        <f t="array" ref="AE108">IF(AND(AE$2&lt;&gt;0,TblTech[[#This Row],[Hour]:[Hour]]&gt;=AE$2),1,0)</f>
        <v>0</v>
      </c>
      <c r="AF108" s="276" cm="1">
        <f t="array" ref="AF108">IF(AND(AF$2&lt;&gt;0,TblTech[[#This Row],[Hour]:[Hour]]&gt;=AF$2),1,0)</f>
        <v>0</v>
      </c>
      <c r="AG108" s="276" cm="1">
        <f t="array" ref="AG108">IF(AND(AG$2&lt;&gt;0,TblTech[[#This Row],[Hour]:[Hour]]&gt;=AG$2),1,0)</f>
        <v>0</v>
      </c>
      <c r="AH108" s="276" cm="1">
        <f t="array" ref="AH108">IF(AND(AH$2&lt;&gt;0,TblTech[[#This Row],[Hour]:[Hour]]&gt;=AH$2),1,0)</f>
        <v>0</v>
      </c>
      <c r="AI108" s="276" cm="1">
        <f t="array" ref="AI108">IF(AND(AI$2&lt;&gt;0,TblTech[[#This Row],[Hour]:[Hour]]&gt;=AI$2),1,0)</f>
        <v>0</v>
      </c>
      <c r="AJ108" s="276" cm="1">
        <f t="array" ref="AJ108">IF(AND(AJ$2&lt;&gt;0,TblTech[[#This Row],[Hour]:[Hour]]&gt;=AJ$2),1,0)</f>
        <v>0</v>
      </c>
      <c r="AK108" s="276" cm="1">
        <f t="array" ref="AK108">IF(AND(AK$2&lt;&gt;0,TblTech[[#This Row],[Hour]:[Hour]]&gt;=AK$2),1,0)</f>
        <v>0</v>
      </c>
      <c r="AL108" s="276" cm="1">
        <f t="array" ref="AL108">IF(AND(AL$2&lt;&gt;0,TblTech[[#This Row],[Hour]:[Hour]]&gt;=AL$2),1,0)</f>
        <v>0</v>
      </c>
      <c r="AM108" s="276" cm="1">
        <f t="array" ref="AM108">IF(AND(AM$2&lt;&gt;0,TblTech[[#This Row],[Hour]:[Hour]]&gt;=AM$2),1,0)</f>
        <v>0</v>
      </c>
      <c r="AN108" s="276" cm="1">
        <f t="array" ref="AN108">IF(AND(AN$2&lt;&gt;0,TblTech[[#This Row],[Hour]:[Hour]]&gt;=AN$2),1,0)</f>
        <v>0</v>
      </c>
      <c r="AO108" s="276" cm="1">
        <f t="array" ref="AO108">IF(AND(AO$2&lt;&gt;0,TblTech[[#This Row],[Hour]:[Hour]]&gt;=AO$2),1,0)</f>
        <v>0</v>
      </c>
      <c r="AP108" s="276" cm="1">
        <f t="array" ref="AP108">IF(AND(AP$2&lt;&gt;0,TblTech[[#This Row],[Hour]:[Hour]]&gt;=AP$2),1,0)</f>
        <v>0</v>
      </c>
      <c r="AQ108" s="276" cm="1">
        <f t="array" ref="AQ108">IF(AND(AQ$2&lt;&gt;0,TblTech[[#This Row],[Hour]:[Hour]]&gt;=AQ$2),1,0)</f>
        <v>0</v>
      </c>
      <c r="AR108" s="276" cm="1">
        <f t="array" ref="AR108">IF(AND(AR$2&lt;&gt;0,TblTech[[#This Row],[Hour]:[Hour]]&gt;=AR$2),1,0)</f>
        <v>0</v>
      </c>
      <c r="AS108" s="276" cm="1">
        <f t="array" ref="AS108">IF(AND(AS$2&lt;&gt;0,TblTech[[#This Row],[Hour]:[Hour]]&gt;=AS$2),1,0)</f>
        <v>0</v>
      </c>
      <c r="AT108" s="276" cm="1">
        <f t="array" ref="AT108">IF(AND(AT$2&lt;&gt;0,TblTech[[#This Row],[Hour]:[Hour]]&gt;=AT$2),1,0)</f>
        <v>0</v>
      </c>
      <c r="AU108" s="276" cm="1">
        <f t="array" ref="AU108">IF(AND(AU$2&lt;&gt;0,TblTech[[#This Row],[Hour]:[Hour]]&gt;=AU$2),1,0)</f>
        <v>0</v>
      </c>
      <c r="AV108" s="276" cm="1">
        <f t="array" ref="AV108">IF(AND(AV$2&lt;&gt;0,TblTech[[#This Row],[Hour]:[Hour]]&gt;=AV$2),1,0)</f>
        <v>0</v>
      </c>
      <c r="AW108" s="276" cm="1">
        <f t="array" ref="AW108">IF(AND(AW$2&lt;&gt;0,TblTech[[#This Row],[Hour]:[Hour]]&gt;=AW$2),1,0)</f>
        <v>0</v>
      </c>
      <c r="AX108" s="276" cm="1">
        <f t="array" ref="AX108">IF(AND(AX$2&lt;&gt;0,TblTech[[#This Row],[Hour]:[Hour]]&gt;=AX$2),1,0)</f>
        <v>0</v>
      </c>
      <c r="AY108" s="276" cm="1">
        <f t="array" ref="AY108">IF(AND(AY$2&lt;&gt;0,TblTech[[#This Row],[Hour]:[Hour]]&gt;=AY$2),1,0)</f>
        <v>0</v>
      </c>
      <c r="AZ108" s="276" cm="1">
        <f t="array" ref="AZ108">IF(AND(AZ$2&lt;&gt;0,TblTech[[#This Row],[Hour]:[Hour]]&gt;=AZ$2),1,0)</f>
        <v>0</v>
      </c>
      <c r="BA108" s="276" cm="1">
        <f t="array" ref="BA108">IF(AND(BA$2&lt;&gt;0,TblTech[[#This Row],[Hour]:[Hour]]&gt;=BA$2),1,0)</f>
        <v>0</v>
      </c>
      <c r="BB108" s="276" cm="1">
        <f t="array" ref="BB108">IF(AND(BB$2&lt;&gt;0,TblTech[[#This Row],[Hour]:[Hour]]&gt;=BB$2),1,0)</f>
        <v>0</v>
      </c>
      <c r="BC108" s="276" cm="1">
        <f t="array" ref="BC108">IF(AND(BC$2&lt;&gt;0,TblTech[[#This Row],[Hour]:[Hour]]&gt;=BC$2),1,0)</f>
        <v>0</v>
      </c>
      <c r="BD108" s="276" cm="1">
        <f t="array" ref="BD108">IF(AND(BD$2&lt;&gt;0,TblTech[[#This Row],[Hour]:[Hour]]&gt;=BD$2),1,0)</f>
        <v>0</v>
      </c>
      <c r="BE108" s="276" cm="1">
        <f t="array" ref="BE108">IF(AND(BE$2&lt;&gt;0,TblTech[[#This Row],[Hour]:[Hour]]&gt;=BE$2),1,0)</f>
        <v>0</v>
      </c>
      <c r="BF108" s="276" cm="1">
        <f t="array" ref="BF108">IF(AND(BF$2&lt;&gt;0,TblTech[[#This Row],[Hour]:[Hour]]&gt;=BF$2),1,0)</f>
        <v>0</v>
      </c>
      <c r="BG108" s="276" cm="1">
        <f t="array" ref="BG108">IF(AND(BG$2&lt;&gt;0,TblTech[[#This Row],[Hour]:[Hour]]&gt;=BG$2),1,0)</f>
        <v>0</v>
      </c>
      <c r="BH108" s="276" cm="1">
        <f t="array" ref="BH108">IF(AND(BH$2&lt;&gt;0,TblTech[[#This Row],[Hour]:[Hour]]&gt;=BH$2),1,0)</f>
        <v>0</v>
      </c>
      <c r="BI108" s="276" cm="1">
        <f t="array" ref="BI108">IF(AND(BI$2&lt;&gt;0,TblTech[[#This Row],[Hour]:[Hour]]&gt;=BI$2),1,0)</f>
        <v>0</v>
      </c>
      <c r="BJ108" s="276" cm="1">
        <f t="array" ref="BJ108">IF(AND(BJ$2&lt;&gt;0,TblTech[[#This Row],[Hour]:[Hour]]&gt;=BJ$2),1,0)</f>
        <v>0</v>
      </c>
      <c r="BK108" s="276" cm="1">
        <f t="array" ref="BK108">IF(AND(BK$2&lt;&gt;0,TblTech[[#This Row],[Hour]:[Hour]]&gt;=BK$2),1,0)</f>
        <v>0</v>
      </c>
      <c r="BL108" s="276" cm="1">
        <f t="array" ref="BL108">IF(AND(BL$2&lt;&gt;0,TblTech[[#This Row],[Hour]:[Hour]]&gt;=BL$2),1,0)</f>
        <v>0</v>
      </c>
      <c r="BM108" s="276" cm="1">
        <f t="array" ref="BM108">IF(AND(BM$2&lt;&gt;0,TblTech[[#This Row],[Hour]:[Hour]]&gt;=BM$2),1,0)</f>
        <v>0</v>
      </c>
      <c r="BN108" s="276" cm="1">
        <f t="array" ref="BN108">IF(AND(BN$2&lt;&gt;0,TblTech[[#This Row],[Hour]:[Hour]]&gt;=BN$2),1,0)</f>
        <v>0</v>
      </c>
      <c r="BO108" s="276" cm="1">
        <f t="array" ref="BO108">IF(AND(BO$2&lt;&gt;0,TblTech[[#This Row],[Hour]:[Hour]]&gt;=BO$2),1,0)</f>
        <v>0</v>
      </c>
      <c r="BP108" s="276" cm="1">
        <f t="array" ref="BP108">IF(AND(BP$2&lt;&gt;0,TblTech[[#This Row],[Hour]:[Hour]]&gt;=BP$2),1,0)</f>
        <v>0</v>
      </c>
      <c r="BQ108" s="276" cm="1">
        <f t="array" ref="BQ108">IF(AND(BQ$2&lt;&gt;0,TblTech[[#This Row],[Hour]:[Hour]]&gt;=BQ$2),1,0)</f>
        <v>0</v>
      </c>
      <c r="BR108" s="276" cm="1">
        <f t="array" ref="BR108">IF(AND(BR$2&lt;&gt;0,TblTech[[#This Row],[Hour]:[Hour]]&gt;=BR$2),1,0)</f>
        <v>0</v>
      </c>
      <c r="BS108" s="276" cm="1">
        <f t="array" ref="BS108">IF(AND(BS$2&lt;&gt;0,TblTech[[#This Row],[Hour]:[Hour]]&gt;=BS$2),1,0)</f>
        <v>0</v>
      </c>
      <c r="BT108" s="276" cm="1">
        <f t="array" ref="BT108">IF(AND(BT$2&lt;&gt;0,TblTech[[#This Row],[Hour]:[Hour]]&gt;=BT$2),1,0)</f>
        <v>0</v>
      </c>
      <c r="BU108" s="276" cm="1">
        <f t="array" ref="BU108">IF(AND(BU$2&lt;&gt;0,TblTech[[#This Row],[Hour]:[Hour]]&gt;=BU$2),1,0)</f>
        <v>0</v>
      </c>
      <c r="BV108" s="276" cm="1">
        <f t="array" ref="BV108">IF(AND(BV$2&lt;&gt;0,TblTech[[#This Row],[Hour]:[Hour]]&gt;=BV$2),1,0)</f>
        <v>0</v>
      </c>
      <c r="BW108" s="276" cm="1">
        <f t="array" ref="BW108">IF(AND(BW$2&lt;&gt;0,TblTech[[#This Row],[Hour]:[Hour]]&gt;=BW$2),1,0)</f>
        <v>0</v>
      </c>
      <c r="BX108" s="276" cm="1">
        <f t="array" ref="BX108">IF(AND(BX$2&lt;&gt;0,TblTech[[#This Row],[Hour]:[Hour]]&gt;=BX$2),1,0)</f>
        <v>0</v>
      </c>
      <c r="BY108" s="276" cm="1">
        <f t="array" ref="BY108">IF(AND(BY$2&lt;&gt;0,TblTech[[#This Row],[Hour]:[Hour]]&gt;=BY$2),1,0)</f>
        <v>0</v>
      </c>
      <c r="BZ108" s="276" cm="1">
        <f t="array" ref="BZ108">IF(AND(BZ$2&lt;&gt;0,TblTech[[#This Row],[Hour]:[Hour]]&gt;=BZ$2),1,0)</f>
        <v>0</v>
      </c>
      <c r="CA108" s="377">
        <f>IFERROR(INDEX($H$4:$H$79,MATCH(INDEX(TblTech[[#Headers],[1-1]:[11-1]],1,MATCH(TblTech[[#This Row],[Hour]],$M$2:$BZ$2,0)),$G$4:$G$79,0)),)</f>
        <v>0</v>
      </c>
    </row>
    <row r="109" spans="1:79" x14ac:dyDescent="0.2">
      <c r="A109" s="268">
        <f>TblRezone[[#This Row],[Hour]]</f>
        <v>106</v>
      </c>
      <c r="B109" s="269">
        <f ca="1">TblExplore[[#This Row],[Land-DB]]</f>
        <v>110</v>
      </c>
      <c r="C109" s="270">
        <f ca="1">TblProd[[#This Row],[Techpoints]]</f>
        <v>0</v>
      </c>
      <c r="D109" s="270">
        <f ca="1">TblProd[[#This Row],[Required]]</f>
        <v>3750</v>
      </c>
      <c r="E109" s="279"/>
      <c r="F109" s="280"/>
      <c r="G109" s="273"/>
      <c r="H109" s="274"/>
      <c r="I109" s="274"/>
      <c r="J109" s="274"/>
      <c r="K109" s="93">
        <f ca="1">IF(TblTech[[#This Row],[Sum of tech]]&lt;&gt;OFFSET(TblTech[[#This Row],[Sum of tech]],-1,0),1,0)</f>
        <v>0</v>
      </c>
      <c r="L109" s="275">
        <f>COUNTIF(TblTech[[#This Row],[1-1]:[11-1]],1)</f>
        <v>0</v>
      </c>
      <c r="M109" s="276" cm="1">
        <f t="array" ref="M109">IF(AND(M$2&lt;&gt;0,TblTech[[#This Row],[Hour]:[Hour]]&gt;=M$2),1,0)</f>
        <v>0</v>
      </c>
      <c r="N109" s="276" cm="1">
        <f t="array" ref="N109">IF(AND(N$2&lt;&gt;0,TblTech[[#This Row],[Hour]:[Hour]]&gt;=N$2),1,0)</f>
        <v>0</v>
      </c>
      <c r="O109" s="276" cm="1">
        <f t="array" ref="O109">IF(AND(O$2&lt;&gt;0,TblTech[[#This Row],[Hour]:[Hour]]&gt;=O$2),1,0)</f>
        <v>0</v>
      </c>
      <c r="P109" s="276" cm="1">
        <f t="array" ref="P109">IF(AND(P$2&lt;&gt;0,TblTech[[#This Row],[Hour]:[Hour]]&gt;=P$2),1,0)</f>
        <v>0</v>
      </c>
      <c r="Q109" s="276" cm="1">
        <f t="array" ref="Q109">IF(AND(Q$2&lt;&gt;0,TblTech[[#This Row],[Hour]:[Hour]]&gt;=Q$2),1,0)</f>
        <v>0</v>
      </c>
      <c r="R109" s="276" cm="1">
        <f t="array" ref="R109">IF(AND(R$2&lt;&gt;0,TblTech[[#This Row],[Hour]:[Hour]]&gt;=R$2),1,0)</f>
        <v>0</v>
      </c>
      <c r="S109" s="276" cm="1">
        <f t="array" ref="S109">IF(AND(S$2&lt;&gt;0,TblTech[[#This Row],[Hour]:[Hour]]&gt;=S$2),1,0)</f>
        <v>0</v>
      </c>
      <c r="T109" s="276" cm="1">
        <f t="array" ref="T109">IF(AND(T$2&lt;&gt;0,TblTech[[#This Row],[Hour]:[Hour]]&gt;=T$2),1,0)</f>
        <v>0</v>
      </c>
      <c r="U109" s="276" cm="1">
        <f t="array" ref="U109">IF(AND(U$2&lt;&gt;0,TblTech[[#This Row],[Hour]:[Hour]]&gt;=U$2),1,0)</f>
        <v>0</v>
      </c>
      <c r="V109" s="276" cm="1">
        <f t="array" ref="V109">IF(AND(V$2&lt;&gt;0,TblTech[[#This Row],[Hour]:[Hour]]&gt;=V$2),1,0)</f>
        <v>0</v>
      </c>
      <c r="W109" s="276" cm="1">
        <f t="array" ref="W109">IF(AND(W$2&lt;&gt;0,TblTech[[#This Row],[Hour]:[Hour]]&gt;=W$2),1,0)</f>
        <v>0</v>
      </c>
      <c r="X109" s="276" cm="1">
        <f t="array" ref="X109">IF(AND(X$2&lt;&gt;0,TblTech[[#This Row],[Hour]:[Hour]]&gt;=X$2),1,0)</f>
        <v>0</v>
      </c>
      <c r="Y109" s="276" cm="1">
        <f t="array" ref="Y109">IF(AND(Y$2&lt;&gt;0,TblTech[[#This Row],[Hour]:[Hour]]&gt;=Y$2),1,0)</f>
        <v>0</v>
      </c>
      <c r="Z109" s="276" cm="1">
        <f t="array" ref="Z109">IF(AND(Z$2&lt;&gt;0,TblTech[[#This Row],[Hour]:[Hour]]&gt;=Z$2),1,0)</f>
        <v>0</v>
      </c>
      <c r="AA109" s="276" cm="1">
        <f t="array" ref="AA109">IF(AND(AA$2&lt;&gt;0,TblTech[[#This Row],[Hour]:[Hour]]&gt;=AA$2),1,0)</f>
        <v>0</v>
      </c>
      <c r="AB109" s="276" cm="1">
        <f t="array" ref="AB109">IF(AND(AB$2&lt;&gt;0,TblTech[[#This Row],[Hour]:[Hour]]&gt;=AB$2),1,0)</f>
        <v>0</v>
      </c>
      <c r="AC109" s="276" cm="1">
        <f t="array" ref="AC109">IF(AND(AC$2&lt;&gt;0,TblTech[[#This Row],[Hour]:[Hour]]&gt;=AC$2),1,0)</f>
        <v>0</v>
      </c>
      <c r="AD109" s="276" cm="1">
        <f t="array" ref="AD109">IF(AND(AD$2&lt;&gt;0,TblTech[[#This Row],[Hour]:[Hour]]&gt;=AD$2),1,0)</f>
        <v>0</v>
      </c>
      <c r="AE109" s="276" cm="1">
        <f t="array" ref="AE109">IF(AND(AE$2&lt;&gt;0,TblTech[[#This Row],[Hour]:[Hour]]&gt;=AE$2),1,0)</f>
        <v>0</v>
      </c>
      <c r="AF109" s="276" cm="1">
        <f t="array" ref="AF109">IF(AND(AF$2&lt;&gt;0,TblTech[[#This Row],[Hour]:[Hour]]&gt;=AF$2),1,0)</f>
        <v>0</v>
      </c>
      <c r="AG109" s="276" cm="1">
        <f t="array" ref="AG109">IF(AND(AG$2&lt;&gt;0,TblTech[[#This Row],[Hour]:[Hour]]&gt;=AG$2),1,0)</f>
        <v>0</v>
      </c>
      <c r="AH109" s="276" cm="1">
        <f t="array" ref="AH109">IF(AND(AH$2&lt;&gt;0,TblTech[[#This Row],[Hour]:[Hour]]&gt;=AH$2),1,0)</f>
        <v>0</v>
      </c>
      <c r="AI109" s="276" cm="1">
        <f t="array" ref="AI109">IF(AND(AI$2&lt;&gt;0,TblTech[[#This Row],[Hour]:[Hour]]&gt;=AI$2),1,0)</f>
        <v>0</v>
      </c>
      <c r="AJ109" s="276" cm="1">
        <f t="array" ref="AJ109">IF(AND(AJ$2&lt;&gt;0,TblTech[[#This Row],[Hour]:[Hour]]&gt;=AJ$2),1,0)</f>
        <v>0</v>
      </c>
      <c r="AK109" s="276" cm="1">
        <f t="array" ref="AK109">IF(AND(AK$2&lt;&gt;0,TblTech[[#This Row],[Hour]:[Hour]]&gt;=AK$2),1,0)</f>
        <v>0</v>
      </c>
      <c r="AL109" s="276" cm="1">
        <f t="array" ref="AL109">IF(AND(AL$2&lt;&gt;0,TblTech[[#This Row],[Hour]:[Hour]]&gt;=AL$2),1,0)</f>
        <v>0</v>
      </c>
      <c r="AM109" s="276" cm="1">
        <f t="array" ref="AM109">IF(AND(AM$2&lt;&gt;0,TblTech[[#This Row],[Hour]:[Hour]]&gt;=AM$2),1,0)</f>
        <v>0</v>
      </c>
      <c r="AN109" s="276" cm="1">
        <f t="array" ref="AN109">IF(AND(AN$2&lt;&gt;0,TblTech[[#This Row],[Hour]:[Hour]]&gt;=AN$2),1,0)</f>
        <v>0</v>
      </c>
      <c r="AO109" s="276" cm="1">
        <f t="array" ref="AO109">IF(AND(AO$2&lt;&gt;0,TblTech[[#This Row],[Hour]:[Hour]]&gt;=AO$2),1,0)</f>
        <v>0</v>
      </c>
      <c r="AP109" s="276" cm="1">
        <f t="array" ref="AP109">IF(AND(AP$2&lt;&gt;0,TblTech[[#This Row],[Hour]:[Hour]]&gt;=AP$2),1,0)</f>
        <v>0</v>
      </c>
      <c r="AQ109" s="276" cm="1">
        <f t="array" ref="AQ109">IF(AND(AQ$2&lt;&gt;0,TblTech[[#This Row],[Hour]:[Hour]]&gt;=AQ$2),1,0)</f>
        <v>0</v>
      </c>
      <c r="AR109" s="276" cm="1">
        <f t="array" ref="AR109">IF(AND(AR$2&lt;&gt;0,TblTech[[#This Row],[Hour]:[Hour]]&gt;=AR$2),1,0)</f>
        <v>0</v>
      </c>
      <c r="AS109" s="276" cm="1">
        <f t="array" ref="AS109">IF(AND(AS$2&lt;&gt;0,TblTech[[#This Row],[Hour]:[Hour]]&gt;=AS$2),1,0)</f>
        <v>0</v>
      </c>
      <c r="AT109" s="276" cm="1">
        <f t="array" ref="AT109">IF(AND(AT$2&lt;&gt;0,TblTech[[#This Row],[Hour]:[Hour]]&gt;=AT$2),1,0)</f>
        <v>0</v>
      </c>
      <c r="AU109" s="276" cm="1">
        <f t="array" ref="AU109">IF(AND(AU$2&lt;&gt;0,TblTech[[#This Row],[Hour]:[Hour]]&gt;=AU$2),1,0)</f>
        <v>0</v>
      </c>
      <c r="AV109" s="276" cm="1">
        <f t="array" ref="AV109">IF(AND(AV$2&lt;&gt;0,TblTech[[#This Row],[Hour]:[Hour]]&gt;=AV$2),1,0)</f>
        <v>0</v>
      </c>
      <c r="AW109" s="276" cm="1">
        <f t="array" ref="AW109">IF(AND(AW$2&lt;&gt;0,TblTech[[#This Row],[Hour]:[Hour]]&gt;=AW$2),1,0)</f>
        <v>0</v>
      </c>
      <c r="AX109" s="276" cm="1">
        <f t="array" ref="AX109">IF(AND(AX$2&lt;&gt;0,TblTech[[#This Row],[Hour]:[Hour]]&gt;=AX$2),1,0)</f>
        <v>0</v>
      </c>
      <c r="AY109" s="276" cm="1">
        <f t="array" ref="AY109">IF(AND(AY$2&lt;&gt;0,TblTech[[#This Row],[Hour]:[Hour]]&gt;=AY$2),1,0)</f>
        <v>0</v>
      </c>
      <c r="AZ109" s="276" cm="1">
        <f t="array" ref="AZ109">IF(AND(AZ$2&lt;&gt;0,TblTech[[#This Row],[Hour]:[Hour]]&gt;=AZ$2),1,0)</f>
        <v>0</v>
      </c>
      <c r="BA109" s="276" cm="1">
        <f t="array" ref="BA109">IF(AND(BA$2&lt;&gt;0,TblTech[[#This Row],[Hour]:[Hour]]&gt;=BA$2),1,0)</f>
        <v>0</v>
      </c>
      <c r="BB109" s="276" cm="1">
        <f t="array" ref="BB109">IF(AND(BB$2&lt;&gt;0,TblTech[[#This Row],[Hour]:[Hour]]&gt;=BB$2),1,0)</f>
        <v>0</v>
      </c>
      <c r="BC109" s="276" cm="1">
        <f t="array" ref="BC109">IF(AND(BC$2&lt;&gt;0,TblTech[[#This Row],[Hour]:[Hour]]&gt;=BC$2),1,0)</f>
        <v>0</v>
      </c>
      <c r="BD109" s="276" cm="1">
        <f t="array" ref="BD109">IF(AND(BD$2&lt;&gt;0,TblTech[[#This Row],[Hour]:[Hour]]&gt;=BD$2),1,0)</f>
        <v>0</v>
      </c>
      <c r="BE109" s="276" cm="1">
        <f t="array" ref="BE109">IF(AND(BE$2&lt;&gt;0,TblTech[[#This Row],[Hour]:[Hour]]&gt;=BE$2),1,0)</f>
        <v>0</v>
      </c>
      <c r="BF109" s="276" cm="1">
        <f t="array" ref="BF109">IF(AND(BF$2&lt;&gt;0,TblTech[[#This Row],[Hour]:[Hour]]&gt;=BF$2),1,0)</f>
        <v>0</v>
      </c>
      <c r="BG109" s="276" cm="1">
        <f t="array" ref="BG109">IF(AND(BG$2&lt;&gt;0,TblTech[[#This Row],[Hour]:[Hour]]&gt;=BG$2),1,0)</f>
        <v>0</v>
      </c>
      <c r="BH109" s="276" cm="1">
        <f t="array" ref="BH109">IF(AND(BH$2&lt;&gt;0,TblTech[[#This Row],[Hour]:[Hour]]&gt;=BH$2),1,0)</f>
        <v>0</v>
      </c>
      <c r="BI109" s="276" cm="1">
        <f t="array" ref="BI109">IF(AND(BI$2&lt;&gt;0,TblTech[[#This Row],[Hour]:[Hour]]&gt;=BI$2),1,0)</f>
        <v>0</v>
      </c>
      <c r="BJ109" s="276" cm="1">
        <f t="array" ref="BJ109">IF(AND(BJ$2&lt;&gt;0,TblTech[[#This Row],[Hour]:[Hour]]&gt;=BJ$2),1,0)</f>
        <v>0</v>
      </c>
      <c r="BK109" s="276" cm="1">
        <f t="array" ref="BK109">IF(AND(BK$2&lt;&gt;0,TblTech[[#This Row],[Hour]:[Hour]]&gt;=BK$2),1,0)</f>
        <v>0</v>
      </c>
      <c r="BL109" s="276" cm="1">
        <f t="array" ref="BL109">IF(AND(BL$2&lt;&gt;0,TblTech[[#This Row],[Hour]:[Hour]]&gt;=BL$2),1,0)</f>
        <v>0</v>
      </c>
      <c r="BM109" s="276" cm="1">
        <f t="array" ref="BM109">IF(AND(BM$2&lt;&gt;0,TblTech[[#This Row],[Hour]:[Hour]]&gt;=BM$2),1,0)</f>
        <v>0</v>
      </c>
      <c r="BN109" s="276" cm="1">
        <f t="array" ref="BN109">IF(AND(BN$2&lt;&gt;0,TblTech[[#This Row],[Hour]:[Hour]]&gt;=BN$2),1,0)</f>
        <v>0</v>
      </c>
      <c r="BO109" s="276" cm="1">
        <f t="array" ref="BO109">IF(AND(BO$2&lt;&gt;0,TblTech[[#This Row],[Hour]:[Hour]]&gt;=BO$2),1,0)</f>
        <v>0</v>
      </c>
      <c r="BP109" s="276" cm="1">
        <f t="array" ref="BP109">IF(AND(BP$2&lt;&gt;0,TblTech[[#This Row],[Hour]:[Hour]]&gt;=BP$2),1,0)</f>
        <v>0</v>
      </c>
      <c r="BQ109" s="276" cm="1">
        <f t="array" ref="BQ109">IF(AND(BQ$2&lt;&gt;0,TblTech[[#This Row],[Hour]:[Hour]]&gt;=BQ$2),1,0)</f>
        <v>0</v>
      </c>
      <c r="BR109" s="276" cm="1">
        <f t="array" ref="BR109">IF(AND(BR$2&lt;&gt;0,TblTech[[#This Row],[Hour]:[Hour]]&gt;=BR$2),1,0)</f>
        <v>0</v>
      </c>
      <c r="BS109" s="276" cm="1">
        <f t="array" ref="BS109">IF(AND(BS$2&lt;&gt;0,TblTech[[#This Row],[Hour]:[Hour]]&gt;=BS$2),1,0)</f>
        <v>0</v>
      </c>
      <c r="BT109" s="276" cm="1">
        <f t="array" ref="BT109">IF(AND(BT$2&lt;&gt;0,TblTech[[#This Row],[Hour]:[Hour]]&gt;=BT$2),1,0)</f>
        <v>0</v>
      </c>
      <c r="BU109" s="276" cm="1">
        <f t="array" ref="BU109">IF(AND(BU$2&lt;&gt;0,TblTech[[#This Row],[Hour]:[Hour]]&gt;=BU$2),1,0)</f>
        <v>0</v>
      </c>
      <c r="BV109" s="276" cm="1">
        <f t="array" ref="BV109">IF(AND(BV$2&lt;&gt;0,TblTech[[#This Row],[Hour]:[Hour]]&gt;=BV$2),1,0)</f>
        <v>0</v>
      </c>
      <c r="BW109" s="276" cm="1">
        <f t="array" ref="BW109">IF(AND(BW$2&lt;&gt;0,TblTech[[#This Row],[Hour]:[Hour]]&gt;=BW$2),1,0)</f>
        <v>0</v>
      </c>
      <c r="BX109" s="276" cm="1">
        <f t="array" ref="BX109">IF(AND(BX$2&lt;&gt;0,TblTech[[#This Row],[Hour]:[Hour]]&gt;=BX$2),1,0)</f>
        <v>0</v>
      </c>
      <c r="BY109" s="276" cm="1">
        <f t="array" ref="BY109">IF(AND(BY$2&lt;&gt;0,TblTech[[#This Row],[Hour]:[Hour]]&gt;=BY$2),1,0)</f>
        <v>0</v>
      </c>
      <c r="BZ109" s="276" cm="1">
        <f t="array" ref="BZ109">IF(AND(BZ$2&lt;&gt;0,TblTech[[#This Row],[Hour]:[Hour]]&gt;=BZ$2),1,0)</f>
        <v>0</v>
      </c>
      <c r="CA109" s="377">
        <f>IFERROR(INDEX($H$4:$H$79,MATCH(INDEX(TblTech[[#Headers],[1-1]:[11-1]],1,MATCH(TblTech[[#This Row],[Hour]],$M$2:$BZ$2,0)),$G$4:$G$79,0)),)</f>
        <v>0</v>
      </c>
    </row>
    <row r="110" spans="1:79" x14ac:dyDescent="0.2">
      <c r="A110" s="268">
        <f>TblRezone[[#This Row],[Hour]]</f>
        <v>107</v>
      </c>
      <c r="B110" s="269">
        <f ca="1">TblExplore[[#This Row],[Land-DB]]</f>
        <v>110</v>
      </c>
      <c r="C110" s="270">
        <f ca="1">TblProd[[#This Row],[Techpoints]]</f>
        <v>0</v>
      </c>
      <c r="D110" s="270">
        <f ca="1">TblProd[[#This Row],[Required]]</f>
        <v>3750</v>
      </c>
      <c r="E110" s="279"/>
      <c r="F110" s="280"/>
      <c r="G110" s="273"/>
      <c r="H110" s="274"/>
      <c r="I110" s="274"/>
      <c r="J110" s="274"/>
      <c r="K110" s="93">
        <f ca="1">IF(TblTech[[#This Row],[Sum of tech]]&lt;&gt;OFFSET(TblTech[[#This Row],[Sum of tech]],-1,0),1,0)</f>
        <v>0</v>
      </c>
      <c r="L110" s="275">
        <f>COUNTIF(TblTech[[#This Row],[1-1]:[11-1]],1)</f>
        <v>0</v>
      </c>
      <c r="M110" s="276" cm="1">
        <f t="array" ref="M110">IF(AND(M$2&lt;&gt;0,TblTech[[#This Row],[Hour]:[Hour]]&gt;=M$2),1,0)</f>
        <v>0</v>
      </c>
      <c r="N110" s="276" cm="1">
        <f t="array" ref="N110">IF(AND(N$2&lt;&gt;0,TblTech[[#This Row],[Hour]:[Hour]]&gt;=N$2),1,0)</f>
        <v>0</v>
      </c>
      <c r="O110" s="276" cm="1">
        <f t="array" ref="O110">IF(AND(O$2&lt;&gt;0,TblTech[[#This Row],[Hour]:[Hour]]&gt;=O$2),1,0)</f>
        <v>0</v>
      </c>
      <c r="P110" s="276" cm="1">
        <f t="array" ref="P110">IF(AND(P$2&lt;&gt;0,TblTech[[#This Row],[Hour]:[Hour]]&gt;=P$2),1,0)</f>
        <v>0</v>
      </c>
      <c r="Q110" s="276" cm="1">
        <f t="array" ref="Q110">IF(AND(Q$2&lt;&gt;0,TblTech[[#This Row],[Hour]:[Hour]]&gt;=Q$2),1,0)</f>
        <v>0</v>
      </c>
      <c r="R110" s="276" cm="1">
        <f t="array" ref="R110">IF(AND(R$2&lt;&gt;0,TblTech[[#This Row],[Hour]:[Hour]]&gt;=R$2),1,0)</f>
        <v>0</v>
      </c>
      <c r="S110" s="276" cm="1">
        <f t="array" ref="S110">IF(AND(S$2&lt;&gt;0,TblTech[[#This Row],[Hour]:[Hour]]&gt;=S$2),1,0)</f>
        <v>0</v>
      </c>
      <c r="T110" s="276" cm="1">
        <f t="array" ref="T110">IF(AND(T$2&lt;&gt;0,TblTech[[#This Row],[Hour]:[Hour]]&gt;=T$2),1,0)</f>
        <v>0</v>
      </c>
      <c r="U110" s="276" cm="1">
        <f t="array" ref="U110">IF(AND(U$2&lt;&gt;0,TblTech[[#This Row],[Hour]:[Hour]]&gt;=U$2),1,0)</f>
        <v>0</v>
      </c>
      <c r="V110" s="276" cm="1">
        <f t="array" ref="V110">IF(AND(V$2&lt;&gt;0,TblTech[[#This Row],[Hour]:[Hour]]&gt;=V$2),1,0)</f>
        <v>0</v>
      </c>
      <c r="W110" s="276" cm="1">
        <f t="array" ref="W110">IF(AND(W$2&lt;&gt;0,TblTech[[#This Row],[Hour]:[Hour]]&gt;=W$2),1,0)</f>
        <v>0</v>
      </c>
      <c r="X110" s="276" cm="1">
        <f t="array" ref="X110">IF(AND(X$2&lt;&gt;0,TblTech[[#This Row],[Hour]:[Hour]]&gt;=X$2),1,0)</f>
        <v>0</v>
      </c>
      <c r="Y110" s="276" cm="1">
        <f t="array" ref="Y110">IF(AND(Y$2&lt;&gt;0,TblTech[[#This Row],[Hour]:[Hour]]&gt;=Y$2),1,0)</f>
        <v>0</v>
      </c>
      <c r="Z110" s="276" cm="1">
        <f t="array" ref="Z110">IF(AND(Z$2&lt;&gt;0,TblTech[[#This Row],[Hour]:[Hour]]&gt;=Z$2),1,0)</f>
        <v>0</v>
      </c>
      <c r="AA110" s="276" cm="1">
        <f t="array" ref="AA110">IF(AND(AA$2&lt;&gt;0,TblTech[[#This Row],[Hour]:[Hour]]&gt;=AA$2),1,0)</f>
        <v>0</v>
      </c>
      <c r="AB110" s="276" cm="1">
        <f t="array" ref="AB110">IF(AND(AB$2&lt;&gt;0,TblTech[[#This Row],[Hour]:[Hour]]&gt;=AB$2),1,0)</f>
        <v>0</v>
      </c>
      <c r="AC110" s="276" cm="1">
        <f t="array" ref="AC110">IF(AND(AC$2&lt;&gt;0,TblTech[[#This Row],[Hour]:[Hour]]&gt;=AC$2),1,0)</f>
        <v>0</v>
      </c>
      <c r="AD110" s="276" cm="1">
        <f t="array" ref="AD110">IF(AND(AD$2&lt;&gt;0,TblTech[[#This Row],[Hour]:[Hour]]&gt;=AD$2),1,0)</f>
        <v>0</v>
      </c>
      <c r="AE110" s="276" cm="1">
        <f t="array" ref="AE110">IF(AND(AE$2&lt;&gt;0,TblTech[[#This Row],[Hour]:[Hour]]&gt;=AE$2),1,0)</f>
        <v>0</v>
      </c>
      <c r="AF110" s="276" cm="1">
        <f t="array" ref="AF110">IF(AND(AF$2&lt;&gt;0,TblTech[[#This Row],[Hour]:[Hour]]&gt;=AF$2),1,0)</f>
        <v>0</v>
      </c>
      <c r="AG110" s="276" cm="1">
        <f t="array" ref="AG110">IF(AND(AG$2&lt;&gt;0,TblTech[[#This Row],[Hour]:[Hour]]&gt;=AG$2),1,0)</f>
        <v>0</v>
      </c>
      <c r="AH110" s="276" cm="1">
        <f t="array" ref="AH110">IF(AND(AH$2&lt;&gt;0,TblTech[[#This Row],[Hour]:[Hour]]&gt;=AH$2),1,0)</f>
        <v>0</v>
      </c>
      <c r="AI110" s="276" cm="1">
        <f t="array" ref="AI110">IF(AND(AI$2&lt;&gt;0,TblTech[[#This Row],[Hour]:[Hour]]&gt;=AI$2),1,0)</f>
        <v>0</v>
      </c>
      <c r="AJ110" s="276" cm="1">
        <f t="array" ref="AJ110">IF(AND(AJ$2&lt;&gt;0,TblTech[[#This Row],[Hour]:[Hour]]&gt;=AJ$2),1,0)</f>
        <v>0</v>
      </c>
      <c r="AK110" s="276" cm="1">
        <f t="array" ref="AK110">IF(AND(AK$2&lt;&gt;0,TblTech[[#This Row],[Hour]:[Hour]]&gt;=AK$2),1,0)</f>
        <v>0</v>
      </c>
      <c r="AL110" s="276" cm="1">
        <f t="array" ref="AL110">IF(AND(AL$2&lt;&gt;0,TblTech[[#This Row],[Hour]:[Hour]]&gt;=AL$2),1,0)</f>
        <v>0</v>
      </c>
      <c r="AM110" s="276" cm="1">
        <f t="array" ref="AM110">IF(AND(AM$2&lt;&gt;0,TblTech[[#This Row],[Hour]:[Hour]]&gt;=AM$2),1,0)</f>
        <v>0</v>
      </c>
      <c r="AN110" s="276" cm="1">
        <f t="array" ref="AN110">IF(AND(AN$2&lt;&gt;0,TblTech[[#This Row],[Hour]:[Hour]]&gt;=AN$2),1,0)</f>
        <v>0</v>
      </c>
      <c r="AO110" s="276" cm="1">
        <f t="array" ref="AO110">IF(AND(AO$2&lt;&gt;0,TblTech[[#This Row],[Hour]:[Hour]]&gt;=AO$2),1,0)</f>
        <v>0</v>
      </c>
      <c r="AP110" s="276" cm="1">
        <f t="array" ref="AP110">IF(AND(AP$2&lt;&gt;0,TblTech[[#This Row],[Hour]:[Hour]]&gt;=AP$2),1,0)</f>
        <v>0</v>
      </c>
      <c r="AQ110" s="276" cm="1">
        <f t="array" ref="AQ110">IF(AND(AQ$2&lt;&gt;0,TblTech[[#This Row],[Hour]:[Hour]]&gt;=AQ$2),1,0)</f>
        <v>0</v>
      </c>
      <c r="AR110" s="276" cm="1">
        <f t="array" ref="AR110">IF(AND(AR$2&lt;&gt;0,TblTech[[#This Row],[Hour]:[Hour]]&gt;=AR$2),1,0)</f>
        <v>0</v>
      </c>
      <c r="AS110" s="276" cm="1">
        <f t="array" ref="AS110">IF(AND(AS$2&lt;&gt;0,TblTech[[#This Row],[Hour]:[Hour]]&gt;=AS$2),1,0)</f>
        <v>0</v>
      </c>
      <c r="AT110" s="276" cm="1">
        <f t="array" ref="AT110">IF(AND(AT$2&lt;&gt;0,TblTech[[#This Row],[Hour]:[Hour]]&gt;=AT$2),1,0)</f>
        <v>0</v>
      </c>
      <c r="AU110" s="276" cm="1">
        <f t="array" ref="AU110">IF(AND(AU$2&lt;&gt;0,TblTech[[#This Row],[Hour]:[Hour]]&gt;=AU$2),1,0)</f>
        <v>0</v>
      </c>
      <c r="AV110" s="276" cm="1">
        <f t="array" ref="AV110">IF(AND(AV$2&lt;&gt;0,TblTech[[#This Row],[Hour]:[Hour]]&gt;=AV$2),1,0)</f>
        <v>0</v>
      </c>
      <c r="AW110" s="276" cm="1">
        <f t="array" ref="AW110">IF(AND(AW$2&lt;&gt;0,TblTech[[#This Row],[Hour]:[Hour]]&gt;=AW$2),1,0)</f>
        <v>0</v>
      </c>
      <c r="AX110" s="276" cm="1">
        <f t="array" ref="AX110">IF(AND(AX$2&lt;&gt;0,TblTech[[#This Row],[Hour]:[Hour]]&gt;=AX$2),1,0)</f>
        <v>0</v>
      </c>
      <c r="AY110" s="276" cm="1">
        <f t="array" ref="AY110">IF(AND(AY$2&lt;&gt;0,TblTech[[#This Row],[Hour]:[Hour]]&gt;=AY$2),1,0)</f>
        <v>0</v>
      </c>
      <c r="AZ110" s="276" cm="1">
        <f t="array" ref="AZ110">IF(AND(AZ$2&lt;&gt;0,TblTech[[#This Row],[Hour]:[Hour]]&gt;=AZ$2),1,0)</f>
        <v>0</v>
      </c>
      <c r="BA110" s="276" cm="1">
        <f t="array" ref="BA110">IF(AND(BA$2&lt;&gt;0,TblTech[[#This Row],[Hour]:[Hour]]&gt;=BA$2),1,0)</f>
        <v>0</v>
      </c>
      <c r="BB110" s="276" cm="1">
        <f t="array" ref="BB110">IF(AND(BB$2&lt;&gt;0,TblTech[[#This Row],[Hour]:[Hour]]&gt;=BB$2),1,0)</f>
        <v>0</v>
      </c>
      <c r="BC110" s="276" cm="1">
        <f t="array" ref="BC110">IF(AND(BC$2&lt;&gt;0,TblTech[[#This Row],[Hour]:[Hour]]&gt;=BC$2),1,0)</f>
        <v>0</v>
      </c>
      <c r="BD110" s="276" cm="1">
        <f t="array" ref="BD110">IF(AND(BD$2&lt;&gt;0,TblTech[[#This Row],[Hour]:[Hour]]&gt;=BD$2),1,0)</f>
        <v>0</v>
      </c>
      <c r="BE110" s="276" cm="1">
        <f t="array" ref="BE110">IF(AND(BE$2&lt;&gt;0,TblTech[[#This Row],[Hour]:[Hour]]&gt;=BE$2),1,0)</f>
        <v>0</v>
      </c>
      <c r="BF110" s="276" cm="1">
        <f t="array" ref="BF110">IF(AND(BF$2&lt;&gt;0,TblTech[[#This Row],[Hour]:[Hour]]&gt;=BF$2),1,0)</f>
        <v>0</v>
      </c>
      <c r="BG110" s="276" cm="1">
        <f t="array" ref="BG110">IF(AND(BG$2&lt;&gt;0,TblTech[[#This Row],[Hour]:[Hour]]&gt;=BG$2),1,0)</f>
        <v>0</v>
      </c>
      <c r="BH110" s="276" cm="1">
        <f t="array" ref="BH110">IF(AND(BH$2&lt;&gt;0,TblTech[[#This Row],[Hour]:[Hour]]&gt;=BH$2),1,0)</f>
        <v>0</v>
      </c>
      <c r="BI110" s="276" cm="1">
        <f t="array" ref="BI110">IF(AND(BI$2&lt;&gt;0,TblTech[[#This Row],[Hour]:[Hour]]&gt;=BI$2),1,0)</f>
        <v>0</v>
      </c>
      <c r="BJ110" s="276" cm="1">
        <f t="array" ref="BJ110">IF(AND(BJ$2&lt;&gt;0,TblTech[[#This Row],[Hour]:[Hour]]&gt;=BJ$2),1,0)</f>
        <v>0</v>
      </c>
      <c r="BK110" s="276" cm="1">
        <f t="array" ref="BK110">IF(AND(BK$2&lt;&gt;0,TblTech[[#This Row],[Hour]:[Hour]]&gt;=BK$2),1,0)</f>
        <v>0</v>
      </c>
      <c r="BL110" s="276" cm="1">
        <f t="array" ref="BL110">IF(AND(BL$2&lt;&gt;0,TblTech[[#This Row],[Hour]:[Hour]]&gt;=BL$2),1,0)</f>
        <v>0</v>
      </c>
      <c r="BM110" s="276" cm="1">
        <f t="array" ref="BM110">IF(AND(BM$2&lt;&gt;0,TblTech[[#This Row],[Hour]:[Hour]]&gt;=BM$2),1,0)</f>
        <v>0</v>
      </c>
      <c r="BN110" s="276" cm="1">
        <f t="array" ref="BN110">IF(AND(BN$2&lt;&gt;0,TblTech[[#This Row],[Hour]:[Hour]]&gt;=BN$2),1,0)</f>
        <v>0</v>
      </c>
      <c r="BO110" s="276" cm="1">
        <f t="array" ref="BO110">IF(AND(BO$2&lt;&gt;0,TblTech[[#This Row],[Hour]:[Hour]]&gt;=BO$2),1,0)</f>
        <v>0</v>
      </c>
      <c r="BP110" s="276" cm="1">
        <f t="array" ref="BP110">IF(AND(BP$2&lt;&gt;0,TblTech[[#This Row],[Hour]:[Hour]]&gt;=BP$2),1,0)</f>
        <v>0</v>
      </c>
      <c r="BQ110" s="276" cm="1">
        <f t="array" ref="BQ110">IF(AND(BQ$2&lt;&gt;0,TblTech[[#This Row],[Hour]:[Hour]]&gt;=BQ$2),1,0)</f>
        <v>0</v>
      </c>
      <c r="BR110" s="276" cm="1">
        <f t="array" ref="BR110">IF(AND(BR$2&lt;&gt;0,TblTech[[#This Row],[Hour]:[Hour]]&gt;=BR$2),1,0)</f>
        <v>0</v>
      </c>
      <c r="BS110" s="276" cm="1">
        <f t="array" ref="BS110">IF(AND(BS$2&lt;&gt;0,TblTech[[#This Row],[Hour]:[Hour]]&gt;=BS$2),1,0)</f>
        <v>0</v>
      </c>
      <c r="BT110" s="276" cm="1">
        <f t="array" ref="BT110">IF(AND(BT$2&lt;&gt;0,TblTech[[#This Row],[Hour]:[Hour]]&gt;=BT$2),1,0)</f>
        <v>0</v>
      </c>
      <c r="BU110" s="276" cm="1">
        <f t="array" ref="BU110">IF(AND(BU$2&lt;&gt;0,TblTech[[#This Row],[Hour]:[Hour]]&gt;=BU$2),1,0)</f>
        <v>0</v>
      </c>
      <c r="BV110" s="276" cm="1">
        <f t="array" ref="BV110">IF(AND(BV$2&lt;&gt;0,TblTech[[#This Row],[Hour]:[Hour]]&gt;=BV$2),1,0)</f>
        <v>0</v>
      </c>
      <c r="BW110" s="276" cm="1">
        <f t="array" ref="BW110">IF(AND(BW$2&lt;&gt;0,TblTech[[#This Row],[Hour]:[Hour]]&gt;=BW$2),1,0)</f>
        <v>0</v>
      </c>
      <c r="BX110" s="276" cm="1">
        <f t="array" ref="BX110">IF(AND(BX$2&lt;&gt;0,TblTech[[#This Row],[Hour]:[Hour]]&gt;=BX$2),1,0)</f>
        <v>0</v>
      </c>
      <c r="BY110" s="276" cm="1">
        <f t="array" ref="BY110">IF(AND(BY$2&lt;&gt;0,TblTech[[#This Row],[Hour]:[Hour]]&gt;=BY$2),1,0)</f>
        <v>0</v>
      </c>
      <c r="BZ110" s="276" cm="1">
        <f t="array" ref="BZ110">IF(AND(BZ$2&lt;&gt;0,TblTech[[#This Row],[Hour]:[Hour]]&gt;=BZ$2),1,0)</f>
        <v>0</v>
      </c>
      <c r="CA110" s="377">
        <f>IFERROR(INDEX($H$4:$H$79,MATCH(INDEX(TblTech[[#Headers],[1-1]:[11-1]],1,MATCH(TblTech[[#This Row],[Hour]],$M$2:$BZ$2,0)),$G$4:$G$79,0)),)</f>
        <v>0</v>
      </c>
    </row>
    <row r="111" spans="1:79" x14ac:dyDescent="0.2">
      <c r="A111" s="268">
        <f>TblRezone[[#This Row],[Hour]]</f>
        <v>108</v>
      </c>
      <c r="B111" s="269">
        <f ca="1">TblExplore[[#This Row],[Land-DB]]</f>
        <v>110</v>
      </c>
      <c r="C111" s="270">
        <f ca="1">TblProd[[#This Row],[Techpoints]]</f>
        <v>0</v>
      </c>
      <c r="D111" s="270">
        <f ca="1">TblProd[[#This Row],[Required]]</f>
        <v>3750</v>
      </c>
      <c r="E111" s="279"/>
      <c r="F111" s="280"/>
      <c r="G111" s="273"/>
      <c r="H111" s="274"/>
      <c r="I111" s="274"/>
      <c r="J111" s="274"/>
      <c r="K111" s="93">
        <f ca="1">IF(TblTech[[#This Row],[Sum of tech]]&lt;&gt;OFFSET(TblTech[[#This Row],[Sum of tech]],-1,0),1,0)</f>
        <v>0</v>
      </c>
      <c r="L111" s="275">
        <f>COUNTIF(TblTech[[#This Row],[1-1]:[11-1]],1)</f>
        <v>0</v>
      </c>
      <c r="M111" s="276" cm="1">
        <f t="array" ref="M111">IF(AND(M$2&lt;&gt;0,TblTech[[#This Row],[Hour]:[Hour]]&gt;=M$2),1,0)</f>
        <v>0</v>
      </c>
      <c r="N111" s="276" cm="1">
        <f t="array" ref="N111">IF(AND(N$2&lt;&gt;0,TblTech[[#This Row],[Hour]:[Hour]]&gt;=N$2),1,0)</f>
        <v>0</v>
      </c>
      <c r="O111" s="276" cm="1">
        <f t="array" ref="O111">IF(AND(O$2&lt;&gt;0,TblTech[[#This Row],[Hour]:[Hour]]&gt;=O$2),1,0)</f>
        <v>0</v>
      </c>
      <c r="P111" s="276" cm="1">
        <f t="array" ref="P111">IF(AND(P$2&lt;&gt;0,TblTech[[#This Row],[Hour]:[Hour]]&gt;=P$2),1,0)</f>
        <v>0</v>
      </c>
      <c r="Q111" s="276" cm="1">
        <f t="array" ref="Q111">IF(AND(Q$2&lt;&gt;0,TblTech[[#This Row],[Hour]:[Hour]]&gt;=Q$2),1,0)</f>
        <v>0</v>
      </c>
      <c r="R111" s="276" cm="1">
        <f t="array" ref="R111">IF(AND(R$2&lt;&gt;0,TblTech[[#This Row],[Hour]:[Hour]]&gt;=R$2),1,0)</f>
        <v>0</v>
      </c>
      <c r="S111" s="276" cm="1">
        <f t="array" ref="S111">IF(AND(S$2&lt;&gt;0,TblTech[[#This Row],[Hour]:[Hour]]&gt;=S$2),1,0)</f>
        <v>0</v>
      </c>
      <c r="T111" s="276" cm="1">
        <f t="array" ref="T111">IF(AND(T$2&lt;&gt;0,TblTech[[#This Row],[Hour]:[Hour]]&gt;=T$2),1,0)</f>
        <v>0</v>
      </c>
      <c r="U111" s="276" cm="1">
        <f t="array" ref="U111">IF(AND(U$2&lt;&gt;0,TblTech[[#This Row],[Hour]:[Hour]]&gt;=U$2),1,0)</f>
        <v>0</v>
      </c>
      <c r="V111" s="276" cm="1">
        <f t="array" ref="V111">IF(AND(V$2&lt;&gt;0,TblTech[[#This Row],[Hour]:[Hour]]&gt;=V$2),1,0)</f>
        <v>0</v>
      </c>
      <c r="W111" s="276" cm="1">
        <f t="array" ref="W111">IF(AND(W$2&lt;&gt;0,TblTech[[#This Row],[Hour]:[Hour]]&gt;=W$2),1,0)</f>
        <v>0</v>
      </c>
      <c r="X111" s="276" cm="1">
        <f t="array" ref="X111">IF(AND(X$2&lt;&gt;0,TblTech[[#This Row],[Hour]:[Hour]]&gt;=X$2),1,0)</f>
        <v>0</v>
      </c>
      <c r="Y111" s="276" cm="1">
        <f t="array" ref="Y111">IF(AND(Y$2&lt;&gt;0,TblTech[[#This Row],[Hour]:[Hour]]&gt;=Y$2),1,0)</f>
        <v>0</v>
      </c>
      <c r="Z111" s="276" cm="1">
        <f t="array" ref="Z111">IF(AND(Z$2&lt;&gt;0,TblTech[[#This Row],[Hour]:[Hour]]&gt;=Z$2),1,0)</f>
        <v>0</v>
      </c>
      <c r="AA111" s="276" cm="1">
        <f t="array" ref="AA111">IF(AND(AA$2&lt;&gt;0,TblTech[[#This Row],[Hour]:[Hour]]&gt;=AA$2),1,0)</f>
        <v>0</v>
      </c>
      <c r="AB111" s="276" cm="1">
        <f t="array" ref="AB111">IF(AND(AB$2&lt;&gt;0,TblTech[[#This Row],[Hour]:[Hour]]&gt;=AB$2),1,0)</f>
        <v>0</v>
      </c>
      <c r="AC111" s="276" cm="1">
        <f t="array" ref="AC111">IF(AND(AC$2&lt;&gt;0,TblTech[[#This Row],[Hour]:[Hour]]&gt;=AC$2),1,0)</f>
        <v>0</v>
      </c>
      <c r="AD111" s="276" cm="1">
        <f t="array" ref="AD111">IF(AND(AD$2&lt;&gt;0,TblTech[[#This Row],[Hour]:[Hour]]&gt;=AD$2),1,0)</f>
        <v>0</v>
      </c>
      <c r="AE111" s="276" cm="1">
        <f t="array" ref="AE111">IF(AND(AE$2&lt;&gt;0,TblTech[[#This Row],[Hour]:[Hour]]&gt;=AE$2),1,0)</f>
        <v>0</v>
      </c>
      <c r="AF111" s="276" cm="1">
        <f t="array" ref="AF111">IF(AND(AF$2&lt;&gt;0,TblTech[[#This Row],[Hour]:[Hour]]&gt;=AF$2),1,0)</f>
        <v>0</v>
      </c>
      <c r="AG111" s="276" cm="1">
        <f t="array" ref="AG111">IF(AND(AG$2&lt;&gt;0,TblTech[[#This Row],[Hour]:[Hour]]&gt;=AG$2),1,0)</f>
        <v>0</v>
      </c>
      <c r="AH111" s="276" cm="1">
        <f t="array" ref="AH111">IF(AND(AH$2&lt;&gt;0,TblTech[[#This Row],[Hour]:[Hour]]&gt;=AH$2),1,0)</f>
        <v>0</v>
      </c>
      <c r="AI111" s="276" cm="1">
        <f t="array" ref="AI111">IF(AND(AI$2&lt;&gt;0,TblTech[[#This Row],[Hour]:[Hour]]&gt;=AI$2),1,0)</f>
        <v>0</v>
      </c>
      <c r="AJ111" s="276" cm="1">
        <f t="array" ref="AJ111">IF(AND(AJ$2&lt;&gt;0,TblTech[[#This Row],[Hour]:[Hour]]&gt;=AJ$2),1,0)</f>
        <v>0</v>
      </c>
      <c r="AK111" s="276" cm="1">
        <f t="array" ref="AK111">IF(AND(AK$2&lt;&gt;0,TblTech[[#This Row],[Hour]:[Hour]]&gt;=AK$2),1,0)</f>
        <v>0</v>
      </c>
      <c r="AL111" s="276" cm="1">
        <f t="array" ref="AL111">IF(AND(AL$2&lt;&gt;0,TblTech[[#This Row],[Hour]:[Hour]]&gt;=AL$2),1,0)</f>
        <v>0</v>
      </c>
      <c r="AM111" s="276" cm="1">
        <f t="array" ref="AM111">IF(AND(AM$2&lt;&gt;0,TblTech[[#This Row],[Hour]:[Hour]]&gt;=AM$2),1,0)</f>
        <v>0</v>
      </c>
      <c r="AN111" s="276" cm="1">
        <f t="array" ref="AN111">IF(AND(AN$2&lt;&gt;0,TblTech[[#This Row],[Hour]:[Hour]]&gt;=AN$2),1,0)</f>
        <v>0</v>
      </c>
      <c r="AO111" s="276" cm="1">
        <f t="array" ref="AO111">IF(AND(AO$2&lt;&gt;0,TblTech[[#This Row],[Hour]:[Hour]]&gt;=AO$2),1,0)</f>
        <v>0</v>
      </c>
      <c r="AP111" s="276" cm="1">
        <f t="array" ref="AP111">IF(AND(AP$2&lt;&gt;0,TblTech[[#This Row],[Hour]:[Hour]]&gt;=AP$2),1,0)</f>
        <v>0</v>
      </c>
      <c r="AQ111" s="276" cm="1">
        <f t="array" ref="AQ111">IF(AND(AQ$2&lt;&gt;0,TblTech[[#This Row],[Hour]:[Hour]]&gt;=AQ$2),1,0)</f>
        <v>0</v>
      </c>
      <c r="AR111" s="276" cm="1">
        <f t="array" ref="AR111">IF(AND(AR$2&lt;&gt;0,TblTech[[#This Row],[Hour]:[Hour]]&gt;=AR$2),1,0)</f>
        <v>0</v>
      </c>
      <c r="AS111" s="276" cm="1">
        <f t="array" ref="AS111">IF(AND(AS$2&lt;&gt;0,TblTech[[#This Row],[Hour]:[Hour]]&gt;=AS$2),1,0)</f>
        <v>0</v>
      </c>
      <c r="AT111" s="276" cm="1">
        <f t="array" ref="AT111">IF(AND(AT$2&lt;&gt;0,TblTech[[#This Row],[Hour]:[Hour]]&gt;=AT$2),1,0)</f>
        <v>0</v>
      </c>
      <c r="AU111" s="276" cm="1">
        <f t="array" ref="AU111">IF(AND(AU$2&lt;&gt;0,TblTech[[#This Row],[Hour]:[Hour]]&gt;=AU$2),1,0)</f>
        <v>0</v>
      </c>
      <c r="AV111" s="276" cm="1">
        <f t="array" ref="AV111">IF(AND(AV$2&lt;&gt;0,TblTech[[#This Row],[Hour]:[Hour]]&gt;=AV$2),1,0)</f>
        <v>0</v>
      </c>
      <c r="AW111" s="276" cm="1">
        <f t="array" ref="AW111">IF(AND(AW$2&lt;&gt;0,TblTech[[#This Row],[Hour]:[Hour]]&gt;=AW$2),1,0)</f>
        <v>0</v>
      </c>
      <c r="AX111" s="276" cm="1">
        <f t="array" ref="AX111">IF(AND(AX$2&lt;&gt;0,TblTech[[#This Row],[Hour]:[Hour]]&gt;=AX$2),1,0)</f>
        <v>0</v>
      </c>
      <c r="AY111" s="276" cm="1">
        <f t="array" ref="AY111">IF(AND(AY$2&lt;&gt;0,TblTech[[#This Row],[Hour]:[Hour]]&gt;=AY$2),1,0)</f>
        <v>0</v>
      </c>
      <c r="AZ111" s="276" cm="1">
        <f t="array" ref="AZ111">IF(AND(AZ$2&lt;&gt;0,TblTech[[#This Row],[Hour]:[Hour]]&gt;=AZ$2),1,0)</f>
        <v>0</v>
      </c>
      <c r="BA111" s="276" cm="1">
        <f t="array" ref="BA111">IF(AND(BA$2&lt;&gt;0,TblTech[[#This Row],[Hour]:[Hour]]&gt;=BA$2),1,0)</f>
        <v>0</v>
      </c>
      <c r="BB111" s="276" cm="1">
        <f t="array" ref="BB111">IF(AND(BB$2&lt;&gt;0,TblTech[[#This Row],[Hour]:[Hour]]&gt;=BB$2),1,0)</f>
        <v>0</v>
      </c>
      <c r="BC111" s="276" cm="1">
        <f t="array" ref="BC111">IF(AND(BC$2&lt;&gt;0,TblTech[[#This Row],[Hour]:[Hour]]&gt;=BC$2),1,0)</f>
        <v>0</v>
      </c>
      <c r="BD111" s="276" cm="1">
        <f t="array" ref="BD111">IF(AND(BD$2&lt;&gt;0,TblTech[[#This Row],[Hour]:[Hour]]&gt;=BD$2),1,0)</f>
        <v>0</v>
      </c>
      <c r="BE111" s="276" cm="1">
        <f t="array" ref="BE111">IF(AND(BE$2&lt;&gt;0,TblTech[[#This Row],[Hour]:[Hour]]&gt;=BE$2),1,0)</f>
        <v>0</v>
      </c>
      <c r="BF111" s="276" cm="1">
        <f t="array" ref="BF111">IF(AND(BF$2&lt;&gt;0,TblTech[[#This Row],[Hour]:[Hour]]&gt;=BF$2),1,0)</f>
        <v>0</v>
      </c>
      <c r="BG111" s="276" cm="1">
        <f t="array" ref="BG111">IF(AND(BG$2&lt;&gt;0,TblTech[[#This Row],[Hour]:[Hour]]&gt;=BG$2),1,0)</f>
        <v>0</v>
      </c>
      <c r="BH111" s="276" cm="1">
        <f t="array" ref="BH111">IF(AND(BH$2&lt;&gt;0,TblTech[[#This Row],[Hour]:[Hour]]&gt;=BH$2),1,0)</f>
        <v>0</v>
      </c>
      <c r="BI111" s="276" cm="1">
        <f t="array" ref="BI111">IF(AND(BI$2&lt;&gt;0,TblTech[[#This Row],[Hour]:[Hour]]&gt;=BI$2),1,0)</f>
        <v>0</v>
      </c>
      <c r="BJ111" s="276" cm="1">
        <f t="array" ref="BJ111">IF(AND(BJ$2&lt;&gt;0,TblTech[[#This Row],[Hour]:[Hour]]&gt;=BJ$2),1,0)</f>
        <v>0</v>
      </c>
      <c r="BK111" s="276" cm="1">
        <f t="array" ref="BK111">IF(AND(BK$2&lt;&gt;0,TblTech[[#This Row],[Hour]:[Hour]]&gt;=BK$2),1,0)</f>
        <v>0</v>
      </c>
      <c r="BL111" s="276" cm="1">
        <f t="array" ref="BL111">IF(AND(BL$2&lt;&gt;0,TblTech[[#This Row],[Hour]:[Hour]]&gt;=BL$2),1,0)</f>
        <v>0</v>
      </c>
      <c r="BM111" s="276" cm="1">
        <f t="array" ref="BM111">IF(AND(BM$2&lt;&gt;0,TblTech[[#This Row],[Hour]:[Hour]]&gt;=BM$2),1,0)</f>
        <v>0</v>
      </c>
      <c r="BN111" s="276" cm="1">
        <f t="array" ref="BN111">IF(AND(BN$2&lt;&gt;0,TblTech[[#This Row],[Hour]:[Hour]]&gt;=BN$2),1,0)</f>
        <v>0</v>
      </c>
      <c r="BO111" s="276" cm="1">
        <f t="array" ref="BO111">IF(AND(BO$2&lt;&gt;0,TblTech[[#This Row],[Hour]:[Hour]]&gt;=BO$2),1,0)</f>
        <v>0</v>
      </c>
      <c r="BP111" s="276" cm="1">
        <f t="array" ref="BP111">IF(AND(BP$2&lt;&gt;0,TblTech[[#This Row],[Hour]:[Hour]]&gt;=BP$2),1,0)</f>
        <v>0</v>
      </c>
      <c r="BQ111" s="276" cm="1">
        <f t="array" ref="BQ111">IF(AND(BQ$2&lt;&gt;0,TblTech[[#This Row],[Hour]:[Hour]]&gt;=BQ$2),1,0)</f>
        <v>0</v>
      </c>
      <c r="BR111" s="276" cm="1">
        <f t="array" ref="BR111">IF(AND(BR$2&lt;&gt;0,TblTech[[#This Row],[Hour]:[Hour]]&gt;=BR$2),1,0)</f>
        <v>0</v>
      </c>
      <c r="BS111" s="276" cm="1">
        <f t="array" ref="BS111">IF(AND(BS$2&lt;&gt;0,TblTech[[#This Row],[Hour]:[Hour]]&gt;=BS$2),1,0)</f>
        <v>0</v>
      </c>
      <c r="BT111" s="276" cm="1">
        <f t="array" ref="BT111">IF(AND(BT$2&lt;&gt;0,TblTech[[#This Row],[Hour]:[Hour]]&gt;=BT$2),1,0)</f>
        <v>0</v>
      </c>
      <c r="BU111" s="276" cm="1">
        <f t="array" ref="BU111">IF(AND(BU$2&lt;&gt;0,TblTech[[#This Row],[Hour]:[Hour]]&gt;=BU$2),1,0)</f>
        <v>0</v>
      </c>
      <c r="BV111" s="276" cm="1">
        <f t="array" ref="BV111">IF(AND(BV$2&lt;&gt;0,TblTech[[#This Row],[Hour]:[Hour]]&gt;=BV$2),1,0)</f>
        <v>0</v>
      </c>
      <c r="BW111" s="276" cm="1">
        <f t="array" ref="BW111">IF(AND(BW$2&lt;&gt;0,TblTech[[#This Row],[Hour]:[Hour]]&gt;=BW$2),1,0)</f>
        <v>0</v>
      </c>
      <c r="BX111" s="276" cm="1">
        <f t="array" ref="BX111">IF(AND(BX$2&lt;&gt;0,TblTech[[#This Row],[Hour]:[Hour]]&gt;=BX$2),1,0)</f>
        <v>0</v>
      </c>
      <c r="BY111" s="276" cm="1">
        <f t="array" ref="BY111">IF(AND(BY$2&lt;&gt;0,TblTech[[#This Row],[Hour]:[Hour]]&gt;=BY$2),1,0)</f>
        <v>0</v>
      </c>
      <c r="BZ111" s="276" cm="1">
        <f t="array" ref="BZ111">IF(AND(BZ$2&lt;&gt;0,TblTech[[#This Row],[Hour]:[Hour]]&gt;=BZ$2),1,0)</f>
        <v>0</v>
      </c>
      <c r="CA111" s="377">
        <f>IFERROR(INDEX($H$4:$H$79,MATCH(INDEX(TblTech[[#Headers],[1-1]:[11-1]],1,MATCH(TblTech[[#This Row],[Hour]],$M$2:$BZ$2,0)),$G$4:$G$79,0)),)</f>
        <v>0</v>
      </c>
    </row>
    <row r="112" spans="1:79" x14ac:dyDescent="0.2">
      <c r="A112" s="268">
        <f>TblRezone[[#This Row],[Hour]]</f>
        <v>109</v>
      </c>
      <c r="B112" s="269">
        <f ca="1">TblExplore[[#This Row],[Land-DB]]</f>
        <v>110</v>
      </c>
      <c r="C112" s="270">
        <f ca="1">TblProd[[#This Row],[Techpoints]]</f>
        <v>0</v>
      </c>
      <c r="D112" s="270">
        <f ca="1">TblProd[[#This Row],[Required]]</f>
        <v>3750</v>
      </c>
      <c r="E112" s="279"/>
      <c r="F112" s="280"/>
      <c r="G112" s="273"/>
      <c r="H112" s="274"/>
      <c r="I112" s="274"/>
      <c r="J112" s="274"/>
      <c r="K112" s="93">
        <f ca="1">IF(TblTech[[#This Row],[Sum of tech]]&lt;&gt;OFFSET(TblTech[[#This Row],[Sum of tech]],-1,0),1,0)</f>
        <v>0</v>
      </c>
      <c r="L112" s="275">
        <f>COUNTIF(TblTech[[#This Row],[1-1]:[11-1]],1)</f>
        <v>0</v>
      </c>
      <c r="M112" s="276" cm="1">
        <f t="array" ref="M112">IF(AND(M$2&lt;&gt;0,TblTech[[#This Row],[Hour]:[Hour]]&gt;=M$2),1,0)</f>
        <v>0</v>
      </c>
      <c r="N112" s="276" cm="1">
        <f t="array" ref="N112">IF(AND(N$2&lt;&gt;0,TblTech[[#This Row],[Hour]:[Hour]]&gt;=N$2),1,0)</f>
        <v>0</v>
      </c>
      <c r="O112" s="276" cm="1">
        <f t="array" ref="O112">IF(AND(O$2&lt;&gt;0,TblTech[[#This Row],[Hour]:[Hour]]&gt;=O$2),1,0)</f>
        <v>0</v>
      </c>
      <c r="P112" s="276" cm="1">
        <f t="array" ref="P112">IF(AND(P$2&lt;&gt;0,TblTech[[#This Row],[Hour]:[Hour]]&gt;=P$2),1,0)</f>
        <v>0</v>
      </c>
      <c r="Q112" s="276" cm="1">
        <f t="array" ref="Q112">IF(AND(Q$2&lt;&gt;0,TblTech[[#This Row],[Hour]:[Hour]]&gt;=Q$2),1,0)</f>
        <v>0</v>
      </c>
      <c r="R112" s="276" cm="1">
        <f t="array" ref="R112">IF(AND(R$2&lt;&gt;0,TblTech[[#This Row],[Hour]:[Hour]]&gt;=R$2),1,0)</f>
        <v>0</v>
      </c>
      <c r="S112" s="276" cm="1">
        <f t="array" ref="S112">IF(AND(S$2&lt;&gt;0,TblTech[[#This Row],[Hour]:[Hour]]&gt;=S$2),1,0)</f>
        <v>0</v>
      </c>
      <c r="T112" s="276" cm="1">
        <f t="array" ref="T112">IF(AND(T$2&lt;&gt;0,TblTech[[#This Row],[Hour]:[Hour]]&gt;=T$2),1,0)</f>
        <v>0</v>
      </c>
      <c r="U112" s="276" cm="1">
        <f t="array" ref="U112">IF(AND(U$2&lt;&gt;0,TblTech[[#This Row],[Hour]:[Hour]]&gt;=U$2),1,0)</f>
        <v>0</v>
      </c>
      <c r="V112" s="276" cm="1">
        <f t="array" ref="V112">IF(AND(V$2&lt;&gt;0,TblTech[[#This Row],[Hour]:[Hour]]&gt;=V$2),1,0)</f>
        <v>0</v>
      </c>
      <c r="W112" s="276" cm="1">
        <f t="array" ref="W112">IF(AND(W$2&lt;&gt;0,TblTech[[#This Row],[Hour]:[Hour]]&gt;=W$2),1,0)</f>
        <v>0</v>
      </c>
      <c r="X112" s="276" cm="1">
        <f t="array" ref="X112">IF(AND(X$2&lt;&gt;0,TblTech[[#This Row],[Hour]:[Hour]]&gt;=X$2),1,0)</f>
        <v>0</v>
      </c>
      <c r="Y112" s="276" cm="1">
        <f t="array" ref="Y112">IF(AND(Y$2&lt;&gt;0,TblTech[[#This Row],[Hour]:[Hour]]&gt;=Y$2),1,0)</f>
        <v>0</v>
      </c>
      <c r="Z112" s="276" cm="1">
        <f t="array" ref="Z112">IF(AND(Z$2&lt;&gt;0,TblTech[[#This Row],[Hour]:[Hour]]&gt;=Z$2),1,0)</f>
        <v>0</v>
      </c>
      <c r="AA112" s="276" cm="1">
        <f t="array" ref="AA112">IF(AND(AA$2&lt;&gt;0,TblTech[[#This Row],[Hour]:[Hour]]&gt;=AA$2),1,0)</f>
        <v>0</v>
      </c>
      <c r="AB112" s="276" cm="1">
        <f t="array" ref="AB112">IF(AND(AB$2&lt;&gt;0,TblTech[[#This Row],[Hour]:[Hour]]&gt;=AB$2),1,0)</f>
        <v>0</v>
      </c>
      <c r="AC112" s="276" cm="1">
        <f t="array" ref="AC112">IF(AND(AC$2&lt;&gt;0,TblTech[[#This Row],[Hour]:[Hour]]&gt;=AC$2),1,0)</f>
        <v>0</v>
      </c>
      <c r="AD112" s="276" cm="1">
        <f t="array" ref="AD112">IF(AND(AD$2&lt;&gt;0,TblTech[[#This Row],[Hour]:[Hour]]&gt;=AD$2),1,0)</f>
        <v>0</v>
      </c>
      <c r="AE112" s="276" cm="1">
        <f t="array" ref="AE112">IF(AND(AE$2&lt;&gt;0,TblTech[[#This Row],[Hour]:[Hour]]&gt;=AE$2),1,0)</f>
        <v>0</v>
      </c>
      <c r="AF112" s="276" cm="1">
        <f t="array" ref="AF112">IF(AND(AF$2&lt;&gt;0,TblTech[[#This Row],[Hour]:[Hour]]&gt;=AF$2),1,0)</f>
        <v>0</v>
      </c>
      <c r="AG112" s="276" cm="1">
        <f t="array" ref="AG112">IF(AND(AG$2&lt;&gt;0,TblTech[[#This Row],[Hour]:[Hour]]&gt;=AG$2),1,0)</f>
        <v>0</v>
      </c>
      <c r="AH112" s="276" cm="1">
        <f t="array" ref="AH112">IF(AND(AH$2&lt;&gt;0,TblTech[[#This Row],[Hour]:[Hour]]&gt;=AH$2),1,0)</f>
        <v>0</v>
      </c>
      <c r="AI112" s="276" cm="1">
        <f t="array" ref="AI112">IF(AND(AI$2&lt;&gt;0,TblTech[[#This Row],[Hour]:[Hour]]&gt;=AI$2),1,0)</f>
        <v>0</v>
      </c>
      <c r="AJ112" s="276" cm="1">
        <f t="array" ref="AJ112">IF(AND(AJ$2&lt;&gt;0,TblTech[[#This Row],[Hour]:[Hour]]&gt;=AJ$2),1,0)</f>
        <v>0</v>
      </c>
      <c r="AK112" s="276" cm="1">
        <f t="array" ref="AK112">IF(AND(AK$2&lt;&gt;0,TblTech[[#This Row],[Hour]:[Hour]]&gt;=AK$2),1,0)</f>
        <v>0</v>
      </c>
      <c r="AL112" s="276" cm="1">
        <f t="array" ref="AL112">IF(AND(AL$2&lt;&gt;0,TblTech[[#This Row],[Hour]:[Hour]]&gt;=AL$2),1,0)</f>
        <v>0</v>
      </c>
      <c r="AM112" s="276" cm="1">
        <f t="array" ref="AM112">IF(AND(AM$2&lt;&gt;0,TblTech[[#This Row],[Hour]:[Hour]]&gt;=AM$2),1,0)</f>
        <v>0</v>
      </c>
      <c r="AN112" s="276" cm="1">
        <f t="array" ref="AN112">IF(AND(AN$2&lt;&gt;0,TblTech[[#This Row],[Hour]:[Hour]]&gt;=AN$2),1,0)</f>
        <v>0</v>
      </c>
      <c r="AO112" s="276" cm="1">
        <f t="array" ref="AO112">IF(AND(AO$2&lt;&gt;0,TblTech[[#This Row],[Hour]:[Hour]]&gt;=AO$2),1,0)</f>
        <v>0</v>
      </c>
      <c r="AP112" s="276" cm="1">
        <f t="array" ref="AP112">IF(AND(AP$2&lt;&gt;0,TblTech[[#This Row],[Hour]:[Hour]]&gt;=AP$2),1,0)</f>
        <v>0</v>
      </c>
      <c r="AQ112" s="276" cm="1">
        <f t="array" ref="AQ112">IF(AND(AQ$2&lt;&gt;0,TblTech[[#This Row],[Hour]:[Hour]]&gt;=AQ$2),1,0)</f>
        <v>0</v>
      </c>
      <c r="AR112" s="276" cm="1">
        <f t="array" ref="AR112">IF(AND(AR$2&lt;&gt;0,TblTech[[#This Row],[Hour]:[Hour]]&gt;=AR$2),1,0)</f>
        <v>0</v>
      </c>
      <c r="AS112" s="276" cm="1">
        <f t="array" ref="AS112">IF(AND(AS$2&lt;&gt;0,TblTech[[#This Row],[Hour]:[Hour]]&gt;=AS$2),1,0)</f>
        <v>0</v>
      </c>
      <c r="AT112" s="276" cm="1">
        <f t="array" ref="AT112">IF(AND(AT$2&lt;&gt;0,TblTech[[#This Row],[Hour]:[Hour]]&gt;=AT$2),1,0)</f>
        <v>0</v>
      </c>
      <c r="AU112" s="276" cm="1">
        <f t="array" ref="AU112">IF(AND(AU$2&lt;&gt;0,TblTech[[#This Row],[Hour]:[Hour]]&gt;=AU$2),1,0)</f>
        <v>0</v>
      </c>
      <c r="AV112" s="276" cm="1">
        <f t="array" ref="AV112">IF(AND(AV$2&lt;&gt;0,TblTech[[#This Row],[Hour]:[Hour]]&gt;=AV$2),1,0)</f>
        <v>0</v>
      </c>
      <c r="AW112" s="276" cm="1">
        <f t="array" ref="AW112">IF(AND(AW$2&lt;&gt;0,TblTech[[#This Row],[Hour]:[Hour]]&gt;=AW$2),1,0)</f>
        <v>0</v>
      </c>
      <c r="AX112" s="276" cm="1">
        <f t="array" ref="AX112">IF(AND(AX$2&lt;&gt;0,TblTech[[#This Row],[Hour]:[Hour]]&gt;=AX$2),1,0)</f>
        <v>0</v>
      </c>
      <c r="AY112" s="276" cm="1">
        <f t="array" ref="AY112">IF(AND(AY$2&lt;&gt;0,TblTech[[#This Row],[Hour]:[Hour]]&gt;=AY$2),1,0)</f>
        <v>0</v>
      </c>
      <c r="AZ112" s="276" cm="1">
        <f t="array" ref="AZ112">IF(AND(AZ$2&lt;&gt;0,TblTech[[#This Row],[Hour]:[Hour]]&gt;=AZ$2),1,0)</f>
        <v>0</v>
      </c>
      <c r="BA112" s="276" cm="1">
        <f t="array" ref="BA112">IF(AND(BA$2&lt;&gt;0,TblTech[[#This Row],[Hour]:[Hour]]&gt;=BA$2),1,0)</f>
        <v>0</v>
      </c>
      <c r="BB112" s="276" cm="1">
        <f t="array" ref="BB112">IF(AND(BB$2&lt;&gt;0,TblTech[[#This Row],[Hour]:[Hour]]&gt;=BB$2),1,0)</f>
        <v>0</v>
      </c>
      <c r="BC112" s="276" cm="1">
        <f t="array" ref="BC112">IF(AND(BC$2&lt;&gt;0,TblTech[[#This Row],[Hour]:[Hour]]&gt;=BC$2),1,0)</f>
        <v>0</v>
      </c>
      <c r="BD112" s="276" cm="1">
        <f t="array" ref="BD112">IF(AND(BD$2&lt;&gt;0,TblTech[[#This Row],[Hour]:[Hour]]&gt;=BD$2),1,0)</f>
        <v>0</v>
      </c>
      <c r="BE112" s="276" cm="1">
        <f t="array" ref="BE112">IF(AND(BE$2&lt;&gt;0,TblTech[[#This Row],[Hour]:[Hour]]&gt;=BE$2),1,0)</f>
        <v>0</v>
      </c>
      <c r="BF112" s="276" cm="1">
        <f t="array" ref="BF112">IF(AND(BF$2&lt;&gt;0,TblTech[[#This Row],[Hour]:[Hour]]&gt;=BF$2),1,0)</f>
        <v>0</v>
      </c>
      <c r="BG112" s="276" cm="1">
        <f t="array" ref="BG112">IF(AND(BG$2&lt;&gt;0,TblTech[[#This Row],[Hour]:[Hour]]&gt;=BG$2),1,0)</f>
        <v>0</v>
      </c>
      <c r="BH112" s="276" cm="1">
        <f t="array" ref="BH112">IF(AND(BH$2&lt;&gt;0,TblTech[[#This Row],[Hour]:[Hour]]&gt;=BH$2),1,0)</f>
        <v>0</v>
      </c>
      <c r="BI112" s="276" cm="1">
        <f t="array" ref="BI112">IF(AND(BI$2&lt;&gt;0,TblTech[[#This Row],[Hour]:[Hour]]&gt;=BI$2),1,0)</f>
        <v>0</v>
      </c>
      <c r="BJ112" s="276" cm="1">
        <f t="array" ref="BJ112">IF(AND(BJ$2&lt;&gt;0,TblTech[[#This Row],[Hour]:[Hour]]&gt;=BJ$2),1,0)</f>
        <v>0</v>
      </c>
      <c r="BK112" s="276" cm="1">
        <f t="array" ref="BK112">IF(AND(BK$2&lt;&gt;0,TblTech[[#This Row],[Hour]:[Hour]]&gt;=BK$2),1,0)</f>
        <v>0</v>
      </c>
      <c r="BL112" s="276" cm="1">
        <f t="array" ref="BL112">IF(AND(BL$2&lt;&gt;0,TblTech[[#This Row],[Hour]:[Hour]]&gt;=BL$2),1,0)</f>
        <v>0</v>
      </c>
      <c r="BM112" s="276" cm="1">
        <f t="array" ref="BM112">IF(AND(BM$2&lt;&gt;0,TblTech[[#This Row],[Hour]:[Hour]]&gt;=BM$2),1,0)</f>
        <v>0</v>
      </c>
      <c r="BN112" s="276" cm="1">
        <f t="array" ref="BN112">IF(AND(BN$2&lt;&gt;0,TblTech[[#This Row],[Hour]:[Hour]]&gt;=BN$2),1,0)</f>
        <v>0</v>
      </c>
      <c r="BO112" s="276" cm="1">
        <f t="array" ref="BO112">IF(AND(BO$2&lt;&gt;0,TblTech[[#This Row],[Hour]:[Hour]]&gt;=BO$2),1,0)</f>
        <v>0</v>
      </c>
      <c r="BP112" s="276" cm="1">
        <f t="array" ref="BP112">IF(AND(BP$2&lt;&gt;0,TblTech[[#This Row],[Hour]:[Hour]]&gt;=BP$2),1,0)</f>
        <v>0</v>
      </c>
      <c r="BQ112" s="276" cm="1">
        <f t="array" ref="BQ112">IF(AND(BQ$2&lt;&gt;0,TblTech[[#This Row],[Hour]:[Hour]]&gt;=BQ$2),1,0)</f>
        <v>0</v>
      </c>
      <c r="BR112" s="276" cm="1">
        <f t="array" ref="BR112">IF(AND(BR$2&lt;&gt;0,TblTech[[#This Row],[Hour]:[Hour]]&gt;=BR$2),1,0)</f>
        <v>0</v>
      </c>
      <c r="BS112" s="276" cm="1">
        <f t="array" ref="BS112">IF(AND(BS$2&lt;&gt;0,TblTech[[#This Row],[Hour]:[Hour]]&gt;=BS$2),1,0)</f>
        <v>0</v>
      </c>
      <c r="BT112" s="276" cm="1">
        <f t="array" ref="BT112">IF(AND(BT$2&lt;&gt;0,TblTech[[#This Row],[Hour]:[Hour]]&gt;=BT$2),1,0)</f>
        <v>0</v>
      </c>
      <c r="BU112" s="276" cm="1">
        <f t="array" ref="BU112">IF(AND(BU$2&lt;&gt;0,TblTech[[#This Row],[Hour]:[Hour]]&gt;=BU$2),1,0)</f>
        <v>0</v>
      </c>
      <c r="BV112" s="276" cm="1">
        <f t="array" ref="BV112">IF(AND(BV$2&lt;&gt;0,TblTech[[#This Row],[Hour]:[Hour]]&gt;=BV$2),1,0)</f>
        <v>0</v>
      </c>
      <c r="BW112" s="276" cm="1">
        <f t="array" ref="BW112">IF(AND(BW$2&lt;&gt;0,TblTech[[#This Row],[Hour]:[Hour]]&gt;=BW$2),1,0)</f>
        <v>0</v>
      </c>
      <c r="BX112" s="276" cm="1">
        <f t="array" ref="BX112">IF(AND(BX$2&lt;&gt;0,TblTech[[#This Row],[Hour]:[Hour]]&gt;=BX$2),1,0)</f>
        <v>0</v>
      </c>
      <c r="BY112" s="276" cm="1">
        <f t="array" ref="BY112">IF(AND(BY$2&lt;&gt;0,TblTech[[#This Row],[Hour]:[Hour]]&gt;=BY$2),1,0)</f>
        <v>0</v>
      </c>
      <c r="BZ112" s="276" cm="1">
        <f t="array" ref="BZ112">IF(AND(BZ$2&lt;&gt;0,TblTech[[#This Row],[Hour]:[Hour]]&gt;=BZ$2),1,0)</f>
        <v>0</v>
      </c>
      <c r="CA112" s="377">
        <f>IFERROR(INDEX($H$4:$H$79,MATCH(INDEX(TblTech[[#Headers],[1-1]:[11-1]],1,MATCH(TblTech[[#This Row],[Hour]],$M$2:$BZ$2,0)),$G$4:$G$79,0)),)</f>
        <v>0</v>
      </c>
    </row>
    <row r="113" spans="1:79" x14ac:dyDescent="0.2">
      <c r="A113" s="268">
        <f>TblRezone[[#This Row],[Hour]]</f>
        <v>110</v>
      </c>
      <c r="B113" s="269">
        <f ca="1">TblExplore[[#This Row],[Land-DB]]</f>
        <v>110</v>
      </c>
      <c r="C113" s="270">
        <f ca="1">TblProd[[#This Row],[Techpoints]]</f>
        <v>0</v>
      </c>
      <c r="D113" s="270">
        <f ca="1">TblProd[[#This Row],[Required]]</f>
        <v>3750</v>
      </c>
      <c r="E113" s="279"/>
      <c r="F113" s="280"/>
      <c r="G113" s="273"/>
      <c r="H113" s="274"/>
      <c r="I113" s="274"/>
      <c r="J113" s="274"/>
      <c r="K113" s="93">
        <f ca="1">IF(TblTech[[#This Row],[Sum of tech]]&lt;&gt;OFFSET(TblTech[[#This Row],[Sum of tech]],-1,0),1,0)</f>
        <v>0</v>
      </c>
      <c r="L113" s="275">
        <f>COUNTIF(TblTech[[#This Row],[1-1]:[11-1]],1)</f>
        <v>0</v>
      </c>
      <c r="M113" s="276" cm="1">
        <f t="array" ref="M113">IF(AND(M$2&lt;&gt;0,TblTech[[#This Row],[Hour]:[Hour]]&gt;=M$2),1,0)</f>
        <v>0</v>
      </c>
      <c r="N113" s="276" cm="1">
        <f t="array" ref="N113">IF(AND(N$2&lt;&gt;0,TblTech[[#This Row],[Hour]:[Hour]]&gt;=N$2),1,0)</f>
        <v>0</v>
      </c>
      <c r="O113" s="276" cm="1">
        <f t="array" ref="O113">IF(AND(O$2&lt;&gt;0,TblTech[[#This Row],[Hour]:[Hour]]&gt;=O$2),1,0)</f>
        <v>0</v>
      </c>
      <c r="P113" s="276" cm="1">
        <f t="array" ref="P113">IF(AND(P$2&lt;&gt;0,TblTech[[#This Row],[Hour]:[Hour]]&gt;=P$2),1,0)</f>
        <v>0</v>
      </c>
      <c r="Q113" s="276" cm="1">
        <f t="array" ref="Q113">IF(AND(Q$2&lt;&gt;0,TblTech[[#This Row],[Hour]:[Hour]]&gt;=Q$2),1,0)</f>
        <v>0</v>
      </c>
      <c r="R113" s="276" cm="1">
        <f t="array" ref="R113">IF(AND(R$2&lt;&gt;0,TblTech[[#This Row],[Hour]:[Hour]]&gt;=R$2),1,0)</f>
        <v>0</v>
      </c>
      <c r="S113" s="276" cm="1">
        <f t="array" ref="S113">IF(AND(S$2&lt;&gt;0,TblTech[[#This Row],[Hour]:[Hour]]&gt;=S$2),1,0)</f>
        <v>0</v>
      </c>
      <c r="T113" s="276" cm="1">
        <f t="array" ref="T113">IF(AND(T$2&lt;&gt;0,TblTech[[#This Row],[Hour]:[Hour]]&gt;=T$2),1,0)</f>
        <v>0</v>
      </c>
      <c r="U113" s="276" cm="1">
        <f t="array" ref="U113">IF(AND(U$2&lt;&gt;0,TblTech[[#This Row],[Hour]:[Hour]]&gt;=U$2),1,0)</f>
        <v>0</v>
      </c>
      <c r="V113" s="276" cm="1">
        <f t="array" ref="V113">IF(AND(V$2&lt;&gt;0,TblTech[[#This Row],[Hour]:[Hour]]&gt;=V$2),1,0)</f>
        <v>0</v>
      </c>
      <c r="W113" s="276" cm="1">
        <f t="array" ref="W113">IF(AND(W$2&lt;&gt;0,TblTech[[#This Row],[Hour]:[Hour]]&gt;=W$2),1,0)</f>
        <v>0</v>
      </c>
      <c r="X113" s="276" cm="1">
        <f t="array" ref="X113">IF(AND(X$2&lt;&gt;0,TblTech[[#This Row],[Hour]:[Hour]]&gt;=X$2),1,0)</f>
        <v>0</v>
      </c>
      <c r="Y113" s="276" cm="1">
        <f t="array" ref="Y113">IF(AND(Y$2&lt;&gt;0,TblTech[[#This Row],[Hour]:[Hour]]&gt;=Y$2),1,0)</f>
        <v>0</v>
      </c>
      <c r="Z113" s="276" cm="1">
        <f t="array" ref="Z113">IF(AND(Z$2&lt;&gt;0,TblTech[[#This Row],[Hour]:[Hour]]&gt;=Z$2),1,0)</f>
        <v>0</v>
      </c>
      <c r="AA113" s="276" cm="1">
        <f t="array" ref="AA113">IF(AND(AA$2&lt;&gt;0,TblTech[[#This Row],[Hour]:[Hour]]&gt;=AA$2),1,0)</f>
        <v>0</v>
      </c>
      <c r="AB113" s="276" cm="1">
        <f t="array" ref="AB113">IF(AND(AB$2&lt;&gt;0,TblTech[[#This Row],[Hour]:[Hour]]&gt;=AB$2),1,0)</f>
        <v>0</v>
      </c>
      <c r="AC113" s="276" cm="1">
        <f t="array" ref="AC113">IF(AND(AC$2&lt;&gt;0,TblTech[[#This Row],[Hour]:[Hour]]&gt;=AC$2),1,0)</f>
        <v>0</v>
      </c>
      <c r="AD113" s="276" cm="1">
        <f t="array" ref="AD113">IF(AND(AD$2&lt;&gt;0,TblTech[[#This Row],[Hour]:[Hour]]&gt;=AD$2),1,0)</f>
        <v>0</v>
      </c>
      <c r="AE113" s="276" cm="1">
        <f t="array" ref="AE113">IF(AND(AE$2&lt;&gt;0,TblTech[[#This Row],[Hour]:[Hour]]&gt;=AE$2),1,0)</f>
        <v>0</v>
      </c>
      <c r="AF113" s="276" cm="1">
        <f t="array" ref="AF113">IF(AND(AF$2&lt;&gt;0,TblTech[[#This Row],[Hour]:[Hour]]&gt;=AF$2),1,0)</f>
        <v>0</v>
      </c>
      <c r="AG113" s="276" cm="1">
        <f t="array" ref="AG113">IF(AND(AG$2&lt;&gt;0,TblTech[[#This Row],[Hour]:[Hour]]&gt;=AG$2),1,0)</f>
        <v>0</v>
      </c>
      <c r="AH113" s="276" cm="1">
        <f t="array" ref="AH113">IF(AND(AH$2&lt;&gt;0,TblTech[[#This Row],[Hour]:[Hour]]&gt;=AH$2),1,0)</f>
        <v>0</v>
      </c>
      <c r="AI113" s="276" cm="1">
        <f t="array" ref="AI113">IF(AND(AI$2&lt;&gt;0,TblTech[[#This Row],[Hour]:[Hour]]&gt;=AI$2),1,0)</f>
        <v>0</v>
      </c>
      <c r="AJ113" s="276" cm="1">
        <f t="array" ref="AJ113">IF(AND(AJ$2&lt;&gt;0,TblTech[[#This Row],[Hour]:[Hour]]&gt;=AJ$2),1,0)</f>
        <v>0</v>
      </c>
      <c r="AK113" s="276" cm="1">
        <f t="array" ref="AK113">IF(AND(AK$2&lt;&gt;0,TblTech[[#This Row],[Hour]:[Hour]]&gt;=AK$2),1,0)</f>
        <v>0</v>
      </c>
      <c r="AL113" s="276" cm="1">
        <f t="array" ref="AL113">IF(AND(AL$2&lt;&gt;0,TblTech[[#This Row],[Hour]:[Hour]]&gt;=AL$2),1,0)</f>
        <v>0</v>
      </c>
      <c r="AM113" s="276" cm="1">
        <f t="array" ref="AM113">IF(AND(AM$2&lt;&gt;0,TblTech[[#This Row],[Hour]:[Hour]]&gt;=AM$2),1,0)</f>
        <v>0</v>
      </c>
      <c r="AN113" s="276" cm="1">
        <f t="array" ref="AN113">IF(AND(AN$2&lt;&gt;0,TblTech[[#This Row],[Hour]:[Hour]]&gt;=AN$2),1,0)</f>
        <v>0</v>
      </c>
      <c r="AO113" s="276" cm="1">
        <f t="array" ref="AO113">IF(AND(AO$2&lt;&gt;0,TblTech[[#This Row],[Hour]:[Hour]]&gt;=AO$2),1,0)</f>
        <v>0</v>
      </c>
      <c r="AP113" s="276" cm="1">
        <f t="array" ref="AP113">IF(AND(AP$2&lt;&gt;0,TblTech[[#This Row],[Hour]:[Hour]]&gt;=AP$2),1,0)</f>
        <v>0</v>
      </c>
      <c r="AQ113" s="276" cm="1">
        <f t="array" ref="AQ113">IF(AND(AQ$2&lt;&gt;0,TblTech[[#This Row],[Hour]:[Hour]]&gt;=AQ$2),1,0)</f>
        <v>0</v>
      </c>
      <c r="AR113" s="276" cm="1">
        <f t="array" ref="AR113">IF(AND(AR$2&lt;&gt;0,TblTech[[#This Row],[Hour]:[Hour]]&gt;=AR$2),1,0)</f>
        <v>0</v>
      </c>
      <c r="AS113" s="276" cm="1">
        <f t="array" ref="AS113">IF(AND(AS$2&lt;&gt;0,TblTech[[#This Row],[Hour]:[Hour]]&gt;=AS$2),1,0)</f>
        <v>0</v>
      </c>
      <c r="AT113" s="276" cm="1">
        <f t="array" ref="AT113">IF(AND(AT$2&lt;&gt;0,TblTech[[#This Row],[Hour]:[Hour]]&gt;=AT$2),1,0)</f>
        <v>0</v>
      </c>
      <c r="AU113" s="276" cm="1">
        <f t="array" ref="AU113">IF(AND(AU$2&lt;&gt;0,TblTech[[#This Row],[Hour]:[Hour]]&gt;=AU$2),1,0)</f>
        <v>0</v>
      </c>
      <c r="AV113" s="276" cm="1">
        <f t="array" ref="AV113">IF(AND(AV$2&lt;&gt;0,TblTech[[#This Row],[Hour]:[Hour]]&gt;=AV$2),1,0)</f>
        <v>0</v>
      </c>
      <c r="AW113" s="276" cm="1">
        <f t="array" ref="AW113">IF(AND(AW$2&lt;&gt;0,TblTech[[#This Row],[Hour]:[Hour]]&gt;=AW$2),1,0)</f>
        <v>0</v>
      </c>
      <c r="AX113" s="276" cm="1">
        <f t="array" ref="AX113">IF(AND(AX$2&lt;&gt;0,TblTech[[#This Row],[Hour]:[Hour]]&gt;=AX$2),1,0)</f>
        <v>0</v>
      </c>
      <c r="AY113" s="276" cm="1">
        <f t="array" ref="AY113">IF(AND(AY$2&lt;&gt;0,TblTech[[#This Row],[Hour]:[Hour]]&gt;=AY$2),1,0)</f>
        <v>0</v>
      </c>
      <c r="AZ113" s="276" cm="1">
        <f t="array" ref="AZ113">IF(AND(AZ$2&lt;&gt;0,TblTech[[#This Row],[Hour]:[Hour]]&gt;=AZ$2),1,0)</f>
        <v>0</v>
      </c>
      <c r="BA113" s="276" cm="1">
        <f t="array" ref="BA113">IF(AND(BA$2&lt;&gt;0,TblTech[[#This Row],[Hour]:[Hour]]&gt;=BA$2),1,0)</f>
        <v>0</v>
      </c>
      <c r="BB113" s="276" cm="1">
        <f t="array" ref="BB113">IF(AND(BB$2&lt;&gt;0,TblTech[[#This Row],[Hour]:[Hour]]&gt;=BB$2),1,0)</f>
        <v>0</v>
      </c>
      <c r="BC113" s="276" cm="1">
        <f t="array" ref="BC113">IF(AND(BC$2&lt;&gt;0,TblTech[[#This Row],[Hour]:[Hour]]&gt;=BC$2),1,0)</f>
        <v>0</v>
      </c>
      <c r="BD113" s="276" cm="1">
        <f t="array" ref="BD113">IF(AND(BD$2&lt;&gt;0,TblTech[[#This Row],[Hour]:[Hour]]&gt;=BD$2),1,0)</f>
        <v>0</v>
      </c>
      <c r="BE113" s="276" cm="1">
        <f t="array" ref="BE113">IF(AND(BE$2&lt;&gt;0,TblTech[[#This Row],[Hour]:[Hour]]&gt;=BE$2),1,0)</f>
        <v>0</v>
      </c>
      <c r="BF113" s="276" cm="1">
        <f t="array" ref="BF113">IF(AND(BF$2&lt;&gt;0,TblTech[[#This Row],[Hour]:[Hour]]&gt;=BF$2),1,0)</f>
        <v>0</v>
      </c>
      <c r="BG113" s="276" cm="1">
        <f t="array" ref="BG113">IF(AND(BG$2&lt;&gt;0,TblTech[[#This Row],[Hour]:[Hour]]&gt;=BG$2),1,0)</f>
        <v>0</v>
      </c>
      <c r="BH113" s="276" cm="1">
        <f t="array" ref="BH113">IF(AND(BH$2&lt;&gt;0,TblTech[[#This Row],[Hour]:[Hour]]&gt;=BH$2),1,0)</f>
        <v>0</v>
      </c>
      <c r="BI113" s="276" cm="1">
        <f t="array" ref="BI113">IF(AND(BI$2&lt;&gt;0,TblTech[[#This Row],[Hour]:[Hour]]&gt;=BI$2),1,0)</f>
        <v>0</v>
      </c>
      <c r="BJ113" s="276" cm="1">
        <f t="array" ref="BJ113">IF(AND(BJ$2&lt;&gt;0,TblTech[[#This Row],[Hour]:[Hour]]&gt;=BJ$2),1,0)</f>
        <v>0</v>
      </c>
      <c r="BK113" s="276" cm="1">
        <f t="array" ref="BK113">IF(AND(BK$2&lt;&gt;0,TblTech[[#This Row],[Hour]:[Hour]]&gt;=BK$2),1,0)</f>
        <v>0</v>
      </c>
      <c r="BL113" s="276" cm="1">
        <f t="array" ref="BL113">IF(AND(BL$2&lt;&gt;0,TblTech[[#This Row],[Hour]:[Hour]]&gt;=BL$2),1,0)</f>
        <v>0</v>
      </c>
      <c r="BM113" s="276" cm="1">
        <f t="array" ref="BM113">IF(AND(BM$2&lt;&gt;0,TblTech[[#This Row],[Hour]:[Hour]]&gt;=BM$2),1,0)</f>
        <v>0</v>
      </c>
      <c r="BN113" s="276" cm="1">
        <f t="array" ref="BN113">IF(AND(BN$2&lt;&gt;0,TblTech[[#This Row],[Hour]:[Hour]]&gt;=BN$2),1,0)</f>
        <v>0</v>
      </c>
      <c r="BO113" s="276" cm="1">
        <f t="array" ref="BO113">IF(AND(BO$2&lt;&gt;0,TblTech[[#This Row],[Hour]:[Hour]]&gt;=BO$2),1,0)</f>
        <v>0</v>
      </c>
      <c r="BP113" s="276" cm="1">
        <f t="array" ref="BP113">IF(AND(BP$2&lt;&gt;0,TblTech[[#This Row],[Hour]:[Hour]]&gt;=BP$2),1,0)</f>
        <v>0</v>
      </c>
      <c r="BQ113" s="276" cm="1">
        <f t="array" ref="BQ113">IF(AND(BQ$2&lt;&gt;0,TblTech[[#This Row],[Hour]:[Hour]]&gt;=BQ$2),1,0)</f>
        <v>0</v>
      </c>
      <c r="BR113" s="276" cm="1">
        <f t="array" ref="BR113">IF(AND(BR$2&lt;&gt;0,TblTech[[#This Row],[Hour]:[Hour]]&gt;=BR$2),1,0)</f>
        <v>0</v>
      </c>
      <c r="BS113" s="276" cm="1">
        <f t="array" ref="BS113">IF(AND(BS$2&lt;&gt;0,TblTech[[#This Row],[Hour]:[Hour]]&gt;=BS$2),1,0)</f>
        <v>0</v>
      </c>
      <c r="BT113" s="276" cm="1">
        <f t="array" ref="BT113">IF(AND(BT$2&lt;&gt;0,TblTech[[#This Row],[Hour]:[Hour]]&gt;=BT$2),1,0)</f>
        <v>0</v>
      </c>
      <c r="BU113" s="276" cm="1">
        <f t="array" ref="BU113">IF(AND(BU$2&lt;&gt;0,TblTech[[#This Row],[Hour]:[Hour]]&gt;=BU$2),1,0)</f>
        <v>0</v>
      </c>
      <c r="BV113" s="276" cm="1">
        <f t="array" ref="BV113">IF(AND(BV$2&lt;&gt;0,TblTech[[#This Row],[Hour]:[Hour]]&gt;=BV$2),1,0)</f>
        <v>0</v>
      </c>
      <c r="BW113" s="276" cm="1">
        <f t="array" ref="BW113">IF(AND(BW$2&lt;&gt;0,TblTech[[#This Row],[Hour]:[Hour]]&gt;=BW$2),1,0)</f>
        <v>0</v>
      </c>
      <c r="BX113" s="276" cm="1">
        <f t="array" ref="BX113">IF(AND(BX$2&lt;&gt;0,TblTech[[#This Row],[Hour]:[Hour]]&gt;=BX$2),1,0)</f>
        <v>0</v>
      </c>
      <c r="BY113" s="276" cm="1">
        <f t="array" ref="BY113">IF(AND(BY$2&lt;&gt;0,TblTech[[#This Row],[Hour]:[Hour]]&gt;=BY$2),1,0)</f>
        <v>0</v>
      </c>
      <c r="BZ113" s="276" cm="1">
        <f t="array" ref="BZ113">IF(AND(BZ$2&lt;&gt;0,TblTech[[#This Row],[Hour]:[Hour]]&gt;=BZ$2),1,0)</f>
        <v>0</v>
      </c>
      <c r="CA113" s="377">
        <f>IFERROR(INDEX($H$4:$H$79,MATCH(INDEX(TblTech[[#Headers],[1-1]:[11-1]],1,MATCH(TblTech[[#This Row],[Hour]],$M$2:$BZ$2,0)),$G$4:$G$79,0)),)</f>
        <v>0</v>
      </c>
    </row>
    <row r="114" spans="1:79" x14ac:dyDescent="0.2">
      <c r="A114" s="268">
        <f>TblRezone[[#This Row],[Hour]]</f>
        <v>111</v>
      </c>
      <c r="B114" s="269">
        <f ca="1">TblExplore[[#This Row],[Land-DB]]</f>
        <v>110</v>
      </c>
      <c r="C114" s="270">
        <f ca="1">TblProd[[#This Row],[Techpoints]]</f>
        <v>0</v>
      </c>
      <c r="D114" s="270">
        <f ca="1">TblProd[[#This Row],[Required]]</f>
        <v>3750</v>
      </c>
      <c r="E114" s="279"/>
      <c r="F114" s="280"/>
      <c r="G114" s="273"/>
      <c r="H114" s="274"/>
      <c r="I114" s="274"/>
      <c r="J114" s="274"/>
      <c r="K114" s="93">
        <f ca="1">IF(TblTech[[#This Row],[Sum of tech]]&lt;&gt;OFFSET(TblTech[[#This Row],[Sum of tech]],-1,0),1,0)</f>
        <v>0</v>
      </c>
      <c r="L114" s="275">
        <f>COUNTIF(TblTech[[#This Row],[1-1]:[11-1]],1)</f>
        <v>0</v>
      </c>
      <c r="M114" s="276" cm="1">
        <f t="array" ref="M114">IF(AND(M$2&lt;&gt;0,TblTech[[#This Row],[Hour]:[Hour]]&gt;=M$2),1,0)</f>
        <v>0</v>
      </c>
      <c r="N114" s="276" cm="1">
        <f t="array" ref="N114">IF(AND(N$2&lt;&gt;0,TblTech[[#This Row],[Hour]:[Hour]]&gt;=N$2),1,0)</f>
        <v>0</v>
      </c>
      <c r="O114" s="276" cm="1">
        <f t="array" ref="O114">IF(AND(O$2&lt;&gt;0,TblTech[[#This Row],[Hour]:[Hour]]&gt;=O$2),1,0)</f>
        <v>0</v>
      </c>
      <c r="P114" s="276" cm="1">
        <f t="array" ref="P114">IF(AND(P$2&lt;&gt;0,TblTech[[#This Row],[Hour]:[Hour]]&gt;=P$2),1,0)</f>
        <v>0</v>
      </c>
      <c r="Q114" s="276" cm="1">
        <f t="array" ref="Q114">IF(AND(Q$2&lt;&gt;0,TblTech[[#This Row],[Hour]:[Hour]]&gt;=Q$2),1,0)</f>
        <v>0</v>
      </c>
      <c r="R114" s="276" cm="1">
        <f t="array" ref="R114">IF(AND(R$2&lt;&gt;0,TblTech[[#This Row],[Hour]:[Hour]]&gt;=R$2),1,0)</f>
        <v>0</v>
      </c>
      <c r="S114" s="276" cm="1">
        <f t="array" ref="S114">IF(AND(S$2&lt;&gt;0,TblTech[[#This Row],[Hour]:[Hour]]&gt;=S$2),1,0)</f>
        <v>0</v>
      </c>
      <c r="T114" s="276" cm="1">
        <f t="array" ref="T114">IF(AND(T$2&lt;&gt;0,TblTech[[#This Row],[Hour]:[Hour]]&gt;=T$2),1,0)</f>
        <v>0</v>
      </c>
      <c r="U114" s="276" cm="1">
        <f t="array" ref="U114">IF(AND(U$2&lt;&gt;0,TblTech[[#This Row],[Hour]:[Hour]]&gt;=U$2),1,0)</f>
        <v>0</v>
      </c>
      <c r="V114" s="276" cm="1">
        <f t="array" ref="V114">IF(AND(V$2&lt;&gt;0,TblTech[[#This Row],[Hour]:[Hour]]&gt;=V$2),1,0)</f>
        <v>0</v>
      </c>
      <c r="W114" s="276" cm="1">
        <f t="array" ref="W114">IF(AND(W$2&lt;&gt;0,TblTech[[#This Row],[Hour]:[Hour]]&gt;=W$2),1,0)</f>
        <v>0</v>
      </c>
      <c r="X114" s="276" cm="1">
        <f t="array" ref="X114">IF(AND(X$2&lt;&gt;0,TblTech[[#This Row],[Hour]:[Hour]]&gt;=X$2),1,0)</f>
        <v>0</v>
      </c>
      <c r="Y114" s="276" cm="1">
        <f t="array" ref="Y114">IF(AND(Y$2&lt;&gt;0,TblTech[[#This Row],[Hour]:[Hour]]&gt;=Y$2),1,0)</f>
        <v>0</v>
      </c>
      <c r="Z114" s="276" cm="1">
        <f t="array" ref="Z114">IF(AND(Z$2&lt;&gt;0,TblTech[[#This Row],[Hour]:[Hour]]&gt;=Z$2),1,0)</f>
        <v>0</v>
      </c>
      <c r="AA114" s="276" cm="1">
        <f t="array" ref="AA114">IF(AND(AA$2&lt;&gt;0,TblTech[[#This Row],[Hour]:[Hour]]&gt;=AA$2),1,0)</f>
        <v>0</v>
      </c>
      <c r="AB114" s="276" cm="1">
        <f t="array" ref="AB114">IF(AND(AB$2&lt;&gt;0,TblTech[[#This Row],[Hour]:[Hour]]&gt;=AB$2),1,0)</f>
        <v>0</v>
      </c>
      <c r="AC114" s="276" cm="1">
        <f t="array" ref="AC114">IF(AND(AC$2&lt;&gt;0,TblTech[[#This Row],[Hour]:[Hour]]&gt;=AC$2),1,0)</f>
        <v>0</v>
      </c>
      <c r="AD114" s="276" cm="1">
        <f t="array" ref="AD114">IF(AND(AD$2&lt;&gt;0,TblTech[[#This Row],[Hour]:[Hour]]&gt;=AD$2),1,0)</f>
        <v>0</v>
      </c>
      <c r="AE114" s="276" cm="1">
        <f t="array" ref="AE114">IF(AND(AE$2&lt;&gt;0,TblTech[[#This Row],[Hour]:[Hour]]&gt;=AE$2),1,0)</f>
        <v>0</v>
      </c>
      <c r="AF114" s="276" cm="1">
        <f t="array" ref="AF114">IF(AND(AF$2&lt;&gt;0,TblTech[[#This Row],[Hour]:[Hour]]&gt;=AF$2),1,0)</f>
        <v>0</v>
      </c>
      <c r="AG114" s="276" cm="1">
        <f t="array" ref="AG114">IF(AND(AG$2&lt;&gt;0,TblTech[[#This Row],[Hour]:[Hour]]&gt;=AG$2),1,0)</f>
        <v>0</v>
      </c>
      <c r="AH114" s="276" cm="1">
        <f t="array" ref="AH114">IF(AND(AH$2&lt;&gt;0,TblTech[[#This Row],[Hour]:[Hour]]&gt;=AH$2),1,0)</f>
        <v>0</v>
      </c>
      <c r="AI114" s="276" cm="1">
        <f t="array" ref="AI114">IF(AND(AI$2&lt;&gt;0,TblTech[[#This Row],[Hour]:[Hour]]&gt;=AI$2),1,0)</f>
        <v>0</v>
      </c>
      <c r="AJ114" s="276" cm="1">
        <f t="array" ref="AJ114">IF(AND(AJ$2&lt;&gt;0,TblTech[[#This Row],[Hour]:[Hour]]&gt;=AJ$2),1,0)</f>
        <v>0</v>
      </c>
      <c r="AK114" s="276" cm="1">
        <f t="array" ref="AK114">IF(AND(AK$2&lt;&gt;0,TblTech[[#This Row],[Hour]:[Hour]]&gt;=AK$2),1,0)</f>
        <v>0</v>
      </c>
      <c r="AL114" s="276" cm="1">
        <f t="array" ref="AL114">IF(AND(AL$2&lt;&gt;0,TblTech[[#This Row],[Hour]:[Hour]]&gt;=AL$2),1,0)</f>
        <v>0</v>
      </c>
      <c r="AM114" s="276" cm="1">
        <f t="array" ref="AM114">IF(AND(AM$2&lt;&gt;0,TblTech[[#This Row],[Hour]:[Hour]]&gt;=AM$2),1,0)</f>
        <v>0</v>
      </c>
      <c r="AN114" s="276" cm="1">
        <f t="array" ref="AN114">IF(AND(AN$2&lt;&gt;0,TblTech[[#This Row],[Hour]:[Hour]]&gt;=AN$2),1,0)</f>
        <v>0</v>
      </c>
      <c r="AO114" s="276" cm="1">
        <f t="array" ref="AO114">IF(AND(AO$2&lt;&gt;0,TblTech[[#This Row],[Hour]:[Hour]]&gt;=AO$2),1,0)</f>
        <v>0</v>
      </c>
      <c r="AP114" s="276" cm="1">
        <f t="array" ref="AP114">IF(AND(AP$2&lt;&gt;0,TblTech[[#This Row],[Hour]:[Hour]]&gt;=AP$2),1,0)</f>
        <v>0</v>
      </c>
      <c r="AQ114" s="276" cm="1">
        <f t="array" ref="AQ114">IF(AND(AQ$2&lt;&gt;0,TblTech[[#This Row],[Hour]:[Hour]]&gt;=AQ$2),1,0)</f>
        <v>0</v>
      </c>
      <c r="AR114" s="276" cm="1">
        <f t="array" ref="AR114">IF(AND(AR$2&lt;&gt;0,TblTech[[#This Row],[Hour]:[Hour]]&gt;=AR$2),1,0)</f>
        <v>0</v>
      </c>
      <c r="AS114" s="276" cm="1">
        <f t="array" ref="AS114">IF(AND(AS$2&lt;&gt;0,TblTech[[#This Row],[Hour]:[Hour]]&gt;=AS$2),1,0)</f>
        <v>0</v>
      </c>
      <c r="AT114" s="276" cm="1">
        <f t="array" ref="AT114">IF(AND(AT$2&lt;&gt;0,TblTech[[#This Row],[Hour]:[Hour]]&gt;=AT$2),1,0)</f>
        <v>0</v>
      </c>
      <c r="AU114" s="276" cm="1">
        <f t="array" ref="AU114">IF(AND(AU$2&lt;&gt;0,TblTech[[#This Row],[Hour]:[Hour]]&gt;=AU$2),1,0)</f>
        <v>0</v>
      </c>
      <c r="AV114" s="276" cm="1">
        <f t="array" ref="AV114">IF(AND(AV$2&lt;&gt;0,TblTech[[#This Row],[Hour]:[Hour]]&gt;=AV$2),1,0)</f>
        <v>0</v>
      </c>
      <c r="AW114" s="276" cm="1">
        <f t="array" ref="AW114">IF(AND(AW$2&lt;&gt;0,TblTech[[#This Row],[Hour]:[Hour]]&gt;=AW$2),1,0)</f>
        <v>0</v>
      </c>
      <c r="AX114" s="276" cm="1">
        <f t="array" ref="AX114">IF(AND(AX$2&lt;&gt;0,TblTech[[#This Row],[Hour]:[Hour]]&gt;=AX$2),1,0)</f>
        <v>0</v>
      </c>
      <c r="AY114" s="276" cm="1">
        <f t="array" ref="AY114">IF(AND(AY$2&lt;&gt;0,TblTech[[#This Row],[Hour]:[Hour]]&gt;=AY$2),1,0)</f>
        <v>0</v>
      </c>
      <c r="AZ114" s="276" cm="1">
        <f t="array" ref="AZ114">IF(AND(AZ$2&lt;&gt;0,TblTech[[#This Row],[Hour]:[Hour]]&gt;=AZ$2),1,0)</f>
        <v>0</v>
      </c>
      <c r="BA114" s="276" cm="1">
        <f t="array" ref="BA114">IF(AND(BA$2&lt;&gt;0,TblTech[[#This Row],[Hour]:[Hour]]&gt;=BA$2),1,0)</f>
        <v>0</v>
      </c>
      <c r="BB114" s="276" cm="1">
        <f t="array" ref="BB114">IF(AND(BB$2&lt;&gt;0,TblTech[[#This Row],[Hour]:[Hour]]&gt;=BB$2),1,0)</f>
        <v>0</v>
      </c>
      <c r="BC114" s="276" cm="1">
        <f t="array" ref="BC114">IF(AND(BC$2&lt;&gt;0,TblTech[[#This Row],[Hour]:[Hour]]&gt;=BC$2),1,0)</f>
        <v>0</v>
      </c>
      <c r="BD114" s="276" cm="1">
        <f t="array" ref="BD114">IF(AND(BD$2&lt;&gt;0,TblTech[[#This Row],[Hour]:[Hour]]&gt;=BD$2),1,0)</f>
        <v>0</v>
      </c>
      <c r="BE114" s="276" cm="1">
        <f t="array" ref="BE114">IF(AND(BE$2&lt;&gt;0,TblTech[[#This Row],[Hour]:[Hour]]&gt;=BE$2),1,0)</f>
        <v>0</v>
      </c>
      <c r="BF114" s="276" cm="1">
        <f t="array" ref="BF114">IF(AND(BF$2&lt;&gt;0,TblTech[[#This Row],[Hour]:[Hour]]&gt;=BF$2),1,0)</f>
        <v>0</v>
      </c>
      <c r="BG114" s="276" cm="1">
        <f t="array" ref="BG114">IF(AND(BG$2&lt;&gt;0,TblTech[[#This Row],[Hour]:[Hour]]&gt;=BG$2),1,0)</f>
        <v>0</v>
      </c>
      <c r="BH114" s="276" cm="1">
        <f t="array" ref="BH114">IF(AND(BH$2&lt;&gt;0,TblTech[[#This Row],[Hour]:[Hour]]&gt;=BH$2),1,0)</f>
        <v>0</v>
      </c>
      <c r="BI114" s="276" cm="1">
        <f t="array" ref="BI114">IF(AND(BI$2&lt;&gt;0,TblTech[[#This Row],[Hour]:[Hour]]&gt;=BI$2),1,0)</f>
        <v>0</v>
      </c>
      <c r="BJ114" s="276" cm="1">
        <f t="array" ref="BJ114">IF(AND(BJ$2&lt;&gt;0,TblTech[[#This Row],[Hour]:[Hour]]&gt;=BJ$2),1,0)</f>
        <v>0</v>
      </c>
      <c r="BK114" s="276" cm="1">
        <f t="array" ref="BK114">IF(AND(BK$2&lt;&gt;0,TblTech[[#This Row],[Hour]:[Hour]]&gt;=BK$2),1,0)</f>
        <v>0</v>
      </c>
      <c r="BL114" s="276" cm="1">
        <f t="array" ref="BL114">IF(AND(BL$2&lt;&gt;0,TblTech[[#This Row],[Hour]:[Hour]]&gt;=BL$2),1,0)</f>
        <v>0</v>
      </c>
      <c r="BM114" s="276" cm="1">
        <f t="array" ref="BM114">IF(AND(BM$2&lt;&gt;0,TblTech[[#This Row],[Hour]:[Hour]]&gt;=BM$2),1,0)</f>
        <v>0</v>
      </c>
      <c r="BN114" s="276" cm="1">
        <f t="array" ref="BN114">IF(AND(BN$2&lt;&gt;0,TblTech[[#This Row],[Hour]:[Hour]]&gt;=BN$2),1,0)</f>
        <v>0</v>
      </c>
      <c r="BO114" s="276" cm="1">
        <f t="array" ref="BO114">IF(AND(BO$2&lt;&gt;0,TblTech[[#This Row],[Hour]:[Hour]]&gt;=BO$2),1,0)</f>
        <v>0</v>
      </c>
      <c r="BP114" s="276" cm="1">
        <f t="array" ref="BP114">IF(AND(BP$2&lt;&gt;0,TblTech[[#This Row],[Hour]:[Hour]]&gt;=BP$2),1,0)</f>
        <v>0</v>
      </c>
      <c r="BQ114" s="276" cm="1">
        <f t="array" ref="BQ114">IF(AND(BQ$2&lt;&gt;0,TblTech[[#This Row],[Hour]:[Hour]]&gt;=BQ$2),1,0)</f>
        <v>0</v>
      </c>
      <c r="BR114" s="276" cm="1">
        <f t="array" ref="BR114">IF(AND(BR$2&lt;&gt;0,TblTech[[#This Row],[Hour]:[Hour]]&gt;=BR$2),1,0)</f>
        <v>0</v>
      </c>
      <c r="BS114" s="276" cm="1">
        <f t="array" ref="BS114">IF(AND(BS$2&lt;&gt;0,TblTech[[#This Row],[Hour]:[Hour]]&gt;=BS$2),1,0)</f>
        <v>0</v>
      </c>
      <c r="BT114" s="276" cm="1">
        <f t="array" ref="BT114">IF(AND(BT$2&lt;&gt;0,TblTech[[#This Row],[Hour]:[Hour]]&gt;=BT$2),1,0)</f>
        <v>0</v>
      </c>
      <c r="BU114" s="276" cm="1">
        <f t="array" ref="BU114">IF(AND(BU$2&lt;&gt;0,TblTech[[#This Row],[Hour]:[Hour]]&gt;=BU$2),1,0)</f>
        <v>0</v>
      </c>
      <c r="BV114" s="276" cm="1">
        <f t="array" ref="BV114">IF(AND(BV$2&lt;&gt;0,TblTech[[#This Row],[Hour]:[Hour]]&gt;=BV$2),1,0)</f>
        <v>0</v>
      </c>
      <c r="BW114" s="276" cm="1">
        <f t="array" ref="BW114">IF(AND(BW$2&lt;&gt;0,TblTech[[#This Row],[Hour]:[Hour]]&gt;=BW$2),1,0)</f>
        <v>0</v>
      </c>
      <c r="BX114" s="276" cm="1">
        <f t="array" ref="BX114">IF(AND(BX$2&lt;&gt;0,TblTech[[#This Row],[Hour]:[Hour]]&gt;=BX$2),1,0)</f>
        <v>0</v>
      </c>
      <c r="BY114" s="276" cm="1">
        <f t="array" ref="BY114">IF(AND(BY$2&lt;&gt;0,TblTech[[#This Row],[Hour]:[Hour]]&gt;=BY$2),1,0)</f>
        <v>0</v>
      </c>
      <c r="BZ114" s="276" cm="1">
        <f t="array" ref="BZ114">IF(AND(BZ$2&lt;&gt;0,TblTech[[#This Row],[Hour]:[Hour]]&gt;=BZ$2),1,0)</f>
        <v>0</v>
      </c>
      <c r="CA114" s="377">
        <f>IFERROR(INDEX($H$4:$H$79,MATCH(INDEX(TblTech[[#Headers],[1-1]:[11-1]],1,MATCH(TblTech[[#This Row],[Hour]],$M$2:$BZ$2,0)),$G$4:$G$79,0)),)</f>
        <v>0</v>
      </c>
    </row>
    <row r="115" spans="1:79" x14ac:dyDescent="0.2">
      <c r="A115" s="268">
        <f>TblRezone[[#This Row],[Hour]]</f>
        <v>112</v>
      </c>
      <c r="B115" s="269">
        <f ca="1">TblExplore[[#This Row],[Land-DB]]</f>
        <v>110</v>
      </c>
      <c r="C115" s="270">
        <f ca="1">TblProd[[#This Row],[Techpoints]]</f>
        <v>0</v>
      </c>
      <c r="D115" s="270">
        <f ca="1">TblProd[[#This Row],[Required]]</f>
        <v>3750</v>
      </c>
      <c r="E115" s="279"/>
      <c r="F115" s="280"/>
      <c r="G115" s="273"/>
      <c r="H115" s="274"/>
      <c r="I115" s="274"/>
      <c r="J115" s="274"/>
      <c r="K115" s="93">
        <f ca="1">IF(TblTech[[#This Row],[Sum of tech]]&lt;&gt;OFFSET(TblTech[[#This Row],[Sum of tech]],-1,0),1,0)</f>
        <v>0</v>
      </c>
      <c r="L115" s="275">
        <f>COUNTIF(TblTech[[#This Row],[1-1]:[11-1]],1)</f>
        <v>0</v>
      </c>
      <c r="M115" s="276" cm="1">
        <f t="array" ref="M115">IF(AND(M$2&lt;&gt;0,TblTech[[#This Row],[Hour]:[Hour]]&gt;=M$2),1,0)</f>
        <v>0</v>
      </c>
      <c r="N115" s="276" cm="1">
        <f t="array" ref="N115">IF(AND(N$2&lt;&gt;0,TblTech[[#This Row],[Hour]:[Hour]]&gt;=N$2),1,0)</f>
        <v>0</v>
      </c>
      <c r="O115" s="276" cm="1">
        <f t="array" ref="O115">IF(AND(O$2&lt;&gt;0,TblTech[[#This Row],[Hour]:[Hour]]&gt;=O$2),1,0)</f>
        <v>0</v>
      </c>
      <c r="P115" s="276" cm="1">
        <f t="array" ref="P115">IF(AND(P$2&lt;&gt;0,TblTech[[#This Row],[Hour]:[Hour]]&gt;=P$2),1,0)</f>
        <v>0</v>
      </c>
      <c r="Q115" s="276" cm="1">
        <f t="array" ref="Q115">IF(AND(Q$2&lt;&gt;0,TblTech[[#This Row],[Hour]:[Hour]]&gt;=Q$2),1,0)</f>
        <v>0</v>
      </c>
      <c r="R115" s="276" cm="1">
        <f t="array" ref="R115">IF(AND(R$2&lt;&gt;0,TblTech[[#This Row],[Hour]:[Hour]]&gt;=R$2),1,0)</f>
        <v>0</v>
      </c>
      <c r="S115" s="276" cm="1">
        <f t="array" ref="S115">IF(AND(S$2&lt;&gt;0,TblTech[[#This Row],[Hour]:[Hour]]&gt;=S$2),1,0)</f>
        <v>0</v>
      </c>
      <c r="T115" s="276" cm="1">
        <f t="array" ref="T115">IF(AND(T$2&lt;&gt;0,TblTech[[#This Row],[Hour]:[Hour]]&gt;=T$2),1,0)</f>
        <v>0</v>
      </c>
      <c r="U115" s="276" cm="1">
        <f t="array" ref="U115">IF(AND(U$2&lt;&gt;0,TblTech[[#This Row],[Hour]:[Hour]]&gt;=U$2),1,0)</f>
        <v>0</v>
      </c>
      <c r="V115" s="276" cm="1">
        <f t="array" ref="V115">IF(AND(V$2&lt;&gt;0,TblTech[[#This Row],[Hour]:[Hour]]&gt;=V$2),1,0)</f>
        <v>0</v>
      </c>
      <c r="W115" s="276" cm="1">
        <f t="array" ref="W115">IF(AND(W$2&lt;&gt;0,TblTech[[#This Row],[Hour]:[Hour]]&gt;=W$2),1,0)</f>
        <v>0</v>
      </c>
      <c r="X115" s="276" cm="1">
        <f t="array" ref="X115">IF(AND(X$2&lt;&gt;0,TblTech[[#This Row],[Hour]:[Hour]]&gt;=X$2),1,0)</f>
        <v>0</v>
      </c>
      <c r="Y115" s="276" cm="1">
        <f t="array" ref="Y115">IF(AND(Y$2&lt;&gt;0,TblTech[[#This Row],[Hour]:[Hour]]&gt;=Y$2),1,0)</f>
        <v>0</v>
      </c>
      <c r="Z115" s="276" cm="1">
        <f t="array" ref="Z115">IF(AND(Z$2&lt;&gt;0,TblTech[[#This Row],[Hour]:[Hour]]&gt;=Z$2),1,0)</f>
        <v>0</v>
      </c>
      <c r="AA115" s="276" cm="1">
        <f t="array" ref="AA115">IF(AND(AA$2&lt;&gt;0,TblTech[[#This Row],[Hour]:[Hour]]&gt;=AA$2),1,0)</f>
        <v>0</v>
      </c>
      <c r="AB115" s="276" cm="1">
        <f t="array" ref="AB115">IF(AND(AB$2&lt;&gt;0,TblTech[[#This Row],[Hour]:[Hour]]&gt;=AB$2),1,0)</f>
        <v>0</v>
      </c>
      <c r="AC115" s="276" cm="1">
        <f t="array" ref="AC115">IF(AND(AC$2&lt;&gt;0,TblTech[[#This Row],[Hour]:[Hour]]&gt;=AC$2),1,0)</f>
        <v>0</v>
      </c>
      <c r="AD115" s="276" cm="1">
        <f t="array" ref="AD115">IF(AND(AD$2&lt;&gt;0,TblTech[[#This Row],[Hour]:[Hour]]&gt;=AD$2),1,0)</f>
        <v>0</v>
      </c>
      <c r="AE115" s="276" cm="1">
        <f t="array" ref="AE115">IF(AND(AE$2&lt;&gt;0,TblTech[[#This Row],[Hour]:[Hour]]&gt;=AE$2),1,0)</f>
        <v>0</v>
      </c>
      <c r="AF115" s="276" cm="1">
        <f t="array" ref="AF115">IF(AND(AF$2&lt;&gt;0,TblTech[[#This Row],[Hour]:[Hour]]&gt;=AF$2),1,0)</f>
        <v>0</v>
      </c>
      <c r="AG115" s="276" cm="1">
        <f t="array" ref="AG115">IF(AND(AG$2&lt;&gt;0,TblTech[[#This Row],[Hour]:[Hour]]&gt;=AG$2),1,0)</f>
        <v>0</v>
      </c>
      <c r="AH115" s="276" cm="1">
        <f t="array" ref="AH115">IF(AND(AH$2&lt;&gt;0,TblTech[[#This Row],[Hour]:[Hour]]&gt;=AH$2),1,0)</f>
        <v>0</v>
      </c>
      <c r="AI115" s="276" cm="1">
        <f t="array" ref="AI115">IF(AND(AI$2&lt;&gt;0,TblTech[[#This Row],[Hour]:[Hour]]&gt;=AI$2),1,0)</f>
        <v>0</v>
      </c>
      <c r="AJ115" s="276" cm="1">
        <f t="array" ref="AJ115">IF(AND(AJ$2&lt;&gt;0,TblTech[[#This Row],[Hour]:[Hour]]&gt;=AJ$2),1,0)</f>
        <v>0</v>
      </c>
      <c r="AK115" s="276" cm="1">
        <f t="array" ref="AK115">IF(AND(AK$2&lt;&gt;0,TblTech[[#This Row],[Hour]:[Hour]]&gt;=AK$2),1,0)</f>
        <v>0</v>
      </c>
      <c r="AL115" s="276" cm="1">
        <f t="array" ref="AL115">IF(AND(AL$2&lt;&gt;0,TblTech[[#This Row],[Hour]:[Hour]]&gt;=AL$2),1,0)</f>
        <v>0</v>
      </c>
      <c r="AM115" s="276" cm="1">
        <f t="array" ref="AM115">IF(AND(AM$2&lt;&gt;0,TblTech[[#This Row],[Hour]:[Hour]]&gt;=AM$2),1,0)</f>
        <v>0</v>
      </c>
      <c r="AN115" s="276" cm="1">
        <f t="array" ref="AN115">IF(AND(AN$2&lt;&gt;0,TblTech[[#This Row],[Hour]:[Hour]]&gt;=AN$2),1,0)</f>
        <v>0</v>
      </c>
      <c r="AO115" s="276" cm="1">
        <f t="array" ref="AO115">IF(AND(AO$2&lt;&gt;0,TblTech[[#This Row],[Hour]:[Hour]]&gt;=AO$2),1,0)</f>
        <v>0</v>
      </c>
      <c r="AP115" s="276" cm="1">
        <f t="array" ref="AP115">IF(AND(AP$2&lt;&gt;0,TblTech[[#This Row],[Hour]:[Hour]]&gt;=AP$2),1,0)</f>
        <v>0</v>
      </c>
      <c r="AQ115" s="276" cm="1">
        <f t="array" ref="AQ115">IF(AND(AQ$2&lt;&gt;0,TblTech[[#This Row],[Hour]:[Hour]]&gt;=AQ$2),1,0)</f>
        <v>0</v>
      </c>
      <c r="AR115" s="276" cm="1">
        <f t="array" ref="AR115">IF(AND(AR$2&lt;&gt;0,TblTech[[#This Row],[Hour]:[Hour]]&gt;=AR$2),1,0)</f>
        <v>0</v>
      </c>
      <c r="AS115" s="276" cm="1">
        <f t="array" ref="AS115">IF(AND(AS$2&lt;&gt;0,TblTech[[#This Row],[Hour]:[Hour]]&gt;=AS$2),1,0)</f>
        <v>0</v>
      </c>
      <c r="AT115" s="276" cm="1">
        <f t="array" ref="AT115">IF(AND(AT$2&lt;&gt;0,TblTech[[#This Row],[Hour]:[Hour]]&gt;=AT$2),1,0)</f>
        <v>0</v>
      </c>
      <c r="AU115" s="276" cm="1">
        <f t="array" ref="AU115">IF(AND(AU$2&lt;&gt;0,TblTech[[#This Row],[Hour]:[Hour]]&gt;=AU$2),1,0)</f>
        <v>0</v>
      </c>
      <c r="AV115" s="276" cm="1">
        <f t="array" ref="AV115">IF(AND(AV$2&lt;&gt;0,TblTech[[#This Row],[Hour]:[Hour]]&gt;=AV$2),1,0)</f>
        <v>0</v>
      </c>
      <c r="AW115" s="276" cm="1">
        <f t="array" ref="AW115">IF(AND(AW$2&lt;&gt;0,TblTech[[#This Row],[Hour]:[Hour]]&gt;=AW$2),1,0)</f>
        <v>0</v>
      </c>
      <c r="AX115" s="276" cm="1">
        <f t="array" ref="AX115">IF(AND(AX$2&lt;&gt;0,TblTech[[#This Row],[Hour]:[Hour]]&gt;=AX$2),1,0)</f>
        <v>0</v>
      </c>
      <c r="AY115" s="276" cm="1">
        <f t="array" ref="AY115">IF(AND(AY$2&lt;&gt;0,TblTech[[#This Row],[Hour]:[Hour]]&gt;=AY$2),1,0)</f>
        <v>0</v>
      </c>
      <c r="AZ115" s="276" cm="1">
        <f t="array" ref="AZ115">IF(AND(AZ$2&lt;&gt;0,TblTech[[#This Row],[Hour]:[Hour]]&gt;=AZ$2),1,0)</f>
        <v>0</v>
      </c>
      <c r="BA115" s="276" cm="1">
        <f t="array" ref="BA115">IF(AND(BA$2&lt;&gt;0,TblTech[[#This Row],[Hour]:[Hour]]&gt;=BA$2),1,0)</f>
        <v>0</v>
      </c>
      <c r="BB115" s="276" cm="1">
        <f t="array" ref="BB115">IF(AND(BB$2&lt;&gt;0,TblTech[[#This Row],[Hour]:[Hour]]&gt;=BB$2),1,0)</f>
        <v>0</v>
      </c>
      <c r="BC115" s="276" cm="1">
        <f t="array" ref="BC115">IF(AND(BC$2&lt;&gt;0,TblTech[[#This Row],[Hour]:[Hour]]&gt;=BC$2),1,0)</f>
        <v>0</v>
      </c>
      <c r="BD115" s="276" cm="1">
        <f t="array" ref="BD115">IF(AND(BD$2&lt;&gt;0,TblTech[[#This Row],[Hour]:[Hour]]&gt;=BD$2),1,0)</f>
        <v>0</v>
      </c>
      <c r="BE115" s="276" cm="1">
        <f t="array" ref="BE115">IF(AND(BE$2&lt;&gt;0,TblTech[[#This Row],[Hour]:[Hour]]&gt;=BE$2),1,0)</f>
        <v>0</v>
      </c>
      <c r="BF115" s="276" cm="1">
        <f t="array" ref="BF115">IF(AND(BF$2&lt;&gt;0,TblTech[[#This Row],[Hour]:[Hour]]&gt;=BF$2),1,0)</f>
        <v>0</v>
      </c>
      <c r="BG115" s="276" cm="1">
        <f t="array" ref="BG115">IF(AND(BG$2&lt;&gt;0,TblTech[[#This Row],[Hour]:[Hour]]&gt;=BG$2),1,0)</f>
        <v>0</v>
      </c>
      <c r="BH115" s="276" cm="1">
        <f t="array" ref="BH115">IF(AND(BH$2&lt;&gt;0,TblTech[[#This Row],[Hour]:[Hour]]&gt;=BH$2),1,0)</f>
        <v>0</v>
      </c>
      <c r="BI115" s="276" cm="1">
        <f t="array" ref="BI115">IF(AND(BI$2&lt;&gt;0,TblTech[[#This Row],[Hour]:[Hour]]&gt;=BI$2),1,0)</f>
        <v>0</v>
      </c>
      <c r="BJ115" s="276" cm="1">
        <f t="array" ref="BJ115">IF(AND(BJ$2&lt;&gt;0,TblTech[[#This Row],[Hour]:[Hour]]&gt;=BJ$2),1,0)</f>
        <v>0</v>
      </c>
      <c r="BK115" s="276" cm="1">
        <f t="array" ref="BK115">IF(AND(BK$2&lt;&gt;0,TblTech[[#This Row],[Hour]:[Hour]]&gt;=BK$2),1,0)</f>
        <v>0</v>
      </c>
      <c r="BL115" s="276" cm="1">
        <f t="array" ref="BL115">IF(AND(BL$2&lt;&gt;0,TblTech[[#This Row],[Hour]:[Hour]]&gt;=BL$2),1,0)</f>
        <v>0</v>
      </c>
      <c r="BM115" s="276" cm="1">
        <f t="array" ref="BM115">IF(AND(BM$2&lt;&gt;0,TblTech[[#This Row],[Hour]:[Hour]]&gt;=BM$2),1,0)</f>
        <v>0</v>
      </c>
      <c r="BN115" s="276" cm="1">
        <f t="array" ref="BN115">IF(AND(BN$2&lt;&gt;0,TblTech[[#This Row],[Hour]:[Hour]]&gt;=BN$2),1,0)</f>
        <v>0</v>
      </c>
      <c r="BO115" s="276" cm="1">
        <f t="array" ref="BO115">IF(AND(BO$2&lt;&gt;0,TblTech[[#This Row],[Hour]:[Hour]]&gt;=BO$2),1,0)</f>
        <v>0</v>
      </c>
      <c r="BP115" s="276" cm="1">
        <f t="array" ref="BP115">IF(AND(BP$2&lt;&gt;0,TblTech[[#This Row],[Hour]:[Hour]]&gt;=BP$2),1,0)</f>
        <v>0</v>
      </c>
      <c r="BQ115" s="276" cm="1">
        <f t="array" ref="BQ115">IF(AND(BQ$2&lt;&gt;0,TblTech[[#This Row],[Hour]:[Hour]]&gt;=BQ$2),1,0)</f>
        <v>0</v>
      </c>
      <c r="BR115" s="276" cm="1">
        <f t="array" ref="BR115">IF(AND(BR$2&lt;&gt;0,TblTech[[#This Row],[Hour]:[Hour]]&gt;=BR$2),1,0)</f>
        <v>0</v>
      </c>
      <c r="BS115" s="276" cm="1">
        <f t="array" ref="BS115">IF(AND(BS$2&lt;&gt;0,TblTech[[#This Row],[Hour]:[Hour]]&gt;=BS$2),1,0)</f>
        <v>0</v>
      </c>
      <c r="BT115" s="276" cm="1">
        <f t="array" ref="BT115">IF(AND(BT$2&lt;&gt;0,TblTech[[#This Row],[Hour]:[Hour]]&gt;=BT$2),1,0)</f>
        <v>0</v>
      </c>
      <c r="BU115" s="276" cm="1">
        <f t="array" ref="BU115">IF(AND(BU$2&lt;&gt;0,TblTech[[#This Row],[Hour]:[Hour]]&gt;=BU$2),1,0)</f>
        <v>0</v>
      </c>
      <c r="BV115" s="276" cm="1">
        <f t="array" ref="BV115">IF(AND(BV$2&lt;&gt;0,TblTech[[#This Row],[Hour]:[Hour]]&gt;=BV$2),1,0)</f>
        <v>0</v>
      </c>
      <c r="BW115" s="276" cm="1">
        <f t="array" ref="BW115">IF(AND(BW$2&lt;&gt;0,TblTech[[#This Row],[Hour]:[Hour]]&gt;=BW$2),1,0)</f>
        <v>0</v>
      </c>
      <c r="BX115" s="276" cm="1">
        <f t="array" ref="BX115">IF(AND(BX$2&lt;&gt;0,TblTech[[#This Row],[Hour]:[Hour]]&gt;=BX$2),1,0)</f>
        <v>0</v>
      </c>
      <c r="BY115" s="276" cm="1">
        <f t="array" ref="BY115">IF(AND(BY$2&lt;&gt;0,TblTech[[#This Row],[Hour]:[Hour]]&gt;=BY$2),1,0)</f>
        <v>0</v>
      </c>
      <c r="BZ115" s="276" cm="1">
        <f t="array" ref="BZ115">IF(AND(BZ$2&lt;&gt;0,TblTech[[#This Row],[Hour]:[Hour]]&gt;=BZ$2),1,0)</f>
        <v>0</v>
      </c>
      <c r="CA115" s="377">
        <f>IFERROR(INDEX($H$4:$H$79,MATCH(INDEX(TblTech[[#Headers],[1-1]:[11-1]],1,MATCH(TblTech[[#This Row],[Hour]],$M$2:$BZ$2,0)),$G$4:$G$79,0)),)</f>
        <v>0</v>
      </c>
    </row>
    <row r="116" spans="1:79" x14ac:dyDescent="0.2">
      <c r="A116" s="268">
        <f>TblRezone[[#This Row],[Hour]]</f>
        <v>113</v>
      </c>
      <c r="B116" s="269">
        <f ca="1">TblExplore[[#This Row],[Land-DB]]</f>
        <v>110</v>
      </c>
      <c r="C116" s="270">
        <f ca="1">TblProd[[#This Row],[Techpoints]]</f>
        <v>0</v>
      </c>
      <c r="D116" s="270">
        <f ca="1">TblProd[[#This Row],[Required]]</f>
        <v>3750</v>
      </c>
      <c r="E116" s="279"/>
      <c r="F116" s="280"/>
      <c r="G116" s="273"/>
      <c r="H116" s="274"/>
      <c r="I116" s="274"/>
      <c r="J116" s="274"/>
      <c r="K116" s="93">
        <f ca="1">IF(TblTech[[#This Row],[Sum of tech]]&lt;&gt;OFFSET(TblTech[[#This Row],[Sum of tech]],-1,0),1,0)</f>
        <v>0</v>
      </c>
      <c r="L116" s="275">
        <f>COUNTIF(TblTech[[#This Row],[1-1]:[11-1]],1)</f>
        <v>0</v>
      </c>
      <c r="M116" s="276" cm="1">
        <f t="array" ref="M116">IF(AND(M$2&lt;&gt;0,TblTech[[#This Row],[Hour]:[Hour]]&gt;=M$2),1,0)</f>
        <v>0</v>
      </c>
      <c r="N116" s="276" cm="1">
        <f t="array" ref="N116">IF(AND(N$2&lt;&gt;0,TblTech[[#This Row],[Hour]:[Hour]]&gt;=N$2),1,0)</f>
        <v>0</v>
      </c>
      <c r="O116" s="276" cm="1">
        <f t="array" ref="O116">IF(AND(O$2&lt;&gt;0,TblTech[[#This Row],[Hour]:[Hour]]&gt;=O$2),1,0)</f>
        <v>0</v>
      </c>
      <c r="P116" s="276" cm="1">
        <f t="array" ref="P116">IF(AND(P$2&lt;&gt;0,TblTech[[#This Row],[Hour]:[Hour]]&gt;=P$2),1,0)</f>
        <v>0</v>
      </c>
      <c r="Q116" s="276" cm="1">
        <f t="array" ref="Q116">IF(AND(Q$2&lt;&gt;0,TblTech[[#This Row],[Hour]:[Hour]]&gt;=Q$2),1,0)</f>
        <v>0</v>
      </c>
      <c r="R116" s="276" cm="1">
        <f t="array" ref="R116">IF(AND(R$2&lt;&gt;0,TblTech[[#This Row],[Hour]:[Hour]]&gt;=R$2),1,0)</f>
        <v>0</v>
      </c>
      <c r="S116" s="276" cm="1">
        <f t="array" ref="S116">IF(AND(S$2&lt;&gt;0,TblTech[[#This Row],[Hour]:[Hour]]&gt;=S$2),1,0)</f>
        <v>0</v>
      </c>
      <c r="T116" s="276" cm="1">
        <f t="array" ref="T116">IF(AND(T$2&lt;&gt;0,TblTech[[#This Row],[Hour]:[Hour]]&gt;=T$2),1,0)</f>
        <v>0</v>
      </c>
      <c r="U116" s="276" cm="1">
        <f t="array" ref="U116">IF(AND(U$2&lt;&gt;0,TblTech[[#This Row],[Hour]:[Hour]]&gt;=U$2),1,0)</f>
        <v>0</v>
      </c>
      <c r="V116" s="276" cm="1">
        <f t="array" ref="V116">IF(AND(V$2&lt;&gt;0,TblTech[[#This Row],[Hour]:[Hour]]&gt;=V$2),1,0)</f>
        <v>0</v>
      </c>
      <c r="W116" s="276" cm="1">
        <f t="array" ref="W116">IF(AND(W$2&lt;&gt;0,TblTech[[#This Row],[Hour]:[Hour]]&gt;=W$2),1,0)</f>
        <v>0</v>
      </c>
      <c r="X116" s="276" cm="1">
        <f t="array" ref="X116">IF(AND(X$2&lt;&gt;0,TblTech[[#This Row],[Hour]:[Hour]]&gt;=X$2),1,0)</f>
        <v>0</v>
      </c>
      <c r="Y116" s="276" cm="1">
        <f t="array" ref="Y116">IF(AND(Y$2&lt;&gt;0,TblTech[[#This Row],[Hour]:[Hour]]&gt;=Y$2),1,0)</f>
        <v>0</v>
      </c>
      <c r="Z116" s="276" cm="1">
        <f t="array" ref="Z116">IF(AND(Z$2&lt;&gt;0,TblTech[[#This Row],[Hour]:[Hour]]&gt;=Z$2),1,0)</f>
        <v>0</v>
      </c>
      <c r="AA116" s="276" cm="1">
        <f t="array" ref="AA116">IF(AND(AA$2&lt;&gt;0,TblTech[[#This Row],[Hour]:[Hour]]&gt;=AA$2),1,0)</f>
        <v>0</v>
      </c>
      <c r="AB116" s="276" cm="1">
        <f t="array" ref="AB116">IF(AND(AB$2&lt;&gt;0,TblTech[[#This Row],[Hour]:[Hour]]&gt;=AB$2),1,0)</f>
        <v>0</v>
      </c>
      <c r="AC116" s="276" cm="1">
        <f t="array" ref="AC116">IF(AND(AC$2&lt;&gt;0,TblTech[[#This Row],[Hour]:[Hour]]&gt;=AC$2),1,0)</f>
        <v>0</v>
      </c>
      <c r="AD116" s="276" cm="1">
        <f t="array" ref="AD116">IF(AND(AD$2&lt;&gt;0,TblTech[[#This Row],[Hour]:[Hour]]&gt;=AD$2),1,0)</f>
        <v>0</v>
      </c>
      <c r="AE116" s="276" cm="1">
        <f t="array" ref="AE116">IF(AND(AE$2&lt;&gt;0,TblTech[[#This Row],[Hour]:[Hour]]&gt;=AE$2),1,0)</f>
        <v>0</v>
      </c>
      <c r="AF116" s="276" cm="1">
        <f t="array" ref="AF116">IF(AND(AF$2&lt;&gt;0,TblTech[[#This Row],[Hour]:[Hour]]&gt;=AF$2),1,0)</f>
        <v>0</v>
      </c>
      <c r="AG116" s="276" cm="1">
        <f t="array" ref="AG116">IF(AND(AG$2&lt;&gt;0,TblTech[[#This Row],[Hour]:[Hour]]&gt;=AG$2),1,0)</f>
        <v>0</v>
      </c>
      <c r="AH116" s="276" cm="1">
        <f t="array" ref="AH116">IF(AND(AH$2&lt;&gt;0,TblTech[[#This Row],[Hour]:[Hour]]&gt;=AH$2),1,0)</f>
        <v>0</v>
      </c>
      <c r="AI116" s="276" cm="1">
        <f t="array" ref="AI116">IF(AND(AI$2&lt;&gt;0,TblTech[[#This Row],[Hour]:[Hour]]&gt;=AI$2),1,0)</f>
        <v>0</v>
      </c>
      <c r="AJ116" s="276" cm="1">
        <f t="array" ref="AJ116">IF(AND(AJ$2&lt;&gt;0,TblTech[[#This Row],[Hour]:[Hour]]&gt;=AJ$2),1,0)</f>
        <v>0</v>
      </c>
      <c r="AK116" s="276" cm="1">
        <f t="array" ref="AK116">IF(AND(AK$2&lt;&gt;0,TblTech[[#This Row],[Hour]:[Hour]]&gt;=AK$2),1,0)</f>
        <v>0</v>
      </c>
      <c r="AL116" s="276" cm="1">
        <f t="array" ref="AL116">IF(AND(AL$2&lt;&gt;0,TblTech[[#This Row],[Hour]:[Hour]]&gt;=AL$2),1,0)</f>
        <v>0</v>
      </c>
      <c r="AM116" s="276" cm="1">
        <f t="array" ref="AM116">IF(AND(AM$2&lt;&gt;0,TblTech[[#This Row],[Hour]:[Hour]]&gt;=AM$2),1,0)</f>
        <v>0</v>
      </c>
      <c r="AN116" s="276" cm="1">
        <f t="array" ref="AN116">IF(AND(AN$2&lt;&gt;0,TblTech[[#This Row],[Hour]:[Hour]]&gt;=AN$2),1,0)</f>
        <v>0</v>
      </c>
      <c r="AO116" s="276" cm="1">
        <f t="array" ref="AO116">IF(AND(AO$2&lt;&gt;0,TblTech[[#This Row],[Hour]:[Hour]]&gt;=AO$2),1,0)</f>
        <v>0</v>
      </c>
      <c r="AP116" s="276" cm="1">
        <f t="array" ref="AP116">IF(AND(AP$2&lt;&gt;0,TblTech[[#This Row],[Hour]:[Hour]]&gt;=AP$2),1,0)</f>
        <v>0</v>
      </c>
      <c r="AQ116" s="276" cm="1">
        <f t="array" ref="AQ116">IF(AND(AQ$2&lt;&gt;0,TblTech[[#This Row],[Hour]:[Hour]]&gt;=AQ$2),1,0)</f>
        <v>0</v>
      </c>
      <c r="AR116" s="276" cm="1">
        <f t="array" ref="AR116">IF(AND(AR$2&lt;&gt;0,TblTech[[#This Row],[Hour]:[Hour]]&gt;=AR$2),1,0)</f>
        <v>0</v>
      </c>
      <c r="AS116" s="276" cm="1">
        <f t="array" ref="AS116">IF(AND(AS$2&lt;&gt;0,TblTech[[#This Row],[Hour]:[Hour]]&gt;=AS$2),1,0)</f>
        <v>0</v>
      </c>
      <c r="AT116" s="276" cm="1">
        <f t="array" ref="AT116">IF(AND(AT$2&lt;&gt;0,TblTech[[#This Row],[Hour]:[Hour]]&gt;=AT$2),1,0)</f>
        <v>0</v>
      </c>
      <c r="AU116" s="276" cm="1">
        <f t="array" ref="AU116">IF(AND(AU$2&lt;&gt;0,TblTech[[#This Row],[Hour]:[Hour]]&gt;=AU$2),1,0)</f>
        <v>0</v>
      </c>
      <c r="AV116" s="276" cm="1">
        <f t="array" ref="AV116">IF(AND(AV$2&lt;&gt;0,TblTech[[#This Row],[Hour]:[Hour]]&gt;=AV$2),1,0)</f>
        <v>0</v>
      </c>
      <c r="AW116" s="276" cm="1">
        <f t="array" ref="AW116">IF(AND(AW$2&lt;&gt;0,TblTech[[#This Row],[Hour]:[Hour]]&gt;=AW$2),1,0)</f>
        <v>0</v>
      </c>
      <c r="AX116" s="276" cm="1">
        <f t="array" ref="AX116">IF(AND(AX$2&lt;&gt;0,TblTech[[#This Row],[Hour]:[Hour]]&gt;=AX$2),1,0)</f>
        <v>0</v>
      </c>
      <c r="AY116" s="276" cm="1">
        <f t="array" ref="AY116">IF(AND(AY$2&lt;&gt;0,TblTech[[#This Row],[Hour]:[Hour]]&gt;=AY$2),1,0)</f>
        <v>0</v>
      </c>
      <c r="AZ116" s="276" cm="1">
        <f t="array" ref="AZ116">IF(AND(AZ$2&lt;&gt;0,TblTech[[#This Row],[Hour]:[Hour]]&gt;=AZ$2),1,0)</f>
        <v>0</v>
      </c>
      <c r="BA116" s="276" cm="1">
        <f t="array" ref="BA116">IF(AND(BA$2&lt;&gt;0,TblTech[[#This Row],[Hour]:[Hour]]&gt;=BA$2),1,0)</f>
        <v>0</v>
      </c>
      <c r="BB116" s="276" cm="1">
        <f t="array" ref="BB116">IF(AND(BB$2&lt;&gt;0,TblTech[[#This Row],[Hour]:[Hour]]&gt;=BB$2),1,0)</f>
        <v>0</v>
      </c>
      <c r="BC116" s="276" cm="1">
        <f t="array" ref="BC116">IF(AND(BC$2&lt;&gt;0,TblTech[[#This Row],[Hour]:[Hour]]&gt;=BC$2),1,0)</f>
        <v>0</v>
      </c>
      <c r="BD116" s="276" cm="1">
        <f t="array" ref="BD116">IF(AND(BD$2&lt;&gt;0,TblTech[[#This Row],[Hour]:[Hour]]&gt;=BD$2),1,0)</f>
        <v>0</v>
      </c>
      <c r="BE116" s="276" cm="1">
        <f t="array" ref="BE116">IF(AND(BE$2&lt;&gt;0,TblTech[[#This Row],[Hour]:[Hour]]&gt;=BE$2),1,0)</f>
        <v>0</v>
      </c>
      <c r="BF116" s="276" cm="1">
        <f t="array" ref="BF116">IF(AND(BF$2&lt;&gt;0,TblTech[[#This Row],[Hour]:[Hour]]&gt;=BF$2),1,0)</f>
        <v>0</v>
      </c>
      <c r="BG116" s="276" cm="1">
        <f t="array" ref="BG116">IF(AND(BG$2&lt;&gt;0,TblTech[[#This Row],[Hour]:[Hour]]&gt;=BG$2),1,0)</f>
        <v>0</v>
      </c>
      <c r="BH116" s="276" cm="1">
        <f t="array" ref="BH116">IF(AND(BH$2&lt;&gt;0,TblTech[[#This Row],[Hour]:[Hour]]&gt;=BH$2),1,0)</f>
        <v>0</v>
      </c>
      <c r="BI116" s="276" cm="1">
        <f t="array" ref="BI116">IF(AND(BI$2&lt;&gt;0,TblTech[[#This Row],[Hour]:[Hour]]&gt;=BI$2),1,0)</f>
        <v>0</v>
      </c>
      <c r="BJ116" s="276" cm="1">
        <f t="array" ref="BJ116">IF(AND(BJ$2&lt;&gt;0,TblTech[[#This Row],[Hour]:[Hour]]&gt;=BJ$2),1,0)</f>
        <v>0</v>
      </c>
      <c r="BK116" s="276" cm="1">
        <f t="array" ref="BK116">IF(AND(BK$2&lt;&gt;0,TblTech[[#This Row],[Hour]:[Hour]]&gt;=BK$2),1,0)</f>
        <v>0</v>
      </c>
      <c r="BL116" s="276" cm="1">
        <f t="array" ref="BL116">IF(AND(BL$2&lt;&gt;0,TblTech[[#This Row],[Hour]:[Hour]]&gt;=BL$2),1,0)</f>
        <v>0</v>
      </c>
      <c r="BM116" s="276" cm="1">
        <f t="array" ref="BM116">IF(AND(BM$2&lt;&gt;0,TblTech[[#This Row],[Hour]:[Hour]]&gt;=BM$2),1,0)</f>
        <v>0</v>
      </c>
      <c r="BN116" s="276" cm="1">
        <f t="array" ref="BN116">IF(AND(BN$2&lt;&gt;0,TblTech[[#This Row],[Hour]:[Hour]]&gt;=BN$2),1,0)</f>
        <v>0</v>
      </c>
      <c r="BO116" s="276" cm="1">
        <f t="array" ref="BO116">IF(AND(BO$2&lt;&gt;0,TblTech[[#This Row],[Hour]:[Hour]]&gt;=BO$2),1,0)</f>
        <v>0</v>
      </c>
      <c r="BP116" s="276" cm="1">
        <f t="array" ref="BP116">IF(AND(BP$2&lt;&gt;0,TblTech[[#This Row],[Hour]:[Hour]]&gt;=BP$2),1,0)</f>
        <v>0</v>
      </c>
      <c r="BQ116" s="276" cm="1">
        <f t="array" ref="BQ116">IF(AND(BQ$2&lt;&gt;0,TblTech[[#This Row],[Hour]:[Hour]]&gt;=BQ$2),1,0)</f>
        <v>0</v>
      </c>
      <c r="BR116" s="276" cm="1">
        <f t="array" ref="BR116">IF(AND(BR$2&lt;&gt;0,TblTech[[#This Row],[Hour]:[Hour]]&gt;=BR$2),1,0)</f>
        <v>0</v>
      </c>
      <c r="BS116" s="276" cm="1">
        <f t="array" ref="BS116">IF(AND(BS$2&lt;&gt;0,TblTech[[#This Row],[Hour]:[Hour]]&gt;=BS$2),1,0)</f>
        <v>0</v>
      </c>
      <c r="BT116" s="276" cm="1">
        <f t="array" ref="BT116">IF(AND(BT$2&lt;&gt;0,TblTech[[#This Row],[Hour]:[Hour]]&gt;=BT$2),1,0)</f>
        <v>0</v>
      </c>
      <c r="BU116" s="276" cm="1">
        <f t="array" ref="BU116">IF(AND(BU$2&lt;&gt;0,TblTech[[#This Row],[Hour]:[Hour]]&gt;=BU$2),1,0)</f>
        <v>0</v>
      </c>
      <c r="BV116" s="276" cm="1">
        <f t="array" ref="BV116">IF(AND(BV$2&lt;&gt;0,TblTech[[#This Row],[Hour]:[Hour]]&gt;=BV$2),1,0)</f>
        <v>0</v>
      </c>
      <c r="BW116" s="276" cm="1">
        <f t="array" ref="BW116">IF(AND(BW$2&lt;&gt;0,TblTech[[#This Row],[Hour]:[Hour]]&gt;=BW$2),1,0)</f>
        <v>0</v>
      </c>
      <c r="BX116" s="276" cm="1">
        <f t="array" ref="BX116">IF(AND(BX$2&lt;&gt;0,TblTech[[#This Row],[Hour]:[Hour]]&gt;=BX$2),1,0)</f>
        <v>0</v>
      </c>
      <c r="BY116" s="276" cm="1">
        <f t="array" ref="BY116">IF(AND(BY$2&lt;&gt;0,TblTech[[#This Row],[Hour]:[Hour]]&gt;=BY$2),1,0)</f>
        <v>0</v>
      </c>
      <c r="BZ116" s="276" cm="1">
        <f t="array" ref="BZ116">IF(AND(BZ$2&lt;&gt;0,TblTech[[#This Row],[Hour]:[Hour]]&gt;=BZ$2),1,0)</f>
        <v>0</v>
      </c>
      <c r="CA116" s="377">
        <f>IFERROR(INDEX($H$4:$H$79,MATCH(INDEX(TblTech[[#Headers],[1-1]:[11-1]],1,MATCH(TblTech[[#This Row],[Hour]],$M$2:$BZ$2,0)),$G$4:$G$79,0)),)</f>
        <v>0</v>
      </c>
    </row>
    <row r="117" spans="1:79" x14ac:dyDescent="0.2">
      <c r="A117" s="268">
        <f>TblRezone[[#This Row],[Hour]]</f>
        <v>114</v>
      </c>
      <c r="B117" s="269">
        <f ca="1">TblExplore[[#This Row],[Land-DB]]</f>
        <v>110</v>
      </c>
      <c r="C117" s="270">
        <f ca="1">TblProd[[#This Row],[Techpoints]]</f>
        <v>0</v>
      </c>
      <c r="D117" s="270">
        <f ca="1">TblProd[[#This Row],[Required]]</f>
        <v>3750</v>
      </c>
      <c r="E117" s="279"/>
      <c r="F117" s="280"/>
      <c r="G117" s="273"/>
      <c r="H117" s="274"/>
      <c r="I117" s="274"/>
      <c r="J117" s="274"/>
      <c r="K117" s="93">
        <f ca="1">IF(TblTech[[#This Row],[Sum of tech]]&lt;&gt;OFFSET(TblTech[[#This Row],[Sum of tech]],-1,0),1,0)</f>
        <v>0</v>
      </c>
      <c r="L117" s="275">
        <f>COUNTIF(TblTech[[#This Row],[1-1]:[11-1]],1)</f>
        <v>0</v>
      </c>
      <c r="M117" s="276" cm="1">
        <f t="array" ref="M117">IF(AND(M$2&lt;&gt;0,TblTech[[#This Row],[Hour]:[Hour]]&gt;=M$2),1,0)</f>
        <v>0</v>
      </c>
      <c r="N117" s="276" cm="1">
        <f t="array" ref="N117">IF(AND(N$2&lt;&gt;0,TblTech[[#This Row],[Hour]:[Hour]]&gt;=N$2),1,0)</f>
        <v>0</v>
      </c>
      <c r="O117" s="276" cm="1">
        <f t="array" ref="O117">IF(AND(O$2&lt;&gt;0,TblTech[[#This Row],[Hour]:[Hour]]&gt;=O$2),1,0)</f>
        <v>0</v>
      </c>
      <c r="P117" s="276" cm="1">
        <f t="array" ref="P117">IF(AND(P$2&lt;&gt;0,TblTech[[#This Row],[Hour]:[Hour]]&gt;=P$2),1,0)</f>
        <v>0</v>
      </c>
      <c r="Q117" s="276" cm="1">
        <f t="array" ref="Q117">IF(AND(Q$2&lt;&gt;0,TblTech[[#This Row],[Hour]:[Hour]]&gt;=Q$2),1,0)</f>
        <v>0</v>
      </c>
      <c r="R117" s="276" cm="1">
        <f t="array" ref="R117">IF(AND(R$2&lt;&gt;0,TblTech[[#This Row],[Hour]:[Hour]]&gt;=R$2),1,0)</f>
        <v>0</v>
      </c>
      <c r="S117" s="276" cm="1">
        <f t="array" ref="S117">IF(AND(S$2&lt;&gt;0,TblTech[[#This Row],[Hour]:[Hour]]&gt;=S$2),1,0)</f>
        <v>0</v>
      </c>
      <c r="T117" s="276" cm="1">
        <f t="array" ref="T117">IF(AND(T$2&lt;&gt;0,TblTech[[#This Row],[Hour]:[Hour]]&gt;=T$2),1,0)</f>
        <v>0</v>
      </c>
      <c r="U117" s="276" cm="1">
        <f t="array" ref="U117">IF(AND(U$2&lt;&gt;0,TblTech[[#This Row],[Hour]:[Hour]]&gt;=U$2),1,0)</f>
        <v>0</v>
      </c>
      <c r="V117" s="276" cm="1">
        <f t="array" ref="V117">IF(AND(V$2&lt;&gt;0,TblTech[[#This Row],[Hour]:[Hour]]&gt;=V$2),1,0)</f>
        <v>0</v>
      </c>
      <c r="W117" s="276" cm="1">
        <f t="array" ref="W117">IF(AND(W$2&lt;&gt;0,TblTech[[#This Row],[Hour]:[Hour]]&gt;=W$2),1,0)</f>
        <v>0</v>
      </c>
      <c r="X117" s="276" cm="1">
        <f t="array" ref="X117">IF(AND(X$2&lt;&gt;0,TblTech[[#This Row],[Hour]:[Hour]]&gt;=X$2),1,0)</f>
        <v>0</v>
      </c>
      <c r="Y117" s="276" cm="1">
        <f t="array" ref="Y117">IF(AND(Y$2&lt;&gt;0,TblTech[[#This Row],[Hour]:[Hour]]&gt;=Y$2),1,0)</f>
        <v>0</v>
      </c>
      <c r="Z117" s="276" cm="1">
        <f t="array" ref="Z117">IF(AND(Z$2&lt;&gt;0,TblTech[[#This Row],[Hour]:[Hour]]&gt;=Z$2),1,0)</f>
        <v>0</v>
      </c>
      <c r="AA117" s="276" cm="1">
        <f t="array" ref="AA117">IF(AND(AA$2&lt;&gt;0,TblTech[[#This Row],[Hour]:[Hour]]&gt;=AA$2),1,0)</f>
        <v>0</v>
      </c>
      <c r="AB117" s="276" cm="1">
        <f t="array" ref="AB117">IF(AND(AB$2&lt;&gt;0,TblTech[[#This Row],[Hour]:[Hour]]&gt;=AB$2),1,0)</f>
        <v>0</v>
      </c>
      <c r="AC117" s="276" cm="1">
        <f t="array" ref="AC117">IF(AND(AC$2&lt;&gt;0,TblTech[[#This Row],[Hour]:[Hour]]&gt;=AC$2),1,0)</f>
        <v>0</v>
      </c>
      <c r="AD117" s="276" cm="1">
        <f t="array" ref="AD117">IF(AND(AD$2&lt;&gt;0,TblTech[[#This Row],[Hour]:[Hour]]&gt;=AD$2),1,0)</f>
        <v>0</v>
      </c>
      <c r="AE117" s="276" cm="1">
        <f t="array" ref="AE117">IF(AND(AE$2&lt;&gt;0,TblTech[[#This Row],[Hour]:[Hour]]&gt;=AE$2),1,0)</f>
        <v>0</v>
      </c>
      <c r="AF117" s="276" cm="1">
        <f t="array" ref="AF117">IF(AND(AF$2&lt;&gt;0,TblTech[[#This Row],[Hour]:[Hour]]&gt;=AF$2),1,0)</f>
        <v>0</v>
      </c>
      <c r="AG117" s="276" cm="1">
        <f t="array" ref="AG117">IF(AND(AG$2&lt;&gt;0,TblTech[[#This Row],[Hour]:[Hour]]&gt;=AG$2),1,0)</f>
        <v>0</v>
      </c>
      <c r="AH117" s="276" cm="1">
        <f t="array" ref="AH117">IF(AND(AH$2&lt;&gt;0,TblTech[[#This Row],[Hour]:[Hour]]&gt;=AH$2),1,0)</f>
        <v>0</v>
      </c>
      <c r="AI117" s="276" cm="1">
        <f t="array" ref="AI117">IF(AND(AI$2&lt;&gt;0,TblTech[[#This Row],[Hour]:[Hour]]&gt;=AI$2),1,0)</f>
        <v>0</v>
      </c>
      <c r="AJ117" s="276" cm="1">
        <f t="array" ref="AJ117">IF(AND(AJ$2&lt;&gt;0,TblTech[[#This Row],[Hour]:[Hour]]&gt;=AJ$2),1,0)</f>
        <v>0</v>
      </c>
      <c r="AK117" s="276" cm="1">
        <f t="array" ref="AK117">IF(AND(AK$2&lt;&gt;0,TblTech[[#This Row],[Hour]:[Hour]]&gt;=AK$2),1,0)</f>
        <v>0</v>
      </c>
      <c r="AL117" s="276" cm="1">
        <f t="array" ref="AL117">IF(AND(AL$2&lt;&gt;0,TblTech[[#This Row],[Hour]:[Hour]]&gt;=AL$2),1,0)</f>
        <v>0</v>
      </c>
      <c r="AM117" s="276" cm="1">
        <f t="array" ref="AM117">IF(AND(AM$2&lt;&gt;0,TblTech[[#This Row],[Hour]:[Hour]]&gt;=AM$2),1,0)</f>
        <v>0</v>
      </c>
      <c r="AN117" s="276" cm="1">
        <f t="array" ref="AN117">IF(AND(AN$2&lt;&gt;0,TblTech[[#This Row],[Hour]:[Hour]]&gt;=AN$2),1,0)</f>
        <v>0</v>
      </c>
      <c r="AO117" s="276" cm="1">
        <f t="array" ref="AO117">IF(AND(AO$2&lt;&gt;0,TblTech[[#This Row],[Hour]:[Hour]]&gt;=AO$2),1,0)</f>
        <v>0</v>
      </c>
      <c r="AP117" s="276" cm="1">
        <f t="array" ref="AP117">IF(AND(AP$2&lt;&gt;0,TblTech[[#This Row],[Hour]:[Hour]]&gt;=AP$2),1,0)</f>
        <v>0</v>
      </c>
      <c r="AQ117" s="276" cm="1">
        <f t="array" ref="AQ117">IF(AND(AQ$2&lt;&gt;0,TblTech[[#This Row],[Hour]:[Hour]]&gt;=AQ$2),1,0)</f>
        <v>0</v>
      </c>
      <c r="AR117" s="276" cm="1">
        <f t="array" ref="AR117">IF(AND(AR$2&lt;&gt;0,TblTech[[#This Row],[Hour]:[Hour]]&gt;=AR$2),1,0)</f>
        <v>0</v>
      </c>
      <c r="AS117" s="276" cm="1">
        <f t="array" ref="AS117">IF(AND(AS$2&lt;&gt;0,TblTech[[#This Row],[Hour]:[Hour]]&gt;=AS$2),1,0)</f>
        <v>0</v>
      </c>
      <c r="AT117" s="276" cm="1">
        <f t="array" ref="AT117">IF(AND(AT$2&lt;&gt;0,TblTech[[#This Row],[Hour]:[Hour]]&gt;=AT$2),1,0)</f>
        <v>0</v>
      </c>
      <c r="AU117" s="276" cm="1">
        <f t="array" ref="AU117">IF(AND(AU$2&lt;&gt;0,TblTech[[#This Row],[Hour]:[Hour]]&gt;=AU$2),1,0)</f>
        <v>0</v>
      </c>
      <c r="AV117" s="276" cm="1">
        <f t="array" ref="AV117">IF(AND(AV$2&lt;&gt;0,TblTech[[#This Row],[Hour]:[Hour]]&gt;=AV$2),1,0)</f>
        <v>0</v>
      </c>
      <c r="AW117" s="276" cm="1">
        <f t="array" ref="AW117">IF(AND(AW$2&lt;&gt;0,TblTech[[#This Row],[Hour]:[Hour]]&gt;=AW$2),1,0)</f>
        <v>0</v>
      </c>
      <c r="AX117" s="276" cm="1">
        <f t="array" ref="AX117">IF(AND(AX$2&lt;&gt;0,TblTech[[#This Row],[Hour]:[Hour]]&gt;=AX$2),1,0)</f>
        <v>0</v>
      </c>
      <c r="AY117" s="276" cm="1">
        <f t="array" ref="AY117">IF(AND(AY$2&lt;&gt;0,TblTech[[#This Row],[Hour]:[Hour]]&gt;=AY$2),1,0)</f>
        <v>0</v>
      </c>
      <c r="AZ117" s="276" cm="1">
        <f t="array" ref="AZ117">IF(AND(AZ$2&lt;&gt;0,TblTech[[#This Row],[Hour]:[Hour]]&gt;=AZ$2),1,0)</f>
        <v>0</v>
      </c>
      <c r="BA117" s="276" cm="1">
        <f t="array" ref="BA117">IF(AND(BA$2&lt;&gt;0,TblTech[[#This Row],[Hour]:[Hour]]&gt;=BA$2),1,0)</f>
        <v>0</v>
      </c>
      <c r="BB117" s="276" cm="1">
        <f t="array" ref="BB117">IF(AND(BB$2&lt;&gt;0,TblTech[[#This Row],[Hour]:[Hour]]&gt;=BB$2),1,0)</f>
        <v>0</v>
      </c>
      <c r="BC117" s="276" cm="1">
        <f t="array" ref="BC117">IF(AND(BC$2&lt;&gt;0,TblTech[[#This Row],[Hour]:[Hour]]&gt;=BC$2),1,0)</f>
        <v>0</v>
      </c>
      <c r="BD117" s="276" cm="1">
        <f t="array" ref="BD117">IF(AND(BD$2&lt;&gt;0,TblTech[[#This Row],[Hour]:[Hour]]&gt;=BD$2),1,0)</f>
        <v>0</v>
      </c>
      <c r="BE117" s="276" cm="1">
        <f t="array" ref="BE117">IF(AND(BE$2&lt;&gt;0,TblTech[[#This Row],[Hour]:[Hour]]&gt;=BE$2),1,0)</f>
        <v>0</v>
      </c>
      <c r="BF117" s="276" cm="1">
        <f t="array" ref="BF117">IF(AND(BF$2&lt;&gt;0,TblTech[[#This Row],[Hour]:[Hour]]&gt;=BF$2),1,0)</f>
        <v>0</v>
      </c>
      <c r="BG117" s="276" cm="1">
        <f t="array" ref="BG117">IF(AND(BG$2&lt;&gt;0,TblTech[[#This Row],[Hour]:[Hour]]&gt;=BG$2),1,0)</f>
        <v>0</v>
      </c>
      <c r="BH117" s="276" cm="1">
        <f t="array" ref="BH117">IF(AND(BH$2&lt;&gt;0,TblTech[[#This Row],[Hour]:[Hour]]&gt;=BH$2),1,0)</f>
        <v>0</v>
      </c>
      <c r="BI117" s="276" cm="1">
        <f t="array" ref="BI117">IF(AND(BI$2&lt;&gt;0,TblTech[[#This Row],[Hour]:[Hour]]&gt;=BI$2),1,0)</f>
        <v>0</v>
      </c>
      <c r="BJ117" s="276" cm="1">
        <f t="array" ref="BJ117">IF(AND(BJ$2&lt;&gt;0,TblTech[[#This Row],[Hour]:[Hour]]&gt;=BJ$2),1,0)</f>
        <v>0</v>
      </c>
      <c r="BK117" s="276" cm="1">
        <f t="array" ref="BK117">IF(AND(BK$2&lt;&gt;0,TblTech[[#This Row],[Hour]:[Hour]]&gt;=BK$2),1,0)</f>
        <v>0</v>
      </c>
      <c r="BL117" s="276" cm="1">
        <f t="array" ref="BL117">IF(AND(BL$2&lt;&gt;0,TblTech[[#This Row],[Hour]:[Hour]]&gt;=BL$2),1,0)</f>
        <v>0</v>
      </c>
      <c r="BM117" s="276" cm="1">
        <f t="array" ref="BM117">IF(AND(BM$2&lt;&gt;0,TblTech[[#This Row],[Hour]:[Hour]]&gt;=BM$2),1,0)</f>
        <v>0</v>
      </c>
      <c r="BN117" s="276" cm="1">
        <f t="array" ref="BN117">IF(AND(BN$2&lt;&gt;0,TblTech[[#This Row],[Hour]:[Hour]]&gt;=BN$2),1,0)</f>
        <v>0</v>
      </c>
      <c r="BO117" s="276" cm="1">
        <f t="array" ref="BO117">IF(AND(BO$2&lt;&gt;0,TblTech[[#This Row],[Hour]:[Hour]]&gt;=BO$2),1,0)</f>
        <v>0</v>
      </c>
      <c r="BP117" s="276" cm="1">
        <f t="array" ref="BP117">IF(AND(BP$2&lt;&gt;0,TblTech[[#This Row],[Hour]:[Hour]]&gt;=BP$2),1,0)</f>
        <v>0</v>
      </c>
      <c r="BQ117" s="276" cm="1">
        <f t="array" ref="BQ117">IF(AND(BQ$2&lt;&gt;0,TblTech[[#This Row],[Hour]:[Hour]]&gt;=BQ$2),1,0)</f>
        <v>0</v>
      </c>
      <c r="BR117" s="276" cm="1">
        <f t="array" ref="BR117">IF(AND(BR$2&lt;&gt;0,TblTech[[#This Row],[Hour]:[Hour]]&gt;=BR$2),1,0)</f>
        <v>0</v>
      </c>
      <c r="BS117" s="276" cm="1">
        <f t="array" ref="BS117">IF(AND(BS$2&lt;&gt;0,TblTech[[#This Row],[Hour]:[Hour]]&gt;=BS$2),1,0)</f>
        <v>0</v>
      </c>
      <c r="BT117" s="276" cm="1">
        <f t="array" ref="BT117">IF(AND(BT$2&lt;&gt;0,TblTech[[#This Row],[Hour]:[Hour]]&gt;=BT$2),1,0)</f>
        <v>0</v>
      </c>
      <c r="BU117" s="276" cm="1">
        <f t="array" ref="BU117">IF(AND(BU$2&lt;&gt;0,TblTech[[#This Row],[Hour]:[Hour]]&gt;=BU$2),1,0)</f>
        <v>0</v>
      </c>
      <c r="BV117" s="276" cm="1">
        <f t="array" ref="BV117">IF(AND(BV$2&lt;&gt;0,TblTech[[#This Row],[Hour]:[Hour]]&gt;=BV$2),1,0)</f>
        <v>0</v>
      </c>
      <c r="BW117" s="276" cm="1">
        <f t="array" ref="BW117">IF(AND(BW$2&lt;&gt;0,TblTech[[#This Row],[Hour]:[Hour]]&gt;=BW$2),1,0)</f>
        <v>0</v>
      </c>
      <c r="BX117" s="276" cm="1">
        <f t="array" ref="BX117">IF(AND(BX$2&lt;&gt;0,TblTech[[#This Row],[Hour]:[Hour]]&gt;=BX$2),1,0)</f>
        <v>0</v>
      </c>
      <c r="BY117" s="276" cm="1">
        <f t="array" ref="BY117">IF(AND(BY$2&lt;&gt;0,TblTech[[#This Row],[Hour]:[Hour]]&gt;=BY$2),1,0)</f>
        <v>0</v>
      </c>
      <c r="BZ117" s="276" cm="1">
        <f t="array" ref="BZ117">IF(AND(BZ$2&lt;&gt;0,TblTech[[#This Row],[Hour]:[Hour]]&gt;=BZ$2),1,0)</f>
        <v>0</v>
      </c>
      <c r="CA117" s="377">
        <f>IFERROR(INDEX($H$4:$H$79,MATCH(INDEX(TblTech[[#Headers],[1-1]:[11-1]],1,MATCH(TblTech[[#This Row],[Hour]],$M$2:$BZ$2,0)),$G$4:$G$79,0)),)</f>
        <v>0</v>
      </c>
    </row>
    <row r="118" spans="1:79" x14ac:dyDescent="0.2">
      <c r="A118" s="268">
        <f>TblRezone[[#This Row],[Hour]]</f>
        <v>115</v>
      </c>
      <c r="B118" s="269">
        <f ca="1">TblExplore[[#This Row],[Land-DB]]</f>
        <v>110</v>
      </c>
      <c r="C118" s="270">
        <f ca="1">TblProd[[#This Row],[Techpoints]]</f>
        <v>0</v>
      </c>
      <c r="D118" s="270">
        <f ca="1">TblProd[[#This Row],[Required]]</f>
        <v>3750</v>
      </c>
      <c r="E118" s="279"/>
      <c r="F118" s="280"/>
      <c r="G118" s="273"/>
      <c r="H118" s="274"/>
      <c r="I118" s="274"/>
      <c r="J118" s="274"/>
      <c r="K118" s="93">
        <f ca="1">IF(TblTech[[#This Row],[Sum of tech]]&lt;&gt;OFFSET(TblTech[[#This Row],[Sum of tech]],-1,0),1,0)</f>
        <v>0</v>
      </c>
      <c r="L118" s="275">
        <f>COUNTIF(TblTech[[#This Row],[1-1]:[11-1]],1)</f>
        <v>0</v>
      </c>
      <c r="M118" s="276" cm="1">
        <f t="array" ref="M118">IF(AND(M$2&lt;&gt;0,TblTech[[#This Row],[Hour]:[Hour]]&gt;=M$2),1,0)</f>
        <v>0</v>
      </c>
      <c r="N118" s="276" cm="1">
        <f t="array" ref="N118">IF(AND(N$2&lt;&gt;0,TblTech[[#This Row],[Hour]:[Hour]]&gt;=N$2),1,0)</f>
        <v>0</v>
      </c>
      <c r="O118" s="276" cm="1">
        <f t="array" ref="O118">IF(AND(O$2&lt;&gt;0,TblTech[[#This Row],[Hour]:[Hour]]&gt;=O$2),1,0)</f>
        <v>0</v>
      </c>
      <c r="P118" s="276" cm="1">
        <f t="array" ref="P118">IF(AND(P$2&lt;&gt;0,TblTech[[#This Row],[Hour]:[Hour]]&gt;=P$2),1,0)</f>
        <v>0</v>
      </c>
      <c r="Q118" s="276" cm="1">
        <f t="array" ref="Q118">IF(AND(Q$2&lt;&gt;0,TblTech[[#This Row],[Hour]:[Hour]]&gt;=Q$2),1,0)</f>
        <v>0</v>
      </c>
      <c r="R118" s="276" cm="1">
        <f t="array" ref="R118">IF(AND(R$2&lt;&gt;0,TblTech[[#This Row],[Hour]:[Hour]]&gt;=R$2),1,0)</f>
        <v>0</v>
      </c>
      <c r="S118" s="276" cm="1">
        <f t="array" ref="S118">IF(AND(S$2&lt;&gt;0,TblTech[[#This Row],[Hour]:[Hour]]&gt;=S$2),1,0)</f>
        <v>0</v>
      </c>
      <c r="T118" s="276" cm="1">
        <f t="array" ref="T118">IF(AND(T$2&lt;&gt;0,TblTech[[#This Row],[Hour]:[Hour]]&gt;=T$2),1,0)</f>
        <v>0</v>
      </c>
      <c r="U118" s="276" cm="1">
        <f t="array" ref="U118">IF(AND(U$2&lt;&gt;0,TblTech[[#This Row],[Hour]:[Hour]]&gt;=U$2),1,0)</f>
        <v>0</v>
      </c>
      <c r="V118" s="276" cm="1">
        <f t="array" ref="V118">IF(AND(V$2&lt;&gt;0,TblTech[[#This Row],[Hour]:[Hour]]&gt;=V$2),1,0)</f>
        <v>0</v>
      </c>
      <c r="W118" s="276" cm="1">
        <f t="array" ref="W118">IF(AND(W$2&lt;&gt;0,TblTech[[#This Row],[Hour]:[Hour]]&gt;=W$2),1,0)</f>
        <v>0</v>
      </c>
      <c r="X118" s="276" cm="1">
        <f t="array" ref="X118">IF(AND(X$2&lt;&gt;0,TblTech[[#This Row],[Hour]:[Hour]]&gt;=X$2),1,0)</f>
        <v>0</v>
      </c>
      <c r="Y118" s="276" cm="1">
        <f t="array" ref="Y118">IF(AND(Y$2&lt;&gt;0,TblTech[[#This Row],[Hour]:[Hour]]&gt;=Y$2),1,0)</f>
        <v>0</v>
      </c>
      <c r="Z118" s="276" cm="1">
        <f t="array" ref="Z118">IF(AND(Z$2&lt;&gt;0,TblTech[[#This Row],[Hour]:[Hour]]&gt;=Z$2),1,0)</f>
        <v>0</v>
      </c>
      <c r="AA118" s="276" cm="1">
        <f t="array" ref="AA118">IF(AND(AA$2&lt;&gt;0,TblTech[[#This Row],[Hour]:[Hour]]&gt;=AA$2),1,0)</f>
        <v>0</v>
      </c>
      <c r="AB118" s="276" cm="1">
        <f t="array" ref="AB118">IF(AND(AB$2&lt;&gt;0,TblTech[[#This Row],[Hour]:[Hour]]&gt;=AB$2),1,0)</f>
        <v>0</v>
      </c>
      <c r="AC118" s="276" cm="1">
        <f t="array" ref="AC118">IF(AND(AC$2&lt;&gt;0,TblTech[[#This Row],[Hour]:[Hour]]&gt;=AC$2),1,0)</f>
        <v>0</v>
      </c>
      <c r="AD118" s="276" cm="1">
        <f t="array" ref="AD118">IF(AND(AD$2&lt;&gt;0,TblTech[[#This Row],[Hour]:[Hour]]&gt;=AD$2),1,0)</f>
        <v>0</v>
      </c>
      <c r="AE118" s="276" cm="1">
        <f t="array" ref="AE118">IF(AND(AE$2&lt;&gt;0,TblTech[[#This Row],[Hour]:[Hour]]&gt;=AE$2),1,0)</f>
        <v>0</v>
      </c>
      <c r="AF118" s="276" cm="1">
        <f t="array" ref="AF118">IF(AND(AF$2&lt;&gt;0,TblTech[[#This Row],[Hour]:[Hour]]&gt;=AF$2),1,0)</f>
        <v>0</v>
      </c>
      <c r="AG118" s="276" cm="1">
        <f t="array" ref="AG118">IF(AND(AG$2&lt;&gt;0,TblTech[[#This Row],[Hour]:[Hour]]&gt;=AG$2),1,0)</f>
        <v>0</v>
      </c>
      <c r="AH118" s="276" cm="1">
        <f t="array" ref="AH118">IF(AND(AH$2&lt;&gt;0,TblTech[[#This Row],[Hour]:[Hour]]&gt;=AH$2),1,0)</f>
        <v>0</v>
      </c>
      <c r="AI118" s="276" cm="1">
        <f t="array" ref="AI118">IF(AND(AI$2&lt;&gt;0,TblTech[[#This Row],[Hour]:[Hour]]&gt;=AI$2),1,0)</f>
        <v>0</v>
      </c>
      <c r="AJ118" s="276" cm="1">
        <f t="array" ref="AJ118">IF(AND(AJ$2&lt;&gt;0,TblTech[[#This Row],[Hour]:[Hour]]&gt;=AJ$2),1,0)</f>
        <v>0</v>
      </c>
      <c r="AK118" s="276" cm="1">
        <f t="array" ref="AK118">IF(AND(AK$2&lt;&gt;0,TblTech[[#This Row],[Hour]:[Hour]]&gt;=AK$2),1,0)</f>
        <v>0</v>
      </c>
      <c r="AL118" s="276" cm="1">
        <f t="array" ref="AL118">IF(AND(AL$2&lt;&gt;0,TblTech[[#This Row],[Hour]:[Hour]]&gt;=AL$2),1,0)</f>
        <v>0</v>
      </c>
      <c r="AM118" s="276" cm="1">
        <f t="array" ref="AM118">IF(AND(AM$2&lt;&gt;0,TblTech[[#This Row],[Hour]:[Hour]]&gt;=AM$2),1,0)</f>
        <v>0</v>
      </c>
      <c r="AN118" s="276" cm="1">
        <f t="array" ref="AN118">IF(AND(AN$2&lt;&gt;0,TblTech[[#This Row],[Hour]:[Hour]]&gt;=AN$2),1,0)</f>
        <v>0</v>
      </c>
      <c r="AO118" s="276" cm="1">
        <f t="array" ref="AO118">IF(AND(AO$2&lt;&gt;0,TblTech[[#This Row],[Hour]:[Hour]]&gt;=AO$2),1,0)</f>
        <v>0</v>
      </c>
      <c r="AP118" s="276" cm="1">
        <f t="array" ref="AP118">IF(AND(AP$2&lt;&gt;0,TblTech[[#This Row],[Hour]:[Hour]]&gt;=AP$2),1,0)</f>
        <v>0</v>
      </c>
      <c r="AQ118" s="276" cm="1">
        <f t="array" ref="AQ118">IF(AND(AQ$2&lt;&gt;0,TblTech[[#This Row],[Hour]:[Hour]]&gt;=AQ$2),1,0)</f>
        <v>0</v>
      </c>
      <c r="AR118" s="276" cm="1">
        <f t="array" ref="AR118">IF(AND(AR$2&lt;&gt;0,TblTech[[#This Row],[Hour]:[Hour]]&gt;=AR$2),1,0)</f>
        <v>0</v>
      </c>
      <c r="AS118" s="276" cm="1">
        <f t="array" ref="AS118">IF(AND(AS$2&lt;&gt;0,TblTech[[#This Row],[Hour]:[Hour]]&gt;=AS$2),1,0)</f>
        <v>0</v>
      </c>
      <c r="AT118" s="276" cm="1">
        <f t="array" ref="AT118">IF(AND(AT$2&lt;&gt;0,TblTech[[#This Row],[Hour]:[Hour]]&gt;=AT$2),1,0)</f>
        <v>0</v>
      </c>
      <c r="AU118" s="276" cm="1">
        <f t="array" ref="AU118">IF(AND(AU$2&lt;&gt;0,TblTech[[#This Row],[Hour]:[Hour]]&gt;=AU$2),1,0)</f>
        <v>0</v>
      </c>
      <c r="AV118" s="276" cm="1">
        <f t="array" ref="AV118">IF(AND(AV$2&lt;&gt;0,TblTech[[#This Row],[Hour]:[Hour]]&gt;=AV$2),1,0)</f>
        <v>0</v>
      </c>
      <c r="AW118" s="276" cm="1">
        <f t="array" ref="AW118">IF(AND(AW$2&lt;&gt;0,TblTech[[#This Row],[Hour]:[Hour]]&gt;=AW$2),1,0)</f>
        <v>0</v>
      </c>
      <c r="AX118" s="276" cm="1">
        <f t="array" ref="AX118">IF(AND(AX$2&lt;&gt;0,TblTech[[#This Row],[Hour]:[Hour]]&gt;=AX$2),1,0)</f>
        <v>0</v>
      </c>
      <c r="AY118" s="276" cm="1">
        <f t="array" ref="AY118">IF(AND(AY$2&lt;&gt;0,TblTech[[#This Row],[Hour]:[Hour]]&gt;=AY$2),1,0)</f>
        <v>0</v>
      </c>
      <c r="AZ118" s="276" cm="1">
        <f t="array" ref="AZ118">IF(AND(AZ$2&lt;&gt;0,TblTech[[#This Row],[Hour]:[Hour]]&gt;=AZ$2),1,0)</f>
        <v>0</v>
      </c>
      <c r="BA118" s="276" cm="1">
        <f t="array" ref="BA118">IF(AND(BA$2&lt;&gt;0,TblTech[[#This Row],[Hour]:[Hour]]&gt;=BA$2),1,0)</f>
        <v>0</v>
      </c>
      <c r="BB118" s="276" cm="1">
        <f t="array" ref="BB118">IF(AND(BB$2&lt;&gt;0,TblTech[[#This Row],[Hour]:[Hour]]&gt;=BB$2),1,0)</f>
        <v>0</v>
      </c>
      <c r="BC118" s="276" cm="1">
        <f t="array" ref="BC118">IF(AND(BC$2&lt;&gt;0,TblTech[[#This Row],[Hour]:[Hour]]&gt;=BC$2),1,0)</f>
        <v>0</v>
      </c>
      <c r="BD118" s="276" cm="1">
        <f t="array" ref="BD118">IF(AND(BD$2&lt;&gt;0,TblTech[[#This Row],[Hour]:[Hour]]&gt;=BD$2),1,0)</f>
        <v>0</v>
      </c>
      <c r="BE118" s="276" cm="1">
        <f t="array" ref="BE118">IF(AND(BE$2&lt;&gt;0,TblTech[[#This Row],[Hour]:[Hour]]&gt;=BE$2),1,0)</f>
        <v>0</v>
      </c>
      <c r="BF118" s="276" cm="1">
        <f t="array" ref="BF118">IF(AND(BF$2&lt;&gt;0,TblTech[[#This Row],[Hour]:[Hour]]&gt;=BF$2),1,0)</f>
        <v>0</v>
      </c>
      <c r="BG118" s="276" cm="1">
        <f t="array" ref="BG118">IF(AND(BG$2&lt;&gt;0,TblTech[[#This Row],[Hour]:[Hour]]&gt;=BG$2),1,0)</f>
        <v>0</v>
      </c>
      <c r="BH118" s="276" cm="1">
        <f t="array" ref="BH118">IF(AND(BH$2&lt;&gt;0,TblTech[[#This Row],[Hour]:[Hour]]&gt;=BH$2),1,0)</f>
        <v>0</v>
      </c>
      <c r="BI118" s="276" cm="1">
        <f t="array" ref="BI118">IF(AND(BI$2&lt;&gt;0,TblTech[[#This Row],[Hour]:[Hour]]&gt;=BI$2),1,0)</f>
        <v>0</v>
      </c>
      <c r="BJ118" s="276" cm="1">
        <f t="array" ref="BJ118">IF(AND(BJ$2&lt;&gt;0,TblTech[[#This Row],[Hour]:[Hour]]&gt;=BJ$2),1,0)</f>
        <v>0</v>
      </c>
      <c r="BK118" s="276" cm="1">
        <f t="array" ref="BK118">IF(AND(BK$2&lt;&gt;0,TblTech[[#This Row],[Hour]:[Hour]]&gt;=BK$2),1,0)</f>
        <v>0</v>
      </c>
      <c r="BL118" s="276" cm="1">
        <f t="array" ref="BL118">IF(AND(BL$2&lt;&gt;0,TblTech[[#This Row],[Hour]:[Hour]]&gt;=BL$2),1,0)</f>
        <v>0</v>
      </c>
      <c r="BM118" s="276" cm="1">
        <f t="array" ref="BM118">IF(AND(BM$2&lt;&gt;0,TblTech[[#This Row],[Hour]:[Hour]]&gt;=BM$2),1,0)</f>
        <v>0</v>
      </c>
      <c r="BN118" s="276" cm="1">
        <f t="array" ref="BN118">IF(AND(BN$2&lt;&gt;0,TblTech[[#This Row],[Hour]:[Hour]]&gt;=BN$2),1,0)</f>
        <v>0</v>
      </c>
      <c r="BO118" s="276" cm="1">
        <f t="array" ref="BO118">IF(AND(BO$2&lt;&gt;0,TblTech[[#This Row],[Hour]:[Hour]]&gt;=BO$2),1,0)</f>
        <v>0</v>
      </c>
      <c r="BP118" s="276" cm="1">
        <f t="array" ref="BP118">IF(AND(BP$2&lt;&gt;0,TblTech[[#This Row],[Hour]:[Hour]]&gt;=BP$2),1,0)</f>
        <v>0</v>
      </c>
      <c r="BQ118" s="276" cm="1">
        <f t="array" ref="BQ118">IF(AND(BQ$2&lt;&gt;0,TblTech[[#This Row],[Hour]:[Hour]]&gt;=BQ$2),1,0)</f>
        <v>0</v>
      </c>
      <c r="BR118" s="276" cm="1">
        <f t="array" ref="BR118">IF(AND(BR$2&lt;&gt;0,TblTech[[#This Row],[Hour]:[Hour]]&gt;=BR$2),1,0)</f>
        <v>0</v>
      </c>
      <c r="BS118" s="276" cm="1">
        <f t="array" ref="BS118">IF(AND(BS$2&lt;&gt;0,TblTech[[#This Row],[Hour]:[Hour]]&gt;=BS$2),1,0)</f>
        <v>0</v>
      </c>
      <c r="BT118" s="276" cm="1">
        <f t="array" ref="BT118">IF(AND(BT$2&lt;&gt;0,TblTech[[#This Row],[Hour]:[Hour]]&gt;=BT$2),1,0)</f>
        <v>0</v>
      </c>
      <c r="BU118" s="276" cm="1">
        <f t="array" ref="BU118">IF(AND(BU$2&lt;&gt;0,TblTech[[#This Row],[Hour]:[Hour]]&gt;=BU$2),1,0)</f>
        <v>0</v>
      </c>
      <c r="BV118" s="276" cm="1">
        <f t="array" ref="BV118">IF(AND(BV$2&lt;&gt;0,TblTech[[#This Row],[Hour]:[Hour]]&gt;=BV$2),1,0)</f>
        <v>0</v>
      </c>
      <c r="BW118" s="276" cm="1">
        <f t="array" ref="BW118">IF(AND(BW$2&lt;&gt;0,TblTech[[#This Row],[Hour]:[Hour]]&gt;=BW$2),1,0)</f>
        <v>0</v>
      </c>
      <c r="BX118" s="276" cm="1">
        <f t="array" ref="BX118">IF(AND(BX$2&lt;&gt;0,TblTech[[#This Row],[Hour]:[Hour]]&gt;=BX$2),1,0)</f>
        <v>0</v>
      </c>
      <c r="BY118" s="276" cm="1">
        <f t="array" ref="BY118">IF(AND(BY$2&lt;&gt;0,TblTech[[#This Row],[Hour]:[Hour]]&gt;=BY$2),1,0)</f>
        <v>0</v>
      </c>
      <c r="BZ118" s="276" cm="1">
        <f t="array" ref="BZ118">IF(AND(BZ$2&lt;&gt;0,TblTech[[#This Row],[Hour]:[Hour]]&gt;=BZ$2),1,0)</f>
        <v>0</v>
      </c>
      <c r="CA118" s="377">
        <f>IFERROR(INDEX($H$4:$H$79,MATCH(INDEX(TblTech[[#Headers],[1-1]:[11-1]],1,MATCH(TblTech[[#This Row],[Hour]],$M$2:$BZ$2,0)),$G$4:$G$79,0)),)</f>
        <v>0</v>
      </c>
    </row>
    <row r="119" spans="1:79" x14ac:dyDescent="0.2">
      <c r="A119" s="268">
        <f>TblRezone[[#This Row],[Hour]]</f>
        <v>116</v>
      </c>
      <c r="B119" s="269">
        <f ca="1">TblExplore[[#This Row],[Land-DB]]</f>
        <v>110</v>
      </c>
      <c r="C119" s="270">
        <f ca="1">TblProd[[#This Row],[Techpoints]]</f>
        <v>0</v>
      </c>
      <c r="D119" s="270">
        <f ca="1">TblProd[[#This Row],[Required]]</f>
        <v>3750</v>
      </c>
      <c r="E119" s="279"/>
      <c r="F119" s="280"/>
      <c r="G119" s="273"/>
      <c r="H119" s="274"/>
      <c r="I119" s="274"/>
      <c r="J119" s="274"/>
      <c r="K119" s="93">
        <f ca="1">IF(TblTech[[#This Row],[Sum of tech]]&lt;&gt;OFFSET(TblTech[[#This Row],[Sum of tech]],-1,0),1,0)</f>
        <v>0</v>
      </c>
      <c r="L119" s="275">
        <f>COUNTIF(TblTech[[#This Row],[1-1]:[11-1]],1)</f>
        <v>0</v>
      </c>
      <c r="M119" s="276" cm="1">
        <f t="array" ref="M119">IF(AND(M$2&lt;&gt;0,TblTech[[#This Row],[Hour]:[Hour]]&gt;=M$2),1,0)</f>
        <v>0</v>
      </c>
      <c r="N119" s="276" cm="1">
        <f t="array" ref="N119">IF(AND(N$2&lt;&gt;0,TblTech[[#This Row],[Hour]:[Hour]]&gt;=N$2),1,0)</f>
        <v>0</v>
      </c>
      <c r="O119" s="276" cm="1">
        <f t="array" ref="O119">IF(AND(O$2&lt;&gt;0,TblTech[[#This Row],[Hour]:[Hour]]&gt;=O$2),1,0)</f>
        <v>0</v>
      </c>
      <c r="P119" s="276" cm="1">
        <f t="array" ref="P119">IF(AND(P$2&lt;&gt;0,TblTech[[#This Row],[Hour]:[Hour]]&gt;=P$2),1,0)</f>
        <v>0</v>
      </c>
      <c r="Q119" s="276" cm="1">
        <f t="array" ref="Q119">IF(AND(Q$2&lt;&gt;0,TblTech[[#This Row],[Hour]:[Hour]]&gt;=Q$2),1,0)</f>
        <v>0</v>
      </c>
      <c r="R119" s="276" cm="1">
        <f t="array" ref="R119">IF(AND(R$2&lt;&gt;0,TblTech[[#This Row],[Hour]:[Hour]]&gt;=R$2),1,0)</f>
        <v>0</v>
      </c>
      <c r="S119" s="276" cm="1">
        <f t="array" ref="S119">IF(AND(S$2&lt;&gt;0,TblTech[[#This Row],[Hour]:[Hour]]&gt;=S$2),1,0)</f>
        <v>0</v>
      </c>
      <c r="T119" s="276" cm="1">
        <f t="array" ref="T119">IF(AND(T$2&lt;&gt;0,TblTech[[#This Row],[Hour]:[Hour]]&gt;=T$2),1,0)</f>
        <v>0</v>
      </c>
      <c r="U119" s="276" cm="1">
        <f t="array" ref="U119">IF(AND(U$2&lt;&gt;0,TblTech[[#This Row],[Hour]:[Hour]]&gt;=U$2),1,0)</f>
        <v>0</v>
      </c>
      <c r="V119" s="276" cm="1">
        <f t="array" ref="V119">IF(AND(V$2&lt;&gt;0,TblTech[[#This Row],[Hour]:[Hour]]&gt;=V$2),1,0)</f>
        <v>0</v>
      </c>
      <c r="W119" s="276" cm="1">
        <f t="array" ref="W119">IF(AND(W$2&lt;&gt;0,TblTech[[#This Row],[Hour]:[Hour]]&gt;=W$2),1,0)</f>
        <v>0</v>
      </c>
      <c r="X119" s="276" cm="1">
        <f t="array" ref="X119">IF(AND(X$2&lt;&gt;0,TblTech[[#This Row],[Hour]:[Hour]]&gt;=X$2),1,0)</f>
        <v>0</v>
      </c>
      <c r="Y119" s="276" cm="1">
        <f t="array" ref="Y119">IF(AND(Y$2&lt;&gt;0,TblTech[[#This Row],[Hour]:[Hour]]&gt;=Y$2),1,0)</f>
        <v>0</v>
      </c>
      <c r="Z119" s="276" cm="1">
        <f t="array" ref="Z119">IF(AND(Z$2&lt;&gt;0,TblTech[[#This Row],[Hour]:[Hour]]&gt;=Z$2),1,0)</f>
        <v>0</v>
      </c>
      <c r="AA119" s="276" cm="1">
        <f t="array" ref="AA119">IF(AND(AA$2&lt;&gt;0,TblTech[[#This Row],[Hour]:[Hour]]&gt;=AA$2),1,0)</f>
        <v>0</v>
      </c>
      <c r="AB119" s="276" cm="1">
        <f t="array" ref="AB119">IF(AND(AB$2&lt;&gt;0,TblTech[[#This Row],[Hour]:[Hour]]&gt;=AB$2),1,0)</f>
        <v>0</v>
      </c>
      <c r="AC119" s="276" cm="1">
        <f t="array" ref="AC119">IF(AND(AC$2&lt;&gt;0,TblTech[[#This Row],[Hour]:[Hour]]&gt;=AC$2),1,0)</f>
        <v>0</v>
      </c>
      <c r="AD119" s="276" cm="1">
        <f t="array" ref="AD119">IF(AND(AD$2&lt;&gt;0,TblTech[[#This Row],[Hour]:[Hour]]&gt;=AD$2),1,0)</f>
        <v>0</v>
      </c>
      <c r="AE119" s="276" cm="1">
        <f t="array" ref="AE119">IF(AND(AE$2&lt;&gt;0,TblTech[[#This Row],[Hour]:[Hour]]&gt;=AE$2),1,0)</f>
        <v>0</v>
      </c>
      <c r="AF119" s="276" cm="1">
        <f t="array" ref="AF119">IF(AND(AF$2&lt;&gt;0,TblTech[[#This Row],[Hour]:[Hour]]&gt;=AF$2),1,0)</f>
        <v>0</v>
      </c>
      <c r="AG119" s="276" cm="1">
        <f t="array" ref="AG119">IF(AND(AG$2&lt;&gt;0,TblTech[[#This Row],[Hour]:[Hour]]&gt;=AG$2),1,0)</f>
        <v>0</v>
      </c>
      <c r="AH119" s="276" cm="1">
        <f t="array" ref="AH119">IF(AND(AH$2&lt;&gt;0,TblTech[[#This Row],[Hour]:[Hour]]&gt;=AH$2),1,0)</f>
        <v>0</v>
      </c>
      <c r="AI119" s="276" cm="1">
        <f t="array" ref="AI119">IF(AND(AI$2&lt;&gt;0,TblTech[[#This Row],[Hour]:[Hour]]&gt;=AI$2),1,0)</f>
        <v>0</v>
      </c>
      <c r="AJ119" s="276" cm="1">
        <f t="array" ref="AJ119">IF(AND(AJ$2&lt;&gt;0,TblTech[[#This Row],[Hour]:[Hour]]&gt;=AJ$2),1,0)</f>
        <v>0</v>
      </c>
      <c r="AK119" s="276" cm="1">
        <f t="array" ref="AK119">IF(AND(AK$2&lt;&gt;0,TblTech[[#This Row],[Hour]:[Hour]]&gt;=AK$2),1,0)</f>
        <v>0</v>
      </c>
      <c r="AL119" s="276" cm="1">
        <f t="array" ref="AL119">IF(AND(AL$2&lt;&gt;0,TblTech[[#This Row],[Hour]:[Hour]]&gt;=AL$2),1,0)</f>
        <v>0</v>
      </c>
      <c r="AM119" s="276" cm="1">
        <f t="array" ref="AM119">IF(AND(AM$2&lt;&gt;0,TblTech[[#This Row],[Hour]:[Hour]]&gt;=AM$2),1,0)</f>
        <v>0</v>
      </c>
      <c r="AN119" s="276" cm="1">
        <f t="array" ref="AN119">IF(AND(AN$2&lt;&gt;0,TblTech[[#This Row],[Hour]:[Hour]]&gt;=AN$2),1,0)</f>
        <v>0</v>
      </c>
      <c r="AO119" s="276" cm="1">
        <f t="array" ref="AO119">IF(AND(AO$2&lt;&gt;0,TblTech[[#This Row],[Hour]:[Hour]]&gt;=AO$2),1,0)</f>
        <v>0</v>
      </c>
      <c r="AP119" s="276" cm="1">
        <f t="array" ref="AP119">IF(AND(AP$2&lt;&gt;0,TblTech[[#This Row],[Hour]:[Hour]]&gt;=AP$2),1,0)</f>
        <v>0</v>
      </c>
      <c r="AQ119" s="276" cm="1">
        <f t="array" ref="AQ119">IF(AND(AQ$2&lt;&gt;0,TblTech[[#This Row],[Hour]:[Hour]]&gt;=AQ$2),1,0)</f>
        <v>0</v>
      </c>
      <c r="AR119" s="276" cm="1">
        <f t="array" ref="AR119">IF(AND(AR$2&lt;&gt;0,TblTech[[#This Row],[Hour]:[Hour]]&gt;=AR$2),1,0)</f>
        <v>0</v>
      </c>
      <c r="AS119" s="276" cm="1">
        <f t="array" ref="AS119">IF(AND(AS$2&lt;&gt;0,TblTech[[#This Row],[Hour]:[Hour]]&gt;=AS$2),1,0)</f>
        <v>0</v>
      </c>
      <c r="AT119" s="276" cm="1">
        <f t="array" ref="AT119">IF(AND(AT$2&lt;&gt;0,TblTech[[#This Row],[Hour]:[Hour]]&gt;=AT$2),1,0)</f>
        <v>0</v>
      </c>
      <c r="AU119" s="276" cm="1">
        <f t="array" ref="AU119">IF(AND(AU$2&lt;&gt;0,TblTech[[#This Row],[Hour]:[Hour]]&gt;=AU$2),1,0)</f>
        <v>0</v>
      </c>
      <c r="AV119" s="276" cm="1">
        <f t="array" ref="AV119">IF(AND(AV$2&lt;&gt;0,TblTech[[#This Row],[Hour]:[Hour]]&gt;=AV$2),1,0)</f>
        <v>0</v>
      </c>
      <c r="AW119" s="276" cm="1">
        <f t="array" ref="AW119">IF(AND(AW$2&lt;&gt;0,TblTech[[#This Row],[Hour]:[Hour]]&gt;=AW$2),1,0)</f>
        <v>0</v>
      </c>
      <c r="AX119" s="276" cm="1">
        <f t="array" ref="AX119">IF(AND(AX$2&lt;&gt;0,TblTech[[#This Row],[Hour]:[Hour]]&gt;=AX$2),1,0)</f>
        <v>0</v>
      </c>
      <c r="AY119" s="276" cm="1">
        <f t="array" ref="AY119">IF(AND(AY$2&lt;&gt;0,TblTech[[#This Row],[Hour]:[Hour]]&gt;=AY$2),1,0)</f>
        <v>0</v>
      </c>
      <c r="AZ119" s="276" cm="1">
        <f t="array" ref="AZ119">IF(AND(AZ$2&lt;&gt;0,TblTech[[#This Row],[Hour]:[Hour]]&gt;=AZ$2),1,0)</f>
        <v>0</v>
      </c>
      <c r="BA119" s="276" cm="1">
        <f t="array" ref="BA119">IF(AND(BA$2&lt;&gt;0,TblTech[[#This Row],[Hour]:[Hour]]&gt;=BA$2),1,0)</f>
        <v>0</v>
      </c>
      <c r="BB119" s="276" cm="1">
        <f t="array" ref="BB119">IF(AND(BB$2&lt;&gt;0,TblTech[[#This Row],[Hour]:[Hour]]&gt;=BB$2),1,0)</f>
        <v>0</v>
      </c>
      <c r="BC119" s="276" cm="1">
        <f t="array" ref="BC119">IF(AND(BC$2&lt;&gt;0,TblTech[[#This Row],[Hour]:[Hour]]&gt;=BC$2),1,0)</f>
        <v>0</v>
      </c>
      <c r="BD119" s="276" cm="1">
        <f t="array" ref="BD119">IF(AND(BD$2&lt;&gt;0,TblTech[[#This Row],[Hour]:[Hour]]&gt;=BD$2),1,0)</f>
        <v>0</v>
      </c>
      <c r="BE119" s="276" cm="1">
        <f t="array" ref="BE119">IF(AND(BE$2&lt;&gt;0,TblTech[[#This Row],[Hour]:[Hour]]&gt;=BE$2),1,0)</f>
        <v>0</v>
      </c>
      <c r="BF119" s="276" cm="1">
        <f t="array" ref="BF119">IF(AND(BF$2&lt;&gt;0,TblTech[[#This Row],[Hour]:[Hour]]&gt;=BF$2),1,0)</f>
        <v>0</v>
      </c>
      <c r="BG119" s="276" cm="1">
        <f t="array" ref="BG119">IF(AND(BG$2&lt;&gt;0,TblTech[[#This Row],[Hour]:[Hour]]&gt;=BG$2),1,0)</f>
        <v>0</v>
      </c>
      <c r="BH119" s="276" cm="1">
        <f t="array" ref="BH119">IF(AND(BH$2&lt;&gt;0,TblTech[[#This Row],[Hour]:[Hour]]&gt;=BH$2),1,0)</f>
        <v>0</v>
      </c>
      <c r="BI119" s="276" cm="1">
        <f t="array" ref="BI119">IF(AND(BI$2&lt;&gt;0,TblTech[[#This Row],[Hour]:[Hour]]&gt;=BI$2),1,0)</f>
        <v>0</v>
      </c>
      <c r="BJ119" s="276" cm="1">
        <f t="array" ref="BJ119">IF(AND(BJ$2&lt;&gt;0,TblTech[[#This Row],[Hour]:[Hour]]&gt;=BJ$2),1,0)</f>
        <v>0</v>
      </c>
      <c r="BK119" s="276" cm="1">
        <f t="array" ref="BK119">IF(AND(BK$2&lt;&gt;0,TblTech[[#This Row],[Hour]:[Hour]]&gt;=BK$2),1,0)</f>
        <v>0</v>
      </c>
      <c r="BL119" s="276" cm="1">
        <f t="array" ref="BL119">IF(AND(BL$2&lt;&gt;0,TblTech[[#This Row],[Hour]:[Hour]]&gt;=BL$2),1,0)</f>
        <v>0</v>
      </c>
      <c r="BM119" s="276" cm="1">
        <f t="array" ref="BM119">IF(AND(BM$2&lt;&gt;0,TblTech[[#This Row],[Hour]:[Hour]]&gt;=BM$2),1,0)</f>
        <v>0</v>
      </c>
      <c r="BN119" s="276" cm="1">
        <f t="array" ref="BN119">IF(AND(BN$2&lt;&gt;0,TblTech[[#This Row],[Hour]:[Hour]]&gt;=BN$2),1,0)</f>
        <v>0</v>
      </c>
      <c r="BO119" s="276" cm="1">
        <f t="array" ref="BO119">IF(AND(BO$2&lt;&gt;0,TblTech[[#This Row],[Hour]:[Hour]]&gt;=BO$2),1,0)</f>
        <v>0</v>
      </c>
      <c r="BP119" s="276" cm="1">
        <f t="array" ref="BP119">IF(AND(BP$2&lt;&gt;0,TblTech[[#This Row],[Hour]:[Hour]]&gt;=BP$2),1,0)</f>
        <v>0</v>
      </c>
      <c r="BQ119" s="276" cm="1">
        <f t="array" ref="BQ119">IF(AND(BQ$2&lt;&gt;0,TblTech[[#This Row],[Hour]:[Hour]]&gt;=BQ$2),1,0)</f>
        <v>0</v>
      </c>
      <c r="BR119" s="276" cm="1">
        <f t="array" ref="BR119">IF(AND(BR$2&lt;&gt;0,TblTech[[#This Row],[Hour]:[Hour]]&gt;=BR$2),1,0)</f>
        <v>0</v>
      </c>
      <c r="BS119" s="276" cm="1">
        <f t="array" ref="BS119">IF(AND(BS$2&lt;&gt;0,TblTech[[#This Row],[Hour]:[Hour]]&gt;=BS$2),1,0)</f>
        <v>0</v>
      </c>
      <c r="BT119" s="276" cm="1">
        <f t="array" ref="BT119">IF(AND(BT$2&lt;&gt;0,TblTech[[#This Row],[Hour]:[Hour]]&gt;=BT$2),1,0)</f>
        <v>0</v>
      </c>
      <c r="BU119" s="276" cm="1">
        <f t="array" ref="BU119">IF(AND(BU$2&lt;&gt;0,TblTech[[#This Row],[Hour]:[Hour]]&gt;=BU$2),1,0)</f>
        <v>0</v>
      </c>
      <c r="BV119" s="276" cm="1">
        <f t="array" ref="BV119">IF(AND(BV$2&lt;&gt;0,TblTech[[#This Row],[Hour]:[Hour]]&gt;=BV$2),1,0)</f>
        <v>0</v>
      </c>
      <c r="BW119" s="276" cm="1">
        <f t="array" ref="BW119">IF(AND(BW$2&lt;&gt;0,TblTech[[#This Row],[Hour]:[Hour]]&gt;=BW$2),1,0)</f>
        <v>0</v>
      </c>
      <c r="BX119" s="276" cm="1">
        <f t="array" ref="BX119">IF(AND(BX$2&lt;&gt;0,TblTech[[#This Row],[Hour]:[Hour]]&gt;=BX$2),1,0)</f>
        <v>0</v>
      </c>
      <c r="BY119" s="276" cm="1">
        <f t="array" ref="BY119">IF(AND(BY$2&lt;&gt;0,TblTech[[#This Row],[Hour]:[Hour]]&gt;=BY$2),1,0)</f>
        <v>0</v>
      </c>
      <c r="BZ119" s="276" cm="1">
        <f t="array" ref="BZ119">IF(AND(BZ$2&lt;&gt;0,TblTech[[#This Row],[Hour]:[Hour]]&gt;=BZ$2),1,0)</f>
        <v>0</v>
      </c>
      <c r="CA119" s="377">
        <f>IFERROR(INDEX($H$4:$H$79,MATCH(INDEX(TblTech[[#Headers],[1-1]:[11-1]],1,MATCH(TblTech[[#This Row],[Hour]],$M$2:$BZ$2,0)),$G$4:$G$79,0)),)</f>
        <v>0</v>
      </c>
    </row>
    <row r="120" spans="1:79" x14ac:dyDescent="0.2">
      <c r="A120" s="268">
        <f>TblRezone[[#This Row],[Hour]]</f>
        <v>117</v>
      </c>
      <c r="B120" s="269">
        <f ca="1">TblExplore[[#This Row],[Land-DB]]</f>
        <v>110</v>
      </c>
      <c r="C120" s="270">
        <f ca="1">TblProd[[#This Row],[Techpoints]]</f>
        <v>0</v>
      </c>
      <c r="D120" s="270">
        <f ca="1">TblProd[[#This Row],[Required]]</f>
        <v>3750</v>
      </c>
      <c r="E120" s="279"/>
      <c r="F120" s="280"/>
      <c r="G120" s="273"/>
      <c r="H120" s="274"/>
      <c r="I120" s="274"/>
      <c r="J120" s="274"/>
      <c r="K120" s="93">
        <f ca="1">IF(TblTech[[#This Row],[Sum of tech]]&lt;&gt;OFFSET(TblTech[[#This Row],[Sum of tech]],-1,0),1,0)</f>
        <v>0</v>
      </c>
      <c r="L120" s="275">
        <f>COUNTIF(TblTech[[#This Row],[1-1]:[11-1]],1)</f>
        <v>0</v>
      </c>
      <c r="M120" s="276" cm="1">
        <f t="array" ref="M120">IF(AND(M$2&lt;&gt;0,TblTech[[#This Row],[Hour]:[Hour]]&gt;=M$2),1,0)</f>
        <v>0</v>
      </c>
      <c r="N120" s="276" cm="1">
        <f t="array" ref="N120">IF(AND(N$2&lt;&gt;0,TblTech[[#This Row],[Hour]:[Hour]]&gt;=N$2),1,0)</f>
        <v>0</v>
      </c>
      <c r="O120" s="276" cm="1">
        <f t="array" ref="O120">IF(AND(O$2&lt;&gt;0,TblTech[[#This Row],[Hour]:[Hour]]&gt;=O$2),1,0)</f>
        <v>0</v>
      </c>
      <c r="P120" s="276" cm="1">
        <f t="array" ref="P120">IF(AND(P$2&lt;&gt;0,TblTech[[#This Row],[Hour]:[Hour]]&gt;=P$2),1,0)</f>
        <v>0</v>
      </c>
      <c r="Q120" s="276" cm="1">
        <f t="array" ref="Q120">IF(AND(Q$2&lt;&gt;0,TblTech[[#This Row],[Hour]:[Hour]]&gt;=Q$2),1,0)</f>
        <v>0</v>
      </c>
      <c r="R120" s="276" cm="1">
        <f t="array" ref="R120">IF(AND(R$2&lt;&gt;0,TblTech[[#This Row],[Hour]:[Hour]]&gt;=R$2),1,0)</f>
        <v>0</v>
      </c>
      <c r="S120" s="276" cm="1">
        <f t="array" ref="S120">IF(AND(S$2&lt;&gt;0,TblTech[[#This Row],[Hour]:[Hour]]&gt;=S$2),1,0)</f>
        <v>0</v>
      </c>
      <c r="T120" s="276" cm="1">
        <f t="array" ref="T120">IF(AND(T$2&lt;&gt;0,TblTech[[#This Row],[Hour]:[Hour]]&gt;=T$2),1,0)</f>
        <v>0</v>
      </c>
      <c r="U120" s="276" cm="1">
        <f t="array" ref="U120">IF(AND(U$2&lt;&gt;0,TblTech[[#This Row],[Hour]:[Hour]]&gt;=U$2),1,0)</f>
        <v>0</v>
      </c>
      <c r="V120" s="276" cm="1">
        <f t="array" ref="V120">IF(AND(V$2&lt;&gt;0,TblTech[[#This Row],[Hour]:[Hour]]&gt;=V$2),1,0)</f>
        <v>0</v>
      </c>
      <c r="W120" s="276" cm="1">
        <f t="array" ref="W120">IF(AND(W$2&lt;&gt;0,TblTech[[#This Row],[Hour]:[Hour]]&gt;=W$2),1,0)</f>
        <v>0</v>
      </c>
      <c r="X120" s="276" cm="1">
        <f t="array" ref="X120">IF(AND(X$2&lt;&gt;0,TblTech[[#This Row],[Hour]:[Hour]]&gt;=X$2),1,0)</f>
        <v>0</v>
      </c>
      <c r="Y120" s="276" cm="1">
        <f t="array" ref="Y120">IF(AND(Y$2&lt;&gt;0,TblTech[[#This Row],[Hour]:[Hour]]&gt;=Y$2),1,0)</f>
        <v>0</v>
      </c>
      <c r="Z120" s="276" cm="1">
        <f t="array" ref="Z120">IF(AND(Z$2&lt;&gt;0,TblTech[[#This Row],[Hour]:[Hour]]&gt;=Z$2),1,0)</f>
        <v>0</v>
      </c>
      <c r="AA120" s="276" cm="1">
        <f t="array" ref="AA120">IF(AND(AA$2&lt;&gt;0,TblTech[[#This Row],[Hour]:[Hour]]&gt;=AA$2),1,0)</f>
        <v>0</v>
      </c>
      <c r="AB120" s="276" cm="1">
        <f t="array" ref="AB120">IF(AND(AB$2&lt;&gt;0,TblTech[[#This Row],[Hour]:[Hour]]&gt;=AB$2),1,0)</f>
        <v>0</v>
      </c>
      <c r="AC120" s="276" cm="1">
        <f t="array" ref="AC120">IF(AND(AC$2&lt;&gt;0,TblTech[[#This Row],[Hour]:[Hour]]&gt;=AC$2),1,0)</f>
        <v>0</v>
      </c>
      <c r="AD120" s="276" cm="1">
        <f t="array" ref="AD120">IF(AND(AD$2&lt;&gt;0,TblTech[[#This Row],[Hour]:[Hour]]&gt;=AD$2),1,0)</f>
        <v>0</v>
      </c>
      <c r="AE120" s="276" cm="1">
        <f t="array" ref="AE120">IF(AND(AE$2&lt;&gt;0,TblTech[[#This Row],[Hour]:[Hour]]&gt;=AE$2),1,0)</f>
        <v>0</v>
      </c>
      <c r="AF120" s="276" cm="1">
        <f t="array" ref="AF120">IF(AND(AF$2&lt;&gt;0,TblTech[[#This Row],[Hour]:[Hour]]&gt;=AF$2),1,0)</f>
        <v>0</v>
      </c>
      <c r="AG120" s="276" cm="1">
        <f t="array" ref="AG120">IF(AND(AG$2&lt;&gt;0,TblTech[[#This Row],[Hour]:[Hour]]&gt;=AG$2),1,0)</f>
        <v>0</v>
      </c>
      <c r="AH120" s="276" cm="1">
        <f t="array" ref="AH120">IF(AND(AH$2&lt;&gt;0,TblTech[[#This Row],[Hour]:[Hour]]&gt;=AH$2),1,0)</f>
        <v>0</v>
      </c>
      <c r="AI120" s="276" cm="1">
        <f t="array" ref="AI120">IF(AND(AI$2&lt;&gt;0,TblTech[[#This Row],[Hour]:[Hour]]&gt;=AI$2),1,0)</f>
        <v>0</v>
      </c>
      <c r="AJ120" s="276" cm="1">
        <f t="array" ref="AJ120">IF(AND(AJ$2&lt;&gt;0,TblTech[[#This Row],[Hour]:[Hour]]&gt;=AJ$2),1,0)</f>
        <v>0</v>
      </c>
      <c r="AK120" s="276" cm="1">
        <f t="array" ref="AK120">IF(AND(AK$2&lt;&gt;0,TblTech[[#This Row],[Hour]:[Hour]]&gt;=AK$2),1,0)</f>
        <v>0</v>
      </c>
      <c r="AL120" s="276" cm="1">
        <f t="array" ref="AL120">IF(AND(AL$2&lt;&gt;0,TblTech[[#This Row],[Hour]:[Hour]]&gt;=AL$2),1,0)</f>
        <v>0</v>
      </c>
      <c r="AM120" s="276" cm="1">
        <f t="array" ref="AM120">IF(AND(AM$2&lt;&gt;0,TblTech[[#This Row],[Hour]:[Hour]]&gt;=AM$2),1,0)</f>
        <v>0</v>
      </c>
      <c r="AN120" s="276" cm="1">
        <f t="array" ref="AN120">IF(AND(AN$2&lt;&gt;0,TblTech[[#This Row],[Hour]:[Hour]]&gt;=AN$2),1,0)</f>
        <v>0</v>
      </c>
      <c r="AO120" s="276" cm="1">
        <f t="array" ref="AO120">IF(AND(AO$2&lt;&gt;0,TblTech[[#This Row],[Hour]:[Hour]]&gt;=AO$2),1,0)</f>
        <v>0</v>
      </c>
      <c r="AP120" s="276" cm="1">
        <f t="array" ref="AP120">IF(AND(AP$2&lt;&gt;0,TblTech[[#This Row],[Hour]:[Hour]]&gt;=AP$2),1,0)</f>
        <v>0</v>
      </c>
      <c r="AQ120" s="276" cm="1">
        <f t="array" ref="AQ120">IF(AND(AQ$2&lt;&gt;0,TblTech[[#This Row],[Hour]:[Hour]]&gt;=AQ$2),1,0)</f>
        <v>0</v>
      </c>
      <c r="AR120" s="276" cm="1">
        <f t="array" ref="AR120">IF(AND(AR$2&lt;&gt;0,TblTech[[#This Row],[Hour]:[Hour]]&gt;=AR$2),1,0)</f>
        <v>0</v>
      </c>
      <c r="AS120" s="276" cm="1">
        <f t="array" ref="AS120">IF(AND(AS$2&lt;&gt;0,TblTech[[#This Row],[Hour]:[Hour]]&gt;=AS$2),1,0)</f>
        <v>0</v>
      </c>
      <c r="AT120" s="276" cm="1">
        <f t="array" ref="AT120">IF(AND(AT$2&lt;&gt;0,TblTech[[#This Row],[Hour]:[Hour]]&gt;=AT$2),1,0)</f>
        <v>0</v>
      </c>
      <c r="AU120" s="276" cm="1">
        <f t="array" ref="AU120">IF(AND(AU$2&lt;&gt;0,TblTech[[#This Row],[Hour]:[Hour]]&gt;=AU$2),1,0)</f>
        <v>0</v>
      </c>
      <c r="AV120" s="276" cm="1">
        <f t="array" ref="AV120">IF(AND(AV$2&lt;&gt;0,TblTech[[#This Row],[Hour]:[Hour]]&gt;=AV$2),1,0)</f>
        <v>0</v>
      </c>
      <c r="AW120" s="276" cm="1">
        <f t="array" ref="AW120">IF(AND(AW$2&lt;&gt;0,TblTech[[#This Row],[Hour]:[Hour]]&gt;=AW$2),1,0)</f>
        <v>0</v>
      </c>
      <c r="AX120" s="276" cm="1">
        <f t="array" ref="AX120">IF(AND(AX$2&lt;&gt;0,TblTech[[#This Row],[Hour]:[Hour]]&gt;=AX$2),1,0)</f>
        <v>0</v>
      </c>
      <c r="AY120" s="276" cm="1">
        <f t="array" ref="AY120">IF(AND(AY$2&lt;&gt;0,TblTech[[#This Row],[Hour]:[Hour]]&gt;=AY$2),1,0)</f>
        <v>0</v>
      </c>
      <c r="AZ120" s="276" cm="1">
        <f t="array" ref="AZ120">IF(AND(AZ$2&lt;&gt;0,TblTech[[#This Row],[Hour]:[Hour]]&gt;=AZ$2),1,0)</f>
        <v>0</v>
      </c>
      <c r="BA120" s="276" cm="1">
        <f t="array" ref="BA120">IF(AND(BA$2&lt;&gt;0,TblTech[[#This Row],[Hour]:[Hour]]&gt;=BA$2),1,0)</f>
        <v>0</v>
      </c>
      <c r="BB120" s="276" cm="1">
        <f t="array" ref="BB120">IF(AND(BB$2&lt;&gt;0,TblTech[[#This Row],[Hour]:[Hour]]&gt;=BB$2),1,0)</f>
        <v>0</v>
      </c>
      <c r="BC120" s="276" cm="1">
        <f t="array" ref="BC120">IF(AND(BC$2&lt;&gt;0,TblTech[[#This Row],[Hour]:[Hour]]&gt;=BC$2),1,0)</f>
        <v>0</v>
      </c>
      <c r="BD120" s="276" cm="1">
        <f t="array" ref="BD120">IF(AND(BD$2&lt;&gt;0,TblTech[[#This Row],[Hour]:[Hour]]&gt;=BD$2),1,0)</f>
        <v>0</v>
      </c>
      <c r="BE120" s="276" cm="1">
        <f t="array" ref="BE120">IF(AND(BE$2&lt;&gt;0,TblTech[[#This Row],[Hour]:[Hour]]&gt;=BE$2),1,0)</f>
        <v>0</v>
      </c>
      <c r="BF120" s="276" cm="1">
        <f t="array" ref="BF120">IF(AND(BF$2&lt;&gt;0,TblTech[[#This Row],[Hour]:[Hour]]&gt;=BF$2),1,0)</f>
        <v>0</v>
      </c>
      <c r="BG120" s="276" cm="1">
        <f t="array" ref="BG120">IF(AND(BG$2&lt;&gt;0,TblTech[[#This Row],[Hour]:[Hour]]&gt;=BG$2),1,0)</f>
        <v>0</v>
      </c>
      <c r="BH120" s="276" cm="1">
        <f t="array" ref="BH120">IF(AND(BH$2&lt;&gt;0,TblTech[[#This Row],[Hour]:[Hour]]&gt;=BH$2),1,0)</f>
        <v>0</v>
      </c>
      <c r="BI120" s="276" cm="1">
        <f t="array" ref="BI120">IF(AND(BI$2&lt;&gt;0,TblTech[[#This Row],[Hour]:[Hour]]&gt;=BI$2),1,0)</f>
        <v>0</v>
      </c>
      <c r="BJ120" s="276" cm="1">
        <f t="array" ref="BJ120">IF(AND(BJ$2&lt;&gt;0,TblTech[[#This Row],[Hour]:[Hour]]&gt;=BJ$2),1,0)</f>
        <v>0</v>
      </c>
      <c r="BK120" s="276" cm="1">
        <f t="array" ref="BK120">IF(AND(BK$2&lt;&gt;0,TblTech[[#This Row],[Hour]:[Hour]]&gt;=BK$2),1,0)</f>
        <v>0</v>
      </c>
      <c r="BL120" s="276" cm="1">
        <f t="array" ref="BL120">IF(AND(BL$2&lt;&gt;0,TblTech[[#This Row],[Hour]:[Hour]]&gt;=BL$2),1,0)</f>
        <v>0</v>
      </c>
      <c r="BM120" s="276" cm="1">
        <f t="array" ref="BM120">IF(AND(BM$2&lt;&gt;0,TblTech[[#This Row],[Hour]:[Hour]]&gt;=BM$2),1,0)</f>
        <v>0</v>
      </c>
      <c r="BN120" s="276" cm="1">
        <f t="array" ref="BN120">IF(AND(BN$2&lt;&gt;0,TblTech[[#This Row],[Hour]:[Hour]]&gt;=BN$2),1,0)</f>
        <v>0</v>
      </c>
      <c r="BO120" s="276" cm="1">
        <f t="array" ref="BO120">IF(AND(BO$2&lt;&gt;0,TblTech[[#This Row],[Hour]:[Hour]]&gt;=BO$2),1,0)</f>
        <v>0</v>
      </c>
      <c r="BP120" s="276" cm="1">
        <f t="array" ref="BP120">IF(AND(BP$2&lt;&gt;0,TblTech[[#This Row],[Hour]:[Hour]]&gt;=BP$2),1,0)</f>
        <v>0</v>
      </c>
      <c r="BQ120" s="276" cm="1">
        <f t="array" ref="BQ120">IF(AND(BQ$2&lt;&gt;0,TblTech[[#This Row],[Hour]:[Hour]]&gt;=BQ$2),1,0)</f>
        <v>0</v>
      </c>
      <c r="BR120" s="276" cm="1">
        <f t="array" ref="BR120">IF(AND(BR$2&lt;&gt;0,TblTech[[#This Row],[Hour]:[Hour]]&gt;=BR$2),1,0)</f>
        <v>0</v>
      </c>
      <c r="BS120" s="276" cm="1">
        <f t="array" ref="BS120">IF(AND(BS$2&lt;&gt;0,TblTech[[#This Row],[Hour]:[Hour]]&gt;=BS$2),1,0)</f>
        <v>0</v>
      </c>
      <c r="BT120" s="276" cm="1">
        <f t="array" ref="BT120">IF(AND(BT$2&lt;&gt;0,TblTech[[#This Row],[Hour]:[Hour]]&gt;=BT$2),1,0)</f>
        <v>0</v>
      </c>
      <c r="BU120" s="276" cm="1">
        <f t="array" ref="BU120">IF(AND(BU$2&lt;&gt;0,TblTech[[#This Row],[Hour]:[Hour]]&gt;=BU$2),1,0)</f>
        <v>0</v>
      </c>
      <c r="BV120" s="276" cm="1">
        <f t="array" ref="BV120">IF(AND(BV$2&lt;&gt;0,TblTech[[#This Row],[Hour]:[Hour]]&gt;=BV$2),1,0)</f>
        <v>0</v>
      </c>
      <c r="BW120" s="276" cm="1">
        <f t="array" ref="BW120">IF(AND(BW$2&lt;&gt;0,TblTech[[#This Row],[Hour]:[Hour]]&gt;=BW$2),1,0)</f>
        <v>0</v>
      </c>
      <c r="BX120" s="276" cm="1">
        <f t="array" ref="BX120">IF(AND(BX$2&lt;&gt;0,TblTech[[#This Row],[Hour]:[Hour]]&gt;=BX$2),1,0)</f>
        <v>0</v>
      </c>
      <c r="BY120" s="276" cm="1">
        <f t="array" ref="BY120">IF(AND(BY$2&lt;&gt;0,TblTech[[#This Row],[Hour]:[Hour]]&gt;=BY$2),1,0)</f>
        <v>0</v>
      </c>
      <c r="BZ120" s="276" cm="1">
        <f t="array" ref="BZ120">IF(AND(BZ$2&lt;&gt;0,TblTech[[#This Row],[Hour]:[Hour]]&gt;=BZ$2),1,0)</f>
        <v>0</v>
      </c>
      <c r="CA120" s="377">
        <f>IFERROR(INDEX($H$4:$H$79,MATCH(INDEX(TblTech[[#Headers],[1-1]:[11-1]],1,MATCH(TblTech[[#This Row],[Hour]],$M$2:$BZ$2,0)),$G$4:$G$79,0)),)</f>
        <v>0</v>
      </c>
    </row>
    <row r="121" spans="1:79" x14ac:dyDescent="0.2">
      <c r="A121" s="268">
        <f>TblRezone[[#This Row],[Hour]]</f>
        <v>118</v>
      </c>
      <c r="B121" s="269">
        <f ca="1">TblExplore[[#This Row],[Land-DB]]</f>
        <v>110</v>
      </c>
      <c r="C121" s="270">
        <f ca="1">TblProd[[#This Row],[Techpoints]]</f>
        <v>0</v>
      </c>
      <c r="D121" s="270">
        <f ca="1">TblProd[[#This Row],[Required]]</f>
        <v>3750</v>
      </c>
      <c r="E121" s="279"/>
      <c r="F121" s="280"/>
      <c r="G121" s="273"/>
      <c r="H121" s="274"/>
      <c r="I121" s="274"/>
      <c r="J121" s="274"/>
      <c r="K121" s="93">
        <f ca="1">IF(TblTech[[#This Row],[Sum of tech]]&lt;&gt;OFFSET(TblTech[[#This Row],[Sum of tech]],-1,0),1,0)</f>
        <v>0</v>
      </c>
      <c r="L121" s="275">
        <f>COUNTIF(TblTech[[#This Row],[1-1]:[11-1]],1)</f>
        <v>0</v>
      </c>
      <c r="M121" s="276" cm="1">
        <f t="array" ref="M121">IF(AND(M$2&lt;&gt;0,TblTech[[#This Row],[Hour]:[Hour]]&gt;=M$2),1,0)</f>
        <v>0</v>
      </c>
      <c r="N121" s="276" cm="1">
        <f t="array" ref="N121">IF(AND(N$2&lt;&gt;0,TblTech[[#This Row],[Hour]:[Hour]]&gt;=N$2),1,0)</f>
        <v>0</v>
      </c>
      <c r="O121" s="276" cm="1">
        <f t="array" ref="O121">IF(AND(O$2&lt;&gt;0,TblTech[[#This Row],[Hour]:[Hour]]&gt;=O$2),1,0)</f>
        <v>0</v>
      </c>
      <c r="P121" s="276" cm="1">
        <f t="array" ref="P121">IF(AND(P$2&lt;&gt;0,TblTech[[#This Row],[Hour]:[Hour]]&gt;=P$2),1,0)</f>
        <v>0</v>
      </c>
      <c r="Q121" s="276" cm="1">
        <f t="array" ref="Q121">IF(AND(Q$2&lt;&gt;0,TblTech[[#This Row],[Hour]:[Hour]]&gt;=Q$2),1,0)</f>
        <v>0</v>
      </c>
      <c r="R121" s="276" cm="1">
        <f t="array" ref="R121">IF(AND(R$2&lt;&gt;0,TblTech[[#This Row],[Hour]:[Hour]]&gt;=R$2),1,0)</f>
        <v>0</v>
      </c>
      <c r="S121" s="276" cm="1">
        <f t="array" ref="S121">IF(AND(S$2&lt;&gt;0,TblTech[[#This Row],[Hour]:[Hour]]&gt;=S$2),1,0)</f>
        <v>0</v>
      </c>
      <c r="T121" s="276" cm="1">
        <f t="array" ref="T121">IF(AND(T$2&lt;&gt;0,TblTech[[#This Row],[Hour]:[Hour]]&gt;=T$2),1,0)</f>
        <v>0</v>
      </c>
      <c r="U121" s="276" cm="1">
        <f t="array" ref="U121">IF(AND(U$2&lt;&gt;0,TblTech[[#This Row],[Hour]:[Hour]]&gt;=U$2),1,0)</f>
        <v>0</v>
      </c>
      <c r="V121" s="276" cm="1">
        <f t="array" ref="V121">IF(AND(V$2&lt;&gt;0,TblTech[[#This Row],[Hour]:[Hour]]&gt;=V$2),1,0)</f>
        <v>0</v>
      </c>
      <c r="W121" s="276" cm="1">
        <f t="array" ref="W121">IF(AND(W$2&lt;&gt;0,TblTech[[#This Row],[Hour]:[Hour]]&gt;=W$2),1,0)</f>
        <v>0</v>
      </c>
      <c r="X121" s="276" cm="1">
        <f t="array" ref="X121">IF(AND(X$2&lt;&gt;0,TblTech[[#This Row],[Hour]:[Hour]]&gt;=X$2),1,0)</f>
        <v>0</v>
      </c>
      <c r="Y121" s="276" cm="1">
        <f t="array" ref="Y121">IF(AND(Y$2&lt;&gt;0,TblTech[[#This Row],[Hour]:[Hour]]&gt;=Y$2),1,0)</f>
        <v>0</v>
      </c>
      <c r="Z121" s="276" cm="1">
        <f t="array" ref="Z121">IF(AND(Z$2&lt;&gt;0,TblTech[[#This Row],[Hour]:[Hour]]&gt;=Z$2),1,0)</f>
        <v>0</v>
      </c>
      <c r="AA121" s="276" cm="1">
        <f t="array" ref="AA121">IF(AND(AA$2&lt;&gt;0,TblTech[[#This Row],[Hour]:[Hour]]&gt;=AA$2),1,0)</f>
        <v>0</v>
      </c>
      <c r="AB121" s="276" cm="1">
        <f t="array" ref="AB121">IF(AND(AB$2&lt;&gt;0,TblTech[[#This Row],[Hour]:[Hour]]&gt;=AB$2),1,0)</f>
        <v>0</v>
      </c>
      <c r="AC121" s="276" cm="1">
        <f t="array" ref="AC121">IF(AND(AC$2&lt;&gt;0,TblTech[[#This Row],[Hour]:[Hour]]&gt;=AC$2),1,0)</f>
        <v>0</v>
      </c>
      <c r="AD121" s="276" cm="1">
        <f t="array" ref="AD121">IF(AND(AD$2&lt;&gt;0,TblTech[[#This Row],[Hour]:[Hour]]&gt;=AD$2),1,0)</f>
        <v>0</v>
      </c>
      <c r="AE121" s="276" cm="1">
        <f t="array" ref="AE121">IF(AND(AE$2&lt;&gt;0,TblTech[[#This Row],[Hour]:[Hour]]&gt;=AE$2),1,0)</f>
        <v>0</v>
      </c>
      <c r="AF121" s="276" cm="1">
        <f t="array" ref="AF121">IF(AND(AF$2&lt;&gt;0,TblTech[[#This Row],[Hour]:[Hour]]&gt;=AF$2),1,0)</f>
        <v>0</v>
      </c>
      <c r="AG121" s="276" cm="1">
        <f t="array" ref="AG121">IF(AND(AG$2&lt;&gt;0,TblTech[[#This Row],[Hour]:[Hour]]&gt;=AG$2),1,0)</f>
        <v>0</v>
      </c>
      <c r="AH121" s="276" cm="1">
        <f t="array" ref="AH121">IF(AND(AH$2&lt;&gt;0,TblTech[[#This Row],[Hour]:[Hour]]&gt;=AH$2),1,0)</f>
        <v>0</v>
      </c>
      <c r="AI121" s="276" cm="1">
        <f t="array" ref="AI121">IF(AND(AI$2&lt;&gt;0,TblTech[[#This Row],[Hour]:[Hour]]&gt;=AI$2),1,0)</f>
        <v>0</v>
      </c>
      <c r="AJ121" s="276" cm="1">
        <f t="array" ref="AJ121">IF(AND(AJ$2&lt;&gt;0,TblTech[[#This Row],[Hour]:[Hour]]&gt;=AJ$2),1,0)</f>
        <v>0</v>
      </c>
      <c r="AK121" s="276" cm="1">
        <f t="array" ref="AK121">IF(AND(AK$2&lt;&gt;0,TblTech[[#This Row],[Hour]:[Hour]]&gt;=AK$2),1,0)</f>
        <v>0</v>
      </c>
      <c r="AL121" s="276" cm="1">
        <f t="array" ref="AL121">IF(AND(AL$2&lt;&gt;0,TblTech[[#This Row],[Hour]:[Hour]]&gt;=AL$2),1,0)</f>
        <v>0</v>
      </c>
      <c r="AM121" s="276" cm="1">
        <f t="array" ref="AM121">IF(AND(AM$2&lt;&gt;0,TblTech[[#This Row],[Hour]:[Hour]]&gt;=AM$2),1,0)</f>
        <v>0</v>
      </c>
      <c r="AN121" s="276" cm="1">
        <f t="array" ref="AN121">IF(AND(AN$2&lt;&gt;0,TblTech[[#This Row],[Hour]:[Hour]]&gt;=AN$2),1,0)</f>
        <v>0</v>
      </c>
      <c r="AO121" s="276" cm="1">
        <f t="array" ref="AO121">IF(AND(AO$2&lt;&gt;0,TblTech[[#This Row],[Hour]:[Hour]]&gt;=AO$2),1,0)</f>
        <v>0</v>
      </c>
      <c r="AP121" s="276" cm="1">
        <f t="array" ref="AP121">IF(AND(AP$2&lt;&gt;0,TblTech[[#This Row],[Hour]:[Hour]]&gt;=AP$2),1,0)</f>
        <v>0</v>
      </c>
      <c r="AQ121" s="276" cm="1">
        <f t="array" ref="AQ121">IF(AND(AQ$2&lt;&gt;0,TblTech[[#This Row],[Hour]:[Hour]]&gt;=AQ$2),1,0)</f>
        <v>0</v>
      </c>
      <c r="AR121" s="276" cm="1">
        <f t="array" ref="AR121">IF(AND(AR$2&lt;&gt;0,TblTech[[#This Row],[Hour]:[Hour]]&gt;=AR$2),1,0)</f>
        <v>0</v>
      </c>
      <c r="AS121" s="276" cm="1">
        <f t="array" ref="AS121">IF(AND(AS$2&lt;&gt;0,TblTech[[#This Row],[Hour]:[Hour]]&gt;=AS$2),1,0)</f>
        <v>0</v>
      </c>
      <c r="AT121" s="276" cm="1">
        <f t="array" ref="AT121">IF(AND(AT$2&lt;&gt;0,TblTech[[#This Row],[Hour]:[Hour]]&gt;=AT$2),1,0)</f>
        <v>0</v>
      </c>
      <c r="AU121" s="276" cm="1">
        <f t="array" ref="AU121">IF(AND(AU$2&lt;&gt;0,TblTech[[#This Row],[Hour]:[Hour]]&gt;=AU$2),1,0)</f>
        <v>0</v>
      </c>
      <c r="AV121" s="276" cm="1">
        <f t="array" ref="AV121">IF(AND(AV$2&lt;&gt;0,TblTech[[#This Row],[Hour]:[Hour]]&gt;=AV$2),1,0)</f>
        <v>0</v>
      </c>
      <c r="AW121" s="276" cm="1">
        <f t="array" ref="AW121">IF(AND(AW$2&lt;&gt;0,TblTech[[#This Row],[Hour]:[Hour]]&gt;=AW$2),1,0)</f>
        <v>0</v>
      </c>
      <c r="AX121" s="276" cm="1">
        <f t="array" ref="AX121">IF(AND(AX$2&lt;&gt;0,TblTech[[#This Row],[Hour]:[Hour]]&gt;=AX$2),1,0)</f>
        <v>0</v>
      </c>
      <c r="AY121" s="276" cm="1">
        <f t="array" ref="AY121">IF(AND(AY$2&lt;&gt;0,TblTech[[#This Row],[Hour]:[Hour]]&gt;=AY$2),1,0)</f>
        <v>0</v>
      </c>
      <c r="AZ121" s="276" cm="1">
        <f t="array" ref="AZ121">IF(AND(AZ$2&lt;&gt;0,TblTech[[#This Row],[Hour]:[Hour]]&gt;=AZ$2),1,0)</f>
        <v>0</v>
      </c>
      <c r="BA121" s="276" cm="1">
        <f t="array" ref="BA121">IF(AND(BA$2&lt;&gt;0,TblTech[[#This Row],[Hour]:[Hour]]&gt;=BA$2),1,0)</f>
        <v>0</v>
      </c>
      <c r="BB121" s="276" cm="1">
        <f t="array" ref="BB121">IF(AND(BB$2&lt;&gt;0,TblTech[[#This Row],[Hour]:[Hour]]&gt;=BB$2),1,0)</f>
        <v>0</v>
      </c>
      <c r="BC121" s="276" cm="1">
        <f t="array" ref="BC121">IF(AND(BC$2&lt;&gt;0,TblTech[[#This Row],[Hour]:[Hour]]&gt;=BC$2),1,0)</f>
        <v>0</v>
      </c>
      <c r="BD121" s="276" cm="1">
        <f t="array" ref="BD121">IF(AND(BD$2&lt;&gt;0,TblTech[[#This Row],[Hour]:[Hour]]&gt;=BD$2),1,0)</f>
        <v>0</v>
      </c>
      <c r="BE121" s="276" cm="1">
        <f t="array" ref="BE121">IF(AND(BE$2&lt;&gt;0,TblTech[[#This Row],[Hour]:[Hour]]&gt;=BE$2),1,0)</f>
        <v>0</v>
      </c>
      <c r="BF121" s="276" cm="1">
        <f t="array" ref="BF121">IF(AND(BF$2&lt;&gt;0,TblTech[[#This Row],[Hour]:[Hour]]&gt;=BF$2),1,0)</f>
        <v>0</v>
      </c>
      <c r="BG121" s="276" cm="1">
        <f t="array" ref="BG121">IF(AND(BG$2&lt;&gt;0,TblTech[[#This Row],[Hour]:[Hour]]&gt;=BG$2),1,0)</f>
        <v>0</v>
      </c>
      <c r="BH121" s="276" cm="1">
        <f t="array" ref="BH121">IF(AND(BH$2&lt;&gt;0,TblTech[[#This Row],[Hour]:[Hour]]&gt;=BH$2),1,0)</f>
        <v>0</v>
      </c>
      <c r="BI121" s="276" cm="1">
        <f t="array" ref="BI121">IF(AND(BI$2&lt;&gt;0,TblTech[[#This Row],[Hour]:[Hour]]&gt;=BI$2),1,0)</f>
        <v>0</v>
      </c>
      <c r="BJ121" s="276" cm="1">
        <f t="array" ref="BJ121">IF(AND(BJ$2&lt;&gt;0,TblTech[[#This Row],[Hour]:[Hour]]&gt;=BJ$2),1,0)</f>
        <v>0</v>
      </c>
      <c r="BK121" s="276" cm="1">
        <f t="array" ref="BK121">IF(AND(BK$2&lt;&gt;0,TblTech[[#This Row],[Hour]:[Hour]]&gt;=BK$2),1,0)</f>
        <v>0</v>
      </c>
      <c r="BL121" s="276" cm="1">
        <f t="array" ref="BL121">IF(AND(BL$2&lt;&gt;0,TblTech[[#This Row],[Hour]:[Hour]]&gt;=BL$2),1,0)</f>
        <v>0</v>
      </c>
      <c r="BM121" s="276" cm="1">
        <f t="array" ref="BM121">IF(AND(BM$2&lt;&gt;0,TblTech[[#This Row],[Hour]:[Hour]]&gt;=BM$2),1,0)</f>
        <v>0</v>
      </c>
      <c r="BN121" s="276" cm="1">
        <f t="array" ref="BN121">IF(AND(BN$2&lt;&gt;0,TblTech[[#This Row],[Hour]:[Hour]]&gt;=BN$2),1,0)</f>
        <v>0</v>
      </c>
      <c r="BO121" s="276" cm="1">
        <f t="array" ref="BO121">IF(AND(BO$2&lt;&gt;0,TblTech[[#This Row],[Hour]:[Hour]]&gt;=BO$2),1,0)</f>
        <v>0</v>
      </c>
      <c r="BP121" s="276" cm="1">
        <f t="array" ref="BP121">IF(AND(BP$2&lt;&gt;0,TblTech[[#This Row],[Hour]:[Hour]]&gt;=BP$2),1,0)</f>
        <v>0</v>
      </c>
      <c r="BQ121" s="276" cm="1">
        <f t="array" ref="BQ121">IF(AND(BQ$2&lt;&gt;0,TblTech[[#This Row],[Hour]:[Hour]]&gt;=BQ$2),1,0)</f>
        <v>0</v>
      </c>
      <c r="BR121" s="276" cm="1">
        <f t="array" ref="BR121">IF(AND(BR$2&lt;&gt;0,TblTech[[#This Row],[Hour]:[Hour]]&gt;=BR$2),1,0)</f>
        <v>0</v>
      </c>
      <c r="BS121" s="276" cm="1">
        <f t="array" ref="BS121">IF(AND(BS$2&lt;&gt;0,TblTech[[#This Row],[Hour]:[Hour]]&gt;=BS$2),1,0)</f>
        <v>0</v>
      </c>
      <c r="BT121" s="276" cm="1">
        <f t="array" ref="BT121">IF(AND(BT$2&lt;&gt;0,TblTech[[#This Row],[Hour]:[Hour]]&gt;=BT$2),1,0)</f>
        <v>0</v>
      </c>
      <c r="BU121" s="276" cm="1">
        <f t="array" ref="BU121">IF(AND(BU$2&lt;&gt;0,TblTech[[#This Row],[Hour]:[Hour]]&gt;=BU$2),1,0)</f>
        <v>0</v>
      </c>
      <c r="BV121" s="276" cm="1">
        <f t="array" ref="BV121">IF(AND(BV$2&lt;&gt;0,TblTech[[#This Row],[Hour]:[Hour]]&gt;=BV$2),1,0)</f>
        <v>0</v>
      </c>
      <c r="BW121" s="276" cm="1">
        <f t="array" ref="BW121">IF(AND(BW$2&lt;&gt;0,TblTech[[#This Row],[Hour]:[Hour]]&gt;=BW$2),1,0)</f>
        <v>0</v>
      </c>
      <c r="BX121" s="276" cm="1">
        <f t="array" ref="BX121">IF(AND(BX$2&lt;&gt;0,TblTech[[#This Row],[Hour]:[Hour]]&gt;=BX$2),1,0)</f>
        <v>0</v>
      </c>
      <c r="BY121" s="276" cm="1">
        <f t="array" ref="BY121">IF(AND(BY$2&lt;&gt;0,TblTech[[#This Row],[Hour]:[Hour]]&gt;=BY$2),1,0)</f>
        <v>0</v>
      </c>
      <c r="BZ121" s="276" cm="1">
        <f t="array" ref="BZ121">IF(AND(BZ$2&lt;&gt;0,TblTech[[#This Row],[Hour]:[Hour]]&gt;=BZ$2),1,0)</f>
        <v>0</v>
      </c>
      <c r="CA121" s="377">
        <f>IFERROR(INDEX($H$4:$H$79,MATCH(INDEX(TblTech[[#Headers],[1-1]:[11-1]],1,MATCH(TblTech[[#This Row],[Hour]],$M$2:$BZ$2,0)),$G$4:$G$79,0)),)</f>
        <v>0</v>
      </c>
    </row>
    <row r="122" spans="1:79" x14ac:dyDescent="0.2">
      <c r="A122" s="268">
        <f>TblRezone[[#This Row],[Hour]]</f>
        <v>119</v>
      </c>
      <c r="B122" s="269">
        <f ca="1">TblExplore[[#This Row],[Land-DB]]</f>
        <v>110</v>
      </c>
      <c r="C122" s="270">
        <f ca="1">TblProd[[#This Row],[Techpoints]]</f>
        <v>0</v>
      </c>
      <c r="D122" s="270">
        <f ca="1">TblProd[[#This Row],[Required]]</f>
        <v>3750</v>
      </c>
      <c r="E122" s="279"/>
      <c r="F122" s="280"/>
      <c r="G122" s="273"/>
      <c r="H122" s="274"/>
      <c r="I122" s="274"/>
      <c r="J122" s="274"/>
      <c r="K122" s="93">
        <f ca="1">IF(TblTech[[#This Row],[Sum of tech]]&lt;&gt;OFFSET(TblTech[[#This Row],[Sum of tech]],-1,0),1,0)</f>
        <v>0</v>
      </c>
      <c r="L122" s="275">
        <f>COUNTIF(TblTech[[#This Row],[1-1]:[11-1]],1)</f>
        <v>0</v>
      </c>
      <c r="M122" s="276" cm="1">
        <f t="array" ref="M122">IF(AND(M$2&lt;&gt;0,TblTech[[#This Row],[Hour]:[Hour]]&gt;=M$2),1,0)</f>
        <v>0</v>
      </c>
      <c r="N122" s="276" cm="1">
        <f t="array" ref="N122">IF(AND(N$2&lt;&gt;0,TblTech[[#This Row],[Hour]:[Hour]]&gt;=N$2),1,0)</f>
        <v>0</v>
      </c>
      <c r="O122" s="276" cm="1">
        <f t="array" ref="O122">IF(AND(O$2&lt;&gt;0,TblTech[[#This Row],[Hour]:[Hour]]&gt;=O$2),1,0)</f>
        <v>0</v>
      </c>
      <c r="P122" s="276" cm="1">
        <f t="array" ref="P122">IF(AND(P$2&lt;&gt;0,TblTech[[#This Row],[Hour]:[Hour]]&gt;=P$2),1,0)</f>
        <v>0</v>
      </c>
      <c r="Q122" s="276" cm="1">
        <f t="array" ref="Q122">IF(AND(Q$2&lt;&gt;0,TblTech[[#This Row],[Hour]:[Hour]]&gt;=Q$2),1,0)</f>
        <v>0</v>
      </c>
      <c r="R122" s="276" cm="1">
        <f t="array" ref="R122">IF(AND(R$2&lt;&gt;0,TblTech[[#This Row],[Hour]:[Hour]]&gt;=R$2),1,0)</f>
        <v>0</v>
      </c>
      <c r="S122" s="276" cm="1">
        <f t="array" ref="S122">IF(AND(S$2&lt;&gt;0,TblTech[[#This Row],[Hour]:[Hour]]&gt;=S$2),1,0)</f>
        <v>0</v>
      </c>
      <c r="T122" s="276" cm="1">
        <f t="array" ref="T122">IF(AND(T$2&lt;&gt;0,TblTech[[#This Row],[Hour]:[Hour]]&gt;=T$2),1,0)</f>
        <v>0</v>
      </c>
      <c r="U122" s="276" cm="1">
        <f t="array" ref="U122">IF(AND(U$2&lt;&gt;0,TblTech[[#This Row],[Hour]:[Hour]]&gt;=U$2),1,0)</f>
        <v>0</v>
      </c>
      <c r="V122" s="276" cm="1">
        <f t="array" ref="V122">IF(AND(V$2&lt;&gt;0,TblTech[[#This Row],[Hour]:[Hour]]&gt;=V$2),1,0)</f>
        <v>0</v>
      </c>
      <c r="W122" s="276" cm="1">
        <f t="array" ref="W122">IF(AND(W$2&lt;&gt;0,TblTech[[#This Row],[Hour]:[Hour]]&gt;=W$2),1,0)</f>
        <v>0</v>
      </c>
      <c r="X122" s="276" cm="1">
        <f t="array" ref="X122">IF(AND(X$2&lt;&gt;0,TblTech[[#This Row],[Hour]:[Hour]]&gt;=X$2),1,0)</f>
        <v>0</v>
      </c>
      <c r="Y122" s="276" cm="1">
        <f t="array" ref="Y122">IF(AND(Y$2&lt;&gt;0,TblTech[[#This Row],[Hour]:[Hour]]&gt;=Y$2),1,0)</f>
        <v>0</v>
      </c>
      <c r="Z122" s="276" cm="1">
        <f t="array" ref="Z122">IF(AND(Z$2&lt;&gt;0,TblTech[[#This Row],[Hour]:[Hour]]&gt;=Z$2),1,0)</f>
        <v>0</v>
      </c>
      <c r="AA122" s="276" cm="1">
        <f t="array" ref="AA122">IF(AND(AA$2&lt;&gt;0,TblTech[[#This Row],[Hour]:[Hour]]&gt;=AA$2),1,0)</f>
        <v>0</v>
      </c>
      <c r="AB122" s="276" cm="1">
        <f t="array" ref="AB122">IF(AND(AB$2&lt;&gt;0,TblTech[[#This Row],[Hour]:[Hour]]&gt;=AB$2),1,0)</f>
        <v>0</v>
      </c>
      <c r="AC122" s="276" cm="1">
        <f t="array" ref="AC122">IF(AND(AC$2&lt;&gt;0,TblTech[[#This Row],[Hour]:[Hour]]&gt;=AC$2),1,0)</f>
        <v>0</v>
      </c>
      <c r="AD122" s="276" cm="1">
        <f t="array" ref="AD122">IF(AND(AD$2&lt;&gt;0,TblTech[[#This Row],[Hour]:[Hour]]&gt;=AD$2),1,0)</f>
        <v>0</v>
      </c>
      <c r="AE122" s="276" cm="1">
        <f t="array" ref="AE122">IF(AND(AE$2&lt;&gt;0,TblTech[[#This Row],[Hour]:[Hour]]&gt;=AE$2),1,0)</f>
        <v>0</v>
      </c>
      <c r="AF122" s="276" cm="1">
        <f t="array" ref="AF122">IF(AND(AF$2&lt;&gt;0,TblTech[[#This Row],[Hour]:[Hour]]&gt;=AF$2),1,0)</f>
        <v>0</v>
      </c>
      <c r="AG122" s="276" cm="1">
        <f t="array" ref="AG122">IF(AND(AG$2&lt;&gt;0,TblTech[[#This Row],[Hour]:[Hour]]&gt;=AG$2),1,0)</f>
        <v>0</v>
      </c>
      <c r="AH122" s="276" cm="1">
        <f t="array" ref="AH122">IF(AND(AH$2&lt;&gt;0,TblTech[[#This Row],[Hour]:[Hour]]&gt;=AH$2),1,0)</f>
        <v>0</v>
      </c>
      <c r="AI122" s="276" cm="1">
        <f t="array" ref="AI122">IF(AND(AI$2&lt;&gt;0,TblTech[[#This Row],[Hour]:[Hour]]&gt;=AI$2),1,0)</f>
        <v>0</v>
      </c>
      <c r="AJ122" s="276" cm="1">
        <f t="array" ref="AJ122">IF(AND(AJ$2&lt;&gt;0,TblTech[[#This Row],[Hour]:[Hour]]&gt;=AJ$2),1,0)</f>
        <v>0</v>
      </c>
      <c r="AK122" s="276" cm="1">
        <f t="array" ref="AK122">IF(AND(AK$2&lt;&gt;0,TblTech[[#This Row],[Hour]:[Hour]]&gt;=AK$2),1,0)</f>
        <v>0</v>
      </c>
      <c r="AL122" s="276" cm="1">
        <f t="array" ref="AL122">IF(AND(AL$2&lt;&gt;0,TblTech[[#This Row],[Hour]:[Hour]]&gt;=AL$2),1,0)</f>
        <v>0</v>
      </c>
      <c r="AM122" s="276" cm="1">
        <f t="array" ref="AM122">IF(AND(AM$2&lt;&gt;0,TblTech[[#This Row],[Hour]:[Hour]]&gt;=AM$2),1,0)</f>
        <v>0</v>
      </c>
      <c r="AN122" s="276" cm="1">
        <f t="array" ref="AN122">IF(AND(AN$2&lt;&gt;0,TblTech[[#This Row],[Hour]:[Hour]]&gt;=AN$2),1,0)</f>
        <v>0</v>
      </c>
      <c r="AO122" s="276" cm="1">
        <f t="array" ref="AO122">IF(AND(AO$2&lt;&gt;0,TblTech[[#This Row],[Hour]:[Hour]]&gt;=AO$2),1,0)</f>
        <v>0</v>
      </c>
      <c r="AP122" s="276" cm="1">
        <f t="array" ref="AP122">IF(AND(AP$2&lt;&gt;0,TblTech[[#This Row],[Hour]:[Hour]]&gt;=AP$2),1,0)</f>
        <v>0</v>
      </c>
      <c r="AQ122" s="276" cm="1">
        <f t="array" ref="AQ122">IF(AND(AQ$2&lt;&gt;0,TblTech[[#This Row],[Hour]:[Hour]]&gt;=AQ$2),1,0)</f>
        <v>0</v>
      </c>
      <c r="AR122" s="276" cm="1">
        <f t="array" ref="AR122">IF(AND(AR$2&lt;&gt;0,TblTech[[#This Row],[Hour]:[Hour]]&gt;=AR$2),1,0)</f>
        <v>0</v>
      </c>
      <c r="AS122" s="276" cm="1">
        <f t="array" ref="AS122">IF(AND(AS$2&lt;&gt;0,TblTech[[#This Row],[Hour]:[Hour]]&gt;=AS$2),1,0)</f>
        <v>0</v>
      </c>
      <c r="AT122" s="276" cm="1">
        <f t="array" ref="AT122">IF(AND(AT$2&lt;&gt;0,TblTech[[#This Row],[Hour]:[Hour]]&gt;=AT$2),1,0)</f>
        <v>0</v>
      </c>
      <c r="AU122" s="276" cm="1">
        <f t="array" ref="AU122">IF(AND(AU$2&lt;&gt;0,TblTech[[#This Row],[Hour]:[Hour]]&gt;=AU$2),1,0)</f>
        <v>0</v>
      </c>
      <c r="AV122" s="276" cm="1">
        <f t="array" ref="AV122">IF(AND(AV$2&lt;&gt;0,TblTech[[#This Row],[Hour]:[Hour]]&gt;=AV$2),1,0)</f>
        <v>0</v>
      </c>
      <c r="AW122" s="276" cm="1">
        <f t="array" ref="AW122">IF(AND(AW$2&lt;&gt;0,TblTech[[#This Row],[Hour]:[Hour]]&gt;=AW$2),1,0)</f>
        <v>0</v>
      </c>
      <c r="AX122" s="276" cm="1">
        <f t="array" ref="AX122">IF(AND(AX$2&lt;&gt;0,TblTech[[#This Row],[Hour]:[Hour]]&gt;=AX$2),1,0)</f>
        <v>0</v>
      </c>
      <c r="AY122" s="276" cm="1">
        <f t="array" ref="AY122">IF(AND(AY$2&lt;&gt;0,TblTech[[#This Row],[Hour]:[Hour]]&gt;=AY$2),1,0)</f>
        <v>0</v>
      </c>
      <c r="AZ122" s="276" cm="1">
        <f t="array" ref="AZ122">IF(AND(AZ$2&lt;&gt;0,TblTech[[#This Row],[Hour]:[Hour]]&gt;=AZ$2),1,0)</f>
        <v>0</v>
      </c>
      <c r="BA122" s="276" cm="1">
        <f t="array" ref="BA122">IF(AND(BA$2&lt;&gt;0,TblTech[[#This Row],[Hour]:[Hour]]&gt;=BA$2),1,0)</f>
        <v>0</v>
      </c>
      <c r="BB122" s="276" cm="1">
        <f t="array" ref="BB122">IF(AND(BB$2&lt;&gt;0,TblTech[[#This Row],[Hour]:[Hour]]&gt;=BB$2),1,0)</f>
        <v>0</v>
      </c>
      <c r="BC122" s="276" cm="1">
        <f t="array" ref="BC122">IF(AND(BC$2&lt;&gt;0,TblTech[[#This Row],[Hour]:[Hour]]&gt;=BC$2),1,0)</f>
        <v>0</v>
      </c>
      <c r="BD122" s="276" cm="1">
        <f t="array" ref="BD122">IF(AND(BD$2&lt;&gt;0,TblTech[[#This Row],[Hour]:[Hour]]&gt;=BD$2),1,0)</f>
        <v>0</v>
      </c>
      <c r="BE122" s="276" cm="1">
        <f t="array" ref="BE122">IF(AND(BE$2&lt;&gt;0,TblTech[[#This Row],[Hour]:[Hour]]&gt;=BE$2),1,0)</f>
        <v>0</v>
      </c>
      <c r="BF122" s="276" cm="1">
        <f t="array" ref="BF122">IF(AND(BF$2&lt;&gt;0,TblTech[[#This Row],[Hour]:[Hour]]&gt;=BF$2),1,0)</f>
        <v>0</v>
      </c>
      <c r="BG122" s="276" cm="1">
        <f t="array" ref="BG122">IF(AND(BG$2&lt;&gt;0,TblTech[[#This Row],[Hour]:[Hour]]&gt;=BG$2),1,0)</f>
        <v>0</v>
      </c>
      <c r="BH122" s="276" cm="1">
        <f t="array" ref="BH122">IF(AND(BH$2&lt;&gt;0,TblTech[[#This Row],[Hour]:[Hour]]&gt;=BH$2),1,0)</f>
        <v>0</v>
      </c>
      <c r="BI122" s="276" cm="1">
        <f t="array" ref="BI122">IF(AND(BI$2&lt;&gt;0,TblTech[[#This Row],[Hour]:[Hour]]&gt;=BI$2),1,0)</f>
        <v>0</v>
      </c>
      <c r="BJ122" s="276" cm="1">
        <f t="array" ref="BJ122">IF(AND(BJ$2&lt;&gt;0,TblTech[[#This Row],[Hour]:[Hour]]&gt;=BJ$2),1,0)</f>
        <v>0</v>
      </c>
      <c r="BK122" s="276" cm="1">
        <f t="array" ref="BK122">IF(AND(BK$2&lt;&gt;0,TblTech[[#This Row],[Hour]:[Hour]]&gt;=BK$2),1,0)</f>
        <v>0</v>
      </c>
      <c r="BL122" s="276" cm="1">
        <f t="array" ref="BL122">IF(AND(BL$2&lt;&gt;0,TblTech[[#This Row],[Hour]:[Hour]]&gt;=BL$2),1,0)</f>
        <v>0</v>
      </c>
      <c r="BM122" s="276" cm="1">
        <f t="array" ref="BM122">IF(AND(BM$2&lt;&gt;0,TblTech[[#This Row],[Hour]:[Hour]]&gt;=BM$2),1,0)</f>
        <v>0</v>
      </c>
      <c r="BN122" s="276" cm="1">
        <f t="array" ref="BN122">IF(AND(BN$2&lt;&gt;0,TblTech[[#This Row],[Hour]:[Hour]]&gt;=BN$2),1,0)</f>
        <v>0</v>
      </c>
      <c r="BO122" s="276" cm="1">
        <f t="array" ref="BO122">IF(AND(BO$2&lt;&gt;0,TblTech[[#This Row],[Hour]:[Hour]]&gt;=BO$2),1,0)</f>
        <v>0</v>
      </c>
      <c r="BP122" s="276" cm="1">
        <f t="array" ref="BP122">IF(AND(BP$2&lt;&gt;0,TblTech[[#This Row],[Hour]:[Hour]]&gt;=BP$2),1,0)</f>
        <v>0</v>
      </c>
      <c r="BQ122" s="276" cm="1">
        <f t="array" ref="BQ122">IF(AND(BQ$2&lt;&gt;0,TblTech[[#This Row],[Hour]:[Hour]]&gt;=BQ$2),1,0)</f>
        <v>0</v>
      </c>
      <c r="BR122" s="276" cm="1">
        <f t="array" ref="BR122">IF(AND(BR$2&lt;&gt;0,TblTech[[#This Row],[Hour]:[Hour]]&gt;=BR$2),1,0)</f>
        <v>0</v>
      </c>
      <c r="BS122" s="276" cm="1">
        <f t="array" ref="BS122">IF(AND(BS$2&lt;&gt;0,TblTech[[#This Row],[Hour]:[Hour]]&gt;=BS$2),1,0)</f>
        <v>0</v>
      </c>
      <c r="BT122" s="276" cm="1">
        <f t="array" ref="BT122">IF(AND(BT$2&lt;&gt;0,TblTech[[#This Row],[Hour]:[Hour]]&gt;=BT$2),1,0)</f>
        <v>0</v>
      </c>
      <c r="BU122" s="276" cm="1">
        <f t="array" ref="BU122">IF(AND(BU$2&lt;&gt;0,TblTech[[#This Row],[Hour]:[Hour]]&gt;=BU$2),1,0)</f>
        <v>0</v>
      </c>
      <c r="BV122" s="276" cm="1">
        <f t="array" ref="BV122">IF(AND(BV$2&lt;&gt;0,TblTech[[#This Row],[Hour]:[Hour]]&gt;=BV$2),1,0)</f>
        <v>0</v>
      </c>
      <c r="BW122" s="276" cm="1">
        <f t="array" ref="BW122">IF(AND(BW$2&lt;&gt;0,TblTech[[#This Row],[Hour]:[Hour]]&gt;=BW$2),1,0)</f>
        <v>0</v>
      </c>
      <c r="BX122" s="276" cm="1">
        <f t="array" ref="BX122">IF(AND(BX$2&lt;&gt;0,TblTech[[#This Row],[Hour]:[Hour]]&gt;=BX$2),1,0)</f>
        <v>0</v>
      </c>
      <c r="BY122" s="276" cm="1">
        <f t="array" ref="BY122">IF(AND(BY$2&lt;&gt;0,TblTech[[#This Row],[Hour]:[Hour]]&gt;=BY$2),1,0)</f>
        <v>0</v>
      </c>
      <c r="BZ122" s="276" cm="1">
        <f t="array" ref="BZ122">IF(AND(BZ$2&lt;&gt;0,TblTech[[#This Row],[Hour]:[Hour]]&gt;=BZ$2),1,0)</f>
        <v>0</v>
      </c>
      <c r="CA122" s="377">
        <f>IFERROR(INDEX($H$4:$H$79,MATCH(INDEX(TblTech[[#Headers],[1-1]:[11-1]],1,MATCH(TblTech[[#This Row],[Hour]],$M$2:$BZ$2,0)),$G$4:$G$79,0)),)</f>
        <v>0</v>
      </c>
    </row>
    <row r="123" spans="1:79" x14ac:dyDescent="0.2">
      <c r="A123" s="268">
        <f>TblRezone[[#This Row],[Hour]]</f>
        <v>120</v>
      </c>
      <c r="B123" s="269">
        <f ca="1">TblExplore[[#This Row],[Land-DB]]</f>
        <v>110</v>
      </c>
      <c r="C123" s="270">
        <f ca="1">TblProd[[#This Row],[Techpoints]]</f>
        <v>0</v>
      </c>
      <c r="D123" s="270">
        <f ca="1">TblProd[[#This Row],[Required]]</f>
        <v>3750</v>
      </c>
      <c r="E123" s="279"/>
      <c r="F123" s="280"/>
      <c r="G123" s="273"/>
      <c r="H123" s="274"/>
      <c r="I123" s="274"/>
      <c r="J123" s="274"/>
      <c r="K123" s="93">
        <f ca="1">IF(TblTech[[#This Row],[Sum of tech]]&lt;&gt;OFFSET(TblTech[[#This Row],[Sum of tech]],-1,0),1,0)</f>
        <v>0</v>
      </c>
      <c r="L123" s="275">
        <f>COUNTIF(TblTech[[#This Row],[1-1]:[11-1]],1)</f>
        <v>0</v>
      </c>
      <c r="M123" s="276" cm="1">
        <f t="array" ref="M123">IF(AND(M$2&lt;&gt;0,TblTech[[#This Row],[Hour]:[Hour]]&gt;=M$2),1,0)</f>
        <v>0</v>
      </c>
      <c r="N123" s="276" cm="1">
        <f t="array" ref="N123">IF(AND(N$2&lt;&gt;0,TblTech[[#This Row],[Hour]:[Hour]]&gt;=N$2),1,0)</f>
        <v>0</v>
      </c>
      <c r="O123" s="276" cm="1">
        <f t="array" ref="O123">IF(AND(O$2&lt;&gt;0,TblTech[[#This Row],[Hour]:[Hour]]&gt;=O$2),1,0)</f>
        <v>0</v>
      </c>
      <c r="P123" s="276" cm="1">
        <f t="array" ref="P123">IF(AND(P$2&lt;&gt;0,TblTech[[#This Row],[Hour]:[Hour]]&gt;=P$2),1,0)</f>
        <v>0</v>
      </c>
      <c r="Q123" s="276" cm="1">
        <f t="array" ref="Q123">IF(AND(Q$2&lt;&gt;0,TblTech[[#This Row],[Hour]:[Hour]]&gt;=Q$2),1,0)</f>
        <v>0</v>
      </c>
      <c r="R123" s="276" cm="1">
        <f t="array" ref="R123">IF(AND(R$2&lt;&gt;0,TblTech[[#This Row],[Hour]:[Hour]]&gt;=R$2),1,0)</f>
        <v>0</v>
      </c>
      <c r="S123" s="276" cm="1">
        <f t="array" ref="S123">IF(AND(S$2&lt;&gt;0,TblTech[[#This Row],[Hour]:[Hour]]&gt;=S$2),1,0)</f>
        <v>0</v>
      </c>
      <c r="T123" s="276" cm="1">
        <f t="array" ref="T123">IF(AND(T$2&lt;&gt;0,TblTech[[#This Row],[Hour]:[Hour]]&gt;=T$2),1,0)</f>
        <v>0</v>
      </c>
      <c r="U123" s="276" cm="1">
        <f t="array" ref="U123">IF(AND(U$2&lt;&gt;0,TblTech[[#This Row],[Hour]:[Hour]]&gt;=U$2),1,0)</f>
        <v>0</v>
      </c>
      <c r="V123" s="276" cm="1">
        <f t="array" ref="V123">IF(AND(V$2&lt;&gt;0,TblTech[[#This Row],[Hour]:[Hour]]&gt;=V$2),1,0)</f>
        <v>0</v>
      </c>
      <c r="W123" s="276" cm="1">
        <f t="array" ref="W123">IF(AND(W$2&lt;&gt;0,TblTech[[#This Row],[Hour]:[Hour]]&gt;=W$2),1,0)</f>
        <v>0</v>
      </c>
      <c r="X123" s="276" cm="1">
        <f t="array" ref="X123">IF(AND(X$2&lt;&gt;0,TblTech[[#This Row],[Hour]:[Hour]]&gt;=X$2),1,0)</f>
        <v>0</v>
      </c>
      <c r="Y123" s="276" cm="1">
        <f t="array" ref="Y123">IF(AND(Y$2&lt;&gt;0,TblTech[[#This Row],[Hour]:[Hour]]&gt;=Y$2),1,0)</f>
        <v>0</v>
      </c>
      <c r="Z123" s="276" cm="1">
        <f t="array" ref="Z123">IF(AND(Z$2&lt;&gt;0,TblTech[[#This Row],[Hour]:[Hour]]&gt;=Z$2),1,0)</f>
        <v>0</v>
      </c>
      <c r="AA123" s="276" cm="1">
        <f t="array" ref="AA123">IF(AND(AA$2&lt;&gt;0,TblTech[[#This Row],[Hour]:[Hour]]&gt;=AA$2),1,0)</f>
        <v>0</v>
      </c>
      <c r="AB123" s="276" cm="1">
        <f t="array" ref="AB123">IF(AND(AB$2&lt;&gt;0,TblTech[[#This Row],[Hour]:[Hour]]&gt;=AB$2),1,0)</f>
        <v>0</v>
      </c>
      <c r="AC123" s="276" cm="1">
        <f t="array" ref="AC123">IF(AND(AC$2&lt;&gt;0,TblTech[[#This Row],[Hour]:[Hour]]&gt;=AC$2),1,0)</f>
        <v>0</v>
      </c>
      <c r="AD123" s="276" cm="1">
        <f t="array" ref="AD123">IF(AND(AD$2&lt;&gt;0,TblTech[[#This Row],[Hour]:[Hour]]&gt;=AD$2),1,0)</f>
        <v>0</v>
      </c>
      <c r="AE123" s="276" cm="1">
        <f t="array" ref="AE123">IF(AND(AE$2&lt;&gt;0,TblTech[[#This Row],[Hour]:[Hour]]&gt;=AE$2),1,0)</f>
        <v>0</v>
      </c>
      <c r="AF123" s="276" cm="1">
        <f t="array" ref="AF123">IF(AND(AF$2&lt;&gt;0,TblTech[[#This Row],[Hour]:[Hour]]&gt;=AF$2),1,0)</f>
        <v>0</v>
      </c>
      <c r="AG123" s="276" cm="1">
        <f t="array" ref="AG123">IF(AND(AG$2&lt;&gt;0,TblTech[[#This Row],[Hour]:[Hour]]&gt;=AG$2),1,0)</f>
        <v>0</v>
      </c>
      <c r="AH123" s="276" cm="1">
        <f t="array" ref="AH123">IF(AND(AH$2&lt;&gt;0,TblTech[[#This Row],[Hour]:[Hour]]&gt;=AH$2),1,0)</f>
        <v>0</v>
      </c>
      <c r="AI123" s="276" cm="1">
        <f t="array" ref="AI123">IF(AND(AI$2&lt;&gt;0,TblTech[[#This Row],[Hour]:[Hour]]&gt;=AI$2),1,0)</f>
        <v>0</v>
      </c>
      <c r="AJ123" s="276" cm="1">
        <f t="array" ref="AJ123">IF(AND(AJ$2&lt;&gt;0,TblTech[[#This Row],[Hour]:[Hour]]&gt;=AJ$2),1,0)</f>
        <v>0</v>
      </c>
      <c r="AK123" s="276" cm="1">
        <f t="array" ref="AK123">IF(AND(AK$2&lt;&gt;0,TblTech[[#This Row],[Hour]:[Hour]]&gt;=AK$2),1,0)</f>
        <v>0</v>
      </c>
      <c r="AL123" s="276" cm="1">
        <f t="array" ref="AL123">IF(AND(AL$2&lt;&gt;0,TblTech[[#This Row],[Hour]:[Hour]]&gt;=AL$2),1,0)</f>
        <v>0</v>
      </c>
      <c r="AM123" s="276" cm="1">
        <f t="array" ref="AM123">IF(AND(AM$2&lt;&gt;0,TblTech[[#This Row],[Hour]:[Hour]]&gt;=AM$2),1,0)</f>
        <v>0</v>
      </c>
      <c r="AN123" s="276" cm="1">
        <f t="array" ref="AN123">IF(AND(AN$2&lt;&gt;0,TblTech[[#This Row],[Hour]:[Hour]]&gt;=AN$2),1,0)</f>
        <v>0</v>
      </c>
      <c r="AO123" s="276" cm="1">
        <f t="array" ref="AO123">IF(AND(AO$2&lt;&gt;0,TblTech[[#This Row],[Hour]:[Hour]]&gt;=AO$2),1,0)</f>
        <v>0</v>
      </c>
      <c r="AP123" s="276" cm="1">
        <f t="array" ref="AP123">IF(AND(AP$2&lt;&gt;0,TblTech[[#This Row],[Hour]:[Hour]]&gt;=AP$2),1,0)</f>
        <v>0</v>
      </c>
      <c r="AQ123" s="276" cm="1">
        <f t="array" ref="AQ123">IF(AND(AQ$2&lt;&gt;0,TblTech[[#This Row],[Hour]:[Hour]]&gt;=AQ$2),1,0)</f>
        <v>0</v>
      </c>
      <c r="AR123" s="276" cm="1">
        <f t="array" ref="AR123">IF(AND(AR$2&lt;&gt;0,TblTech[[#This Row],[Hour]:[Hour]]&gt;=AR$2),1,0)</f>
        <v>0</v>
      </c>
      <c r="AS123" s="276" cm="1">
        <f t="array" ref="AS123">IF(AND(AS$2&lt;&gt;0,TblTech[[#This Row],[Hour]:[Hour]]&gt;=AS$2),1,0)</f>
        <v>0</v>
      </c>
      <c r="AT123" s="276" cm="1">
        <f t="array" ref="AT123">IF(AND(AT$2&lt;&gt;0,TblTech[[#This Row],[Hour]:[Hour]]&gt;=AT$2),1,0)</f>
        <v>0</v>
      </c>
      <c r="AU123" s="276" cm="1">
        <f t="array" ref="AU123">IF(AND(AU$2&lt;&gt;0,TblTech[[#This Row],[Hour]:[Hour]]&gt;=AU$2),1,0)</f>
        <v>0</v>
      </c>
      <c r="AV123" s="276" cm="1">
        <f t="array" ref="AV123">IF(AND(AV$2&lt;&gt;0,TblTech[[#This Row],[Hour]:[Hour]]&gt;=AV$2),1,0)</f>
        <v>0</v>
      </c>
      <c r="AW123" s="276" cm="1">
        <f t="array" ref="AW123">IF(AND(AW$2&lt;&gt;0,TblTech[[#This Row],[Hour]:[Hour]]&gt;=AW$2),1,0)</f>
        <v>0</v>
      </c>
      <c r="AX123" s="276" cm="1">
        <f t="array" ref="AX123">IF(AND(AX$2&lt;&gt;0,TblTech[[#This Row],[Hour]:[Hour]]&gt;=AX$2),1,0)</f>
        <v>0</v>
      </c>
      <c r="AY123" s="276" cm="1">
        <f t="array" ref="AY123">IF(AND(AY$2&lt;&gt;0,TblTech[[#This Row],[Hour]:[Hour]]&gt;=AY$2),1,0)</f>
        <v>0</v>
      </c>
      <c r="AZ123" s="276" cm="1">
        <f t="array" ref="AZ123">IF(AND(AZ$2&lt;&gt;0,TblTech[[#This Row],[Hour]:[Hour]]&gt;=AZ$2),1,0)</f>
        <v>0</v>
      </c>
      <c r="BA123" s="276" cm="1">
        <f t="array" ref="BA123">IF(AND(BA$2&lt;&gt;0,TblTech[[#This Row],[Hour]:[Hour]]&gt;=BA$2),1,0)</f>
        <v>0</v>
      </c>
      <c r="BB123" s="276" cm="1">
        <f t="array" ref="BB123">IF(AND(BB$2&lt;&gt;0,TblTech[[#This Row],[Hour]:[Hour]]&gt;=BB$2),1,0)</f>
        <v>0</v>
      </c>
      <c r="BC123" s="276" cm="1">
        <f t="array" ref="BC123">IF(AND(BC$2&lt;&gt;0,TblTech[[#This Row],[Hour]:[Hour]]&gt;=BC$2),1,0)</f>
        <v>0</v>
      </c>
      <c r="BD123" s="276" cm="1">
        <f t="array" ref="BD123">IF(AND(BD$2&lt;&gt;0,TblTech[[#This Row],[Hour]:[Hour]]&gt;=BD$2),1,0)</f>
        <v>0</v>
      </c>
      <c r="BE123" s="276" cm="1">
        <f t="array" ref="BE123">IF(AND(BE$2&lt;&gt;0,TblTech[[#This Row],[Hour]:[Hour]]&gt;=BE$2),1,0)</f>
        <v>0</v>
      </c>
      <c r="BF123" s="276" cm="1">
        <f t="array" ref="BF123">IF(AND(BF$2&lt;&gt;0,TblTech[[#This Row],[Hour]:[Hour]]&gt;=BF$2),1,0)</f>
        <v>0</v>
      </c>
      <c r="BG123" s="276" cm="1">
        <f t="array" ref="BG123">IF(AND(BG$2&lt;&gt;0,TblTech[[#This Row],[Hour]:[Hour]]&gt;=BG$2),1,0)</f>
        <v>0</v>
      </c>
      <c r="BH123" s="276" cm="1">
        <f t="array" ref="BH123">IF(AND(BH$2&lt;&gt;0,TblTech[[#This Row],[Hour]:[Hour]]&gt;=BH$2),1,0)</f>
        <v>0</v>
      </c>
      <c r="BI123" s="276" cm="1">
        <f t="array" ref="BI123">IF(AND(BI$2&lt;&gt;0,TblTech[[#This Row],[Hour]:[Hour]]&gt;=BI$2),1,0)</f>
        <v>0</v>
      </c>
      <c r="BJ123" s="276" cm="1">
        <f t="array" ref="BJ123">IF(AND(BJ$2&lt;&gt;0,TblTech[[#This Row],[Hour]:[Hour]]&gt;=BJ$2),1,0)</f>
        <v>0</v>
      </c>
      <c r="BK123" s="276" cm="1">
        <f t="array" ref="BK123">IF(AND(BK$2&lt;&gt;0,TblTech[[#This Row],[Hour]:[Hour]]&gt;=BK$2),1,0)</f>
        <v>0</v>
      </c>
      <c r="BL123" s="276" cm="1">
        <f t="array" ref="BL123">IF(AND(BL$2&lt;&gt;0,TblTech[[#This Row],[Hour]:[Hour]]&gt;=BL$2),1,0)</f>
        <v>0</v>
      </c>
      <c r="BM123" s="276" cm="1">
        <f t="array" ref="BM123">IF(AND(BM$2&lt;&gt;0,TblTech[[#This Row],[Hour]:[Hour]]&gt;=BM$2),1,0)</f>
        <v>0</v>
      </c>
      <c r="BN123" s="276" cm="1">
        <f t="array" ref="BN123">IF(AND(BN$2&lt;&gt;0,TblTech[[#This Row],[Hour]:[Hour]]&gt;=BN$2),1,0)</f>
        <v>0</v>
      </c>
      <c r="BO123" s="276" cm="1">
        <f t="array" ref="BO123">IF(AND(BO$2&lt;&gt;0,TblTech[[#This Row],[Hour]:[Hour]]&gt;=BO$2),1,0)</f>
        <v>0</v>
      </c>
      <c r="BP123" s="276" cm="1">
        <f t="array" ref="BP123">IF(AND(BP$2&lt;&gt;0,TblTech[[#This Row],[Hour]:[Hour]]&gt;=BP$2),1,0)</f>
        <v>0</v>
      </c>
      <c r="BQ123" s="276" cm="1">
        <f t="array" ref="BQ123">IF(AND(BQ$2&lt;&gt;0,TblTech[[#This Row],[Hour]:[Hour]]&gt;=BQ$2),1,0)</f>
        <v>0</v>
      </c>
      <c r="BR123" s="276" cm="1">
        <f t="array" ref="BR123">IF(AND(BR$2&lt;&gt;0,TblTech[[#This Row],[Hour]:[Hour]]&gt;=BR$2),1,0)</f>
        <v>0</v>
      </c>
      <c r="BS123" s="276" cm="1">
        <f t="array" ref="BS123">IF(AND(BS$2&lt;&gt;0,TblTech[[#This Row],[Hour]:[Hour]]&gt;=BS$2),1,0)</f>
        <v>0</v>
      </c>
      <c r="BT123" s="276" cm="1">
        <f t="array" ref="BT123">IF(AND(BT$2&lt;&gt;0,TblTech[[#This Row],[Hour]:[Hour]]&gt;=BT$2),1,0)</f>
        <v>0</v>
      </c>
      <c r="BU123" s="276" cm="1">
        <f t="array" ref="BU123">IF(AND(BU$2&lt;&gt;0,TblTech[[#This Row],[Hour]:[Hour]]&gt;=BU$2),1,0)</f>
        <v>0</v>
      </c>
      <c r="BV123" s="276" cm="1">
        <f t="array" ref="BV123">IF(AND(BV$2&lt;&gt;0,TblTech[[#This Row],[Hour]:[Hour]]&gt;=BV$2),1,0)</f>
        <v>0</v>
      </c>
      <c r="BW123" s="276" cm="1">
        <f t="array" ref="BW123">IF(AND(BW$2&lt;&gt;0,TblTech[[#This Row],[Hour]:[Hour]]&gt;=BW$2),1,0)</f>
        <v>0</v>
      </c>
      <c r="BX123" s="276" cm="1">
        <f t="array" ref="BX123">IF(AND(BX$2&lt;&gt;0,TblTech[[#This Row],[Hour]:[Hour]]&gt;=BX$2),1,0)</f>
        <v>0</v>
      </c>
      <c r="BY123" s="276" cm="1">
        <f t="array" ref="BY123">IF(AND(BY$2&lt;&gt;0,TblTech[[#This Row],[Hour]:[Hour]]&gt;=BY$2),1,0)</f>
        <v>0</v>
      </c>
      <c r="BZ123" s="276" cm="1">
        <f t="array" ref="BZ123">IF(AND(BZ$2&lt;&gt;0,TblTech[[#This Row],[Hour]:[Hour]]&gt;=BZ$2),1,0)</f>
        <v>0</v>
      </c>
      <c r="CA123" s="377">
        <f>IFERROR(INDEX($H$4:$H$79,MATCH(INDEX(TblTech[[#Headers],[1-1]:[11-1]],1,MATCH(TblTech[[#This Row],[Hour]],$M$2:$BZ$2,0)),$G$4:$G$79,0)),)</f>
        <v>0</v>
      </c>
    </row>
    <row r="124" spans="1:79" x14ac:dyDescent="0.2">
      <c r="A124" s="268">
        <f>TblRezone[[#This Row],[Hour]]</f>
        <v>121</v>
      </c>
      <c r="B124" s="269">
        <f ca="1">TblExplore[[#This Row],[Land-DB]]</f>
        <v>110</v>
      </c>
      <c r="C124" s="270">
        <f ca="1">TblProd[[#This Row],[Techpoints]]</f>
        <v>0</v>
      </c>
      <c r="D124" s="270">
        <f ca="1">TblProd[[#This Row],[Required]]</f>
        <v>3750</v>
      </c>
      <c r="E124" s="279"/>
      <c r="F124" s="280"/>
      <c r="G124" s="273"/>
      <c r="H124" s="274"/>
      <c r="I124" s="274"/>
      <c r="J124" s="274"/>
      <c r="K124" s="93">
        <f ca="1">IF(TblTech[[#This Row],[Sum of tech]]&lt;&gt;OFFSET(TblTech[[#This Row],[Sum of tech]],-1,0),1,0)</f>
        <v>0</v>
      </c>
      <c r="L124" s="275">
        <f>COUNTIF(TblTech[[#This Row],[1-1]:[11-1]],1)</f>
        <v>0</v>
      </c>
      <c r="M124" s="276" cm="1">
        <f t="array" ref="M124">IF(AND(M$2&lt;&gt;0,TblTech[[#This Row],[Hour]:[Hour]]&gt;=M$2),1,0)</f>
        <v>0</v>
      </c>
      <c r="N124" s="276" cm="1">
        <f t="array" ref="N124">IF(AND(N$2&lt;&gt;0,TblTech[[#This Row],[Hour]:[Hour]]&gt;=N$2),1,0)</f>
        <v>0</v>
      </c>
      <c r="O124" s="276" cm="1">
        <f t="array" ref="O124">IF(AND(O$2&lt;&gt;0,TblTech[[#This Row],[Hour]:[Hour]]&gt;=O$2),1,0)</f>
        <v>0</v>
      </c>
      <c r="P124" s="276" cm="1">
        <f t="array" ref="P124">IF(AND(P$2&lt;&gt;0,TblTech[[#This Row],[Hour]:[Hour]]&gt;=P$2),1,0)</f>
        <v>0</v>
      </c>
      <c r="Q124" s="276" cm="1">
        <f t="array" ref="Q124">IF(AND(Q$2&lt;&gt;0,TblTech[[#This Row],[Hour]:[Hour]]&gt;=Q$2),1,0)</f>
        <v>0</v>
      </c>
      <c r="R124" s="276" cm="1">
        <f t="array" ref="R124">IF(AND(R$2&lt;&gt;0,TblTech[[#This Row],[Hour]:[Hour]]&gt;=R$2),1,0)</f>
        <v>0</v>
      </c>
      <c r="S124" s="276" cm="1">
        <f t="array" ref="S124">IF(AND(S$2&lt;&gt;0,TblTech[[#This Row],[Hour]:[Hour]]&gt;=S$2),1,0)</f>
        <v>0</v>
      </c>
      <c r="T124" s="276" cm="1">
        <f t="array" ref="T124">IF(AND(T$2&lt;&gt;0,TblTech[[#This Row],[Hour]:[Hour]]&gt;=T$2),1,0)</f>
        <v>0</v>
      </c>
      <c r="U124" s="276" cm="1">
        <f t="array" ref="U124">IF(AND(U$2&lt;&gt;0,TblTech[[#This Row],[Hour]:[Hour]]&gt;=U$2),1,0)</f>
        <v>0</v>
      </c>
      <c r="V124" s="276" cm="1">
        <f t="array" ref="V124">IF(AND(V$2&lt;&gt;0,TblTech[[#This Row],[Hour]:[Hour]]&gt;=V$2),1,0)</f>
        <v>0</v>
      </c>
      <c r="W124" s="276" cm="1">
        <f t="array" ref="W124">IF(AND(W$2&lt;&gt;0,TblTech[[#This Row],[Hour]:[Hour]]&gt;=W$2),1,0)</f>
        <v>0</v>
      </c>
      <c r="X124" s="276" cm="1">
        <f t="array" ref="X124">IF(AND(X$2&lt;&gt;0,TblTech[[#This Row],[Hour]:[Hour]]&gt;=X$2),1,0)</f>
        <v>0</v>
      </c>
      <c r="Y124" s="276" cm="1">
        <f t="array" ref="Y124">IF(AND(Y$2&lt;&gt;0,TblTech[[#This Row],[Hour]:[Hour]]&gt;=Y$2),1,0)</f>
        <v>0</v>
      </c>
      <c r="Z124" s="276" cm="1">
        <f t="array" ref="Z124">IF(AND(Z$2&lt;&gt;0,TblTech[[#This Row],[Hour]:[Hour]]&gt;=Z$2),1,0)</f>
        <v>0</v>
      </c>
      <c r="AA124" s="276" cm="1">
        <f t="array" ref="AA124">IF(AND(AA$2&lt;&gt;0,TblTech[[#This Row],[Hour]:[Hour]]&gt;=AA$2),1,0)</f>
        <v>0</v>
      </c>
      <c r="AB124" s="276" cm="1">
        <f t="array" ref="AB124">IF(AND(AB$2&lt;&gt;0,TblTech[[#This Row],[Hour]:[Hour]]&gt;=AB$2),1,0)</f>
        <v>0</v>
      </c>
      <c r="AC124" s="276" cm="1">
        <f t="array" ref="AC124">IF(AND(AC$2&lt;&gt;0,TblTech[[#This Row],[Hour]:[Hour]]&gt;=AC$2),1,0)</f>
        <v>0</v>
      </c>
      <c r="AD124" s="276" cm="1">
        <f t="array" ref="AD124">IF(AND(AD$2&lt;&gt;0,TblTech[[#This Row],[Hour]:[Hour]]&gt;=AD$2),1,0)</f>
        <v>0</v>
      </c>
      <c r="AE124" s="276" cm="1">
        <f t="array" ref="AE124">IF(AND(AE$2&lt;&gt;0,TblTech[[#This Row],[Hour]:[Hour]]&gt;=AE$2),1,0)</f>
        <v>0</v>
      </c>
      <c r="AF124" s="276" cm="1">
        <f t="array" ref="AF124">IF(AND(AF$2&lt;&gt;0,TblTech[[#This Row],[Hour]:[Hour]]&gt;=AF$2),1,0)</f>
        <v>0</v>
      </c>
      <c r="AG124" s="276" cm="1">
        <f t="array" ref="AG124">IF(AND(AG$2&lt;&gt;0,TblTech[[#This Row],[Hour]:[Hour]]&gt;=AG$2),1,0)</f>
        <v>0</v>
      </c>
      <c r="AH124" s="276" cm="1">
        <f t="array" ref="AH124">IF(AND(AH$2&lt;&gt;0,TblTech[[#This Row],[Hour]:[Hour]]&gt;=AH$2),1,0)</f>
        <v>0</v>
      </c>
      <c r="AI124" s="276" cm="1">
        <f t="array" ref="AI124">IF(AND(AI$2&lt;&gt;0,TblTech[[#This Row],[Hour]:[Hour]]&gt;=AI$2),1,0)</f>
        <v>0</v>
      </c>
      <c r="AJ124" s="276" cm="1">
        <f t="array" ref="AJ124">IF(AND(AJ$2&lt;&gt;0,TblTech[[#This Row],[Hour]:[Hour]]&gt;=AJ$2),1,0)</f>
        <v>0</v>
      </c>
      <c r="AK124" s="276" cm="1">
        <f t="array" ref="AK124">IF(AND(AK$2&lt;&gt;0,TblTech[[#This Row],[Hour]:[Hour]]&gt;=AK$2),1,0)</f>
        <v>0</v>
      </c>
      <c r="AL124" s="276" cm="1">
        <f t="array" ref="AL124">IF(AND(AL$2&lt;&gt;0,TblTech[[#This Row],[Hour]:[Hour]]&gt;=AL$2),1,0)</f>
        <v>0</v>
      </c>
      <c r="AM124" s="276" cm="1">
        <f t="array" ref="AM124">IF(AND(AM$2&lt;&gt;0,TblTech[[#This Row],[Hour]:[Hour]]&gt;=AM$2),1,0)</f>
        <v>0</v>
      </c>
      <c r="AN124" s="276" cm="1">
        <f t="array" ref="AN124">IF(AND(AN$2&lt;&gt;0,TblTech[[#This Row],[Hour]:[Hour]]&gt;=AN$2),1,0)</f>
        <v>0</v>
      </c>
      <c r="AO124" s="276" cm="1">
        <f t="array" ref="AO124">IF(AND(AO$2&lt;&gt;0,TblTech[[#This Row],[Hour]:[Hour]]&gt;=AO$2),1,0)</f>
        <v>0</v>
      </c>
      <c r="AP124" s="276" cm="1">
        <f t="array" ref="AP124">IF(AND(AP$2&lt;&gt;0,TblTech[[#This Row],[Hour]:[Hour]]&gt;=AP$2),1,0)</f>
        <v>0</v>
      </c>
      <c r="AQ124" s="276" cm="1">
        <f t="array" ref="AQ124">IF(AND(AQ$2&lt;&gt;0,TblTech[[#This Row],[Hour]:[Hour]]&gt;=AQ$2),1,0)</f>
        <v>0</v>
      </c>
      <c r="AR124" s="276" cm="1">
        <f t="array" ref="AR124">IF(AND(AR$2&lt;&gt;0,TblTech[[#This Row],[Hour]:[Hour]]&gt;=AR$2),1,0)</f>
        <v>0</v>
      </c>
      <c r="AS124" s="276" cm="1">
        <f t="array" ref="AS124">IF(AND(AS$2&lt;&gt;0,TblTech[[#This Row],[Hour]:[Hour]]&gt;=AS$2),1,0)</f>
        <v>0</v>
      </c>
      <c r="AT124" s="276" cm="1">
        <f t="array" ref="AT124">IF(AND(AT$2&lt;&gt;0,TblTech[[#This Row],[Hour]:[Hour]]&gt;=AT$2),1,0)</f>
        <v>0</v>
      </c>
      <c r="AU124" s="276" cm="1">
        <f t="array" ref="AU124">IF(AND(AU$2&lt;&gt;0,TblTech[[#This Row],[Hour]:[Hour]]&gt;=AU$2),1,0)</f>
        <v>0</v>
      </c>
      <c r="AV124" s="276" cm="1">
        <f t="array" ref="AV124">IF(AND(AV$2&lt;&gt;0,TblTech[[#This Row],[Hour]:[Hour]]&gt;=AV$2),1,0)</f>
        <v>0</v>
      </c>
      <c r="AW124" s="276" cm="1">
        <f t="array" ref="AW124">IF(AND(AW$2&lt;&gt;0,TblTech[[#This Row],[Hour]:[Hour]]&gt;=AW$2),1,0)</f>
        <v>0</v>
      </c>
      <c r="AX124" s="276" cm="1">
        <f t="array" ref="AX124">IF(AND(AX$2&lt;&gt;0,TblTech[[#This Row],[Hour]:[Hour]]&gt;=AX$2),1,0)</f>
        <v>0</v>
      </c>
      <c r="AY124" s="276" cm="1">
        <f t="array" ref="AY124">IF(AND(AY$2&lt;&gt;0,TblTech[[#This Row],[Hour]:[Hour]]&gt;=AY$2),1,0)</f>
        <v>0</v>
      </c>
      <c r="AZ124" s="276" cm="1">
        <f t="array" ref="AZ124">IF(AND(AZ$2&lt;&gt;0,TblTech[[#This Row],[Hour]:[Hour]]&gt;=AZ$2),1,0)</f>
        <v>0</v>
      </c>
      <c r="BA124" s="276" cm="1">
        <f t="array" ref="BA124">IF(AND(BA$2&lt;&gt;0,TblTech[[#This Row],[Hour]:[Hour]]&gt;=BA$2),1,0)</f>
        <v>0</v>
      </c>
      <c r="BB124" s="276" cm="1">
        <f t="array" ref="BB124">IF(AND(BB$2&lt;&gt;0,TblTech[[#This Row],[Hour]:[Hour]]&gt;=BB$2),1,0)</f>
        <v>0</v>
      </c>
      <c r="BC124" s="276" cm="1">
        <f t="array" ref="BC124">IF(AND(BC$2&lt;&gt;0,TblTech[[#This Row],[Hour]:[Hour]]&gt;=BC$2),1,0)</f>
        <v>0</v>
      </c>
      <c r="BD124" s="276" cm="1">
        <f t="array" ref="BD124">IF(AND(BD$2&lt;&gt;0,TblTech[[#This Row],[Hour]:[Hour]]&gt;=BD$2),1,0)</f>
        <v>0</v>
      </c>
      <c r="BE124" s="276" cm="1">
        <f t="array" ref="BE124">IF(AND(BE$2&lt;&gt;0,TblTech[[#This Row],[Hour]:[Hour]]&gt;=BE$2),1,0)</f>
        <v>0</v>
      </c>
      <c r="BF124" s="276" cm="1">
        <f t="array" ref="BF124">IF(AND(BF$2&lt;&gt;0,TblTech[[#This Row],[Hour]:[Hour]]&gt;=BF$2),1,0)</f>
        <v>0</v>
      </c>
      <c r="BG124" s="276" cm="1">
        <f t="array" ref="BG124">IF(AND(BG$2&lt;&gt;0,TblTech[[#This Row],[Hour]:[Hour]]&gt;=BG$2),1,0)</f>
        <v>0</v>
      </c>
      <c r="BH124" s="276" cm="1">
        <f t="array" ref="BH124">IF(AND(BH$2&lt;&gt;0,TblTech[[#This Row],[Hour]:[Hour]]&gt;=BH$2),1,0)</f>
        <v>0</v>
      </c>
      <c r="BI124" s="276" cm="1">
        <f t="array" ref="BI124">IF(AND(BI$2&lt;&gt;0,TblTech[[#This Row],[Hour]:[Hour]]&gt;=BI$2),1,0)</f>
        <v>0</v>
      </c>
      <c r="BJ124" s="276" cm="1">
        <f t="array" ref="BJ124">IF(AND(BJ$2&lt;&gt;0,TblTech[[#This Row],[Hour]:[Hour]]&gt;=BJ$2),1,0)</f>
        <v>0</v>
      </c>
      <c r="BK124" s="276" cm="1">
        <f t="array" ref="BK124">IF(AND(BK$2&lt;&gt;0,TblTech[[#This Row],[Hour]:[Hour]]&gt;=BK$2),1,0)</f>
        <v>0</v>
      </c>
      <c r="BL124" s="276" cm="1">
        <f t="array" ref="BL124">IF(AND(BL$2&lt;&gt;0,TblTech[[#This Row],[Hour]:[Hour]]&gt;=BL$2),1,0)</f>
        <v>0</v>
      </c>
      <c r="BM124" s="276" cm="1">
        <f t="array" ref="BM124">IF(AND(BM$2&lt;&gt;0,TblTech[[#This Row],[Hour]:[Hour]]&gt;=BM$2),1,0)</f>
        <v>0</v>
      </c>
      <c r="BN124" s="276" cm="1">
        <f t="array" ref="BN124">IF(AND(BN$2&lt;&gt;0,TblTech[[#This Row],[Hour]:[Hour]]&gt;=BN$2),1,0)</f>
        <v>0</v>
      </c>
      <c r="BO124" s="276" cm="1">
        <f t="array" ref="BO124">IF(AND(BO$2&lt;&gt;0,TblTech[[#This Row],[Hour]:[Hour]]&gt;=BO$2),1,0)</f>
        <v>0</v>
      </c>
      <c r="BP124" s="276" cm="1">
        <f t="array" ref="BP124">IF(AND(BP$2&lt;&gt;0,TblTech[[#This Row],[Hour]:[Hour]]&gt;=BP$2),1,0)</f>
        <v>0</v>
      </c>
      <c r="BQ124" s="276" cm="1">
        <f t="array" ref="BQ124">IF(AND(BQ$2&lt;&gt;0,TblTech[[#This Row],[Hour]:[Hour]]&gt;=BQ$2),1,0)</f>
        <v>0</v>
      </c>
      <c r="BR124" s="276" cm="1">
        <f t="array" ref="BR124">IF(AND(BR$2&lt;&gt;0,TblTech[[#This Row],[Hour]:[Hour]]&gt;=BR$2),1,0)</f>
        <v>0</v>
      </c>
      <c r="BS124" s="276" cm="1">
        <f t="array" ref="BS124">IF(AND(BS$2&lt;&gt;0,TblTech[[#This Row],[Hour]:[Hour]]&gt;=BS$2),1,0)</f>
        <v>0</v>
      </c>
      <c r="BT124" s="276" cm="1">
        <f t="array" ref="BT124">IF(AND(BT$2&lt;&gt;0,TblTech[[#This Row],[Hour]:[Hour]]&gt;=BT$2),1,0)</f>
        <v>0</v>
      </c>
      <c r="BU124" s="276" cm="1">
        <f t="array" ref="BU124">IF(AND(BU$2&lt;&gt;0,TblTech[[#This Row],[Hour]:[Hour]]&gt;=BU$2),1,0)</f>
        <v>0</v>
      </c>
      <c r="BV124" s="276" cm="1">
        <f t="array" ref="BV124">IF(AND(BV$2&lt;&gt;0,TblTech[[#This Row],[Hour]:[Hour]]&gt;=BV$2),1,0)</f>
        <v>0</v>
      </c>
      <c r="BW124" s="276" cm="1">
        <f t="array" ref="BW124">IF(AND(BW$2&lt;&gt;0,TblTech[[#This Row],[Hour]:[Hour]]&gt;=BW$2),1,0)</f>
        <v>0</v>
      </c>
      <c r="BX124" s="276" cm="1">
        <f t="array" ref="BX124">IF(AND(BX$2&lt;&gt;0,TblTech[[#This Row],[Hour]:[Hour]]&gt;=BX$2),1,0)</f>
        <v>0</v>
      </c>
      <c r="BY124" s="276" cm="1">
        <f t="array" ref="BY124">IF(AND(BY$2&lt;&gt;0,TblTech[[#This Row],[Hour]:[Hour]]&gt;=BY$2),1,0)</f>
        <v>0</v>
      </c>
      <c r="BZ124" s="276" cm="1">
        <f t="array" ref="BZ124">IF(AND(BZ$2&lt;&gt;0,TblTech[[#This Row],[Hour]:[Hour]]&gt;=BZ$2),1,0)</f>
        <v>0</v>
      </c>
      <c r="CA124" s="377">
        <f>IFERROR(INDEX($H$4:$H$79,MATCH(INDEX(TblTech[[#Headers],[1-1]:[11-1]],1,MATCH(TblTech[[#This Row],[Hour]],$M$2:$BZ$2,0)),$G$4:$G$79,0)),)</f>
        <v>0</v>
      </c>
    </row>
    <row r="125" spans="1:79" x14ac:dyDescent="0.2">
      <c r="A125" s="268">
        <f>TblRezone[[#This Row],[Hour]]</f>
        <v>122</v>
      </c>
      <c r="B125" s="269">
        <f ca="1">TblExplore[[#This Row],[Land-DB]]</f>
        <v>110</v>
      </c>
      <c r="C125" s="270">
        <f ca="1">TblProd[[#This Row],[Techpoints]]</f>
        <v>0</v>
      </c>
      <c r="D125" s="270">
        <f ca="1">TblProd[[#This Row],[Required]]</f>
        <v>3750</v>
      </c>
      <c r="E125" s="279"/>
      <c r="F125" s="280"/>
      <c r="G125" s="273"/>
      <c r="H125" s="274"/>
      <c r="I125" s="274"/>
      <c r="J125" s="274"/>
      <c r="K125" s="93">
        <f ca="1">IF(TblTech[[#This Row],[Sum of tech]]&lt;&gt;OFFSET(TblTech[[#This Row],[Sum of tech]],-1,0),1,0)</f>
        <v>0</v>
      </c>
      <c r="L125" s="275">
        <f>COUNTIF(TblTech[[#This Row],[1-1]:[11-1]],1)</f>
        <v>0</v>
      </c>
      <c r="M125" s="276" cm="1">
        <f t="array" ref="M125">IF(AND(M$2&lt;&gt;0,TblTech[[#This Row],[Hour]:[Hour]]&gt;=M$2),1,0)</f>
        <v>0</v>
      </c>
      <c r="N125" s="276" cm="1">
        <f t="array" ref="N125">IF(AND(N$2&lt;&gt;0,TblTech[[#This Row],[Hour]:[Hour]]&gt;=N$2),1,0)</f>
        <v>0</v>
      </c>
      <c r="O125" s="276" cm="1">
        <f t="array" ref="O125">IF(AND(O$2&lt;&gt;0,TblTech[[#This Row],[Hour]:[Hour]]&gt;=O$2),1,0)</f>
        <v>0</v>
      </c>
      <c r="P125" s="276" cm="1">
        <f t="array" ref="P125">IF(AND(P$2&lt;&gt;0,TblTech[[#This Row],[Hour]:[Hour]]&gt;=P$2),1,0)</f>
        <v>0</v>
      </c>
      <c r="Q125" s="276" cm="1">
        <f t="array" ref="Q125">IF(AND(Q$2&lt;&gt;0,TblTech[[#This Row],[Hour]:[Hour]]&gt;=Q$2),1,0)</f>
        <v>0</v>
      </c>
      <c r="R125" s="276" cm="1">
        <f t="array" ref="R125">IF(AND(R$2&lt;&gt;0,TblTech[[#This Row],[Hour]:[Hour]]&gt;=R$2),1,0)</f>
        <v>0</v>
      </c>
      <c r="S125" s="276" cm="1">
        <f t="array" ref="S125">IF(AND(S$2&lt;&gt;0,TblTech[[#This Row],[Hour]:[Hour]]&gt;=S$2),1,0)</f>
        <v>0</v>
      </c>
      <c r="T125" s="276" cm="1">
        <f t="array" ref="T125">IF(AND(T$2&lt;&gt;0,TblTech[[#This Row],[Hour]:[Hour]]&gt;=T$2),1,0)</f>
        <v>0</v>
      </c>
      <c r="U125" s="276" cm="1">
        <f t="array" ref="U125">IF(AND(U$2&lt;&gt;0,TblTech[[#This Row],[Hour]:[Hour]]&gt;=U$2),1,0)</f>
        <v>0</v>
      </c>
      <c r="V125" s="276" cm="1">
        <f t="array" ref="V125">IF(AND(V$2&lt;&gt;0,TblTech[[#This Row],[Hour]:[Hour]]&gt;=V$2),1,0)</f>
        <v>0</v>
      </c>
      <c r="W125" s="276" cm="1">
        <f t="array" ref="W125">IF(AND(W$2&lt;&gt;0,TblTech[[#This Row],[Hour]:[Hour]]&gt;=W$2),1,0)</f>
        <v>0</v>
      </c>
      <c r="X125" s="276" cm="1">
        <f t="array" ref="X125">IF(AND(X$2&lt;&gt;0,TblTech[[#This Row],[Hour]:[Hour]]&gt;=X$2),1,0)</f>
        <v>0</v>
      </c>
      <c r="Y125" s="276" cm="1">
        <f t="array" ref="Y125">IF(AND(Y$2&lt;&gt;0,TblTech[[#This Row],[Hour]:[Hour]]&gt;=Y$2),1,0)</f>
        <v>0</v>
      </c>
      <c r="Z125" s="276" cm="1">
        <f t="array" ref="Z125">IF(AND(Z$2&lt;&gt;0,TblTech[[#This Row],[Hour]:[Hour]]&gt;=Z$2),1,0)</f>
        <v>0</v>
      </c>
      <c r="AA125" s="276" cm="1">
        <f t="array" ref="AA125">IF(AND(AA$2&lt;&gt;0,TblTech[[#This Row],[Hour]:[Hour]]&gt;=AA$2),1,0)</f>
        <v>0</v>
      </c>
      <c r="AB125" s="276" cm="1">
        <f t="array" ref="AB125">IF(AND(AB$2&lt;&gt;0,TblTech[[#This Row],[Hour]:[Hour]]&gt;=AB$2),1,0)</f>
        <v>0</v>
      </c>
      <c r="AC125" s="276" cm="1">
        <f t="array" ref="AC125">IF(AND(AC$2&lt;&gt;0,TblTech[[#This Row],[Hour]:[Hour]]&gt;=AC$2),1,0)</f>
        <v>0</v>
      </c>
      <c r="AD125" s="276" cm="1">
        <f t="array" ref="AD125">IF(AND(AD$2&lt;&gt;0,TblTech[[#This Row],[Hour]:[Hour]]&gt;=AD$2),1,0)</f>
        <v>0</v>
      </c>
      <c r="AE125" s="276" cm="1">
        <f t="array" ref="AE125">IF(AND(AE$2&lt;&gt;0,TblTech[[#This Row],[Hour]:[Hour]]&gt;=AE$2),1,0)</f>
        <v>0</v>
      </c>
      <c r="AF125" s="276" cm="1">
        <f t="array" ref="AF125">IF(AND(AF$2&lt;&gt;0,TblTech[[#This Row],[Hour]:[Hour]]&gt;=AF$2),1,0)</f>
        <v>0</v>
      </c>
      <c r="AG125" s="276" cm="1">
        <f t="array" ref="AG125">IF(AND(AG$2&lt;&gt;0,TblTech[[#This Row],[Hour]:[Hour]]&gt;=AG$2),1,0)</f>
        <v>0</v>
      </c>
      <c r="AH125" s="276" cm="1">
        <f t="array" ref="AH125">IF(AND(AH$2&lt;&gt;0,TblTech[[#This Row],[Hour]:[Hour]]&gt;=AH$2),1,0)</f>
        <v>0</v>
      </c>
      <c r="AI125" s="276" cm="1">
        <f t="array" ref="AI125">IF(AND(AI$2&lt;&gt;0,TblTech[[#This Row],[Hour]:[Hour]]&gt;=AI$2),1,0)</f>
        <v>0</v>
      </c>
      <c r="AJ125" s="276" cm="1">
        <f t="array" ref="AJ125">IF(AND(AJ$2&lt;&gt;0,TblTech[[#This Row],[Hour]:[Hour]]&gt;=AJ$2),1,0)</f>
        <v>0</v>
      </c>
      <c r="AK125" s="276" cm="1">
        <f t="array" ref="AK125">IF(AND(AK$2&lt;&gt;0,TblTech[[#This Row],[Hour]:[Hour]]&gt;=AK$2),1,0)</f>
        <v>0</v>
      </c>
      <c r="AL125" s="276" cm="1">
        <f t="array" ref="AL125">IF(AND(AL$2&lt;&gt;0,TblTech[[#This Row],[Hour]:[Hour]]&gt;=AL$2),1,0)</f>
        <v>0</v>
      </c>
      <c r="AM125" s="276" cm="1">
        <f t="array" ref="AM125">IF(AND(AM$2&lt;&gt;0,TblTech[[#This Row],[Hour]:[Hour]]&gt;=AM$2),1,0)</f>
        <v>0</v>
      </c>
      <c r="AN125" s="276" cm="1">
        <f t="array" ref="AN125">IF(AND(AN$2&lt;&gt;0,TblTech[[#This Row],[Hour]:[Hour]]&gt;=AN$2),1,0)</f>
        <v>0</v>
      </c>
      <c r="AO125" s="276" cm="1">
        <f t="array" ref="AO125">IF(AND(AO$2&lt;&gt;0,TblTech[[#This Row],[Hour]:[Hour]]&gt;=AO$2),1,0)</f>
        <v>0</v>
      </c>
      <c r="AP125" s="276" cm="1">
        <f t="array" ref="AP125">IF(AND(AP$2&lt;&gt;0,TblTech[[#This Row],[Hour]:[Hour]]&gt;=AP$2),1,0)</f>
        <v>0</v>
      </c>
      <c r="AQ125" s="276" cm="1">
        <f t="array" ref="AQ125">IF(AND(AQ$2&lt;&gt;0,TblTech[[#This Row],[Hour]:[Hour]]&gt;=AQ$2),1,0)</f>
        <v>0</v>
      </c>
      <c r="AR125" s="276" cm="1">
        <f t="array" ref="AR125">IF(AND(AR$2&lt;&gt;0,TblTech[[#This Row],[Hour]:[Hour]]&gt;=AR$2),1,0)</f>
        <v>0</v>
      </c>
      <c r="AS125" s="276" cm="1">
        <f t="array" ref="AS125">IF(AND(AS$2&lt;&gt;0,TblTech[[#This Row],[Hour]:[Hour]]&gt;=AS$2),1,0)</f>
        <v>0</v>
      </c>
      <c r="AT125" s="276" cm="1">
        <f t="array" ref="AT125">IF(AND(AT$2&lt;&gt;0,TblTech[[#This Row],[Hour]:[Hour]]&gt;=AT$2),1,0)</f>
        <v>0</v>
      </c>
      <c r="AU125" s="276" cm="1">
        <f t="array" ref="AU125">IF(AND(AU$2&lt;&gt;0,TblTech[[#This Row],[Hour]:[Hour]]&gt;=AU$2),1,0)</f>
        <v>0</v>
      </c>
      <c r="AV125" s="276" cm="1">
        <f t="array" ref="AV125">IF(AND(AV$2&lt;&gt;0,TblTech[[#This Row],[Hour]:[Hour]]&gt;=AV$2),1,0)</f>
        <v>0</v>
      </c>
      <c r="AW125" s="276" cm="1">
        <f t="array" ref="AW125">IF(AND(AW$2&lt;&gt;0,TblTech[[#This Row],[Hour]:[Hour]]&gt;=AW$2),1,0)</f>
        <v>0</v>
      </c>
      <c r="AX125" s="276" cm="1">
        <f t="array" ref="AX125">IF(AND(AX$2&lt;&gt;0,TblTech[[#This Row],[Hour]:[Hour]]&gt;=AX$2),1,0)</f>
        <v>0</v>
      </c>
      <c r="AY125" s="276" cm="1">
        <f t="array" ref="AY125">IF(AND(AY$2&lt;&gt;0,TblTech[[#This Row],[Hour]:[Hour]]&gt;=AY$2),1,0)</f>
        <v>0</v>
      </c>
      <c r="AZ125" s="276" cm="1">
        <f t="array" ref="AZ125">IF(AND(AZ$2&lt;&gt;0,TblTech[[#This Row],[Hour]:[Hour]]&gt;=AZ$2),1,0)</f>
        <v>0</v>
      </c>
      <c r="BA125" s="276" cm="1">
        <f t="array" ref="BA125">IF(AND(BA$2&lt;&gt;0,TblTech[[#This Row],[Hour]:[Hour]]&gt;=BA$2),1,0)</f>
        <v>0</v>
      </c>
      <c r="BB125" s="276" cm="1">
        <f t="array" ref="BB125">IF(AND(BB$2&lt;&gt;0,TblTech[[#This Row],[Hour]:[Hour]]&gt;=BB$2),1,0)</f>
        <v>0</v>
      </c>
      <c r="BC125" s="276" cm="1">
        <f t="array" ref="BC125">IF(AND(BC$2&lt;&gt;0,TblTech[[#This Row],[Hour]:[Hour]]&gt;=BC$2),1,0)</f>
        <v>0</v>
      </c>
      <c r="BD125" s="276" cm="1">
        <f t="array" ref="BD125">IF(AND(BD$2&lt;&gt;0,TblTech[[#This Row],[Hour]:[Hour]]&gt;=BD$2),1,0)</f>
        <v>0</v>
      </c>
      <c r="BE125" s="276" cm="1">
        <f t="array" ref="BE125">IF(AND(BE$2&lt;&gt;0,TblTech[[#This Row],[Hour]:[Hour]]&gt;=BE$2),1,0)</f>
        <v>0</v>
      </c>
      <c r="BF125" s="276" cm="1">
        <f t="array" ref="BF125">IF(AND(BF$2&lt;&gt;0,TblTech[[#This Row],[Hour]:[Hour]]&gt;=BF$2),1,0)</f>
        <v>0</v>
      </c>
      <c r="BG125" s="276" cm="1">
        <f t="array" ref="BG125">IF(AND(BG$2&lt;&gt;0,TblTech[[#This Row],[Hour]:[Hour]]&gt;=BG$2),1,0)</f>
        <v>0</v>
      </c>
      <c r="BH125" s="276" cm="1">
        <f t="array" ref="BH125">IF(AND(BH$2&lt;&gt;0,TblTech[[#This Row],[Hour]:[Hour]]&gt;=BH$2),1,0)</f>
        <v>0</v>
      </c>
      <c r="BI125" s="276" cm="1">
        <f t="array" ref="BI125">IF(AND(BI$2&lt;&gt;0,TblTech[[#This Row],[Hour]:[Hour]]&gt;=BI$2),1,0)</f>
        <v>0</v>
      </c>
      <c r="BJ125" s="276" cm="1">
        <f t="array" ref="BJ125">IF(AND(BJ$2&lt;&gt;0,TblTech[[#This Row],[Hour]:[Hour]]&gt;=BJ$2),1,0)</f>
        <v>0</v>
      </c>
      <c r="BK125" s="276" cm="1">
        <f t="array" ref="BK125">IF(AND(BK$2&lt;&gt;0,TblTech[[#This Row],[Hour]:[Hour]]&gt;=BK$2),1,0)</f>
        <v>0</v>
      </c>
      <c r="BL125" s="276" cm="1">
        <f t="array" ref="BL125">IF(AND(BL$2&lt;&gt;0,TblTech[[#This Row],[Hour]:[Hour]]&gt;=BL$2),1,0)</f>
        <v>0</v>
      </c>
      <c r="BM125" s="276" cm="1">
        <f t="array" ref="BM125">IF(AND(BM$2&lt;&gt;0,TblTech[[#This Row],[Hour]:[Hour]]&gt;=BM$2),1,0)</f>
        <v>0</v>
      </c>
      <c r="BN125" s="276" cm="1">
        <f t="array" ref="BN125">IF(AND(BN$2&lt;&gt;0,TblTech[[#This Row],[Hour]:[Hour]]&gt;=BN$2),1,0)</f>
        <v>0</v>
      </c>
      <c r="BO125" s="276" cm="1">
        <f t="array" ref="BO125">IF(AND(BO$2&lt;&gt;0,TblTech[[#This Row],[Hour]:[Hour]]&gt;=BO$2),1,0)</f>
        <v>0</v>
      </c>
      <c r="BP125" s="276" cm="1">
        <f t="array" ref="BP125">IF(AND(BP$2&lt;&gt;0,TblTech[[#This Row],[Hour]:[Hour]]&gt;=BP$2),1,0)</f>
        <v>0</v>
      </c>
      <c r="BQ125" s="276" cm="1">
        <f t="array" ref="BQ125">IF(AND(BQ$2&lt;&gt;0,TblTech[[#This Row],[Hour]:[Hour]]&gt;=BQ$2),1,0)</f>
        <v>0</v>
      </c>
      <c r="BR125" s="276" cm="1">
        <f t="array" ref="BR125">IF(AND(BR$2&lt;&gt;0,TblTech[[#This Row],[Hour]:[Hour]]&gt;=BR$2),1,0)</f>
        <v>0</v>
      </c>
      <c r="BS125" s="276" cm="1">
        <f t="array" ref="BS125">IF(AND(BS$2&lt;&gt;0,TblTech[[#This Row],[Hour]:[Hour]]&gt;=BS$2),1,0)</f>
        <v>0</v>
      </c>
      <c r="BT125" s="276" cm="1">
        <f t="array" ref="BT125">IF(AND(BT$2&lt;&gt;0,TblTech[[#This Row],[Hour]:[Hour]]&gt;=BT$2),1,0)</f>
        <v>0</v>
      </c>
      <c r="BU125" s="276" cm="1">
        <f t="array" ref="BU125">IF(AND(BU$2&lt;&gt;0,TblTech[[#This Row],[Hour]:[Hour]]&gt;=BU$2),1,0)</f>
        <v>0</v>
      </c>
      <c r="BV125" s="276" cm="1">
        <f t="array" ref="BV125">IF(AND(BV$2&lt;&gt;0,TblTech[[#This Row],[Hour]:[Hour]]&gt;=BV$2),1,0)</f>
        <v>0</v>
      </c>
      <c r="BW125" s="276" cm="1">
        <f t="array" ref="BW125">IF(AND(BW$2&lt;&gt;0,TblTech[[#This Row],[Hour]:[Hour]]&gt;=BW$2),1,0)</f>
        <v>0</v>
      </c>
      <c r="BX125" s="276" cm="1">
        <f t="array" ref="BX125">IF(AND(BX$2&lt;&gt;0,TblTech[[#This Row],[Hour]:[Hour]]&gt;=BX$2),1,0)</f>
        <v>0</v>
      </c>
      <c r="BY125" s="276" cm="1">
        <f t="array" ref="BY125">IF(AND(BY$2&lt;&gt;0,TblTech[[#This Row],[Hour]:[Hour]]&gt;=BY$2),1,0)</f>
        <v>0</v>
      </c>
      <c r="BZ125" s="276" cm="1">
        <f t="array" ref="BZ125">IF(AND(BZ$2&lt;&gt;0,TblTech[[#This Row],[Hour]:[Hour]]&gt;=BZ$2),1,0)</f>
        <v>0</v>
      </c>
      <c r="CA125" s="377">
        <f>IFERROR(INDEX($H$4:$H$79,MATCH(INDEX(TblTech[[#Headers],[1-1]:[11-1]],1,MATCH(TblTech[[#This Row],[Hour]],$M$2:$BZ$2,0)),$G$4:$G$79,0)),)</f>
        <v>0</v>
      </c>
    </row>
    <row r="126" spans="1:79" x14ac:dyDescent="0.2">
      <c r="A126" s="268">
        <f>TblRezone[[#This Row],[Hour]]</f>
        <v>123</v>
      </c>
      <c r="B126" s="269">
        <f ca="1">TblExplore[[#This Row],[Land-DB]]</f>
        <v>110</v>
      </c>
      <c r="C126" s="270">
        <f ca="1">TblProd[[#This Row],[Techpoints]]</f>
        <v>0</v>
      </c>
      <c r="D126" s="270">
        <f ca="1">TblProd[[#This Row],[Required]]</f>
        <v>3750</v>
      </c>
      <c r="E126" s="279"/>
      <c r="F126" s="280"/>
      <c r="G126" s="273"/>
      <c r="H126" s="274"/>
      <c r="I126" s="274"/>
      <c r="J126" s="274"/>
      <c r="K126" s="93">
        <f ca="1">IF(TblTech[[#This Row],[Sum of tech]]&lt;&gt;OFFSET(TblTech[[#This Row],[Sum of tech]],-1,0),1,0)</f>
        <v>0</v>
      </c>
      <c r="L126" s="275">
        <f>COUNTIF(TblTech[[#This Row],[1-1]:[11-1]],1)</f>
        <v>0</v>
      </c>
      <c r="M126" s="276" cm="1">
        <f t="array" ref="M126">IF(AND(M$2&lt;&gt;0,TblTech[[#This Row],[Hour]:[Hour]]&gt;=M$2),1,0)</f>
        <v>0</v>
      </c>
      <c r="N126" s="276" cm="1">
        <f t="array" ref="N126">IF(AND(N$2&lt;&gt;0,TblTech[[#This Row],[Hour]:[Hour]]&gt;=N$2),1,0)</f>
        <v>0</v>
      </c>
      <c r="O126" s="276" cm="1">
        <f t="array" ref="O126">IF(AND(O$2&lt;&gt;0,TblTech[[#This Row],[Hour]:[Hour]]&gt;=O$2),1,0)</f>
        <v>0</v>
      </c>
      <c r="P126" s="276" cm="1">
        <f t="array" ref="P126">IF(AND(P$2&lt;&gt;0,TblTech[[#This Row],[Hour]:[Hour]]&gt;=P$2),1,0)</f>
        <v>0</v>
      </c>
      <c r="Q126" s="276" cm="1">
        <f t="array" ref="Q126">IF(AND(Q$2&lt;&gt;0,TblTech[[#This Row],[Hour]:[Hour]]&gt;=Q$2),1,0)</f>
        <v>0</v>
      </c>
      <c r="R126" s="276" cm="1">
        <f t="array" ref="R126">IF(AND(R$2&lt;&gt;0,TblTech[[#This Row],[Hour]:[Hour]]&gt;=R$2),1,0)</f>
        <v>0</v>
      </c>
      <c r="S126" s="276" cm="1">
        <f t="array" ref="S126">IF(AND(S$2&lt;&gt;0,TblTech[[#This Row],[Hour]:[Hour]]&gt;=S$2),1,0)</f>
        <v>0</v>
      </c>
      <c r="T126" s="276" cm="1">
        <f t="array" ref="T126">IF(AND(T$2&lt;&gt;0,TblTech[[#This Row],[Hour]:[Hour]]&gt;=T$2),1,0)</f>
        <v>0</v>
      </c>
      <c r="U126" s="276" cm="1">
        <f t="array" ref="U126">IF(AND(U$2&lt;&gt;0,TblTech[[#This Row],[Hour]:[Hour]]&gt;=U$2),1,0)</f>
        <v>0</v>
      </c>
      <c r="V126" s="276" cm="1">
        <f t="array" ref="V126">IF(AND(V$2&lt;&gt;0,TblTech[[#This Row],[Hour]:[Hour]]&gt;=V$2),1,0)</f>
        <v>0</v>
      </c>
      <c r="W126" s="276" cm="1">
        <f t="array" ref="W126">IF(AND(W$2&lt;&gt;0,TblTech[[#This Row],[Hour]:[Hour]]&gt;=W$2),1,0)</f>
        <v>0</v>
      </c>
      <c r="X126" s="276" cm="1">
        <f t="array" ref="X126">IF(AND(X$2&lt;&gt;0,TblTech[[#This Row],[Hour]:[Hour]]&gt;=X$2),1,0)</f>
        <v>0</v>
      </c>
      <c r="Y126" s="276" cm="1">
        <f t="array" ref="Y126">IF(AND(Y$2&lt;&gt;0,TblTech[[#This Row],[Hour]:[Hour]]&gt;=Y$2),1,0)</f>
        <v>0</v>
      </c>
      <c r="Z126" s="276" cm="1">
        <f t="array" ref="Z126">IF(AND(Z$2&lt;&gt;0,TblTech[[#This Row],[Hour]:[Hour]]&gt;=Z$2),1,0)</f>
        <v>0</v>
      </c>
      <c r="AA126" s="276" cm="1">
        <f t="array" ref="AA126">IF(AND(AA$2&lt;&gt;0,TblTech[[#This Row],[Hour]:[Hour]]&gt;=AA$2),1,0)</f>
        <v>0</v>
      </c>
      <c r="AB126" s="276" cm="1">
        <f t="array" ref="AB126">IF(AND(AB$2&lt;&gt;0,TblTech[[#This Row],[Hour]:[Hour]]&gt;=AB$2),1,0)</f>
        <v>0</v>
      </c>
      <c r="AC126" s="276" cm="1">
        <f t="array" ref="AC126">IF(AND(AC$2&lt;&gt;0,TblTech[[#This Row],[Hour]:[Hour]]&gt;=AC$2),1,0)</f>
        <v>0</v>
      </c>
      <c r="AD126" s="276" cm="1">
        <f t="array" ref="AD126">IF(AND(AD$2&lt;&gt;0,TblTech[[#This Row],[Hour]:[Hour]]&gt;=AD$2),1,0)</f>
        <v>0</v>
      </c>
      <c r="AE126" s="276" cm="1">
        <f t="array" ref="AE126">IF(AND(AE$2&lt;&gt;0,TblTech[[#This Row],[Hour]:[Hour]]&gt;=AE$2),1,0)</f>
        <v>0</v>
      </c>
      <c r="AF126" s="276" cm="1">
        <f t="array" ref="AF126">IF(AND(AF$2&lt;&gt;0,TblTech[[#This Row],[Hour]:[Hour]]&gt;=AF$2),1,0)</f>
        <v>0</v>
      </c>
      <c r="AG126" s="276" cm="1">
        <f t="array" ref="AG126">IF(AND(AG$2&lt;&gt;0,TblTech[[#This Row],[Hour]:[Hour]]&gt;=AG$2),1,0)</f>
        <v>0</v>
      </c>
      <c r="AH126" s="276" cm="1">
        <f t="array" ref="AH126">IF(AND(AH$2&lt;&gt;0,TblTech[[#This Row],[Hour]:[Hour]]&gt;=AH$2),1,0)</f>
        <v>0</v>
      </c>
      <c r="AI126" s="276" cm="1">
        <f t="array" ref="AI126">IF(AND(AI$2&lt;&gt;0,TblTech[[#This Row],[Hour]:[Hour]]&gt;=AI$2),1,0)</f>
        <v>0</v>
      </c>
      <c r="AJ126" s="276" cm="1">
        <f t="array" ref="AJ126">IF(AND(AJ$2&lt;&gt;0,TblTech[[#This Row],[Hour]:[Hour]]&gt;=AJ$2),1,0)</f>
        <v>0</v>
      </c>
      <c r="AK126" s="276" cm="1">
        <f t="array" ref="AK126">IF(AND(AK$2&lt;&gt;0,TblTech[[#This Row],[Hour]:[Hour]]&gt;=AK$2),1,0)</f>
        <v>0</v>
      </c>
      <c r="AL126" s="276" cm="1">
        <f t="array" ref="AL126">IF(AND(AL$2&lt;&gt;0,TblTech[[#This Row],[Hour]:[Hour]]&gt;=AL$2),1,0)</f>
        <v>0</v>
      </c>
      <c r="AM126" s="276" cm="1">
        <f t="array" ref="AM126">IF(AND(AM$2&lt;&gt;0,TblTech[[#This Row],[Hour]:[Hour]]&gt;=AM$2),1,0)</f>
        <v>0</v>
      </c>
      <c r="AN126" s="276" cm="1">
        <f t="array" ref="AN126">IF(AND(AN$2&lt;&gt;0,TblTech[[#This Row],[Hour]:[Hour]]&gt;=AN$2),1,0)</f>
        <v>0</v>
      </c>
      <c r="AO126" s="276" cm="1">
        <f t="array" ref="AO126">IF(AND(AO$2&lt;&gt;0,TblTech[[#This Row],[Hour]:[Hour]]&gt;=AO$2),1,0)</f>
        <v>0</v>
      </c>
      <c r="AP126" s="276" cm="1">
        <f t="array" ref="AP126">IF(AND(AP$2&lt;&gt;0,TblTech[[#This Row],[Hour]:[Hour]]&gt;=AP$2),1,0)</f>
        <v>0</v>
      </c>
      <c r="AQ126" s="276" cm="1">
        <f t="array" ref="AQ126">IF(AND(AQ$2&lt;&gt;0,TblTech[[#This Row],[Hour]:[Hour]]&gt;=AQ$2),1,0)</f>
        <v>0</v>
      </c>
      <c r="AR126" s="276" cm="1">
        <f t="array" ref="AR126">IF(AND(AR$2&lt;&gt;0,TblTech[[#This Row],[Hour]:[Hour]]&gt;=AR$2),1,0)</f>
        <v>0</v>
      </c>
      <c r="AS126" s="276" cm="1">
        <f t="array" ref="AS126">IF(AND(AS$2&lt;&gt;0,TblTech[[#This Row],[Hour]:[Hour]]&gt;=AS$2),1,0)</f>
        <v>0</v>
      </c>
      <c r="AT126" s="276" cm="1">
        <f t="array" ref="AT126">IF(AND(AT$2&lt;&gt;0,TblTech[[#This Row],[Hour]:[Hour]]&gt;=AT$2),1,0)</f>
        <v>0</v>
      </c>
      <c r="AU126" s="276" cm="1">
        <f t="array" ref="AU126">IF(AND(AU$2&lt;&gt;0,TblTech[[#This Row],[Hour]:[Hour]]&gt;=AU$2),1,0)</f>
        <v>0</v>
      </c>
      <c r="AV126" s="276" cm="1">
        <f t="array" ref="AV126">IF(AND(AV$2&lt;&gt;0,TblTech[[#This Row],[Hour]:[Hour]]&gt;=AV$2),1,0)</f>
        <v>0</v>
      </c>
      <c r="AW126" s="276" cm="1">
        <f t="array" ref="AW126">IF(AND(AW$2&lt;&gt;0,TblTech[[#This Row],[Hour]:[Hour]]&gt;=AW$2),1,0)</f>
        <v>0</v>
      </c>
      <c r="AX126" s="276" cm="1">
        <f t="array" ref="AX126">IF(AND(AX$2&lt;&gt;0,TblTech[[#This Row],[Hour]:[Hour]]&gt;=AX$2),1,0)</f>
        <v>0</v>
      </c>
      <c r="AY126" s="276" cm="1">
        <f t="array" ref="AY126">IF(AND(AY$2&lt;&gt;0,TblTech[[#This Row],[Hour]:[Hour]]&gt;=AY$2),1,0)</f>
        <v>0</v>
      </c>
      <c r="AZ126" s="276" cm="1">
        <f t="array" ref="AZ126">IF(AND(AZ$2&lt;&gt;0,TblTech[[#This Row],[Hour]:[Hour]]&gt;=AZ$2),1,0)</f>
        <v>0</v>
      </c>
      <c r="BA126" s="276" cm="1">
        <f t="array" ref="BA126">IF(AND(BA$2&lt;&gt;0,TblTech[[#This Row],[Hour]:[Hour]]&gt;=BA$2),1,0)</f>
        <v>0</v>
      </c>
      <c r="BB126" s="276" cm="1">
        <f t="array" ref="BB126">IF(AND(BB$2&lt;&gt;0,TblTech[[#This Row],[Hour]:[Hour]]&gt;=BB$2),1,0)</f>
        <v>0</v>
      </c>
      <c r="BC126" s="276" cm="1">
        <f t="array" ref="BC126">IF(AND(BC$2&lt;&gt;0,TblTech[[#This Row],[Hour]:[Hour]]&gt;=BC$2),1,0)</f>
        <v>0</v>
      </c>
      <c r="BD126" s="276" cm="1">
        <f t="array" ref="BD126">IF(AND(BD$2&lt;&gt;0,TblTech[[#This Row],[Hour]:[Hour]]&gt;=BD$2),1,0)</f>
        <v>0</v>
      </c>
      <c r="BE126" s="276" cm="1">
        <f t="array" ref="BE126">IF(AND(BE$2&lt;&gt;0,TblTech[[#This Row],[Hour]:[Hour]]&gt;=BE$2),1,0)</f>
        <v>0</v>
      </c>
      <c r="BF126" s="276" cm="1">
        <f t="array" ref="BF126">IF(AND(BF$2&lt;&gt;0,TblTech[[#This Row],[Hour]:[Hour]]&gt;=BF$2),1,0)</f>
        <v>0</v>
      </c>
      <c r="BG126" s="276" cm="1">
        <f t="array" ref="BG126">IF(AND(BG$2&lt;&gt;0,TblTech[[#This Row],[Hour]:[Hour]]&gt;=BG$2),1,0)</f>
        <v>0</v>
      </c>
      <c r="BH126" s="276" cm="1">
        <f t="array" ref="BH126">IF(AND(BH$2&lt;&gt;0,TblTech[[#This Row],[Hour]:[Hour]]&gt;=BH$2),1,0)</f>
        <v>0</v>
      </c>
      <c r="BI126" s="276" cm="1">
        <f t="array" ref="BI126">IF(AND(BI$2&lt;&gt;0,TblTech[[#This Row],[Hour]:[Hour]]&gt;=BI$2),1,0)</f>
        <v>0</v>
      </c>
      <c r="BJ126" s="276" cm="1">
        <f t="array" ref="BJ126">IF(AND(BJ$2&lt;&gt;0,TblTech[[#This Row],[Hour]:[Hour]]&gt;=BJ$2),1,0)</f>
        <v>0</v>
      </c>
      <c r="BK126" s="276" cm="1">
        <f t="array" ref="BK126">IF(AND(BK$2&lt;&gt;0,TblTech[[#This Row],[Hour]:[Hour]]&gt;=BK$2),1,0)</f>
        <v>0</v>
      </c>
      <c r="BL126" s="276" cm="1">
        <f t="array" ref="BL126">IF(AND(BL$2&lt;&gt;0,TblTech[[#This Row],[Hour]:[Hour]]&gt;=BL$2),1,0)</f>
        <v>0</v>
      </c>
      <c r="BM126" s="276" cm="1">
        <f t="array" ref="BM126">IF(AND(BM$2&lt;&gt;0,TblTech[[#This Row],[Hour]:[Hour]]&gt;=BM$2),1,0)</f>
        <v>0</v>
      </c>
      <c r="BN126" s="276" cm="1">
        <f t="array" ref="BN126">IF(AND(BN$2&lt;&gt;0,TblTech[[#This Row],[Hour]:[Hour]]&gt;=BN$2),1,0)</f>
        <v>0</v>
      </c>
      <c r="BO126" s="276" cm="1">
        <f t="array" ref="BO126">IF(AND(BO$2&lt;&gt;0,TblTech[[#This Row],[Hour]:[Hour]]&gt;=BO$2),1,0)</f>
        <v>0</v>
      </c>
      <c r="BP126" s="276" cm="1">
        <f t="array" ref="BP126">IF(AND(BP$2&lt;&gt;0,TblTech[[#This Row],[Hour]:[Hour]]&gt;=BP$2),1,0)</f>
        <v>0</v>
      </c>
      <c r="BQ126" s="276" cm="1">
        <f t="array" ref="BQ126">IF(AND(BQ$2&lt;&gt;0,TblTech[[#This Row],[Hour]:[Hour]]&gt;=BQ$2),1,0)</f>
        <v>0</v>
      </c>
      <c r="BR126" s="276" cm="1">
        <f t="array" ref="BR126">IF(AND(BR$2&lt;&gt;0,TblTech[[#This Row],[Hour]:[Hour]]&gt;=BR$2),1,0)</f>
        <v>0</v>
      </c>
      <c r="BS126" s="276" cm="1">
        <f t="array" ref="BS126">IF(AND(BS$2&lt;&gt;0,TblTech[[#This Row],[Hour]:[Hour]]&gt;=BS$2),1,0)</f>
        <v>0</v>
      </c>
      <c r="BT126" s="276" cm="1">
        <f t="array" ref="BT126">IF(AND(BT$2&lt;&gt;0,TblTech[[#This Row],[Hour]:[Hour]]&gt;=BT$2),1,0)</f>
        <v>0</v>
      </c>
      <c r="BU126" s="276" cm="1">
        <f t="array" ref="BU126">IF(AND(BU$2&lt;&gt;0,TblTech[[#This Row],[Hour]:[Hour]]&gt;=BU$2),1,0)</f>
        <v>0</v>
      </c>
      <c r="BV126" s="276" cm="1">
        <f t="array" ref="BV126">IF(AND(BV$2&lt;&gt;0,TblTech[[#This Row],[Hour]:[Hour]]&gt;=BV$2),1,0)</f>
        <v>0</v>
      </c>
      <c r="BW126" s="276" cm="1">
        <f t="array" ref="BW126">IF(AND(BW$2&lt;&gt;0,TblTech[[#This Row],[Hour]:[Hour]]&gt;=BW$2),1,0)</f>
        <v>0</v>
      </c>
      <c r="BX126" s="276" cm="1">
        <f t="array" ref="BX126">IF(AND(BX$2&lt;&gt;0,TblTech[[#This Row],[Hour]:[Hour]]&gt;=BX$2),1,0)</f>
        <v>0</v>
      </c>
      <c r="BY126" s="276" cm="1">
        <f t="array" ref="BY126">IF(AND(BY$2&lt;&gt;0,TblTech[[#This Row],[Hour]:[Hour]]&gt;=BY$2),1,0)</f>
        <v>0</v>
      </c>
      <c r="BZ126" s="276" cm="1">
        <f t="array" ref="BZ126">IF(AND(BZ$2&lt;&gt;0,TblTech[[#This Row],[Hour]:[Hour]]&gt;=BZ$2),1,0)</f>
        <v>0</v>
      </c>
      <c r="CA126" s="377">
        <f>IFERROR(INDEX($H$4:$H$79,MATCH(INDEX(TblTech[[#Headers],[1-1]:[11-1]],1,MATCH(TblTech[[#This Row],[Hour]],$M$2:$BZ$2,0)),$G$4:$G$79,0)),)</f>
        <v>0</v>
      </c>
    </row>
    <row r="127" spans="1:79" x14ac:dyDescent="0.2">
      <c r="A127" s="268">
        <f>TblRezone[[#This Row],[Hour]]</f>
        <v>124</v>
      </c>
      <c r="B127" s="269">
        <f ca="1">TblExplore[[#This Row],[Land-DB]]</f>
        <v>110</v>
      </c>
      <c r="C127" s="270">
        <f ca="1">TblProd[[#This Row],[Techpoints]]</f>
        <v>0</v>
      </c>
      <c r="D127" s="270">
        <f ca="1">TblProd[[#This Row],[Required]]</f>
        <v>3750</v>
      </c>
      <c r="E127" s="279"/>
      <c r="F127" s="280"/>
      <c r="G127" s="273"/>
      <c r="H127" s="274"/>
      <c r="I127" s="274"/>
      <c r="J127" s="274"/>
      <c r="K127" s="93">
        <f ca="1">IF(TblTech[[#This Row],[Sum of tech]]&lt;&gt;OFFSET(TblTech[[#This Row],[Sum of tech]],-1,0),1,0)</f>
        <v>0</v>
      </c>
      <c r="L127" s="275">
        <f>COUNTIF(TblTech[[#This Row],[1-1]:[11-1]],1)</f>
        <v>0</v>
      </c>
      <c r="M127" s="276" cm="1">
        <f t="array" ref="M127">IF(AND(M$2&lt;&gt;0,TblTech[[#This Row],[Hour]:[Hour]]&gt;=M$2),1,0)</f>
        <v>0</v>
      </c>
      <c r="N127" s="276" cm="1">
        <f t="array" ref="N127">IF(AND(N$2&lt;&gt;0,TblTech[[#This Row],[Hour]:[Hour]]&gt;=N$2),1,0)</f>
        <v>0</v>
      </c>
      <c r="O127" s="276" cm="1">
        <f t="array" ref="O127">IF(AND(O$2&lt;&gt;0,TblTech[[#This Row],[Hour]:[Hour]]&gt;=O$2),1,0)</f>
        <v>0</v>
      </c>
      <c r="P127" s="276" cm="1">
        <f t="array" ref="P127">IF(AND(P$2&lt;&gt;0,TblTech[[#This Row],[Hour]:[Hour]]&gt;=P$2),1,0)</f>
        <v>0</v>
      </c>
      <c r="Q127" s="276" cm="1">
        <f t="array" ref="Q127">IF(AND(Q$2&lt;&gt;0,TblTech[[#This Row],[Hour]:[Hour]]&gt;=Q$2),1,0)</f>
        <v>0</v>
      </c>
      <c r="R127" s="276" cm="1">
        <f t="array" ref="R127">IF(AND(R$2&lt;&gt;0,TblTech[[#This Row],[Hour]:[Hour]]&gt;=R$2),1,0)</f>
        <v>0</v>
      </c>
      <c r="S127" s="276" cm="1">
        <f t="array" ref="S127">IF(AND(S$2&lt;&gt;0,TblTech[[#This Row],[Hour]:[Hour]]&gt;=S$2),1,0)</f>
        <v>0</v>
      </c>
      <c r="T127" s="276" cm="1">
        <f t="array" ref="T127">IF(AND(T$2&lt;&gt;0,TblTech[[#This Row],[Hour]:[Hour]]&gt;=T$2),1,0)</f>
        <v>0</v>
      </c>
      <c r="U127" s="276" cm="1">
        <f t="array" ref="U127">IF(AND(U$2&lt;&gt;0,TblTech[[#This Row],[Hour]:[Hour]]&gt;=U$2),1,0)</f>
        <v>0</v>
      </c>
      <c r="V127" s="276" cm="1">
        <f t="array" ref="V127">IF(AND(V$2&lt;&gt;0,TblTech[[#This Row],[Hour]:[Hour]]&gt;=V$2),1,0)</f>
        <v>0</v>
      </c>
      <c r="W127" s="276" cm="1">
        <f t="array" ref="W127">IF(AND(W$2&lt;&gt;0,TblTech[[#This Row],[Hour]:[Hour]]&gt;=W$2),1,0)</f>
        <v>0</v>
      </c>
      <c r="X127" s="276" cm="1">
        <f t="array" ref="X127">IF(AND(X$2&lt;&gt;0,TblTech[[#This Row],[Hour]:[Hour]]&gt;=X$2),1,0)</f>
        <v>0</v>
      </c>
      <c r="Y127" s="276" cm="1">
        <f t="array" ref="Y127">IF(AND(Y$2&lt;&gt;0,TblTech[[#This Row],[Hour]:[Hour]]&gt;=Y$2),1,0)</f>
        <v>0</v>
      </c>
      <c r="Z127" s="276" cm="1">
        <f t="array" ref="Z127">IF(AND(Z$2&lt;&gt;0,TblTech[[#This Row],[Hour]:[Hour]]&gt;=Z$2),1,0)</f>
        <v>0</v>
      </c>
      <c r="AA127" s="276" cm="1">
        <f t="array" ref="AA127">IF(AND(AA$2&lt;&gt;0,TblTech[[#This Row],[Hour]:[Hour]]&gt;=AA$2),1,0)</f>
        <v>0</v>
      </c>
      <c r="AB127" s="276" cm="1">
        <f t="array" ref="AB127">IF(AND(AB$2&lt;&gt;0,TblTech[[#This Row],[Hour]:[Hour]]&gt;=AB$2),1,0)</f>
        <v>0</v>
      </c>
      <c r="AC127" s="276" cm="1">
        <f t="array" ref="AC127">IF(AND(AC$2&lt;&gt;0,TblTech[[#This Row],[Hour]:[Hour]]&gt;=AC$2),1,0)</f>
        <v>0</v>
      </c>
      <c r="AD127" s="276" cm="1">
        <f t="array" ref="AD127">IF(AND(AD$2&lt;&gt;0,TblTech[[#This Row],[Hour]:[Hour]]&gt;=AD$2),1,0)</f>
        <v>0</v>
      </c>
      <c r="AE127" s="276" cm="1">
        <f t="array" ref="AE127">IF(AND(AE$2&lt;&gt;0,TblTech[[#This Row],[Hour]:[Hour]]&gt;=AE$2),1,0)</f>
        <v>0</v>
      </c>
      <c r="AF127" s="276" cm="1">
        <f t="array" ref="AF127">IF(AND(AF$2&lt;&gt;0,TblTech[[#This Row],[Hour]:[Hour]]&gt;=AF$2),1,0)</f>
        <v>0</v>
      </c>
      <c r="AG127" s="276" cm="1">
        <f t="array" ref="AG127">IF(AND(AG$2&lt;&gt;0,TblTech[[#This Row],[Hour]:[Hour]]&gt;=AG$2),1,0)</f>
        <v>0</v>
      </c>
      <c r="AH127" s="276" cm="1">
        <f t="array" ref="AH127">IF(AND(AH$2&lt;&gt;0,TblTech[[#This Row],[Hour]:[Hour]]&gt;=AH$2),1,0)</f>
        <v>0</v>
      </c>
      <c r="AI127" s="276" cm="1">
        <f t="array" ref="AI127">IF(AND(AI$2&lt;&gt;0,TblTech[[#This Row],[Hour]:[Hour]]&gt;=AI$2),1,0)</f>
        <v>0</v>
      </c>
      <c r="AJ127" s="276" cm="1">
        <f t="array" ref="AJ127">IF(AND(AJ$2&lt;&gt;0,TblTech[[#This Row],[Hour]:[Hour]]&gt;=AJ$2),1,0)</f>
        <v>0</v>
      </c>
      <c r="AK127" s="276" cm="1">
        <f t="array" ref="AK127">IF(AND(AK$2&lt;&gt;0,TblTech[[#This Row],[Hour]:[Hour]]&gt;=AK$2),1,0)</f>
        <v>0</v>
      </c>
      <c r="AL127" s="276" cm="1">
        <f t="array" ref="AL127">IF(AND(AL$2&lt;&gt;0,TblTech[[#This Row],[Hour]:[Hour]]&gt;=AL$2),1,0)</f>
        <v>0</v>
      </c>
      <c r="AM127" s="276" cm="1">
        <f t="array" ref="AM127">IF(AND(AM$2&lt;&gt;0,TblTech[[#This Row],[Hour]:[Hour]]&gt;=AM$2),1,0)</f>
        <v>0</v>
      </c>
      <c r="AN127" s="276" cm="1">
        <f t="array" ref="AN127">IF(AND(AN$2&lt;&gt;0,TblTech[[#This Row],[Hour]:[Hour]]&gt;=AN$2),1,0)</f>
        <v>0</v>
      </c>
      <c r="AO127" s="276" cm="1">
        <f t="array" ref="AO127">IF(AND(AO$2&lt;&gt;0,TblTech[[#This Row],[Hour]:[Hour]]&gt;=AO$2),1,0)</f>
        <v>0</v>
      </c>
      <c r="AP127" s="276" cm="1">
        <f t="array" ref="AP127">IF(AND(AP$2&lt;&gt;0,TblTech[[#This Row],[Hour]:[Hour]]&gt;=AP$2),1,0)</f>
        <v>0</v>
      </c>
      <c r="AQ127" s="276" cm="1">
        <f t="array" ref="AQ127">IF(AND(AQ$2&lt;&gt;0,TblTech[[#This Row],[Hour]:[Hour]]&gt;=AQ$2),1,0)</f>
        <v>0</v>
      </c>
      <c r="AR127" s="276" cm="1">
        <f t="array" ref="AR127">IF(AND(AR$2&lt;&gt;0,TblTech[[#This Row],[Hour]:[Hour]]&gt;=AR$2),1,0)</f>
        <v>0</v>
      </c>
      <c r="AS127" s="276" cm="1">
        <f t="array" ref="AS127">IF(AND(AS$2&lt;&gt;0,TblTech[[#This Row],[Hour]:[Hour]]&gt;=AS$2),1,0)</f>
        <v>0</v>
      </c>
      <c r="AT127" s="276" cm="1">
        <f t="array" ref="AT127">IF(AND(AT$2&lt;&gt;0,TblTech[[#This Row],[Hour]:[Hour]]&gt;=AT$2),1,0)</f>
        <v>0</v>
      </c>
      <c r="AU127" s="276" cm="1">
        <f t="array" ref="AU127">IF(AND(AU$2&lt;&gt;0,TblTech[[#This Row],[Hour]:[Hour]]&gt;=AU$2),1,0)</f>
        <v>0</v>
      </c>
      <c r="AV127" s="276" cm="1">
        <f t="array" ref="AV127">IF(AND(AV$2&lt;&gt;0,TblTech[[#This Row],[Hour]:[Hour]]&gt;=AV$2),1,0)</f>
        <v>0</v>
      </c>
      <c r="AW127" s="276" cm="1">
        <f t="array" ref="AW127">IF(AND(AW$2&lt;&gt;0,TblTech[[#This Row],[Hour]:[Hour]]&gt;=AW$2),1,0)</f>
        <v>0</v>
      </c>
      <c r="AX127" s="276" cm="1">
        <f t="array" ref="AX127">IF(AND(AX$2&lt;&gt;0,TblTech[[#This Row],[Hour]:[Hour]]&gt;=AX$2),1,0)</f>
        <v>0</v>
      </c>
      <c r="AY127" s="276" cm="1">
        <f t="array" ref="AY127">IF(AND(AY$2&lt;&gt;0,TblTech[[#This Row],[Hour]:[Hour]]&gt;=AY$2),1,0)</f>
        <v>0</v>
      </c>
      <c r="AZ127" s="276" cm="1">
        <f t="array" ref="AZ127">IF(AND(AZ$2&lt;&gt;0,TblTech[[#This Row],[Hour]:[Hour]]&gt;=AZ$2),1,0)</f>
        <v>0</v>
      </c>
      <c r="BA127" s="276" cm="1">
        <f t="array" ref="BA127">IF(AND(BA$2&lt;&gt;0,TblTech[[#This Row],[Hour]:[Hour]]&gt;=BA$2),1,0)</f>
        <v>0</v>
      </c>
      <c r="BB127" s="276" cm="1">
        <f t="array" ref="BB127">IF(AND(BB$2&lt;&gt;0,TblTech[[#This Row],[Hour]:[Hour]]&gt;=BB$2),1,0)</f>
        <v>0</v>
      </c>
      <c r="BC127" s="276" cm="1">
        <f t="array" ref="BC127">IF(AND(BC$2&lt;&gt;0,TblTech[[#This Row],[Hour]:[Hour]]&gt;=BC$2),1,0)</f>
        <v>0</v>
      </c>
      <c r="BD127" s="276" cm="1">
        <f t="array" ref="BD127">IF(AND(BD$2&lt;&gt;0,TblTech[[#This Row],[Hour]:[Hour]]&gt;=BD$2),1,0)</f>
        <v>0</v>
      </c>
      <c r="BE127" s="276" cm="1">
        <f t="array" ref="BE127">IF(AND(BE$2&lt;&gt;0,TblTech[[#This Row],[Hour]:[Hour]]&gt;=BE$2),1,0)</f>
        <v>0</v>
      </c>
      <c r="BF127" s="276" cm="1">
        <f t="array" ref="BF127">IF(AND(BF$2&lt;&gt;0,TblTech[[#This Row],[Hour]:[Hour]]&gt;=BF$2),1,0)</f>
        <v>0</v>
      </c>
      <c r="BG127" s="276" cm="1">
        <f t="array" ref="BG127">IF(AND(BG$2&lt;&gt;0,TblTech[[#This Row],[Hour]:[Hour]]&gt;=BG$2),1,0)</f>
        <v>0</v>
      </c>
      <c r="BH127" s="276" cm="1">
        <f t="array" ref="BH127">IF(AND(BH$2&lt;&gt;0,TblTech[[#This Row],[Hour]:[Hour]]&gt;=BH$2),1,0)</f>
        <v>0</v>
      </c>
      <c r="BI127" s="276" cm="1">
        <f t="array" ref="BI127">IF(AND(BI$2&lt;&gt;0,TblTech[[#This Row],[Hour]:[Hour]]&gt;=BI$2),1,0)</f>
        <v>0</v>
      </c>
      <c r="BJ127" s="276" cm="1">
        <f t="array" ref="BJ127">IF(AND(BJ$2&lt;&gt;0,TblTech[[#This Row],[Hour]:[Hour]]&gt;=BJ$2),1,0)</f>
        <v>0</v>
      </c>
      <c r="BK127" s="276" cm="1">
        <f t="array" ref="BK127">IF(AND(BK$2&lt;&gt;0,TblTech[[#This Row],[Hour]:[Hour]]&gt;=BK$2),1,0)</f>
        <v>0</v>
      </c>
      <c r="BL127" s="276" cm="1">
        <f t="array" ref="BL127">IF(AND(BL$2&lt;&gt;0,TblTech[[#This Row],[Hour]:[Hour]]&gt;=BL$2),1,0)</f>
        <v>0</v>
      </c>
      <c r="BM127" s="276" cm="1">
        <f t="array" ref="BM127">IF(AND(BM$2&lt;&gt;0,TblTech[[#This Row],[Hour]:[Hour]]&gt;=BM$2),1,0)</f>
        <v>0</v>
      </c>
      <c r="BN127" s="276" cm="1">
        <f t="array" ref="BN127">IF(AND(BN$2&lt;&gt;0,TblTech[[#This Row],[Hour]:[Hour]]&gt;=BN$2),1,0)</f>
        <v>0</v>
      </c>
      <c r="BO127" s="276" cm="1">
        <f t="array" ref="BO127">IF(AND(BO$2&lt;&gt;0,TblTech[[#This Row],[Hour]:[Hour]]&gt;=BO$2),1,0)</f>
        <v>0</v>
      </c>
      <c r="BP127" s="276" cm="1">
        <f t="array" ref="BP127">IF(AND(BP$2&lt;&gt;0,TblTech[[#This Row],[Hour]:[Hour]]&gt;=BP$2),1,0)</f>
        <v>0</v>
      </c>
      <c r="BQ127" s="276" cm="1">
        <f t="array" ref="BQ127">IF(AND(BQ$2&lt;&gt;0,TblTech[[#This Row],[Hour]:[Hour]]&gt;=BQ$2),1,0)</f>
        <v>0</v>
      </c>
      <c r="BR127" s="276" cm="1">
        <f t="array" ref="BR127">IF(AND(BR$2&lt;&gt;0,TblTech[[#This Row],[Hour]:[Hour]]&gt;=BR$2),1,0)</f>
        <v>0</v>
      </c>
      <c r="BS127" s="276" cm="1">
        <f t="array" ref="BS127">IF(AND(BS$2&lt;&gt;0,TblTech[[#This Row],[Hour]:[Hour]]&gt;=BS$2),1,0)</f>
        <v>0</v>
      </c>
      <c r="BT127" s="276" cm="1">
        <f t="array" ref="BT127">IF(AND(BT$2&lt;&gt;0,TblTech[[#This Row],[Hour]:[Hour]]&gt;=BT$2),1,0)</f>
        <v>0</v>
      </c>
      <c r="BU127" s="276" cm="1">
        <f t="array" ref="BU127">IF(AND(BU$2&lt;&gt;0,TblTech[[#This Row],[Hour]:[Hour]]&gt;=BU$2),1,0)</f>
        <v>0</v>
      </c>
      <c r="BV127" s="276" cm="1">
        <f t="array" ref="BV127">IF(AND(BV$2&lt;&gt;0,TblTech[[#This Row],[Hour]:[Hour]]&gt;=BV$2),1,0)</f>
        <v>0</v>
      </c>
      <c r="BW127" s="276" cm="1">
        <f t="array" ref="BW127">IF(AND(BW$2&lt;&gt;0,TblTech[[#This Row],[Hour]:[Hour]]&gt;=BW$2),1,0)</f>
        <v>0</v>
      </c>
      <c r="BX127" s="276" cm="1">
        <f t="array" ref="BX127">IF(AND(BX$2&lt;&gt;0,TblTech[[#This Row],[Hour]:[Hour]]&gt;=BX$2),1,0)</f>
        <v>0</v>
      </c>
      <c r="BY127" s="276" cm="1">
        <f t="array" ref="BY127">IF(AND(BY$2&lt;&gt;0,TblTech[[#This Row],[Hour]:[Hour]]&gt;=BY$2),1,0)</f>
        <v>0</v>
      </c>
      <c r="BZ127" s="276" cm="1">
        <f t="array" ref="BZ127">IF(AND(BZ$2&lt;&gt;0,TblTech[[#This Row],[Hour]:[Hour]]&gt;=BZ$2),1,0)</f>
        <v>0</v>
      </c>
      <c r="CA127" s="377">
        <f>IFERROR(INDEX($H$4:$H$79,MATCH(INDEX(TblTech[[#Headers],[1-1]:[11-1]],1,MATCH(TblTech[[#This Row],[Hour]],$M$2:$BZ$2,0)),$G$4:$G$79,0)),)</f>
        <v>0</v>
      </c>
    </row>
    <row r="128" spans="1:79" x14ac:dyDescent="0.2">
      <c r="A128" s="268">
        <f>TblRezone[[#This Row],[Hour]]</f>
        <v>125</v>
      </c>
      <c r="B128" s="269">
        <f ca="1">TblExplore[[#This Row],[Land-DB]]</f>
        <v>110</v>
      </c>
      <c r="C128" s="270">
        <f ca="1">TblProd[[#This Row],[Techpoints]]</f>
        <v>0</v>
      </c>
      <c r="D128" s="270">
        <f ca="1">TblProd[[#This Row],[Required]]</f>
        <v>3750</v>
      </c>
      <c r="E128" s="279"/>
      <c r="F128" s="280"/>
      <c r="G128" s="273"/>
      <c r="H128" s="274"/>
      <c r="I128" s="274"/>
      <c r="J128" s="274"/>
      <c r="K128" s="93">
        <f ca="1">IF(TblTech[[#This Row],[Sum of tech]]&lt;&gt;OFFSET(TblTech[[#This Row],[Sum of tech]],-1,0),1,0)</f>
        <v>0</v>
      </c>
      <c r="L128" s="275">
        <f>COUNTIF(TblTech[[#This Row],[1-1]:[11-1]],1)</f>
        <v>0</v>
      </c>
      <c r="M128" s="276" cm="1">
        <f t="array" ref="M128">IF(AND(M$2&lt;&gt;0,TblTech[[#This Row],[Hour]:[Hour]]&gt;=M$2),1,0)</f>
        <v>0</v>
      </c>
      <c r="N128" s="276" cm="1">
        <f t="array" ref="N128">IF(AND(N$2&lt;&gt;0,TblTech[[#This Row],[Hour]:[Hour]]&gt;=N$2),1,0)</f>
        <v>0</v>
      </c>
      <c r="O128" s="276" cm="1">
        <f t="array" ref="O128">IF(AND(O$2&lt;&gt;0,TblTech[[#This Row],[Hour]:[Hour]]&gt;=O$2),1,0)</f>
        <v>0</v>
      </c>
      <c r="P128" s="276" cm="1">
        <f t="array" ref="P128">IF(AND(P$2&lt;&gt;0,TblTech[[#This Row],[Hour]:[Hour]]&gt;=P$2),1,0)</f>
        <v>0</v>
      </c>
      <c r="Q128" s="276" cm="1">
        <f t="array" ref="Q128">IF(AND(Q$2&lt;&gt;0,TblTech[[#This Row],[Hour]:[Hour]]&gt;=Q$2),1,0)</f>
        <v>0</v>
      </c>
      <c r="R128" s="276" cm="1">
        <f t="array" ref="R128">IF(AND(R$2&lt;&gt;0,TblTech[[#This Row],[Hour]:[Hour]]&gt;=R$2),1,0)</f>
        <v>0</v>
      </c>
      <c r="S128" s="276" cm="1">
        <f t="array" ref="S128">IF(AND(S$2&lt;&gt;0,TblTech[[#This Row],[Hour]:[Hour]]&gt;=S$2),1,0)</f>
        <v>0</v>
      </c>
      <c r="T128" s="276" cm="1">
        <f t="array" ref="T128">IF(AND(T$2&lt;&gt;0,TblTech[[#This Row],[Hour]:[Hour]]&gt;=T$2),1,0)</f>
        <v>0</v>
      </c>
      <c r="U128" s="276" cm="1">
        <f t="array" ref="U128">IF(AND(U$2&lt;&gt;0,TblTech[[#This Row],[Hour]:[Hour]]&gt;=U$2),1,0)</f>
        <v>0</v>
      </c>
      <c r="V128" s="276" cm="1">
        <f t="array" ref="V128">IF(AND(V$2&lt;&gt;0,TblTech[[#This Row],[Hour]:[Hour]]&gt;=V$2),1,0)</f>
        <v>0</v>
      </c>
      <c r="W128" s="276" cm="1">
        <f t="array" ref="W128">IF(AND(W$2&lt;&gt;0,TblTech[[#This Row],[Hour]:[Hour]]&gt;=W$2),1,0)</f>
        <v>0</v>
      </c>
      <c r="X128" s="276" cm="1">
        <f t="array" ref="X128">IF(AND(X$2&lt;&gt;0,TblTech[[#This Row],[Hour]:[Hour]]&gt;=X$2),1,0)</f>
        <v>0</v>
      </c>
      <c r="Y128" s="276" cm="1">
        <f t="array" ref="Y128">IF(AND(Y$2&lt;&gt;0,TblTech[[#This Row],[Hour]:[Hour]]&gt;=Y$2),1,0)</f>
        <v>0</v>
      </c>
      <c r="Z128" s="276" cm="1">
        <f t="array" ref="Z128">IF(AND(Z$2&lt;&gt;0,TblTech[[#This Row],[Hour]:[Hour]]&gt;=Z$2),1,0)</f>
        <v>0</v>
      </c>
      <c r="AA128" s="276" cm="1">
        <f t="array" ref="AA128">IF(AND(AA$2&lt;&gt;0,TblTech[[#This Row],[Hour]:[Hour]]&gt;=AA$2),1,0)</f>
        <v>0</v>
      </c>
      <c r="AB128" s="276" cm="1">
        <f t="array" ref="AB128">IF(AND(AB$2&lt;&gt;0,TblTech[[#This Row],[Hour]:[Hour]]&gt;=AB$2),1,0)</f>
        <v>0</v>
      </c>
      <c r="AC128" s="276" cm="1">
        <f t="array" ref="AC128">IF(AND(AC$2&lt;&gt;0,TblTech[[#This Row],[Hour]:[Hour]]&gt;=AC$2),1,0)</f>
        <v>0</v>
      </c>
      <c r="AD128" s="276" cm="1">
        <f t="array" ref="AD128">IF(AND(AD$2&lt;&gt;0,TblTech[[#This Row],[Hour]:[Hour]]&gt;=AD$2),1,0)</f>
        <v>0</v>
      </c>
      <c r="AE128" s="276" cm="1">
        <f t="array" ref="AE128">IF(AND(AE$2&lt;&gt;0,TblTech[[#This Row],[Hour]:[Hour]]&gt;=AE$2),1,0)</f>
        <v>0</v>
      </c>
      <c r="AF128" s="276" cm="1">
        <f t="array" ref="AF128">IF(AND(AF$2&lt;&gt;0,TblTech[[#This Row],[Hour]:[Hour]]&gt;=AF$2),1,0)</f>
        <v>0</v>
      </c>
      <c r="AG128" s="276" cm="1">
        <f t="array" ref="AG128">IF(AND(AG$2&lt;&gt;0,TblTech[[#This Row],[Hour]:[Hour]]&gt;=AG$2),1,0)</f>
        <v>0</v>
      </c>
      <c r="AH128" s="276" cm="1">
        <f t="array" ref="AH128">IF(AND(AH$2&lt;&gt;0,TblTech[[#This Row],[Hour]:[Hour]]&gt;=AH$2),1,0)</f>
        <v>0</v>
      </c>
      <c r="AI128" s="276" cm="1">
        <f t="array" ref="AI128">IF(AND(AI$2&lt;&gt;0,TblTech[[#This Row],[Hour]:[Hour]]&gt;=AI$2),1,0)</f>
        <v>0</v>
      </c>
      <c r="AJ128" s="276" cm="1">
        <f t="array" ref="AJ128">IF(AND(AJ$2&lt;&gt;0,TblTech[[#This Row],[Hour]:[Hour]]&gt;=AJ$2),1,0)</f>
        <v>0</v>
      </c>
      <c r="AK128" s="276" cm="1">
        <f t="array" ref="AK128">IF(AND(AK$2&lt;&gt;0,TblTech[[#This Row],[Hour]:[Hour]]&gt;=AK$2),1,0)</f>
        <v>0</v>
      </c>
      <c r="AL128" s="276" cm="1">
        <f t="array" ref="AL128">IF(AND(AL$2&lt;&gt;0,TblTech[[#This Row],[Hour]:[Hour]]&gt;=AL$2),1,0)</f>
        <v>0</v>
      </c>
      <c r="AM128" s="276" cm="1">
        <f t="array" ref="AM128">IF(AND(AM$2&lt;&gt;0,TblTech[[#This Row],[Hour]:[Hour]]&gt;=AM$2),1,0)</f>
        <v>0</v>
      </c>
      <c r="AN128" s="276" cm="1">
        <f t="array" ref="AN128">IF(AND(AN$2&lt;&gt;0,TblTech[[#This Row],[Hour]:[Hour]]&gt;=AN$2),1,0)</f>
        <v>0</v>
      </c>
      <c r="AO128" s="276" cm="1">
        <f t="array" ref="AO128">IF(AND(AO$2&lt;&gt;0,TblTech[[#This Row],[Hour]:[Hour]]&gt;=AO$2),1,0)</f>
        <v>0</v>
      </c>
      <c r="AP128" s="276" cm="1">
        <f t="array" ref="AP128">IF(AND(AP$2&lt;&gt;0,TblTech[[#This Row],[Hour]:[Hour]]&gt;=AP$2),1,0)</f>
        <v>0</v>
      </c>
      <c r="AQ128" s="276" cm="1">
        <f t="array" ref="AQ128">IF(AND(AQ$2&lt;&gt;0,TblTech[[#This Row],[Hour]:[Hour]]&gt;=AQ$2),1,0)</f>
        <v>0</v>
      </c>
      <c r="AR128" s="276" cm="1">
        <f t="array" ref="AR128">IF(AND(AR$2&lt;&gt;0,TblTech[[#This Row],[Hour]:[Hour]]&gt;=AR$2),1,0)</f>
        <v>0</v>
      </c>
      <c r="AS128" s="276" cm="1">
        <f t="array" ref="AS128">IF(AND(AS$2&lt;&gt;0,TblTech[[#This Row],[Hour]:[Hour]]&gt;=AS$2),1,0)</f>
        <v>0</v>
      </c>
      <c r="AT128" s="276" cm="1">
        <f t="array" ref="AT128">IF(AND(AT$2&lt;&gt;0,TblTech[[#This Row],[Hour]:[Hour]]&gt;=AT$2),1,0)</f>
        <v>0</v>
      </c>
      <c r="AU128" s="276" cm="1">
        <f t="array" ref="AU128">IF(AND(AU$2&lt;&gt;0,TblTech[[#This Row],[Hour]:[Hour]]&gt;=AU$2),1,0)</f>
        <v>0</v>
      </c>
      <c r="AV128" s="276" cm="1">
        <f t="array" ref="AV128">IF(AND(AV$2&lt;&gt;0,TblTech[[#This Row],[Hour]:[Hour]]&gt;=AV$2),1,0)</f>
        <v>0</v>
      </c>
      <c r="AW128" s="276" cm="1">
        <f t="array" ref="AW128">IF(AND(AW$2&lt;&gt;0,TblTech[[#This Row],[Hour]:[Hour]]&gt;=AW$2),1,0)</f>
        <v>0</v>
      </c>
      <c r="AX128" s="276" cm="1">
        <f t="array" ref="AX128">IF(AND(AX$2&lt;&gt;0,TblTech[[#This Row],[Hour]:[Hour]]&gt;=AX$2),1,0)</f>
        <v>0</v>
      </c>
      <c r="AY128" s="276" cm="1">
        <f t="array" ref="AY128">IF(AND(AY$2&lt;&gt;0,TblTech[[#This Row],[Hour]:[Hour]]&gt;=AY$2),1,0)</f>
        <v>0</v>
      </c>
      <c r="AZ128" s="276" cm="1">
        <f t="array" ref="AZ128">IF(AND(AZ$2&lt;&gt;0,TblTech[[#This Row],[Hour]:[Hour]]&gt;=AZ$2),1,0)</f>
        <v>0</v>
      </c>
      <c r="BA128" s="276" cm="1">
        <f t="array" ref="BA128">IF(AND(BA$2&lt;&gt;0,TblTech[[#This Row],[Hour]:[Hour]]&gt;=BA$2),1,0)</f>
        <v>0</v>
      </c>
      <c r="BB128" s="276" cm="1">
        <f t="array" ref="BB128">IF(AND(BB$2&lt;&gt;0,TblTech[[#This Row],[Hour]:[Hour]]&gt;=BB$2),1,0)</f>
        <v>0</v>
      </c>
      <c r="BC128" s="276" cm="1">
        <f t="array" ref="BC128">IF(AND(BC$2&lt;&gt;0,TblTech[[#This Row],[Hour]:[Hour]]&gt;=BC$2),1,0)</f>
        <v>0</v>
      </c>
      <c r="BD128" s="276" cm="1">
        <f t="array" ref="BD128">IF(AND(BD$2&lt;&gt;0,TblTech[[#This Row],[Hour]:[Hour]]&gt;=BD$2),1,0)</f>
        <v>0</v>
      </c>
      <c r="BE128" s="276" cm="1">
        <f t="array" ref="BE128">IF(AND(BE$2&lt;&gt;0,TblTech[[#This Row],[Hour]:[Hour]]&gt;=BE$2),1,0)</f>
        <v>0</v>
      </c>
      <c r="BF128" s="276" cm="1">
        <f t="array" ref="BF128">IF(AND(BF$2&lt;&gt;0,TblTech[[#This Row],[Hour]:[Hour]]&gt;=BF$2),1,0)</f>
        <v>0</v>
      </c>
      <c r="BG128" s="276" cm="1">
        <f t="array" ref="BG128">IF(AND(BG$2&lt;&gt;0,TblTech[[#This Row],[Hour]:[Hour]]&gt;=BG$2),1,0)</f>
        <v>0</v>
      </c>
      <c r="BH128" s="276" cm="1">
        <f t="array" ref="BH128">IF(AND(BH$2&lt;&gt;0,TblTech[[#This Row],[Hour]:[Hour]]&gt;=BH$2),1,0)</f>
        <v>0</v>
      </c>
      <c r="BI128" s="276" cm="1">
        <f t="array" ref="BI128">IF(AND(BI$2&lt;&gt;0,TblTech[[#This Row],[Hour]:[Hour]]&gt;=BI$2),1,0)</f>
        <v>0</v>
      </c>
      <c r="BJ128" s="276" cm="1">
        <f t="array" ref="BJ128">IF(AND(BJ$2&lt;&gt;0,TblTech[[#This Row],[Hour]:[Hour]]&gt;=BJ$2),1,0)</f>
        <v>0</v>
      </c>
      <c r="BK128" s="276" cm="1">
        <f t="array" ref="BK128">IF(AND(BK$2&lt;&gt;0,TblTech[[#This Row],[Hour]:[Hour]]&gt;=BK$2),1,0)</f>
        <v>0</v>
      </c>
      <c r="BL128" s="276" cm="1">
        <f t="array" ref="BL128">IF(AND(BL$2&lt;&gt;0,TblTech[[#This Row],[Hour]:[Hour]]&gt;=BL$2),1,0)</f>
        <v>0</v>
      </c>
      <c r="BM128" s="276" cm="1">
        <f t="array" ref="BM128">IF(AND(BM$2&lt;&gt;0,TblTech[[#This Row],[Hour]:[Hour]]&gt;=BM$2),1,0)</f>
        <v>0</v>
      </c>
      <c r="BN128" s="276" cm="1">
        <f t="array" ref="BN128">IF(AND(BN$2&lt;&gt;0,TblTech[[#This Row],[Hour]:[Hour]]&gt;=BN$2),1,0)</f>
        <v>0</v>
      </c>
      <c r="BO128" s="276" cm="1">
        <f t="array" ref="BO128">IF(AND(BO$2&lt;&gt;0,TblTech[[#This Row],[Hour]:[Hour]]&gt;=BO$2),1,0)</f>
        <v>0</v>
      </c>
      <c r="BP128" s="276" cm="1">
        <f t="array" ref="BP128">IF(AND(BP$2&lt;&gt;0,TblTech[[#This Row],[Hour]:[Hour]]&gt;=BP$2),1,0)</f>
        <v>0</v>
      </c>
      <c r="BQ128" s="276" cm="1">
        <f t="array" ref="BQ128">IF(AND(BQ$2&lt;&gt;0,TblTech[[#This Row],[Hour]:[Hour]]&gt;=BQ$2),1,0)</f>
        <v>0</v>
      </c>
      <c r="BR128" s="276" cm="1">
        <f t="array" ref="BR128">IF(AND(BR$2&lt;&gt;0,TblTech[[#This Row],[Hour]:[Hour]]&gt;=BR$2),1,0)</f>
        <v>0</v>
      </c>
      <c r="BS128" s="276" cm="1">
        <f t="array" ref="BS128">IF(AND(BS$2&lt;&gt;0,TblTech[[#This Row],[Hour]:[Hour]]&gt;=BS$2),1,0)</f>
        <v>0</v>
      </c>
      <c r="BT128" s="276" cm="1">
        <f t="array" ref="BT128">IF(AND(BT$2&lt;&gt;0,TblTech[[#This Row],[Hour]:[Hour]]&gt;=BT$2),1,0)</f>
        <v>0</v>
      </c>
      <c r="BU128" s="276" cm="1">
        <f t="array" ref="BU128">IF(AND(BU$2&lt;&gt;0,TblTech[[#This Row],[Hour]:[Hour]]&gt;=BU$2),1,0)</f>
        <v>0</v>
      </c>
      <c r="BV128" s="276" cm="1">
        <f t="array" ref="BV128">IF(AND(BV$2&lt;&gt;0,TblTech[[#This Row],[Hour]:[Hour]]&gt;=BV$2),1,0)</f>
        <v>0</v>
      </c>
      <c r="BW128" s="276" cm="1">
        <f t="array" ref="BW128">IF(AND(BW$2&lt;&gt;0,TblTech[[#This Row],[Hour]:[Hour]]&gt;=BW$2),1,0)</f>
        <v>0</v>
      </c>
      <c r="BX128" s="276" cm="1">
        <f t="array" ref="BX128">IF(AND(BX$2&lt;&gt;0,TblTech[[#This Row],[Hour]:[Hour]]&gt;=BX$2),1,0)</f>
        <v>0</v>
      </c>
      <c r="BY128" s="276" cm="1">
        <f t="array" ref="BY128">IF(AND(BY$2&lt;&gt;0,TblTech[[#This Row],[Hour]:[Hour]]&gt;=BY$2),1,0)</f>
        <v>0</v>
      </c>
      <c r="BZ128" s="276" cm="1">
        <f t="array" ref="BZ128">IF(AND(BZ$2&lt;&gt;0,TblTech[[#This Row],[Hour]:[Hour]]&gt;=BZ$2),1,0)</f>
        <v>0</v>
      </c>
      <c r="CA128" s="377">
        <f>IFERROR(INDEX($H$4:$H$79,MATCH(INDEX(TblTech[[#Headers],[1-1]:[11-1]],1,MATCH(TblTech[[#This Row],[Hour]],$M$2:$BZ$2,0)),$G$4:$G$79,0)),)</f>
        <v>0</v>
      </c>
    </row>
    <row r="129" spans="1:79" x14ac:dyDescent="0.2">
      <c r="A129" s="268">
        <f>TblRezone[[#This Row],[Hour]]</f>
        <v>126</v>
      </c>
      <c r="B129" s="269">
        <f ca="1">TblExplore[[#This Row],[Land-DB]]</f>
        <v>110</v>
      </c>
      <c r="C129" s="270">
        <f ca="1">TblProd[[#This Row],[Techpoints]]</f>
        <v>0</v>
      </c>
      <c r="D129" s="270">
        <f ca="1">TblProd[[#This Row],[Required]]</f>
        <v>3750</v>
      </c>
      <c r="E129" s="279"/>
      <c r="F129" s="280"/>
      <c r="G129" s="273"/>
      <c r="H129" s="274"/>
      <c r="I129" s="274"/>
      <c r="J129" s="274"/>
      <c r="K129" s="93">
        <f ca="1">IF(TblTech[[#This Row],[Sum of tech]]&lt;&gt;OFFSET(TblTech[[#This Row],[Sum of tech]],-1,0),1,0)</f>
        <v>0</v>
      </c>
      <c r="L129" s="275">
        <f>COUNTIF(TblTech[[#This Row],[1-1]:[11-1]],1)</f>
        <v>0</v>
      </c>
      <c r="M129" s="276" cm="1">
        <f t="array" ref="M129">IF(AND(M$2&lt;&gt;0,TblTech[[#This Row],[Hour]:[Hour]]&gt;=M$2),1,0)</f>
        <v>0</v>
      </c>
      <c r="N129" s="276" cm="1">
        <f t="array" ref="N129">IF(AND(N$2&lt;&gt;0,TblTech[[#This Row],[Hour]:[Hour]]&gt;=N$2),1,0)</f>
        <v>0</v>
      </c>
      <c r="O129" s="276" cm="1">
        <f t="array" ref="O129">IF(AND(O$2&lt;&gt;0,TblTech[[#This Row],[Hour]:[Hour]]&gt;=O$2),1,0)</f>
        <v>0</v>
      </c>
      <c r="P129" s="276" cm="1">
        <f t="array" ref="P129">IF(AND(P$2&lt;&gt;0,TblTech[[#This Row],[Hour]:[Hour]]&gt;=P$2),1,0)</f>
        <v>0</v>
      </c>
      <c r="Q129" s="276" cm="1">
        <f t="array" ref="Q129">IF(AND(Q$2&lt;&gt;0,TblTech[[#This Row],[Hour]:[Hour]]&gt;=Q$2),1,0)</f>
        <v>0</v>
      </c>
      <c r="R129" s="276" cm="1">
        <f t="array" ref="R129">IF(AND(R$2&lt;&gt;0,TblTech[[#This Row],[Hour]:[Hour]]&gt;=R$2),1,0)</f>
        <v>0</v>
      </c>
      <c r="S129" s="276" cm="1">
        <f t="array" ref="S129">IF(AND(S$2&lt;&gt;0,TblTech[[#This Row],[Hour]:[Hour]]&gt;=S$2),1,0)</f>
        <v>0</v>
      </c>
      <c r="T129" s="276" cm="1">
        <f t="array" ref="T129">IF(AND(T$2&lt;&gt;0,TblTech[[#This Row],[Hour]:[Hour]]&gt;=T$2),1,0)</f>
        <v>0</v>
      </c>
      <c r="U129" s="276" cm="1">
        <f t="array" ref="U129">IF(AND(U$2&lt;&gt;0,TblTech[[#This Row],[Hour]:[Hour]]&gt;=U$2),1,0)</f>
        <v>0</v>
      </c>
      <c r="V129" s="276" cm="1">
        <f t="array" ref="V129">IF(AND(V$2&lt;&gt;0,TblTech[[#This Row],[Hour]:[Hour]]&gt;=V$2),1,0)</f>
        <v>0</v>
      </c>
      <c r="W129" s="276" cm="1">
        <f t="array" ref="W129">IF(AND(W$2&lt;&gt;0,TblTech[[#This Row],[Hour]:[Hour]]&gt;=W$2),1,0)</f>
        <v>0</v>
      </c>
      <c r="X129" s="276" cm="1">
        <f t="array" ref="X129">IF(AND(X$2&lt;&gt;0,TblTech[[#This Row],[Hour]:[Hour]]&gt;=X$2),1,0)</f>
        <v>0</v>
      </c>
      <c r="Y129" s="276" cm="1">
        <f t="array" ref="Y129">IF(AND(Y$2&lt;&gt;0,TblTech[[#This Row],[Hour]:[Hour]]&gt;=Y$2),1,0)</f>
        <v>0</v>
      </c>
      <c r="Z129" s="276" cm="1">
        <f t="array" ref="Z129">IF(AND(Z$2&lt;&gt;0,TblTech[[#This Row],[Hour]:[Hour]]&gt;=Z$2),1,0)</f>
        <v>0</v>
      </c>
      <c r="AA129" s="276" cm="1">
        <f t="array" ref="AA129">IF(AND(AA$2&lt;&gt;0,TblTech[[#This Row],[Hour]:[Hour]]&gt;=AA$2),1,0)</f>
        <v>0</v>
      </c>
      <c r="AB129" s="276" cm="1">
        <f t="array" ref="AB129">IF(AND(AB$2&lt;&gt;0,TblTech[[#This Row],[Hour]:[Hour]]&gt;=AB$2),1,0)</f>
        <v>0</v>
      </c>
      <c r="AC129" s="276" cm="1">
        <f t="array" ref="AC129">IF(AND(AC$2&lt;&gt;0,TblTech[[#This Row],[Hour]:[Hour]]&gt;=AC$2),1,0)</f>
        <v>0</v>
      </c>
      <c r="AD129" s="276" cm="1">
        <f t="array" ref="AD129">IF(AND(AD$2&lt;&gt;0,TblTech[[#This Row],[Hour]:[Hour]]&gt;=AD$2),1,0)</f>
        <v>0</v>
      </c>
      <c r="AE129" s="276" cm="1">
        <f t="array" ref="AE129">IF(AND(AE$2&lt;&gt;0,TblTech[[#This Row],[Hour]:[Hour]]&gt;=AE$2),1,0)</f>
        <v>0</v>
      </c>
      <c r="AF129" s="276" cm="1">
        <f t="array" ref="AF129">IF(AND(AF$2&lt;&gt;0,TblTech[[#This Row],[Hour]:[Hour]]&gt;=AF$2),1,0)</f>
        <v>0</v>
      </c>
      <c r="AG129" s="276" cm="1">
        <f t="array" ref="AG129">IF(AND(AG$2&lt;&gt;0,TblTech[[#This Row],[Hour]:[Hour]]&gt;=AG$2),1,0)</f>
        <v>0</v>
      </c>
      <c r="AH129" s="276" cm="1">
        <f t="array" ref="AH129">IF(AND(AH$2&lt;&gt;0,TblTech[[#This Row],[Hour]:[Hour]]&gt;=AH$2),1,0)</f>
        <v>0</v>
      </c>
      <c r="AI129" s="276" cm="1">
        <f t="array" ref="AI129">IF(AND(AI$2&lt;&gt;0,TblTech[[#This Row],[Hour]:[Hour]]&gt;=AI$2),1,0)</f>
        <v>0</v>
      </c>
      <c r="AJ129" s="276" cm="1">
        <f t="array" ref="AJ129">IF(AND(AJ$2&lt;&gt;0,TblTech[[#This Row],[Hour]:[Hour]]&gt;=AJ$2),1,0)</f>
        <v>0</v>
      </c>
      <c r="AK129" s="276" cm="1">
        <f t="array" ref="AK129">IF(AND(AK$2&lt;&gt;0,TblTech[[#This Row],[Hour]:[Hour]]&gt;=AK$2),1,0)</f>
        <v>0</v>
      </c>
      <c r="AL129" s="276" cm="1">
        <f t="array" ref="AL129">IF(AND(AL$2&lt;&gt;0,TblTech[[#This Row],[Hour]:[Hour]]&gt;=AL$2),1,0)</f>
        <v>0</v>
      </c>
      <c r="AM129" s="276" cm="1">
        <f t="array" ref="AM129">IF(AND(AM$2&lt;&gt;0,TblTech[[#This Row],[Hour]:[Hour]]&gt;=AM$2),1,0)</f>
        <v>0</v>
      </c>
      <c r="AN129" s="276" cm="1">
        <f t="array" ref="AN129">IF(AND(AN$2&lt;&gt;0,TblTech[[#This Row],[Hour]:[Hour]]&gt;=AN$2),1,0)</f>
        <v>0</v>
      </c>
      <c r="AO129" s="276" cm="1">
        <f t="array" ref="AO129">IF(AND(AO$2&lt;&gt;0,TblTech[[#This Row],[Hour]:[Hour]]&gt;=AO$2),1,0)</f>
        <v>0</v>
      </c>
      <c r="AP129" s="276" cm="1">
        <f t="array" ref="AP129">IF(AND(AP$2&lt;&gt;0,TblTech[[#This Row],[Hour]:[Hour]]&gt;=AP$2),1,0)</f>
        <v>0</v>
      </c>
      <c r="AQ129" s="276" cm="1">
        <f t="array" ref="AQ129">IF(AND(AQ$2&lt;&gt;0,TblTech[[#This Row],[Hour]:[Hour]]&gt;=AQ$2),1,0)</f>
        <v>0</v>
      </c>
      <c r="AR129" s="276" cm="1">
        <f t="array" ref="AR129">IF(AND(AR$2&lt;&gt;0,TblTech[[#This Row],[Hour]:[Hour]]&gt;=AR$2),1,0)</f>
        <v>0</v>
      </c>
      <c r="AS129" s="276" cm="1">
        <f t="array" ref="AS129">IF(AND(AS$2&lt;&gt;0,TblTech[[#This Row],[Hour]:[Hour]]&gt;=AS$2),1,0)</f>
        <v>0</v>
      </c>
      <c r="AT129" s="276" cm="1">
        <f t="array" ref="AT129">IF(AND(AT$2&lt;&gt;0,TblTech[[#This Row],[Hour]:[Hour]]&gt;=AT$2),1,0)</f>
        <v>0</v>
      </c>
      <c r="AU129" s="276" cm="1">
        <f t="array" ref="AU129">IF(AND(AU$2&lt;&gt;0,TblTech[[#This Row],[Hour]:[Hour]]&gt;=AU$2),1,0)</f>
        <v>0</v>
      </c>
      <c r="AV129" s="276" cm="1">
        <f t="array" ref="AV129">IF(AND(AV$2&lt;&gt;0,TblTech[[#This Row],[Hour]:[Hour]]&gt;=AV$2),1,0)</f>
        <v>0</v>
      </c>
      <c r="AW129" s="276" cm="1">
        <f t="array" ref="AW129">IF(AND(AW$2&lt;&gt;0,TblTech[[#This Row],[Hour]:[Hour]]&gt;=AW$2),1,0)</f>
        <v>0</v>
      </c>
      <c r="AX129" s="276" cm="1">
        <f t="array" ref="AX129">IF(AND(AX$2&lt;&gt;0,TblTech[[#This Row],[Hour]:[Hour]]&gt;=AX$2),1,0)</f>
        <v>0</v>
      </c>
      <c r="AY129" s="276" cm="1">
        <f t="array" ref="AY129">IF(AND(AY$2&lt;&gt;0,TblTech[[#This Row],[Hour]:[Hour]]&gt;=AY$2),1,0)</f>
        <v>0</v>
      </c>
      <c r="AZ129" s="276" cm="1">
        <f t="array" ref="AZ129">IF(AND(AZ$2&lt;&gt;0,TblTech[[#This Row],[Hour]:[Hour]]&gt;=AZ$2),1,0)</f>
        <v>0</v>
      </c>
      <c r="BA129" s="276" cm="1">
        <f t="array" ref="BA129">IF(AND(BA$2&lt;&gt;0,TblTech[[#This Row],[Hour]:[Hour]]&gt;=BA$2),1,0)</f>
        <v>0</v>
      </c>
      <c r="BB129" s="276" cm="1">
        <f t="array" ref="BB129">IF(AND(BB$2&lt;&gt;0,TblTech[[#This Row],[Hour]:[Hour]]&gt;=BB$2),1,0)</f>
        <v>0</v>
      </c>
      <c r="BC129" s="276" cm="1">
        <f t="array" ref="BC129">IF(AND(BC$2&lt;&gt;0,TblTech[[#This Row],[Hour]:[Hour]]&gt;=BC$2),1,0)</f>
        <v>0</v>
      </c>
      <c r="BD129" s="276" cm="1">
        <f t="array" ref="BD129">IF(AND(BD$2&lt;&gt;0,TblTech[[#This Row],[Hour]:[Hour]]&gt;=BD$2),1,0)</f>
        <v>0</v>
      </c>
      <c r="BE129" s="276" cm="1">
        <f t="array" ref="BE129">IF(AND(BE$2&lt;&gt;0,TblTech[[#This Row],[Hour]:[Hour]]&gt;=BE$2),1,0)</f>
        <v>0</v>
      </c>
      <c r="BF129" s="276" cm="1">
        <f t="array" ref="BF129">IF(AND(BF$2&lt;&gt;0,TblTech[[#This Row],[Hour]:[Hour]]&gt;=BF$2),1,0)</f>
        <v>0</v>
      </c>
      <c r="BG129" s="276" cm="1">
        <f t="array" ref="BG129">IF(AND(BG$2&lt;&gt;0,TblTech[[#This Row],[Hour]:[Hour]]&gt;=BG$2),1,0)</f>
        <v>0</v>
      </c>
      <c r="BH129" s="276" cm="1">
        <f t="array" ref="BH129">IF(AND(BH$2&lt;&gt;0,TblTech[[#This Row],[Hour]:[Hour]]&gt;=BH$2),1,0)</f>
        <v>0</v>
      </c>
      <c r="BI129" s="276" cm="1">
        <f t="array" ref="BI129">IF(AND(BI$2&lt;&gt;0,TblTech[[#This Row],[Hour]:[Hour]]&gt;=BI$2),1,0)</f>
        <v>0</v>
      </c>
      <c r="BJ129" s="276" cm="1">
        <f t="array" ref="BJ129">IF(AND(BJ$2&lt;&gt;0,TblTech[[#This Row],[Hour]:[Hour]]&gt;=BJ$2),1,0)</f>
        <v>0</v>
      </c>
      <c r="BK129" s="276" cm="1">
        <f t="array" ref="BK129">IF(AND(BK$2&lt;&gt;0,TblTech[[#This Row],[Hour]:[Hour]]&gt;=BK$2),1,0)</f>
        <v>0</v>
      </c>
      <c r="BL129" s="276" cm="1">
        <f t="array" ref="BL129">IF(AND(BL$2&lt;&gt;0,TblTech[[#This Row],[Hour]:[Hour]]&gt;=BL$2),1,0)</f>
        <v>0</v>
      </c>
      <c r="BM129" s="276" cm="1">
        <f t="array" ref="BM129">IF(AND(BM$2&lt;&gt;0,TblTech[[#This Row],[Hour]:[Hour]]&gt;=BM$2),1,0)</f>
        <v>0</v>
      </c>
      <c r="BN129" s="276" cm="1">
        <f t="array" ref="BN129">IF(AND(BN$2&lt;&gt;0,TblTech[[#This Row],[Hour]:[Hour]]&gt;=BN$2),1,0)</f>
        <v>0</v>
      </c>
      <c r="BO129" s="276" cm="1">
        <f t="array" ref="BO129">IF(AND(BO$2&lt;&gt;0,TblTech[[#This Row],[Hour]:[Hour]]&gt;=BO$2),1,0)</f>
        <v>0</v>
      </c>
      <c r="BP129" s="276" cm="1">
        <f t="array" ref="BP129">IF(AND(BP$2&lt;&gt;0,TblTech[[#This Row],[Hour]:[Hour]]&gt;=BP$2),1,0)</f>
        <v>0</v>
      </c>
      <c r="BQ129" s="276" cm="1">
        <f t="array" ref="BQ129">IF(AND(BQ$2&lt;&gt;0,TblTech[[#This Row],[Hour]:[Hour]]&gt;=BQ$2),1,0)</f>
        <v>0</v>
      </c>
      <c r="BR129" s="276" cm="1">
        <f t="array" ref="BR129">IF(AND(BR$2&lt;&gt;0,TblTech[[#This Row],[Hour]:[Hour]]&gt;=BR$2),1,0)</f>
        <v>0</v>
      </c>
      <c r="BS129" s="276" cm="1">
        <f t="array" ref="BS129">IF(AND(BS$2&lt;&gt;0,TblTech[[#This Row],[Hour]:[Hour]]&gt;=BS$2),1,0)</f>
        <v>0</v>
      </c>
      <c r="BT129" s="276" cm="1">
        <f t="array" ref="BT129">IF(AND(BT$2&lt;&gt;0,TblTech[[#This Row],[Hour]:[Hour]]&gt;=BT$2),1,0)</f>
        <v>0</v>
      </c>
      <c r="BU129" s="276" cm="1">
        <f t="array" ref="BU129">IF(AND(BU$2&lt;&gt;0,TblTech[[#This Row],[Hour]:[Hour]]&gt;=BU$2),1,0)</f>
        <v>0</v>
      </c>
      <c r="BV129" s="276" cm="1">
        <f t="array" ref="BV129">IF(AND(BV$2&lt;&gt;0,TblTech[[#This Row],[Hour]:[Hour]]&gt;=BV$2),1,0)</f>
        <v>0</v>
      </c>
      <c r="BW129" s="276" cm="1">
        <f t="array" ref="BW129">IF(AND(BW$2&lt;&gt;0,TblTech[[#This Row],[Hour]:[Hour]]&gt;=BW$2),1,0)</f>
        <v>0</v>
      </c>
      <c r="BX129" s="276" cm="1">
        <f t="array" ref="BX129">IF(AND(BX$2&lt;&gt;0,TblTech[[#This Row],[Hour]:[Hour]]&gt;=BX$2),1,0)</f>
        <v>0</v>
      </c>
      <c r="BY129" s="276" cm="1">
        <f t="array" ref="BY129">IF(AND(BY$2&lt;&gt;0,TblTech[[#This Row],[Hour]:[Hour]]&gt;=BY$2),1,0)</f>
        <v>0</v>
      </c>
      <c r="BZ129" s="276" cm="1">
        <f t="array" ref="BZ129">IF(AND(BZ$2&lt;&gt;0,TblTech[[#This Row],[Hour]:[Hour]]&gt;=BZ$2),1,0)</f>
        <v>0</v>
      </c>
      <c r="CA129" s="377">
        <f>IFERROR(INDEX($H$4:$H$79,MATCH(INDEX(TblTech[[#Headers],[1-1]:[11-1]],1,MATCH(TblTech[[#This Row],[Hour]],$M$2:$BZ$2,0)),$G$4:$G$79,0)),)</f>
        <v>0</v>
      </c>
    </row>
    <row r="130" spans="1:79" x14ac:dyDescent="0.2">
      <c r="A130" s="268">
        <f>TblRezone[[#This Row],[Hour]]</f>
        <v>127</v>
      </c>
      <c r="B130" s="269">
        <f ca="1">TblExplore[[#This Row],[Land-DB]]</f>
        <v>110</v>
      </c>
      <c r="C130" s="270">
        <f ca="1">TblProd[[#This Row],[Techpoints]]</f>
        <v>0</v>
      </c>
      <c r="D130" s="270">
        <f ca="1">TblProd[[#This Row],[Required]]</f>
        <v>3750</v>
      </c>
      <c r="E130" s="279"/>
      <c r="F130" s="280"/>
      <c r="G130" s="273"/>
      <c r="H130" s="274"/>
      <c r="I130" s="274"/>
      <c r="J130" s="274"/>
      <c r="K130" s="93">
        <f ca="1">IF(TblTech[[#This Row],[Sum of tech]]&lt;&gt;OFFSET(TblTech[[#This Row],[Sum of tech]],-1,0),1,0)</f>
        <v>0</v>
      </c>
      <c r="L130" s="275">
        <f>COUNTIF(TblTech[[#This Row],[1-1]:[11-1]],1)</f>
        <v>0</v>
      </c>
      <c r="M130" s="276" cm="1">
        <f t="array" ref="M130">IF(AND(M$2&lt;&gt;0,TblTech[[#This Row],[Hour]:[Hour]]&gt;=M$2),1,0)</f>
        <v>0</v>
      </c>
      <c r="N130" s="276" cm="1">
        <f t="array" ref="N130">IF(AND(N$2&lt;&gt;0,TblTech[[#This Row],[Hour]:[Hour]]&gt;=N$2),1,0)</f>
        <v>0</v>
      </c>
      <c r="O130" s="276" cm="1">
        <f t="array" ref="O130">IF(AND(O$2&lt;&gt;0,TblTech[[#This Row],[Hour]:[Hour]]&gt;=O$2),1,0)</f>
        <v>0</v>
      </c>
      <c r="P130" s="276" cm="1">
        <f t="array" ref="P130">IF(AND(P$2&lt;&gt;0,TblTech[[#This Row],[Hour]:[Hour]]&gt;=P$2),1,0)</f>
        <v>0</v>
      </c>
      <c r="Q130" s="276" cm="1">
        <f t="array" ref="Q130">IF(AND(Q$2&lt;&gt;0,TblTech[[#This Row],[Hour]:[Hour]]&gt;=Q$2),1,0)</f>
        <v>0</v>
      </c>
      <c r="R130" s="276" cm="1">
        <f t="array" ref="R130">IF(AND(R$2&lt;&gt;0,TblTech[[#This Row],[Hour]:[Hour]]&gt;=R$2),1,0)</f>
        <v>0</v>
      </c>
      <c r="S130" s="276" cm="1">
        <f t="array" ref="S130">IF(AND(S$2&lt;&gt;0,TblTech[[#This Row],[Hour]:[Hour]]&gt;=S$2),1,0)</f>
        <v>0</v>
      </c>
      <c r="T130" s="276" cm="1">
        <f t="array" ref="T130">IF(AND(T$2&lt;&gt;0,TblTech[[#This Row],[Hour]:[Hour]]&gt;=T$2),1,0)</f>
        <v>0</v>
      </c>
      <c r="U130" s="276" cm="1">
        <f t="array" ref="U130">IF(AND(U$2&lt;&gt;0,TblTech[[#This Row],[Hour]:[Hour]]&gt;=U$2),1,0)</f>
        <v>0</v>
      </c>
      <c r="V130" s="276" cm="1">
        <f t="array" ref="V130">IF(AND(V$2&lt;&gt;0,TblTech[[#This Row],[Hour]:[Hour]]&gt;=V$2),1,0)</f>
        <v>0</v>
      </c>
      <c r="W130" s="276" cm="1">
        <f t="array" ref="W130">IF(AND(W$2&lt;&gt;0,TblTech[[#This Row],[Hour]:[Hour]]&gt;=W$2),1,0)</f>
        <v>0</v>
      </c>
      <c r="X130" s="276" cm="1">
        <f t="array" ref="X130">IF(AND(X$2&lt;&gt;0,TblTech[[#This Row],[Hour]:[Hour]]&gt;=X$2),1,0)</f>
        <v>0</v>
      </c>
      <c r="Y130" s="276" cm="1">
        <f t="array" ref="Y130">IF(AND(Y$2&lt;&gt;0,TblTech[[#This Row],[Hour]:[Hour]]&gt;=Y$2),1,0)</f>
        <v>0</v>
      </c>
      <c r="Z130" s="276" cm="1">
        <f t="array" ref="Z130">IF(AND(Z$2&lt;&gt;0,TblTech[[#This Row],[Hour]:[Hour]]&gt;=Z$2),1,0)</f>
        <v>0</v>
      </c>
      <c r="AA130" s="276" cm="1">
        <f t="array" ref="AA130">IF(AND(AA$2&lt;&gt;0,TblTech[[#This Row],[Hour]:[Hour]]&gt;=AA$2),1,0)</f>
        <v>0</v>
      </c>
      <c r="AB130" s="276" cm="1">
        <f t="array" ref="AB130">IF(AND(AB$2&lt;&gt;0,TblTech[[#This Row],[Hour]:[Hour]]&gt;=AB$2),1,0)</f>
        <v>0</v>
      </c>
      <c r="AC130" s="276" cm="1">
        <f t="array" ref="AC130">IF(AND(AC$2&lt;&gt;0,TblTech[[#This Row],[Hour]:[Hour]]&gt;=AC$2),1,0)</f>
        <v>0</v>
      </c>
      <c r="AD130" s="276" cm="1">
        <f t="array" ref="AD130">IF(AND(AD$2&lt;&gt;0,TblTech[[#This Row],[Hour]:[Hour]]&gt;=AD$2),1,0)</f>
        <v>0</v>
      </c>
      <c r="AE130" s="276" cm="1">
        <f t="array" ref="AE130">IF(AND(AE$2&lt;&gt;0,TblTech[[#This Row],[Hour]:[Hour]]&gt;=AE$2),1,0)</f>
        <v>0</v>
      </c>
      <c r="AF130" s="276" cm="1">
        <f t="array" ref="AF130">IF(AND(AF$2&lt;&gt;0,TblTech[[#This Row],[Hour]:[Hour]]&gt;=AF$2),1,0)</f>
        <v>0</v>
      </c>
      <c r="AG130" s="276" cm="1">
        <f t="array" ref="AG130">IF(AND(AG$2&lt;&gt;0,TblTech[[#This Row],[Hour]:[Hour]]&gt;=AG$2),1,0)</f>
        <v>0</v>
      </c>
      <c r="AH130" s="276" cm="1">
        <f t="array" ref="AH130">IF(AND(AH$2&lt;&gt;0,TblTech[[#This Row],[Hour]:[Hour]]&gt;=AH$2),1,0)</f>
        <v>0</v>
      </c>
      <c r="AI130" s="276" cm="1">
        <f t="array" ref="AI130">IF(AND(AI$2&lt;&gt;0,TblTech[[#This Row],[Hour]:[Hour]]&gt;=AI$2),1,0)</f>
        <v>0</v>
      </c>
      <c r="AJ130" s="276" cm="1">
        <f t="array" ref="AJ130">IF(AND(AJ$2&lt;&gt;0,TblTech[[#This Row],[Hour]:[Hour]]&gt;=AJ$2),1,0)</f>
        <v>0</v>
      </c>
      <c r="AK130" s="276" cm="1">
        <f t="array" ref="AK130">IF(AND(AK$2&lt;&gt;0,TblTech[[#This Row],[Hour]:[Hour]]&gt;=AK$2),1,0)</f>
        <v>0</v>
      </c>
      <c r="AL130" s="276" cm="1">
        <f t="array" ref="AL130">IF(AND(AL$2&lt;&gt;0,TblTech[[#This Row],[Hour]:[Hour]]&gt;=AL$2),1,0)</f>
        <v>0</v>
      </c>
      <c r="AM130" s="276" cm="1">
        <f t="array" ref="AM130">IF(AND(AM$2&lt;&gt;0,TblTech[[#This Row],[Hour]:[Hour]]&gt;=AM$2),1,0)</f>
        <v>0</v>
      </c>
      <c r="AN130" s="276" cm="1">
        <f t="array" ref="AN130">IF(AND(AN$2&lt;&gt;0,TblTech[[#This Row],[Hour]:[Hour]]&gt;=AN$2),1,0)</f>
        <v>0</v>
      </c>
      <c r="AO130" s="276" cm="1">
        <f t="array" ref="AO130">IF(AND(AO$2&lt;&gt;0,TblTech[[#This Row],[Hour]:[Hour]]&gt;=AO$2),1,0)</f>
        <v>0</v>
      </c>
      <c r="AP130" s="276" cm="1">
        <f t="array" ref="AP130">IF(AND(AP$2&lt;&gt;0,TblTech[[#This Row],[Hour]:[Hour]]&gt;=AP$2),1,0)</f>
        <v>0</v>
      </c>
      <c r="AQ130" s="276" cm="1">
        <f t="array" ref="AQ130">IF(AND(AQ$2&lt;&gt;0,TblTech[[#This Row],[Hour]:[Hour]]&gt;=AQ$2),1,0)</f>
        <v>0</v>
      </c>
      <c r="AR130" s="276" cm="1">
        <f t="array" ref="AR130">IF(AND(AR$2&lt;&gt;0,TblTech[[#This Row],[Hour]:[Hour]]&gt;=AR$2),1,0)</f>
        <v>0</v>
      </c>
      <c r="AS130" s="276" cm="1">
        <f t="array" ref="AS130">IF(AND(AS$2&lt;&gt;0,TblTech[[#This Row],[Hour]:[Hour]]&gt;=AS$2),1,0)</f>
        <v>0</v>
      </c>
      <c r="AT130" s="276" cm="1">
        <f t="array" ref="AT130">IF(AND(AT$2&lt;&gt;0,TblTech[[#This Row],[Hour]:[Hour]]&gt;=AT$2),1,0)</f>
        <v>0</v>
      </c>
      <c r="AU130" s="276" cm="1">
        <f t="array" ref="AU130">IF(AND(AU$2&lt;&gt;0,TblTech[[#This Row],[Hour]:[Hour]]&gt;=AU$2),1,0)</f>
        <v>0</v>
      </c>
      <c r="AV130" s="276" cm="1">
        <f t="array" ref="AV130">IF(AND(AV$2&lt;&gt;0,TblTech[[#This Row],[Hour]:[Hour]]&gt;=AV$2),1,0)</f>
        <v>0</v>
      </c>
      <c r="AW130" s="276" cm="1">
        <f t="array" ref="AW130">IF(AND(AW$2&lt;&gt;0,TblTech[[#This Row],[Hour]:[Hour]]&gt;=AW$2),1,0)</f>
        <v>0</v>
      </c>
      <c r="AX130" s="276" cm="1">
        <f t="array" ref="AX130">IF(AND(AX$2&lt;&gt;0,TblTech[[#This Row],[Hour]:[Hour]]&gt;=AX$2),1,0)</f>
        <v>0</v>
      </c>
      <c r="AY130" s="276" cm="1">
        <f t="array" ref="AY130">IF(AND(AY$2&lt;&gt;0,TblTech[[#This Row],[Hour]:[Hour]]&gt;=AY$2),1,0)</f>
        <v>0</v>
      </c>
      <c r="AZ130" s="276" cm="1">
        <f t="array" ref="AZ130">IF(AND(AZ$2&lt;&gt;0,TblTech[[#This Row],[Hour]:[Hour]]&gt;=AZ$2),1,0)</f>
        <v>0</v>
      </c>
      <c r="BA130" s="276" cm="1">
        <f t="array" ref="BA130">IF(AND(BA$2&lt;&gt;0,TblTech[[#This Row],[Hour]:[Hour]]&gt;=BA$2),1,0)</f>
        <v>0</v>
      </c>
      <c r="BB130" s="276" cm="1">
        <f t="array" ref="BB130">IF(AND(BB$2&lt;&gt;0,TblTech[[#This Row],[Hour]:[Hour]]&gt;=BB$2),1,0)</f>
        <v>0</v>
      </c>
      <c r="BC130" s="276" cm="1">
        <f t="array" ref="BC130">IF(AND(BC$2&lt;&gt;0,TblTech[[#This Row],[Hour]:[Hour]]&gt;=BC$2),1,0)</f>
        <v>0</v>
      </c>
      <c r="BD130" s="276" cm="1">
        <f t="array" ref="BD130">IF(AND(BD$2&lt;&gt;0,TblTech[[#This Row],[Hour]:[Hour]]&gt;=BD$2),1,0)</f>
        <v>0</v>
      </c>
      <c r="BE130" s="276" cm="1">
        <f t="array" ref="BE130">IF(AND(BE$2&lt;&gt;0,TblTech[[#This Row],[Hour]:[Hour]]&gt;=BE$2),1,0)</f>
        <v>0</v>
      </c>
      <c r="BF130" s="276" cm="1">
        <f t="array" ref="BF130">IF(AND(BF$2&lt;&gt;0,TblTech[[#This Row],[Hour]:[Hour]]&gt;=BF$2),1,0)</f>
        <v>0</v>
      </c>
      <c r="BG130" s="276" cm="1">
        <f t="array" ref="BG130">IF(AND(BG$2&lt;&gt;0,TblTech[[#This Row],[Hour]:[Hour]]&gt;=BG$2),1,0)</f>
        <v>0</v>
      </c>
      <c r="BH130" s="276" cm="1">
        <f t="array" ref="BH130">IF(AND(BH$2&lt;&gt;0,TblTech[[#This Row],[Hour]:[Hour]]&gt;=BH$2),1,0)</f>
        <v>0</v>
      </c>
      <c r="BI130" s="276" cm="1">
        <f t="array" ref="BI130">IF(AND(BI$2&lt;&gt;0,TblTech[[#This Row],[Hour]:[Hour]]&gt;=BI$2),1,0)</f>
        <v>0</v>
      </c>
      <c r="BJ130" s="276" cm="1">
        <f t="array" ref="BJ130">IF(AND(BJ$2&lt;&gt;0,TblTech[[#This Row],[Hour]:[Hour]]&gt;=BJ$2),1,0)</f>
        <v>0</v>
      </c>
      <c r="BK130" s="276" cm="1">
        <f t="array" ref="BK130">IF(AND(BK$2&lt;&gt;0,TblTech[[#This Row],[Hour]:[Hour]]&gt;=BK$2),1,0)</f>
        <v>0</v>
      </c>
      <c r="BL130" s="276" cm="1">
        <f t="array" ref="BL130">IF(AND(BL$2&lt;&gt;0,TblTech[[#This Row],[Hour]:[Hour]]&gt;=BL$2),1,0)</f>
        <v>0</v>
      </c>
      <c r="BM130" s="276" cm="1">
        <f t="array" ref="BM130">IF(AND(BM$2&lt;&gt;0,TblTech[[#This Row],[Hour]:[Hour]]&gt;=BM$2),1,0)</f>
        <v>0</v>
      </c>
      <c r="BN130" s="276" cm="1">
        <f t="array" ref="BN130">IF(AND(BN$2&lt;&gt;0,TblTech[[#This Row],[Hour]:[Hour]]&gt;=BN$2),1,0)</f>
        <v>0</v>
      </c>
      <c r="BO130" s="276" cm="1">
        <f t="array" ref="BO130">IF(AND(BO$2&lt;&gt;0,TblTech[[#This Row],[Hour]:[Hour]]&gt;=BO$2),1,0)</f>
        <v>0</v>
      </c>
      <c r="BP130" s="276" cm="1">
        <f t="array" ref="BP130">IF(AND(BP$2&lt;&gt;0,TblTech[[#This Row],[Hour]:[Hour]]&gt;=BP$2),1,0)</f>
        <v>0</v>
      </c>
      <c r="BQ130" s="276" cm="1">
        <f t="array" ref="BQ130">IF(AND(BQ$2&lt;&gt;0,TblTech[[#This Row],[Hour]:[Hour]]&gt;=BQ$2),1,0)</f>
        <v>0</v>
      </c>
      <c r="BR130" s="276" cm="1">
        <f t="array" ref="BR130">IF(AND(BR$2&lt;&gt;0,TblTech[[#This Row],[Hour]:[Hour]]&gt;=BR$2),1,0)</f>
        <v>0</v>
      </c>
      <c r="BS130" s="276" cm="1">
        <f t="array" ref="BS130">IF(AND(BS$2&lt;&gt;0,TblTech[[#This Row],[Hour]:[Hour]]&gt;=BS$2),1,0)</f>
        <v>0</v>
      </c>
      <c r="BT130" s="276" cm="1">
        <f t="array" ref="BT130">IF(AND(BT$2&lt;&gt;0,TblTech[[#This Row],[Hour]:[Hour]]&gt;=BT$2),1,0)</f>
        <v>0</v>
      </c>
      <c r="BU130" s="276" cm="1">
        <f t="array" ref="BU130">IF(AND(BU$2&lt;&gt;0,TblTech[[#This Row],[Hour]:[Hour]]&gt;=BU$2),1,0)</f>
        <v>0</v>
      </c>
      <c r="BV130" s="276" cm="1">
        <f t="array" ref="BV130">IF(AND(BV$2&lt;&gt;0,TblTech[[#This Row],[Hour]:[Hour]]&gt;=BV$2),1,0)</f>
        <v>0</v>
      </c>
      <c r="BW130" s="276" cm="1">
        <f t="array" ref="BW130">IF(AND(BW$2&lt;&gt;0,TblTech[[#This Row],[Hour]:[Hour]]&gt;=BW$2),1,0)</f>
        <v>0</v>
      </c>
      <c r="BX130" s="276" cm="1">
        <f t="array" ref="BX130">IF(AND(BX$2&lt;&gt;0,TblTech[[#This Row],[Hour]:[Hour]]&gt;=BX$2),1,0)</f>
        <v>0</v>
      </c>
      <c r="BY130" s="276" cm="1">
        <f t="array" ref="BY130">IF(AND(BY$2&lt;&gt;0,TblTech[[#This Row],[Hour]:[Hour]]&gt;=BY$2),1,0)</f>
        <v>0</v>
      </c>
      <c r="BZ130" s="276" cm="1">
        <f t="array" ref="BZ130">IF(AND(BZ$2&lt;&gt;0,TblTech[[#This Row],[Hour]:[Hour]]&gt;=BZ$2),1,0)</f>
        <v>0</v>
      </c>
      <c r="CA130" s="377">
        <f>IFERROR(INDEX($H$4:$H$79,MATCH(INDEX(TblTech[[#Headers],[1-1]:[11-1]],1,MATCH(TblTech[[#This Row],[Hour]],$M$2:$BZ$2,0)),$G$4:$G$79,0)),)</f>
        <v>0</v>
      </c>
    </row>
    <row r="131" spans="1:79" x14ac:dyDescent="0.2">
      <c r="A131" s="268">
        <f>TblRezone[[#This Row],[Hour]]</f>
        <v>128</v>
      </c>
      <c r="B131" s="269">
        <f ca="1">TblExplore[[#This Row],[Land-DB]]</f>
        <v>110</v>
      </c>
      <c r="C131" s="270">
        <f ca="1">TblProd[[#This Row],[Techpoints]]</f>
        <v>0</v>
      </c>
      <c r="D131" s="270">
        <f ca="1">TblProd[[#This Row],[Required]]</f>
        <v>3750</v>
      </c>
      <c r="E131" s="279"/>
      <c r="F131" s="280"/>
      <c r="G131" s="273"/>
      <c r="H131" s="274"/>
      <c r="I131" s="274"/>
      <c r="J131" s="274"/>
      <c r="K131" s="93">
        <f ca="1">IF(TblTech[[#This Row],[Sum of tech]]&lt;&gt;OFFSET(TblTech[[#This Row],[Sum of tech]],-1,0),1,0)</f>
        <v>0</v>
      </c>
      <c r="L131" s="275">
        <f>COUNTIF(TblTech[[#This Row],[1-1]:[11-1]],1)</f>
        <v>0</v>
      </c>
      <c r="M131" s="276" cm="1">
        <f t="array" ref="M131">IF(AND(M$2&lt;&gt;0,TblTech[[#This Row],[Hour]:[Hour]]&gt;=M$2),1,0)</f>
        <v>0</v>
      </c>
      <c r="N131" s="276" cm="1">
        <f t="array" ref="N131">IF(AND(N$2&lt;&gt;0,TblTech[[#This Row],[Hour]:[Hour]]&gt;=N$2),1,0)</f>
        <v>0</v>
      </c>
      <c r="O131" s="276" cm="1">
        <f t="array" ref="O131">IF(AND(O$2&lt;&gt;0,TblTech[[#This Row],[Hour]:[Hour]]&gt;=O$2),1,0)</f>
        <v>0</v>
      </c>
      <c r="P131" s="276" cm="1">
        <f t="array" ref="P131">IF(AND(P$2&lt;&gt;0,TblTech[[#This Row],[Hour]:[Hour]]&gt;=P$2),1,0)</f>
        <v>0</v>
      </c>
      <c r="Q131" s="276" cm="1">
        <f t="array" ref="Q131">IF(AND(Q$2&lt;&gt;0,TblTech[[#This Row],[Hour]:[Hour]]&gt;=Q$2),1,0)</f>
        <v>0</v>
      </c>
      <c r="R131" s="276" cm="1">
        <f t="array" ref="R131">IF(AND(R$2&lt;&gt;0,TblTech[[#This Row],[Hour]:[Hour]]&gt;=R$2),1,0)</f>
        <v>0</v>
      </c>
      <c r="S131" s="276" cm="1">
        <f t="array" ref="S131">IF(AND(S$2&lt;&gt;0,TblTech[[#This Row],[Hour]:[Hour]]&gt;=S$2),1,0)</f>
        <v>0</v>
      </c>
      <c r="T131" s="276" cm="1">
        <f t="array" ref="T131">IF(AND(T$2&lt;&gt;0,TblTech[[#This Row],[Hour]:[Hour]]&gt;=T$2),1,0)</f>
        <v>0</v>
      </c>
      <c r="U131" s="276" cm="1">
        <f t="array" ref="U131">IF(AND(U$2&lt;&gt;0,TblTech[[#This Row],[Hour]:[Hour]]&gt;=U$2),1,0)</f>
        <v>0</v>
      </c>
      <c r="V131" s="276" cm="1">
        <f t="array" ref="V131">IF(AND(V$2&lt;&gt;0,TblTech[[#This Row],[Hour]:[Hour]]&gt;=V$2),1,0)</f>
        <v>0</v>
      </c>
      <c r="W131" s="276" cm="1">
        <f t="array" ref="W131">IF(AND(W$2&lt;&gt;0,TblTech[[#This Row],[Hour]:[Hour]]&gt;=W$2),1,0)</f>
        <v>0</v>
      </c>
      <c r="X131" s="276" cm="1">
        <f t="array" ref="X131">IF(AND(X$2&lt;&gt;0,TblTech[[#This Row],[Hour]:[Hour]]&gt;=X$2),1,0)</f>
        <v>0</v>
      </c>
      <c r="Y131" s="276" cm="1">
        <f t="array" ref="Y131">IF(AND(Y$2&lt;&gt;0,TblTech[[#This Row],[Hour]:[Hour]]&gt;=Y$2),1,0)</f>
        <v>0</v>
      </c>
      <c r="Z131" s="276" cm="1">
        <f t="array" ref="Z131">IF(AND(Z$2&lt;&gt;0,TblTech[[#This Row],[Hour]:[Hour]]&gt;=Z$2),1,0)</f>
        <v>0</v>
      </c>
      <c r="AA131" s="276" cm="1">
        <f t="array" ref="AA131">IF(AND(AA$2&lt;&gt;0,TblTech[[#This Row],[Hour]:[Hour]]&gt;=AA$2),1,0)</f>
        <v>0</v>
      </c>
      <c r="AB131" s="276" cm="1">
        <f t="array" ref="AB131">IF(AND(AB$2&lt;&gt;0,TblTech[[#This Row],[Hour]:[Hour]]&gt;=AB$2),1,0)</f>
        <v>0</v>
      </c>
      <c r="AC131" s="276" cm="1">
        <f t="array" ref="AC131">IF(AND(AC$2&lt;&gt;0,TblTech[[#This Row],[Hour]:[Hour]]&gt;=AC$2),1,0)</f>
        <v>0</v>
      </c>
      <c r="AD131" s="276" cm="1">
        <f t="array" ref="AD131">IF(AND(AD$2&lt;&gt;0,TblTech[[#This Row],[Hour]:[Hour]]&gt;=AD$2),1,0)</f>
        <v>0</v>
      </c>
      <c r="AE131" s="276" cm="1">
        <f t="array" ref="AE131">IF(AND(AE$2&lt;&gt;0,TblTech[[#This Row],[Hour]:[Hour]]&gt;=AE$2),1,0)</f>
        <v>0</v>
      </c>
      <c r="AF131" s="276" cm="1">
        <f t="array" ref="AF131">IF(AND(AF$2&lt;&gt;0,TblTech[[#This Row],[Hour]:[Hour]]&gt;=AF$2),1,0)</f>
        <v>0</v>
      </c>
      <c r="AG131" s="276" cm="1">
        <f t="array" ref="AG131">IF(AND(AG$2&lt;&gt;0,TblTech[[#This Row],[Hour]:[Hour]]&gt;=AG$2),1,0)</f>
        <v>0</v>
      </c>
      <c r="AH131" s="276" cm="1">
        <f t="array" ref="AH131">IF(AND(AH$2&lt;&gt;0,TblTech[[#This Row],[Hour]:[Hour]]&gt;=AH$2),1,0)</f>
        <v>0</v>
      </c>
      <c r="AI131" s="276" cm="1">
        <f t="array" ref="AI131">IF(AND(AI$2&lt;&gt;0,TblTech[[#This Row],[Hour]:[Hour]]&gt;=AI$2),1,0)</f>
        <v>0</v>
      </c>
      <c r="AJ131" s="276" cm="1">
        <f t="array" ref="AJ131">IF(AND(AJ$2&lt;&gt;0,TblTech[[#This Row],[Hour]:[Hour]]&gt;=AJ$2),1,0)</f>
        <v>0</v>
      </c>
      <c r="AK131" s="276" cm="1">
        <f t="array" ref="AK131">IF(AND(AK$2&lt;&gt;0,TblTech[[#This Row],[Hour]:[Hour]]&gt;=AK$2),1,0)</f>
        <v>0</v>
      </c>
      <c r="AL131" s="276" cm="1">
        <f t="array" ref="AL131">IF(AND(AL$2&lt;&gt;0,TblTech[[#This Row],[Hour]:[Hour]]&gt;=AL$2),1,0)</f>
        <v>0</v>
      </c>
      <c r="AM131" s="276" cm="1">
        <f t="array" ref="AM131">IF(AND(AM$2&lt;&gt;0,TblTech[[#This Row],[Hour]:[Hour]]&gt;=AM$2),1,0)</f>
        <v>0</v>
      </c>
      <c r="AN131" s="276" cm="1">
        <f t="array" ref="AN131">IF(AND(AN$2&lt;&gt;0,TblTech[[#This Row],[Hour]:[Hour]]&gt;=AN$2),1,0)</f>
        <v>0</v>
      </c>
      <c r="AO131" s="276" cm="1">
        <f t="array" ref="AO131">IF(AND(AO$2&lt;&gt;0,TblTech[[#This Row],[Hour]:[Hour]]&gt;=AO$2),1,0)</f>
        <v>0</v>
      </c>
      <c r="AP131" s="276" cm="1">
        <f t="array" ref="AP131">IF(AND(AP$2&lt;&gt;0,TblTech[[#This Row],[Hour]:[Hour]]&gt;=AP$2),1,0)</f>
        <v>0</v>
      </c>
      <c r="AQ131" s="276" cm="1">
        <f t="array" ref="AQ131">IF(AND(AQ$2&lt;&gt;0,TblTech[[#This Row],[Hour]:[Hour]]&gt;=AQ$2),1,0)</f>
        <v>0</v>
      </c>
      <c r="AR131" s="276" cm="1">
        <f t="array" ref="AR131">IF(AND(AR$2&lt;&gt;0,TblTech[[#This Row],[Hour]:[Hour]]&gt;=AR$2),1,0)</f>
        <v>0</v>
      </c>
      <c r="AS131" s="276" cm="1">
        <f t="array" ref="AS131">IF(AND(AS$2&lt;&gt;0,TblTech[[#This Row],[Hour]:[Hour]]&gt;=AS$2),1,0)</f>
        <v>0</v>
      </c>
      <c r="AT131" s="276" cm="1">
        <f t="array" ref="AT131">IF(AND(AT$2&lt;&gt;0,TblTech[[#This Row],[Hour]:[Hour]]&gt;=AT$2),1,0)</f>
        <v>0</v>
      </c>
      <c r="AU131" s="276" cm="1">
        <f t="array" ref="AU131">IF(AND(AU$2&lt;&gt;0,TblTech[[#This Row],[Hour]:[Hour]]&gt;=AU$2),1,0)</f>
        <v>0</v>
      </c>
      <c r="AV131" s="276" cm="1">
        <f t="array" ref="AV131">IF(AND(AV$2&lt;&gt;0,TblTech[[#This Row],[Hour]:[Hour]]&gt;=AV$2),1,0)</f>
        <v>0</v>
      </c>
      <c r="AW131" s="276" cm="1">
        <f t="array" ref="AW131">IF(AND(AW$2&lt;&gt;0,TblTech[[#This Row],[Hour]:[Hour]]&gt;=AW$2),1,0)</f>
        <v>0</v>
      </c>
      <c r="AX131" s="276" cm="1">
        <f t="array" ref="AX131">IF(AND(AX$2&lt;&gt;0,TblTech[[#This Row],[Hour]:[Hour]]&gt;=AX$2),1,0)</f>
        <v>0</v>
      </c>
      <c r="AY131" s="276" cm="1">
        <f t="array" ref="AY131">IF(AND(AY$2&lt;&gt;0,TblTech[[#This Row],[Hour]:[Hour]]&gt;=AY$2),1,0)</f>
        <v>0</v>
      </c>
      <c r="AZ131" s="276" cm="1">
        <f t="array" ref="AZ131">IF(AND(AZ$2&lt;&gt;0,TblTech[[#This Row],[Hour]:[Hour]]&gt;=AZ$2),1,0)</f>
        <v>0</v>
      </c>
      <c r="BA131" s="276" cm="1">
        <f t="array" ref="BA131">IF(AND(BA$2&lt;&gt;0,TblTech[[#This Row],[Hour]:[Hour]]&gt;=BA$2),1,0)</f>
        <v>0</v>
      </c>
      <c r="BB131" s="276" cm="1">
        <f t="array" ref="BB131">IF(AND(BB$2&lt;&gt;0,TblTech[[#This Row],[Hour]:[Hour]]&gt;=BB$2),1,0)</f>
        <v>0</v>
      </c>
      <c r="BC131" s="276" cm="1">
        <f t="array" ref="BC131">IF(AND(BC$2&lt;&gt;0,TblTech[[#This Row],[Hour]:[Hour]]&gt;=BC$2),1,0)</f>
        <v>0</v>
      </c>
      <c r="BD131" s="276" cm="1">
        <f t="array" ref="BD131">IF(AND(BD$2&lt;&gt;0,TblTech[[#This Row],[Hour]:[Hour]]&gt;=BD$2),1,0)</f>
        <v>0</v>
      </c>
      <c r="BE131" s="276" cm="1">
        <f t="array" ref="BE131">IF(AND(BE$2&lt;&gt;0,TblTech[[#This Row],[Hour]:[Hour]]&gt;=BE$2),1,0)</f>
        <v>0</v>
      </c>
      <c r="BF131" s="276" cm="1">
        <f t="array" ref="BF131">IF(AND(BF$2&lt;&gt;0,TblTech[[#This Row],[Hour]:[Hour]]&gt;=BF$2),1,0)</f>
        <v>0</v>
      </c>
      <c r="BG131" s="276" cm="1">
        <f t="array" ref="BG131">IF(AND(BG$2&lt;&gt;0,TblTech[[#This Row],[Hour]:[Hour]]&gt;=BG$2),1,0)</f>
        <v>0</v>
      </c>
      <c r="BH131" s="276" cm="1">
        <f t="array" ref="BH131">IF(AND(BH$2&lt;&gt;0,TblTech[[#This Row],[Hour]:[Hour]]&gt;=BH$2),1,0)</f>
        <v>0</v>
      </c>
      <c r="BI131" s="276" cm="1">
        <f t="array" ref="BI131">IF(AND(BI$2&lt;&gt;0,TblTech[[#This Row],[Hour]:[Hour]]&gt;=BI$2),1,0)</f>
        <v>0</v>
      </c>
      <c r="BJ131" s="276" cm="1">
        <f t="array" ref="BJ131">IF(AND(BJ$2&lt;&gt;0,TblTech[[#This Row],[Hour]:[Hour]]&gt;=BJ$2),1,0)</f>
        <v>0</v>
      </c>
      <c r="BK131" s="276" cm="1">
        <f t="array" ref="BK131">IF(AND(BK$2&lt;&gt;0,TblTech[[#This Row],[Hour]:[Hour]]&gt;=BK$2),1,0)</f>
        <v>0</v>
      </c>
      <c r="BL131" s="276" cm="1">
        <f t="array" ref="BL131">IF(AND(BL$2&lt;&gt;0,TblTech[[#This Row],[Hour]:[Hour]]&gt;=BL$2),1,0)</f>
        <v>0</v>
      </c>
      <c r="BM131" s="276" cm="1">
        <f t="array" ref="BM131">IF(AND(BM$2&lt;&gt;0,TblTech[[#This Row],[Hour]:[Hour]]&gt;=BM$2),1,0)</f>
        <v>0</v>
      </c>
      <c r="BN131" s="276" cm="1">
        <f t="array" ref="BN131">IF(AND(BN$2&lt;&gt;0,TblTech[[#This Row],[Hour]:[Hour]]&gt;=BN$2),1,0)</f>
        <v>0</v>
      </c>
      <c r="BO131" s="276" cm="1">
        <f t="array" ref="BO131">IF(AND(BO$2&lt;&gt;0,TblTech[[#This Row],[Hour]:[Hour]]&gt;=BO$2),1,0)</f>
        <v>0</v>
      </c>
      <c r="BP131" s="276" cm="1">
        <f t="array" ref="BP131">IF(AND(BP$2&lt;&gt;0,TblTech[[#This Row],[Hour]:[Hour]]&gt;=BP$2),1,0)</f>
        <v>0</v>
      </c>
      <c r="BQ131" s="276" cm="1">
        <f t="array" ref="BQ131">IF(AND(BQ$2&lt;&gt;0,TblTech[[#This Row],[Hour]:[Hour]]&gt;=BQ$2),1,0)</f>
        <v>0</v>
      </c>
      <c r="BR131" s="276" cm="1">
        <f t="array" ref="BR131">IF(AND(BR$2&lt;&gt;0,TblTech[[#This Row],[Hour]:[Hour]]&gt;=BR$2),1,0)</f>
        <v>0</v>
      </c>
      <c r="BS131" s="276" cm="1">
        <f t="array" ref="BS131">IF(AND(BS$2&lt;&gt;0,TblTech[[#This Row],[Hour]:[Hour]]&gt;=BS$2),1,0)</f>
        <v>0</v>
      </c>
      <c r="BT131" s="276" cm="1">
        <f t="array" ref="BT131">IF(AND(BT$2&lt;&gt;0,TblTech[[#This Row],[Hour]:[Hour]]&gt;=BT$2),1,0)</f>
        <v>0</v>
      </c>
      <c r="BU131" s="276" cm="1">
        <f t="array" ref="BU131">IF(AND(BU$2&lt;&gt;0,TblTech[[#This Row],[Hour]:[Hour]]&gt;=BU$2),1,0)</f>
        <v>0</v>
      </c>
      <c r="BV131" s="276" cm="1">
        <f t="array" ref="BV131">IF(AND(BV$2&lt;&gt;0,TblTech[[#This Row],[Hour]:[Hour]]&gt;=BV$2),1,0)</f>
        <v>0</v>
      </c>
      <c r="BW131" s="276" cm="1">
        <f t="array" ref="BW131">IF(AND(BW$2&lt;&gt;0,TblTech[[#This Row],[Hour]:[Hour]]&gt;=BW$2),1,0)</f>
        <v>0</v>
      </c>
      <c r="BX131" s="276" cm="1">
        <f t="array" ref="BX131">IF(AND(BX$2&lt;&gt;0,TblTech[[#This Row],[Hour]:[Hour]]&gt;=BX$2),1,0)</f>
        <v>0</v>
      </c>
      <c r="BY131" s="276" cm="1">
        <f t="array" ref="BY131">IF(AND(BY$2&lt;&gt;0,TblTech[[#This Row],[Hour]:[Hour]]&gt;=BY$2),1,0)</f>
        <v>0</v>
      </c>
      <c r="BZ131" s="276" cm="1">
        <f t="array" ref="BZ131">IF(AND(BZ$2&lt;&gt;0,TblTech[[#This Row],[Hour]:[Hour]]&gt;=BZ$2),1,0)</f>
        <v>0</v>
      </c>
      <c r="CA131" s="377">
        <f>IFERROR(INDEX($H$4:$H$79,MATCH(INDEX(TblTech[[#Headers],[1-1]:[11-1]],1,MATCH(TblTech[[#This Row],[Hour]],$M$2:$BZ$2,0)),$G$4:$G$79,0)),)</f>
        <v>0</v>
      </c>
    </row>
    <row r="132" spans="1:79" x14ac:dyDescent="0.2">
      <c r="A132" s="268">
        <f>TblRezone[[#This Row],[Hour]]</f>
        <v>129</v>
      </c>
      <c r="B132" s="269">
        <f ca="1">TblExplore[[#This Row],[Land-DB]]</f>
        <v>110</v>
      </c>
      <c r="C132" s="270">
        <f ca="1">TblProd[[#This Row],[Techpoints]]</f>
        <v>0</v>
      </c>
      <c r="D132" s="270">
        <f ca="1">TblProd[[#This Row],[Required]]</f>
        <v>3750</v>
      </c>
      <c r="E132" s="279"/>
      <c r="F132" s="280"/>
      <c r="G132" s="273"/>
      <c r="H132" s="274"/>
      <c r="I132" s="274"/>
      <c r="J132" s="274"/>
      <c r="K132" s="93">
        <f ca="1">IF(TblTech[[#This Row],[Sum of tech]]&lt;&gt;OFFSET(TblTech[[#This Row],[Sum of tech]],-1,0),1,0)</f>
        <v>0</v>
      </c>
      <c r="L132" s="275">
        <f>COUNTIF(TblTech[[#This Row],[1-1]:[11-1]],1)</f>
        <v>0</v>
      </c>
      <c r="M132" s="276" cm="1">
        <f t="array" ref="M132">IF(AND(M$2&lt;&gt;0,TblTech[[#This Row],[Hour]:[Hour]]&gt;=M$2),1,0)</f>
        <v>0</v>
      </c>
      <c r="N132" s="276" cm="1">
        <f t="array" ref="N132">IF(AND(N$2&lt;&gt;0,TblTech[[#This Row],[Hour]:[Hour]]&gt;=N$2),1,0)</f>
        <v>0</v>
      </c>
      <c r="O132" s="276" cm="1">
        <f t="array" ref="O132">IF(AND(O$2&lt;&gt;0,TblTech[[#This Row],[Hour]:[Hour]]&gt;=O$2),1,0)</f>
        <v>0</v>
      </c>
      <c r="P132" s="276" cm="1">
        <f t="array" ref="P132">IF(AND(P$2&lt;&gt;0,TblTech[[#This Row],[Hour]:[Hour]]&gt;=P$2),1,0)</f>
        <v>0</v>
      </c>
      <c r="Q132" s="276" cm="1">
        <f t="array" ref="Q132">IF(AND(Q$2&lt;&gt;0,TblTech[[#This Row],[Hour]:[Hour]]&gt;=Q$2),1,0)</f>
        <v>0</v>
      </c>
      <c r="R132" s="276" cm="1">
        <f t="array" ref="R132">IF(AND(R$2&lt;&gt;0,TblTech[[#This Row],[Hour]:[Hour]]&gt;=R$2),1,0)</f>
        <v>0</v>
      </c>
      <c r="S132" s="276" cm="1">
        <f t="array" ref="S132">IF(AND(S$2&lt;&gt;0,TblTech[[#This Row],[Hour]:[Hour]]&gt;=S$2),1,0)</f>
        <v>0</v>
      </c>
      <c r="T132" s="276" cm="1">
        <f t="array" ref="T132">IF(AND(T$2&lt;&gt;0,TblTech[[#This Row],[Hour]:[Hour]]&gt;=T$2),1,0)</f>
        <v>0</v>
      </c>
      <c r="U132" s="276" cm="1">
        <f t="array" ref="U132">IF(AND(U$2&lt;&gt;0,TblTech[[#This Row],[Hour]:[Hour]]&gt;=U$2),1,0)</f>
        <v>0</v>
      </c>
      <c r="V132" s="276" cm="1">
        <f t="array" ref="V132">IF(AND(V$2&lt;&gt;0,TblTech[[#This Row],[Hour]:[Hour]]&gt;=V$2),1,0)</f>
        <v>0</v>
      </c>
      <c r="W132" s="276" cm="1">
        <f t="array" ref="W132">IF(AND(W$2&lt;&gt;0,TblTech[[#This Row],[Hour]:[Hour]]&gt;=W$2),1,0)</f>
        <v>0</v>
      </c>
      <c r="X132" s="276" cm="1">
        <f t="array" ref="X132">IF(AND(X$2&lt;&gt;0,TblTech[[#This Row],[Hour]:[Hour]]&gt;=X$2),1,0)</f>
        <v>0</v>
      </c>
      <c r="Y132" s="276" cm="1">
        <f t="array" ref="Y132">IF(AND(Y$2&lt;&gt;0,TblTech[[#This Row],[Hour]:[Hour]]&gt;=Y$2),1,0)</f>
        <v>0</v>
      </c>
      <c r="Z132" s="276" cm="1">
        <f t="array" ref="Z132">IF(AND(Z$2&lt;&gt;0,TblTech[[#This Row],[Hour]:[Hour]]&gt;=Z$2),1,0)</f>
        <v>0</v>
      </c>
      <c r="AA132" s="276" cm="1">
        <f t="array" ref="AA132">IF(AND(AA$2&lt;&gt;0,TblTech[[#This Row],[Hour]:[Hour]]&gt;=AA$2),1,0)</f>
        <v>0</v>
      </c>
      <c r="AB132" s="276" cm="1">
        <f t="array" ref="AB132">IF(AND(AB$2&lt;&gt;0,TblTech[[#This Row],[Hour]:[Hour]]&gt;=AB$2),1,0)</f>
        <v>0</v>
      </c>
      <c r="AC132" s="276" cm="1">
        <f t="array" ref="AC132">IF(AND(AC$2&lt;&gt;0,TblTech[[#This Row],[Hour]:[Hour]]&gt;=AC$2),1,0)</f>
        <v>0</v>
      </c>
      <c r="AD132" s="276" cm="1">
        <f t="array" ref="AD132">IF(AND(AD$2&lt;&gt;0,TblTech[[#This Row],[Hour]:[Hour]]&gt;=AD$2),1,0)</f>
        <v>0</v>
      </c>
      <c r="AE132" s="276" cm="1">
        <f t="array" ref="AE132">IF(AND(AE$2&lt;&gt;0,TblTech[[#This Row],[Hour]:[Hour]]&gt;=AE$2),1,0)</f>
        <v>0</v>
      </c>
      <c r="AF132" s="276" cm="1">
        <f t="array" ref="AF132">IF(AND(AF$2&lt;&gt;0,TblTech[[#This Row],[Hour]:[Hour]]&gt;=AF$2),1,0)</f>
        <v>0</v>
      </c>
      <c r="AG132" s="276" cm="1">
        <f t="array" ref="AG132">IF(AND(AG$2&lt;&gt;0,TblTech[[#This Row],[Hour]:[Hour]]&gt;=AG$2),1,0)</f>
        <v>0</v>
      </c>
      <c r="AH132" s="276" cm="1">
        <f t="array" ref="AH132">IF(AND(AH$2&lt;&gt;0,TblTech[[#This Row],[Hour]:[Hour]]&gt;=AH$2),1,0)</f>
        <v>0</v>
      </c>
      <c r="AI132" s="276" cm="1">
        <f t="array" ref="AI132">IF(AND(AI$2&lt;&gt;0,TblTech[[#This Row],[Hour]:[Hour]]&gt;=AI$2),1,0)</f>
        <v>0</v>
      </c>
      <c r="AJ132" s="276" cm="1">
        <f t="array" ref="AJ132">IF(AND(AJ$2&lt;&gt;0,TblTech[[#This Row],[Hour]:[Hour]]&gt;=AJ$2),1,0)</f>
        <v>0</v>
      </c>
      <c r="AK132" s="276" cm="1">
        <f t="array" ref="AK132">IF(AND(AK$2&lt;&gt;0,TblTech[[#This Row],[Hour]:[Hour]]&gt;=AK$2),1,0)</f>
        <v>0</v>
      </c>
      <c r="AL132" s="276" cm="1">
        <f t="array" ref="AL132">IF(AND(AL$2&lt;&gt;0,TblTech[[#This Row],[Hour]:[Hour]]&gt;=AL$2),1,0)</f>
        <v>0</v>
      </c>
      <c r="AM132" s="276" cm="1">
        <f t="array" ref="AM132">IF(AND(AM$2&lt;&gt;0,TblTech[[#This Row],[Hour]:[Hour]]&gt;=AM$2),1,0)</f>
        <v>0</v>
      </c>
      <c r="AN132" s="276" cm="1">
        <f t="array" ref="AN132">IF(AND(AN$2&lt;&gt;0,TblTech[[#This Row],[Hour]:[Hour]]&gt;=AN$2),1,0)</f>
        <v>0</v>
      </c>
      <c r="AO132" s="276" cm="1">
        <f t="array" ref="AO132">IF(AND(AO$2&lt;&gt;0,TblTech[[#This Row],[Hour]:[Hour]]&gt;=AO$2),1,0)</f>
        <v>0</v>
      </c>
      <c r="AP132" s="276" cm="1">
        <f t="array" ref="AP132">IF(AND(AP$2&lt;&gt;0,TblTech[[#This Row],[Hour]:[Hour]]&gt;=AP$2),1,0)</f>
        <v>0</v>
      </c>
      <c r="AQ132" s="276" cm="1">
        <f t="array" ref="AQ132">IF(AND(AQ$2&lt;&gt;0,TblTech[[#This Row],[Hour]:[Hour]]&gt;=AQ$2),1,0)</f>
        <v>0</v>
      </c>
      <c r="AR132" s="276" cm="1">
        <f t="array" ref="AR132">IF(AND(AR$2&lt;&gt;0,TblTech[[#This Row],[Hour]:[Hour]]&gt;=AR$2),1,0)</f>
        <v>0</v>
      </c>
      <c r="AS132" s="276" cm="1">
        <f t="array" ref="AS132">IF(AND(AS$2&lt;&gt;0,TblTech[[#This Row],[Hour]:[Hour]]&gt;=AS$2),1,0)</f>
        <v>0</v>
      </c>
      <c r="AT132" s="276" cm="1">
        <f t="array" ref="AT132">IF(AND(AT$2&lt;&gt;0,TblTech[[#This Row],[Hour]:[Hour]]&gt;=AT$2),1,0)</f>
        <v>0</v>
      </c>
      <c r="AU132" s="276" cm="1">
        <f t="array" ref="AU132">IF(AND(AU$2&lt;&gt;0,TblTech[[#This Row],[Hour]:[Hour]]&gt;=AU$2),1,0)</f>
        <v>0</v>
      </c>
      <c r="AV132" s="276" cm="1">
        <f t="array" ref="AV132">IF(AND(AV$2&lt;&gt;0,TblTech[[#This Row],[Hour]:[Hour]]&gt;=AV$2),1,0)</f>
        <v>0</v>
      </c>
      <c r="AW132" s="276" cm="1">
        <f t="array" ref="AW132">IF(AND(AW$2&lt;&gt;0,TblTech[[#This Row],[Hour]:[Hour]]&gt;=AW$2),1,0)</f>
        <v>0</v>
      </c>
      <c r="AX132" s="276" cm="1">
        <f t="array" ref="AX132">IF(AND(AX$2&lt;&gt;0,TblTech[[#This Row],[Hour]:[Hour]]&gt;=AX$2),1,0)</f>
        <v>0</v>
      </c>
      <c r="AY132" s="276" cm="1">
        <f t="array" ref="AY132">IF(AND(AY$2&lt;&gt;0,TblTech[[#This Row],[Hour]:[Hour]]&gt;=AY$2),1,0)</f>
        <v>0</v>
      </c>
      <c r="AZ132" s="276" cm="1">
        <f t="array" ref="AZ132">IF(AND(AZ$2&lt;&gt;0,TblTech[[#This Row],[Hour]:[Hour]]&gt;=AZ$2),1,0)</f>
        <v>0</v>
      </c>
      <c r="BA132" s="276" cm="1">
        <f t="array" ref="BA132">IF(AND(BA$2&lt;&gt;0,TblTech[[#This Row],[Hour]:[Hour]]&gt;=BA$2),1,0)</f>
        <v>0</v>
      </c>
      <c r="BB132" s="276" cm="1">
        <f t="array" ref="BB132">IF(AND(BB$2&lt;&gt;0,TblTech[[#This Row],[Hour]:[Hour]]&gt;=BB$2),1,0)</f>
        <v>0</v>
      </c>
      <c r="BC132" s="276" cm="1">
        <f t="array" ref="BC132">IF(AND(BC$2&lt;&gt;0,TblTech[[#This Row],[Hour]:[Hour]]&gt;=BC$2),1,0)</f>
        <v>0</v>
      </c>
      <c r="BD132" s="276" cm="1">
        <f t="array" ref="BD132">IF(AND(BD$2&lt;&gt;0,TblTech[[#This Row],[Hour]:[Hour]]&gt;=BD$2),1,0)</f>
        <v>0</v>
      </c>
      <c r="BE132" s="276" cm="1">
        <f t="array" ref="BE132">IF(AND(BE$2&lt;&gt;0,TblTech[[#This Row],[Hour]:[Hour]]&gt;=BE$2),1,0)</f>
        <v>0</v>
      </c>
      <c r="BF132" s="276" cm="1">
        <f t="array" ref="BF132">IF(AND(BF$2&lt;&gt;0,TblTech[[#This Row],[Hour]:[Hour]]&gt;=BF$2),1,0)</f>
        <v>0</v>
      </c>
      <c r="BG132" s="276" cm="1">
        <f t="array" ref="BG132">IF(AND(BG$2&lt;&gt;0,TblTech[[#This Row],[Hour]:[Hour]]&gt;=BG$2),1,0)</f>
        <v>0</v>
      </c>
      <c r="BH132" s="276" cm="1">
        <f t="array" ref="BH132">IF(AND(BH$2&lt;&gt;0,TblTech[[#This Row],[Hour]:[Hour]]&gt;=BH$2),1,0)</f>
        <v>0</v>
      </c>
      <c r="BI132" s="276" cm="1">
        <f t="array" ref="BI132">IF(AND(BI$2&lt;&gt;0,TblTech[[#This Row],[Hour]:[Hour]]&gt;=BI$2),1,0)</f>
        <v>0</v>
      </c>
      <c r="BJ132" s="276" cm="1">
        <f t="array" ref="BJ132">IF(AND(BJ$2&lt;&gt;0,TblTech[[#This Row],[Hour]:[Hour]]&gt;=BJ$2),1,0)</f>
        <v>0</v>
      </c>
      <c r="BK132" s="276" cm="1">
        <f t="array" ref="BK132">IF(AND(BK$2&lt;&gt;0,TblTech[[#This Row],[Hour]:[Hour]]&gt;=BK$2),1,0)</f>
        <v>0</v>
      </c>
      <c r="BL132" s="276" cm="1">
        <f t="array" ref="BL132">IF(AND(BL$2&lt;&gt;0,TblTech[[#This Row],[Hour]:[Hour]]&gt;=BL$2),1,0)</f>
        <v>0</v>
      </c>
      <c r="BM132" s="276" cm="1">
        <f t="array" ref="BM132">IF(AND(BM$2&lt;&gt;0,TblTech[[#This Row],[Hour]:[Hour]]&gt;=BM$2),1,0)</f>
        <v>0</v>
      </c>
      <c r="BN132" s="276" cm="1">
        <f t="array" ref="BN132">IF(AND(BN$2&lt;&gt;0,TblTech[[#This Row],[Hour]:[Hour]]&gt;=BN$2),1,0)</f>
        <v>0</v>
      </c>
      <c r="BO132" s="276" cm="1">
        <f t="array" ref="BO132">IF(AND(BO$2&lt;&gt;0,TblTech[[#This Row],[Hour]:[Hour]]&gt;=BO$2),1,0)</f>
        <v>0</v>
      </c>
      <c r="BP132" s="276" cm="1">
        <f t="array" ref="BP132">IF(AND(BP$2&lt;&gt;0,TblTech[[#This Row],[Hour]:[Hour]]&gt;=BP$2),1,0)</f>
        <v>0</v>
      </c>
      <c r="BQ132" s="276" cm="1">
        <f t="array" ref="BQ132">IF(AND(BQ$2&lt;&gt;0,TblTech[[#This Row],[Hour]:[Hour]]&gt;=BQ$2),1,0)</f>
        <v>0</v>
      </c>
      <c r="BR132" s="276" cm="1">
        <f t="array" ref="BR132">IF(AND(BR$2&lt;&gt;0,TblTech[[#This Row],[Hour]:[Hour]]&gt;=BR$2),1,0)</f>
        <v>0</v>
      </c>
      <c r="BS132" s="276" cm="1">
        <f t="array" ref="BS132">IF(AND(BS$2&lt;&gt;0,TblTech[[#This Row],[Hour]:[Hour]]&gt;=BS$2),1,0)</f>
        <v>0</v>
      </c>
      <c r="BT132" s="276" cm="1">
        <f t="array" ref="BT132">IF(AND(BT$2&lt;&gt;0,TblTech[[#This Row],[Hour]:[Hour]]&gt;=BT$2),1,0)</f>
        <v>0</v>
      </c>
      <c r="BU132" s="276" cm="1">
        <f t="array" ref="BU132">IF(AND(BU$2&lt;&gt;0,TblTech[[#This Row],[Hour]:[Hour]]&gt;=BU$2),1,0)</f>
        <v>0</v>
      </c>
      <c r="BV132" s="276" cm="1">
        <f t="array" ref="BV132">IF(AND(BV$2&lt;&gt;0,TblTech[[#This Row],[Hour]:[Hour]]&gt;=BV$2),1,0)</f>
        <v>0</v>
      </c>
      <c r="BW132" s="276" cm="1">
        <f t="array" ref="BW132">IF(AND(BW$2&lt;&gt;0,TblTech[[#This Row],[Hour]:[Hour]]&gt;=BW$2),1,0)</f>
        <v>0</v>
      </c>
      <c r="BX132" s="276" cm="1">
        <f t="array" ref="BX132">IF(AND(BX$2&lt;&gt;0,TblTech[[#This Row],[Hour]:[Hour]]&gt;=BX$2),1,0)</f>
        <v>0</v>
      </c>
      <c r="BY132" s="276" cm="1">
        <f t="array" ref="BY132">IF(AND(BY$2&lt;&gt;0,TblTech[[#This Row],[Hour]:[Hour]]&gt;=BY$2),1,0)</f>
        <v>0</v>
      </c>
      <c r="BZ132" s="276" cm="1">
        <f t="array" ref="BZ132">IF(AND(BZ$2&lt;&gt;0,TblTech[[#This Row],[Hour]:[Hour]]&gt;=BZ$2),1,0)</f>
        <v>0</v>
      </c>
      <c r="CA132" s="377">
        <f>IFERROR(INDEX($H$4:$H$79,MATCH(INDEX(TblTech[[#Headers],[1-1]:[11-1]],1,MATCH(TblTech[[#This Row],[Hour]],$M$2:$BZ$2,0)),$G$4:$G$79,0)),)</f>
        <v>0</v>
      </c>
    </row>
    <row r="133" spans="1:79" x14ac:dyDescent="0.2">
      <c r="A133" s="268">
        <f>TblRezone[[#This Row],[Hour]]</f>
        <v>130</v>
      </c>
      <c r="B133" s="269">
        <f ca="1">TblExplore[[#This Row],[Land-DB]]</f>
        <v>110</v>
      </c>
      <c r="C133" s="270">
        <f ca="1">TblProd[[#This Row],[Techpoints]]</f>
        <v>0</v>
      </c>
      <c r="D133" s="270">
        <f ca="1">TblProd[[#This Row],[Required]]</f>
        <v>3750</v>
      </c>
      <c r="E133" s="279"/>
      <c r="F133" s="280"/>
      <c r="G133" s="273"/>
      <c r="H133" s="274"/>
      <c r="I133" s="274"/>
      <c r="J133" s="274"/>
      <c r="K133" s="93">
        <f ca="1">IF(TblTech[[#This Row],[Sum of tech]]&lt;&gt;OFFSET(TblTech[[#This Row],[Sum of tech]],-1,0),1,0)</f>
        <v>0</v>
      </c>
      <c r="L133" s="275">
        <f>COUNTIF(TblTech[[#This Row],[1-1]:[11-1]],1)</f>
        <v>0</v>
      </c>
      <c r="M133" s="276" cm="1">
        <f t="array" ref="M133">IF(AND(M$2&lt;&gt;0,TblTech[[#This Row],[Hour]:[Hour]]&gt;=M$2),1,0)</f>
        <v>0</v>
      </c>
      <c r="N133" s="276" cm="1">
        <f t="array" ref="N133">IF(AND(N$2&lt;&gt;0,TblTech[[#This Row],[Hour]:[Hour]]&gt;=N$2),1,0)</f>
        <v>0</v>
      </c>
      <c r="O133" s="276" cm="1">
        <f t="array" ref="O133">IF(AND(O$2&lt;&gt;0,TblTech[[#This Row],[Hour]:[Hour]]&gt;=O$2),1,0)</f>
        <v>0</v>
      </c>
      <c r="P133" s="276" cm="1">
        <f t="array" ref="P133">IF(AND(P$2&lt;&gt;0,TblTech[[#This Row],[Hour]:[Hour]]&gt;=P$2),1,0)</f>
        <v>0</v>
      </c>
      <c r="Q133" s="276" cm="1">
        <f t="array" ref="Q133">IF(AND(Q$2&lt;&gt;0,TblTech[[#This Row],[Hour]:[Hour]]&gt;=Q$2),1,0)</f>
        <v>0</v>
      </c>
      <c r="R133" s="276" cm="1">
        <f t="array" ref="R133">IF(AND(R$2&lt;&gt;0,TblTech[[#This Row],[Hour]:[Hour]]&gt;=R$2),1,0)</f>
        <v>0</v>
      </c>
      <c r="S133" s="276" cm="1">
        <f t="array" ref="S133">IF(AND(S$2&lt;&gt;0,TblTech[[#This Row],[Hour]:[Hour]]&gt;=S$2),1,0)</f>
        <v>0</v>
      </c>
      <c r="T133" s="276" cm="1">
        <f t="array" ref="T133">IF(AND(T$2&lt;&gt;0,TblTech[[#This Row],[Hour]:[Hour]]&gt;=T$2),1,0)</f>
        <v>0</v>
      </c>
      <c r="U133" s="276" cm="1">
        <f t="array" ref="U133">IF(AND(U$2&lt;&gt;0,TblTech[[#This Row],[Hour]:[Hour]]&gt;=U$2),1,0)</f>
        <v>0</v>
      </c>
      <c r="V133" s="276" cm="1">
        <f t="array" ref="V133">IF(AND(V$2&lt;&gt;0,TblTech[[#This Row],[Hour]:[Hour]]&gt;=V$2),1,0)</f>
        <v>0</v>
      </c>
      <c r="W133" s="276" cm="1">
        <f t="array" ref="W133">IF(AND(W$2&lt;&gt;0,TblTech[[#This Row],[Hour]:[Hour]]&gt;=W$2),1,0)</f>
        <v>0</v>
      </c>
      <c r="X133" s="276" cm="1">
        <f t="array" ref="X133">IF(AND(X$2&lt;&gt;0,TblTech[[#This Row],[Hour]:[Hour]]&gt;=X$2),1,0)</f>
        <v>0</v>
      </c>
      <c r="Y133" s="276" cm="1">
        <f t="array" ref="Y133">IF(AND(Y$2&lt;&gt;0,TblTech[[#This Row],[Hour]:[Hour]]&gt;=Y$2),1,0)</f>
        <v>0</v>
      </c>
      <c r="Z133" s="276" cm="1">
        <f t="array" ref="Z133">IF(AND(Z$2&lt;&gt;0,TblTech[[#This Row],[Hour]:[Hour]]&gt;=Z$2),1,0)</f>
        <v>0</v>
      </c>
      <c r="AA133" s="276" cm="1">
        <f t="array" ref="AA133">IF(AND(AA$2&lt;&gt;0,TblTech[[#This Row],[Hour]:[Hour]]&gt;=AA$2),1,0)</f>
        <v>0</v>
      </c>
      <c r="AB133" s="276" cm="1">
        <f t="array" ref="AB133">IF(AND(AB$2&lt;&gt;0,TblTech[[#This Row],[Hour]:[Hour]]&gt;=AB$2),1,0)</f>
        <v>0</v>
      </c>
      <c r="AC133" s="276" cm="1">
        <f t="array" ref="AC133">IF(AND(AC$2&lt;&gt;0,TblTech[[#This Row],[Hour]:[Hour]]&gt;=AC$2),1,0)</f>
        <v>0</v>
      </c>
      <c r="AD133" s="276" cm="1">
        <f t="array" ref="AD133">IF(AND(AD$2&lt;&gt;0,TblTech[[#This Row],[Hour]:[Hour]]&gt;=AD$2),1,0)</f>
        <v>0</v>
      </c>
      <c r="AE133" s="276" cm="1">
        <f t="array" ref="AE133">IF(AND(AE$2&lt;&gt;0,TblTech[[#This Row],[Hour]:[Hour]]&gt;=AE$2),1,0)</f>
        <v>0</v>
      </c>
      <c r="AF133" s="276" cm="1">
        <f t="array" ref="AF133">IF(AND(AF$2&lt;&gt;0,TblTech[[#This Row],[Hour]:[Hour]]&gt;=AF$2),1,0)</f>
        <v>0</v>
      </c>
      <c r="AG133" s="276" cm="1">
        <f t="array" ref="AG133">IF(AND(AG$2&lt;&gt;0,TblTech[[#This Row],[Hour]:[Hour]]&gt;=AG$2),1,0)</f>
        <v>0</v>
      </c>
      <c r="AH133" s="276" cm="1">
        <f t="array" ref="AH133">IF(AND(AH$2&lt;&gt;0,TblTech[[#This Row],[Hour]:[Hour]]&gt;=AH$2),1,0)</f>
        <v>0</v>
      </c>
      <c r="AI133" s="276" cm="1">
        <f t="array" ref="AI133">IF(AND(AI$2&lt;&gt;0,TblTech[[#This Row],[Hour]:[Hour]]&gt;=AI$2),1,0)</f>
        <v>0</v>
      </c>
      <c r="AJ133" s="276" cm="1">
        <f t="array" ref="AJ133">IF(AND(AJ$2&lt;&gt;0,TblTech[[#This Row],[Hour]:[Hour]]&gt;=AJ$2),1,0)</f>
        <v>0</v>
      </c>
      <c r="AK133" s="276" cm="1">
        <f t="array" ref="AK133">IF(AND(AK$2&lt;&gt;0,TblTech[[#This Row],[Hour]:[Hour]]&gt;=AK$2),1,0)</f>
        <v>0</v>
      </c>
      <c r="AL133" s="276" cm="1">
        <f t="array" ref="AL133">IF(AND(AL$2&lt;&gt;0,TblTech[[#This Row],[Hour]:[Hour]]&gt;=AL$2),1,0)</f>
        <v>0</v>
      </c>
      <c r="AM133" s="276" cm="1">
        <f t="array" ref="AM133">IF(AND(AM$2&lt;&gt;0,TblTech[[#This Row],[Hour]:[Hour]]&gt;=AM$2),1,0)</f>
        <v>0</v>
      </c>
      <c r="AN133" s="276" cm="1">
        <f t="array" ref="AN133">IF(AND(AN$2&lt;&gt;0,TblTech[[#This Row],[Hour]:[Hour]]&gt;=AN$2),1,0)</f>
        <v>0</v>
      </c>
      <c r="AO133" s="276" cm="1">
        <f t="array" ref="AO133">IF(AND(AO$2&lt;&gt;0,TblTech[[#This Row],[Hour]:[Hour]]&gt;=AO$2),1,0)</f>
        <v>0</v>
      </c>
      <c r="AP133" s="276" cm="1">
        <f t="array" ref="AP133">IF(AND(AP$2&lt;&gt;0,TblTech[[#This Row],[Hour]:[Hour]]&gt;=AP$2),1,0)</f>
        <v>0</v>
      </c>
      <c r="AQ133" s="276" cm="1">
        <f t="array" ref="AQ133">IF(AND(AQ$2&lt;&gt;0,TblTech[[#This Row],[Hour]:[Hour]]&gt;=AQ$2),1,0)</f>
        <v>0</v>
      </c>
      <c r="AR133" s="276" cm="1">
        <f t="array" ref="AR133">IF(AND(AR$2&lt;&gt;0,TblTech[[#This Row],[Hour]:[Hour]]&gt;=AR$2),1,0)</f>
        <v>0</v>
      </c>
      <c r="AS133" s="276" cm="1">
        <f t="array" ref="AS133">IF(AND(AS$2&lt;&gt;0,TblTech[[#This Row],[Hour]:[Hour]]&gt;=AS$2),1,0)</f>
        <v>0</v>
      </c>
      <c r="AT133" s="276" cm="1">
        <f t="array" ref="AT133">IF(AND(AT$2&lt;&gt;0,TblTech[[#This Row],[Hour]:[Hour]]&gt;=AT$2),1,0)</f>
        <v>0</v>
      </c>
      <c r="AU133" s="276" cm="1">
        <f t="array" ref="AU133">IF(AND(AU$2&lt;&gt;0,TblTech[[#This Row],[Hour]:[Hour]]&gt;=AU$2),1,0)</f>
        <v>0</v>
      </c>
      <c r="AV133" s="276" cm="1">
        <f t="array" ref="AV133">IF(AND(AV$2&lt;&gt;0,TblTech[[#This Row],[Hour]:[Hour]]&gt;=AV$2),1,0)</f>
        <v>0</v>
      </c>
      <c r="AW133" s="276" cm="1">
        <f t="array" ref="AW133">IF(AND(AW$2&lt;&gt;0,TblTech[[#This Row],[Hour]:[Hour]]&gt;=AW$2),1,0)</f>
        <v>0</v>
      </c>
      <c r="AX133" s="276" cm="1">
        <f t="array" ref="AX133">IF(AND(AX$2&lt;&gt;0,TblTech[[#This Row],[Hour]:[Hour]]&gt;=AX$2),1,0)</f>
        <v>0</v>
      </c>
      <c r="AY133" s="276" cm="1">
        <f t="array" ref="AY133">IF(AND(AY$2&lt;&gt;0,TblTech[[#This Row],[Hour]:[Hour]]&gt;=AY$2),1,0)</f>
        <v>0</v>
      </c>
      <c r="AZ133" s="276" cm="1">
        <f t="array" ref="AZ133">IF(AND(AZ$2&lt;&gt;0,TblTech[[#This Row],[Hour]:[Hour]]&gt;=AZ$2),1,0)</f>
        <v>0</v>
      </c>
      <c r="BA133" s="276" cm="1">
        <f t="array" ref="BA133">IF(AND(BA$2&lt;&gt;0,TblTech[[#This Row],[Hour]:[Hour]]&gt;=BA$2),1,0)</f>
        <v>0</v>
      </c>
      <c r="BB133" s="276" cm="1">
        <f t="array" ref="BB133">IF(AND(BB$2&lt;&gt;0,TblTech[[#This Row],[Hour]:[Hour]]&gt;=BB$2),1,0)</f>
        <v>0</v>
      </c>
      <c r="BC133" s="276" cm="1">
        <f t="array" ref="BC133">IF(AND(BC$2&lt;&gt;0,TblTech[[#This Row],[Hour]:[Hour]]&gt;=BC$2),1,0)</f>
        <v>0</v>
      </c>
      <c r="BD133" s="276" cm="1">
        <f t="array" ref="BD133">IF(AND(BD$2&lt;&gt;0,TblTech[[#This Row],[Hour]:[Hour]]&gt;=BD$2),1,0)</f>
        <v>0</v>
      </c>
      <c r="BE133" s="276" cm="1">
        <f t="array" ref="BE133">IF(AND(BE$2&lt;&gt;0,TblTech[[#This Row],[Hour]:[Hour]]&gt;=BE$2),1,0)</f>
        <v>0</v>
      </c>
      <c r="BF133" s="276" cm="1">
        <f t="array" ref="BF133">IF(AND(BF$2&lt;&gt;0,TblTech[[#This Row],[Hour]:[Hour]]&gt;=BF$2),1,0)</f>
        <v>0</v>
      </c>
      <c r="BG133" s="276" cm="1">
        <f t="array" ref="BG133">IF(AND(BG$2&lt;&gt;0,TblTech[[#This Row],[Hour]:[Hour]]&gt;=BG$2),1,0)</f>
        <v>0</v>
      </c>
      <c r="BH133" s="276" cm="1">
        <f t="array" ref="BH133">IF(AND(BH$2&lt;&gt;0,TblTech[[#This Row],[Hour]:[Hour]]&gt;=BH$2),1,0)</f>
        <v>0</v>
      </c>
      <c r="BI133" s="276" cm="1">
        <f t="array" ref="BI133">IF(AND(BI$2&lt;&gt;0,TblTech[[#This Row],[Hour]:[Hour]]&gt;=BI$2),1,0)</f>
        <v>0</v>
      </c>
      <c r="BJ133" s="276" cm="1">
        <f t="array" ref="BJ133">IF(AND(BJ$2&lt;&gt;0,TblTech[[#This Row],[Hour]:[Hour]]&gt;=BJ$2),1,0)</f>
        <v>0</v>
      </c>
      <c r="BK133" s="276" cm="1">
        <f t="array" ref="BK133">IF(AND(BK$2&lt;&gt;0,TblTech[[#This Row],[Hour]:[Hour]]&gt;=BK$2),1,0)</f>
        <v>0</v>
      </c>
      <c r="BL133" s="276" cm="1">
        <f t="array" ref="BL133">IF(AND(BL$2&lt;&gt;0,TblTech[[#This Row],[Hour]:[Hour]]&gt;=BL$2),1,0)</f>
        <v>0</v>
      </c>
      <c r="BM133" s="276" cm="1">
        <f t="array" ref="BM133">IF(AND(BM$2&lt;&gt;0,TblTech[[#This Row],[Hour]:[Hour]]&gt;=BM$2),1,0)</f>
        <v>0</v>
      </c>
      <c r="BN133" s="276" cm="1">
        <f t="array" ref="BN133">IF(AND(BN$2&lt;&gt;0,TblTech[[#This Row],[Hour]:[Hour]]&gt;=BN$2),1,0)</f>
        <v>0</v>
      </c>
      <c r="BO133" s="276" cm="1">
        <f t="array" ref="BO133">IF(AND(BO$2&lt;&gt;0,TblTech[[#This Row],[Hour]:[Hour]]&gt;=BO$2),1,0)</f>
        <v>0</v>
      </c>
      <c r="BP133" s="276" cm="1">
        <f t="array" ref="BP133">IF(AND(BP$2&lt;&gt;0,TblTech[[#This Row],[Hour]:[Hour]]&gt;=BP$2),1,0)</f>
        <v>0</v>
      </c>
      <c r="BQ133" s="276" cm="1">
        <f t="array" ref="BQ133">IF(AND(BQ$2&lt;&gt;0,TblTech[[#This Row],[Hour]:[Hour]]&gt;=BQ$2),1,0)</f>
        <v>0</v>
      </c>
      <c r="BR133" s="276" cm="1">
        <f t="array" ref="BR133">IF(AND(BR$2&lt;&gt;0,TblTech[[#This Row],[Hour]:[Hour]]&gt;=BR$2),1,0)</f>
        <v>0</v>
      </c>
      <c r="BS133" s="276" cm="1">
        <f t="array" ref="BS133">IF(AND(BS$2&lt;&gt;0,TblTech[[#This Row],[Hour]:[Hour]]&gt;=BS$2),1,0)</f>
        <v>0</v>
      </c>
      <c r="BT133" s="276" cm="1">
        <f t="array" ref="BT133">IF(AND(BT$2&lt;&gt;0,TblTech[[#This Row],[Hour]:[Hour]]&gt;=BT$2),1,0)</f>
        <v>0</v>
      </c>
      <c r="BU133" s="276" cm="1">
        <f t="array" ref="BU133">IF(AND(BU$2&lt;&gt;0,TblTech[[#This Row],[Hour]:[Hour]]&gt;=BU$2),1,0)</f>
        <v>0</v>
      </c>
      <c r="BV133" s="276" cm="1">
        <f t="array" ref="BV133">IF(AND(BV$2&lt;&gt;0,TblTech[[#This Row],[Hour]:[Hour]]&gt;=BV$2),1,0)</f>
        <v>0</v>
      </c>
      <c r="BW133" s="276" cm="1">
        <f t="array" ref="BW133">IF(AND(BW$2&lt;&gt;0,TblTech[[#This Row],[Hour]:[Hour]]&gt;=BW$2),1,0)</f>
        <v>0</v>
      </c>
      <c r="BX133" s="276" cm="1">
        <f t="array" ref="BX133">IF(AND(BX$2&lt;&gt;0,TblTech[[#This Row],[Hour]:[Hour]]&gt;=BX$2),1,0)</f>
        <v>0</v>
      </c>
      <c r="BY133" s="276" cm="1">
        <f t="array" ref="BY133">IF(AND(BY$2&lt;&gt;0,TblTech[[#This Row],[Hour]:[Hour]]&gt;=BY$2),1,0)</f>
        <v>0</v>
      </c>
      <c r="BZ133" s="276" cm="1">
        <f t="array" ref="BZ133">IF(AND(BZ$2&lt;&gt;0,TblTech[[#This Row],[Hour]:[Hour]]&gt;=BZ$2),1,0)</f>
        <v>0</v>
      </c>
      <c r="CA133" s="377">
        <f>IFERROR(INDEX($H$4:$H$79,MATCH(INDEX(TblTech[[#Headers],[1-1]:[11-1]],1,MATCH(TblTech[[#This Row],[Hour]],$M$2:$BZ$2,0)),$G$4:$G$79,0)),)</f>
        <v>0</v>
      </c>
    </row>
    <row r="134" spans="1:79" x14ac:dyDescent="0.2">
      <c r="A134" s="268">
        <f>TblRezone[[#This Row],[Hour]]</f>
        <v>131</v>
      </c>
      <c r="B134" s="269">
        <f ca="1">TblExplore[[#This Row],[Land-DB]]</f>
        <v>110</v>
      </c>
      <c r="C134" s="270">
        <f ca="1">TblProd[[#This Row],[Techpoints]]</f>
        <v>0</v>
      </c>
      <c r="D134" s="270">
        <f ca="1">TblProd[[#This Row],[Required]]</f>
        <v>3750</v>
      </c>
      <c r="E134" s="279"/>
      <c r="F134" s="280"/>
      <c r="G134" s="273"/>
      <c r="H134" s="274"/>
      <c r="I134" s="274"/>
      <c r="J134" s="274"/>
      <c r="K134" s="93">
        <f ca="1">IF(TblTech[[#This Row],[Sum of tech]]&lt;&gt;OFFSET(TblTech[[#This Row],[Sum of tech]],-1,0),1,0)</f>
        <v>0</v>
      </c>
      <c r="L134" s="275">
        <f>COUNTIF(TblTech[[#This Row],[1-1]:[11-1]],1)</f>
        <v>0</v>
      </c>
      <c r="M134" s="276" cm="1">
        <f t="array" ref="M134">IF(AND(M$2&lt;&gt;0,TblTech[[#This Row],[Hour]:[Hour]]&gt;=M$2),1,0)</f>
        <v>0</v>
      </c>
      <c r="N134" s="276" cm="1">
        <f t="array" ref="N134">IF(AND(N$2&lt;&gt;0,TblTech[[#This Row],[Hour]:[Hour]]&gt;=N$2),1,0)</f>
        <v>0</v>
      </c>
      <c r="O134" s="276" cm="1">
        <f t="array" ref="O134">IF(AND(O$2&lt;&gt;0,TblTech[[#This Row],[Hour]:[Hour]]&gt;=O$2),1,0)</f>
        <v>0</v>
      </c>
      <c r="P134" s="276" cm="1">
        <f t="array" ref="P134">IF(AND(P$2&lt;&gt;0,TblTech[[#This Row],[Hour]:[Hour]]&gt;=P$2),1,0)</f>
        <v>0</v>
      </c>
      <c r="Q134" s="276" cm="1">
        <f t="array" ref="Q134">IF(AND(Q$2&lt;&gt;0,TblTech[[#This Row],[Hour]:[Hour]]&gt;=Q$2),1,0)</f>
        <v>0</v>
      </c>
      <c r="R134" s="276" cm="1">
        <f t="array" ref="R134">IF(AND(R$2&lt;&gt;0,TblTech[[#This Row],[Hour]:[Hour]]&gt;=R$2),1,0)</f>
        <v>0</v>
      </c>
      <c r="S134" s="276" cm="1">
        <f t="array" ref="S134">IF(AND(S$2&lt;&gt;0,TblTech[[#This Row],[Hour]:[Hour]]&gt;=S$2),1,0)</f>
        <v>0</v>
      </c>
      <c r="T134" s="276" cm="1">
        <f t="array" ref="T134">IF(AND(T$2&lt;&gt;0,TblTech[[#This Row],[Hour]:[Hour]]&gt;=T$2),1,0)</f>
        <v>0</v>
      </c>
      <c r="U134" s="276" cm="1">
        <f t="array" ref="U134">IF(AND(U$2&lt;&gt;0,TblTech[[#This Row],[Hour]:[Hour]]&gt;=U$2),1,0)</f>
        <v>0</v>
      </c>
      <c r="V134" s="276" cm="1">
        <f t="array" ref="V134">IF(AND(V$2&lt;&gt;0,TblTech[[#This Row],[Hour]:[Hour]]&gt;=V$2),1,0)</f>
        <v>0</v>
      </c>
      <c r="W134" s="276" cm="1">
        <f t="array" ref="W134">IF(AND(W$2&lt;&gt;0,TblTech[[#This Row],[Hour]:[Hour]]&gt;=W$2),1,0)</f>
        <v>0</v>
      </c>
      <c r="X134" s="276" cm="1">
        <f t="array" ref="X134">IF(AND(X$2&lt;&gt;0,TblTech[[#This Row],[Hour]:[Hour]]&gt;=X$2),1,0)</f>
        <v>0</v>
      </c>
      <c r="Y134" s="276" cm="1">
        <f t="array" ref="Y134">IF(AND(Y$2&lt;&gt;0,TblTech[[#This Row],[Hour]:[Hour]]&gt;=Y$2),1,0)</f>
        <v>0</v>
      </c>
      <c r="Z134" s="276" cm="1">
        <f t="array" ref="Z134">IF(AND(Z$2&lt;&gt;0,TblTech[[#This Row],[Hour]:[Hour]]&gt;=Z$2),1,0)</f>
        <v>0</v>
      </c>
      <c r="AA134" s="276" cm="1">
        <f t="array" ref="AA134">IF(AND(AA$2&lt;&gt;0,TblTech[[#This Row],[Hour]:[Hour]]&gt;=AA$2),1,0)</f>
        <v>0</v>
      </c>
      <c r="AB134" s="276" cm="1">
        <f t="array" ref="AB134">IF(AND(AB$2&lt;&gt;0,TblTech[[#This Row],[Hour]:[Hour]]&gt;=AB$2),1,0)</f>
        <v>0</v>
      </c>
      <c r="AC134" s="276" cm="1">
        <f t="array" ref="AC134">IF(AND(AC$2&lt;&gt;0,TblTech[[#This Row],[Hour]:[Hour]]&gt;=AC$2),1,0)</f>
        <v>0</v>
      </c>
      <c r="AD134" s="276" cm="1">
        <f t="array" ref="AD134">IF(AND(AD$2&lt;&gt;0,TblTech[[#This Row],[Hour]:[Hour]]&gt;=AD$2),1,0)</f>
        <v>0</v>
      </c>
      <c r="AE134" s="276" cm="1">
        <f t="array" ref="AE134">IF(AND(AE$2&lt;&gt;0,TblTech[[#This Row],[Hour]:[Hour]]&gt;=AE$2),1,0)</f>
        <v>0</v>
      </c>
      <c r="AF134" s="276" cm="1">
        <f t="array" ref="AF134">IF(AND(AF$2&lt;&gt;0,TblTech[[#This Row],[Hour]:[Hour]]&gt;=AF$2),1,0)</f>
        <v>0</v>
      </c>
      <c r="AG134" s="276" cm="1">
        <f t="array" ref="AG134">IF(AND(AG$2&lt;&gt;0,TblTech[[#This Row],[Hour]:[Hour]]&gt;=AG$2),1,0)</f>
        <v>0</v>
      </c>
      <c r="AH134" s="276" cm="1">
        <f t="array" ref="AH134">IF(AND(AH$2&lt;&gt;0,TblTech[[#This Row],[Hour]:[Hour]]&gt;=AH$2),1,0)</f>
        <v>0</v>
      </c>
      <c r="AI134" s="276" cm="1">
        <f t="array" ref="AI134">IF(AND(AI$2&lt;&gt;0,TblTech[[#This Row],[Hour]:[Hour]]&gt;=AI$2),1,0)</f>
        <v>0</v>
      </c>
      <c r="AJ134" s="276" cm="1">
        <f t="array" ref="AJ134">IF(AND(AJ$2&lt;&gt;0,TblTech[[#This Row],[Hour]:[Hour]]&gt;=AJ$2),1,0)</f>
        <v>0</v>
      </c>
      <c r="AK134" s="276" cm="1">
        <f t="array" ref="AK134">IF(AND(AK$2&lt;&gt;0,TblTech[[#This Row],[Hour]:[Hour]]&gt;=AK$2),1,0)</f>
        <v>0</v>
      </c>
      <c r="AL134" s="276" cm="1">
        <f t="array" ref="AL134">IF(AND(AL$2&lt;&gt;0,TblTech[[#This Row],[Hour]:[Hour]]&gt;=AL$2),1,0)</f>
        <v>0</v>
      </c>
      <c r="AM134" s="276" cm="1">
        <f t="array" ref="AM134">IF(AND(AM$2&lt;&gt;0,TblTech[[#This Row],[Hour]:[Hour]]&gt;=AM$2),1,0)</f>
        <v>0</v>
      </c>
      <c r="AN134" s="276" cm="1">
        <f t="array" ref="AN134">IF(AND(AN$2&lt;&gt;0,TblTech[[#This Row],[Hour]:[Hour]]&gt;=AN$2),1,0)</f>
        <v>0</v>
      </c>
      <c r="AO134" s="276" cm="1">
        <f t="array" ref="AO134">IF(AND(AO$2&lt;&gt;0,TblTech[[#This Row],[Hour]:[Hour]]&gt;=AO$2),1,0)</f>
        <v>0</v>
      </c>
      <c r="AP134" s="276" cm="1">
        <f t="array" ref="AP134">IF(AND(AP$2&lt;&gt;0,TblTech[[#This Row],[Hour]:[Hour]]&gt;=AP$2),1,0)</f>
        <v>0</v>
      </c>
      <c r="AQ134" s="276" cm="1">
        <f t="array" ref="AQ134">IF(AND(AQ$2&lt;&gt;0,TblTech[[#This Row],[Hour]:[Hour]]&gt;=AQ$2),1,0)</f>
        <v>0</v>
      </c>
      <c r="AR134" s="276" cm="1">
        <f t="array" ref="AR134">IF(AND(AR$2&lt;&gt;0,TblTech[[#This Row],[Hour]:[Hour]]&gt;=AR$2),1,0)</f>
        <v>0</v>
      </c>
      <c r="AS134" s="276" cm="1">
        <f t="array" ref="AS134">IF(AND(AS$2&lt;&gt;0,TblTech[[#This Row],[Hour]:[Hour]]&gt;=AS$2),1,0)</f>
        <v>0</v>
      </c>
      <c r="AT134" s="276" cm="1">
        <f t="array" ref="AT134">IF(AND(AT$2&lt;&gt;0,TblTech[[#This Row],[Hour]:[Hour]]&gt;=AT$2),1,0)</f>
        <v>0</v>
      </c>
      <c r="AU134" s="276" cm="1">
        <f t="array" ref="AU134">IF(AND(AU$2&lt;&gt;0,TblTech[[#This Row],[Hour]:[Hour]]&gt;=AU$2),1,0)</f>
        <v>0</v>
      </c>
      <c r="AV134" s="276" cm="1">
        <f t="array" ref="AV134">IF(AND(AV$2&lt;&gt;0,TblTech[[#This Row],[Hour]:[Hour]]&gt;=AV$2),1,0)</f>
        <v>0</v>
      </c>
      <c r="AW134" s="276" cm="1">
        <f t="array" ref="AW134">IF(AND(AW$2&lt;&gt;0,TblTech[[#This Row],[Hour]:[Hour]]&gt;=AW$2),1,0)</f>
        <v>0</v>
      </c>
      <c r="AX134" s="276" cm="1">
        <f t="array" ref="AX134">IF(AND(AX$2&lt;&gt;0,TblTech[[#This Row],[Hour]:[Hour]]&gt;=AX$2),1,0)</f>
        <v>0</v>
      </c>
      <c r="AY134" s="276" cm="1">
        <f t="array" ref="AY134">IF(AND(AY$2&lt;&gt;0,TblTech[[#This Row],[Hour]:[Hour]]&gt;=AY$2),1,0)</f>
        <v>0</v>
      </c>
      <c r="AZ134" s="276" cm="1">
        <f t="array" ref="AZ134">IF(AND(AZ$2&lt;&gt;0,TblTech[[#This Row],[Hour]:[Hour]]&gt;=AZ$2),1,0)</f>
        <v>0</v>
      </c>
      <c r="BA134" s="276" cm="1">
        <f t="array" ref="BA134">IF(AND(BA$2&lt;&gt;0,TblTech[[#This Row],[Hour]:[Hour]]&gt;=BA$2),1,0)</f>
        <v>0</v>
      </c>
      <c r="BB134" s="276" cm="1">
        <f t="array" ref="BB134">IF(AND(BB$2&lt;&gt;0,TblTech[[#This Row],[Hour]:[Hour]]&gt;=BB$2),1,0)</f>
        <v>0</v>
      </c>
      <c r="BC134" s="276" cm="1">
        <f t="array" ref="BC134">IF(AND(BC$2&lt;&gt;0,TblTech[[#This Row],[Hour]:[Hour]]&gt;=BC$2),1,0)</f>
        <v>0</v>
      </c>
      <c r="BD134" s="276" cm="1">
        <f t="array" ref="BD134">IF(AND(BD$2&lt;&gt;0,TblTech[[#This Row],[Hour]:[Hour]]&gt;=BD$2),1,0)</f>
        <v>0</v>
      </c>
      <c r="BE134" s="276" cm="1">
        <f t="array" ref="BE134">IF(AND(BE$2&lt;&gt;0,TblTech[[#This Row],[Hour]:[Hour]]&gt;=BE$2),1,0)</f>
        <v>0</v>
      </c>
      <c r="BF134" s="276" cm="1">
        <f t="array" ref="BF134">IF(AND(BF$2&lt;&gt;0,TblTech[[#This Row],[Hour]:[Hour]]&gt;=BF$2),1,0)</f>
        <v>0</v>
      </c>
      <c r="BG134" s="276" cm="1">
        <f t="array" ref="BG134">IF(AND(BG$2&lt;&gt;0,TblTech[[#This Row],[Hour]:[Hour]]&gt;=BG$2),1,0)</f>
        <v>0</v>
      </c>
      <c r="BH134" s="276" cm="1">
        <f t="array" ref="BH134">IF(AND(BH$2&lt;&gt;0,TblTech[[#This Row],[Hour]:[Hour]]&gt;=BH$2),1,0)</f>
        <v>0</v>
      </c>
      <c r="BI134" s="276" cm="1">
        <f t="array" ref="BI134">IF(AND(BI$2&lt;&gt;0,TblTech[[#This Row],[Hour]:[Hour]]&gt;=BI$2),1,0)</f>
        <v>0</v>
      </c>
      <c r="BJ134" s="276" cm="1">
        <f t="array" ref="BJ134">IF(AND(BJ$2&lt;&gt;0,TblTech[[#This Row],[Hour]:[Hour]]&gt;=BJ$2),1,0)</f>
        <v>0</v>
      </c>
      <c r="BK134" s="276" cm="1">
        <f t="array" ref="BK134">IF(AND(BK$2&lt;&gt;0,TblTech[[#This Row],[Hour]:[Hour]]&gt;=BK$2),1,0)</f>
        <v>0</v>
      </c>
      <c r="BL134" s="276" cm="1">
        <f t="array" ref="BL134">IF(AND(BL$2&lt;&gt;0,TblTech[[#This Row],[Hour]:[Hour]]&gt;=BL$2),1,0)</f>
        <v>0</v>
      </c>
      <c r="BM134" s="276" cm="1">
        <f t="array" ref="BM134">IF(AND(BM$2&lt;&gt;0,TblTech[[#This Row],[Hour]:[Hour]]&gt;=BM$2),1,0)</f>
        <v>0</v>
      </c>
      <c r="BN134" s="276" cm="1">
        <f t="array" ref="BN134">IF(AND(BN$2&lt;&gt;0,TblTech[[#This Row],[Hour]:[Hour]]&gt;=BN$2),1,0)</f>
        <v>0</v>
      </c>
      <c r="BO134" s="276" cm="1">
        <f t="array" ref="BO134">IF(AND(BO$2&lt;&gt;0,TblTech[[#This Row],[Hour]:[Hour]]&gt;=BO$2),1,0)</f>
        <v>0</v>
      </c>
      <c r="BP134" s="276" cm="1">
        <f t="array" ref="BP134">IF(AND(BP$2&lt;&gt;0,TblTech[[#This Row],[Hour]:[Hour]]&gt;=BP$2),1,0)</f>
        <v>0</v>
      </c>
      <c r="BQ134" s="276" cm="1">
        <f t="array" ref="BQ134">IF(AND(BQ$2&lt;&gt;0,TblTech[[#This Row],[Hour]:[Hour]]&gt;=BQ$2),1,0)</f>
        <v>0</v>
      </c>
      <c r="BR134" s="276" cm="1">
        <f t="array" ref="BR134">IF(AND(BR$2&lt;&gt;0,TblTech[[#This Row],[Hour]:[Hour]]&gt;=BR$2),1,0)</f>
        <v>0</v>
      </c>
      <c r="BS134" s="276" cm="1">
        <f t="array" ref="BS134">IF(AND(BS$2&lt;&gt;0,TblTech[[#This Row],[Hour]:[Hour]]&gt;=BS$2),1,0)</f>
        <v>0</v>
      </c>
      <c r="BT134" s="276" cm="1">
        <f t="array" ref="BT134">IF(AND(BT$2&lt;&gt;0,TblTech[[#This Row],[Hour]:[Hour]]&gt;=BT$2),1,0)</f>
        <v>0</v>
      </c>
      <c r="BU134" s="276" cm="1">
        <f t="array" ref="BU134">IF(AND(BU$2&lt;&gt;0,TblTech[[#This Row],[Hour]:[Hour]]&gt;=BU$2),1,0)</f>
        <v>0</v>
      </c>
      <c r="BV134" s="276" cm="1">
        <f t="array" ref="BV134">IF(AND(BV$2&lt;&gt;0,TblTech[[#This Row],[Hour]:[Hour]]&gt;=BV$2),1,0)</f>
        <v>0</v>
      </c>
      <c r="BW134" s="276" cm="1">
        <f t="array" ref="BW134">IF(AND(BW$2&lt;&gt;0,TblTech[[#This Row],[Hour]:[Hour]]&gt;=BW$2),1,0)</f>
        <v>0</v>
      </c>
      <c r="BX134" s="276" cm="1">
        <f t="array" ref="BX134">IF(AND(BX$2&lt;&gt;0,TblTech[[#This Row],[Hour]:[Hour]]&gt;=BX$2),1,0)</f>
        <v>0</v>
      </c>
      <c r="BY134" s="276" cm="1">
        <f t="array" ref="BY134">IF(AND(BY$2&lt;&gt;0,TblTech[[#This Row],[Hour]:[Hour]]&gt;=BY$2),1,0)</f>
        <v>0</v>
      </c>
      <c r="BZ134" s="276" cm="1">
        <f t="array" ref="BZ134">IF(AND(BZ$2&lt;&gt;0,TblTech[[#This Row],[Hour]:[Hour]]&gt;=BZ$2),1,0)</f>
        <v>0</v>
      </c>
      <c r="CA134" s="377">
        <f>IFERROR(INDEX($H$4:$H$79,MATCH(INDEX(TblTech[[#Headers],[1-1]:[11-1]],1,MATCH(TblTech[[#This Row],[Hour]],$M$2:$BZ$2,0)),$G$4:$G$79,0)),)</f>
        <v>0</v>
      </c>
    </row>
    <row r="135" spans="1:79" x14ac:dyDescent="0.2">
      <c r="A135" s="268">
        <f>TblRezone[[#This Row],[Hour]]</f>
        <v>132</v>
      </c>
      <c r="B135" s="269">
        <f ca="1">TblExplore[[#This Row],[Land-DB]]</f>
        <v>110</v>
      </c>
      <c r="C135" s="270">
        <f ca="1">TblProd[[#This Row],[Techpoints]]</f>
        <v>0</v>
      </c>
      <c r="D135" s="270">
        <f ca="1">TblProd[[#This Row],[Required]]</f>
        <v>3750</v>
      </c>
      <c r="E135" s="279"/>
      <c r="F135" s="280"/>
      <c r="G135" s="273"/>
      <c r="H135" s="274"/>
      <c r="I135" s="274"/>
      <c r="J135" s="274"/>
      <c r="K135" s="93">
        <f ca="1">IF(TblTech[[#This Row],[Sum of tech]]&lt;&gt;OFFSET(TblTech[[#This Row],[Sum of tech]],-1,0),1,0)</f>
        <v>0</v>
      </c>
      <c r="L135" s="275">
        <f>COUNTIF(TblTech[[#This Row],[1-1]:[11-1]],1)</f>
        <v>0</v>
      </c>
      <c r="M135" s="276" cm="1">
        <f t="array" ref="M135">IF(AND(M$2&lt;&gt;0,TblTech[[#This Row],[Hour]:[Hour]]&gt;=M$2),1,0)</f>
        <v>0</v>
      </c>
      <c r="N135" s="276" cm="1">
        <f t="array" ref="N135">IF(AND(N$2&lt;&gt;0,TblTech[[#This Row],[Hour]:[Hour]]&gt;=N$2),1,0)</f>
        <v>0</v>
      </c>
      <c r="O135" s="276" cm="1">
        <f t="array" ref="O135">IF(AND(O$2&lt;&gt;0,TblTech[[#This Row],[Hour]:[Hour]]&gt;=O$2),1,0)</f>
        <v>0</v>
      </c>
      <c r="P135" s="276" cm="1">
        <f t="array" ref="P135">IF(AND(P$2&lt;&gt;0,TblTech[[#This Row],[Hour]:[Hour]]&gt;=P$2),1,0)</f>
        <v>0</v>
      </c>
      <c r="Q135" s="276" cm="1">
        <f t="array" ref="Q135">IF(AND(Q$2&lt;&gt;0,TblTech[[#This Row],[Hour]:[Hour]]&gt;=Q$2),1,0)</f>
        <v>0</v>
      </c>
      <c r="R135" s="276" cm="1">
        <f t="array" ref="R135">IF(AND(R$2&lt;&gt;0,TblTech[[#This Row],[Hour]:[Hour]]&gt;=R$2),1,0)</f>
        <v>0</v>
      </c>
      <c r="S135" s="276" cm="1">
        <f t="array" ref="S135">IF(AND(S$2&lt;&gt;0,TblTech[[#This Row],[Hour]:[Hour]]&gt;=S$2),1,0)</f>
        <v>0</v>
      </c>
      <c r="T135" s="276" cm="1">
        <f t="array" ref="T135">IF(AND(T$2&lt;&gt;0,TblTech[[#This Row],[Hour]:[Hour]]&gt;=T$2),1,0)</f>
        <v>0</v>
      </c>
      <c r="U135" s="276" cm="1">
        <f t="array" ref="U135">IF(AND(U$2&lt;&gt;0,TblTech[[#This Row],[Hour]:[Hour]]&gt;=U$2),1,0)</f>
        <v>0</v>
      </c>
      <c r="V135" s="276" cm="1">
        <f t="array" ref="V135">IF(AND(V$2&lt;&gt;0,TblTech[[#This Row],[Hour]:[Hour]]&gt;=V$2),1,0)</f>
        <v>0</v>
      </c>
      <c r="W135" s="276" cm="1">
        <f t="array" ref="W135">IF(AND(W$2&lt;&gt;0,TblTech[[#This Row],[Hour]:[Hour]]&gt;=W$2),1,0)</f>
        <v>0</v>
      </c>
      <c r="X135" s="276" cm="1">
        <f t="array" ref="X135">IF(AND(X$2&lt;&gt;0,TblTech[[#This Row],[Hour]:[Hour]]&gt;=X$2),1,0)</f>
        <v>0</v>
      </c>
      <c r="Y135" s="276" cm="1">
        <f t="array" ref="Y135">IF(AND(Y$2&lt;&gt;0,TblTech[[#This Row],[Hour]:[Hour]]&gt;=Y$2),1,0)</f>
        <v>0</v>
      </c>
      <c r="Z135" s="276" cm="1">
        <f t="array" ref="Z135">IF(AND(Z$2&lt;&gt;0,TblTech[[#This Row],[Hour]:[Hour]]&gt;=Z$2),1,0)</f>
        <v>0</v>
      </c>
      <c r="AA135" s="276" cm="1">
        <f t="array" ref="AA135">IF(AND(AA$2&lt;&gt;0,TblTech[[#This Row],[Hour]:[Hour]]&gt;=AA$2),1,0)</f>
        <v>0</v>
      </c>
      <c r="AB135" s="276" cm="1">
        <f t="array" ref="AB135">IF(AND(AB$2&lt;&gt;0,TblTech[[#This Row],[Hour]:[Hour]]&gt;=AB$2),1,0)</f>
        <v>0</v>
      </c>
      <c r="AC135" s="276" cm="1">
        <f t="array" ref="AC135">IF(AND(AC$2&lt;&gt;0,TblTech[[#This Row],[Hour]:[Hour]]&gt;=AC$2),1,0)</f>
        <v>0</v>
      </c>
      <c r="AD135" s="276" cm="1">
        <f t="array" ref="AD135">IF(AND(AD$2&lt;&gt;0,TblTech[[#This Row],[Hour]:[Hour]]&gt;=AD$2),1,0)</f>
        <v>0</v>
      </c>
      <c r="AE135" s="276" cm="1">
        <f t="array" ref="AE135">IF(AND(AE$2&lt;&gt;0,TblTech[[#This Row],[Hour]:[Hour]]&gt;=AE$2),1,0)</f>
        <v>0</v>
      </c>
      <c r="AF135" s="276" cm="1">
        <f t="array" ref="AF135">IF(AND(AF$2&lt;&gt;0,TblTech[[#This Row],[Hour]:[Hour]]&gt;=AF$2),1,0)</f>
        <v>0</v>
      </c>
      <c r="AG135" s="276" cm="1">
        <f t="array" ref="AG135">IF(AND(AG$2&lt;&gt;0,TblTech[[#This Row],[Hour]:[Hour]]&gt;=AG$2),1,0)</f>
        <v>0</v>
      </c>
      <c r="AH135" s="276" cm="1">
        <f t="array" ref="AH135">IF(AND(AH$2&lt;&gt;0,TblTech[[#This Row],[Hour]:[Hour]]&gt;=AH$2),1,0)</f>
        <v>0</v>
      </c>
      <c r="AI135" s="276" cm="1">
        <f t="array" ref="AI135">IF(AND(AI$2&lt;&gt;0,TblTech[[#This Row],[Hour]:[Hour]]&gt;=AI$2),1,0)</f>
        <v>0</v>
      </c>
      <c r="AJ135" s="276" cm="1">
        <f t="array" ref="AJ135">IF(AND(AJ$2&lt;&gt;0,TblTech[[#This Row],[Hour]:[Hour]]&gt;=AJ$2),1,0)</f>
        <v>0</v>
      </c>
      <c r="AK135" s="276" cm="1">
        <f t="array" ref="AK135">IF(AND(AK$2&lt;&gt;0,TblTech[[#This Row],[Hour]:[Hour]]&gt;=AK$2),1,0)</f>
        <v>0</v>
      </c>
      <c r="AL135" s="276" cm="1">
        <f t="array" ref="AL135">IF(AND(AL$2&lt;&gt;0,TblTech[[#This Row],[Hour]:[Hour]]&gt;=AL$2),1,0)</f>
        <v>0</v>
      </c>
      <c r="AM135" s="276" cm="1">
        <f t="array" ref="AM135">IF(AND(AM$2&lt;&gt;0,TblTech[[#This Row],[Hour]:[Hour]]&gt;=AM$2),1,0)</f>
        <v>0</v>
      </c>
      <c r="AN135" s="276" cm="1">
        <f t="array" ref="AN135">IF(AND(AN$2&lt;&gt;0,TblTech[[#This Row],[Hour]:[Hour]]&gt;=AN$2),1,0)</f>
        <v>0</v>
      </c>
      <c r="AO135" s="276" cm="1">
        <f t="array" ref="AO135">IF(AND(AO$2&lt;&gt;0,TblTech[[#This Row],[Hour]:[Hour]]&gt;=AO$2),1,0)</f>
        <v>0</v>
      </c>
      <c r="AP135" s="276" cm="1">
        <f t="array" ref="AP135">IF(AND(AP$2&lt;&gt;0,TblTech[[#This Row],[Hour]:[Hour]]&gt;=AP$2),1,0)</f>
        <v>0</v>
      </c>
      <c r="AQ135" s="276" cm="1">
        <f t="array" ref="AQ135">IF(AND(AQ$2&lt;&gt;0,TblTech[[#This Row],[Hour]:[Hour]]&gt;=AQ$2),1,0)</f>
        <v>0</v>
      </c>
      <c r="AR135" s="276" cm="1">
        <f t="array" ref="AR135">IF(AND(AR$2&lt;&gt;0,TblTech[[#This Row],[Hour]:[Hour]]&gt;=AR$2),1,0)</f>
        <v>0</v>
      </c>
      <c r="AS135" s="276" cm="1">
        <f t="array" ref="AS135">IF(AND(AS$2&lt;&gt;0,TblTech[[#This Row],[Hour]:[Hour]]&gt;=AS$2),1,0)</f>
        <v>0</v>
      </c>
      <c r="AT135" s="276" cm="1">
        <f t="array" ref="AT135">IF(AND(AT$2&lt;&gt;0,TblTech[[#This Row],[Hour]:[Hour]]&gt;=AT$2),1,0)</f>
        <v>0</v>
      </c>
      <c r="AU135" s="276" cm="1">
        <f t="array" ref="AU135">IF(AND(AU$2&lt;&gt;0,TblTech[[#This Row],[Hour]:[Hour]]&gt;=AU$2),1,0)</f>
        <v>0</v>
      </c>
      <c r="AV135" s="276" cm="1">
        <f t="array" ref="AV135">IF(AND(AV$2&lt;&gt;0,TblTech[[#This Row],[Hour]:[Hour]]&gt;=AV$2),1,0)</f>
        <v>0</v>
      </c>
      <c r="AW135" s="276" cm="1">
        <f t="array" ref="AW135">IF(AND(AW$2&lt;&gt;0,TblTech[[#This Row],[Hour]:[Hour]]&gt;=AW$2),1,0)</f>
        <v>0</v>
      </c>
      <c r="AX135" s="276" cm="1">
        <f t="array" ref="AX135">IF(AND(AX$2&lt;&gt;0,TblTech[[#This Row],[Hour]:[Hour]]&gt;=AX$2),1,0)</f>
        <v>0</v>
      </c>
      <c r="AY135" s="276" cm="1">
        <f t="array" ref="AY135">IF(AND(AY$2&lt;&gt;0,TblTech[[#This Row],[Hour]:[Hour]]&gt;=AY$2),1,0)</f>
        <v>0</v>
      </c>
      <c r="AZ135" s="276" cm="1">
        <f t="array" ref="AZ135">IF(AND(AZ$2&lt;&gt;0,TblTech[[#This Row],[Hour]:[Hour]]&gt;=AZ$2),1,0)</f>
        <v>0</v>
      </c>
      <c r="BA135" s="276" cm="1">
        <f t="array" ref="BA135">IF(AND(BA$2&lt;&gt;0,TblTech[[#This Row],[Hour]:[Hour]]&gt;=BA$2),1,0)</f>
        <v>0</v>
      </c>
      <c r="BB135" s="276" cm="1">
        <f t="array" ref="BB135">IF(AND(BB$2&lt;&gt;0,TblTech[[#This Row],[Hour]:[Hour]]&gt;=BB$2),1,0)</f>
        <v>0</v>
      </c>
      <c r="BC135" s="276" cm="1">
        <f t="array" ref="BC135">IF(AND(BC$2&lt;&gt;0,TblTech[[#This Row],[Hour]:[Hour]]&gt;=BC$2),1,0)</f>
        <v>0</v>
      </c>
      <c r="BD135" s="276" cm="1">
        <f t="array" ref="BD135">IF(AND(BD$2&lt;&gt;0,TblTech[[#This Row],[Hour]:[Hour]]&gt;=BD$2),1,0)</f>
        <v>0</v>
      </c>
      <c r="BE135" s="276" cm="1">
        <f t="array" ref="BE135">IF(AND(BE$2&lt;&gt;0,TblTech[[#This Row],[Hour]:[Hour]]&gt;=BE$2),1,0)</f>
        <v>0</v>
      </c>
      <c r="BF135" s="276" cm="1">
        <f t="array" ref="BF135">IF(AND(BF$2&lt;&gt;0,TblTech[[#This Row],[Hour]:[Hour]]&gt;=BF$2),1,0)</f>
        <v>0</v>
      </c>
      <c r="BG135" s="276" cm="1">
        <f t="array" ref="BG135">IF(AND(BG$2&lt;&gt;0,TblTech[[#This Row],[Hour]:[Hour]]&gt;=BG$2),1,0)</f>
        <v>0</v>
      </c>
      <c r="BH135" s="276" cm="1">
        <f t="array" ref="BH135">IF(AND(BH$2&lt;&gt;0,TblTech[[#This Row],[Hour]:[Hour]]&gt;=BH$2),1,0)</f>
        <v>0</v>
      </c>
      <c r="BI135" s="276" cm="1">
        <f t="array" ref="BI135">IF(AND(BI$2&lt;&gt;0,TblTech[[#This Row],[Hour]:[Hour]]&gt;=BI$2),1,0)</f>
        <v>0</v>
      </c>
      <c r="BJ135" s="276" cm="1">
        <f t="array" ref="BJ135">IF(AND(BJ$2&lt;&gt;0,TblTech[[#This Row],[Hour]:[Hour]]&gt;=BJ$2),1,0)</f>
        <v>0</v>
      </c>
      <c r="BK135" s="276" cm="1">
        <f t="array" ref="BK135">IF(AND(BK$2&lt;&gt;0,TblTech[[#This Row],[Hour]:[Hour]]&gt;=BK$2),1,0)</f>
        <v>0</v>
      </c>
      <c r="BL135" s="276" cm="1">
        <f t="array" ref="BL135">IF(AND(BL$2&lt;&gt;0,TblTech[[#This Row],[Hour]:[Hour]]&gt;=BL$2),1,0)</f>
        <v>0</v>
      </c>
      <c r="BM135" s="276" cm="1">
        <f t="array" ref="BM135">IF(AND(BM$2&lt;&gt;0,TblTech[[#This Row],[Hour]:[Hour]]&gt;=BM$2),1,0)</f>
        <v>0</v>
      </c>
      <c r="BN135" s="276" cm="1">
        <f t="array" ref="BN135">IF(AND(BN$2&lt;&gt;0,TblTech[[#This Row],[Hour]:[Hour]]&gt;=BN$2),1,0)</f>
        <v>0</v>
      </c>
      <c r="BO135" s="276" cm="1">
        <f t="array" ref="BO135">IF(AND(BO$2&lt;&gt;0,TblTech[[#This Row],[Hour]:[Hour]]&gt;=BO$2),1,0)</f>
        <v>0</v>
      </c>
      <c r="BP135" s="276" cm="1">
        <f t="array" ref="BP135">IF(AND(BP$2&lt;&gt;0,TblTech[[#This Row],[Hour]:[Hour]]&gt;=BP$2),1,0)</f>
        <v>0</v>
      </c>
      <c r="BQ135" s="276" cm="1">
        <f t="array" ref="BQ135">IF(AND(BQ$2&lt;&gt;0,TblTech[[#This Row],[Hour]:[Hour]]&gt;=BQ$2),1,0)</f>
        <v>0</v>
      </c>
      <c r="BR135" s="276" cm="1">
        <f t="array" ref="BR135">IF(AND(BR$2&lt;&gt;0,TblTech[[#This Row],[Hour]:[Hour]]&gt;=BR$2),1,0)</f>
        <v>0</v>
      </c>
      <c r="BS135" s="276" cm="1">
        <f t="array" ref="BS135">IF(AND(BS$2&lt;&gt;0,TblTech[[#This Row],[Hour]:[Hour]]&gt;=BS$2),1,0)</f>
        <v>0</v>
      </c>
      <c r="BT135" s="276" cm="1">
        <f t="array" ref="BT135">IF(AND(BT$2&lt;&gt;0,TblTech[[#This Row],[Hour]:[Hour]]&gt;=BT$2),1,0)</f>
        <v>0</v>
      </c>
      <c r="BU135" s="276" cm="1">
        <f t="array" ref="BU135">IF(AND(BU$2&lt;&gt;0,TblTech[[#This Row],[Hour]:[Hour]]&gt;=BU$2),1,0)</f>
        <v>0</v>
      </c>
      <c r="BV135" s="276" cm="1">
        <f t="array" ref="BV135">IF(AND(BV$2&lt;&gt;0,TblTech[[#This Row],[Hour]:[Hour]]&gt;=BV$2),1,0)</f>
        <v>0</v>
      </c>
      <c r="BW135" s="276" cm="1">
        <f t="array" ref="BW135">IF(AND(BW$2&lt;&gt;0,TblTech[[#This Row],[Hour]:[Hour]]&gt;=BW$2),1,0)</f>
        <v>0</v>
      </c>
      <c r="BX135" s="276" cm="1">
        <f t="array" ref="BX135">IF(AND(BX$2&lt;&gt;0,TblTech[[#This Row],[Hour]:[Hour]]&gt;=BX$2),1,0)</f>
        <v>0</v>
      </c>
      <c r="BY135" s="276" cm="1">
        <f t="array" ref="BY135">IF(AND(BY$2&lt;&gt;0,TblTech[[#This Row],[Hour]:[Hour]]&gt;=BY$2),1,0)</f>
        <v>0</v>
      </c>
      <c r="BZ135" s="276" cm="1">
        <f t="array" ref="BZ135">IF(AND(BZ$2&lt;&gt;0,TblTech[[#This Row],[Hour]:[Hour]]&gt;=BZ$2),1,0)</f>
        <v>0</v>
      </c>
      <c r="CA135" s="377">
        <f>IFERROR(INDEX($H$4:$H$79,MATCH(INDEX(TblTech[[#Headers],[1-1]:[11-1]],1,MATCH(TblTech[[#This Row],[Hour]],$M$2:$BZ$2,0)),$G$4:$G$79,0)),)</f>
        <v>0</v>
      </c>
    </row>
    <row r="136" spans="1:79" x14ac:dyDescent="0.2">
      <c r="A136" s="268">
        <f>TblRezone[[#This Row],[Hour]]</f>
        <v>133</v>
      </c>
      <c r="B136" s="269">
        <f ca="1">TblExplore[[#This Row],[Land-DB]]</f>
        <v>110</v>
      </c>
      <c r="C136" s="270">
        <f ca="1">TblProd[[#This Row],[Techpoints]]</f>
        <v>0</v>
      </c>
      <c r="D136" s="270">
        <f ca="1">TblProd[[#This Row],[Required]]</f>
        <v>3750</v>
      </c>
      <c r="E136" s="279"/>
      <c r="F136" s="280"/>
      <c r="G136" s="273"/>
      <c r="H136" s="274"/>
      <c r="I136" s="274"/>
      <c r="J136" s="274"/>
      <c r="K136" s="93">
        <f ca="1">IF(TblTech[[#This Row],[Sum of tech]]&lt;&gt;OFFSET(TblTech[[#This Row],[Sum of tech]],-1,0),1,0)</f>
        <v>0</v>
      </c>
      <c r="L136" s="275">
        <f>COUNTIF(TblTech[[#This Row],[1-1]:[11-1]],1)</f>
        <v>0</v>
      </c>
      <c r="M136" s="276" cm="1">
        <f t="array" ref="M136">IF(AND(M$2&lt;&gt;0,TblTech[[#This Row],[Hour]:[Hour]]&gt;=M$2),1,0)</f>
        <v>0</v>
      </c>
      <c r="N136" s="276" cm="1">
        <f t="array" ref="N136">IF(AND(N$2&lt;&gt;0,TblTech[[#This Row],[Hour]:[Hour]]&gt;=N$2),1,0)</f>
        <v>0</v>
      </c>
      <c r="O136" s="276" cm="1">
        <f t="array" ref="O136">IF(AND(O$2&lt;&gt;0,TblTech[[#This Row],[Hour]:[Hour]]&gt;=O$2),1,0)</f>
        <v>0</v>
      </c>
      <c r="P136" s="276" cm="1">
        <f t="array" ref="P136">IF(AND(P$2&lt;&gt;0,TblTech[[#This Row],[Hour]:[Hour]]&gt;=P$2),1,0)</f>
        <v>0</v>
      </c>
      <c r="Q136" s="276" cm="1">
        <f t="array" ref="Q136">IF(AND(Q$2&lt;&gt;0,TblTech[[#This Row],[Hour]:[Hour]]&gt;=Q$2),1,0)</f>
        <v>0</v>
      </c>
      <c r="R136" s="276" cm="1">
        <f t="array" ref="R136">IF(AND(R$2&lt;&gt;0,TblTech[[#This Row],[Hour]:[Hour]]&gt;=R$2),1,0)</f>
        <v>0</v>
      </c>
      <c r="S136" s="276" cm="1">
        <f t="array" ref="S136">IF(AND(S$2&lt;&gt;0,TblTech[[#This Row],[Hour]:[Hour]]&gt;=S$2),1,0)</f>
        <v>0</v>
      </c>
      <c r="T136" s="276" cm="1">
        <f t="array" ref="T136">IF(AND(T$2&lt;&gt;0,TblTech[[#This Row],[Hour]:[Hour]]&gt;=T$2),1,0)</f>
        <v>0</v>
      </c>
      <c r="U136" s="276" cm="1">
        <f t="array" ref="U136">IF(AND(U$2&lt;&gt;0,TblTech[[#This Row],[Hour]:[Hour]]&gt;=U$2),1,0)</f>
        <v>0</v>
      </c>
      <c r="V136" s="276" cm="1">
        <f t="array" ref="V136">IF(AND(V$2&lt;&gt;0,TblTech[[#This Row],[Hour]:[Hour]]&gt;=V$2),1,0)</f>
        <v>0</v>
      </c>
      <c r="W136" s="276" cm="1">
        <f t="array" ref="W136">IF(AND(W$2&lt;&gt;0,TblTech[[#This Row],[Hour]:[Hour]]&gt;=W$2),1,0)</f>
        <v>0</v>
      </c>
      <c r="X136" s="276" cm="1">
        <f t="array" ref="X136">IF(AND(X$2&lt;&gt;0,TblTech[[#This Row],[Hour]:[Hour]]&gt;=X$2),1,0)</f>
        <v>0</v>
      </c>
      <c r="Y136" s="276" cm="1">
        <f t="array" ref="Y136">IF(AND(Y$2&lt;&gt;0,TblTech[[#This Row],[Hour]:[Hour]]&gt;=Y$2),1,0)</f>
        <v>0</v>
      </c>
      <c r="Z136" s="276" cm="1">
        <f t="array" ref="Z136">IF(AND(Z$2&lt;&gt;0,TblTech[[#This Row],[Hour]:[Hour]]&gt;=Z$2),1,0)</f>
        <v>0</v>
      </c>
      <c r="AA136" s="276" cm="1">
        <f t="array" ref="AA136">IF(AND(AA$2&lt;&gt;0,TblTech[[#This Row],[Hour]:[Hour]]&gt;=AA$2),1,0)</f>
        <v>0</v>
      </c>
      <c r="AB136" s="276" cm="1">
        <f t="array" ref="AB136">IF(AND(AB$2&lt;&gt;0,TblTech[[#This Row],[Hour]:[Hour]]&gt;=AB$2),1,0)</f>
        <v>0</v>
      </c>
      <c r="AC136" s="276" cm="1">
        <f t="array" ref="AC136">IF(AND(AC$2&lt;&gt;0,TblTech[[#This Row],[Hour]:[Hour]]&gt;=AC$2),1,0)</f>
        <v>0</v>
      </c>
      <c r="AD136" s="276" cm="1">
        <f t="array" ref="AD136">IF(AND(AD$2&lt;&gt;0,TblTech[[#This Row],[Hour]:[Hour]]&gt;=AD$2),1,0)</f>
        <v>0</v>
      </c>
      <c r="AE136" s="276" cm="1">
        <f t="array" ref="AE136">IF(AND(AE$2&lt;&gt;0,TblTech[[#This Row],[Hour]:[Hour]]&gt;=AE$2),1,0)</f>
        <v>0</v>
      </c>
      <c r="AF136" s="276" cm="1">
        <f t="array" ref="AF136">IF(AND(AF$2&lt;&gt;0,TblTech[[#This Row],[Hour]:[Hour]]&gt;=AF$2),1,0)</f>
        <v>0</v>
      </c>
      <c r="AG136" s="276" cm="1">
        <f t="array" ref="AG136">IF(AND(AG$2&lt;&gt;0,TblTech[[#This Row],[Hour]:[Hour]]&gt;=AG$2),1,0)</f>
        <v>0</v>
      </c>
      <c r="AH136" s="276" cm="1">
        <f t="array" ref="AH136">IF(AND(AH$2&lt;&gt;0,TblTech[[#This Row],[Hour]:[Hour]]&gt;=AH$2),1,0)</f>
        <v>0</v>
      </c>
      <c r="AI136" s="276" cm="1">
        <f t="array" ref="AI136">IF(AND(AI$2&lt;&gt;0,TblTech[[#This Row],[Hour]:[Hour]]&gt;=AI$2),1,0)</f>
        <v>0</v>
      </c>
      <c r="AJ136" s="276" cm="1">
        <f t="array" ref="AJ136">IF(AND(AJ$2&lt;&gt;0,TblTech[[#This Row],[Hour]:[Hour]]&gt;=AJ$2),1,0)</f>
        <v>0</v>
      </c>
      <c r="AK136" s="276" cm="1">
        <f t="array" ref="AK136">IF(AND(AK$2&lt;&gt;0,TblTech[[#This Row],[Hour]:[Hour]]&gt;=AK$2),1,0)</f>
        <v>0</v>
      </c>
      <c r="AL136" s="276" cm="1">
        <f t="array" ref="AL136">IF(AND(AL$2&lt;&gt;0,TblTech[[#This Row],[Hour]:[Hour]]&gt;=AL$2),1,0)</f>
        <v>0</v>
      </c>
      <c r="AM136" s="276" cm="1">
        <f t="array" ref="AM136">IF(AND(AM$2&lt;&gt;0,TblTech[[#This Row],[Hour]:[Hour]]&gt;=AM$2),1,0)</f>
        <v>0</v>
      </c>
      <c r="AN136" s="276" cm="1">
        <f t="array" ref="AN136">IF(AND(AN$2&lt;&gt;0,TblTech[[#This Row],[Hour]:[Hour]]&gt;=AN$2),1,0)</f>
        <v>0</v>
      </c>
      <c r="AO136" s="276" cm="1">
        <f t="array" ref="AO136">IF(AND(AO$2&lt;&gt;0,TblTech[[#This Row],[Hour]:[Hour]]&gt;=AO$2),1,0)</f>
        <v>0</v>
      </c>
      <c r="AP136" s="276" cm="1">
        <f t="array" ref="AP136">IF(AND(AP$2&lt;&gt;0,TblTech[[#This Row],[Hour]:[Hour]]&gt;=AP$2),1,0)</f>
        <v>0</v>
      </c>
      <c r="AQ136" s="276" cm="1">
        <f t="array" ref="AQ136">IF(AND(AQ$2&lt;&gt;0,TblTech[[#This Row],[Hour]:[Hour]]&gt;=AQ$2),1,0)</f>
        <v>0</v>
      </c>
      <c r="AR136" s="276" cm="1">
        <f t="array" ref="AR136">IF(AND(AR$2&lt;&gt;0,TblTech[[#This Row],[Hour]:[Hour]]&gt;=AR$2),1,0)</f>
        <v>0</v>
      </c>
      <c r="AS136" s="276" cm="1">
        <f t="array" ref="AS136">IF(AND(AS$2&lt;&gt;0,TblTech[[#This Row],[Hour]:[Hour]]&gt;=AS$2),1,0)</f>
        <v>0</v>
      </c>
      <c r="AT136" s="276" cm="1">
        <f t="array" ref="AT136">IF(AND(AT$2&lt;&gt;0,TblTech[[#This Row],[Hour]:[Hour]]&gt;=AT$2),1,0)</f>
        <v>0</v>
      </c>
      <c r="AU136" s="276" cm="1">
        <f t="array" ref="AU136">IF(AND(AU$2&lt;&gt;0,TblTech[[#This Row],[Hour]:[Hour]]&gt;=AU$2),1,0)</f>
        <v>0</v>
      </c>
      <c r="AV136" s="276" cm="1">
        <f t="array" ref="AV136">IF(AND(AV$2&lt;&gt;0,TblTech[[#This Row],[Hour]:[Hour]]&gt;=AV$2),1,0)</f>
        <v>0</v>
      </c>
      <c r="AW136" s="276" cm="1">
        <f t="array" ref="AW136">IF(AND(AW$2&lt;&gt;0,TblTech[[#This Row],[Hour]:[Hour]]&gt;=AW$2),1,0)</f>
        <v>0</v>
      </c>
      <c r="AX136" s="276" cm="1">
        <f t="array" ref="AX136">IF(AND(AX$2&lt;&gt;0,TblTech[[#This Row],[Hour]:[Hour]]&gt;=AX$2),1,0)</f>
        <v>0</v>
      </c>
      <c r="AY136" s="276" cm="1">
        <f t="array" ref="AY136">IF(AND(AY$2&lt;&gt;0,TblTech[[#This Row],[Hour]:[Hour]]&gt;=AY$2),1,0)</f>
        <v>0</v>
      </c>
      <c r="AZ136" s="276" cm="1">
        <f t="array" ref="AZ136">IF(AND(AZ$2&lt;&gt;0,TblTech[[#This Row],[Hour]:[Hour]]&gt;=AZ$2),1,0)</f>
        <v>0</v>
      </c>
      <c r="BA136" s="276" cm="1">
        <f t="array" ref="BA136">IF(AND(BA$2&lt;&gt;0,TblTech[[#This Row],[Hour]:[Hour]]&gt;=BA$2),1,0)</f>
        <v>0</v>
      </c>
      <c r="BB136" s="276" cm="1">
        <f t="array" ref="BB136">IF(AND(BB$2&lt;&gt;0,TblTech[[#This Row],[Hour]:[Hour]]&gt;=BB$2),1,0)</f>
        <v>0</v>
      </c>
      <c r="BC136" s="276" cm="1">
        <f t="array" ref="BC136">IF(AND(BC$2&lt;&gt;0,TblTech[[#This Row],[Hour]:[Hour]]&gt;=BC$2),1,0)</f>
        <v>0</v>
      </c>
      <c r="BD136" s="276" cm="1">
        <f t="array" ref="BD136">IF(AND(BD$2&lt;&gt;0,TblTech[[#This Row],[Hour]:[Hour]]&gt;=BD$2),1,0)</f>
        <v>0</v>
      </c>
      <c r="BE136" s="276" cm="1">
        <f t="array" ref="BE136">IF(AND(BE$2&lt;&gt;0,TblTech[[#This Row],[Hour]:[Hour]]&gt;=BE$2),1,0)</f>
        <v>0</v>
      </c>
      <c r="BF136" s="276" cm="1">
        <f t="array" ref="BF136">IF(AND(BF$2&lt;&gt;0,TblTech[[#This Row],[Hour]:[Hour]]&gt;=BF$2),1,0)</f>
        <v>0</v>
      </c>
      <c r="BG136" s="276" cm="1">
        <f t="array" ref="BG136">IF(AND(BG$2&lt;&gt;0,TblTech[[#This Row],[Hour]:[Hour]]&gt;=BG$2),1,0)</f>
        <v>0</v>
      </c>
      <c r="BH136" s="276" cm="1">
        <f t="array" ref="BH136">IF(AND(BH$2&lt;&gt;0,TblTech[[#This Row],[Hour]:[Hour]]&gt;=BH$2),1,0)</f>
        <v>0</v>
      </c>
      <c r="BI136" s="276" cm="1">
        <f t="array" ref="BI136">IF(AND(BI$2&lt;&gt;0,TblTech[[#This Row],[Hour]:[Hour]]&gt;=BI$2),1,0)</f>
        <v>0</v>
      </c>
      <c r="BJ136" s="276" cm="1">
        <f t="array" ref="BJ136">IF(AND(BJ$2&lt;&gt;0,TblTech[[#This Row],[Hour]:[Hour]]&gt;=BJ$2),1,0)</f>
        <v>0</v>
      </c>
      <c r="BK136" s="276" cm="1">
        <f t="array" ref="BK136">IF(AND(BK$2&lt;&gt;0,TblTech[[#This Row],[Hour]:[Hour]]&gt;=BK$2),1,0)</f>
        <v>0</v>
      </c>
      <c r="BL136" s="276" cm="1">
        <f t="array" ref="BL136">IF(AND(BL$2&lt;&gt;0,TblTech[[#This Row],[Hour]:[Hour]]&gt;=BL$2),1,0)</f>
        <v>0</v>
      </c>
      <c r="BM136" s="276" cm="1">
        <f t="array" ref="BM136">IF(AND(BM$2&lt;&gt;0,TblTech[[#This Row],[Hour]:[Hour]]&gt;=BM$2),1,0)</f>
        <v>0</v>
      </c>
      <c r="BN136" s="276" cm="1">
        <f t="array" ref="BN136">IF(AND(BN$2&lt;&gt;0,TblTech[[#This Row],[Hour]:[Hour]]&gt;=BN$2),1,0)</f>
        <v>0</v>
      </c>
      <c r="BO136" s="276" cm="1">
        <f t="array" ref="BO136">IF(AND(BO$2&lt;&gt;0,TblTech[[#This Row],[Hour]:[Hour]]&gt;=BO$2),1,0)</f>
        <v>0</v>
      </c>
      <c r="BP136" s="276" cm="1">
        <f t="array" ref="BP136">IF(AND(BP$2&lt;&gt;0,TblTech[[#This Row],[Hour]:[Hour]]&gt;=BP$2),1,0)</f>
        <v>0</v>
      </c>
      <c r="BQ136" s="276" cm="1">
        <f t="array" ref="BQ136">IF(AND(BQ$2&lt;&gt;0,TblTech[[#This Row],[Hour]:[Hour]]&gt;=BQ$2),1,0)</f>
        <v>0</v>
      </c>
      <c r="BR136" s="276" cm="1">
        <f t="array" ref="BR136">IF(AND(BR$2&lt;&gt;0,TblTech[[#This Row],[Hour]:[Hour]]&gt;=BR$2),1,0)</f>
        <v>0</v>
      </c>
      <c r="BS136" s="276" cm="1">
        <f t="array" ref="BS136">IF(AND(BS$2&lt;&gt;0,TblTech[[#This Row],[Hour]:[Hour]]&gt;=BS$2),1,0)</f>
        <v>0</v>
      </c>
      <c r="BT136" s="276" cm="1">
        <f t="array" ref="BT136">IF(AND(BT$2&lt;&gt;0,TblTech[[#This Row],[Hour]:[Hour]]&gt;=BT$2),1,0)</f>
        <v>0</v>
      </c>
      <c r="BU136" s="276" cm="1">
        <f t="array" ref="BU136">IF(AND(BU$2&lt;&gt;0,TblTech[[#This Row],[Hour]:[Hour]]&gt;=BU$2),1,0)</f>
        <v>0</v>
      </c>
      <c r="BV136" s="276" cm="1">
        <f t="array" ref="BV136">IF(AND(BV$2&lt;&gt;0,TblTech[[#This Row],[Hour]:[Hour]]&gt;=BV$2),1,0)</f>
        <v>0</v>
      </c>
      <c r="BW136" s="276" cm="1">
        <f t="array" ref="BW136">IF(AND(BW$2&lt;&gt;0,TblTech[[#This Row],[Hour]:[Hour]]&gt;=BW$2),1,0)</f>
        <v>0</v>
      </c>
      <c r="BX136" s="276" cm="1">
        <f t="array" ref="BX136">IF(AND(BX$2&lt;&gt;0,TblTech[[#This Row],[Hour]:[Hour]]&gt;=BX$2),1,0)</f>
        <v>0</v>
      </c>
      <c r="BY136" s="276" cm="1">
        <f t="array" ref="BY136">IF(AND(BY$2&lt;&gt;0,TblTech[[#This Row],[Hour]:[Hour]]&gt;=BY$2),1,0)</f>
        <v>0</v>
      </c>
      <c r="BZ136" s="276" cm="1">
        <f t="array" ref="BZ136">IF(AND(BZ$2&lt;&gt;0,TblTech[[#This Row],[Hour]:[Hour]]&gt;=BZ$2),1,0)</f>
        <v>0</v>
      </c>
      <c r="CA136" s="377">
        <f>IFERROR(INDEX($H$4:$H$79,MATCH(INDEX(TblTech[[#Headers],[1-1]:[11-1]],1,MATCH(TblTech[[#This Row],[Hour]],$M$2:$BZ$2,0)),$G$4:$G$79,0)),)</f>
        <v>0</v>
      </c>
    </row>
    <row r="1269" spans="13:39" x14ac:dyDescent="0.2">
      <c r="M1269" s="45" t="e">
        <f>MAX(M89,#REF!)</f>
        <v>#REF!</v>
      </c>
      <c r="N1269" s="45" t="e">
        <f>MAX(N89,#REF!)</f>
        <v>#REF!</v>
      </c>
      <c r="O1269" s="45" t="e">
        <f>MAX(O89,#REF!)</f>
        <v>#REF!</v>
      </c>
      <c r="P1269" s="45" t="e">
        <f>MAX(P89,#REF!)</f>
        <v>#REF!</v>
      </c>
      <c r="Q1269" s="45" t="e">
        <f>MAX(Q89,#REF!)</f>
        <v>#REF!</v>
      </c>
      <c r="R1269" s="45" t="e">
        <f>MAX(R89,#REF!)</f>
        <v>#REF!</v>
      </c>
      <c r="S1269" s="45" t="e">
        <f>MAX(S89,#REF!)</f>
        <v>#REF!</v>
      </c>
      <c r="T1269" s="45" t="e">
        <f>MAX(T89,#REF!)</f>
        <v>#REF!</v>
      </c>
      <c r="U1269" s="45" t="e">
        <f>MAX(U89,#REF!)</f>
        <v>#REF!</v>
      </c>
      <c r="V1269" s="45" t="e">
        <f>MAX(V89,#REF!)</f>
        <v>#REF!</v>
      </c>
      <c r="W1269" s="45" t="e">
        <f>MAX(W89,#REF!)</f>
        <v>#REF!</v>
      </c>
      <c r="X1269" s="45" t="e">
        <f>MAX(X89,#REF!)</f>
        <v>#REF!</v>
      </c>
      <c r="Y1269" s="45" t="e">
        <f>MAX(Y89,#REF!)</f>
        <v>#REF!</v>
      </c>
      <c r="Z1269" s="45" t="e">
        <f>MAX(Z89,#REF!)</f>
        <v>#REF!</v>
      </c>
      <c r="AA1269" s="45" t="e">
        <f>MAX(AA89,#REF!)</f>
        <v>#REF!</v>
      </c>
      <c r="AB1269" s="45" t="e">
        <f>MAX(AB89,#REF!)</f>
        <v>#REF!</v>
      </c>
      <c r="AC1269" s="45" t="e">
        <f>MAX(AC89,#REF!)</f>
        <v>#REF!</v>
      </c>
      <c r="AD1269" s="45" t="e">
        <f>MAX(AD89,#REF!)</f>
        <v>#REF!</v>
      </c>
      <c r="AE1269" s="45" t="e">
        <f>MAX(AE89,#REF!)</f>
        <v>#REF!</v>
      </c>
      <c r="AF1269" s="45" t="e">
        <f>MAX(AF89,#REF!)</f>
        <v>#REF!</v>
      </c>
      <c r="AG1269" s="45" t="e">
        <f>MAX(AG89,#REF!)</f>
        <v>#REF!</v>
      </c>
      <c r="AH1269" s="45" t="e">
        <f>MAX(AH89,#REF!)</f>
        <v>#REF!</v>
      </c>
      <c r="AI1269" s="45" t="e">
        <f>MAX(AI89,#REF!)</f>
        <v>#REF!</v>
      </c>
      <c r="AJ1269" s="45" t="e">
        <f>MAX(AJ89,#REF!)</f>
        <v>#REF!</v>
      </c>
      <c r="AK1269" s="45" t="e">
        <f>MAX(AK89,#REF!)</f>
        <v>#REF!</v>
      </c>
      <c r="AL1269" s="45" t="e">
        <f>MAX(AL89,#REF!)</f>
        <v>#REF!</v>
      </c>
      <c r="AM1269" s="45" t="e">
        <f>MAX(AM89,#REF!)</f>
        <v>#REF!</v>
      </c>
    </row>
    <row r="1270" spans="13:39" x14ac:dyDescent="0.2">
      <c r="M1270" s="45" t="e">
        <f>MAX(M1269,#REF!)</f>
        <v>#REF!</v>
      </c>
      <c r="N1270" s="45" t="e">
        <f>MAX(N1269,#REF!)</f>
        <v>#REF!</v>
      </c>
      <c r="O1270" s="45" t="e">
        <f>MAX(O1269,#REF!)</f>
        <v>#REF!</v>
      </c>
      <c r="P1270" s="45" t="e">
        <f>MAX(P1269,#REF!)</f>
        <v>#REF!</v>
      </c>
      <c r="Q1270" s="45" t="e">
        <f>MAX(Q1269,#REF!)</f>
        <v>#REF!</v>
      </c>
      <c r="R1270" s="45" t="e">
        <f>MAX(R1269,#REF!)</f>
        <v>#REF!</v>
      </c>
      <c r="S1270" s="45" t="e">
        <f>MAX(S1269,#REF!)</f>
        <v>#REF!</v>
      </c>
      <c r="T1270" s="45" t="e">
        <f>MAX(T1269,#REF!)</f>
        <v>#REF!</v>
      </c>
      <c r="U1270" s="45" t="e">
        <f>MAX(U1269,#REF!)</f>
        <v>#REF!</v>
      </c>
      <c r="V1270" s="45" t="e">
        <f>MAX(V1269,#REF!)</f>
        <v>#REF!</v>
      </c>
      <c r="W1270" s="45" t="e">
        <f>MAX(W1269,#REF!)</f>
        <v>#REF!</v>
      </c>
      <c r="X1270" s="45" t="e">
        <f>MAX(X1269,#REF!)</f>
        <v>#REF!</v>
      </c>
      <c r="Y1270" s="45" t="e">
        <f>MAX(Y1269,#REF!)</f>
        <v>#REF!</v>
      </c>
      <c r="Z1270" s="45" t="e">
        <f>MAX(Z1269,#REF!)</f>
        <v>#REF!</v>
      </c>
      <c r="AA1270" s="45" t="e">
        <f>MAX(AA1269,#REF!)</f>
        <v>#REF!</v>
      </c>
      <c r="AB1270" s="45" t="e">
        <f>MAX(AB1269,#REF!)</f>
        <v>#REF!</v>
      </c>
      <c r="AC1270" s="45" t="e">
        <f>MAX(AC1269,#REF!)</f>
        <v>#REF!</v>
      </c>
      <c r="AD1270" s="45" t="e">
        <f>MAX(AD1269,#REF!)</f>
        <v>#REF!</v>
      </c>
      <c r="AE1270" s="45" t="e">
        <f>MAX(AE1269,#REF!)</f>
        <v>#REF!</v>
      </c>
      <c r="AF1270" s="45" t="e">
        <f>MAX(AF1269,#REF!)</f>
        <v>#REF!</v>
      </c>
      <c r="AG1270" s="45" t="e">
        <f>MAX(AG1269,#REF!)</f>
        <v>#REF!</v>
      </c>
      <c r="AH1270" s="45" t="e">
        <f>MAX(AH1269,#REF!)</f>
        <v>#REF!</v>
      </c>
      <c r="AI1270" s="45" t="e">
        <f>MAX(AI1269,#REF!)</f>
        <v>#REF!</v>
      </c>
      <c r="AJ1270" s="45" t="e">
        <f>MAX(AJ1269,#REF!)</f>
        <v>#REF!</v>
      </c>
      <c r="AK1270" s="45" t="e">
        <f>MAX(AK1269,#REF!)</f>
        <v>#REF!</v>
      </c>
      <c r="AL1270" s="45" t="e">
        <f>MAX(AL1269,#REF!)</f>
        <v>#REF!</v>
      </c>
      <c r="AM1270" s="45" t="e">
        <f>MAX(AM1269,#REF!)</f>
        <v>#REF!</v>
      </c>
    </row>
  </sheetData>
  <dataConsolidate/>
  <phoneticPr fontId="0" type="noConversion"/>
  <pageMargins left="0.75" right="0.75" top="1" bottom="1" header="0.5" footer="0.5"/>
  <pageSetup paperSize="9" orientation="portrait" horizontalDpi="300" verticalDpi="300" r:id="rId1"/>
  <headerFooter alignWithMargins="0"/>
  <ignoredErrors>
    <ignoredError sqref="CA4:CA136" calculatedColumn="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3" id="{59CF33F2-C6EE-427C-AA37-A0171058714D}">
            <x14:iconSet iconSet="3Symbols2" showValue="0" custom="1">
              <x14:cfvo type="percent">
                <xm:f>0</xm:f>
              </x14:cfvo>
              <x14:cfvo type="num">
                <xm:f>0</xm:f>
              </x14:cfvo>
              <x14:cfvo type="num">
                <xm:f>1</xm:f>
              </x14:cfvo>
              <x14:cfIcon iconSet="NoIcons" iconId="0"/>
              <x14:cfIcon iconSet="NoIcons" iconId="0"/>
              <x14:cfIcon iconSet="3Symbols2" iconId="2"/>
            </x14:iconSet>
          </x14:cfRule>
          <xm:sqref>M4:BZ136</xm:sqref>
        </x14:conditionalFormatting>
        <x14:conditionalFormatting xmlns:xm="http://schemas.microsoft.com/office/excel/2006/main">
          <x14:cfRule type="iconSet" priority="1" id="{55BCE876-1F8A-4223-B3F9-DF7F3A46DA95}">
            <x14:iconSet iconSet="3Symbols2" custom="1">
              <x14:cfvo type="percent">
                <xm:f>0</xm:f>
              </x14:cfvo>
              <x14:cfvo type="num">
                <xm:f>0</xm:f>
              </x14:cfvo>
              <x14:cfvo type="num">
                <xm:f>1</xm:f>
              </x14:cfvo>
              <x14:cfIcon iconSet="NoIcons" iconId="0"/>
              <x14:cfIcon iconSet="NoIcons" iconId="0"/>
              <x14:cfIcon iconSet="3Symbols2" iconId="2"/>
            </x14:iconSet>
          </x14:cfRule>
          <xm:sqref>F4:F136</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theme="8" tint="-0.249977111117893"/>
  </sheetPr>
  <dimension ref="A1:CF1270"/>
  <sheetViews>
    <sheetView zoomScale="85" zoomScaleNormal="85" workbookViewId="0">
      <pane ySplit="3" topLeftCell="A4" activePane="bottomLeft" state="frozenSplit"/>
      <selection activeCell="A3" sqref="A3"/>
      <selection pane="bottomLeft" activeCell="P4" sqref="P4"/>
    </sheetView>
  </sheetViews>
  <sheetFormatPr defaultColWidth="9.140625" defaultRowHeight="12.75" x14ac:dyDescent="0.2"/>
  <cols>
    <col min="1" max="1" width="9.28515625" style="45" customWidth="1"/>
    <col min="2" max="2" width="3.28515625" style="45" customWidth="1"/>
    <col min="3" max="3" width="11.28515625" style="45" bestFit="1" customWidth="1"/>
    <col min="4" max="4" width="10.5703125" style="45" customWidth="1"/>
    <col min="5" max="5" width="7.7109375" style="45" bestFit="1" customWidth="1"/>
    <col min="6" max="6" width="8.7109375" style="45" customWidth="1"/>
    <col min="7" max="7" width="2.85546875" style="45" customWidth="1"/>
    <col min="8" max="8" width="10.42578125" style="45" customWidth="1"/>
    <col min="9" max="9" width="12.28515625" style="45" customWidth="1"/>
    <col min="10" max="10" width="13" style="45" customWidth="1"/>
    <col min="11" max="11" width="7.5703125" style="57" customWidth="1"/>
    <col min="12" max="12" width="7.85546875" style="45" customWidth="1"/>
    <col min="13" max="13" width="8.42578125" style="45" customWidth="1"/>
    <col min="14" max="14" width="8.7109375" style="45" customWidth="1"/>
    <col min="15" max="23" width="13" style="45" customWidth="1"/>
    <col min="24" max="24" width="3.42578125" style="45" customWidth="1"/>
    <col min="25" max="30" width="11.42578125" style="57" customWidth="1"/>
    <col min="31" max="31" width="3" style="45" customWidth="1"/>
    <col min="32" max="37" width="11.42578125" style="57" customWidth="1"/>
    <col min="38" max="38" width="3" style="45" customWidth="1"/>
    <col min="39" max="42" width="11.42578125" style="57" customWidth="1"/>
    <col min="43" max="43" width="3" style="45" customWidth="1"/>
    <col min="44" max="47" width="11.42578125" style="57" hidden="1" customWidth="1"/>
    <col min="48" max="48" width="3" style="45" hidden="1" customWidth="1"/>
    <col min="49" max="52" width="11.42578125" style="57" hidden="1" customWidth="1"/>
    <col min="53" max="53" width="3" style="45" hidden="1" customWidth="1"/>
    <col min="54" max="57" width="11.42578125" style="57" hidden="1" customWidth="1"/>
    <col min="58" max="58" width="3" style="45" hidden="1" customWidth="1"/>
    <col min="59" max="62" width="11.42578125" style="57" hidden="1" customWidth="1"/>
    <col min="63" max="63" width="3" style="45" hidden="1" customWidth="1"/>
    <col min="64" max="67" width="11.42578125" style="57" hidden="1" customWidth="1"/>
    <col min="68" max="68" width="3" style="45" hidden="1" customWidth="1"/>
    <col min="69" max="72" width="11.42578125" style="57" hidden="1" customWidth="1"/>
    <col min="73" max="73" width="3" style="45" hidden="1" customWidth="1"/>
    <col min="74" max="74" width="12.140625" style="45" hidden="1" customWidth="1"/>
    <col min="75" max="75" width="10.42578125" style="45" hidden="1" customWidth="1"/>
    <col min="76" max="76" width="3" style="45" hidden="1" customWidth="1"/>
    <col min="77" max="77" width="9.85546875" style="45" hidden="1" customWidth="1"/>
    <col min="78" max="78" width="13.5703125" style="45" hidden="1" customWidth="1"/>
    <col min="79" max="79" width="10.7109375" style="45" customWidth="1"/>
    <col min="80" max="80" width="11" style="45" customWidth="1"/>
    <col min="81" max="81" width="10" style="45" customWidth="1"/>
    <col min="82" max="82" width="10.85546875" style="45" bestFit="1" customWidth="1"/>
    <col min="83" max="16384" width="9.140625" style="45"/>
  </cols>
  <sheetData>
    <row r="1" spans="1:84" s="5" customFormat="1" x14ac:dyDescent="0.2">
      <c r="C1" s="5" t="s">
        <v>77</v>
      </c>
      <c r="H1" s="5" t="s">
        <v>280</v>
      </c>
      <c r="K1" s="28"/>
      <c r="O1" s="5" t="s">
        <v>215</v>
      </c>
      <c r="W1" s="5" t="s">
        <v>1000</v>
      </c>
      <c r="Y1" s="28" t="s">
        <v>37</v>
      </c>
      <c r="Z1" s="28"/>
      <c r="AA1" s="28"/>
      <c r="AB1" s="28"/>
      <c r="AC1" s="28"/>
      <c r="AD1" s="28"/>
      <c r="AF1" s="531" t="s">
        <v>209</v>
      </c>
      <c r="AG1" s="531"/>
      <c r="AH1" s="28"/>
      <c r="AI1" s="28"/>
      <c r="AJ1" s="28"/>
      <c r="AK1" s="28"/>
      <c r="AM1" s="531" t="s">
        <v>217</v>
      </c>
      <c r="AN1" s="531"/>
      <c r="AO1" s="28"/>
      <c r="AP1" s="28"/>
      <c r="AR1" s="531" t="s">
        <v>218</v>
      </c>
      <c r="AS1" s="531"/>
      <c r="AT1" s="532"/>
      <c r="AU1" s="28"/>
      <c r="AW1" s="531" t="s">
        <v>219</v>
      </c>
      <c r="AX1" s="531"/>
      <c r="AY1" s="531"/>
      <c r="AZ1" s="28"/>
      <c r="BB1" s="531" t="s">
        <v>220</v>
      </c>
      <c r="BC1" s="531"/>
      <c r="BD1" s="531"/>
      <c r="BE1" s="531"/>
      <c r="BG1" s="531" t="s">
        <v>221</v>
      </c>
      <c r="BH1" s="531"/>
      <c r="BI1" s="531"/>
      <c r="BJ1" s="28"/>
      <c r="BL1" s="531" t="s">
        <v>222</v>
      </c>
      <c r="BM1" s="532"/>
      <c r="BN1" s="532"/>
      <c r="BO1" s="28"/>
      <c r="BQ1" s="531" t="s">
        <v>223</v>
      </c>
      <c r="BR1" s="531"/>
      <c r="BS1" s="531"/>
      <c r="BT1" s="28"/>
      <c r="BV1" s="5" t="s">
        <v>306</v>
      </c>
    </row>
    <row r="2" spans="1:84" s="5" customFormat="1" x14ac:dyDescent="0.2">
      <c r="C2" s="28"/>
      <c r="D2" s="28"/>
      <c r="E2" s="28"/>
      <c r="F2" s="28"/>
      <c r="K2" s="28"/>
      <c r="Y2" s="266" t="s">
        <v>208</v>
      </c>
      <c r="Z2" s="266" t="s">
        <v>210</v>
      </c>
      <c r="AA2" s="266" t="s">
        <v>1107</v>
      </c>
      <c r="AB2" s="266" t="s">
        <v>212</v>
      </c>
      <c r="AC2" s="266" t="s">
        <v>213</v>
      </c>
      <c r="AD2" s="266" t="s">
        <v>526</v>
      </c>
      <c r="AF2" s="266" t="s">
        <v>208</v>
      </c>
      <c r="AG2" s="266" t="s">
        <v>210</v>
      </c>
      <c r="AH2" s="266" t="s">
        <v>1107</v>
      </c>
      <c r="AI2" s="266" t="s">
        <v>212</v>
      </c>
      <c r="AJ2" s="266" t="s">
        <v>213</v>
      </c>
      <c r="AK2" s="266" t="s">
        <v>526</v>
      </c>
      <c r="AM2" s="266" t="s">
        <v>2</v>
      </c>
      <c r="AN2" s="266" t="s">
        <v>7</v>
      </c>
      <c r="AO2" s="266" t="s">
        <v>3</v>
      </c>
      <c r="AP2" s="266" t="s">
        <v>4</v>
      </c>
      <c r="AR2" s="266" t="s">
        <v>2</v>
      </c>
      <c r="AS2" s="266" t="s">
        <v>7</v>
      </c>
      <c r="AT2" s="266" t="s">
        <v>3</v>
      </c>
      <c r="AU2" s="266" t="s">
        <v>4</v>
      </c>
      <c r="AW2" s="266" t="s">
        <v>2</v>
      </c>
      <c r="AX2" s="266" t="s">
        <v>7</v>
      </c>
      <c r="AY2" s="266" t="s">
        <v>3</v>
      </c>
      <c r="AZ2" s="266" t="s">
        <v>4</v>
      </c>
      <c r="BB2" s="266" t="s">
        <v>2</v>
      </c>
      <c r="BC2" s="266" t="s">
        <v>7</v>
      </c>
      <c r="BD2" s="266" t="s">
        <v>3</v>
      </c>
      <c r="BE2" s="266" t="s">
        <v>4</v>
      </c>
      <c r="BG2" s="266" t="s">
        <v>2</v>
      </c>
      <c r="BH2" s="266" t="s">
        <v>7</v>
      </c>
      <c r="BI2" s="266" t="s">
        <v>3</v>
      </c>
      <c r="BJ2" s="266" t="s">
        <v>4</v>
      </c>
      <c r="BL2" s="266" t="s">
        <v>2</v>
      </c>
      <c r="BM2" s="266" t="s">
        <v>7</v>
      </c>
      <c r="BN2" s="266" t="s">
        <v>3</v>
      </c>
      <c r="BO2" s="266" t="s">
        <v>4</v>
      </c>
      <c r="BQ2" s="266" t="s">
        <v>2</v>
      </c>
      <c r="BR2" s="266" t="s">
        <v>7</v>
      </c>
      <c r="BS2" s="266" t="s">
        <v>3</v>
      </c>
      <c r="BT2" s="266" t="s">
        <v>4</v>
      </c>
    </row>
    <row r="3" spans="1:84" s="151" customFormat="1" ht="15" customHeight="1" x14ac:dyDescent="0.2">
      <c r="A3" s="135" t="s">
        <v>1</v>
      </c>
      <c r="B3" s="135" t="s">
        <v>769</v>
      </c>
      <c r="C3" s="135" t="s">
        <v>2</v>
      </c>
      <c r="D3" s="135" t="s">
        <v>7</v>
      </c>
      <c r="E3" s="135" t="s">
        <v>3</v>
      </c>
      <c r="F3" s="135" t="s">
        <v>4</v>
      </c>
      <c r="G3" s="135" t="s">
        <v>770</v>
      </c>
      <c r="H3" s="135" t="s">
        <v>272</v>
      </c>
      <c r="I3" s="135" t="s">
        <v>224</v>
      </c>
      <c r="J3" s="135" t="s">
        <v>23</v>
      </c>
      <c r="K3" s="135" t="s">
        <v>0</v>
      </c>
      <c r="L3" s="135" t="s">
        <v>309</v>
      </c>
      <c r="M3" s="135" t="s">
        <v>305</v>
      </c>
      <c r="N3" s="135" t="s">
        <v>961</v>
      </c>
      <c r="O3" s="135" t="s">
        <v>312</v>
      </c>
      <c r="P3" s="135" t="s">
        <v>216</v>
      </c>
      <c r="Q3" s="135" t="s">
        <v>313</v>
      </c>
      <c r="R3" s="135" t="s">
        <v>962</v>
      </c>
      <c r="S3" s="135" t="s">
        <v>963</v>
      </c>
      <c r="T3" s="135" t="s">
        <v>964</v>
      </c>
      <c r="U3" s="135" t="s">
        <v>965</v>
      </c>
      <c r="V3" s="135" t="s">
        <v>966</v>
      </c>
      <c r="W3" s="135" t="s">
        <v>967</v>
      </c>
      <c r="X3" s="135" t="s">
        <v>771</v>
      </c>
      <c r="Y3" s="135" t="s">
        <v>208</v>
      </c>
      <c r="Z3" s="135" t="s">
        <v>210</v>
      </c>
      <c r="AA3" s="135" t="s">
        <v>1107</v>
      </c>
      <c r="AB3" s="135" t="s">
        <v>212</v>
      </c>
      <c r="AC3" s="135" t="s">
        <v>213</v>
      </c>
      <c r="AD3" s="135" t="s">
        <v>526</v>
      </c>
      <c r="AE3" s="135" t="s">
        <v>784</v>
      </c>
      <c r="AF3" s="135" t="s">
        <v>1030</v>
      </c>
      <c r="AG3" s="135" t="s">
        <v>930</v>
      </c>
      <c r="AH3" s="135" t="s">
        <v>1108</v>
      </c>
      <c r="AI3" s="135" t="s">
        <v>931</v>
      </c>
      <c r="AJ3" s="135" t="s">
        <v>932</v>
      </c>
      <c r="AK3" s="135" t="s">
        <v>1109</v>
      </c>
      <c r="AL3" s="135" t="s">
        <v>785</v>
      </c>
      <c r="AM3" s="243" t="s">
        <v>933</v>
      </c>
      <c r="AN3" s="243" t="s">
        <v>934</v>
      </c>
      <c r="AO3" s="243" t="s">
        <v>935</v>
      </c>
      <c r="AP3" s="243" t="s">
        <v>936</v>
      </c>
      <c r="AQ3" s="243" t="s">
        <v>786</v>
      </c>
      <c r="AR3" s="243" t="s">
        <v>937</v>
      </c>
      <c r="AS3" s="243" t="s">
        <v>938</v>
      </c>
      <c r="AT3" s="243" t="s">
        <v>939</v>
      </c>
      <c r="AU3" s="243" t="s">
        <v>940</v>
      </c>
      <c r="AV3" s="243" t="s">
        <v>860</v>
      </c>
      <c r="AW3" s="243" t="s">
        <v>941</v>
      </c>
      <c r="AX3" s="243" t="s">
        <v>942</v>
      </c>
      <c r="AY3" s="243" t="s">
        <v>943</v>
      </c>
      <c r="AZ3" s="243" t="s">
        <v>944</v>
      </c>
      <c r="BA3" s="243" t="s">
        <v>861</v>
      </c>
      <c r="BB3" s="243" t="s">
        <v>945</v>
      </c>
      <c r="BC3" s="243" t="s">
        <v>946</v>
      </c>
      <c r="BD3" s="243" t="s">
        <v>947</v>
      </c>
      <c r="BE3" s="243" t="s">
        <v>948</v>
      </c>
      <c r="BF3" s="243" t="s">
        <v>1031</v>
      </c>
      <c r="BG3" s="243" t="s">
        <v>949</v>
      </c>
      <c r="BH3" s="243" t="s">
        <v>950</v>
      </c>
      <c r="BI3" s="243" t="s">
        <v>951</v>
      </c>
      <c r="BJ3" s="243" t="s">
        <v>952</v>
      </c>
      <c r="BK3" s="243" t="s">
        <v>1032</v>
      </c>
      <c r="BL3" s="243" t="s">
        <v>953</v>
      </c>
      <c r="BM3" s="243" t="s">
        <v>954</v>
      </c>
      <c r="BN3" s="243" t="s">
        <v>955</v>
      </c>
      <c r="BO3" s="243" t="s">
        <v>956</v>
      </c>
      <c r="BP3" s="243" t="s">
        <v>1033</v>
      </c>
      <c r="BQ3" s="243" t="s">
        <v>957</v>
      </c>
      <c r="BR3" s="243" t="s">
        <v>958</v>
      </c>
      <c r="BS3" s="243" t="s">
        <v>959</v>
      </c>
      <c r="BT3" s="243" t="s">
        <v>960</v>
      </c>
      <c r="BU3" s="135" t="s">
        <v>1034</v>
      </c>
      <c r="BV3" s="282" t="s">
        <v>307</v>
      </c>
      <c r="BW3" s="135" t="s">
        <v>968</v>
      </c>
      <c r="BX3" s="135" t="s">
        <v>1035</v>
      </c>
      <c r="BY3" s="135" t="s">
        <v>969</v>
      </c>
      <c r="BZ3" s="135" t="s">
        <v>308</v>
      </c>
    </row>
    <row r="4" spans="1:84" x14ac:dyDescent="0.2">
      <c r="A4" s="214">
        <f ca="1">TblConstr[[#This Row],[Land]]</f>
        <v>50</v>
      </c>
      <c r="B4" s="142"/>
      <c r="C4" s="94">
        <f ca="1">TblProd[[#This Row],[Platinum]]</f>
        <v>50000</v>
      </c>
      <c r="D4" s="94">
        <f ca="1">TblProd[[#This Row],[Lumber]]</f>
        <v>15000</v>
      </c>
      <c r="E4" s="94">
        <f ca="1">TblProd[[#This Row],[Ore]]</f>
        <v>0</v>
      </c>
      <c r="F4" s="94">
        <f>TblProd[[#This Row],[Gems]]</f>
        <v>0</v>
      </c>
      <c r="G4" s="154"/>
      <c r="H4" s="94">
        <f ca="1">TblMili[[#This Row],[Draftees]]</f>
        <v>150</v>
      </c>
      <c r="I4" s="180">
        <f ca="1">TblPop[[#This Row],[Employment]]</f>
        <v>1</v>
      </c>
      <c r="J4" s="180">
        <f ca="1">TblPop[[#This Row],[Total]]/TblPop[[#This Row],[Net max]]</f>
        <v>0.8049414824447334</v>
      </c>
      <c r="K4" s="283">
        <f>TblRezone[[#This Row],[Hour]]</f>
        <v>1</v>
      </c>
      <c r="L4" s="284">
        <f>TblImps[[#This Row],[Real time]]</f>
        <v>46047</v>
      </c>
      <c r="M4" s="61">
        <f>IF(ISERROR(TblImps[[#This Row],[algorithm]]),0,TblImps[[#This Row],[algorithm]]*1)</f>
        <v>0</v>
      </c>
      <c r="N4" s="94">
        <f ca="1">TblImps[[#This Row],[Land]]</f>
        <v>50</v>
      </c>
      <c r="O4" s="285" t="s">
        <v>4</v>
      </c>
      <c r="P4" s="286"/>
      <c r="Q4" s="285" t="s">
        <v>210</v>
      </c>
      <c r="R4" s="285" t="s">
        <v>7</v>
      </c>
      <c r="S4" s="286"/>
      <c r="T4" s="285" t="s">
        <v>210</v>
      </c>
      <c r="U4" s="285" t="s">
        <v>3</v>
      </c>
      <c r="V4" s="286"/>
      <c r="W4" s="285" t="s">
        <v>210</v>
      </c>
      <c r="X4" s="142"/>
      <c r="Y4" s="287">
        <f ca="1">science_cap*(1-EXP(-TblImps[[#This Row],[Σ Science]]/(science_param*(OFFSET(TblImps[[#This Row],[Land]],1,0)-OFFSET(TblExplore[[#This Row],[Land Bonus]],1,0)*20)+15000)))*(1+(mason_bonus*TblConstr[[#This Row],[Tot Mas]]/TblConstr[[#This Row],[Land (2)]]))</f>
        <v>0</v>
      </c>
      <c r="Z4" s="287">
        <f ca="1">keep_cap*(1-EXP(-TblImps[[#This Row],[Σ Keep]]/(keep_param*(OFFSET(TblImps[[#This Row],[Land]],1,0)-OFFSET(TblExplore[[#This Row],[Land Bonus]],1,0)*20)+15000)))*(1+(mason_bonus*TblConstr[[#This Row],[Tot Mas]]/TblConstr[[#This Row],[Land (2)]]))</f>
        <v>0</v>
      </c>
      <c r="AA4" s="287">
        <f ca="1">harbor_towers_cap*(1-EXP(-TblImps[[#This Row],[Σ Spires]]/(towers_param*(OFFSET(TblImps[[#This Row],[Land]],1,0)-OFFSET(TblExplore[[#This Row],[Land Bonus]],1,0)*20)+15000)))*(1+(mason_bonus*TblConstr[[#This Row],[Tot Mas]]/TblConstr[[#This Row],[Land (2)]]))</f>
        <v>0</v>
      </c>
      <c r="AB4" s="287">
        <f ca="1">walls_forges_cap*(1-EXP(-TblImps[[#This Row],[Σ Forges]]/(walls_forges_param*(OFFSET(TblImps[[#This Row],[Land]],1,0)-OFFSET(TblExplore[[#This Row],[Land Bonus]],1,0)*20)+15000)))*(1+(mason_bonus*TblConstr[[#This Row],[Tot Mas]]/TblConstr[[#This Row],[Land (2)]]))</f>
        <v>0</v>
      </c>
      <c r="AC4" s="287">
        <f ca="1">walls_forges_cap*(1-EXP(-TblImps[[#This Row],[Σ Walls]]/(walls_forges_param*(OFFSET(TblImps[[#This Row],[Land]],1,0)-OFFSET(TblExplore[[#This Row],[Land Bonus]],1,0)*20)+15000)))*(1+(mason_bonus*TblConstr[[#This Row],[Tot Mas]]/TblConstr[[#This Row],[Land (2)]]))</f>
        <v>0</v>
      </c>
      <c r="AD4" s="287">
        <f ca="1">harbor_towers_cap*(1-EXP(-TblImps[[#This Row],[Σ Harbor]]/(harbor_towers_param*(OFFSET(TblImps[[#This Row],[Land]],1,0)-OFFSET(TblExplore[[#This Row],[Land Bonus]],1,0)*20)+15000)))*(1+(mason_bonus*TblConstr[[#This Row],[Tot Mas]]/TblConstr[[#This Row],[Land (2)]]))</f>
        <v>0</v>
      </c>
      <c r="AE4" s="142"/>
      <c r="AF4" s="288">
        <f>(1+Overview!$I$29)*SUM(TblImps[[#This Row],[P2]:[G2]])</f>
        <v>0</v>
      </c>
      <c r="AG4" s="288">
        <f>(1+Overview!$I$29)*SUM(TblImps[[#This Row],[P3]:[G3]])</f>
        <v>0</v>
      </c>
      <c r="AH4" s="288">
        <f>(1+Overview!$I$29 + tech_7_1*TblTech[[#This Row],[7-1]])*SUM(TblImps[[#This Row],[P4]:[G4]])</f>
        <v>0</v>
      </c>
      <c r="AI4" s="288">
        <f>(1+Overview!$I$29)*SUM(TblImps[[#This Row],[P5]:[G5]])</f>
        <v>0</v>
      </c>
      <c r="AJ4" s="288">
        <f>(1+Overview!$I$29)*SUM(TblImps[[#This Row],[P6]:[G6]])</f>
        <v>0</v>
      </c>
      <c r="AK4" s="288">
        <f>(1+Overview!$I$29 + tech_7_1*TblTech[[#This Row],[7-1]])*SUM(TblImps[[#This Row],[P7]:[G7]])</f>
        <v>0</v>
      </c>
      <c r="AL4" s="142"/>
      <c r="AM4" s="57">
        <f>IF(AND(TblImps[[#This Row],[Resource]]=AM$2,TblImps[[#This Row],[Part]]&lt;&gt;""),TblImps[[#This Row],[Amount]]) + IF(AND(TblImps[[#This Row],[Resource 2]]=AM$2,TblImps[[#This Row],[Part 2]]&lt;&gt;""),TblImps[[#This Row],[Amount 2]]) + IF(AND(TblImps[[#This Row],[Resource 3]]=AM$2,TblImps[[#This Row],[Part 3]]&lt;&gt;""),TblImps[[#This Row],[Amount 3]])</f>
        <v>0</v>
      </c>
      <c r="AN4" s="57">
        <f>IF(AND(TblImps[[#This Row],[Resource]]=AN$2,TblImps[[#This Row],[Part]]&lt;&gt;""),TblImps[[#This Row],[Amount]]) + IF(AND(TblImps[[#This Row],[Resource 2]]=AN$2,TblImps[[#This Row],[Part 2]]&lt;&gt;""),TblImps[[#This Row],[Amount 2]]) + IF(AND(TblImps[[#This Row],[Resource 3]]=AN$2,TblImps[[#This Row],[Part 3]]&lt;&gt;""),TblImps[[#This Row],[Amount 3]])</f>
        <v>0</v>
      </c>
      <c r="AO4" s="57">
        <f>IF(AND(TblImps[[#This Row],[Resource]]=AO$2,TblImps[[#This Row],[Part]]&lt;&gt;""),TblImps[[#This Row],[Amount]]) + IF(AND(TblImps[[#This Row],[Resource 2]]=AO$2,TblImps[[#This Row],[Part 2]]&lt;&gt;""),TblImps[[#This Row],[Amount 2]]) + IF(AND(TblImps[[#This Row],[Resource 3]]=AO$2,TblImps[[#This Row],[Part 3]]&lt;&gt;""),TblImps[[#This Row],[Amount 3]])</f>
        <v>0</v>
      </c>
      <c r="AP4" s="57">
        <f>IF(AND(TblImps[[#This Row],[Resource]]=AP$2,TblImps[[#This Row],[Part]]&lt;&gt;""),TblImps[[#This Row],[Amount]]) + IF(AND(TblImps[[#This Row],[Resource 2]]=AP$2,TblImps[[#This Row],[Part 2]]&lt;&gt;""),TblImps[[#This Row],[Amount 2]]) + IF(AND(TblImps[[#This Row],[Resource 3]]=AP$2,TblImps[[#This Row],[Part 3]]&lt;&gt;""),TblImps[[#This Row],[Amount 3]])</f>
        <v>0</v>
      </c>
      <c r="AQ4" s="142"/>
      <c r="AR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 s="142"/>
      <c r="AW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 s="142"/>
      <c r="BB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 s="142"/>
      <c r="BG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 s="142"/>
      <c r="BL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 s="142"/>
      <c r="BQ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 s="142"/>
      <c r="BV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 s="61">
        <f>TblImps[[#This Row],[Login]]</f>
        <v>0</v>
      </c>
      <c r="BX4" s="137"/>
      <c r="BY4" s="289">
        <f>Overview!E15</f>
        <v>46047</v>
      </c>
      <c r="BZ4" s="290">
        <f>Overview!B15</f>
        <v>46047</v>
      </c>
      <c r="CA4" s="57"/>
      <c r="CB4" s="291"/>
      <c r="CC4" s="292"/>
    </row>
    <row r="5" spans="1:84" hidden="1" x14ac:dyDescent="0.2">
      <c r="A5" s="214">
        <f ca="1">TblConstr[[#This Row],[Land]]</f>
        <v>50</v>
      </c>
      <c r="B5" s="142"/>
      <c r="C5" s="94">
        <f ca="1">TblProd[[#This Row],[Platinum]]</f>
        <v>51266</v>
      </c>
      <c r="D5" s="94">
        <f ca="1">TblProd[[#This Row],[Lumber]]</f>
        <v>15850</v>
      </c>
      <c r="E5" s="94">
        <f ca="1">TblProd[[#This Row],[Ore]]</f>
        <v>0</v>
      </c>
      <c r="F5" s="94">
        <f ca="1">TblProd[[#This Row],[Gems]]</f>
        <v>0</v>
      </c>
      <c r="G5" s="154"/>
      <c r="H5" s="94">
        <f ca="1">TblMili[[#This Row],[Draftees]]</f>
        <v>155</v>
      </c>
      <c r="I5" s="180">
        <f ca="1">TblPop[[#This Row],[Employment]]</f>
        <v>1</v>
      </c>
      <c r="J5" s="180">
        <f ca="1">TblPop[[#This Row],[Total]]/TblPop[[#This Row],[Net max]]</f>
        <v>0.82314694408322497</v>
      </c>
      <c r="K5" s="283">
        <f>TblRezone[[#This Row],[Hour]]</f>
        <v>2</v>
      </c>
      <c r="L5" s="284">
        <f ca="1">TblImps[[#This Row],[Real time]]</f>
        <v>46047.041666666664</v>
      </c>
      <c r="M5" s="61">
        <f>IF(ISERROR(TblImps[[#This Row],[algorithm]]),0,TblImps[[#This Row],[algorithm]]*1)</f>
        <v>0</v>
      </c>
      <c r="N5" s="94">
        <f ca="1">TblImps[[#This Row],[Land]]</f>
        <v>50</v>
      </c>
      <c r="O5" s="134" t="s">
        <v>4</v>
      </c>
      <c r="P5" s="481"/>
      <c r="Q5" s="134" t="s">
        <v>210</v>
      </c>
      <c r="R5" s="134" t="s">
        <v>7</v>
      </c>
      <c r="S5" s="481"/>
      <c r="T5" s="134" t="s">
        <v>210</v>
      </c>
      <c r="U5" s="134" t="s">
        <v>3</v>
      </c>
      <c r="V5" s="481"/>
      <c r="W5" s="134" t="s">
        <v>210</v>
      </c>
      <c r="X5" s="142"/>
      <c r="Y5" s="287">
        <f ca="1">science_cap*(1-EXP(-TblImps[[#This Row],[Σ Science]]/(science_param*(OFFSET(TblImps[[#This Row],[Land]],1,0)-OFFSET(TblExplore[[#This Row],[Land Bonus]],1,0)*20)+15000)))*(1+(mason_bonus*TblConstr[[#This Row],[Tot Mas]]/TblConstr[[#This Row],[Land (2)]]))</f>
        <v>0</v>
      </c>
      <c r="Z5" s="287">
        <f ca="1">keep_cap*(1-EXP(-TblImps[[#This Row],[Σ Keep]]/(keep_param*(OFFSET(TblImps[[#This Row],[Land]],1,0)-OFFSET(TblExplore[[#This Row],[Land Bonus]],1,0)*20)+15000)))*(1+(mason_bonus*TblConstr[[#This Row],[Tot Mas]]/TblConstr[[#This Row],[Land (2)]]))</f>
        <v>0</v>
      </c>
      <c r="AA5" s="287">
        <f ca="1">harbor_towers_cap*(1-EXP(-TblImps[[#This Row],[Σ Spires]]/(towers_param*(OFFSET(TblImps[[#This Row],[Land]],1,0)-OFFSET(TblExplore[[#This Row],[Land Bonus]],1,0)*20)+15000)))*(1+(mason_bonus*TblConstr[[#This Row],[Tot Mas]]/TblConstr[[#This Row],[Land (2)]]))</f>
        <v>0</v>
      </c>
      <c r="AB5" s="287">
        <f ca="1">walls_forges_cap*(1-EXP(-TblImps[[#This Row],[Σ Forges]]/(walls_forges_param*(OFFSET(TblImps[[#This Row],[Land]],1,0)-OFFSET(TblExplore[[#This Row],[Land Bonus]],1,0)*20)+15000)))*(1+(mason_bonus*TblConstr[[#This Row],[Tot Mas]]/TblConstr[[#This Row],[Land (2)]]))</f>
        <v>0</v>
      </c>
      <c r="AC5" s="287">
        <f ca="1">walls_forges_cap*(1-EXP(-TblImps[[#This Row],[Σ Walls]]/(walls_forges_param*(OFFSET(TblImps[[#This Row],[Land]],1,0)-OFFSET(TblExplore[[#This Row],[Land Bonus]],1,0)*20)+15000)))*(1+(mason_bonus*TblConstr[[#This Row],[Tot Mas]]/TblConstr[[#This Row],[Land (2)]]))</f>
        <v>0</v>
      </c>
      <c r="AD5" s="287">
        <f ca="1">harbor_towers_cap*(1-EXP(-TblImps[[#This Row],[Σ Harbor]]/(harbor_towers_param*(OFFSET(TblImps[[#This Row],[Land]],1,0)-OFFSET(TblExplore[[#This Row],[Land Bonus]],1,0)*20)+15000)))*(1+(mason_bonus*TblConstr[[#This Row],[Tot Mas]]/TblConstr[[#This Row],[Land (2)]]))</f>
        <v>0</v>
      </c>
      <c r="AE5" s="142"/>
      <c r="AF5" s="61">
        <f ca="1">(1+Overview!$I$29)*SUM(TblImps[[#This Row],[P2]:[G2]])+OFFSET(TblImps[[#This Row],[Σ Science]],-1,0)</f>
        <v>0</v>
      </c>
      <c r="AG5" s="61">
        <f ca="1">(1+Overview!$I$29)*SUM(TblImps[[#This Row],[P3]:[G3]])+OFFSET(TblImps[[#This Row],[Σ Keep]],-1,0)</f>
        <v>0</v>
      </c>
      <c r="AH5" s="61">
        <f ca="1">(1+Overview!$I$29 + tech_7_1*TblTech[[#This Row],[7-1]])*SUM(TblImps[[#This Row],[P4]:[G4]])+OFFSET(TblImps[[#This Row],[Σ Spires]],-1,0)</f>
        <v>0</v>
      </c>
      <c r="AI5" s="61">
        <f ca="1">(1+Overview!$I$29)*SUM(TblImps[[#This Row],[P5]:[G5]])+OFFSET(TblImps[[#This Row],[Σ Forges]],-1,0)</f>
        <v>0</v>
      </c>
      <c r="AJ5" s="61">
        <f ca="1">(1+Overview!$I$29)*SUM(TblImps[[#This Row],[P6]:[G6]])+OFFSET(TblImps[[#This Row],[Σ Walls]],-1,0)</f>
        <v>0</v>
      </c>
      <c r="AK5" s="61">
        <f ca="1">(1+Overview!$I$29 + tech_7_1*TblTech[[#This Row],[7-1]])*SUM(TblImps[[#This Row],[P7]:[G7]])+OFFSET(TblImps[[#This Row],[Σ Harbor]],-1,0)</f>
        <v>0</v>
      </c>
      <c r="AL5" s="142"/>
      <c r="AM5" s="57">
        <f>IF(AND(TblImps[[#This Row],[Resource]]=AM$2,TblImps[[#This Row],[Part]]&lt;&gt;""),TblImps[[#This Row],[Amount]]) + IF(AND(TblImps[[#This Row],[Resource 2]]=AM$2,TblImps[[#This Row],[Part 2]]&lt;&gt;""),TblImps[[#This Row],[Amount 2]]) + IF(AND(TblImps[[#This Row],[Resource 3]]=AM$2,TblImps[[#This Row],[Part 3]]&lt;&gt;""),TblImps[[#This Row],[Amount 3]])</f>
        <v>0</v>
      </c>
      <c r="AN5" s="57">
        <f>IF(AND(TblImps[[#This Row],[Resource]]=AN$2,TblImps[[#This Row],[Part]]&lt;&gt;""),TblImps[[#This Row],[Amount]]) + IF(AND(TblImps[[#This Row],[Resource 2]]=AN$2,TblImps[[#This Row],[Part 2]]&lt;&gt;""),TblImps[[#This Row],[Amount 2]]) + IF(AND(TblImps[[#This Row],[Resource 3]]=AN$2,TblImps[[#This Row],[Part 3]]&lt;&gt;""),TblImps[[#This Row],[Amount 3]])</f>
        <v>0</v>
      </c>
      <c r="AO5" s="57">
        <f>IF(AND(TblImps[[#This Row],[Resource]]=AO$2,TblImps[[#This Row],[Part]]&lt;&gt;""),TblImps[[#This Row],[Amount]]) + IF(AND(TblImps[[#This Row],[Resource 2]]=AO$2,TblImps[[#This Row],[Part 2]]&lt;&gt;""),TblImps[[#This Row],[Amount 2]]) + IF(AND(TblImps[[#This Row],[Resource 3]]=AO$2,TblImps[[#This Row],[Part 3]]&lt;&gt;""),TblImps[[#This Row],[Amount 3]])</f>
        <v>0</v>
      </c>
      <c r="AP5" s="57">
        <f>IF(AND(TblImps[[#This Row],[Resource]]=AP$2,TblImps[[#This Row],[Part]]&lt;&gt;""),TblImps[[#This Row],[Amount]]) + IF(AND(TblImps[[#This Row],[Resource 2]]=AP$2,TblImps[[#This Row],[Part 2]]&lt;&gt;""),TblImps[[#This Row],[Amount 2]]) + IF(AND(TblImps[[#This Row],[Resource 3]]=AP$2,TblImps[[#This Row],[Part 3]]&lt;&gt;""),TblImps[[#This Row],[Amount 3]])</f>
        <v>0</v>
      </c>
      <c r="AQ5" s="142"/>
      <c r="AR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 s="142"/>
      <c r="AW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 s="142"/>
      <c r="BB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 s="142"/>
      <c r="BG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 s="142"/>
      <c r="BL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 s="142"/>
      <c r="BQ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 s="142"/>
      <c r="BV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 s="61">
        <f>TblImps[[#This Row],[Login]]</f>
        <v>0</v>
      </c>
      <c r="BX5" s="137"/>
      <c r="BY5" s="293">
        <f ca="1">OFFSET(TblImps[[#This Row],[Real time]],-1,0)+1/24</f>
        <v>46047.041666666664</v>
      </c>
      <c r="BZ5" s="294">
        <f ca="1">OFFSET(TblImps[[#This Row],[Servertime]],-1,0)+1/24</f>
        <v>46047.041666666664</v>
      </c>
      <c r="CA5" s="57"/>
      <c r="CB5" s="292"/>
      <c r="CC5" s="292"/>
    </row>
    <row r="6" spans="1:84" hidden="1" x14ac:dyDescent="0.2">
      <c r="A6" s="214">
        <f ca="1">TblConstr[[#This Row],[Land]]</f>
        <v>50</v>
      </c>
      <c r="B6" s="142"/>
      <c r="C6" s="94">
        <f ca="1">TblProd[[#This Row],[Platinum]]</f>
        <v>52556</v>
      </c>
      <c r="D6" s="94">
        <f ca="1">TblProd[[#This Row],[Lumber]]</f>
        <v>16692</v>
      </c>
      <c r="E6" s="94">
        <f ca="1">TblProd[[#This Row],[Ore]]</f>
        <v>0</v>
      </c>
      <c r="F6" s="94">
        <f ca="1">TblProd[[#This Row],[Gems]]</f>
        <v>0</v>
      </c>
      <c r="G6" s="154"/>
      <c r="H6" s="94">
        <f ca="1">TblMili[[#This Row],[Draftees]]</f>
        <v>160</v>
      </c>
      <c r="I6" s="180">
        <f ca="1">TblPop[[#This Row],[Employment]]</f>
        <v>1</v>
      </c>
      <c r="J6" s="180">
        <f ca="1">TblPop[[#This Row],[Total]]/TblPop[[#This Row],[Net max]]</f>
        <v>0.84135240572171655</v>
      </c>
      <c r="K6" s="283">
        <f>TblRezone[[#This Row],[Hour]]</f>
        <v>3</v>
      </c>
      <c r="L6" s="284">
        <f ca="1">TblImps[[#This Row],[Real time]]</f>
        <v>46047.083333333328</v>
      </c>
      <c r="M6" s="61">
        <f>IF(ISERROR(TblImps[[#This Row],[algorithm]]),0,TblImps[[#This Row],[algorithm]]*1)</f>
        <v>0</v>
      </c>
      <c r="N6" s="94">
        <f ca="1">TblImps[[#This Row],[Land]]</f>
        <v>50</v>
      </c>
      <c r="O6" s="134" t="s">
        <v>4</v>
      </c>
      <c r="P6" s="481"/>
      <c r="Q6" s="134" t="s">
        <v>210</v>
      </c>
      <c r="R6" s="134" t="s">
        <v>7</v>
      </c>
      <c r="S6" s="481"/>
      <c r="T6" s="134" t="s">
        <v>210</v>
      </c>
      <c r="U6" s="134" t="s">
        <v>3</v>
      </c>
      <c r="V6" s="481"/>
      <c r="W6" s="134" t="s">
        <v>210</v>
      </c>
      <c r="X6" s="142"/>
      <c r="Y6" s="287">
        <f ca="1">science_cap*(1-EXP(-TblImps[[#This Row],[Σ Science]]/(science_param*(OFFSET(TblImps[[#This Row],[Land]],1,0)-OFFSET(TblExplore[[#This Row],[Land Bonus]],1,0)*20)+15000)))*(1+(mason_bonus*TblConstr[[#This Row],[Tot Mas]]/TblConstr[[#This Row],[Land (2)]]))</f>
        <v>0</v>
      </c>
      <c r="Z6" s="287">
        <f ca="1">keep_cap*(1-EXP(-TblImps[[#This Row],[Σ Keep]]/(keep_param*(OFFSET(TblImps[[#This Row],[Land]],1,0)-OFFSET(TblExplore[[#This Row],[Land Bonus]],1,0)*20)+15000)))*(1+(mason_bonus*TblConstr[[#This Row],[Tot Mas]]/TblConstr[[#This Row],[Land (2)]]))</f>
        <v>0</v>
      </c>
      <c r="AA6" s="287">
        <f ca="1">harbor_towers_cap*(1-EXP(-TblImps[[#This Row],[Σ Spires]]/(towers_param*(OFFSET(TblImps[[#This Row],[Land]],1,0)-OFFSET(TblExplore[[#This Row],[Land Bonus]],1,0)*20)+15000)))*(1+(mason_bonus*TblConstr[[#This Row],[Tot Mas]]/TblConstr[[#This Row],[Land (2)]]))</f>
        <v>0</v>
      </c>
      <c r="AB6" s="287">
        <f ca="1">walls_forges_cap*(1-EXP(-TblImps[[#This Row],[Σ Forges]]/(walls_forges_param*(OFFSET(TblImps[[#This Row],[Land]],1,0)-OFFSET(TblExplore[[#This Row],[Land Bonus]],1,0)*20)+15000)))*(1+(mason_bonus*TblConstr[[#This Row],[Tot Mas]]/TblConstr[[#This Row],[Land (2)]]))</f>
        <v>0</v>
      </c>
      <c r="AC6" s="287">
        <f ca="1">walls_forges_cap*(1-EXP(-TblImps[[#This Row],[Σ Walls]]/(walls_forges_param*(OFFSET(TblImps[[#This Row],[Land]],1,0)-OFFSET(TblExplore[[#This Row],[Land Bonus]],1,0)*20)+15000)))*(1+(mason_bonus*TblConstr[[#This Row],[Tot Mas]]/TblConstr[[#This Row],[Land (2)]]))</f>
        <v>0</v>
      </c>
      <c r="AD6" s="287">
        <f ca="1">harbor_towers_cap*(1-EXP(-TblImps[[#This Row],[Σ Harbor]]/(harbor_towers_param*(OFFSET(TblImps[[#This Row],[Land]],1,0)-OFFSET(TblExplore[[#This Row],[Land Bonus]],1,0)*20)+15000)))*(1+(mason_bonus*TblConstr[[#This Row],[Tot Mas]]/TblConstr[[#This Row],[Land (2)]]))</f>
        <v>0</v>
      </c>
      <c r="AE6" s="142"/>
      <c r="AF6" s="61">
        <f ca="1">(1+Overview!$I$29)*SUM(TblImps[[#This Row],[P2]:[G2]])+OFFSET(TblImps[[#This Row],[Σ Science]],-1,0)</f>
        <v>0</v>
      </c>
      <c r="AG6" s="61">
        <f ca="1">(1+Overview!$I$29)*SUM(TblImps[[#This Row],[P3]:[G3]])+OFFSET(TblImps[[#This Row],[Σ Keep]],-1,0)</f>
        <v>0</v>
      </c>
      <c r="AH6" s="61">
        <f ca="1">(1+Overview!$I$29 + tech_7_1*TblTech[[#This Row],[7-1]])*SUM(TblImps[[#This Row],[P4]:[G4]])+OFFSET(TblImps[[#This Row],[Σ Spires]],-1,0)</f>
        <v>0</v>
      </c>
      <c r="AI6" s="61">
        <f ca="1">(1+Overview!$I$29)*SUM(TblImps[[#This Row],[P5]:[G5]])+OFFSET(TblImps[[#This Row],[Σ Forges]],-1,0)</f>
        <v>0</v>
      </c>
      <c r="AJ6" s="61">
        <f ca="1">(1+Overview!$I$29)*SUM(TblImps[[#This Row],[P6]:[G6]])+OFFSET(TblImps[[#This Row],[Σ Walls]],-1,0)</f>
        <v>0</v>
      </c>
      <c r="AK6" s="61">
        <f ca="1">(1+Overview!$I$29 + tech_7_1*TblTech[[#This Row],[7-1]])*SUM(TblImps[[#This Row],[P7]:[G7]])+OFFSET(TblImps[[#This Row],[Σ Harbor]],-1,0)</f>
        <v>0</v>
      </c>
      <c r="AL6" s="142"/>
      <c r="AM6" s="57">
        <f>IF(AND(TblImps[[#This Row],[Resource]]=AM$2,TblImps[[#This Row],[Part]]&lt;&gt;""),TblImps[[#This Row],[Amount]]) + IF(AND(TblImps[[#This Row],[Resource 2]]=AM$2,TblImps[[#This Row],[Part 2]]&lt;&gt;""),TblImps[[#This Row],[Amount 2]]) + IF(AND(TblImps[[#This Row],[Resource 3]]=AM$2,TblImps[[#This Row],[Part 3]]&lt;&gt;""),TblImps[[#This Row],[Amount 3]])</f>
        <v>0</v>
      </c>
      <c r="AN6" s="57">
        <f>IF(AND(TblImps[[#This Row],[Resource]]=AN$2,TblImps[[#This Row],[Part]]&lt;&gt;""),TblImps[[#This Row],[Amount]]) + IF(AND(TblImps[[#This Row],[Resource 2]]=AN$2,TblImps[[#This Row],[Part 2]]&lt;&gt;""),TblImps[[#This Row],[Amount 2]]) + IF(AND(TblImps[[#This Row],[Resource 3]]=AN$2,TblImps[[#This Row],[Part 3]]&lt;&gt;""),TblImps[[#This Row],[Amount 3]])</f>
        <v>0</v>
      </c>
      <c r="AO6" s="57">
        <f>IF(AND(TblImps[[#This Row],[Resource]]=AO$2,TblImps[[#This Row],[Part]]&lt;&gt;""),TblImps[[#This Row],[Amount]]) + IF(AND(TblImps[[#This Row],[Resource 2]]=AO$2,TblImps[[#This Row],[Part 2]]&lt;&gt;""),TblImps[[#This Row],[Amount 2]]) + IF(AND(TblImps[[#This Row],[Resource 3]]=AO$2,TblImps[[#This Row],[Part 3]]&lt;&gt;""),TblImps[[#This Row],[Amount 3]])</f>
        <v>0</v>
      </c>
      <c r="AP6" s="57">
        <f>IF(AND(TblImps[[#This Row],[Resource]]=AP$2,TblImps[[#This Row],[Part]]&lt;&gt;""),TblImps[[#This Row],[Amount]]) + IF(AND(TblImps[[#This Row],[Resource 2]]=AP$2,TblImps[[#This Row],[Part 2]]&lt;&gt;""),TblImps[[#This Row],[Amount 2]]) + IF(AND(TblImps[[#This Row],[Resource 3]]=AP$2,TblImps[[#This Row],[Part 3]]&lt;&gt;""),TblImps[[#This Row],[Amount 3]])</f>
        <v>0</v>
      </c>
      <c r="AQ6" s="142"/>
      <c r="AR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 s="142"/>
      <c r="AW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 s="142"/>
      <c r="BB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 s="142"/>
      <c r="BG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 s="142"/>
      <c r="BL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 s="142"/>
      <c r="BQ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 s="142"/>
      <c r="BV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 s="61">
        <f>TblImps[[#This Row],[Login]]</f>
        <v>0</v>
      </c>
      <c r="BX6" s="137"/>
      <c r="BY6" s="293">
        <f ca="1">OFFSET(TblImps[[#This Row],[Real time]],-1,0)+1/24</f>
        <v>46047.083333333328</v>
      </c>
      <c r="BZ6" s="294">
        <f ca="1">OFFSET(TblImps[[#This Row],[Servertime]],-1,0)+1/24</f>
        <v>46047.083333333328</v>
      </c>
      <c r="CA6" s="57"/>
      <c r="CB6" s="292"/>
      <c r="CC6" s="292"/>
      <c r="CF6" s="295"/>
    </row>
    <row r="7" spans="1:84" hidden="1" x14ac:dyDescent="0.2">
      <c r="A7" s="214">
        <f ca="1">TblConstr[[#This Row],[Land]]</f>
        <v>50</v>
      </c>
      <c r="B7" s="142"/>
      <c r="C7" s="94">
        <f ca="1">TblProd[[#This Row],[Platinum]]</f>
        <v>53870</v>
      </c>
      <c r="D7" s="94">
        <f ca="1">TblProd[[#This Row],[Lumber]]</f>
        <v>17525</v>
      </c>
      <c r="E7" s="94">
        <f ca="1">TblProd[[#This Row],[Ore]]</f>
        <v>0</v>
      </c>
      <c r="F7" s="94">
        <f ca="1">TblProd[[#This Row],[Gems]]</f>
        <v>0</v>
      </c>
      <c r="G7" s="154"/>
      <c r="H7" s="94">
        <f ca="1">TblMili[[#This Row],[Draftees]]</f>
        <v>165</v>
      </c>
      <c r="I7" s="180">
        <f ca="1">TblPop[[#This Row],[Employment]]</f>
        <v>1</v>
      </c>
      <c r="J7" s="180">
        <f ca="1">TblPop[[#This Row],[Total]]/TblPop[[#This Row],[Net max]]</f>
        <v>0.85955786736020812</v>
      </c>
      <c r="K7" s="283">
        <f>TblRezone[[#This Row],[Hour]]</f>
        <v>4</v>
      </c>
      <c r="L7" s="284">
        <f ca="1">TblImps[[#This Row],[Real time]]</f>
        <v>46047.124999999993</v>
      </c>
      <c r="M7" s="61">
        <f>IF(ISERROR(TblImps[[#This Row],[algorithm]]),0,TblImps[[#This Row],[algorithm]]*1)</f>
        <v>0</v>
      </c>
      <c r="N7" s="94">
        <f ca="1">TblImps[[#This Row],[Land]]</f>
        <v>50</v>
      </c>
      <c r="O7" s="134" t="s">
        <v>4</v>
      </c>
      <c r="P7" s="481"/>
      <c r="Q7" s="134" t="s">
        <v>210</v>
      </c>
      <c r="R7" s="134" t="s">
        <v>7</v>
      </c>
      <c r="S7" s="481"/>
      <c r="T7" s="134" t="s">
        <v>210</v>
      </c>
      <c r="U7" s="134" t="s">
        <v>3</v>
      </c>
      <c r="V7" s="481"/>
      <c r="W7" s="134" t="s">
        <v>210</v>
      </c>
      <c r="X7" s="142"/>
      <c r="Y7" s="287">
        <f ca="1">science_cap*(1-EXP(-TblImps[[#This Row],[Σ Science]]/(science_param*(OFFSET(TblImps[[#This Row],[Land]],1,0)-OFFSET(TblExplore[[#This Row],[Land Bonus]],1,0)*20)+15000)))*(1+(mason_bonus*TblConstr[[#This Row],[Tot Mas]]/TblConstr[[#This Row],[Land (2)]]))</f>
        <v>0</v>
      </c>
      <c r="Z7" s="287">
        <f ca="1">keep_cap*(1-EXP(-TblImps[[#This Row],[Σ Keep]]/(keep_param*(OFFSET(TblImps[[#This Row],[Land]],1,0)-OFFSET(TblExplore[[#This Row],[Land Bonus]],1,0)*20)+15000)))*(1+(mason_bonus*TblConstr[[#This Row],[Tot Mas]]/TblConstr[[#This Row],[Land (2)]]))</f>
        <v>0</v>
      </c>
      <c r="AA7" s="287">
        <f ca="1">harbor_towers_cap*(1-EXP(-TblImps[[#This Row],[Σ Spires]]/(towers_param*(OFFSET(TblImps[[#This Row],[Land]],1,0)-OFFSET(TblExplore[[#This Row],[Land Bonus]],1,0)*20)+15000)))*(1+(mason_bonus*TblConstr[[#This Row],[Tot Mas]]/TblConstr[[#This Row],[Land (2)]]))</f>
        <v>0</v>
      </c>
      <c r="AB7" s="287">
        <f ca="1">walls_forges_cap*(1-EXP(-TblImps[[#This Row],[Σ Forges]]/(walls_forges_param*(OFFSET(TblImps[[#This Row],[Land]],1,0)-OFFSET(TblExplore[[#This Row],[Land Bonus]],1,0)*20)+15000)))*(1+(mason_bonus*TblConstr[[#This Row],[Tot Mas]]/TblConstr[[#This Row],[Land (2)]]))</f>
        <v>0</v>
      </c>
      <c r="AC7" s="287">
        <f ca="1">walls_forges_cap*(1-EXP(-TblImps[[#This Row],[Σ Walls]]/(walls_forges_param*(OFFSET(TblImps[[#This Row],[Land]],1,0)-OFFSET(TblExplore[[#This Row],[Land Bonus]],1,0)*20)+15000)))*(1+(mason_bonus*TblConstr[[#This Row],[Tot Mas]]/TblConstr[[#This Row],[Land (2)]]))</f>
        <v>0</v>
      </c>
      <c r="AD7" s="287">
        <f ca="1">harbor_towers_cap*(1-EXP(-TblImps[[#This Row],[Σ Harbor]]/(harbor_towers_param*(OFFSET(TblImps[[#This Row],[Land]],1,0)-OFFSET(TblExplore[[#This Row],[Land Bonus]],1,0)*20)+15000)))*(1+(mason_bonus*TblConstr[[#This Row],[Tot Mas]]/TblConstr[[#This Row],[Land (2)]]))</f>
        <v>0</v>
      </c>
      <c r="AE7" s="142"/>
      <c r="AF7" s="61">
        <f ca="1">(1+Overview!$I$29)*SUM(TblImps[[#This Row],[P2]:[G2]])+OFFSET(TblImps[[#This Row],[Σ Science]],-1,0)</f>
        <v>0</v>
      </c>
      <c r="AG7" s="61">
        <f ca="1">(1+Overview!$I$29)*SUM(TblImps[[#This Row],[P3]:[G3]])+OFFSET(TblImps[[#This Row],[Σ Keep]],-1,0)</f>
        <v>0</v>
      </c>
      <c r="AH7" s="61">
        <f ca="1">(1+Overview!$I$29 + tech_7_1*TblTech[[#This Row],[7-1]])*SUM(TblImps[[#This Row],[P4]:[G4]])+OFFSET(TblImps[[#This Row],[Σ Spires]],-1,0)</f>
        <v>0</v>
      </c>
      <c r="AI7" s="61">
        <f ca="1">(1+Overview!$I$29)*SUM(TblImps[[#This Row],[P5]:[G5]])+OFFSET(TblImps[[#This Row],[Σ Forges]],-1,0)</f>
        <v>0</v>
      </c>
      <c r="AJ7" s="61">
        <f ca="1">(1+Overview!$I$29)*SUM(TblImps[[#This Row],[P6]:[G6]])+OFFSET(TblImps[[#This Row],[Σ Walls]],-1,0)</f>
        <v>0</v>
      </c>
      <c r="AK7" s="61">
        <f ca="1">(1+Overview!$I$29 + tech_7_1*TblTech[[#This Row],[7-1]])*SUM(TblImps[[#This Row],[P7]:[G7]])+OFFSET(TblImps[[#This Row],[Σ Harbor]],-1,0)</f>
        <v>0</v>
      </c>
      <c r="AL7" s="142"/>
      <c r="AM7" s="57">
        <f>IF(AND(TblImps[[#This Row],[Resource]]=AM$2,TblImps[[#This Row],[Part]]&lt;&gt;""),TblImps[[#This Row],[Amount]]) + IF(AND(TblImps[[#This Row],[Resource 2]]=AM$2,TblImps[[#This Row],[Part 2]]&lt;&gt;""),TblImps[[#This Row],[Amount 2]]) + IF(AND(TblImps[[#This Row],[Resource 3]]=AM$2,TblImps[[#This Row],[Part 3]]&lt;&gt;""),TblImps[[#This Row],[Amount 3]])</f>
        <v>0</v>
      </c>
      <c r="AN7" s="57">
        <f>IF(AND(TblImps[[#This Row],[Resource]]=AN$2,TblImps[[#This Row],[Part]]&lt;&gt;""),TblImps[[#This Row],[Amount]]) + IF(AND(TblImps[[#This Row],[Resource 2]]=AN$2,TblImps[[#This Row],[Part 2]]&lt;&gt;""),TblImps[[#This Row],[Amount 2]]) + IF(AND(TblImps[[#This Row],[Resource 3]]=AN$2,TblImps[[#This Row],[Part 3]]&lt;&gt;""),TblImps[[#This Row],[Amount 3]])</f>
        <v>0</v>
      </c>
      <c r="AO7" s="57">
        <f>IF(AND(TblImps[[#This Row],[Resource]]=AO$2,TblImps[[#This Row],[Part]]&lt;&gt;""),TblImps[[#This Row],[Amount]]) + IF(AND(TblImps[[#This Row],[Resource 2]]=AO$2,TblImps[[#This Row],[Part 2]]&lt;&gt;""),TblImps[[#This Row],[Amount 2]]) + IF(AND(TblImps[[#This Row],[Resource 3]]=AO$2,TblImps[[#This Row],[Part 3]]&lt;&gt;""),TblImps[[#This Row],[Amount 3]])</f>
        <v>0</v>
      </c>
      <c r="AP7" s="57">
        <f>IF(AND(TblImps[[#This Row],[Resource]]=AP$2,TblImps[[#This Row],[Part]]&lt;&gt;""),TblImps[[#This Row],[Amount]]) + IF(AND(TblImps[[#This Row],[Resource 2]]=AP$2,TblImps[[#This Row],[Part 2]]&lt;&gt;""),TblImps[[#This Row],[Amount 2]]) + IF(AND(TblImps[[#This Row],[Resource 3]]=AP$2,TblImps[[#This Row],[Part 3]]&lt;&gt;""),TblImps[[#This Row],[Amount 3]])</f>
        <v>0</v>
      </c>
      <c r="AQ7" s="142"/>
      <c r="AR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 s="142"/>
      <c r="AW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 s="142"/>
      <c r="BB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 s="142"/>
      <c r="BG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 s="142"/>
      <c r="BL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 s="142"/>
      <c r="BQ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 s="142"/>
      <c r="BV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 s="61">
        <f>TblImps[[#This Row],[Login]]</f>
        <v>0</v>
      </c>
      <c r="BX7" s="137"/>
      <c r="BY7" s="293">
        <f ca="1">OFFSET(TblImps[[#This Row],[Real time]],-1,0)+1/24</f>
        <v>46047.124999999993</v>
      </c>
      <c r="BZ7" s="294">
        <f ca="1">OFFSET(TblImps[[#This Row],[Servertime]],-1,0)+1/24</f>
        <v>46047.124999999993</v>
      </c>
      <c r="CA7" s="57"/>
      <c r="CB7" s="292"/>
      <c r="CC7" s="292"/>
      <c r="CF7" s="296"/>
    </row>
    <row r="8" spans="1:84" hidden="1" x14ac:dyDescent="0.2">
      <c r="A8" s="214">
        <f ca="1">TblConstr[[#This Row],[Land]]</f>
        <v>50</v>
      </c>
      <c r="B8" s="142"/>
      <c r="C8" s="94">
        <f ca="1">TblProd[[#This Row],[Platinum]]</f>
        <v>55209</v>
      </c>
      <c r="D8" s="94">
        <f ca="1">TblProd[[#This Row],[Lumber]]</f>
        <v>18350</v>
      </c>
      <c r="E8" s="94">
        <f ca="1">TblProd[[#This Row],[Ore]]</f>
        <v>0</v>
      </c>
      <c r="F8" s="94">
        <f ca="1">TblProd[[#This Row],[Gems]]</f>
        <v>0</v>
      </c>
      <c r="G8" s="154"/>
      <c r="H8" s="94">
        <f ca="1">TblMili[[#This Row],[Draftees]]</f>
        <v>170</v>
      </c>
      <c r="I8" s="180">
        <f ca="1">TblPop[[#This Row],[Employment]]</f>
        <v>1</v>
      </c>
      <c r="J8" s="180">
        <f ca="1">TblPop[[#This Row],[Total]]/TblPop[[#This Row],[Net max]]</f>
        <v>0.87906371911573467</v>
      </c>
      <c r="K8" s="283">
        <f>TblRezone[[#This Row],[Hour]]</f>
        <v>5</v>
      </c>
      <c r="L8" s="284">
        <f ca="1">TblImps[[#This Row],[Real time]]</f>
        <v>46047.166666666657</v>
      </c>
      <c r="M8" s="61">
        <f>IF(ISERROR(TblImps[[#This Row],[algorithm]]),0,TblImps[[#This Row],[algorithm]]*1)</f>
        <v>0</v>
      </c>
      <c r="N8" s="94">
        <f ca="1">TblImps[[#This Row],[Land]]</f>
        <v>50</v>
      </c>
      <c r="O8" s="134" t="s">
        <v>4</v>
      </c>
      <c r="P8" s="481"/>
      <c r="Q8" s="134" t="s">
        <v>210</v>
      </c>
      <c r="R8" s="134" t="s">
        <v>7</v>
      </c>
      <c r="S8" s="481"/>
      <c r="T8" s="134" t="s">
        <v>210</v>
      </c>
      <c r="U8" s="134" t="s">
        <v>3</v>
      </c>
      <c r="V8" s="481"/>
      <c r="W8" s="134" t="s">
        <v>210</v>
      </c>
      <c r="X8" s="142"/>
      <c r="Y8" s="287">
        <f ca="1">science_cap*(1-EXP(-TblImps[[#This Row],[Σ Science]]/(science_param*(OFFSET(TblImps[[#This Row],[Land]],1,0)-OFFSET(TblExplore[[#This Row],[Land Bonus]],1,0)*20)+15000)))*(1+(mason_bonus*TblConstr[[#This Row],[Tot Mas]]/TblConstr[[#This Row],[Land (2)]]))</f>
        <v>0</v>
      </c>
      <c r="Z8" s="287">
        <f ca="1">keep_cap*(1-EXP(-TblImps[[#This Row],[Σ Keep]]/(keep_param*(OFFSET(TblImps[[#This Row],[Land]],1,0)-OFFSET(TblExplore[[#This Row],[Land Bonus]],1,0)*20)+15000)))*(1+(mason_bonus*TblConstr[[#This Row],[Tot Mas]]/TblConstr[[#This Row],[Land (2)]]))</f>
        <v>0</v>
      </c>
      <c r="AA8" s="287">
        <f ca="1">harbor_towers_cap*(1-EXP(-TblImps[[#This Row],[Σ Spires]]/(towers_param*(OFFSET(TblImps[[#This Row],[Land]],1,0)-OFFSET(TblExplore[[#This Row],[Land Bonus]],1,0)*20)+15000)))*(1+(mason_bonus*TblConstr[[#This Row],[Tot Mas]]/TblConstr[[#This Row],[Land (2)]]))</f>
        <v>0</v>
      </c>
      <c r="AB8" s="287">
        <f ca="1">walls_forges_cap*(1-EXP(-TblImps[[#This Row],[Σ Forges]]/(walls_forges_param*(OFFSET(TblImps[[#This Row],[Land]],1,0)-OFFSET(TblExplore[[#This Row],[Land Bonus]],1,0)*20)+15000)))*(1+(mason_bonus*TblConstr[[#This Row],[Tot Mas]]/TblConstr[[#This Row],[Land (2)]]))</f>
        <v>0</v>
      </c>
      <c r="AC8" s="287">
        <f ca="1">walls_forges_cap*(1-EXP(-TblImps[[#This Row],[Σ Walls]]/(walls_forges_param*(OFFSET(TblImps[[#This Row],[Land]],1,0)-OFFSET(TblExplore[[#This Row],[Land Bonus]],1,0)*20)+15000)))*(1+(mason_bonus*TblConstr[[#This Row],[Tot Mas]]/TblConstr[[#This Row],[Land (2)]]))</f>
        <v>0</v>
      </c>
      <c r="AD8" s="287">
        <f ca="1">harbor_towers_cap*(1-EXP(-TblImps[[#This Row],[Σ Harbor]]/(harbor_towers_param*(OFFSET(TblImps[[#This Row],[Land]],1,0)-OFFSET(TblExplore[[#This Row],[Land Bonus]],1,0)*20)+15000)))*(1+(mason_bonus*TblConstr[[#This Row],[Tot Mas]]/TblConstr[[#This Row],[Land (2)]]))</f>
        <v>0</v>
      </c>
      <c r="AE8" s="142"/>
      <c r="AF8" s="61">
        <f ca="1">(1+Overview!$I$29)*SUM(TblImps[[#This Row],[P2]:[G2]])+OFFSET(TblImps[[#This Row],[Σ Science]],-1,0)</f>
        <v>0</v>
      </c>
      <c r="AG8" s="61">
        <f ca="1">(1+Overview!$I$29)*SUM(TblImps[[#This Row],[P3]:[G3]])+OFFSET(TblImps[[#This Row],[Σ Keep]],-1,0)</f>
        <v>0</v>
      </c>
      <c r="AH8" s="61">
        <f ca="1">(1+Overview!$I$29 + tech_7_1*TblTech[[#This Row],[7-1]])*SUM(TblImps[[#This Row],[P4]:[G4]])+OFFSET(TblImps[[#This Row],[Σ Spires]],-1,0)</f>
        <v>0</v>
      </c>
      <c r="AI8" s="61">
        <f ca="1">(1+Overview!$I$29)*SUM(TblImps[[#This Row],[P5]:[G5]])+OFFSET(TblImps[[#This Row],[Σ Forges]],-1,0)</f>
        <v>0</v>
      </c>
      <c r="AJ8" s="61">
        <f ca="1">(1+Overview!$I$29)*SUM(TblImps[[#This Row],[P6]:[G6]])+OFFSET(TblImps[[#This Row],[Σ Walls]],-1,0)</f>
        <v>0</v>
      </c>
      <c r="AK8" s="61">
        <f ca="1">(1+Overview!$I$29 + tech_7_1*TblTech[[#This Row],[7-1]])*SUM(TblImps[[#This Row],[P7]:[G7]])+OFFSET(TblImps[[#This Row],[Σ Harbor]],-1,0)</f>
        <v>0</v>
      </c>
      <c r="AL8" s="142"/>
      <c r="AM8" s="57">
        <f>IF(AND(TblImps[[#This Row],[Resource]]=AM$2,TblImps[[#This Row],[Part]]&lt;&gt;""),TblImps[[#This Row],[Amount]]) + IF(AND(TblImps[[#This Row],[Resource 2]]=AM$2,TblImps[[#This Row],[Part 2]]&lt;&gt;""),TblImps[[#This Row],[Amount 2]]) + IF(AND(TblImps[[#This Row],[Resource 3]]=AM$2,TblImps[[#This Row],[Part 3]]&lt;&gt;""),TblImps[[#This Row],[Amount 3]])</f>
        <v>0</v>
      </c>
      <c r="AN8" s="57">
        <f>IF(AND(TblImps[[#This Row],[Resource]]=AN$2,TblImps[[#This Row],[Part]]&lt;&gt;""),TblImps[[#This Row],[Amount]]) + IF(AND(TblImps[[#This Row],[Resource 2]]=AN$2,TblImps[[#This Row],[Part 2]]&lt;&gt;""),TblImps[[#This Row],[Amount 2]]) + IF(AND(TblImps[[#This Row],[Resource 3]]=AN$2,TblImps[[#This Row],[Part 3]]&lt;&gt;""),TblImps[[#This Row],[Amount 3]])</f>
        <v>0</v>
      </c>
      <c r="AO8" s="57">
        <f>IF(AND(TblImps[[#This Row],[Resource]]=AO$2,TblImps[[#This Row],[Part]]&lt;&gt;""),TblImps[[#This Row],[Amount]]) + IF(AND(TblImps[[#This Row],[Resource 2]]=AO$2,TblImps[[#This Row],[Part 2]]&lt;&gt;""),TblImps[[#This Row],[Amount 2]]) + IF(AND(TblImps[[#This Row],[Resource 3]]=AO$2,TblImps[[#This Row],[Part 3]]&lt;&gt;""),TblImps[[#This Row],[Amount 3]])</f>
        <v>0</v>
      </c>
      <c r="AP8" s="57">
        <f>IF(AND(TblImps[[#This Row],[Resource]]=AP$2,TblImps[[#This Row],[Part]]&lt;&gt;""),TblImps[[#This Row],[Amount]]) + IF(AND(TblImps[[#This Row],[Resource 2]]=AP$2,TblImps[[#This Row],[Part 2]]&lt;&gt;""),TblImps[[#This Row],[Amount 2]]) + IF(AND(TblImps[[#This Row],[Resource 3]]=AP$2,TblImps[[#This Row],[Part 3]]&lt;&gt;""),TblImps[[#This Row],[Amount 3]])</f>
        <v>0</v>
      </c>
      <c r="AQ8" s="142"/>
      <c r="AR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 s="142"/>
      <c r="AW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 s="142"/>
      <c r="BB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 s="142"/>
      <c r="BG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 s="142"/>
      <c r="BL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 s="142"/>
      <c r="BQ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 s="142"/>
      <c r="BV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 s="61">
        <f>TblImps[[#This Row],[Login]]</f>
        <v>0</v>
      </c>
      <c r="BX8" s="137"/>
      <c r="BY8" s="293">
        <f ca="1">OFFSET(TblImps[[#This Row],[Real time]],-1,0)+1/24</f>
        <v>46047.166666666657</v>
      </c>
      <c r="BZ8" s="294">
        <f ca="1">OFFSET(TblImps[[#This Row],[Servertime]],-1,0)+1/24</f>
        <v>46047.166666666657</v>
      </c>
      <c r="CA8" s="57"/>
      <c r="CB8" s="292"/>
      <c r="CC8" s="292"/>
      <c r="CF8" s="295"/>
    </row>
    <row r="9" spans="1:84" hidden="1" x14ac:dyDescent="0.2">
      <c r="A9" s="214">
        <f ca="1">TblConstr[[#This Row],[Land]]</f>
        <v>50</v>
      </c>
      <c r="B9" s="142"/>
      <c r="C9" s="94">
        <f ca="1">TblProd[[#This Row],[Platinum]]</f>
        <v>56575</v>
      </c>
      <c r="D9" s="94">
        <f ca="1">TblProd[[#This Row],[Lumber]]</f>
        <v>19167</v>
      </c>
      <c r="E9" s="94">
        <f ca="1">TblProd[[#This Row],[Ore]]</f>
        <v>0</v>
      </c>
      <c r="F9" s="94">
        <f ca="1">TblProd[[#This Row],[Gems]]</f>
        <v>0</v>
      </c>
      <c r="G9" s="154"/>
      <c r="H9" s="94">
        <f ca="1">TblMili[[#This Row],[Draftees]]</f>
        <v>175</v>
      </c>
      <c r="I9" s="180">
        <f ca="1">TblPop[[#This Row],[Employment]]</f>
        <v>1</v>
      </c>
      <c r="J9" s="180">
        <f ca="1">TblPop[[#This Row],[Total]]/TblPop[[#This Row],[Net max]]</f>
        <v>0.89856957087126132</v>
      </c>
      <c r="K9" s="283">
        <f>TblRezone[[#This Row],[Hour]]</f>
        <v>6</v>
      </c>
      <c r="L9" s="284">
        <f ca="1">TblImps[[#This Row],[Real time]]</f>
        <v>46047.208333333321</v>
      </c>
      <c r="M9" s="61">
        <f>IF(ISERROR(TblImps[[#This Row],[algorithm]]),0,TblImps[[#This Row],[algorithm]]*1)</f>
        <v>0</v>
      </c>
      <c r="N9" s="94">
        <f ca="1">TblImps[[#This Row],[Land]]</f>
        <v>50</v>
      </c>
      <c r="O9" s="134" t="s">
        <v>4</v>
      </c>
      <c r="P9" s="481"/>
      <c r="Q9" s="134" t="s">
        <v>210</v>
      </c>
      <c r="R9" s="134" t="s">
        <v>7</v>
      </c>
      <c r="S9" s="481"/>
      <c r="T9" s="134" t="s">
        <v>210</v>
      </c>
      <c r="U9" s="134" t="s">
        <v>3</v>
      </c>
      <c r="V9" s="481"/>
      <c r="W9" s="134" t="s">
        <v>210</v>
      </c>
      <c r="X9" s="142"/>
      <c r="Y9" s="287">
        <f ca="1">science_cap*(1-EXP(-TblImps[[#This Row],[Σ Science]]/(science_param*(OFFSET(TblImps[[#This Row],[Land]],1,0)-OFFSET(TblExplore[[#This Row],[Land Bonus]],1,0)*20)+15000)))*(1+(mason_bonus*TblConstr[[#This Row],[Tot Mas]]/TblConstr[[#This Row],[Land (2)]]))</f>
        <v>0</v>
      </c>
      <c r="Z9" s="287">
        <f ca="1">keep_cap*(1-EXP(-TblImps[[#This Row],[Σ Keep]]/(keep_param*(OFFSET(TblImps[[#This Row],[Land]],1,0)-OFFSET(TblExplore[[#This Row],[Land Bonus]],1,0)*20)+15000)))*(1+(mason_bonus*TblConstr[[#This Row],[Tot Mas]]/TblConstr[[#This Row],[Land (2)]]))</f>
        <v>0</v>
      </c>
      <c r="AA9" s="287">
        <f ca="1">harbor_towers_cap*(1-EXP(-TblImps[[#This Row],[Σ Spires]]/(towers_param*(OFFSET(TblImps[[#This Row],[Land]],1,0)-OFFSET(TblExplore[[#This Row],[Land Bonus]],1,0)*20)+15000)))*(1+(mason_bonus*TblConstr[[#This Row],[Tot Mas]]/TblConstr[[#This Row],[Land (2)]]))</f>
        <v>0</v>
      </c>
      <c r="AB9" s="287">
        <f ca="1">walls_forges_cap*(1-EXP(-TblImps[[#This Row],[Σ Forges]]/(walls_forges_param*(OFFSET(TblImps[[#This Row],[Land]],1,0)-OFFSET(TblExplore[[#This Row],[Land Bonus]],1,0)*20)+15000)))*(1+(mason_bonus*TblConstr[[#This Row],[Tot Mas]]/TblConstr[[#This Row],[Land (2)]]))</f>
        <v>0</v>
      </c>
      <c r="AC9" s="287">
        <f ca="1">walls_forges_cap*(1-EXP(-TblImps[[#This Row],[Σ Walls]]/(walls_forges_param*(OFFSET(TblImps[[#This Row],[Land]],1,0)-OFFSET(TblExplore[[#This Row],[Land Bonus]],1,0)*20)+15000)))*(1+(mason_bonus*TblConstr[[#This Row],[Tot Mas]]/TblConstr[[#This Row],[Land (2)]]))</f>
        <v>0</v>
      </c>
      <c r="AD9" s="287">
        <f ca="1">harbor_towers_cap*(1-EXP(-TblImps[[#This Row],[Σ Harbor]]/(harbor_towers_param*(OFFSET(TblImps[[#This Row],[Land]],1,0)-OFFSET(TblExplore[[#This Row],[Land Bonus]],1,0)*20)+15000)))*(1+(mason_bonus*TblConstr[[#This Row],[Tot Mas]]/TblConstr[[#This Row],[Land (2)]]))</f>
        <v>0</v>
      </c>
      <c r="AE9" s="142"/>
      <c r="AF9" s="61">
        <f ca="1">(1+Overview!$I$29)*SUM(TblImps[[#This Row],[P2]:[G2]])+OFFSET(TblImps[[#This Row],[Σ Science]],-1,0)</f>
        <v>0</v>
      </c>
      <c r="AG9" s="61">
        <f ca="1">(1+Overview!$I$29)*SUM(TblImps[[#This Row],[P3]:[G3]])+OFFSET(TblImps[[#This Row],[Σ Keep]],-1,0)</f>
        <v>0</v>
      </c>
      <c r="AH9" s="61">
        <f ca="1">(1+Overview!$I$29 + tech_7_1*TblTech[[#This Row],[7-1]])*SUM(TblImps[[#This Row],[P4]:[G4]])+OFFSET(TblImps[[#This Row],[Σ Spires]],-1,0)</f>
        <v>0</v>
      </c>
      <c r="AI9" s="61">
        <f ca="1">(1+Overview!$I$29)*SUM(TblImps[[#This Row],[P5]:[G5]])+OFFSET(TblImps[[#This Row],[Σ Forges]],-1,0)</f>
        <v>0</v>
      </c>
      <c r="AJ9" s="61">
        <f ca="1">(1+Overview!$I$29)*SUM(TblImps[[#This Row],[P6]:[G6]])+OFFSET(TblImps[[#This Row],[Σ Walls]],-1,0)</f>
        <v>0</v>
      </c>
      <c r="AK9" s="61">
        <f ca="1">(1+Overview!$I$29 + tech_7_1*TblTech[[#This Row],[7-1]])*SUM(TblImps[[#This Row],[P7]:[G7]])+OFFSET(TblImps[[#This Row],[Σ Harbor]],-1,0)</f>
        <v>0</v>
      </c>
      <c r="AL9" s="142"/>
      <c r="AM9" s="57">
        <f>IF(AND(TblImps[[#This Row],[Resource]]=AM$2,TblImps[[#This Row],[Part]]&lt;&gt;""),TblImps[[#This Row],[Amount]]) + IF(AND(TblImps[[#This Row],[Resource 2]]=AM$2,TblImps[[#This Row],[Part 2]]&lt;&gt;""),TblImps[[#This Row],[Amount 2]]) + IF(AND(TblImps[[#This Row],[Resource 3]]=AM$2,TblImps[[#This Row],[Part 3]]&lt;&gt;""),TblImps[[#This Row],[Amount 3]])</f>
        <v>0</v>
      </c>
      <c r="AN9" s="57">
        <f>IF(AND(TblImps[[#This Row],[Resource]]=AN$2,TblImps[[#This Row],[Part]]&lt;&gt;""),TblImps[[#This Row],[Amount]]) + IF(AND(TblImps[[#This Row],[Resource 2]]=AN$2,TblImps[[#This Row],[Part 2]]&lt;&gt;""),TblImps[[#This Row],[Amount 2]]) + IF(AND(TblImps[[#This Row],[Resource 3]]=AN$2,TblImps[[#This Row],[Part 3]]&lt;&gt;""),TblImps[[#This Row],[Amount 3]])</f>
        <v>0</v>
      </c>
      <c r="AO9" s="57">
        <f>IF(AND(TblImps[[#This Row],[Resource]]=AO$2,TblImps[[#This Row],[Part]]&lt;&gt;""),TblImps[[#This Row],[Amount]]) + IF(AND(TblImps[[#This Row],[Resource 2]]=AO$2,TblImps[[#This Row],[Part 2]]&lt;&gt;""),TblImps[[#This Row],[Amount 2]]) + IF(AND(TblImps[[#This Row],[Resource 3]]=AO$2,TblImps[[#This Row],[Part 3]]&lt;&gt;""),TblImps[[#This Row],[Amount 3]])</f>
        <v>0</v>
      </c>
      <c r="AP9" s="57">
        <f>IF(AND(TblImps[[#This Row],[Resource]]=AP$2,TblImps[[#This Row],[Part]]&lt;&gt;""),TblImps[[#This Row],[Amount]]) + IF(AND(TblImps[[#This Row],[Resource 2]]=AP$2,TblImps[[#This Row],[Part 2]]&lt;&gt;""),TblImps[[#This Row],[Amount 2]]) + IF(AND(TblImps[[#This Row],[Resource 3]]=AP$2,TblImps[[#This Row],[Part 3]]&lt;&gt;""),TblImps[[#This Row],[Amount 3]])</f>
        <v>0</v>
      </c>
      <c r="AQ9" s="142"/>
      <c r="AR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 s="142"/>
      <c r="AW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 s="142"/>
      <c r="BB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 s="142"/>
      <c r="BG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 s="142"/>
      <c r="BL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 s="142"/>
      <c r="BQ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 s="142"/>
      <c r="BV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 s="61">
        <f>TblImps[[#This Row],[Login]]</f>
        <v>0</v>
      </c>
      <c r="BX9" s="137"/>
      <c r="BY9" s="293">
        <f ca="1">OFFSET(TblImps[[#This Row],[Real time]],-1,0)+1/24</f>
        <v>46047.208333333321</v>
      </c>
      <c r="BZ9" s="294">
        <f ca="1">OFFSET(TblImps[[#This Row],[Servertime]],-1,0)+1/24</f>
        <v>46047.208333333321</v>
      </c>
      <c r="CA9" s="57"/>
      <c r="CB9" s="292"/>
      <c r="CC9" s="292"/>
      <c r="CF9" s="295"/>
    </row>
    <row r="10" spans="1:84" hidden="1" x14ac:dyDescent="0.2">
      <c r="A10" s="214">
        <f ca="1">TblConstr[[#This Row],[Land]]</f>
        <v>50</v>
      </c>
      <c r="B10" s="142"/>
      <c r="C10" s="94">
        <f ca="1">TblProd[[#This Row],[Platinum]]</f>
        <v>57968</v>
      </c>
      <c r="D10" s="94">
        <f ca="1">TblProd[[#This Row],[Lumber]]</f>
        <v>19975</v>
      </c>
      <c r="E10" s="94">
        <f ca="1">TblProd[[#This Row],[Ore]]</f>
        <v>0</v>
      </c>
      <c r="F10" s="94">
        <f ca="1">TblProd[[#This Row],[Gems]]</f>
        <v>0</v>
      </c>
      <c r="G10" s="154"/>
      <c r="H10" s="94">
        <f ca="1">TblMili[[#This Row],[Draftees]]</f>
        <v>180</v>
      </c>
      <c r="I10" s="180">
        <f ca="1">TblPop[[#This Row],[Employment]]</f>
        <v>1</v>
      </c>
      <c r="J10" s="180">
        <f ca="1">TblPop[[#This Row],[Total]]/TblPop[[#This Row],[Net max]]</f>
        <v>0.91807542262678798</v>
      </c>
      <c r="K10" s="283">
        <f>TblRezone[[#This Row],[Hour]]</f>
        <v>7</v>
      </c>
      <c r="L10" s="284">
        <f ca="1">TblImps[[#This Row],[Real time]]</f>
        <v>46047.249999999985</v>
      </c>
      <c r="M10" s="61">
        <f>IF(ISERROR(TblImps[[#This Row],[algorithm]]),0,TblImps[[#This Row],[algorithm]]*1)</f>
        <v>0</v>
      </c>
      <c r="N10" s="94">
        <f ca="1">TblImps[[#This Row],[Land]]</f>
        <v>50</v>
      </c>
      <c r="O10" s="134" t="s">
        <v>4</v>
      </c>
      <c r="P10" s="481"/>
      <c r="Q10" s="134" t="s">
        <v>210</v>
      </c>
      <c r="R10" s="134" t="s">
        <v>7</v>
      </c>
      <c r="S10" s="481"/>
      <c r="T10" s="134" t="s">
        <v>210</v>
      </c>
      <c r="U10" s="134" t="s">
        <v>3</v>
      </c>
      <c r="V10" s="481"/>
      <c r="W10" s="134" t="s">
        <v>210</v>
      </c>
      <c r="X10" s="142"/>
      <c r="Y10" s="287">
        <f ca="1">science_cap*(1-EXP(-TblImps[[#This Row],[Σ Science]]/(science_param*(OFFSET(TblImps[[#This Row],[Land]],1,0)-OFFSET(TblExplore[[#This Row],[Land Bonus]],1,0)*20)+15000)))*(1+(mason_bonus*TblConstr[[#This Row],[Tot Mas]]/TblConstr[[#This Row],[Land (2)]]))</f>
        <v>0</v>
      </c>
      <c r="Z10" s="287">
        <f ca="1">keep_cap*(1-EXP(-TblImps[[#This Row],[Σ Keep]]/(keep_param*(OFFSET(TblImps[[#This Row],[Land]],1,0)-OFFSET(TblExplore[[#This Row],[Land Bonus]],1,0)*20)+15000)))*(1+(mason_bonus*TblConstr[[#This Row],[Tot Mas]]/TblConstr[[#This Row],[Land (2)]]))</f>
        <v>0</v>
      </c>
      <c r="AA10" s="287">
        <f ca="1">harbor_towers_cap*(1-EXP(-TblImps[[#This Row],[Σ Spires]]/(towers_param*(OFFSET(TblImps[[#This Row],[Land]],1,0)-OFFSET(TblExplore[[#This Row],[Land Bonus]],1,0)*20)+15000)))*(1+(mason_bonus*TblConstr[[#This Row],[Tot Mas]]/TblConstr[[#This Row],[Land (2)]]))</f>
        <v>0</v>
      </c>
      <c r="AB10" s="287">
        <f ca="1">walls_forges_cap*(1-EXP(-TblImps[[#This Row],[Σ Forges]]/(walls_forges_param*(OFFSET(TblImps[[#This Row],[Land]],1,0)-OFFSET(TblExplore[[#This Row],[Land Bonus]],1,0)*20)+15000)))*(1+(mason_bonus*TblConstr[[#This Row],[Tot Mas]]/TblConstr[[#This Row],[Land (2)]]))</f>
        <v>0</v>
      </c>
      <c r="AC10" s="287">
        <f ca="1">walls_forges_cap*(1-EXP(-TblImps[[#This Row],[Σ Walls]]/(walls_forges_param*(OFFSET(TblImps[[#This Row],[Land]],1,0)-OFFSET(TblExplore[[#This Row],[Land Bonus]],1,0)*20)+15000)))*(1+(mason_bonus*TblConstr[[#This Row],[Tot Mas]]/TblConstr[[#This Row],[Land (2)]]))</f>
        <v>0</v>
      </c>
      <c r="AD10" s="287">
        <f ca="1">harbor_towers_cap*(1-EXP(-TblImps[[#This Row],[Σ Harbor]]/(harbor_towers_param*(OFFSET(TblImps[[#This Row],[Land]],1,0)-OFFSET(TblExplore[[#This Row],[Land Bonus]],1,0)*20)+15000)))*(1+(mason_bonus*TblConstr[[#This Row],[Tot Mas]]/TblConstr[[#This Row],[Land (2)]]))</f>
        <v>0</v>
      </c>
      <c r="AE10" s="142"/>
      <c r="AF10" s="61">
        <f ca="1">(1+Overview!$I$29)*SUM(TblImps[[#This Row],[P2]:[G2]])+OFFSET(TblImps[[#This Row],[Σ Science]],-1,0)</f>
        <v>0</v>
      </c>
      <c r="AG10" s="61">
        <f ca="1">(1+Overview!$I$29)*SUM(TblImps[[#This Row],[P3]:[G3]])+OFFSET(TblImps[[#This Row],[Σ Keep]],-1,0)</f>
        <v>0</v>
      </c>
      <c r="AH10" s="61">
        <f ca="1">(1+Overview!$I$29 + tech_7_1*TblTech[[#This Row],[7-1]])*SUM(TblImps[[#This Row],[P4]:[G4]])+OFFSET(TblImps[[#This Row],[Σ Spires]],-1,0)</f>
        <v>0</v>
      </c>
      <c r="AI10" s="61">
        <f ca="1">(1+Overview!$I$29)*SUM(TblImps[[#This Row],[P5]:[G5]])+OFFSET(TblImps[[#This Row],[Σ Forges]],-1,0)</f>
        <v>0</v>
      </c>
      <c r="AJ10" s="61">
        <f ca="1">(1+Overview!$I$29)*SUM(TblImps[[#This Row],[P6]:[G6]])+OFFSET(TblImps[[#This Row],[Σ Walls]],-1,0)</f>
        <v>0</v>
      </c>
      <c r="AK10" s="61">
        <f ca="1">(1+Overview!$I$29 + tech_7_1*TblTech[[#This Row],[7-1]])*SUM(TblImps[[#This Row],[P7]:[G7]])+OFFSET(TblImps[[#This Row],[Σ Harbor]],-1,0)</f>
        <v>0</v>
      </c>
      <c r="AL10" s="142"/>
      <c r="AM10" s="57">
        <f>IF(AND(TblImps[[#This Row],[Resource]]=AM$2,TblImps[[#This Row],[Part]]&lt;&gt;""),TblImps[[#This Row],[Amount]]) + IF(AND(TblImps[[#This Row],[Resource 2]]=AM$2,TblImps[[#This Row],[Part 2]]&lt;&gt;""),TblImps[[#This Row],[Amount 2]]) + IF(AND(TblImps[[#This Row],[Resource 3]]=AM$2,TblImps[[#This Row],[Part 3]]&lt;&gt;""),TblImps[[#This Row],[Amount 3]])</f>
        <v>0</v>
      </c>
      <c r="AN10" s="57">
        <f>IF(AND(TblImps[[#This Row],[Resource]]=AN$2,TblImps[[#This Row],[Part]]&lt;&gt;""),TblImps[[#This Row],[Amount]]) + IF(AND(TblImps[[#This Row],[Resource 2]]=AN$2,TblImps[[#This Row],[Part 2]]&lt;&gt;""),TblImps[[#This Row],[Amount 2]]) + IF(AND(TblImps[[#This Row],[Resource 3]]=AN$2,TblImps[[#This Row],[Part 3]]&lt;&gt;""),TblImps[[#This Row],[Amount 3]])</f>
        <v>0</v>
      </c>
      <c r="AO10" s="57">
        <f>IF(AND(TblImps[[#This Row],[Resource]]=AO$2,TblImps[[#This Row],[Part]]&lt;&gt;""),TblImps[[#This Row],[Amount]]) + IF(AND(TblImps[[#This Row],[Resource 2]]=AO$2,TblImps[[#This Row],[Part 2]]&lt;&gt;""),TblImps[[#This Row],[Amount 2]]) + IF(AND(TblImps[[#This Row],[Resource 3]]=AO$2,TblImps[[#This Row],[Part 3]]&lt;&gt;""),TblImps[[#This Row],[Amount 3]])</f>
        <v>0</v>
      </c>
      <c r="AP10" s="57">
        <f>IF(AND(TblImps[[#This Row],[Resource]]=AP$2,TblImps[[#This Row],[Part]]&lt;&gt;""),TblImps[[#This Row],[Amount]]) + IF(AND(TblImps[[#This Row],[Resource 2]]=AP$2,TblImps[[#This Row],[Part 2]]&lt;&gt;""),TblImps[[#This Row],[Amount 2]]) + IF(AND(TblImps[[#This Row],[Resource 3]]=AP$2,TblImps[[#This Row],[Part 3]]&lt;&gt;""),TblImps[[#This Row],[Amount 3]])</f>
        <v>0</v>
      </c>
      <c r="AQ10" s="142"/>
      <c r="AR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 s="142"/>
      <c r="AW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 s="142"/>
      <c r="BB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 s="142"/>
      <c r="BG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 s="142"/>
      <c r="BL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 s="142"/>
      <c r="BQ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 s="142"/>
      <c r="BV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 s="61">
        <f>TblImps[[#This Row],[Login]]</f>
        <v>0</v>
      </c>
      <c r="BX10" s="137"/>
      <c r="BY10" s="293">
        <f ca="1">OFFSET(TblImps[[#This Row],[Real time]],-1,0)+1/24</f>
        <v>46047.249999999985</v>
      </c>
      <c r="BZ10" s="294">
        <f ca="1">OFFSET(TblImps[[#This Row],[Servertime]],-1,0)+1/24</f>
        <v>46047.249999999985</v>
      </c>
      <c r="CA10" s="57"/>
      <c r="CB10" s="292"/>
      <c r="CC10" s="292"/>
    </row>
    <row r="11" spans="1:84" hidden="1" x14ac:dyDescent="0.2">
      <c r="A11" s="214">
        <f ca="1">TblConstr[[#This Row],[Land]]</f>
        <v>50</v>
      </c>
      <c r="B11" s="142"/>
      <c r="C11" s="94">
        <f ca="1">TblProd[[#This Row],[Platinum]]</f>
        <v>59388</v>
      </c>
      <c r="D11" s="94">
        <f ca="1">TblProd[[#This Row],[Lumber]]</f>
        <v>20775</v>
      </c>
      <c r="E11" s="94">
        <f ca="1">TblProd[[#This Row],[Ore]]</f>
        <v>0</v>
      </c>
      <c r="F11" s="94">
        <f ca="1">TblProd[[#This Row],[Gems]]</f>
        <v>0</v>
      </c>
      <c r="G11" s="154"/>
      <c r="H11" s="94">
        <f ca="1">TblMili[[#This Row],[Draftees]]</f>
        <v>185</v>
      </c>
      <c r="I11" s="180">
        <f ca="1">TblPop[[#This Row],[Employment]]</f>
        <v>1</v>
      </c>
      <c r="J11" s="180">
        <f ca="1">TblPop[[#This Row],[Total]]/TblPop[[#This Row],[Net max]]</f>
        <v>0.93888166449934984</v>
      </c>
      <c r="K11" s="283">
        <f>TblRezone[[#This Row],[Hour]]</f>
        <v>8</v>
      </c>
      <c r="L11" s="284">
        <f ca="1">TblImps[[#This Row],[Real time]]</f>
        <v>46047.29166666665</v>
      </c>
      <c r="M11" s="61">
        <f>IF(ISERROR(TblImps[[#This Row],[algorithm]]),0,TblImps[[#This Row],[algorithm]]*1)</f>
        <v>0</v>
      </c>
      <c r="N11" s="94">
        <f ca="1">TblImps[[#This Row],[Land]]</f>
        <v>50</v>
      </c>
      <c r="O11" s="134" t="s">
        <v>4</v>
      </c>
      <c r="P11" s="481"/>
      <c r="Q11" s="134" t="s">
        <v>210</v>
      </c>
      <c r="R11" s="134" t="s">
        <v>7</v>
      </c>
      <c r="S11" s="481"/>
      <c r="T11" s="134" t="s">
        <v>210</v>
      </c>
      <c r="U11" s="134" t="s">
        <v>3</v>
      </c>
      <c r="V11" s="481"/>
      <c r="W11" s="134" t="s">
        <v>210</v>
      </c>
      <c r="X11" s="142"/>
      <c r="Y11" s="287">
        <f ca="1">science_cap*(1-EXP(-TblImps[[#This Row],[Σ Science]]/(science_param*(OFFSET(TblImps[[#This Row],[Land]],1,0)-OFFSET(TblExplore[[#This Row],[Land Bonus]],1,0)*20)+15000)))*(1+(mason_bonus*TblConstr[[#This Row],[Tot Mas]]/TblConstr[[#This Row],[Land (2)]]))</f>
        <v>0</v>
      </c>
      <c r="Z11" s="287">
        <f ca="1">keep_cap*(1-EXP(-TblImps[[#This Row],[Σ Keep]]/(keep_param*(OFFSET(TblImps[[#This Row],[Land]],1,0)-OFFSET(TblExplore[[#This Row],[Land Bonus]],1,0)*20)+15000)))*(1+(mason_bonus*TblConstr[[#This Row],[Tot Mas]]/TblConstr[[#This Row],[Land (2)]]))</f>
        <v>0</v>
      </c>
      <c r="AA11" s="287">
        <f ca="1">harbor_towers_cap*(1-EXP(-TblImps[[#This Row],[Σ Spires]]/(towers_param*(OFFSET(TblImps[[#This Row],[Land]],1,0)-OFFSET(TblExplore[[#This Row],[Land Bonus]],1,0)*20)+15000)))*(1+(mason_bonus*TblConstr[[#This Row],[Tot Mas]]/TblConstr[[#This Row],[Land (2)]]))</f>
        <v>0</v>
      </c>
      <c r="AB11" s="287">
        <f ca="1">walls_forges_cap*(1-EXP(-TblImps[[#This Row],[Σ Forges]]/(walls_forges_param*(OFFSET(TblImps[[#This Row],[Land]],1,0)-OFFSET(TblExplore[[#This Row],[Land Bonus]],1,0)*20)+15000)))*(1+(mason_bonus*TblConstr[[#This Row],[Tot Mas]]/TblConstr[[#This Row],[Land (2)]]))</f>
        <v>0</v>
      </c>
      <c r="AC11" s="287">
        <f ca="1">walls_forges_cap*(1-EXP(-TblImps[[#This Row],[Σ Walls]]/(walls_forges_param*(OFFSET(TblImps[[#This Row],[Land]],1,0)-OFFSET(TblExplore[[#This Row],[Land Bonus]],1,0)*20)+15000)))*(1+(mason_bonus*TblConstr[[#This Row],[Tot Mas]]/TblConstr[[#This Row],[Land (2)]]))</f>
        <v>0</v>
      </c>
      <c r="AD11" s="287">
        <f ca="1">harbor_towers_cap*(1-EXP(-TblImps[[#This Row],[Σ Harbor]]/(harbor_towers_param*(OFFSET(TblImps[[#This Row],[Land]],1,0)-OFFSET(TblExplore[[#This Row],[Land Bonus]],1,0)*20)+15000)))*(1+(mason_bonus*TblConstr[[#This Row],[Tot Mas]]/TblConstr[[#This Row],[Land (2)]]))</f>
        <v>0</v>
      </c>
      <c r="AE11" s="142"/>
      <c r="AF11" s="61">
        <f ca="1">(1+Overview!$I$29)*SUM(TblImps[[#This Row],[P2]:[G2]])+OFFSET(TblImps[[#This Row],[Σ Science]],-1,0)</f>
        <v>0</v>
      </c>
      <c r="AG11" s="61">
        <f ca="1">(1+Overview!$I$29)*SUM(TblImps[[#This Row],[P3]:[G3]])+OFFSET(TblImps[[#This Row],[Σ Keep]],-1,0)</f>
        <v>0</v>
      </c>
      <c r="AH11" s="61">
        <f ca="1">(1+Overview!$I$29 + tech_7_1*TblTech[[#This Row],[7-1]])*SUM(TblImps[[#This Row],[P4]:[G4]])+OFFSET(TblImps[[#This Row],[Σ Spires]],-1,0)</f>
        <v>0</v>
      </c>
      <c r="AI11" s="61">
        <f ca="1">(1+Overview!$I$29)*SUM(TblImps[[#This Row],[P5]:[G5]])+OFFSET(TblImps[[#This Row],[Σ Forges]],-1,0)</f>
        <v>0</v>
      </c>
      <c r="AJ11" s="61">
        <f ca="1">(1+Overview!$I$29)*SUM(TblImps[[#This Row],[P6]:[G6]])+OFFSET(TblImps[[#This Row],[Σ Walls]],-1,0)</f>
        <v>0</v>
      </c>
      <c r="AK11" s="61">
        <f ca="1">(1+Overview!$I$29 + tech_7_1*TblTech[[#This Row],[7-1]])*SUM(TblImps[[#This Row],[P7]:[G7]])+OFFSET(TblImps[[#This Row],[Σ Harbor]],-1,0)</f>
        <v>0</v>
      </c>
      <c r="AL11" s="142"/>
      <c r="AM11" s="57">
        <f>IF(AND(TblImps[[#This Row],[Resource]]=AM$2,TblImps[[#This Row],[Part]]&lt;&gt;""),TblImps[[#This Row],[Amount]]) + IF(AND(TblImps[[#This Row],[Resource 2]]=AM$2,TblImps[[#This Row],[Part 2]]&lt;&gt;""),TblImps[[#This Row],[Amount 2]]) + IF(AND(TblImps[[#This Row],[Resource 3]]=AM$2,TblImps[[#This Row],[Part 3]]&lt;&gt;""),TblImps[[#This Row],[Amount 3]])</f>
        <v>0</v>
      </c>
      <c r="AN11" s="57">
        <f>IF(AND(TblImps[[#This Row],[Resource]]=AN$2,TblImps[[#This Row],[Part]]&lt;&gt;""),TblImps[[#This Row],[Amount]]) + IF(AND(TblImps[[#This Row],[Resource 2]]=AN$2,TblImps[[#This Row],[Part 2]]&lt;&gt;""),TblImps[[#This Row],[Amount 2]]) + IF(AND(TblImps[[#This Row],[Resource 3]]=AN$2,TblImps[[#This Row],[Part 3]]&lt;&gt;""),TblImps[[#This Row],[Amount 3]])</f>
        <v>0</v>
      </c>
      <c r="AO11" s="57">
        <f>IF(AND(TblImps[[#This Row],[Resource]]=AO$2,TblImps[[#This Row],[Part]]&lt;&gt;""),TblImps[[#This Row],[Amount]]) + IF(AND(TblImps[[#This Row],[Resource 2]]=AO$2,TblImps[[#This Row],[Part 2]]&lt;&gt;""),TblImps[[#This Row],[Amount 2]]) + IF(AND(TblImps[[#This Row],[Resource 3]]=AO$2,TblImps[[#This Row],[Part 3]]&lt;&gt;""),TblImps[[#This Row],[Amount 3]])</f>
        <v>0</v>
      </c>
      <c r="AP11" s="57">
        <f>IF(AND(TblImps[[#This Row],[Resource]]=AP$2,TblImps[[#This Row],[Part]]&lt;&gt;""),TblImps[[#This Row],[Amount]]) + IF(AND(TblImps[[#This Row],[Resource 2]]=AP$2,TblImps[[#This Row],[Part 2]]&lt;&gt;""),TblImps[[#This Row],[Amount 2]]) + IF(AND(TblImps[[#This Row],[Resource 3]]=AP$2,TblImps[[#This Row],[Part 3]]&lt;&gt;""),TblImps[[#This Row],[Amount 3]])</f>
        <v>0</v>
      </c>
      <c r="AQ11" s="142"/>
      <c r="AR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 s="142"/>
      <c r="AW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 s="142"/>
      <c r="BB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 s="142"/>
      <c r="BG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 s="142"/>
      <c r="BL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 s="142"/>
      <c r="BQ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 s="142"/>
      <c r="BV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 s="61">
        <f>TblImps[[#This Row],[Login]]</f>
        <v>0</v>
      </c>
      <c r="BX11" s="137"/>
      <c r="BY11" s="293">
        <f ca="1">OFFSET(TblImps[[#This Row],[Real time]],-1,0)+1/24</f>
        <v>46047.29166666665</v>
      </c>
      <c r="BZ11" s="294">
        <f ca="1">OFFSET(TblImps[[#This Row],[Servertime]],-1,0)+1/24</f>
        <v>46047.29166666665</v>
      </c>
      <c r="CA11" s="57"/>
      <c r="CB11" s="292"/>
      <c r="CC11" s="292"/>
    </row>
    <row r="12" spans="1:84" hidden="1" x14ac:dyDescent="0.2">
      <c r="A12" s="214">
        <f ca="1">TblConstr[[#This Row],[Land]]</f>
        <v>50</v>
      </c>
      <c r="B12" s="142"/>
      <c r="C12" s="94">
        <f ca="1">TblProd[[#This Row],[Platinum]]</f>
        <v>60837</v>
      </c>
      <c r="D12" s="94">
        <f ca="1">TblProd[[#This Row],[Lumber]]</f>
        <v>21567</v>
      </c>
      <c r="E12" s="94">
        <f ca="1">TblProd[[#This Row],[Ore]]</f>
        <v>0</v>
      </c>
      <c r="F12" s="94">
        <f ca="1">TblProd[[#This Row],[Gems]]</f>
        <v>0</v>
      </c>
      <c r="G12" s="154"/>
      <c r="H12" s="94">
        <f ca="1">TblMili[[#This Row],[Draftees]]</f>
        <v>190</v>
      </c>
      <c r="I12" s="180">
        <f ca="1">TblPop[[#This Row],[Employment]]</f>
        <v>1</v>
      </c>
      <c r="J12" s="180">
        <f ca="1">TblPop[[#This Row],[Total]]/TblPop[[#This Row],[Net max]]</f>
        <v>0.95968790637191159</v>
      </c>
      <c r="K12" s="283">
        <f>TblRezone[[#This Row],[Hour]]</f>
        <v>9</v>
      </c>
      <c r="L12" s="284">
        <f ca="1">TblImps[[#This Row],[Real time]]</f>
        <v>46047.333333333314</v>
      </c>
      <c r="M12" s="61">
        <f>IF(ISERROR(TblImps[[#This Row],[algorithm]]),0,TblImps[[#This Row],[algorithm]]*1)</f>
        <v>0</v>
      </c>
      <c r="N12" s="94">
        <f ca="1">TblImps[[#This Row],[Land]]</f>
        <v>50</v>
      </c>
      <c r="O12" s="134" t="s">
        <v>4</v>
      </c>
      <c r="P12" s="481"/>
      <c r="Q12" s="134" t="s">
        <v>210</v>
      </c>
      <c r="R12" s="134" t="s">
        <v>7</v>
      </c>
      <c r="S12" s="481"/>
      <c r="T12" s="134" t="s">
        <v>210</v>
      </c>
      <c r="U12" s="134" t="s">
        <v>3</v>
      </c>
      <c r="V12" s="481"/>
      <c r="W12" s="134" t="s">
        <v>210</v>
      </c>
      <c r="X12" s="142"/>
      <c r="Y12" s="287">
        <f ca="1">science_cap*(1-EXP(-TblImps[[#This Row],[Σ Science]]/(science_param*(OFFSET(TblImps[[#This Row],[Land]],1,0)-OFFSET(TblExplore[[#This Row],[Land Bonus]],1,0)*20)+15000)))*(1+(mason_bonus*TblConstr[[#This Row],[Tot Mas]]/TblConstr[[#This Row],[Land (2)]]))</f>
        <v>0</v>
      </c>
      <c r="Z12" s="287">
        <f ca="1">keep_cap*(1-EXP(-TblImps[[#This Row],[Σ Keep]]/(keep_param*(OFFSET(TblImps[[#This Row],[Land]],1,0)-OFFSET(TblExplore[[#This Row],[Land Bonus]],1,0)*20)+15000)))*(1+(mason_bonus*TblConstr[[#This Row],[Tot Mas]]/TblConstr[[#This Row],[Land (2)]]))</f>
        <v>0</v>
      </c>
      <c r="AA12" s="287">
        <f ca="1">harbor_towers_cap*(1-EXP(-TblImps[[#This Row],[Σ Spires]]/(towers_param*(OFFSET(TblImps[[#This Row],[Land]],1,0)-OFFSET(TblExplore[[#This Row],[Land Bonus]],1,0)*20)+15000)))*(1+(mason_bonus*TblConstr[[#This Row],[Tot Mas]]/TblConstr[[#This Row],[Land (2)]]))</f>
        <v>0</v>
      </c>
      <c r="AB12" s="287">
        <f ca="1">walls_forges_cap*(1-EXP(-TblImps[[#This Row],[Σ Forges]]/(walls_forges_param*(OFFSET(TblImps[[#This Row],[Land]],1,0)-OFFSET(TblExplore[[#This Row],[Land Bonus]],1,0)*20)+15000)))*(1+(mason_bonus*TblConstr[[#This Row],[Tot Mas]]/TblConstr[[#This Row],[Land (2)]]))</f>
        <v>0</v>
      </c>
      <c r="AC12" s="287">
        <f ca="1">walls_forges_cap*(1-EXP(-TblImps[[#This Row],[Σ Walls]]/(walls_forges_param*(OFFSET(TblImps[[#This Row],[Land]],1,0)-OFFSET(TblExplore[[#This Row],[Land Bonus]],1,0)*20)+15000)))*(1+(mason_bonus*TblConstr[[#This Row],[Tot Mas]]/TblConstr[[#This Row],[Land (2)]]))</f>
        <v>0</v>
      </c>
      <c r="AD12" s="287">
        <f ca="1">harbor_towers_cap*(1-EXP(-TblImps[[#This Row],[Σ Harbor]]/(harbor_towers_param*(OFFSET(TblImps[[#This Row],[Land]],1,0)-OFFSET(TblExplore[[#This Row],[Land Bonus]],1,0)*20)+15000)))*(1+(mason_bonus*TblConstr[[#This Row],[Tot Mas]]/TblConstr[[#This Row],[Land (2)]]))</f>
        <v>0</v>
      </c>
      <c r="AE12" s="142"/>
      <c r="AF12" s="61">
        <f ca="1">(1+Overview!$I$29)*SUM(TblImps[[#This Row],[P2]:[G2]])+OFFSET(TblImps[[#This Row],[Σ Science]],-1,0)</f>
        <v>0</v>
      </c>
      <c r="AG12" s="61">
        <f ca="1">(1+Overview!$I$29)*SUM(TblImps[[#This Row],[P3]:[G3]])+OFFSET(TblImps[[#This Row],[Σ Keep]],-1,0)</f>
        <v>0</v>
      </c>
      <c r="AH12" s="61">
        <f ca="1">(1+Overview!$I$29 + tech_7_1*TblTech[[#This Row],[7-1]])*SUM(TblImps[[#This Row],[P4]:[G4]])+OFFSET(TblImps[[#This Row],[Σ Spires]],-1,0)</f>
        <v>0</v>
      </c>
      <c r="AI12" s="61">
        <f ca="1">(1+Overview!$I$29)*SUM(TblImps[[#This Row],[P5]:[G5]])+OFFSET(TblImps[[#This Row],[Σ Forges]],-1,0)</f>
        <v>0</v>
      </c>
      <c r="AJ12" s="61">
        <f ca="1">(1+Overview!$I$29)*SUM(TblImps[[#This Row],[P6]:[G6]])+OFFSET(TblImps[[#This Row],[Σ Walls]],-1,0)</f>
        <v>0</v>
      </c>
      <c r="AK12" s="61">
        <f ca="1">(1+Overview!$I$29 + tech_7_1*TblTech[[#This Row],[7-1]])*SUM(TblImps[[#This Row],[P7]:[G7]])+OFFSET(TblImps[[#This Row],[Σ Harbor]],-1,0)</f>
        <v>0</v>
      </c>
      <c r="AL12" s="142"/>
      <c r="AM12" s="57">
        <f>IF(AND(TblImps[[#This Row],[Resource]]=AM$2,TblImps[[#This Row],[Part]]&lt;&gt;""),TblImps[[#This Row],[Amount]]) + IF(AND(TblImps[[#This Row],[Resource 2]]=AM$2,TblImps[[#This Row],[Part 2]]&lt;&gt;""),TblImps[[#This Row],[Amount 2]]) + IF(AND(TblImps[[#This Row],[Resource 3]]=AM$2,TblImps[[#This Row],[Part 3]]&lt;&gt;""),TblImps[[#This Row],[Amount 3]])</f>
        <v>0</v>
      </c>
      <c r="AN12" s="57">
        <f>IF(AND(TblImps[[#This Row],[Resource]]=AN$2,TblImps[[#This Row],[Part]]&lt;&gt;""),TblImps[[#This Row],[Amount]]) + IF(AND(TblImps[[#This Row],[Resource 2]]=AN$2,TblImps[[#This Row],[Part 2]]&lt;&gt;""),TblImps[[#This Row],[Amount 2]]) + IF(AND(TblImps[[#This Row],[Resource 3]]=AN$2,TblImps[[#This Row],[Part 3]]&lt;&gt;""),TblImps[[#This Row],[Amount 3]])</f>
        <v>0</v>
      </c>
      <c r="AO12" s="57">
        <f>IF(AND(TblImps[[#This Row],[Resource]]=AO$2,TblImps[[#This Row],[Part]]&lt;&gt;""),TblImps[[#This Row],[Amount]]) + IF(AND(TblImps[[#This Row],[Resource 2]]=AO$2,TblImps[[#This Row],[Part 2]]&lt;&gt;""),TblImps[[#This Row],[Amount 2]]) + IF(AND(TblImps[[#This Row],[Resource 3]]=AO$2,TblImps[[#This Row],[Part 3]]&lt;&gt;""),TblImps[[#This Row],[Amount 3]])</f>
        <v>0</v>
      </c>
      <c r="AP12" s="57">
        <f>IF(AND(TblImps[[#This Row],[Resource]]=AP$2,TblImps[[#This Row],[Part]]&lt;&gt;""),TblImps[[#This Row],[Amount]]) + IF(AND(TblImps[[#This Row],[Resource 2]]=AP$2,TblImps[[#This Row],[Part 2]]&lt;&gt;""),TblImps[[#This Row],[Amount 2]]) + IF(AND(TblImps[[#This Row],[Resource 3]]=AP$2,TblImps[[#This Row],[Part 3]]&lt;&gt;""),TblImps[[#This Row],[Amount 3]])</f>
        <v>0</v>
      </c>
      <c r="AQ12" s="142"/>
      <c r="AR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 s="142"/>
      <c r="AW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 s="142"/>
      <c r="BB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 s="142"/>
      <c r="BG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 s="142"/>
      <c r="BL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 s="142"/>
      <c r="BQ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 s="142"/>
      <c r="BV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 s="61">
        <f>TblImps[[#This Row],[Login]]</f>
        <v>0</v>
      </c>
      <c r="BX12" s="137"/>
      <c r="BY12" s="293">
        <f ca="1">OFFSET(TblImps[[#This Row],[Real time]],-1,0)+1/24</f>
        <v>46047.333333333314</v>
      </c>
      <c r="BZ12" s="294">
        <f ca="1">OFFSET(TblImps[[#This Row],[Servertime]],-1,0)+1/24</f>
        <v>46047.333333333314</v>
      </c>
      <c r="CA12" s="57"/>
      <c r="CB12" s="292"/>
      <c r="CC12" s="292"/>
    </row>
    <row r="13" spans="1:84" hidden="1" x14ac:dyDescent="0.2">
      <c r="A13" s="214">
        <f ca="1">TblConstr[[#This Row],[Land]]</f>
        <v>50</v>
      </c>
      <c r="B13" s="142"/>
      <c r="C13" s="94">
        <f ca="1">TblProd[[#This Row],[Platinum]]</f>
        <v>62316</v>
      </c>
      <c r="D13" s="94">
        <f ca="1">TblProd[[#This Row],[Lumber]]</f>
        <v>22351</v>
      </c>
      <c r="E13" s="94">
        <f ca="1">TblProd[[#This Row],[Ore]]</f>
        <v>0</v>
      </c>
      <c r="F13" s="94">
        <f ca="1">TblProd[[#This Row],[Gems]]</f>
        <v>0</v>
      </c>
      <c r="G13" s="154"/>
      <c r="H13" s="94">
        <f ca="1">TblMili[[#This Row],[Draftees]]</f>
        <v>195</v>
      </c>
      <c r="I13" s="180">
        <f ca="1">TblPop[[#This Row],[Employment]]</f>
        <v>1</v>
      </c>
      <c r="J13" s="180">
        <f ca="1">TblPop[[#This Row],[Total]]/TblPop[[#This Row],[Net max]]</f>
        <v>0.98049414824447334</v>
      </c>
      <c r="K13" s="283">
        <f>TblRezone[[#This Row],[Hour]]</f>
        <v>10</v>
      </c>
      <c r="L13" s="284">
        <f ca="1">TblImps[[#This Row],[Real time]]</f>
        <v>46047.374999999978</v>
      </c>
      <c r="M13" s="61">
        <f>IF(ISERROR(TblImps[[#This Row],[algorithm]]),0,TblImps[[#This Row],[algorithm]]*1)</f>
        <v>0</v>
      </c>
      <c r="N13" s="94">
        <f ca="1">TblImps[[#This Row],[Land]]</f>
        <v>50</v>
      </c>
      <c r="O13" s="134" t="s">
        <v>4</v>
      </c>
      <c r="P13" s="481"/>
      <c r="Q13" s="134" t="s">
        <v>210</v>
      </c>
      <c r="R13" s="134" t="s">
        <v>7</v>
      </c>
      <c r="S13" s="481"/>
      <c r="T13" s="134" t="s">
        <v>210</v>
      </c>
      <c r="U13" s="134" t="s">
        <v>3</v>
      </c>
      <c r="V13" s="481"/>
      <c r="W13" s="134" t="s">
        <v>210</v>
      </c>
      <c r="X13" s="142"/>
      <c r="Y13" s="287">
        <f ca="1">science_cap*(1-EXP(-TblImps[[#This Row],[Σ Science]]/(science_param*(OFFSET(TblImps[[#This Row],[Land]],1,0)-OFFSET(TblExplore[[#This Row],[Land Bonus]],1,0)*20)+15000)))*(1+(mason_bonus*TblConstr[[#This Row],[Tot Mas]]/TblConstr[[#This Row],[Land (2)]]))</f>
        <v>0</v>
      </c>
      <c r="Z13" s="287">
        <f ca="1">keep_cap*(1-EXP(-TblImps[[#This Row],[Σ Keep]]/(keep_param*(OFFSET(TblImps[[#This Row],[Land]],1,0)-OFFSET(TblExplore[[#This Row],[Land Bonus]],1,0)*20)+15000)))*(1+(mason_bonus*TblConstr[[#This Row],[Tot Mas]]/TblConstr[[#This Row],[Land (2)]]))</f>
        <v>0</v>
      </c>
      <c r="AA13" s="287">
        <f ca="1">harbor_towers_cap*(1-EXP(-TblImps[[#This Row],[Σ Spires]]/(towers_param*(OFFSET(TblImps[[#This Row],[Land]],1,0)-OFFSET(TblExplore[[#This Row],[Land Bonus]],1,0)*20)+15000)))*(1+(mason_bonus*TblConstr[[#This Row],[Tot Mas]]/TblConstr[[#This Row],[Land (2)]]))</f>
        <v>0</v>
      </c>
      <c r="AB13" s="287">
        <f ca="1">walls_forges_cap*(1-EXP(-TblImps[[#This Row],[Σ Forges]]/(walls_forges_param*(OFFSET(TblImps[[#This Row],[Land]],1,0)-OFFSET(TblExplore[[#This Row],[Land Bonus]],1,0)*20)+15000)))*(1+(mason_bonus*TblConstr[[#This Row],[Tot Mas]]/TblConstr[[#This Row],[Land (2)]]))</f>
        <v>0</v>
      </c>
      <c r="AC13" s="287">
        <f ca="1">walls_forges_cap*(1-EXP(-TblImps[[#This Row],[Σ Walls]]/(walls_forges_param*(OFFSET(TblImps[[#This Row],[Land]],1,0)-OFFSET(TblExplore[[#This Row],[Land Bonus]],1,0)*20)+15000)))*(1+(mason_bonus*TblConstr[[#This Row],[Tot Mas]]/TblConstr[[#This Row],[Land (2)]]))</f>
        <v>0</v>
      </c>
      <c r="AD13" s="287">
        <f ca="1">harbor_towers_cap*(1-EXP(-TblImps[[#This Row],[Σ Harbor]]/(harbor_towers_param*(OFFSET(TblImps[[#This Row],[Land]],1,0)-OFFSET(TblExplore[[#This Row],[Land Bonus]],1,0)*20)+15000)))*(1+(mason_bonus*TblConstr[[#This Row],[Tot Mas]]/TblConstr[[#This Row],[Land (2)]]))</f>
        <v>0</v>
      </c>
      <c r="AE13" s="142"/>
      <c r="AF13" s="61">
        <f ca="1">(1+Overview!$I$29)*SUM(TblImps[[#This Row],[P2]:[G2]])+OFFSET(TblImps[[#This Row],[Σ Science]],-1,0)</f>
        <v>0</v>
      </c>
      <c r="AG13" s="61">
        <f ca="1">(1+Overview!$I$29)*SUM(TblImps[[#This Row],[P3]:[G3]])+OFFSET(TblImps[[#This Row],[Σ Keep]],-1,0)</f>
        <v>0</v>
      </c>
      <c r="AH13" s="61">
        <f ca="1">(1+Overview!$I$29 + tech_7_1*TblTech[[#This Row],[7-1]])*SUM(TblImps[[#This Row],[P4]:[G4]])+OFFSET(TblImps[[#This Row],[Σ Spires]],-1,0)</f>
        <v>0</v>
      </c>
      <c r="AI13" s="61">
        <f ca="1">(1+Overview!$I$29)*SUM(TblImps[[#This Row],[P5]:[G5]])+OFFSET(TblImps[[#This Row],[Σ Forges]],-1,0)</f>
        <v>0</v>
      </c>
      <c r="AJ13" s="61">
        <f ca="1">(1+Overview!$I$29)*SUM(TblImps[[#This Row],[P6]:[G6]])+OFFSET(TblImps[[#This Row],[Σ Walls]],-1,0)</f>
        <v>0</v>
      </c>
      <c r="AK13" s="61">
        <f ca="1">(1+Overview!$I$29 + tech_7_1*TblTech[[#This Row],[7-1]])*SUM(TblImps[[#This Row],[P7]:[G7]])+OFFSET(TblImps[[#This Row],[Σ Harbor]],-1,0)</f>
        <v>0</v>
      </c>
      <c r="AL13" s="142"/>
      <c r="AM13" s="57">
        <f>IF(AND(TblImps[[#This Row],[Resource]]=AM$2,TblImps[[#This Row],[Part]]&lt;&gt;""),TblImps[[#This Row],[Amount]]) + IF(AND(TblImps[[#This Row],[Resource 2]]=AM$2,TblImps[[#This Row],[Part 2]]&lt;&gt;""),TblImps[[#This Row],[Amount 2]]) + IF(AND(TblImps[[#This Row],[Resource 3]]=AM$2,TblImps[[#This Row],[Part 3]]&lt;&gt;""),TblImps[[#This Row],[Amount 3]])</f>
        <v>0</v>
      </c>
      <c r="AN13" s="57">
        <f>IF(AND(TblImps[[#This Row],[Resource]]=AN$2,TblImps[[#This Row],[Part]]&lt;&gt;""),TblImps[[#This Row],[Amount]]) + IF(AND(TblImps[[#This Row],[Resource 2]]=AN$2,TblImps[[#This Row],[Part 2]]&lt;&gt;""),TblImps[[#This Row],[Amount 2]]) + IF(AND(TblImps[[#This Row],[Resource 3]]=AN$2,TblImps[[#This Row],[Part 3]]&lt;&gt;""),TblImps[[#This Row],[Amount 3]])</f>
        <v>0</v>
      </c>
      <c r="AO13" s="57">
        <f>IF(AND(TblImps[[#This Row],[Resource]]=AO$2,TblImps[[#This Row],[Part]]&lt;&gt;""),TblImps[[#This Row],[Amount]]) + IF(AND(TblImps[[#This Row],[Resource 2]]=AO$2,TblImps[[#This Row],[Part 2]]&lt;&gt;""),TblImps[[#This Row],[Amount 2]]) + IF(AND(TblImps[[#This Row],[Resource 3]]=AO$2,TblImps[[#This Row],[Part 3]]&lt;&gt;""),TblImps[[#This Row],[Amount 3]])</f>
        <v>0</v>
      </c>
      <c r="AP13" s="57">
        <f>IF(AND(TblImps[[#This Row],[Resource]]=AP$2,TblImps[[#This Row],[Part]]&lt;&gt;""),TblImps[[#This Row],[Amount]]) + IF(AND(TblImps[[#This Row],[Resource 2]]=AP$2,TblImps[[#This Row],[Part 2]]&lt;&gt;""),TblImps[[#This Row],[Amount 2]]) + IF(AND(TblImps[[#This Row],[Resource 3]]=AP$2,TblImps[[#This Row],[Part 3]]&lt;&gt;""),TblImps[[#This Row],[Amount 3]])</f>
        <v>0</v>
      </c>
      <c r="AQ13" s="142"/>
      <c r="AR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 s="142"/>
      <c r="AW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 s="142"/>
      <c r="BB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 s="142"/>
      <c r="BG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 s="142"/>
      <c r="BL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 s="142"/>
      <c r="BQ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 s="142"/>
      <c r="BV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 s="61">
        <f>TblImps[[#This Row],[Login]]</f>
        <v>0</v>
      </c>
      <c r="BX13" s="137"/>
      <c r="BY13" s="293">
        <f ca="1">OFFSET(TblImps[[#This Row],[Real time]],-1,0)+1/24</f>
        <v>46047.374999999978</v>
      </c>
      <c r="BZ13" s="294">
        <f ca="1">OFFSET(TblImps[[#This Row],[Servertime]],-1,0)+1/24</f>
        <v>46047.374999999978</v>
      </c>
      <c r="CA13" s="57"/>
      <c r="CB13" s="292"/>
      <c r="CC13" s="292"/>
    </row>
    <row r="14" spans="1:84" hidden="1" x14ac:dyDescent="0.2">
      <c r="A14" s="214">
        <f ca="1">TblConstr[[#This Row],[Land]]</f>
        <v>50</v>
      </c>
      <c r="B14" s="142"/>
      <c r="C14" s="94">
        <f ca="1">TblProd[[#This Row],[Platinum]]</f>
        <v>63825</v>
      </c>
      <c r="D14" s="94">
        <f ca="1">TblProd[[#This Row],[Lumber]]</f>
        <v>23127</v>
      </c>
      <c r="E14" s="94">
        <f ca="1">TblProd[[#This Row],[Ore]]</f>
        <v>0</v>
      </c>
      <c r="F14" s="94">
        <f ca="1">TblProd[[#This Row],[Gems]]</f>
        <v>0</v>
      </c>
      <c r="G14" s="154"/>
      <c r="H14" s="94">
        <f ca="1">TblMili[[#This Row],[Draftees]]</f>
        <v>201</v>
      </c>
      <c r="I14" s="180">
        <f ca="1">TblPop[[#This Row],[Employment]]</f>
        <v>1</v>
      </c>
      <c r="J14" s="180">
        <f ca="1">TblPop[[#This Row],[Total]]/TblPop[[#This Row],[Net max]]</f>
        <v>1</v>
      </c>
      <c r="K14" s="283">
        <f>TblRezone[[#This Row],[Hour]]</f>
        <v>11</v>
      </c>
      <c r="L14" s="284">
        <f ca="1">TblImps[[#This Row],[Real time]]</f>
        <v>46047.416666666642</v>
      </c>
      <c r="M14" s="61">
        <f>IF(ISERROR(TblImps[[#This Row],[algorithm]]),0,TblImps[[#This Row],[algorithm]]*1)</f>
        <v>0</v>
      </c>
      <c r="N14" s="94">
        <f ca="1">TblImps[[#This Row],[Land]]</f>
        <v>50</v>
      </c>
      <c r="O14" s="134" t="s">
        <v>4</v>
      </c>
      <c r="P14" s="481"/>
      <c r="Q14" s="134" t="s">
        <v>210</v>
      </c>
      <c r="R14" s="134" t="s">
        <v>7</v>
      </c>
      <c r="S14" s="481"/>
      <c r="T14" s="134" t="s">
        <v>210</v>
      </c>
      <c r="U14" s="134" t="s">
        <v>3</v>
      </c>
      <c r="V14" s="481"/>
      <c r="W14" s="134" t="s">
        <v>210</v>
      </c>
      <c r="X14" s="142"/>
      <c r="Y14" s="287">
        <f ca="1">science_cap*(1-EXP(-TblImps[[#This Row],[Σ Science]]/(science_param*(OFFSET(TblImps[[#This Row],[Land]],1,0)-OFFSET(TblExplore[[#This Row],[Land Bonus]],1,0)*20)+15000)))*(1+(mason_bonus*TblConstr[[#This Row],[Tot Mas]]/TblConstr[[#This Row],[Land (2)]]))</f>
        <v>0</v>
      </c>
      <c r="Z14" s="287">
        <f ca="1">keep_cap*(1-EXP(-TblImps[[#This Row],[Σ Keep]]/(keep_param*(OFFSET(TblImps[[#This Row],[Land]],1,0)-OFFSET(TblExplore[[#This Row],[Land Bonus]],1,0)*20)+15000)))*(1+(mason_bonus*TblConstr[[#This Row],[Tot Mas]]/TblConstr[[#This Row],[Land (2)]]))</f>
        <v>0</v>
      </c>
      <c r="AA14" s="287">
        <f ca="1">harbor_towers_cap*(1-EXP(-TblImps[[#This Row],[Σ Spires]]/(towers_param*(OFFSET(TblImps[[#This Row],[Land]],1,0)-OFFSET(TblExplore[[#This Row],[Land Bonus]],1,0)*20)+15000)))*(1+(mason_bonus*TblConstr[[#This Row],[Tot Mas]]/TblConstr[[#This Row],[Land (2)]]))</f>
        <v>0</v>
      </c>
      <c r="AB14" s="287">
        <f ca="1">walls_forges_cap*(1-EXP(-TblImps[[#This Row],[Σ Forges]]/(walls_forges_param*(OFFSET(TblImps[[#This Row],[Land]],1,0)-OFFSET(TblExplore[[#This Row],[Land Bonus]],1,0)*20)+15000)))*(1+(mason_bonus*TblConstr[[#This Row],[Tot Mas]]/TblConstr[[#This Row],[Land (2)]]))</f>
        <v>0</v>
      </c>
      <c r="AC14" s="287">
        <f ca="1">walls_forges_cap*(1-EXP(-TblImps[[#This Row],[Σ Walls]]/(walls_forges_param*(OFFSET(TblImps[[#This Row],[Land]],1,0)-OFFSET(TblExplore[[#This Row],[Land Bonus]],1,0)*20)+15000)))*(1+(mason_bonus*TblConstr[[#This Row],[Tot Mas]]/TblConstr[[#This Row],[Land (2)]]))</f>
        <v>0</v>
      </c>
      <c r="AD14" s="287">
        <f ca="1">harbor_towers_cap*(1-EXP(-TblImps[[#This Row],[Σ Harbor]]/(harbor_towers_param*(OFFSET(TblImps[[#This Row],[Land]],1,0)-OFFSET(TblExplore[[#This Row],[Land Bonus]],1,0)*20)+15000)))*(1+(mason_bonus*TblConstr[[#This Row],[Tot Mas]]/TblConstr[[#This Row],[Land (2)]]))</f>
        <v>0</v>
      </c>
      <c r="AE14" s="142"/>
      <c r="AF14" s="61">
        <f ca="1">(1+Overview!$I$29)*SUM(TblImps[[#This Row],[P2]:[G2]])+OFFSET(TblImps[[#This Row],[Σ Science]],-1,0)</f>
        <v>0</v>
      </c>
      <c r="AG14" s="61">
        <f ca="1">(1+Overview!$I$29)*SUM(TblImps[[#This Row],[P3]:[G3]])+OFFSET(TblImps[[#This Row],[Σ Keep]],-1,0)</f>
        <v>0</v>
      </c>
      <c r="AH14" s="61">
        <f ca="1">(1+Overview!$I$29 + tech_7_1*TblTech[[#This Row],[7-1]])*SUM(TblImps[[#This Row],[P4]:[G4]])+OFFSET(TblImps[[#This Row],[Σ Spires]],-1,0)</f>
        <v>0</v>
      </c>
      <c r="AI14" s="61">
        <f ca="1">(1+Overview!$I$29)*SUM(TblImps[[#This Row],[P5]:[G5]])+OFFSET(TblImps[[#This Row],[Σ Forges]],-1,0)</f>
        <v>0</v>
      </c>
      <c r="AJ14" s="61">
        <f ca="1">(1+Overview!$I$29)*SUM(TblImps[[#This Row],[P6]:[G6]])+OFFSET(TblImps[[#This Row],[Σ Walls]],-1,0)</f>
        <v>0</v>
      </c>
      <c r="AK14" s="61">
        <f ca="1">(1+Overview!$I$29 + tech_7_1*TblTech[[#This Row],[7-1]])*SUM(TblImps[[#This Row],[P7]:[G7]])+OFFSET(TblImps[[#This Row],[Σ Harbor]],-1,0)</f>
        <v>0</v>
      </c>
      <c r="AL14" s="142"/>
      <c r="AM14" s="57">
        <f>IF(AND(TblImps[[#This Row],[Resource]]=AM$2,TblImps[[#This Row],[Part]]&lt;&gt;""),TblImps[[#This Row],[Amount]]) + IF(AND(TblImps[[#This Row],[Resource 2]]=AM$2,TblImps[[#This Row],[Part 2]]&lt;&gt;""),TblImps[[#This Row],[Amount 2]]) + IF(AND(TblImps[[#This Row],[Resource 3]]=AM$2,TblImps[[#This Row],[Part 3]]&lt;&gt;""),TblImps[[#This Row],[Amount 3]])</f>
        <v>0</v>
      </c>
      <c r="AN14" s="57">
        <f>IF(AND(TblImps[[#This Row],[Resource]]=AN$2,TblImps[[#This Row],[Part]]&lt;&gt;""),TblImps[[#This Row],[Amount]]) + IF(AND(TblImps[[#This Row],[Resource 2]]=AN$2,TblImps[[#This Row],[Part 2]]&lt;&gt;""),TblImps[[#This Row],[Amount 2]]) + IF(AND(TblImps[[#This Row],[Resource 3]]=AN$2,TblImps[[#This Row],[Part 3]]&lt;&gt;""),TblImps[[#This Row],[Amount 3]])</f>
        <v>0</v>
      </c>
      <c r="AO14" s="57">
        <f>IF(AND(TblImps[[#This Row],[Resource]]=AO$2,TblImps[[#This Row],[Part]]&lt;&gt;""),TblImps[[#This Row],[Amount]]) + IF(AND(TblImps[[#This Row],[Resource 2]]=AO$2,TblImps[[#This Row],[Part 2]]&lt;&gt;""),TblImps[[#This Row],[Amount 2]]) + IF(AND(TblImps[[#This Row],[Resource 3]]=AO$2,TblImps[[#This Row],[Part 3]]&lt;&gt;""),TblImps[[#This Row],[Amount 3]])</f>
        <v>0</v>
      </c>
      <c r="AP14" s="57">
        <f>IF(AND(TblImps[[#This Row],[Resource]]=AP$2,TblImps[[#This Row],[Part]]&lt;&gt;""),TblImps[[#This Row],[Amount]]) + IF(AND(TblImps[[#This Row],[Resource 2]]=AP$2,TblImps[[#This Row],[Part 2]]&lt;&gt;""),TblImps[[#This Row],[Amount 2]]) + IF(AND(TblImps[[#This Row],[Resource 3]]=AP$2,TblImps[[#This Row],[Part 3]]&lt;&gt;""),TblImps[[#This Row],[Amount 3]])</f>
        <v>0</v>
      </c>
      <c r="AQ14" s="142"/>
      <c r="AR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4" s="142"/>
      <c r="AW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4" s="142"/>
      <c r="BB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4" s="142"/>
      <c r="BG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4" s="142"/>
      <c r="BL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4" s="142"/>
      <c r="BQ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4" s="142"/>
      <c r="BV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4" s="61">
        <f>TblImps[[#This Row],[Login]]</f>
        <v>0</v>
      </c>
      <c r="BX14" s="137"/>
      <c r="BY14" s="293">
        <f ca="1">OFFSET(TblImps[[#This Row],[Real time]],-1,0)+1/24</f>
        <v>46047.416666666642</v>
      </c>
      <c r="BZ14" s="294">
        <f ca="1">OFFSET(TblImps[[#This Row],[Servertime]],-1,0)+1/24</f>
        <v>46047.416666666642</v>
      </c>
      <c r="CA14" s="57"/>
      <c r="CB14" s="292"/>
      <c r="CC14" s="292"/>
    </row>
    <row r="15" spans="1:84" hidden="1" x14ac:dyDescent="0.2">
      <c r="A15" s="214">
        <f ca="1">TblConstr[[#This Row],[Land]]</f>
        <v>50</v>
      </c>
      <c r="B15" s="142"/>
      <c r="C15" s="94">
        <f ca="1">TblProd[[#This Row],[Platinum]]</f>
        <v>65358</v>
      </c>
      <c r="D15" s="94">
        <f ca="1">TblProd[[#This Row],[Lumber]]</f>
        <v>23896</v>
      </c>
      <c r="E15" s="94">
        <f ca="1">TblProd[[#This Row],[Ore]]</f>
        <v>0</v>
      </c>
      <c r="F15" s="94">
        <f ca="1">TblProd[[#This Row],[Gems]]</f>
        <v>0</v>
      </c>
      <c r="G15" s="154"/>
      <c r="H15" s="94">
        <f ca="1">TblMili[[#This Row],[Draftees]]</f>
        <v>207</v>
      </c>
      <c r="I15" s="180">
        <f ca="1">TblPop[[#This Row],[Employment]]</f>
        <v>1</v>
      </c>
      <c r="J15" s="180">
        <f ca="1">TblPop[[#This Row],[Total]]/TblPop[[#This Row],[Net max]]</f>
        <v>1</v>
      </c>
      <c r="K15" s="283">
        <f>TblRezone[[#This Row],[Hour]]</f>
        <v>12</v>
      </c>
      <c r="L15" s="284">
        <f ca="1">TblImps[[#This Row],[Real time]]</f>
        <v>46047.458333333307</v>
      </c>
      <c r="M15" s="61">
        <f>IF(ISERROR(TblImps[[#This Row],[algorithm]]),0,TblImps[[#This Row],[algorithm]]*1)</f>
        <v>0</v>
      </c>
      <c r="N15" s="94">
        <f ca="1">TblImps[[#This Row],[Land]]</f>
        <v>50</v>
      </c>
      <c r="O15" s="134" t="s">
        <v>4</v>
      </c>
      <c r="P15" s="481"/>
      <c r="Q15" s="134" t="s">
        <v>210</v>
      </c>
      <c r="R15" s="134" t="s">
        <v>7</v>
      </c>
      <c r="S15" s="481"/>
      <c r="T15" s="134" t="s">
        <v>210</v>
      </c>
      <c r="U15" s="134" t="s">
        <v>3</v>
      </c>
      <c r="V15" s="481"/>
      <c r="W15" s="134" t="s">
        <v>210</v>
      </c>
      <c r="X15" s="142"/>
      <c r="Y15" s="287">
        <f ca="1">science_cap*(1-EXP(-TblImps[[#This Row],[Σ Science]]/(science_param*(OFFSET(TblImps[[#This Row],[Land]],1,0)-OFFSET(TblExplore[[#This Row],[Land Bonus]],1,0)*20)+15000)))*(1+(mason_bonus*TblConstr[[#This Row],[Tot Mas]]/TblConstr[[#This Row],[Land (2)]]))</f>
        <v>0</v>
      </c>
      <c r="Z15" s="287">
        <f ca="1">keep_cap*(1-EXP(-TblImps[[#This Row],[Σ Keep]]/(keep_param*(OFFSET(TblImps[[#This Row],[Land]],1,0)-OFFSET(TblExplore[[#This Row],[Land Bonus]],1,0)*20)+15000)))*(1+(mason_bonus*TblConstr[[#This Row],[Tot Mas]]/TblConstr[[#This Row],[Land (2)]]))</f>
        <v>0</v>
      </c>
      <c r="AA15" s="287">
        <f ca="1">harbor_towers_cap*(1-EXP(-TblImps[[#This Row],[Σ Spires]]/(towers_param*(OFFSET(TblImps[[#This Row],[Land]],1,0)-OFFSET(TblExplore[[#This Row],[Land Bonus]],1,0)*20)+15000)))*(1+(mason_bonus*TblConstr[[#This Row],[Tot Mas]]/TblConstr[[#This Row],[Land (2)]]))</f>
        <v>0</v>
      </c>
      <c r="AB15" s="287">
        <f ca="1">walls_forges_cap*(1-EXP(-TblImps[[#This Row],[Σ Forges]]/(walls_forges_param*(OFFSET(TblImps[[#This Row],[Land]],1,0)-OFFSET(TblExplore[[#This Row],[Land Bonus]],1,0)*20)+15000)))*(1+(mason_bonus*TblConstr[[#This Row],[Tot Mas]]/TblConstr[[#This Row],[Land (2)]]))</f>
        <v>0</v>
      </c>
      <c r="AC15" s="287">
        <f ca="1">walls_forges_cap*(1-EXP(-TblImps[[#This Row],[Σ Walls]]/(walls_forges_param*(OFFSET(TblImps[[#This Row],[Land]],1,0)-OFFSET(TblExplore[[#This Row],[Land Bonus]],1,0)*20)+15000)))*(1+(mason_bonus*TblConstr[[#This Row],[Tot Mas]]/TblConstr[[#This Row],[Land (2)]]))</f>
        <v>0</v>
      </c>
      <c r="AD15" s="287">
        <f ca="1">harbor_towers_cap*(1-EXP(-TblImps[[#This Row],[Σ Harbor]]/(harbor_towers_param*(OFFSET(TblImps[[#This Row],[Land]],1,0)-OFFSET(TblExplore[[#This Row],[Land Bonus]],1,0)*20)+15000)))*(1+(mason_bonus*TblConstr[[#This Row],[Tot Mas]]/TblConstr[[#This Row],[Land (2)]]))</f>
        <v>0</v>
      </c>
      <c r="AE15" s="142"/>
      <c r="AF15" s="61">
        <f ca="1">(1+Overview!$I$29)*SUM(TblImps[[#This Row],[P2]:[G2]])+OFFSET(TblImps[[#This Row],[Σ Science]],-1,0)</f>
        <v>0</v>
      </c>
      <c r="AG15" s="61">
        <f ca="1">(1+Overview!$I$29)*SUM(TblImps[[#This Row],[P3]:[G3]])+OFFSET(TblImps[[#This Row],[Σ Keep]],-1,0)</f>
        <v>0</v>
      </c>
      <c r="AH15" s="61">
        <f ca="1">(1+Overview!$I$29 + tech_7_1*TblTech[[#This Row],[7-1]])*SUM(TblImps[[#This Row],[P4]:[G4]])+OFFSET(TblImps[[#This Row],[Σ Spires]],-1,0)</f>
        <v>0</v>
      </c>
      <c r="AI15" s="61">
        <f ca="1">(1+Overview!$I$29)*SUM(TblImps[[#This Row],[P5]:[G5]])+OFFSET(TblImps[[#This Row],[Σ Forges]],-1,0)</f>
        <v>0</v>
      </c>
      <c r="AJ15" s="61">
        <f ca="1">(1+Overview!$I$29)*SUM(TblImps[[#This Row],[P6]:[G6]])+OFFSET(TblImps[[#This Row],[Σ Walls]],-1,0)</f>
        <v>0</v>
      </c>
      <c r="AK15" s="61">
        <f ca="1">(1+Overview!$I$29 + tech_7_1*TblTech[[#This Row],[7-1]])*SUM(TblImps[[#This Row],[P7]:[G7]])+OFFSET(TblImps[[#This Row],[Σ Harbor]],-1,0)</f>
        <v>0</v>
      </c>
      <c r="AL15" s="142"/>
      <c r="AM15" s="57">
        <f>IF(AND(TblImps[[#This Row],[Resource]]=AM$2,TblImps[[#This Row],[Part]]&lt;&gt;""),TblImps[[#This Row],[Amount]]) + IF(AND(TblImps[[#This Row],[Resource 2]]=AM$2,TblImps[[#This Row],[Part 2]]&lt;&gt;""),TblImps[[#This Row],[Amount 2]]) + IF(AND(TblImps[[#This Row],[Resource 3]]=AM$2,TblImps[[#This Row],[Part 3]]&lt;&gt;""),TblImps[[#This Row],[Amount 3]])</f>
        <v>0</v>
      </c>
      <c r="AN15" s="57">
        <f>IF(AND(TblImps[[#This Row],[Resource]]=AN$2,TblImps[[#This Row],[Part]]&lt;&gt;""),TblImps[[#This Row],[Amount]]) + IF(AND(TblImps[[#This Row],[Resource 2]]=AN$2,TblImps[[#This Row],[Part 2]]&lt;&gt;""),TblImps[[#This Row],[Amount 2]]) + IF(AND(TblImps[[#This Row],[Resource 3]]=AN$2,TblImps[[#This Row],[Part 3]]&lt;&gt;""),TblImps[[#This Row],[Amount 3]])</f>
        <v>0</v>
      </c>
      <c r="AO15" s="57">
        <f>IF(AND(TblImps[[#This Row],[Resource]]=AO$2,TblImps[[#This Row],[Part]]&lt;&gt;""),TblImps[[#This Row],[Amount]]) + IF(AND(TblImps[[#This Row],[Resource 2]]=AO$2,TblImps[[#This Row],[Part 2]]&lt;&gt;""),TblImps[[#This Row],[Amount 2]]) + IF(AND(TblImps[[#This Row],[Resource 3]]=AO$2,TblImps[[#This Row],[Part 3]]&lt;&gt;""),TblImps[[#This Row],[Amount 3]])</f>
        <v>0</v>
      </c>
      <c r="AP15" s="57">
        <f>IF(AND(TblImps[[#This Row],[Resource]]=AP$2,TblImps[[#This Row],[Part]]&lt;&gt;""),TblImps[[#This Row],[Amount]]) + IF(AND(TblImps[[#This Row],[Resource 2]]=AP$2,TblImps[[#This Row],[Part 2]]&lt;&gt;""),TblImps[[#This Row],[Amount 2]]) + IF(AND(TblImps[[#This Row],[Resource 3]]=AP$2,TblImps[[#This Row],[Part 3]]&lt;&gt;""),TblImps[[#This Row],[Amount 3]])</f>
        <v>0</v>
      </c>
      <c r="AQ15" s="142"/>
      <c r="AR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5" s="142"/>
      <c r="AW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5" s="142"/>
      <c r="BB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5" s="142"/>
      <c r="BG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5" s="142"/>
      <c r="BL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5" s="142"/>
      <c r="BQ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5" s="142"/>
      <c r="BV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5" s="61">
        <f>TblImps[[#This Row],[Login]]</f>
        <v>0</v>
      </c>
      <c r="BX15" s="137"/>
      <c r="BY15" s="293">
        <f ca="1">OFFSET(TblImps[[#This Row],[Real time]],-1,0)+1/24</f>
        <v>46047.458333333307</v>
      </c>
      <c r="BZ15" s="294">
        <f ca="1">OFFSET(TblImps[[#This Row],[Servertime]],-1,0)+1/24</f>
        <v>46047.458333333307</v>
      </c>
      <c r="CA15" s="57"/>
      <c r="CB15" s="292"/>
      <c r="CC15" s="292"/>
    </row>
    <row r="16" spans="1:84" x14ac:dyDescent="0.2">
      <c r="A16" s="214">
        <f ca="1">TblConstr[[#This Row],[Land]]</f>
        <v>110</v>
      </c>
      <c r="B16" s="142"/>
      <c r="C16" s="94">
        <f ca="1">TblProd[[#This Row],[Platinum]]</f>
        <v>66875</v>
      </c>
      <c r="D16" s="94">
        <f ca="1">TblProd[[#This Row],[Lumber]]</f>
        <v>24657</v>
      </c>
      <c r="E16" s="94">
        <f ca="1">TblProd[[#This Row],[Ore]]</f>
        <v>0</v>
      </c>
      <c r="F16" s="94">
        <f ca="1">TblProd[[#This Row],[Gems]]</f>
        <v>0</v>
      </c>
      <c r="G16" s="154"/>
      <c r="H16" s="94">
        <f ca="1">TblMili[[#This Row],[Draftees]]</f>
        <v>213</v>
      </c>
      <c r="I16" s="180">
        <f ca="1">TblPop[[#This Row],[Employment]]</f>
        <v>1</v>
      </c>
      <c r="J16" s="180">
        <f ca="1">TblPop[[#This Row],[Total]]/TblPop[[#This Row],[Net max]]</f>
        <v>0.73048327137546465</v>
      </c>
      <c r="K16" s="283">
        <f>TblRezone[[#This Row],[Hour]]</f>
        <v>13</v>
      </c>
      <c r="L16" s="284">
        <f ca="1">TblImps[[#This Row],[Real time]]</f>
        <v>46047.499999999971</v>
      </c>
      <c r="M16" s="61">
        <f>IF(ISERROR(TblImps[[#This Row],[algorithm]]),0,TblImps[[#This Row],[algorithm]]*1)</f>
        <v>0</v>
      </c>
      <c r="N16" s="94">
        <f ca="1">TblImps[[#This Row],[Land]]</f>
        <v>110</v>
      </c>
      <c r="O16" s="285" t="s">
        <v>4</v>
      </c>
      <c r="P16" s="286"/>
      <c r="Q16" s="285" t="s">
        <v>210</v>
      </c>
      <c r="R16" s="285" t="s">
        <v>7</v>
      </c>
      <c r="S16" s="286"/>
      <c r="T16" s="285" t="s">
        <v>210</v>
      </c>
      <c r="U16" s="285" t="s">
        <v>3</v>
      </c>
      <c r="V16" s="286"/>
      <c r="W16" s="285" t="s">
        <v>210</v>
      </c>
      <c r="X16" s="142"/>
      <c r="Y16" s="287">
        <f ca="1">science_cap*(1-EXP(-TblImps[[#This Row],[Σ Science]]/(science_param*(OFFSET(TblImps[[#This Row],[Land]],1,0)-OFFSET(TblExplore[[#This Row],[Land Bonus]],1,0)*20)+15000)))*(1+(mason_bonus*TblConstr[[#This Row],[Tot Mas]]/TblConstr[[#This Row],[Land (2)]]))</f>
        <v>0</v>
      </c>
      <c r="Z16" s="287">
        <f ca="1">keep_cap*(1-EXP(-TblImps[[#This Row],[Σ Keep]]/(keep_param*(OFFSET(TblImps[[#This Row],[Land]],1,0)-OFFSET(TblExplore[[#This Row],[Land Bonus]],1,0)*20)+15000)))*(1+(mason_bonus*TblConstr[[#This Row],[Tot Mas]]/TblConstr[[#This Row],[Land (2)]]))</f>
        <v>0</v>
      </c>
      <c r="AA16" s="287">
        <f ca="1">harbor_towers_cap*(1-EXP(-TblImps[[#This Row],[Σ Spires]]/(towers_param*(OFFSET(TblImps[[#This Row],[Land]],1,0)-OFFSET(TblExplore[[#This Row],[Land Bonus]],1,0)*20)+15000)))*(1+(mason_bonus*TblConstr[[#This Row],[Tot Mas]]/TblConstr[[#This Row],[Land (2)]]))</f>
        <v>0</v>
      </c>
      <c r="AB16" s="287">
        <f ca="1">walls_forges_cap*(1-EXP(-TblImps[[#This Row],[Σ Forges]]/(walls_forges_param*(OFFSET(TblImps[[#This Row],[Land]],1,0)-OFFSET(TblExplore[[#This Row],[Land Bonus]],1,0)*20)+15000)))*(1+(mason_bonus*TblConstr[[#This Row],[Tot Mas]]/TblConstr[[#This Row],[Land (2)]]))</f>
        <v>0</v>
      </c>
      <c r="AC16" s="287">
        <f ca="1">walls_forges_cap*(1-EXP(-TblImps[[#This Row],[Σ Walls]]/(walls_forges_param*(OFFSET(TblImps[[#This Row],[Land]],1,0)-OFFSET(TblExplore[[#This Row],[Land Bonus]],1,0)*20)+15000)))*(1+(mason_bonus*TblConstr[[#This Row],[Tot Mas]]/TblConstr[[#This Row],[Land (2)]]))</f>
        <v>0</v>
      </c>
      <c r="AD16" s="287">
        <f ca="1">harbor_towers_cap*(1-EXP(-TblImps[[#This Row],[Σ Harbor]]/(harbor_towers_param*(OFFSET(TblImps[[#This Row],[Land]],1,0)-OFFSET(TblExplore[[#This Row],[Land Bonus]],1,0)*20)+15000)))*(1+(mason_bonus*TblConstr[[#This Row],[Tot Mas]]/TblConstr[[#This Row],[Land (2)]]))</f>
        <v>0</v>
      </c>
      <c r="AE16" s="142"/>
      <c r="AF16" s="61">
        <f ca="1">(1+Overview!$I$29)*SUM(TblImps[[#This Row],[P2]:[G2]])+OFFSET(TblImps[[#This Row],[Σ Science]],-1,0)</f>
        <v>0</v>
      </c>
      <c r="AG16" s="61">
        <f ca="1">(1+Overview!$I$29)*SUM(TblImps[[#This Row],[P3]:[G3]])+OFFSET(TblImps[[#This Row],[Σ Keep]],-1,0)</f>
        <v>0</v>
      </c>
      <c r="AH16" s="61">
        <f ca="1">(1+Overview!$I$29 + tech_7_1*TblTech[[#This Row],[7-1]])*SUM(TblImps[[#This Row],[P4]:[G4]])+OFFSET(TblImps[[#This Row],[Σ Spires]],-1,0)</f>
        <v>0</v>
      </c>
      <c r="AI16" s="61">
        <f ca="1">(1+Overview!$I$29)*SUM(TblImps[[#This Row],[P5]:[G5]])+OFFSET(TblImps[[#This Row],[Σ Forges]],-1,0)</f>
        <v>0</v>
      </c>
      <c r="AJ16" s="61">
        <f ca="1">(1+Overview!$I$29)*SUM(TblImps[[#This Row],[P6]:[G6]])+OFFSET(TblImps[[#This Row],[Σ Walls]],-1,0)</f>
        <v>0</v>
      </c>
      <c r="AK16" s="61">
        <f ca="1">(1+Overview!$I$29 + tech_7_1*TblTech[[#This Row],[7-1]])*SUM(TblImps[[#This Row],[P7]:[G7]])+OFFSET(TblImps[[#This Row],[Σ Harbor]],-1,0)</f>
        <v>0</v>
      </c>
      <c r="AL16" s="142"/>
      <c r="AM16" s="57">
        <f>IF(AND(TblImps[[#This Row],[Resource]]=AM$2,TblImps[[#This Row],[Part]]&lt;&gt;""),TblImps[[#This Row],[Amount]]) + IF(AND(TblImps[[#This Row],[Resource 2]]=AM$2,TblImps[[#This Row],[Part 2]]&lt;&gt;""),TblImps[[#This Row],[Amount 2]]) + IF(AND(TblImps[[#This Row],[Resource 3]]=AM$2,TblImps[[#This Row],[Part 3]]&lt;&gt;""),TblImps[[#This Row],[Amount 3]])</f>
        <v>0</v>
      </c>
      <c r="AN16" s="57">
        <f>IF(AND(TblImps[[#This Row],[Resource]]=AN$2,TblImps[[#This Row],[Part]]&lt;&gt;""),TblImps[[#This Row],[Amount]]) + IF(AND(TblImps[[#This Row],[Resource 2]]=AN$2,TblImps[[#This Row],[Part 2]]&lt;&gt;""),TblImps[[#This Row],[Amount 2]]) + IF(AND(TblImps[[#This Row],[Resource 3]]=AN$2,TblImps[[#This Row],[Part 3]]&lt;&gt;""),TblImps[[#This Row],[Amount 3]])</f>
        <v>0</v>
      </c>
      <c r="AO16" s="57">
        <f>IF(AND(TblImps[[#This Row],[Resource]]=AO$2,TblImps[[#This Row],[Part]]&lt;&gt;""),TblImps[[#This Row],[Amount]]) + IF(AND(TblImps[[#This Row],[Resource 2]]=AO$2,TblImps[[#This Row],[Part 2]]&lt;&gt;""),TblImps[[#This Row],[Amount 2]]) + IF(AND(TblImps[[#This Row],[Resource 3]]=AO$2,TblImps[[#This Row],[Part 3]]&lt;&gt;""),TblImps[[#This Row],[Amount 3]])</f>
        <v>0</v>
      </c>
      <c r="AP16" s="57">
        <f>IF(AND(TblImps[[#This Row],[Resource]]=AP$2,TblImps[[#This Row],[Part]]&lt;&gt;""),TblImps[[#This Row],[Amount]]) + IF(AND(TblImps[[#This Row],[Resource 2]]=AP$2,TblImps[[#This Row],[Part 2]]&lt;&gt;""),TblImps[[#This Row],[Amount 2]]) + IF(AND(TblImps[[#This Row],[Resource 3]]=AP$2,TblImps[[#This Row],[Part 3]]&lt;&gt;""),TblImps[[#This Row],[Amount 3]])</f>
        <v>0</v>
      </c>
      <c r="AQ16" s="142"/>
      <c r="AR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6" s="142"/>
      <c r="AW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6" s="142"/>
      <c r="BB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6" s="142"/>
      <c r="BG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6" s="142"/>
      <c r="BL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6" s="142"/>
      <c r="BQ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6" s="142"/>
      <c r="BV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6" s="61">
        <f>TblImps[[#This Row],[Login]]</f>
        <v>0</v>
      </c>
      <c r="BX16" s="137"/>
      <c r="BY16" s="293">
        <f ca="1">OFFSET(TblImps[[#This Row],[Real time]],-1,0)+1/24</f>
        <v>46047.499999999971</v>
      </c>
      <c r="BZ16" s="294">
        <f ca="1">OFFSET(TblImps[[#This Row],[Servertime]],-1,0)+1/24</f>
        <v>46047.499999999971</v>
      </c>
      <c r="CA16" s="57"/>
      <c r="CB16" s="292"/>
      <c r="CC16" s="292"/>
    </row>
    <row r="17" spans="1:84" hidden="1" x14ac:dyDescent="0.2">
      <c r="A17" s="214">
        <f ca="1">TblConstr[[#This Row],[Land]]</f>
        <v>110</v>
      </c>
      <c r="B17" s="142"/>
      <c r="C17" s="94">
        <f ca="1">TblProd[[#This Row],[Platinum]]</f>
        <v>68422</v>
      </c>
      <c r="D17" s="94">
        <f ca="1">TblProd[[#This Row],[Lumber]]</f>
        <v>25410</v>
      </c>
      <c r="E17" s="94">
        <f ca="1">TblProd[[#This Row],[Ore]]</f>
        <v>0</v>
      </c>
      <c r="F17" s="94">
        <f ca="1">TblProd[[#This Row],[Gems]]</f>
        <v>0</v>
      </c>
      <c r="G17" s="154"/>
      <c r="H17" s="94">
        <f ca="1">TblMili[[#This Row],[Draftees]]</f>
        <v>219</v>
      </c>
      <c r="I17" s="180">
        <f ca="1">TblPop[[#This Row],[Employment]]</f>
        <v>1</v>
      </c>
      <c r="J17" s="180">
        <f ca="1">TblPop[[#This Row],[Total]]/TblPop[[#This Row],[Net max]]</f>
        <v>0.74628252788104088</v>
      </c>
      <c r="K17" s="283">
        <f>TblRezone[[#This Row],[Hour]]</f>
        <v>14</v>
      </c>
      <c r="L17" s="284">
        <f ca="1">TblImps[[#This Row],[Real time]]</f>
        <v>46047.541666666635</v>
      </c>
      <c r="M17" s="61">
        <f>IF(ISERROR(TblImps[[#This Row],[algorithm]]),0,TblImps[[#This Row],[algorithm]]*1)</f>
        <v>0</v>
      </c>
      <c r="N17" s="94">
        <f ca="1">TblImps[[#This Row],[Land]]</f>
        <v>110</v>
      </c>
      <c r="O17" s="134" t="s">
        <v>4</v>
      </c>
      <c r="P17" s="481"/>
      <c r="Q17" s="134" t="s">
        <v>210</v>
      </c>
      <c r="R17" s="134" t="s">
        <v>7</v>
      </c>
      <c r="S17" s="481"/>
      <c r="T17" s="134" t="s">
        <v>210</v>
      </c>
      <c r="U17" s="134" t="s">
        <v>3</v>
      </c>
      <c r="V17" s="481"/>
      <c r="W17" s="134" t="s">
        <v>210</v>
      </c>
      <c r="X17" s="142"/>
      <c r="Y17" s="287">
        <f ca="1">science_cap*(1-EXP(-TblImps[[#This Row],[Σ Science]]/(science_param*(OFFSET(TblImps[[#This Row],[Land]],1,0)-OFFSET(TblExplore[[#This Row],[Land Bonus]],1,0)*20)+15000)))*(1+(mason_bonus*TblConstr[[#This Row],[Tot Mas]]/TblConstr[[#This Row],[Land (2)]]))</f>
        <v>0</v>
      </c>
      <c r="Z17" s="287">
        <f ca="1">keep_cap*(1-EXP(-TblImps[[#This Row],[Σ Keep]]/(keep_param*(OFFSET(TblImps[[#This Row],[Land]],1,0)-OFFSET(TblExplore[[#This Row],[Land Bonus]],1,0)*20)+15000)))*(1+(mason_bonus*TblConstr[[#This Row],[Tot Mas]]/TblConstr[[#This Row],[Land (2)]]))</f>
        <v>0</v>
      </c>
      <c r="AA17" s="287">
        <f ca="1">harbor_towers_cap*(1-EXP(-TblImps[[#This Row],[Σ Spires]]/(towers_param*(OFFSET(TblImps[[#This Row],[Land]],1,0)-OFFSET(TblExplore[[#This Row],[Land Bonus]],1,0)*20)+15000)))*(1+(mason_bonus*TblConstr[[#This Row],[Tot Mas]]/TblConstr[[#This Row],[Land (2)]]))</f>
        <v>0</v>
      </c>
      <c r="AB17" s="287">
        <f ca="1">walls_forges_cap*(1-EXP(-TblImps[[#This Row],[Σ Forges]]/(walls_forges_param*(OFFSET(TblImps[[#This Row],[Land]],1,0)-OFFSET(TblExplore[[#This Row],[Land Bonus]],1,0)*20)+15000)))*(1+(mason_bonus*TblConstr[[#This Row],[Tot Mas]]/TblConstr[[#This Row],[Land (2)]]))</f>
        <v>0</v>
      </c>
      <c r="AC17" s="287">
        <f ca="1">walls_forges_cap*(1-EXP(-TblImps[[#This Row],[Σ Walls]]/(walls_forges_param*(OFFSET(TblImps[[#This Row],[Land]],1,0)-OFFSET(TblExplore[[#This Row],[Land Bonus]],1,0)*20)+15000)))*(1+(mason_bonus*TblConstr[[#This Row],[Tot Mas]]/TblConstr[[#This Row],[Land (2)]]))</f>
        <v>0</v>
      </c>
      <c r="AD17" s="287">
        <f ca="1">harbor_towers_cap*(1-EXP(-TblImps[[#This Row],[Σ Harbor]]/(harbor_towers_param*(OFFSET(TblImps[[#This Row],[Land]],1,0)-OFFSET(TblExplore[[#This Row],[Land Bonus]],1,0)*20)+15000)))*(1+(mason_bonus*TblConstr[[#This Row],[Tot Mas]]/TblConstr[[#This Row],[Land (2)]]))</f>
        <v>0</v>
      </c>
      <c r="AE17" s="142"/>
      <c r="AF17" s="61">
        <f ca="1">(1+Overview!$I$29)*SUM(TblImps[[#This Row],[P2]:[G2]])+OFFSET(TblImps[[#This Row],[Σ Science]],-1,0)</f>
        <v>0</v>
      </c>
      <c r="AG17" s="61">
        <f ca="1">(1+Overview!$I$29)*SUM(TblImps[[#This Row],[P3]:[G3]])+OFFSET(TblImps[[#This Row],[Σ Keep]],-1,0)</f>
        <v>0</v>
      </c>
      <c r="AH17" s="61">
        <f ca="1">(1+Overview!$I$29 + tech_7_1*TblTech[[#This Row],[7-1]])*SUM(TblImps[[#This Row],[P4]:[G4]])+OFFSET(TblImps[[#This Row],[Σ Spires]],-1,0)</f>
        <v>0</v>
      </c>
      <c r="AI17" s="61">
        <f ca="1">(1+Overview!$I$29)*SUM(TblImps[[#This Row],[P5]:[G5]])+OFFSET(TblImps[[#This Row],[Σ Forges]],-1,0)</f>
        <v>0</v>
      </c>
      <c r="AJ17" s="61">
        <f ca="1">(1+Overview!$I$29)*SUM(TblImps[[#This Row],[P6]:[G6]])+OFFSET(TblImps[[#This Row],[Σ Walls]],-1,0)</f>
        <v>0</v>
      </c>
      <c r="AK17" s="61">
        <f ca="1">(1+Overview!$I$29 + tech_7_1*TblTech[[#This Row],[7-1]])*SUM(TblImps[[#This Row],[P7]:[G7]])+OFFSET(TblImps[[#This Row],[Σ Harbor]],-1,0)</f>
        <v>0</v>
      </c>
      <c r="AL17" s="142"/>
      <c r="AM17" s="57">
        <f>IF(AND(TblImps[[#This Row],[Resource]]=AM$2,TblImps[[#This Row],[Part]]&lt;&gt;""),TblImps[[#This Row],[Amount]]) + IF(AND(TblImps[[#This Row],[Resource 2]]=AM$2,TblImps[[#This Row],[Part 2]]&lt;&gt;""),TblImps[[#This Row],[Amount 2]]) + IF(AND(TblImps[[#This Row],[Resource 3]]=AM$2,TblImps[[#This Row],[Part 3]]&lt;&gt;""),TblImps[[#This Row],[Amount 3]])</f>
        <v>0</v>
      </c>
      <c r="AN17" s="57">
        <f>IF(AND(TblImps[[#This Row],[Resource]]=AN$2,TblImps[[#This Row],[Part]]&lt;&gt;""),TblImps[[#This Row],[Amount]]) + IF(AND(TblImps[[#This Row],[Resource 2]]=AN$2,TblImps[[#This Row],[Part 2]]&lt;&gt;""),TblImps[[#This Row],[Amount 2]]) + IF(AND(TblImps[[#This Row],[Resource 3]]=AN$2,TblImps[[#This Row],[Part 3]]&lt;&gt;""),TblImps[[#This Row],[Amount 3]])</f>
        <v>0</v>
      </c>
      <c r="AO17" s="57">
        <f>IF(AND(TblImps[[#This Row],[Resource]]=AO$2,TblImps[[#This Row],[Part]]&lt;&gt;""),TblImps[[#This Row],[Amount]]) + IF(AND(TblImps[[#This Row],[Resource 2]]=AO$2,TblImps[[#This Row],[Part 2]]&lt;&gt;""),TblImps[[#This Row],[Amount 2]]) + IF(AND(TblImps[[#This Row],[Resource 3]]=AO$2,TblImps[[#This Row],[Part 3]]&lt;&gt;""),TblImps[[#This Row],[Amount 3]])</f>
        <v>0</v>
      </c>
      <c r="AP17" s="57">
        <f>IF(AND(TblImps[[#This Row],[Resource]]=AP$2,TblImps[[#This Row],[Part]]&lt;&gt;""),TblImps[[#This Row],[Amount]]) + IF(AND(TblImps[[#This Row],[Resource 2]]=AP$2,TblImps[[#This Row],[Part 2]]&lt;&gt;""),TblImps[[#This Row],[Amount 2]]) + IF(AND(TblImps[[#This Row],[Resource 3]]=AP$2,TblImps[[#This Row],[Part 3]]&lt;&gt;""),TblImps[[#This Row],[Amount 3]])</f>
        <v>0</v>
      </c>
      <c r="AQ17" s="142"/>
      <c r="AR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7" s="142"/>
      <c r="AW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7" s="142"/>
      <c r="BB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7" s="142"/>
      <c r="BG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7" s="142"/>
      <c r="BL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7" s="142"/>
      <c r="BQ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7" s="142"/>
      <c r="BV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7" s="61">
        <f>TblImps[[#This Row],[Login]]</f>
        <v>0</v>
      </c>
      <c r="BX17" s="137"/>
      <c r="BY17" s="293">
        <f ca="1">OFFSET(TblImps[[#This Row],[Real time]],-1,0)+1/24</f>
        <v>46047.541666666635</v>
      </c>
      <c r="BZ17" s="294">
        <f ca="1">OFFSET(TblImps[[#This Row],[Servertime]],-1,0)+1/24</f>
        <v>46047.541666666635</v>
      </c>
      <c r="CA17" s="57"/>
      <c r="CB17" s="292"/>
      <c r="CC17" s="292"/>
      <c r="CD17" s="159"/>
    </row>
    <row r="18" spans="1:84" hidden="1" x14ac:dyDescent="0.2">
      <c r="A18" s="214">
        <f ca="1">TblConstr[[#This Row],[Land]]</f>
        <v>110</v>
      </c>
      <c r="B18" s="142"/>
      <c r="C18" s="94">
        <f ca="1">TblProd[[#This Row],[Platinum]]</f>
        <v>69998</v>
      </c>
      <c r="D18" s="94">
        <f ca="1">TblProd[[#This Row],[Lumber]]</f>
        <v>26156</v>
      </c>
      <c r="E18" s="94">
        <f ca="1">TblProd[[#This Row],[Ore]]</f>
        <v>0</v>
      </c>
      <c r="F18" s="94">
        <f ca="1">TblProd[[#This Row],[Gems]]</f>
        <v>0</v>
      </c>
      <c r="G18" s="154"/>
      <c r="H18" s="94">
        <f ca="1">TblMili[[#This Row],[Draftees]]</f>
        <v>225</v>
      </c>
      <c r="I18" s="180">
        <f ca="1">TblPop[[#This Row],[Employment]]</f>
        <v>1</v>
      </c>
      <c r="J18" s="180">
        <f ca="1">TblPop[[#This Row],[Total]]/TblPop[[#This Row],[Net max]]</f>
        <v>0.76208178438661711</v>
      </c>
      <c r="K18" s="283">
        <f>TblRezone[[#This Row],[Hour]]</f>
        <v>15</v>
      </c>
      <c r="L18" s="284">
        <f ca="1">TblImps[[#This Row],[Real time]]</f>
        <v>46047.583333333299</v>
      </c>
      <c r="M18" s="61">
        <f>IF(ISERROR(TblImps[[#This Row],[algorithm]]),0,TblImps[[#This Row],[algorithm]]*1)</f>
        <v>0</v>
      </c>
      <c r="N18" s="94">
        <f ca="1">TblImps[[#This Row],[Land]]</f>
        <v>110</v>
      </c>
      <c r="O18" s="134" t="s">
        <v>4</v>
      </c>
      <c r="P18" s="481"/>
      <c r="Q18" s="134" t="s">
        <v>210</v>
      </c>
      <c r="R18" s="134" t="s">
        <v>7</v>
      </c>
      <c r="S18" s="481"/>
      <c r="T18" s="134" t="s">
        <v>210</v>
      </c>
      <c r="U18" s="134" t="s">
        <v>3</v>
      </c>
      <c r="V18" s="481"/>
      <c r="W18" s="134" t="s">
        <v>210</v>
      </c>
      <c r="X18" s="142"/>
      <c r="Y18" s="287">
        <f ca="1">science_cap*(1-EXP(-TblImps[[#This Row],[Σ Science]]/(science_param*(OFFSET(TblImps[[#This Row],[Land]],1,0)-OFFSET(TblExplore[[#This Row],[Land Bonus]],1,0)*20)+15000)))*(1+(mason_bonus*TblConstr[[#This Row],[Tot Mas]]/TblConstr[[#This Row],[Land (2)]]))</f>
        <v>0</v>
      </c>
      <c r="Z18" s="287">
        <f ca="1">keep_cap*(1-EXP(-TblImps[[#This Row],[Σ Keep]]/(keep_param*(OFFSET(TblImps[[#This Row],[Land]],1,0)-OFFSET(TblExplore[[#This Row],[Land Bonus]],1,0)*20)+15000)))*(1+(mason_bonus*TblConstr[[#This Row],[Tot Mas]]/TblConstr[[#This Row],[Land (2)]]))</f>
        <v>0</v>
      </c>
      <c r="AA18" s="287">
        <f ca="1">harbor_towers_cap*(1-EXP(-TblImps[[#This Row],[Σ Spires]]/(towers_param*(OFFSET(TblImps[[#This Row],[Land]],1,0)-OFFSET(TblExplore[[#This Row],[Land Bonus]],1,0)*20)+15000)))*(1+(mason_bonus*TblConstr[[#This Row],[Tot Mas]]/TblConstr[[#This Row],[Land (2)]]))</f>
        <v>0</v>
      </c>
      <c r="AB18" s="287">
        <f ca="1">walls_forges_cap*(1-EXP(-TblImps[[#This Row],[Σ Forges]]/(walls_forges_param*(OFFSET(TblImps[[#This Row],[Land]],1,0)-OFFSET(TblExplore[[#This Row],[Land Bonus]],1,0)*20)+15000)))*(1+(mason_bonus*TblConstr[[#This Row],[Tot Mas]]/TblConstr[[#This Row],[Land (2)]]))</f>
        <v>0</v>
      </c>
      <c r="AC18" s="287">
        <f ca="1">walls_forges_cap*(1-EXP(-TblImps[[#This Row],[Σ Walls]]/(walls_forges_param*(OFFSET(TblImps[[#This Row],[Land]],1,0)-OFFSET(TblExplore[[#This Row],[Land Bonus]],1,0)*20)+15000)))*(1+(mason_bonus*TblConstr[[#This Row],[Tot Mas]]/TblConstr[[#This Row],[Land (2)]]))</f>
        <v>0</v>
      </c>
      <c r="AD18" s="287">
        <f ca="1">harbor_towers_cap*(1-EXP(-TblImps[[#This Row],[Σ Harbor]]/(harbor_towers_param*(OFFSET(TblImps[[#This Row],[Land]],1,0)-OFFSET(TblExplore[[#This Row],[Land Bonus]],1,0)*20)+15000)))*(1+(mason_bonus*TblConstr[[#This Row],[Tot Mas]]/TblConstr[[#This Row],[Land (2)]]))</f>
        <v>0</v>
      </c>
      <c r="AE18" s="142"/>
      <c r="AF18" s="61">
        <f ca="1">(1+Overview!$I$29)*SUM(TblImps[[#This Row],[P2]:[G2]])+OFFSET(TblImps[[#This Row],[Σ Science]],-1,0)</f>
        <v>0</v>
      </c>
      <c r="AG18" s="61">
        <f ca="1">(1+Overview!$I$29)*SUM(TblImps[[#This Row],[P3]:[G3]])+OFFSET(TblImps[[#This Row],[Σ Keep]],-1,0)</f>
        <v>0</v>
      </c>
      <c r="AH18" s="61">
        <f ca="1">(1+Overview!$I$29 + tech_7_1*TblTech[[#This Row],[7-1]])*SUM(TblImps[[#This Row],[P4]:[G4]])+OFFSET(TblImps[[#This Row],[Σ Spires]],-1,0)</f>
        <v>0</v>
      </c>
      <c r="AI18" s="61">
        <f ca="1">(1+Overview!$I$29)*SUM(TblImps[[#This Row],[P5]:[G5]])+OFFSET(TblImps[[#This Row],[Σ Forges]],-1,0)</f>
        <v>0</v>
      </c>
      <c r="AJ18" s="61">
        <f ca="1">(1+Overview!$I$29)*SUM(TblImps[[#This Row],[P6]:[G6]])+OFFSET(TblImps[[#This Row],[Σ Walls]],-1,0)</f>
        <v>0</v>
      </c>
      <c r="AK18" s="61">
        <f ca="1">(1+Overview!$I$29 + tech_7_1*TblTech[[#This Row],[7-1]])*SUM(TblImps[[#This Row],[P7]:[G7]])+OFFSET(TblImps[[#This Row],[Σ Harbor]],-1,0)</f>
        <v>0</v>
      </c>
      <c r="AL18" s="142"/>
      <c r="AM18" s="57">
        <f>IF(AND(TblImps[[#This Row],[Resource]]=AM$2,TblImps[[#This Row],[Part]]&lt;&gt;""),TblImps[[#This Row],[Amount]]) + IF(AND(TblImps[[#This Row],[Resource 2]]=AM$2,TblImps[[#This Row],[Part 2]]&lt;&gt;""),TblImps[[#This Row],[Amount 2]]) + IF(AND(TblImps[[#This Row],[Resource 3]]=AM$2,TblImps[[#This Row],[Part 3]]&lt;&gt;""),TblImps[[#This Row],[Amount 3]])</f>
        <v>0</v>
      </c>
      <c r="AN18" s="57">
        <f>IF(AND(TblImps[[#This Row],[Resource]]=AN$2,TblImps[[#This Row],[Part]]&lt;&gt;""),TblImps[[#This Row],[Amount]]) + IF(AND(TblImps[[#This Row],[Resource 2]]=AN$2,TblImps[[#This Row],[Part 2]]&lt;&gt;""),TblImps[[#This Row],[Amount 2]]) + IF(AND(TblImps[[#This Row],[Resource 3]]=AN$2,TblImps[[#This Row],[Part 3]]&lt;&gt;""),TblImps[[#This Row],[Amount 3]])</f>
        <v>0</v>
      </c>
      <c r="AO18" s="57">
        <f>IF(AND(TblImps[[#This Row],[Resource]]=AO$2,TblImps[[#This Row],[Part]]&lt;&gt;""),TblImps[[#This Row],[Amount]]) + IF(AND(TblImps[[#This Row],[Resource 2]]=AO$2,TblImps[[#This Row],[Part 2]]&lt;&gt;""),TblImps[[#This Row],[Amount 2]]) + IF(AND(TblImps[[#This Row],[Resource 3]]=AO$2,TblImps[[#This Row],[Part 3]]&lt;&gt;""),TblImps[[#This Row],[Amount 3]])</f>
        <v>0</v>
      </c>
      <c r="AP18" s="57">
        <f>IF(AND(TblImps[[#This Row],[Resource]]=AP$2,TblImps[[#This Row],[Part]]&lt;&gt;""),TblImps[[#This Row],[Amount]]) + IF(AND(TblImps[[#This Row],[Resource 2]]=AP$2,TblImps[[#This Row],[Part 2]]&lt;&gt;""),TblImps[[#This Row],[Amount 2]]) + IF(AND(TblImps[[#This Row],[Resource 3]]=AP$2,TblImps[[#This Row],[Part 3]]&lt;&gt;""),TblImps[[#This Row],[Amount 3]])</f>
        <v>0</v>
      </c>
      <c r="AQ18" s="142"/>
      <c r="AR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8" s="142"/>
      <c r="AW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8" s="142"/>
      <c r="BB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8" s="142"/>
      <c r="BG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8" s="142"/>
      <c r="BL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8" s="142"/>
      <c r="BQ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8" s="142"/>
      <c r="BV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8" s="61">
        <f>TblImps[[#This Row],[Login]]</f>
        <v>0</v>
      </c>
      <c r="BX18" s="137"/>
      <c r="BY18" s="293">
        <f ca="1">OFFSET(TblImps[[#This Row],[Real time]],-1,0)+1/24</f>
        <v>46047.583333333299</v>
      </c>
      <c r="BZ18" s="294">
        <f ca="1">OFFSET(TblImps[[#This Row],[Servertime]],-1,0)+1/24</f>
        <v>46047.583333333299</v>
      </c>
      <c r="CA18" s="297"/>
      <c r="CB18" s="292"/>
      <c r="CC18" s="292"/>
      <c r="CF18" s="295"/>
    </row>
    <row r="19" spans="1:84" hidden="1" x14ac:dyDescent="0.2">
      <c r="A19" s="214">
        <f ca="1">TblConstr[[#This Row],[Land]]</f>
        <v>110</v>
      </c>
      <c r="B19" s="142"/>
      <c r="C19" s="94">
        <f ca="1">TblProd[[#This Row],[Platinum]]</f>
        <v>71604</v>
      </c>
      <c r="D19" s="94">
        <f ca="1">TblProd[[#This Row],[Lumber]]</f>
        <v>26894</v>
      </c>
      <c r="E19" s="94">
        <f ca="1">TblProd[[#This Row],[Ore]]</f>
        <v>0</v>
      </c>
      <c r="F19" s="94">
        <f ca="1">TblProd[[#This Row],[Gems]]</f>
        <v>0</v>
      </c>
      <c r="G19" s="154"/>
      <c r="H19" s="94">
        <f ca="1">TblMili[[#This Row],[Draftees]]</f>
        <v>231</v>
      </c>
      <c r="I19" s="180">
        <f ca="1">TblPop[[#This Row],[Employment]]</f>
        <v>1</v>
      </c>
      <c r="J19" s="180">
        <f ca="1">TblPop[[#This Row],[Total]]/TblPop[[#This Row],[Net max]]</f>
        <v>0.77881040892193309</v>
      </c>
      <c r="K19" s="283">
        <f>TblRezone[[#This Row],[Hour]]</f>
        <v>16</v>
      </c>
      <c r="L19" s="284">
        <f ca="1">TblImps[[#This Row],[Real time]]</f>
        <v>46047.624999999964</v>
      </c>
      <c r="M19" s="61">
        <f>IF(ISERROR(TblImps[[#This Row],[algorithm]]),0,TblImps[[#This Row],[algorithm]]*1)</f>
        <v>0</v>
      </c>
      <c r="N19" s="94">
        <f ca="1">TblImps[[#This Row],[Land]]</f>
        <v>110</v>
      </c>
      <c r="O19" s="134" t="s">
        <v>4</v>
      </c>
      <c r="P19" s="481"/>
      <c r="Q19" s="134" t="s">
        <v>210</v>
      </c>
      <c r="R19" s="134" t="s">
        <v>7</v>
      </c>
      <c r="S19" s="481"/>
      <c r="T19" s="134" t="s">
        <v>210</v>
      </c>
      <c r="U19" s="134" t="s">
        <v>3</v>
      </c>
      <c r="V19" s="481"/>
      <c r="W19" s="134" t="s">
        <v>210</v>
      </c>
      <c r="X19" s="142"/>
      <c r="Y19" s="287">
        <f ca="1">science_cap*(1-EXP(-TblImps[[#This Row],[Σ Science]]/(science_param*(OFFSET(TblImps[[#This Row],[Land]],1,0)-OFFSET(TblExplore[[#This Row],[Land Bonus]],1,0)*20)+15000)))*(1+(mason_bonus*TblConstr[[#This Row],[Tot Mas]]/TblConstr[[#This Row],[Land (2)]]))</f>
        <v>0</v>
      </c>
      <c r="Z19" s="287">
        <f ca="1">keep_cap*(1-EXP(-TblImps[[#This Row],[Σ Keep]]/(keep_param*(OFFSET(TblImps[[#This Row],[Land]],1,0)-OFFSET(TblExplore[[#This Row],[Land Bonus]],1,0)*20)+15000)))*(1+(mason_bonus*TblConstr[[#This Row],[Tot Mas]]/TblConstr[[#This Row],[Land (2)]]))</f>
        <v>0</v>
      </c>
      <c r="AA19" s="287">
        <f ca="1">harbor_towers_cap*(1-EXP(-TblImps[[#This Row],[Σ Spires]]/(towers_param*(OFFSET(TblImps[[#This Row],[Land]],1,0)-OFFSET(TblExplore[[#This Row],[Land Bonus]],1,0)*20)+15000)))*(1+(mason_bonus*TblConstr[[#This Row],[Tot Mas]]/TblConstr[[#This Row],[Land (2)]]))</f>
        <v>0</v>
      </c>
      <c r="AB19" s="287">
        <f ca="1">walls_forges_cap*(1-EXP(-TblImps[[#This Row],[Σ Forges]]/(walls_forges_param*(OFFSET(TblImps[[#This Row],[Land]],1,0)-OFFSET(TblExplore[[#This Row],[Land Bonus]],1,0)*20)+15000)))*(1+(mason_bonus*TblConstr[[#This Row],[Tot Mas]]/TblConstr[[#This Row],[Land (2)]]))</f>
        <v>0</v>
      </c>
      <c r="AC19" s="287">
        <f ca="1">walls_forges_cap*(1-EXP(-TblImps[[#This Row],[Σ Walls]]/(walls_forges_param*(OFFSET(TblImps[[#This Row],[Land]],1,0)-OFFSET(TblExplore[[#This Row],[Land Bonus]],1,0)*20)+15000)))*(1+(mason_bonus*TblConstr[[#This Row],[Tot Mas]]/TblConstr[[#This Row],[Land (2)]]))</f>
        <v>0</v>
      </c>
      <c r="AD19" s="287">
        <f ca="1">harbor_towers_cap*(1-EXP(-TblImps[[#This Row],[Σ Harbor]]/(harbor_towers_param*(OFFSET(TblImps[[#This Row],[Land]],1,0)-OFFSET(TblExplore[[#This Row],[Land Bonus]],1,0)*20)+15000)))*(1+(mason_bonus*TblConstr[[#This Row],[Tot Mas]]/TblConstr[[#This Row],[Land (2)]]))</f>
        <v>0</v>
      </c>
      <c r="AE19" s="142"/>
      <c r="AF19" s="61">
        <f ca="1">(1+Overview!$I$29)*SUM(TblImps[[#This Row],[P2]:[G2]])+OFFSET(TblImps[[#This Row],[Σ Science]],-1,0)</f>
        <v>0</v>
      </c>
      <c r="AG19" s="61">
        <f ca="1">(1+Overview!$I$29)*SUM(TblImps[[#This Row],[P3]:[G3]])+OFFSET(TblImps[[#This Row],[Σ Keep]],-1,0)</f>
        <v>0</v>
      </c>
      <c r="AH19" s="61">
        <f ca="1">(1+Overview!$I$29 + tech_7_1*TblTech[[#This Row],[7-1]])*SUM(TblImps[[#This Row],[P4]:[G4]])+OFFSET(TblImps[[#This Row],[Σ Spires]],-1,0)</f>
        <v>0</v>
      </c>
      <c r="AI19" s="61">
        <f ca="1">(1+Overview!$I$29)*SUM(TblImps[[#This Row],[P5]:[G5]])+OFFSET(TblImps[[#This Row],[Σ Forges]],-1,0)</f>
        <v>0</v>
      </c>
      <c r="AJ19" s="61">
        <f ca="1">(1+Overview!$I$29)*SUM(TblImps[[#This Row],[P6]:[G6]])+OFFSET(TblImps[[#This Row],[Σ Walls]],-1,0)</f>
        <v>0</v>
      </c>
      <c r="AK19" s="61">
        <f ca="1">(1+Overview!$I$29 + tech_7_1*TblTech[[#This Row],[7-1]])*SUM(TblImps[[#This Row],[P7]:[G7]])+OFFSET(TblImps[[#This Row],[Σ Harbor]],-1,0)</f>
        <v>0</v>
      </c>
      <c r="AL19" s="142"/>
      <c r="AM19" s="57">
        <f>IF(AND(TblImps[[#This Row],[Resource]]=AM$2,TblImps[[#This Row],[Part]]&lt;&gt;""),TblImps[[#This Row],[Amount]]) + IF(AND(TblImps[[#This Row],[Resource 2]]=AM$2,TblImps[[#This Row],[Part 2]]&lt;&gt;""),TblImps[[#This Row],[Amount 2]]) + IF(AND(TblImps[[#This Row],[Resource 3]]=AM$2,TblImps[[#This Row],[Part 3]]&lt;&gt;""),TblImps[[#This Row],[Amount 3]])</f>
        <v>0</v>
      </c>
      <c r="AN19" s="57">
        <f>IF(AND(TblImps[[#This Row],[Resource]]=AN$2,TblImps[[#This Row],[Part]]&lt;&gt;""),TblImps[[#This Row],[Amount]]) + IF(AND(TblImps[[#This Row],[Resource 2]]=AN$2,TblImps[[#This Row],[Part 2]]&lt;&gt;""),TblImps[[#This Row],[Amount 2]]) + IF(AND(TblImps[[#This Row],[Resource 3]]=AN$2,TblImps[[#This Row],[Part 3]]&lt;&gt;""),TblImps[[#This Row],[Amount 3]])</f>
        <v>0</v>
      </c>
      <c r="AO19" s="57">
        <f>IF(AND(TblImps[[#This Row],[Resource]]=AO$2,TblImps[[#This Row],[Part]]&lt;&gt;""),TblImps[[#This Row],[Amount]]) + IF(AND(TblImps[[#This Row],[Resource 2]]=AO$2,TblImps[[#This Row],[Part 2]]&lt;&gt;""),TblImps[[#This Row],[Amount 2]]) + IF(AND(TblImps[[#This Row],[Resource 3]]=AO$2,TblImps[[#This Row],[Part 3]]&lt;&gt;""),TblImps[[#This Row],[Amount 3]])</f>
        <v>0</v>
      </c>
      <c r="AP19" s="57">
        <f>IF(AND(TblImps[[#This Row],[Resource]]=AP$2,TblImps[[#This Row],[Part]]&lt;&gt;""),TblImps[[#This Row],[Amount]]) + IF(AND(TblImps[[#This Row],[Resource 2]]=AP$2,TblImps[[#This Row],[Part 2]]&lt;&gt;""),TblImps[[#This Row],[Amount 2]]) + IF(AND(TblImps[[#This Row],[Resource 3]]=AP$2,TblImps[[#This Row],[Part 3]]&lt;&gt;""),TblImps[[#This Row],[Amount 3]])</f>
        <v>0</v>
      </c>
      <c r="AQ19" s="142"/>
      <c r="AR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9" s="142"/>
      <c r="AW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9" s="142"/>
      <c r="BB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9" s="142"/>
      <c r="BG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9" s="142"/>
      <c r="BL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9" s="142"/>
      <c r="BQ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9" s="142"/>
      <c r="BV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9" s="61">
        <f>TblImps[[#This Row],[Login]]</f>
        <v>0</v>
      </c>
      <c r="BX19" s="137"/>
      <c r="BY19" s="293">
        <f ca="1">OFFSET(TblImps[[#This Row],[Real time]],-1,0)+1/24</f>
        <v>46047.624999999964</v>
      </c>
      <c r="BZ19" s="294">
        <f ca="1">OFFSET(TblImps[[#This Row],[Servertime]],-1,0)+1/24</f>
        <v>46047.624999999964</v>
      </c>
      <c r="CA19" s="57"/>
      <c r="CB19" s="292"/>
      <c r="CC19" s="292"/>
      <c r="CF19" s="296"/>
    </row>
    <row r="20" spans="1:84" hidden="1" x14ac:dyDescent="0.2">
      <c r="A20" s="214">
        <f ca="1">TblConstr[[#This Row],[Land]]</f>
        <v>110</v>
      </c>
      <c r="B20" s="142"/>
      <c r="C20" s="94">
        <f ca="1">TblProd[[#This Row],[Platinum]]</f>
        <v>73242</v>
      </c>
      <c r="D20" s="94">
        <f ca="1">TblProd[[#This Row],[Lumber]]</f>
        <v>27625</v>
      </c>
      <c r="E20" s="94">
        <f ca="1">TblProd[[#This Row],[Ore]]</f>
        <v>0</v>
      </c>
      <c r="F20" s="94">
        <f ca="1">TblProd[[#This Row],[Gems]]</f>
        <v>0</v>
      </c>
      <c r="G20" s="154"/>
      <c r="H20" s="94">
        <f ca="1">TblMili[[#This Row],[Draftees]]</f>
        <v>237</v>
      </c>
      <c r="I20" s="180">
        <f ca="1">TblPop[[#This Row],[Employment]]</f>
        <v>1</v>
      </c>
      <c r="J20" s="180">
        <f ca="1">TblPop[[#This Row],[Total]]/TblPop[[#This Row],[Net max]]</f>
        <v>0.79553903345724908</v>
      </c>
      <c r="K20" s="283">
        <f>TblRezone[[#This Row],[Hour]]</f>
        <v>17</v>
      </c>
      <c r="L20" s="284">
        <f ca="1">TblImps[[#This Row],[Real time]]</f>
        <v>46047.666666666628</v>
      </c>
      <c r="M20" s="61">
        <f>IF(ISERROR(TblImps[[#This Row],[algorithm]]),0,TblImps[[#This Row],[algorithm]]*1)</f>
        <v>0</v>
      </c>
      <c r="N20" s="94">
        <f ca="1">TblImps[[#This Row],[Land]]</f>
        <v>110</v>
      </c>
      <c r="O20" s="134" t="s">
        <v>4</v>
      </c>
      <c r="P20" s="481"/>
      <c r="Q20" s="134" t="s">
        <v>210</v>
      </c>
      <c r="R20" s="134" t="s">
        <v>7</v>
      </c>
      <c r="S20" s="481"/>
      <c r="T20" s="134" t="s">
        <v>210</v>
      </c>
      <c r="U20" s="134" t="s">
        <v>3</v>
      </c>
      <c r="V20" s="481"/>
      <c r="W20" s="134" t="s">
        <v>210</v>
      </c>
      <c r="X20" s="142"/>
      <c r="Y20" s="287">
        <f ca="1">science_cap*(1-EXP(-TblImps[[#This Row],[Σ Science]]/(science_param*(OFFSET(TblImps[[#This Row],[Land]],1,0)-OFFSET(TblExplore[[#This Row],[Land Bonus]],1,0)*20)+15000)))*(1+(mason_bonus*TblConstr[[#This Row],[Tot Mas]]/TblConstr[[#This Row],[Land (2)]]))</f>
        <v>0</v>
      </c>
      <c r="Z20" s="287">
        <f ca="1">keep_cap*(1-EXP(-TblImps[[#This Row],[Σ Keep]]/(keep_param*(OFFSET(TblImps[[#This Row],[Land]],1,0)-OFFSET(TblExplore[[#This Row],[Land Bonus]],1,0)*20)+15000)))*(1+(mason_bonus*TblConstr[[#This Row],[Tot Mas]]/TblConstr[[#This Row],[Land (2)]]))</f>
        <v>0</v>
      </c>
      <c r="AA20" s="287">
        <f ca="1">harbor_towers_cap*(1-EXP(-TblImps[[#This Row],[Σ Spires]]/(towers_param*(OFFSET(TblImps[[#This Row],[Land]],1,0)-OFFSET(TblExplore[[#This Row],[Land Bonus]],1,0)*20)+15000)))*(1+(mason_bonus*TblConstr[[#This Row],[Tot Mas]]/TblConstr[[#This Row],[Land (2)]]))</f>
        <v>0</v>
      </c>
      <c r="AB20" s="287">
        <f ca="1">walls_forges_cap*(1-EXP(-TblImps[[#This Row],[Σ Forges]]/(walls_forges_param*(OFFSET(TblImps[[#This Row],[Land]],1,0)-OFFSET(TblExplore[[#This Row],[Land Bonus]],1,0)*20)+15000)))*(1+(mason_bonus*TblConstr[[#This Row],[Tot Mas]]/TblConstr[[#This Row],[Land (2)]]))</f>
        <v>0</v>
      </c>
      <c r="AC20" s="287">
        <f ca="1">walls_forges_cap*(1-EXP(-TblImps[[#This Row],[Σ Walls]]/(walls_forges_param*(OFFSET(TblImps[[#This Row],[Land]],1,0)-OFFSET(TblExplore[[#This Row],[Land Bonus]],1,0)*20)+15000)))*(1+(mason_bonus*TblConstr[[#This Row],[Tot Mas]]/TblConstr[[#This Row],[Land (2)]]))</f>
        <v>0</v>
      </c>
      <c r="AD20" s="287">
        <f ca="1">harbor_towers_cap*(1-EXP(-TblImps[[#This Row],[Σ Harbor]]/(harbor_towers_param*(OFFSET(TblImps[[#This Row],[Land]],1,0)-OFFSET(TblExplore[[#This Row],[Land Bonus]],1,0)*20)+15000)))*(1+(mason_bonus*TblConstr[[#This Row],[Tot Mas]]/TblConstr[[#This Row],[Land (2)]]))</f>
        <v>0</v>
      </c>
      <c r="AE20" s="142"/>
      <c r="AF20" s="61">
        <f ca="1">(1+Overview!$I$29)*SUM(TblImps[[#This Row],[P2]:[G2]])+OFFSET(TblImps[[#This Row],[Σ Science]],-1,0)</f>
        <v>0</v>
      </c>
      <c r="AG20" s="61">
        <f ca="1">(1+Overview!$I$29)*SUM(TblImps[[#This Row],[P3]:[G3]])+OFFSET(TblImps[[#This Row],[Σ Keep]],-1,0)</f>
        <v>0</v>
      </c>
      <c r="AH20" s="61">
        <f ca="1">(1+Overview!$I$29 + tech_7_1*TblTech[[#This Row],[7-1]])*SUM(TblImps[[#This Row],[P4]:[G4]])+OFFSET(TblImps[[#This Row],[Σ Spires]],-1,0)</f>
        <v>0</v>
      </c>
      <c r="AI20" s="61">
        <f ca="1">(1+Overview!$I$29)*SUM(TblImps[[#This Row],[P5]:[G5]])+OFFSET(TblImps[[#This Row],[Σ Forges]],-1,0)</f>
        <v>0</v>
      </c>
      <c r="AJ20" s="61">
        <f ca="1">(1+Overview!$I$29)*SUM(TblImps[[#This Row],[P6]:[G6]])+OFFSET(TblImps[[#This Row],[Σ Walls]],-1,0)</f>
        <v>0</v>
      </c>
      <c r="AK20" s="61">
        <f ca="1">(1+Overview!$I$29 + tech_7_1*TblTech[[#This Row],[7-1]])*SUM(TblImps[[#This Row],[P7]:[G7]])+OFFSET(TblImps[[#This Row],[Σ Harbor]],-1,0)</f>
        <v>0</v>
      </c>
      <c r="AL20" s="142"/>
      <c r="AM20" s="57">
        <f>IF(AND(TblImps[[#This Row],[Resource]]=AM$2,TblImps[[#This Row],[Part]]&lt;&gt;""),TblImps[[#This Row],[Amount]]) + IF(AND(TblImps[[#This Row],[Resource 2]]=AM$2,TblImps[[#This Row],[Part 2]]&lt;&gt;""),TblImps[[#This Row],[Amount 2]]) + IF(AND(TblImps[[#This Row],[Resource 3]]=AM$2,TblImps[[#This Row],[Part 3]]&lt;&gt;""),TblImps[[#This Row],[Amount 3]])</f>
        <v>0</v>
      </c>
      <c r="AN20" s="57">
        <f>IF(AND(TblImps[[#This Row],[Resource]]=AN$2,TblImps[[#This Row],[Part]]&lt;&gt;""),TblImps[[#This Row],[Amount]]) + IF(AND(TblImps[[#This Row],[Resource 2]]=AN$2,TblImps[[#This Row],[Part 2]]&lt;&gt;""),TblImps[[#This Row],[Amount 2]]) + IF(AND(TblImps[[#This Row],[Resource 3]]=AN$2,TblImps[[#This Row],[Part 3]]&lt;&gt;""),TblImps[[#This Row],[Amount 3]])</f>
        <v>0</v>
      </c>
      <c r="AO20" s="57">
        <f>IF(AND(TblImps[[#This Row],[Resource]]=AO$2,TblImps[[#This Row],[Part]]&lt;&gt;""),TblImps[[#This Row],[Amount]]) + IF(AND(TblImps[[#This Row],[Resource 2]]=AO$2,TblImps[[#This Row],[Part 2]]&lt;&gt;""),TblImps[[#This Row],[Amount 2]]) + IF(AND(TblImps[[#This Row],[Resource 3]]=AO$2,TblImps[[#This Row],[Part 3]]&lt;&gt;""),TblImps[[#This Row],[Amount 3]])</f>
        <v>0</v>
      </c>
      <c r="AP20" s="57">
        <f>IF(AND(TblImps[[#This Row],[Resource]]=AP$2,TblImps[[#This Row],[Part]]&lt;&gt;""),TblImps[[#This Row],[Amount]]) + IF(AND(TblImps[[#This Row],[Resource 2]]=AP$2,TblImps[[#This Row],[Part 2]]&lt;&gt;""),TblImps[[#This Row],[Amount 2]]) + IF(AND(TblImps[[#This Row],[Resource 3]]=AP$2,TblImps[[#This Row],[Part 3]]&lt;&gt;""),TblImps[[#This Row],[Amount 3]])</f>
        <v>0</v>
      </c>
      <c r="AQ20" s="142"/>
      <c r="AR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0" s="142"/>
      <c r="AW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0" s="142"/>
      <c r="BB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0" s="142"/>
      <c r="BG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0" s="142"/>
      <c r="BL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0" s="142"/>
      <c r="BQ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0" s="142"/>
      <c r="BV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0" s="61">
        <f>TblImps[[#This Row],[Login]]</f>
        <v>0</v>
      </c>
      <c r="BX20" s="137"/>
      <c r="BY20" s="293">
        <f ca="1">OFFSET(TblImps[[#This Row],[Real time]],-1,0)+1/24</f>
        <v>46047.666666666628</v>
      </c>
      <c r="BZ20" s="294">
        <f ca="1">OFFSET(TblImps[[#This Row],[Servertime]],-1,0)+1/24</f>
        <v>46047.666666666628</v>
      </c>
      <c r="CA20" s="57"/>
      <c r="CB20" s="292"/>
      <c r="CC20" s="292"/>
      <c r="CF20" s="295"/>
    </row>
    <row r="21" spans="1:84" hidden="1" x14ac:dyDescent="0.2">
      <c r="A21" s="214">
        <f ca="1">TblConstr[[#This Row],[Land]]</f>
        <v>110</v>
      </c>
      <c r="B21" s="142"/>
      <c r="C21" s="94">
        <f ca="1">TblProd[[#This Row],[Platinum]]</f>
        <v>74913</v>
      </c>
      <c r="D21" s="94">
        <f ca="1">TblProd[[#This Row],[Lumber]]</f>
        <v>28349</v>
      </c>
      <c r="E21" s="94">
        <f ca="1">TblProd[[#This Row],[Ore]]</f>
        <v>0</v>
      </c>
      <c r="F21" s="94">
        <f ca="1">TblProd[[#This Row],[Gems]]</f>
        <v>0</v>
      </c>
      <c r="G21" s="154"/>
      <c r="H21" s="94">
        <f ca="1">TblMili[[#This Row],[Draftees]]</f>
        <v>243</v>
      </c>
      <c r="I21" s="180">
        <f ca="1">TblPop[[#This Row],[Employment]]</f>
        <v>1</v>
      </c>
      <c r="J21" s="180">
        <f ca="1">TblPop[[#This Row],[Total]]/TblPop[[#This Row],[Net max]]</f>
        <v>0.81226765799256506</v>
      </c>
      <c r="K21" s="283">
        <f>TblRezone[[#This Row],[Hour]]</f>
        <v>18</v>
      </c>
      <c r="L21" s="284">
        <f ca="1">TblImps[[#This Row],[Real time]]</f>
        <v>46047.708333333292</v>
      </c>
      <c r="M21" s="61">
        <f>IF(ISERROR(TblImps[[#This Row],[algorithm]]),0,TblImps[[#This Row],[algorithm]]*1)</f>
        <v>0</v>
      </c>
      <c r="N21" s="94">
        <f ca="1">TblImps[[#This Row],[Land]]</f>
        <v>110</v>
      </c>
      <c r="O21" s="134" t="s">
        <v>4</v>
      </c>
      <c r="P21" s="481"/>
      <c r="Q21" s="134" t="s">
        <v>210</v>
      </c>
      <c r="R21" s="134" t="s">
        <v>7</v>
      </c>
      <c r="S21" s="481"/>
      <c r="T21" s="134" t="s">
        <v>210</v>
      </c>
      <c r="U21" s="134" t="s">
        <v>3</v>
      </c>
      <c r="V21" s="481"/>
      <c r="W21" s="134" t="s">
        <v>210</v>
      </c>
      <c r="X21" s="142"/>
      <c r="Y21" s="287">
        <f ca="1">science_cap*(1-EXP(-TblImps[[#This Row],[Σ Science]]/(science_param*(OFFSET(TblImps[[#This Row],[Land]],1,0)-OFFSET(TblExplore[[#This Row],[Land Bonus]],1,0)*20)+15000)))*(1+(mason_bonus*TblConstr[[#This Row],[Tot Mas]]/TblConstr[[#This Row],[Land (2)]]))</f>
        <v>0</v>
      </c>
      <c r="Z21" s="287">
        <f ca="1">keep_cap*(1-EXP(-TblImps[[#This Row],[Σ Keep]]/(keep_param*(OFFSET(TblImps[[#This Row],[Land]],1,0)-OFFSET(TblExplore[[#This Row],[Land Bonus]],1,0)*20)+15000)))*(1+(mason_bonus*TblConstr[[#This Row],[Tot Mas]]/TblConstr[[#This Row],[Land (2)]]))</f>
        <v>0</v>
      </c>
      <c r="AA21" s="287">
        <f ca="1">harbor_towers_cap*(1-EXP(-TblImps[[#This Row],[Σ Spires]]/(towers_param*(OFFSET(TblImps[[#This Row],[Land]],1,0)-OFFSET(TblExplore[[#This Row],[Land Bonus]],1,0)*20)+15000)))*(1+(mason_bonus*TblConstr[[#This Row],[Tot Mas]]/TblConstr[[#This Row],[Land (2)]]))</f>
        <v>0</v>
      </c>
      <c r="AB21" s="287">
        <f ca="1">walls_forges_cap*(1-EXP(-TblImps[[#This Row],[Σ Forges]]/(walls_forges_param*(OFFSET(TblImps[[#This Row],[Land]],1,0)-OFFSET(TblExplore[[#This Row],[Land Bonus]],1,0)*20)+15000)))*(1+(mason_bonus*TblConstr[[#This Row],[Tot Mas]]/TblConstr[[#This Row],[Land (2)]]))</f>
        <v>0</v>
      </c>
      <c r="AC21" s="287">
        <f ca="1">walls_forges_cap*(1-EXP(-TblImps[[#This Row],[Σ Walls]]/(walls_forges_param*(OFFSET(TblImps[[#This Row],[Land]],1,0)-OFFSET(TblExplore[[#This Row],[Land Bonus]],1,0)*20)+15000)))*(1+(mason_bonus*TblConstr[[#This Row],[Tot Mas]]/TblConstr[[#This Row],[Land (2)]]))</f>
        <v>0</v>
      </c>
      <c r="AD21" s="287">
        <f ca="1">harbor_towers_cap*(1-EXP(-TblImps[[#This Row],[Σ Harbor]]/(harbor_towers_param*(OFFSET(TblImps[[#This Row],[Land]],1,0)-OFFSET(TblExplore[[#This Row],[Land Bonus]],1,0)*20)+15000)))*(1+(mason_bonus*TblConstr[[#This Row],[Tot Mas]]/TblConstr[[#This Row],[Land (2)]]))</f>
        <v>0</v>
      </c>
      <c r="AE21" s="142"/>
      <c r="AF21" s="61">
        <f ca="1">(1+Overview!$I$29)*SUM(TblImps[[#This Row],[P2]:[G2]])+OFFSET(TblImps[[#This Row],[Σ Science]],-1,0)</f>
        <v>0</v>
      </c>
      <c r="AG21" s="61">
        <f ca="1">(1+Overview!$I$29)*SUM(TblImps[[#This Row],[P3]:[G3]])+OFFSET(TblImps[[#This Row],[Σ Keep]],-1,0)</f>
        <v>0</v>
      </c>
      <c r="AH21" s="61">
        <f ca="1">(1+Overview!$I$29 + tech_7_1*TblTech[[#This Row],[7-1]])*SUM(TblImps[[#This Row],[P4]:[G4]])+OFFSET(TblImps[[#This Row],[Σ Spires]],-1,0)</f>
        <v>0</v>
      </c>
      <c r="AI21" s="61">
        <f ca="1">(1+Overview!$I$29)*SUM(TblImps[[#This Row],[P5]:[G5]])+OFFSET(TblImps[[#This Row],[Σ Forges]],-1,0)</f>
        <v>0</v>
      </c>
      <c r="AJ21" s="61">
        <f ca="1">(1+Overview!$I$29)*SUM(TblImps[[#This Row],[P6]:[G6]])+OFFSET(TblImps[[#This Row],[Σ Walls]],-1,0)</f>
        <v>0</v>
      </c>
      <c r="AK21" s="61">
        <f ca="1">(1+Overview!$I$29 + tech_7_1*TblTech[[#This Row],[7-1]])*SUM(TblImps[[#This Row],[P7]:[G7]])+OFFSET(TblImps[[#This Row],[Σ Harbor]],-1,0)</f>
        <v>0</v>
      </c>
      <c r="AL21" s="142"/>
      <c r="AM21" s="57">
        <f>IF(AND(TblImps[[#This Row],[Resource]]=AM$2,TblImps[[#This Row],[Part]]&lt;&gt;""),TblImps[[#This Row],[Amount]]) + IF(AND(TblImps[[#This Row],[Resource 2]]=AM$2,TblImps[[#This Row],[Part 2]]&lt;&gt;""),TblImps[[#This Row],[Amount 2]]) + IF(AND(TblImps[[#This Row],[Resource 3]]=AM$2,TblImps[[#This Row],[Part 3]]&lt;&gt;""),TblImps[[#This Row],[Amount 3]])</f>
        <v>0</v>
      </c>
      <c r="AN21" s="57">
        <f>IF(AND(TblImps[[#This Row],[Resource]]=AN$2,TblImps[[#This Row],[Part]]&lt;&gt;""),TblImps[[#This Row],[Amount]]) + IF(AND(TblImps[[#This Row],[Resource 2]]=AN$2,TblImps[[#This Row],[Part 2]]&lt;&gt;""),TblImps[[#This Row],[Amount 2]]) + IF(AND(TblImps[[#This Row],[Resource 3]]=AN$2,TblImps[[#This Row],[Part 3]]&lt;&gt;""),TblImps[[#This Row],[Amount 3]])</f>
        <v>0</v>
      </c>
      <c r="AO21" s="57">
        <f>IF(AND(TblImps[[#This Row],[Resource]]=AO$2,TblImps[[#This Row],[Part]]&lt;&gt;""),TblImps[[#This Row],[Amount]]) + IF(AND(TblImps[[#This Row],[Resource 2]]=AO$2,TblImps[[#This Row],[Part 2]]&lt;&gt;""),TblImps[[#This Row],[Amount 2]]) + IF(AND(TblImps[[#This Row],[Resource 3]]=AO$2,TblImps[[#This Row],[Part 3]]&lt;&gt;""),TblImps[[#This Row],[Amount 3]])</f>
        <v>0</v>
      </c>
      <c r="AP21" s="57">
        <f>IF(AND(TblImps[[#This Row],[Resource]]=AP$2,TblImps[[#This Row],[Part]]&lt;&gt;""),TblImps[[#This Row],[Amount]]) + IF(AND(TblImps[[#This Row],[Resource 2]]=AP$2,TblImps[[#This Row],[Part 2]]&lt;&gt;""),TblImps[[#This Row],[Amount 2]]) + IF(AND(TblImps[[#This Row],[Resource 3]]=AP$2,TblImps[[#This Row],[Part 3]]&lt;&gt;""),TblImps[[#This Row],[Amount 3]])</f>
        <v>0</v>
      </c>
      <c r="AQ21" s="142"/>
      <c r="AR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1" s="142"/>
      <c r="AW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1" s="142"/>
      <c r="BB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1" s="142"/>
      <c r="BG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1" s="142"/>
      <c r="BL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1" s="142"/>
      <c r="BQ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1" s="142"/>
      <c r="BV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1" s="61">
        <f>TblImps[[#This Row],[Login]]</f>
        <v>0</v>
      </c>
      <c r="BX21" s="137"/>
      <c r="BY21" s="293">
        <f ca="1">OFFSET(TblImps[[#This Row],[Real time]],-1,0)+1/24</f>
        <v>46047.708333333292</v>
      </c>
      <c r="BZ21" s="294">
        <f ca="1">OFFSET(TblImps[[#This Row],[Servertime]],-1,0)+1/24</f>
        <v>46047.708333333292</v>
      </c>
      <c r="CA21" s="57"/>
      <c r="CB21" s="292"/>
      <c r="CC21" s="292"/>
      <c r="CF21" s="295"/>
    </row>
    <row r="22" spans="1:84" hidden="1" x14ac:dyDescent="0.2">
      <c r="A22" s="214">
        <f ca="1">TblConstr[[#This Row],[Land]]</f>
        <v>110</v>
      </c>
      <c r="B22" s="142"/>
      <c r="C22" s="94">
        <f ca="1">TblProd[[#This Row],[Platinum]]</f>
        <v>76616</v>
      </c>
      <c r="D22" s="94">
        <f ca="1">TblProd[[#This Row],[Lumber]]</f>
        <v>29066</v>
      </c>
      <c r="E22" s="94">
        <f ca="1">TblProd[[#This Row],[Ore]]</f>
        <v>0</v>
      </c>
      <c r="F22" s="94">
        <f ca="1">TblProd[[#This Row],[Gems]]</f>
        <v>0</v>
      </c>
      <c r="G22" s="154"/>
      <c r="H22" s="94">
        <f ca="1">TblMili[[#This Row],[Draftees]]</f>
        <v>249</v>
      </c>
      <c r="I22" s="180">
        <f ca="1">TblPop[[#This Row],[Employment]]</f>
        <v>1</v>
      </c>
      <c r="J22" s="180">
        <f ca="1">TblPop[[#This Row],[Total]]/TblPop[[#This Row],[Net max]]</f>
        <v>0.8299256505576208</v>
      </c>
      <c r="K22" s="283">
        <f>TblRezone[[#This Row],[Hour]]</f>
        <v>19</v>
      </c>
      <c r="L22" s="284">
        <f ca="1">TblImps[[#This Row],[Real time]]</f>
        <v>46047.749999999956</v>
      </c>
      <c r="M22" s="61">
        <f>IF(ISERROR(TblImps[[#This Row],[algorithm]]),0,TblImps[[#This Row],[algorithm]]*1)</f>
        <v>0</v>
      </c>
      <c r="N22" s="94">
        <f ca="1">TblImps[[#This Row],[Land]]</f>
        <v>110</v>
      </c>
      <c r="O22" s="134" t="s">
        <v>4</v>
      </c>
      <c r="P22" s="481"/>
      <c r="Q22" s="134" t="s">
        <v>210</v>
      </c>
      <c r="R22" s="134" t="s">
        <v>7</v>
      </c>
      <c r="S22" s="481"/>
      <c r="T22" s="134" t="s">
        <v>210</v>
      </c>
      <c r="U22" s="134" t="s">
        <v>3</v>
      </c>
      <c r="V22" s="481"/>
      <c r="W22" s="134" t="s">
        <v>210</v>
      </c>
      <c r="X22" s="142"/>
      <c r="Y22" s="287">
        <f ca="1">science_cap*(1-EXP(-TblImps[[#This Row],[Σ Science]]/(science_param*(OFFSET(TblImps[[#This Row],[Land]],1,0)-OFFSET(TblExplore[[#This Row],[Land Bonus]],1,0)*20)+15000)))*(1+(mason_bonus*TblConstr[[#This Row],[Tot Mas]]/TblConstr[[#This Row],[Land (2)]]))</f>
        <v>0</v>
      </c>
      <c r="Z22" s="287">
        <f ca="1">keep_cap*(1-EXP(-TblImps[[#This Row],[Σ Keep]]/(keep_param*(OFFSET(TblImps[[#This Row],[Land]],1,0)-OFFSET(TblExplore[[#This Row],[Land Bonus]],1,0)*20)+15000)))*(1+(mason_bonus*TblConstr[[#This Row],[Tot Mas]]/TblConstr[[#This Row],[Land (2)]]))</f>
        <v>0</v>
      </c>
      <c r="AA22" s="287">
        <f ca="1">harbor_towers_cap*(1-EXP(-TblImps[[#This Row],[Σ Spires]]/(towers_param*(OFFSET(TblImps[[#This Row],[Land]],1,0)-OFFSET(TblExplore[[#This Row],[Land Bonus]],1,0)*20)+15000)))*(1+(mason_bonus*TblConstr[[#This Row],[Tot Mas]]/TblConstr[[#This Row],[Land (2)]]))</f>
        <v>0</v>
      </c>
      <c r="AB22" s="287">
        <f ca="1">walls_forges_cap*(1-EXP(-TblImps[[#This Row],[Σ Forges]]/(walls_forges_param*(OFFSET(TblImps[[#This Row],[Land]],1,0)-OFFSET(TblExplore[[#This Row],[Land Bonus]],1,0)*20)+15000)))*(1+(mason_bonus*TblConstr[[#This Row],[Tot Mas]]/TblConstr[[#This Row],[Land (2)]]))</f>
        <v>0</v>
      </c>
      <c r="AC22" s="287">
        <f ca="1">walls_forges_cap*(1-EXP(-TblImps[[#This Row],[Σ Walls]]/(walls_forges_param*(OFFSET(TblImps[[#This Row],[Land]],1,0)-OFFSET(TblExplore[[#This Row],[Land Bonus]],1,0)*20)+15000)))*(1+(mason_bonus*TblConstr[[#This Row],[Tot Mas]]/TblConstr[[#This Row],[Land (2)]]))</f>
        <v>0</v>
      </c>
      <c r="AD22" s="287">
        <f ca="1">harbor_towers_cap*(1-EXP(-TblImps[[#This Row],[Σ Harbor]]/(harbor_towers_param*(OFFSET(TblImps[[#This Row],[Land]],1,0)-OFFSET(TblExplore[[#This Row],[Land Bonus]],1,0)*20)+15000)))*(1+(mason_bonus*TblConstr[[#This Row],[Tot Mas]]/TblConstr[[#This Row],[Land (2)]]))</f>
        <v>0</v>
      </c>
      <c r="AE22" s="142"/>
      <c r="AF22" s="61">
        <f ca="1">(1+Overview!$I$29)*SUM(TblImps[[#This Row],[P2]:[G2]])+OFFSET(TblImps[[#This Row],[Σ Science]],-1,0)</f>
        <v>0</v>
      </c>
      <c r="AG22" s="61">
        <f ca="1">(1+Overview!$I$29)*SUM(TblImps[[#This Row],[P3]:[G3]])+OFFSET(TblImps[[#This Row],[Σ Keep]],-1,0)</f>
        <v>0</v>
      </c>
      <c r="AH22" s="61">
        <f ca="1">(1+Overview!$I$29 + tech_7_1*TblTech[[#This Row],[7-1]])*SUM(TblImps[[#This Row],[P4]:[G4]])+OFFSET(TblImps[[#This Row],[Σ Spires]],-1,0)</f>
        <v>0</v>
      </c>
      <c r="AI22" s="61">
        <f ca="1">(1+Overview!$I$29)*SUM(TblImps[[#This Row],[P5]:[G5]])+OFFSET(TblImps[[#This Row],[Σ Forges]],-1,0)</f>
        <v>0</v>
      </c>
      <c r="AJ22" s="61">
        <f ca="1">(1+Overview!$I$29)*SUM(TblImps[[#This Row],[P6]:[G6]])+OFFSET(TblImps[[#This Row],[Σ Walls]],-1,0)</f>
        <v>0</v>
      </c>
      <c r="AK22" s="61">
        <f ca="1">(1+Overview!$I$29 + tech_7_1*TblTech[[#This Row],[7-1]])*SUM(TblImps[[#This Row],[P7]:[G7]])+OFFSET(TblImps[[#This Row],[Σ Harbor]],-1,0)</f>
        <v>0</v>
      </c>
      <c r="AL22" s="142"/>
      <c r="AM22" s="57">
        <f>IF(AND(TblImps[[#This Row],[Resource]]=AM$2,TblImps[[#This Row],[Part]]&lt;&gt;""),TblImps[[#This Row],[Amount]]) + IF(AND(TblImps[[#This Row],[Resource 2]]=AM$2,TblImps[[#This Row],[Part 2]]&lt;&gt;""),TblImps[[#This Row],[Amount 2]]) + IF(AND(TblImps[[#This Row],[Resource 3]]=AM$2,TblImps[[#This Row],[Part 3]]&lt;&gt;""),TblImps[[#This Row],[Amount 3]])</f>
        <v>0</v>
      </c>
      <c r="AN22" s="57">
        <f>IF(AND(TblImps[[#This Row],[Resource]]=AN$2,TblImps[[#This Row],[Part]]&lt;&gt;""),TblImps[[#This Row],[Amount]]) + IF(AND(TblImps[[#This Row],[Resource 2]]=AN$2,TblImps[[#This Row],[Part 2]]&lt;&gt;""),TblImps[[#This Row],[Amount 2]]) + IF(AND(TblImps[[#This Row],[Resource 3]]=AN$2,TblImps[[#This Row],[Part 3]]&lt;&gt;""),TblImps[[#This Row],[Amount 3]])</f>
        <v>0</v>
      </c>
      <c r="AO22" s="57">
        <f>IF(AND(TblImps[[#This Row],[Resource]]=AO$2,TblImps[[#This Row],[Part]]&lt;&gt;""),TblImps[[#This Row],[Amount]]) + IF(AND(TblImps[[#This Row],[Resource 2]]=AO$2,TblImps[[#This Row],[Part 2]]&lt;&gt;""),TblImps[[#This Row],[Amount 2]]) + IF(AND(TblImps[[#This Row],[Resource 3]]=AO$2,TblImps[[#This Row],[Part 3]]&lt;&gt;""),TblImps[[#This Row],[Amount 3]])</f>
        <v>0</v>
      </c>
      <c r="AP22" s="57">
        <f>IF(AND(TblImps[[#This Row],[Resource]]=AP$2,TblImps[[#This Row],[Part]]&lt;&gt;""),TblImps[[#This Row],[Amount]]) + IF(AND(TblImps[[#This Row],[Resource 2]]=AP$2,TblImps[[#This Row],[Part 2]]&lt;&gt;""),TblImps[[#This Row],[Amount 2]]) + IF(AND(TblImps[[#This Row],[Resource 3]]=AP$2,TblImps[[#This Row],[Part 3]]&lt;&gt;""),TblImps[[#This Row],[Amount 3]])</f>
        <v>0</v>
      </c>
      <c r="AQ22" s="142"/>
      <c r="AR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2" s="142"/>
      <c r="AW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2" s="142"/>
      <c r="BB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2" s="142"/>
      <c r="BG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2" s="142"/>
      <c r="BL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2" s="142"/>
      <c r="BQ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2" s="142"/>
      <c r="BV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2" s="61">
        <f>TblImps[[#This Row],[Login]]</f>
        <v>0</v>
      </c>
      <c r="BX22" s="137"/>
      <c r="BY22" s="293">
        <f ca="1">OFFSET(TblImps[[#This Row],[Real time]],-1,0)+1/24</f>
        <v>46047.749999999956</v>
      </c>
      <c r="BZ22" s="294">
        <f ca="1">OFFSET(TblImps[[#This Row],[Servertime]],-1,0)+1/24</f>
        <v>46047.749999999956</v>
      </c>
      <c r="CA22" s="57"/>
      <c r="CB22" s="292"/>
      <c r="CC22" s="292"/>
    </row>
    <row r="23" spans="1:84" hidden="1" x14ac:dyDescent="0.2">
      <c r="A23" s="214">
        <f ca="1">TblConstr[[#This Row],[Land]]</f>
        <v>110</v>
      </c>
      <c r="B23" s="142"/>
      <c r="C23" s="94">
        <f ca="1">TblProd[[#This Row],[Platinum]]</f>
        <v>78354</v>
      </c>
      <c r="D23" s="94">
        <f ca="1">TblProd[[#This Row],[Lumber]]</f>
        <v>29775</v>
      </c>
      <c r="E23" s="94">
        <f ca="1">TblProd[[#This Row],[Ore]]</f>
        <v>0</v>
      </c>
      <c r="F23" s="94">
        <f ca="1">TblProd[[#This Row],[Gems]]</f>
        <v>0</v>
      </c>
      <c r="G23" s="154"/>
      <c r="H23" s="94">
        <f ca="1">TblMili[[#This Row],[Draftees]]</f>
        <v>255</v>
      </c>
      <c r="I23" s="180">
        <f ca="1">TblPop[[#This Row],[Employment]]</f>
        <v>1</v>
      </c>
      <c r="J23" s="180">
        <f ca="1">TblPop[[#This Row],[Total]]/TblPop[[#This Row],[Net max]]</f>
        <v>0.84758364312267653</v>
      </c>
      <c r="K23" s="283">
        <f>TblRezone[[#This Row],[Hour]]</f>
        <v>20</v>
      </c>
      <c r="L23" s="284">
        <f ca="1">TblImps[[#This Row],[Real time]]</f>
        <v>46047.791666666621</v>
      </c>
      <c r="M23" s="61">
        <f>IF(ISERROR(TblImps[[#This Row],[algorithm]]),0,TblImps[[#This Row],[algorithm]]*1)</f>
        <v>0</v>
      </c>
      <c r="N23" s="94">
        <f ca="1">TblImps[[#This Row],[Land]]</f>
        <v>110</v>
      </c>
      <c r="O23" s="134" t="s">
        <v>4</v>
      </c>
      <c r="P23" s="481"/>
      <c r="Q23" s="134" t="s">
        <v>210</v>
      </c>
      <c r="R23" s="134" t="s">
        <v>7</v>
      </c>
      <c r="S23" s="481"/>
      <c r="T23" s="134" t="s">
        <v>210</v>
      </c>
      <c r="U23" s="134" t="s">
        <v>3</v>
      </c>
      <c r="V23" s="481"/>
      <c r="W23" s="134" t="s">
        <v>210</v>
      </c>
      <c r="X23" s="142"/>
      <c r="Y23" s="287">
        <f ca="1">science_cap*(1-EXP(-TblImps[[#This Row],[Σ Science]]/(science_param*(OFFSET(TblImps[[#This Row],[Land]],1,0)-OFFSET(TblExplore[[#This Row],[Land Bonus]],1,0)*20)+15000)))*(1+(mason_bonus*TblConstr[[#This Row],[Tot Mas]]/TblConstr[[#This Row],[Land (2)]]))</f>
        <v>0</v>
      </c>
      <c r="Z23" s="287">
        <f ca="1">keep_cap*(1-EXP(-TblImps[[#This Row],[Σ Keep]]/(keep_param*(OFFSET(TblImps[[#This Row],[Land]],1,0)-OFFSET(TblExplore[[#This Row],[Land Bonus]],1,0)*20)+15000)))*(1+(mason_bonus*TblConstr[[#This Row],[Tot Mas]]/TblConstr[[#This Row],[Land (2)]]))</f>
        <v>0</v>
      </c>
      <c r="AA23" s="287">
        <f ca="1">harbor_towers_cap*(1-EXP(-TblImps[[#This Row],[Σ Spires]]/(towers_param*(OFFSET(TblImps[[#This Row],[Land]],1,0)-OFFSET(TblExplore[[#This Row],[Land Bonus]],1,0)*20)+15000)))*(1+(mason_bonus*TblConstr[[#This Row],[Tot Mas]]/TblConstr[[#This Row],[Land (2)]]))</f>
        <v>0</v>
      </c>
      <c r="AB23" s="287">
        <f ca="1">walls_forges_cap*(1-EXP(-TblImps[[#This Row],[Σ Forges]]/(walls_forges_param*(OFFSET(TblImps[[#This Row],[Land]],1,0)-OFFSET(TblExplore[[#This Row],[Land Bonus]],1,0)*20)+15000)))*(1+(mason_bonus*TblConstr[[#This Row],[Tot Mas]]/TblConstr[[#This Row],[Land (2)]]))</f>
        <v>0</v>
      </c>
      <c r="AC23" s="287">
        <f ca="1">walls_forges_cap*(1-EXP(-TblImps[[#This Row],[Σ Walls]]/(walls_forges_param*(OFFSET(TblImps[[#This Row],[Land]],1,0)-OFFSET(TblExplore[[#This Row],[Land Bonus]],1,0)*20)+15000)))*(1+(mason_bonus*TblConstr[[#This Row],[Tot Mas]]/TblConstr[[#This Row],[Land (2)]]))</f>
        <v>0</v>
      </c>
      <c r="AD23" s="287">
        <f ca="1">harbor_towers_cap*(1-EXP(-TblImps[[#This Row],[Σ Harbor]]/(harbor_towers_param*(OFFSET(TblImps[[#This Row],[Land]],1,0)-OFFSET(TblExplore[[#This Row],[Land Bonus]],1,0)*20)+15000)))*(1+(mason_bonus*TblConstr[[#This Row],[Tot Mas]]/TblConstr[[#This Row],[Land (2)]]))</f>
        <v>0</v>
      </c>
      <c r="AE23" s="142"/>
      <c r="AF23" s="61">
        <f ca="1">(1+Overview!$I$29)*SUM(TblImps[[#This Row],[P2]:[G2]])+OFFSET(TblImps[[#This Row],[Σ Science]],-1,0)</f>
        <v>0</v>
      </c>
      <c r="AG23" s="61">
        <f ca="1">(1+Overview!$I$29)*SUM(TblImps[[#This Row],[P3]:[G3]])+OFFSET(TblImps[[#This Row],[Σ Keep]],-1,0)</f>
        <v>0</v>
      </c>
      <c r="AH23" s="61">
        <f ca="1">(1+Overview!$I$29 + tech_7_1*TblTech[[#This Row],[7-1]])*SUM(TblImps[[#This Row],[P4]:[G4]])+OFFSET(TblImps[[#This Row],[Σ Spires]],-1,0)</f>
        <v>0</v>
      </c>
      <c r="AI23" s="61">
        <f ca="1">(1+Overview!$I$29)*SUM(TblImps[[#This Row],[P5]:[G5]])+OFFSET(TblImps[[#This Row],[Σ Forges]],-1,0)</f>
        <v>0</v>
      </c>
      <c r="AJ23" s="61">
        <f ca="1">(1+Overview!$I$29)*SUM(TblImps[[#This Row],[P6]:[G6]])+OFFSET(TblImps[[#This Row],[Σ Walls]],-1,0)</f>
        <v>0</v>
      </c>
      <c r="AK23" s="61">
        <f ca="1">(1+Overview!$I$29 + tech_7_1*TblTech[[#This Row],[7-1]])*SUM(TblImps[[#This Row],[P7]:[G7]])+OFFSET(TblImps[[#This Row],[Σ Harbor]],-1,0)</f>
        <v>0</v>
      </c>
      <c r="AL23" s="142"/>
      <c r="AM23" s="57">
        <f>IF(AND(TblImps[[#This Row],[Resource]]=AM$2,TblImps[[#This Row],[Part]]&lt;&gt;""),TblImps[[#This Row],[Amount]]) + IF(AND(TblImps[[#This Row],[Resource 2]]=AM$2,TblImps[[#This Row],[Part 2]]&lt;&gt;""),TblImps[[#This Row],[Amount 2]]) + IF(AND(TblImps[[#This Row],[Resource 3]]=AM$2,TblImps[[#This Row],[Part 3]]&lt;&gt;""),TblImps[[#This Row],[Amount 3]])</f>
        <v>0</v>
      </c>
      <c r="AN23" s="57">
        <f>IF(AND(TblImps[[#This Row],[Resource]]=AN$2,TblImps[[#This Row],[Part]]&lt;&gt;""),TblImps[[#This Row],[Amount]]) + IF(AND(TblImps[[#This Row],[Resource 2]]=AN$2,TblImps[[#This Row],[Part 2]]&lt;&gt;""),TblImps[[#This Row],[Amount 2]]) + IF(AND(TblImps[[#This Row],[Resource 3]]=AN$2,TblImps[[#This Row],[Part 3]]&lt;&gt;""),TblImps[[#This Row],[Amount 3]])</f>
        <v>0</v>
      </c>
      <c r="AO23" s="57">
        <f>IF(AND(TblImps[[#This Row],[Resource]]=AO$2,TblImps[[#This Row],[Part]]&lt;&gt;""),TblImps[[#This Row],[Amount]]) + IF(AND(TblImps[[#This Row],[Resource 2]]=AO$2,TblImps[[#This Row],[Part 2]]&lt;&gt;""),TblImps[[#This Row],[Amount 2]]) + IF(AND(TblImps[[#This Row],[Resource 3]]=AO$2,TblImps[[#This Row],[Part 3]]&lt;&gt;""),TblImps[[#This Row],[Amount 3]])</f>
        <v>0</v>
      </c>
      <c r="AP23" s="57">
        <f>IF(AND(TblImps[[#This Row],[Resource]]=AP$2,TblImps[[#This Row],[Part]]&lt;&gt;""),TblImps[[#This Row],[Amount]]) + IF(AND(TblImps[[#This Row],[Resource 2]]=AP$2,TblImps[[#This Row],[Part 2]]&lt;&gt;""),TblImps[[#This Row],[Amount 2]]) + IF(AND(TblImps[[#This Row],[Resource 3]]=AP$2,TblImps[[#This Row],[Part 3]]&lt;&gt;""),TblImps[[#This Row],[Amount 3]])</f>
        <v>0</v>
      </c>
      <c r="AQ23" s="142"/>
      <c r="AR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3" s="142"/>
      <c r="AW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3" s="142"/>
      <c r="BB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3" s="142"/>
      <c r="BG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3" s="142"/>
      <c r="BL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3" s="142"/>
      <c r="BQ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3" s="142"/>
      <c r="BV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3" s="61">
        <f>TblImps[[#This Row],[Login]]</f>
        <v>0</v>
      </c>
      <c r="BX23" s="137"/>
      <c r="BY23" s="293">
        <f ca="1">OFFSET(TblImps[[#This Row],[Real time]],-1,0)+1/24</f>
        <v>46047.791666666621</v>
      </c>
      <c r="BZ23" s="294">
        <f ca="1">OFFSET(TblImps[[#This Row],[Servertime]],-1,0)+1/24</f>
        <v>46047.791666666621</v>
      </c>
      <c r="CA23" s="57"/>
      <c r="CB23" s="292"/>
      <c r="CC23" s="292"/>
    </row>
    <row r="24" spans="1:84" hidden="1" x14ac:dyDescent="0.2">
      <c r="A24" s="214">
        <f ca="1">TblConstr[[#This Row],[Land]]</f>
        <v>110</v>
      </c>
      <c r="B24" s="142"/>
      <c r="C24" s="94">
        <f ca="1">TblProd[[#This Row],[Platinum]]</f>
        <v>80127</v>
      </c>
      <c r="D24" s="94">
        <f ca="1">TblProd[[#This Row],[Lumber]]</f>
        <v>30477</v>
      </c>
      <c r="E24" s="94">
        <f ca="1">TblProd[[#This Row],[Ore]]</f>
        <v>0</v>
      </c>
      <c r="F24" s="94">
        <f ca="1">TblProd[[#This Row],[Gems]]</f>
        <v>0</v>
      </c>
      <c r="G24" s="154"/>
      <c r="H24" s="94">
        <f ca="1">TblMili[[#This Row],[Draftees]]</f>
        <v>262</v>
      </c>
      <c r="I24" s="180">
        <f ca="1">TblPop[[#This Row],[Employment]]</f>
        <v>1</v>
      </c>
      <c r="J24" s="180">
        <f ca="1">TblPop[[#This Row],[Total]]/TblPop[[#This Row],[Net max]]</f>
        <v>0.86617100371747213</v>
      </c>
      <c r="K24" s="283">
        <f>TblRezone[[#This Row],[Hour]]</f>
        <v>21</v>
      </c>
      <c r="L24" s="284">
        <f ca="1">TblImps[[#This Row],[Real time]]</f>
        <v>46047.833333333285</v>
      </c>
      <c r="M24" s="61">
        <f>IF(ISERROR(TblImps[[#This Row],[algorithm]]),0,TblImps[[#This Row],[algorithm]]*1)</f>
        <v>0</v>
      </c>
      <c r="N24" s="94">
        <f ca="1">TblImps[[#This Row],[Land]]</f>
        <v>110</v>
      </c>
      <c r="O24" s="134" t="s">
        <v>4</v>
      </c>
      <c r="P24" s="481"/>
      <c r="Q24" s="134" t="s">
        <v>210</v>
      </c>
      <c r="R24" s="134" t="s">
        <v>7</v>
      </c>
      <c r="S24" s="481"/>
      <c r="T24" s="134" t="s">
        <v>210</v>
      </c>
      <c r="U24" s="134" t="s">
        <v>3</v>
      </c>
      <c r="V24" s="481"/>
      <c r="W24" s="134" t="s">
        <v>210</v>
      </c>
      <c r="X24" s="142"/>
      <c r="Y24" s="287">
        <f ca="1">science_cap*(1-EXP(-TblImps[[#This Row],[Σ Science]]/(science_param*(OFFSET(TblImps[[#This Row],[Land]],1,0)-OFFSET(TblExplore[[#This Row],[Land Bonus]],1,0)*20)+15000)))*(1+(mason_bonus*TblConstr[[#This Row],[Tot Mas]]/TblConstr[[#This Row],[Land (2)]]))</f>
        <v>0</v>
      </c>
      <c r="Z24" s="287">
        <f ca="1">keep_cap*(1-EXP(-TblImps[[#This Row],[Σ Keep]]/(keep_param*(OFFSET(TblImps[[#This Row],[Land]],1,0)-OFFSET(TblExplore[[#This Row],[Land Bonus]],1,0)*20)+15000)))*(1+(mason_bonus*TblConstr[[#This Row],[Tot Mas]]/TblConstr[[#This Row],[Land (2)]]))</f>
        <v>0</v>
      </c>
      <c r="AA24" s="287">
        <f ca="1">harbor_towers_cap*(1-EXP(-TblImps[[#This Row],[Σ Spires]]/(towers_param*(OFFSET(TblImps[[#This Row],[Land]],1,0)-OFFSET(TblExplore[[#This Row],[Land Bonus]],1,0)*20)+15000)))*(1+(mason_bonus*TblConstr[[#This Row],[Tot Mas]]/TblConstr[[#This Row],[Land (2)]]))</f>
        <v>0</v>
      </c>
      <c r="AB24" s="287">
        <f ca="1">walls_forges_cap*(1-EXP(-TblImps[[#This Row],[Σ Forges]]/(walls_forges_param*(OFFSET(TblImps[[#This Row],[Land]],1,0)-OFFSET(TblExplore[[#This Row],[Land Bonus]],1,0)*20)+15000)))*(1+(mason_bonus*TblConstr[[#This Row],[Tot Mas]]/TblConstr[[#This Row],[Land (2)]]))</f>
        <v>0</v>
      </c>
      <c r="AC24" s="287">
        <f ca="1">walls_forges_cap*(1-EXP(-TblImps[[#This Row],[Σ Walls]]/(walls_forges_param*(OFFSET(TblImps[[#This Row],[Land]],1,0)-OFFSET(TblExplore[[#This Row],[Land Bonus]],1,0)*20)+15000)))*(1+(mason_bonus*TblConstr[[#This Row],[Tot Mas]]/TblConstr[[#This Row],[Land (2)]]))</f>
        <v>0</v>
      </c>
      <c r="AD24" s="287">
        <f ca="1">harbor_towers_cap*(1-EXP(-TblImps[[#This Row],[Σ Harbor]]/(harbor_towers_param*(OFFSET(TblImps[[#This Row],[Land]],1,0)-OFFSET(TblExplore[[#This Row],[Land Bonus]],1,0)*20)+15000)))*(1+(mason_bonus*TblConstr[[#This Row],[Tot Mas]]/TblConstr[[#This Row],[Land (2)]]))</f>
        <v>0</v>
      </c>
      <c r="AE24" s="142"/>
      <c r="AF24" s="61">
        <f ca="1">(1+Overview!$I$29)*SUM(TblImps[[#This Row],[P2]:[G2]])+OFFSET(TblImps[[#This Row],[Σ Science]],-1,0)</f>
        <v>0</v>
      </c>
      <c r="AG24" s="61">
        <f ca="1">(1+Overview!$I$29)*SUM(TblImps[[#This Row],[P3]:[G3]])+OFFSET(TblImps[[#This Row],[Σ Keep]],-1,0)</f>
        <v>0</v>
      </c>
      <c r="AH24" s="61">
        <f ca="1">(1+Overview!$I$29 + tech_7_1*TblTech[[#This Row],[7-1]])*SUM(TblImps[[#This Row],[P4]:[G4]])+OFFSET(TblImps[[#This Row],[Σ Spires]],-1,0)</f>
        <v>0</v>
      </c>
      <c r="AI24" s="61">
        <f ca="1">(1+Overview!$I$29)*SUM(TblImps[[#This Row],[P5]:[G5]])+OFFSET(TblImps[[#This Row],[Σ Forges]],-1,0)</f>
        <v>0</v>
      </c>
      <c r="AJ24" s="61">
        <f ca="1">(1+Overview!$I$29)*SUM(TblImps[[#This Row],[P6]:[G6]])+OFFSET(TblImps[[#This Row],[Σ Walls]],-1,0)</f>
        <v>0</v>
      </c>
      <c r="AK24" s="61">
        <f ca="1">(1+Overview!$I$29 + tech_7_1*TblTech[[#This Row],[7-1]])*SUM(TblImps[[#This Row],[P7]:[G7]])+OFFSET(TblImps[[#This Row],[Σ Harbor]],-1,0)</f>
        <v>0</v>
      </c>
      <c r="AL24" s="142"/>
      <c r="AM24" s="57">
        <f>IF(AND(TblImps[[#This Row],[Resource]]=AM$2,TblImps[[#This Row],[Part]]&lt;&gt;""),TblImps[[#This Row],[Amount]]) + IF(AND(TblImps[[#This Row],[Resource 2]]=AM$2,TblImps[[#This Row],[Part 2]]&lt;&gt;""),TblImps[[#This Row],[Amount 2]]) + IF(AND(TblImps[[#This Row],[Resource 3]]=AM$2,TblImps[[#This Row],[Part 3]]&lt;&gt;""),TblImps[[#This Row],[Amount 3]])</f>
        <v>0</v>
      </c>
      <c r="AN24" s="57">
        <f>IF(AND(TblImps[[#This Row],[Resource]]=AN$2,TblImps[[#This Row],[Part]]&lt;&gt;""),TblImps[[#This Row],[Amount]]) + IF(AND(TblImps[[#This Row],[Resource 2]]=AN$2,TblImps[[#This Row],[Part 2]]&lt;&gt;""),TblImps[[#This Row],[Amount 2]]) + IF(AND(TblImps[[#This Row],[Resource 3]]=AN$2,TblImps[[#This Row],[Part 3]]&lt;&gt;""),TblImps[[#This Row],[Amount 3]])</f>
        <v>0</v>
      </c>
      <c r="AO24" s="57">
        <f>IF(AND(TblImps[[#This Row],[Resource]]=AO$2,TblImps[[#This Row],[Part]]&lt;&gt;""),TblImps[[#This Row],[Amount]]) + IF(AND(TblImps[[#This Row],[Resource 2]]=AO$2,TblImps[[#This Row],[Part 2]]&lt;&gt;""),TblImps[[#This Row],[Amount 2]]) + IF(AND(TblImps[[#This Row],[Resource 3]]=AO$2,TblImps[[#This Row],[Part 3]]&lt;&gt;""),TblImps[[#This Row],[Amount 3]])</f>
        <v>0</v>
      </c>
      <c r="AP24" s="57">
        <f>IF(AND(TblImps[[#This Row],[Resource]]=AP$2,TblImps[[#This Row],[Part]]&lt;&gt;""),TblImps[[#This Row],[Amount]]) + IF(AND(TblImps[[#This Row],[Resource 2]]=AP$2,TblImps[[#This Row],[Part 2]]&lt;&gt;""),TblImps[[#This Row],[Amount 2]]) + IF(AND(TblImps[[#This Row],[Resource 3]]=AP$2,TblImps[[#This Row],[Part 3]]&lt;&gt;""),TblImps[[#This Row],[Amount 3]])</f>
        <v>0</v>
      </c>
      <c r="AQ24" s="142"/>
      <c r="AR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4" s="142"/>
      <c r="AW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4" s="142"/>
      <c r="BB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4" s="142"/>
      <c r="BG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4" s="142"/>
      <c r="BL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4" s="142"/>
      <c r="BQ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4" s="142"/>
      <c r="BV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4" s="61">
        <f>TblImps[[#This Row],[Login]]</f>
        <v>0</v>
      </c>
      <c r="BX24" s="137"/>
      <c r="BY24" s="293">
        <f ca="1">OFFSET(TblImps[[#This Row],[Real time]],-1,0)+1/24</f>
        <v>46047.833333333285</v>
      </c>
      <c r="BZ24" s="294">
        <f ca="1">OFFSET(TblImps[[#This Row],[Servertime]],-1,0)+1/24</f>
        <v>46047.833333333285</v>
      </c>
      <c r="CA24" s="57"/>
      <c r="CB24" s="292"/>
      <c r="CC24" s="292"/>
    </row>
    <row r="25" spans="1:84" hidden="1" x14ac:dyDescent="0.2">
      <c r="A25" s="214">
        <f ca="1">TblConstr[[#This Row],[Land]]</f>
        <v>110</v>
      </c>
      <c r="B25" s="142"/>
      <c r="C25" s="94">
        <f ca="1">TblProd[[#This Row],[Platinum]]</f>
        <v>81936</v>
      </c>
      <c r="D25" s="94">
        <f ca="1">TblProd[[#This Row],[Lumber]]</f>
        <v>31172</v>
      </c>
      <c r="E25" s="94">
        <f ca="1">TblProd[[#This Row],[Ore]]</f>
        <v>0</v>
      </c>
      <c r="F25" s="94">
        <f ca="1">TblProd[[#This Row],[Gems]]</f>
        <v>0</v>
      </c>
      <c r="G25" s="154"/>
      <c r="H25" s="94">
        <f ca="1">TblMili[[#This Row],[Draftees]]</f>
        <v>269</v>
      </c>
      <c r="I25" s="180">
        <f ca="1">TblPop[[#This Row],[Employment]]</f>
        <v>1</v>
      </c>
      <c r="J25" s="180">
        <f ca="1">TblPop[[#This Row],[Total]]/TblPop[[#This Row],[Net max]]</f>
        <v>0.88475836431226762</v>
      </c>
      <c r="K25" s="283">
        <f>TblRezone[[#This Row],[Hour]]</f>
        <v>22</v>
      </c>
      <c r="L25" s="284">
        <f ca="1">TblImps[[#This Row],[Real time]]</f>
        <v>46047.874999999949</v>
      </c>
      <c r="M25" s="61">
        <f>IF(ISERROR(TblImps[[#This Row],[algorithm]]),0,TblImps[[#This Row],[algorithm]]*1)</f>
        <v>0</v>
      </c>
      <c r="N25" s="94">
        <f ca="1">TblImps[[#This Row],[Land]]</f>
        <v>110</v>
      </c>
      <c r="O25" s="134" t="s">
        <v>4</v>
      </c>
      <c r="P25" s="481"/>
      <c r="Q25" s="134" t="s">
        <v>210</v>
      </c>
      <c r="R25" s="134" t="s">
        <v>7</v>
      </c>
      <c r="S25" s="481"/>
      <c r="T25" s="134" t="s">
        <v>210</v>
      </c>
      <c r="U25" s="134" t="s">
        <v>3</v>
      </c>
      <c r="V25" s="481"/>
      <c r="W25" s="134" t="s">
        <v>210</v>
      </c>
      <c r="X25" s="142"/>
      <c r="Y25" s="287">
        <f ca="1">science_cap*(1-EXP(-TblImps[[#This Row],[Σ Science]]/(science_param*(OFFSET(TblImps[[#This Row],[Land]],1,0)-OFFSET(TblExplore[[#This Row],[Land Bonus]],1,0)*20)+15000)))*(1+(mason_bonus*TblConstr[[#This Row],[Tot Mas]]/TblConstr[[#This Row],[Land (2)]]))</f>
        <v>0</v>
      </c>
      <c r="Z25" s="287">
        <f ca="1">keep_cap*(1-EXP(-TblImps[[#This Row],[Σ Keep]]/(keep_param*(OFFSET(TblImps[[#This Row],[Land]],1,0)-OFFSET(TblExplore[[#This Row],[Land Bonus]],1,0)*20)+15000)))*(1+(mason_bonus*TblConstr[[#This Row],[Tot Mas]]/TblConstr[[#This Row],[Land (2)]]))</f>
        <v>0</v>
      </c>
      <c r="AA25" s="287">
        <f ca="1">harbor_towers_cap*(1-EXP(-TblImps[[#This Row],[Σ Spires]]/(towers_param*(OFFSET(TblImps[[#This Row],[Land]],1,0)-OFFSET(TblExplore[[#This Row],[Land Bonus]],1,0)*20)+15000)))*(1+(mason_bonus*TblConstr[[#This Row],[Tot Mas]]/TblConstr[[#This Row],[Land (2)]]))</f>
        <v>0</v>
      </c>
      <c r="AB25" s="287">
        <f ca="1">walls_forges_cap*(1-EXP(-TblImps[[#This Row],[Σ Forges]]/(walls_forges_param*(OFFSET(TblImps[[#This Row],[Land]],1,0)-OFFSET(TblExplore[[#This Row],[Land Bonus]],1,0)*20)+15000)))*(1+(mason_bonus*TblConstr[[#This Row],[Tot Mas]]/TblConstr[[#This Row],[Land (2)]]))</f>
        <v>0</v>
      </c>
      <c r="AC25" s="287">
        <f ca="1">walls_forges_cap*(1-EXP(-TblImps[[#This Row],[Σ Walls]]/(walls_forges_param*(OFFSET(TblImps[[#This Row],[Land]],1,0)-OFFSET(TblExplore[[#This Row],[Land Bonus]],1,0)*20)+15000)))*(1+(mason_bonus*TblConstr[[#This Row],[Tot Mas]]/TblConstr[[#This Row],[Land (2)]]))</f>
        <v>0</v>
      </c>
      <c r="AD25" s="287">
        <f ca="1">harbor_towers_cap*(1-EXP(-TblImps[[#This Row],[Σ Harbor]]/(harbor_towers_param*(OFFSET(TblImps[[#This Row],[Land]],1,0)-OFFSET(TblExplore[[#This Row],[Land Bonus]],1,0)*20)+15000)))*(1+(mason_bonus*TblConstr[[#This Row],[Tot Mas]]/TblConstr[[#This Row],[Land (2)]]))</f>
        <v>0</v>
      </c>
      <c r="AE25" s="142"/>
      <c r="AF25" s="61">
        <f ca="1">(1+Overview!$I$29)*SUM(TblImps[[#This Row],[P2]:[G2]])+OFFSET(TblImps[[#This Row],[Σ Science]],-1,0)</f>
        <v>0</v>
      </c>
      <c r="AG25" s="61">
        <f ca="1">(1+Overview!$I$29)*SUM(TblImps[[#This Row],[P3]:[G3]])+OFFSET(TblImps[[#This Row],[Σ Keep]],-1,0)</f>
        <v>0</v>
      </c>
      <c r="AH25" s="61">
        <f ca="1">(1+Overview!$I$29 + tech_7_1*TblTech[[#This Row],[7-1]])*SUM(TblImps[[#This Row],[P4]:[G4]])+OFFSET(TblImps[[#This Row],[Σ Spires]],-1,0)</f>
        <v>0</v>
      </c>
      <c r="AI25" s="61">
        <f ca="1">(1+Overview!$I$29)*SUM(TblImps[[#This Row],[P5]:[G5]])+OFFSET(TblImps[[#This Row],[Σ Forges]],-1,0)</f>
        <v>0</v>
      </c>
      <c r="AJ25" s="61">
        <f ca="1">(1+Overview!$I$29)*SUM(TblImps[[#This Row],[P6]:[G6]])+OFFSET(TblImps[[#This Row],[Σ Walls]],-1,0)</f>
        <v>0</v>
      </c>
      <c r="AK25" s="61">
        <f ca="1">(1+Overview!$I$29 + tech_7_1*TblTech[[#This Row],[7-1]])*SUM(TblImps[[#This Row],[P7]:[G7]])+OFFSET(TblImps[[#This Row],[Σ Harbor]],-1,0)</f>
        <v>0</v>
      </c>
      <c r="AL25" s="142"/>
      <c r="AM25" s="57">
        <f>IF(AND(TblImps[[#This Row],[Resource]]=AM$2,TblImps[[#This Row],[Part]]&lt;&gt;""),TblImps[[#This Row],[Amount]]) + IF(AND(TblImps[[#This Row],[Resource 2]]=AM$2,TblImps[[#This Row],[Part 2]]&lt;&gt;""),TblImps[[#This Row],[Amount 2]]) + IF(AND(TblImps[[#This Row],[Resource 3]]=AM$2,TblImps[[#This Row],[Part 3]]&lt;&gt;""),TblImps[[#This Row],[Amount 3]])</f>
        <v>0</v>
      </c>
      <c r="AN25" s="57">
        <f>IF(AND(TblImps[[#This Row],[Resource]]=AN$2,TblImps[[#This Row],[Part]]&lt;&gt;""),TblImps[[#This Row],[Amount]]) + IF(AND(TblImps[[#This Row],[Resource 2]]=AN$2,TblImps[[#This Row],[Part 2]]&lt;&gt;""),TblImps[[#This Row],[Amount 2]]) + IF(AND(TblImps[[#This Row],[Resource 3]]=AN$2,TblImps[[#This Row],[Part 3]]&lt;&gt;""),TblImps[[#This Row],[Amount 3]])</f>
        <v>0</v>
      </c>
      <c r="AO25" s="57">
        <f>IF(AND(TblImps[[#This Row],[Resource]]=AO$2,TblImps[[#This Row],[Part]]&lt;&gt;""),TblImps[[#This Row],[Amount]]) + IF(AND(TblImps[[#This Row],[Resource 2]]=AO$2,TblImps[[#This Row],[Part 2]]&lt;&gt;""),TblImps[[#This Row],[Amount 2]]) + IF(AND(TblImps[[#This Row],[Resource 3]]=AO$2,TblImps[[#This Row],[Part 3]]&lt;&gt;""),TblImps[[#This Row],[Amount 3]])</f>
        <v>0</v>
      </c>
      <c r="AP25" s="57">
        <f>IF(AND(TblImps[[#This Row],[Resource]]=AP$2,TblImps[[#This Row],[Part]]&lt;&gt;""),TblImps[[#This Row],[Amount]]) + IF(AND(TblImps[[#This Row],[Resource 2]]=AP$2,TblImps[[#This Row],[Part 2]]&lt;&gt;""),TblImps[[#This Row],[Amount 2]]) + IF(AND(TblImps[[#This Row],[Resource 3]]=AP$2,TblImps[[#This Row],[Part 3]]&lt;&gt;""),TblImps[[#This Row],[Amount 3]])</f>
        <v>0</v>
      </c>
      <c r="AQ25" s="142"/>
      <c r="AR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5" s="142"/>
      <c r="AW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5" s="142"/>
      <c r="BB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5" s="142"/>
      <c r="BG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5" s="142"/>
      <c r="BL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5" s="142"/>
      <c r="BQ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5" s="142"/>
      <c r="BV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5" s="61">
        <f>TblImps[[#This Row],[Login]]</f>
        <v>0</v>
      </c>
      <c r="BX25" s="137"/>
      <c r="BY25" s="293">
        <f ca="1">OFFSET(TblImps[[#This Row],[Real time]],-1,0)+1/24</f>
        <v>46047.874999999949</v>
      </c>
      <c r="BZ25" s="294">
        <f ca="1">OFFSET(TblImps[[#This Row],[Servertime]],-1,0)+1/24</f>
        <v>46047.874999999949</v>
      </c>
      <c r="CA25" s="57"/>
      <c r="CB25" s="292"/>
      <c r="CC25" s="292"/>
    </row>
    <row r="26" spans="1:84" hidden="1" x14ac:dyDescent="0.2">
      <c r="A26" s="214">
        <f ca="1">TblConstr[[#This Row],[Land]]</f>
        <v>110</v>
      </c>
      <c r="B26" s="142"/>
      <c r="C26" s="94">
        <f ca="1">TblProd[[#This Row],[Platinum]]</f>
        <v>83780</v>
      </c>
      <c r="D26" s="94">
        <f ca="1">TblProd[[#This Row],[Lumber]]</f>
        <v>31860</v>
      </c>
      <c r="E26" s="94">
        <f ca="1">TblProd[[#This Row],[Ore]]</f>
        <v>0</v>
      </c>
      <c r="F26" s="94">
        <f ca="1">TblProd[[#This Row],[Gems]]</f>
        <v>0</v>
      </c>
      <c r="G26" s="154"/>
      <c r="H26" s="94">
        <f ca="1">TblMili[[#This Row],[Draftees]]</f>
        <v>276</v>
      </c>
      <c r="I26" s="180">
        <f ca="1">TblPop[[#This Row],[Employment]]</f>
        <v>1</v>
      </c>
      <c r="J26" s="180">
        <f ca="1">TblPop[[#This Row],[Total]]/TblPop[[#This Row],[Net max]]</f>
        <v>0.90334572490706322</v>
      </c>
      <c r="K26" s="283">
        <f>TblRezone[[#This Row],[Hour]]</f>
        <v>23</v>
      </c>
      <c r="L26" s="284">
        <f ca="1">TblImps[[#This Row],[Real time]]</f>
        <v>46047.916666666613</v>
      </c>
      <c r="M26" s="61">
        <f>IF(ISERROR(TblImps[[#This Row],[algorithm]]),0,TblImps[[#This Row],[algorithm]]*1)</f>
        <v>0</v>
      </c>
      <c r="N26" s="94">
        <f ca="1">TblImps[[#This Row],[Land]]</f>
        <v>110</v>
      </c>
      <c r="O26" s="134" t="s">
        <v>4</v>
      </c>
      <c r="P26" s="481"/>
      <c r="Q26" s="134" t="s">
        <v>210</v>
      </c>
      <c r="R26" s="134" t="s">
        <v>7</v>
      </c>
      <c r="S26" s="481"/>
      <c r="T26" s="134" t="s">
        <v>210</v>
      </c>
      <c r="U26" s="134" t="s">
        <v>3</v>
      </c>
      <c r="V26" s="481"/>
      <c r="W26" s="134" t="s">
        <v>210</v>
      </c>
      <c r="X26" s="142"/>
      <c r="Y26" s="287">
        <f ca="1">science_cap*(1-EXP(-TblImps[[#This Row],[Σ Science]]/(science_param*(OFFSET(TblImps[[#This Row],[Land]],1,0)-OFFSET(TblExplore[[#This Row],[Land Bonus]],1,0)*20)+15000)))*(1+(mason_bonus*TblConstr[[#This Row],[Tot Mas]]/TblConstr[[#This Row],[Land (2)]]))</f>
        <v>0</v>
      </c>
      <c r="Z26" s="287">
        <f ca="1">keep_cap*(1-EXP(-TblImps[[#This Row],[Σ Keep]]/(keep_param*(OFFSET(TblImps[[#This Row],[Land]],1,0)-OFFSET(TblExplore[[#This Row],[Land Bonus]],1,0)*20)+15000)))*(1+(mason_bonus*TblConstr[[#This Row],[Tot Mas]]/TblConstr[[#This Row],[Land (2)]]))</f>
        <v>0</v>
      </c>
      <c r="AA26" s="287">
        <f ca="1">harbor_towers_cap*(1-EXP(-TblImps[[#This Row],[Σ Spires]]/(towers_param*(OFFSET(TblImps[[#This Row],[Land]],1,0)-OFFSET(TblExplore[[#This Row],[Land Bonus]],1,0)*20)+15000)))*(1+(mason_bonus*TblConstr[[#This Row],[Tot Mas]]/TblConstr[[#This Row],[Land (2)]]))</f>
        <v>0</v>
      </c>
      <c r="AB26" s="287">
        <f ca="1">walls_forges_cap*(1-EXP(-TblImps[[#This Row],[Σ Forges]]/(walls_forges_param*(OFFSET(TblImps[[#This Row],[Land]],1,0)-OFFSET(TblExplore[[#This Row],[Land Bonus]],1,0)*20)+15000)))*(1+(mason_bonus*TblConstr[[#This Row],[Tot Mas]]/TblConstr[[#This Row],[Land (2)]]))</f>
        <v>0</v>
      </c>
      <c r="AC26" s="287">
        <f ca="1">walls_forges_cap*(1-EXP(-TblImps[[#This Row],[Σ Walls]]/(walls_forges_param*(OFFSET(TblImps[[#This Row],[Land]],1,0)-OFFSET(TblExplore[[#This Row],[Land Bonus]],1,0)*20)+15000)))*(1+(mason_bonus*TblConstr[[#This Row],[Tot Mas]]/TblConstr[[#This Row],[Land (2)]]))</f>
        <v>0</v>
      </c>
      <c r="AD26" s="287">
        <f ca="1">harbor_towers_cap*(1-EXP(-TblImps[[#This Row],[Σ Harbor]]/(harbor_towers_param*(OFFSET(TblImps[[#This Row],[Land]],1,0)-OFFSET(TblExplore[[#This Row],[Land Bonus]],1,0)*20)+15000)))*(1+(mason_bonus*TblConstr[[#This Row],[Tot Mas]]/TblConstr[[#This Row],[Land (2)]]))</f>
        <v>0</v>
      </c>
      <c r="AE26" s="142"/>
      <c r="AF26" s="61">
        <f ca="1">(1+Overview!$I$29)*SUM(TblImps[[#This Row],[P2]:[G2]])+OFFSET(TblImps[[#This Row],[Σ Science]],-1,0)</f>
        <v>0</v>
      </c>
      <c r="AG26" s="61">
        <f ca="1">(1+Overview!$I$29)*SUM(TblImps[[#This Row],[P3]:[G3]])+OFFSET(TblImps[[#This Row],[Σ Keep]],-1,0)</f>
        <v>0</v>
      </c>
      <c r="AH26" s="61">
        <f ca="1">(1+Overview!$I$29 + tech_7_1*TblTech[[#This Row],[7-1]])*SUM(TblImps[[#This Row],[P4]:[G4]])+OFFSET(TblImps[[#This Row],[Σ Spires]],-1,0)</f>
        <v>0</v>
      </c>
      <c r="AI26" s="61">
        <f ca="1">(1+Overview!$I$29)*SUM(TblImps[[#This Row],[P5]:[G5]])+OFFSET(TblImps[[#This Row],[Σ Forges]],-1,0)</f>
        <v>0</v>
      </c>
      <c r="AJ26" s="61">
        <f ca="1">(1+Overview!$I$29)*SUM(TblImps[[#This Row],[P6]:[G6]])+OFFSET(TblImps[[#This Row],[Σ Walls]],-1,0)</f>
        <v>0</v>
      </c>
      <c r="AK26" s="61">
        <f ca="1">(1+Overview!$I$29 + tech_7_1*TblTech[[#This Row],[7-1]])*SUM(TblImps[[#This Row],[P7]:[G7]])+OFFSET(TblImps[[#This Row],[Σ Harbor]],-1,0)</f>
        <v>0</v>
      </c>
      <c r="AL26" s="142"/>
      <c r="AM26" s="57">
        <f>IF(AND(TblImps[[#This Row],[Resource]]=AM$2,TblImps[[#This Row],[Part]]&lt;&gt;""),TblImps[[#This Row],[Amount]]) + IF(AND(TblImps[[#This Row],[Resource 2]]=AM$2,TblImps[[#This Row],[Part 2]]&lt;&gt;""),TblImps[[#This Row],[Amount 2]]) + IF(AND(TblImps[[#This Row],[Resource 3]]=AM$2,TblImps[[#This Row],[Part 3]]&lt;&gt;""),TblImps[[#This Row],[Amount 3]])</f>
        <v>0</v>
      </c>
      <c r="AN26" s="57">
        <f>IF(AND(TblImps[[#This Row],[Resource]]=AN$2,TblImps[[#This Row],[Part]]&lt;&gt;""),TblImps[[#This Row],[Amount]]) + IF(AND(TblImps[[#This Row],[Resource 2]]=AN$2,TblImps[[#This Row],[Part 2]]&lt;&gt;""),TblImps[[#This Row],[Amount 2]]) + IF(AND(TblImps[[#This Row],[Resource 3]]=AN$2,TblImps[[#This Row],[Part 3]]&lt;&gt;""),TblImps[[#This Row],[Amount 3]])</f>
        <v>0</v>
      </c>
      <c r="AO26" s="57">
        <f>IF(AND(TblImps[[#This Row],[Resource]]=AO$2,TblImps[[#This Row],[Part]]&lt;&gt;""),TblImps[[#This Row],[Amount]]) + IF(AND(TblImps[[#This Row],[Resource 2]]=AO$2,TblImps[[#This Row],[Part 2]]&lt;&gt;""),TblImps[[#This Row],[Amount 2]]) + IF(AND(TblImps[[#This Row],[Resource 3]]=AO$2,TblImps[[#This Row],[Part 3]]&lt;&gt;""),TblImps[[#This Row],[Amount 3]])</f>
        <v>0</v>
      </c>
      <c r="AP26" s="57">
        <f>IF(AND(TblImps[[#This Row],[Resource]]=AP$2,TblImps[[#This Row],[Part]]&lt;&gt;""),TblImps[[#This Row],[Amount]]) + IF(AND(TblImps[[#This Row],[Resource 2]]=AP$2,TblImps[[#This Row],[Part 2]]&lt;&gt;""),TblImps[[#This Row],[Amount 2]]) + IF(AND(TblImps[[#This Row],[Resource 3]]=AP$2,TblImps[[#This Row],[Part 3]]&lt;&gt;""),TblImps[[#This Row],[Amount 3]])</f>
        <v>0</v>
      </c>
      <c r="AQ26" s="142"/>
      <c r="AR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6" s="142"/>
      <c r="AW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6" s="142"/>
      <c r="BB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6" s="142"/>
      <c r="BG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6" s="142"/>
      <c r="BL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6" s="142"/>
      <c r="BQ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6" s="142"/>
      <c r="BV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6" s="61">
        <f>TblImps[[#This Row],[Login]]</f>
        <v>0</v>
      </c>
      <c r="BX26" s="137"/>
      <c r="BY26" s="293">
        <f ca="1">OFFSET(TblImps[[#This Row],[Real time]],-1,0)+1/24</f>
        <v>46047.916666666613</v>
      </c>
      <c r="BZ26" s="294">
        <f ca="1">OFFSET(TblImps[[#This Row],[Servertime]],-1,0)+1/24</f>
        <v>46047.916666666613</v>
      </c>
      <c r="CA26" s="57"/>
      <c r="CB26" s="292"/>
      <c r="CC26" s="292"/>
    </row>
    <row r="27" spans="1:84" hidden="1" x14ac:dyDescent="0.2">
      <c r="A27" s="214">
        <f ca="1">TblConstr[[#This Row],[Land]]</f>
        <v>110</v>
      </c>
      <c r="B27" s="142"/>
      <c r="C27" s="94">
        <f ca="1">TblProd[[#This Row],[Platinum]]</f>
        <v>85659</v>
      </c>
      <c r="D27" s="94">
        <f ca="1">TblProd[[#This Row],[Lumber]]</f>
        <v>32541</v>
      </c>
      <c r="E27" s="94">
        <f ca="1">TblProd[[#This Row],[Ore]]</f>
        <v>0</v>
      </c>
      <c r="F27" s="94">
        <f ca="1">TblProd[[#This Row],[Gems]]</f>
        <v>0</v>
      </c>
      <c r="G27" s="154"/>
      <c r="H27" s="94">
        <f ca="1">TblMili[[#This Row],[Draftees]]</f>
        <v>283</v>
      </c>
      <c r="I27" s="180">
        <f ca="1">TblPop[[#This Row],[Employment]]</f>
        <v>1</v>
      </c>
      <c r="J27" s="180">
        <f ca="1">TblPop[[#This Row],[Total]]/TblPop[[#This Row],[Net max]]</f>
        <v>0.92286245353159846</v>
      </c>
      <c r="K27" s="283">
        <f>TblRezone[[#This Row],[Hour]]</f>
        <v>24</v>
      </c>
      <c r="L27" s="284">
        <f ca="1">TblImps[[#This Row],[Real time]]</f>
        <v>46047.958333333278</v>
      </c>
      <c r="M27" s="61">
        <f>IF(ISERROR(TblImps[[#This Row],[algorithm]]),0,TblImps[[#This Row],[algorithm]]*1)</f>
        <v>0</v>
      </c>
      <c r="N27" s="94">
        <f ca="1">TblImps[[#This Row],[Land]]</f>
        <v>110</v>
      </c>
      <c r="O27" s="134" t="s">
        <v>4</v>
      </c>
      <c r="P27" s="481"/>
      <c r="Q27" s="134" t="s">
        <v>210</v>
      </c>
      <c r="R27" s="134" t="s">
        <v>7</v>
      </c>
      <c r="S27" s="481"/>
      <c r="T27" s="134" t="s">
        <v>210</v>
      </c>
      <c r="U27" s="134" t="s">
        <v>3</v>
      </c>
      <c r="V27" s="481"/>
      <c r="W27" s="134" t="s">
        <v>210</v>
      </c>
      <c r="X27" s="142"/>
      <c r="Y27" s="287">
        <f ca="1">science_cap*(1-EXP(-TblImps[[#This Row],[Σ Science]]/(science_param*(OFFSET(TblImps[[#This Row],[Land]],1,0)-OFFSET(TblExplore[[#This Row],[Land Bonus]],1,0)*20)+15000)))*(1+(mason_bonus*TblConstr[[#This Row],[Tot Mas]]/TblConstr[[#This Row],[Land (2)]]))</f>
        <v>0</v>
      </c>
      <c r="Z27" s="287">
        <f ca="1">keep_cap*(1-EXP(-TblImps[[#This Row],[Σ Keep]]/(keep_param*(OFFSET(TblImps[[#This Row],[Land]],1,0)-OFFSET(TblExplore[[#This Row],[Land Bonus]],1,0)*20)+15000)))*(1+(mason_bonus*TblConstr[[#This Row],[Tot Mas]]/TblConstr[[#This Row],[Land (2)]]))</f>
        <v>0</v>
      </c>
      <c r="AA27" s="287">
        <f ca="1">harbor_towers_cap*(1-EXP(-TblImps[[#This Row],[Σ Spires]]/(towers_param*(OFFSET(TblImps[[#This Row],[Land]],1,0)-OFFSET(TblExplore[[#This Row],[Land Bonus]],1,0)*20)+15000)))*(1+(mason_bonus*TblConstr[[#This Row],[Tot Mas]]/TblConstr[[#This Row],[Land (2)]]))</f>
        <v>0</v>
      </c>
      <c r="AB27" s="287">
        <f ca="1">walls_forges_cap*(1-EXP(-TblImps[[#This Row],[Σ Forges]]/(walls_forges_param*(OFFSET(TblImps[[#This Row],[Land]],1,0)-OFFSET(TblExplore[[#This Row],[Land Bonus]],1,0)*20)+15000)))*(1+(mason_bonus*TblConstr[[#This Row],[Tot Mas]]/TblConstr[[#This Row],[Land (2)]]))</f>
        <v>0</v>
      </c>
      <c r="AC27" s="287">
        <f ca="1">walls_forges_cap*(1-EXP(-TblImps[[#This Row],[Σ Walls]]/(walls_forges_param*(OFFSET(TblImps[[#This Row],[Land]],1,0)-OFFSET(TblExplore[[#This Row],[Land Bonus]],1,0)*20)+15000)))*(1+(mason_bonus*TblConstr[[#This Row],[Tot Mas]]/TblConstr[[#This Row],[Land (2)]]))</f>
        <v>0</v>
      </c>
      <c r="AD27" s="287">
        <f ca="1">harbor_towers_cap*(1-EXP(-TblImps[[#This Row],[Σ Harbor]]/(harbor_towers_param*(OFFSET(TblImps[[#This Row],[Land]],1,0)-OFFSET(TblExplore[[#This Row],[Land Bonus]],1,0)*20)+15000)))*(1+(mason_bonus*TblConstr[[#This Row],[Tot Mas]]/TblConstr[[#This Row],[Land (2)]]))</f>
        <v>0</v>
      </c>
      <c r="AE27" s="142"/>
      <c r="AF27" s="61">
        <f ca="1">(1+Overview!$I$29)*SUM(TblImps[[#This Row],[P2]:[G2]])+OFFSET(TblImps[[#This Row],[Σ Science]],-1,0)</f>
        <v>0</v>
      </c>
      <c r="AG27" s="61">
        <f ca="1">(1+Overview!$I$29)*SUM(TblImps[[#This Row],[P3]:[G3]])+OFFSET(TblImps[[#This Row],[Σ Keep]],-1,0)</f>
        <v>0</v>
      </c>
      <c r="AH27" s="61">
        <f ca="1">(1+Overview!$I$29 + tech_7_1*TblTech[[#This Row],[7-1]])*SUM(TblImps[[#This Row],[P4]:[G4]])+OFFSET(TblImps[[#This Row],[Σ Spires]],-1,0)</f>
        <v>0</v>
      </c>
      <c r="AI27" s="61">
        <f ca="1">(1+Overview!$I$29)*SUM(TblImps[[#This Row],[P5]:[G5]])+OFFSET(TblImps[[#This Row],[Σ Forges]],-1,0)</f>
        <v>0</v>
      </c>
      <c r="AJ27" s="61">
        <f ca="1">(1+Overview!$I$29)*SUM(TblImps[[#This Row],[P6]:[G6]])+OFFSET(TblImps[[#This Row],[Σ Walls]],-1,0)</f>
        <v>0</v>
      </c>
      <c r="AK27" s="61">
        <f ca="1">(1+Overview!$I$29 + tech_7_1*TblTech[[#This Row],[7-1]])*SUM(TblImps[[#This Row],[P7]:[G7]])+OFFSET(TblImps[[#This Row],[Σ Harbor]],-1,0)</f>
        <v>0</v>
      </c>
      <c r="AL27" s="142"/>
      <c r="AM27" s="57">
        <f>IF(AND(TblImps[[#This Row],[Resource]]=AM$2,TblImps[[#This Row],[Part]]&lt;&gt;""),TblImps[[#This Row],[Amount]]) + IF(AND(TblImps[[#This Row],[Resource 2]]=AM$2,TblImps[[#This Row],[Part 2]]&lt;&gt;""),TblImps[[#This Row],[Amount 2]]) + IF(AND(TblImps[[#This Row],[Resource 3]]=AM$2,TblImps[[#This Row],[Part 3]]&lt;&gt;""),TblImps[[#This Row],[Amount 3]])</f>
        <v>0</v>
      </c>
      <c r="AN27" s="57">
        <f>IF(AND(TblImps[[#This Row],[Resource]]=AN$2,TblImps[[#This Row],[Part]]&lt;&gt;""),TblImps[[#This Row],[Amount]]) + IF(AND(TblImps[[#This Row],[Resource 2]]=AN$2,TblImps[[#This Row],[Part 2]]&lt;&gt;""),TblImps[[#This Row],[Amount 2]]) + IF(AND(TblImps[[#This Row],[Resource 3]]=AN$2,TblImps[[#This Row],[Part 3]]&lt;&gt;""),TblImps[[#This Row],[Amount 3]])</f>
        <v>0</v>
      </c>
      <c r="AO27" s="57">
        <f>IF(AND(TblImps[[#This Row],[Resource]]=AO$2,TblImps[[#This Row],[Part]]&lt;&gt;""),TblImps[[#This Row],[Amount]]) + IF(AND(TblImps[[#This Row],[Resource 2]]=AO$2,TblImps[[#This Row],[Part 2]]&lt;&gt;""),TblImps[[#This Row],[Amount 2]]) + IF(AND(TblImps[[#This Row],[Resource 3]]=AO$2,TblImps[[#This Row],[Part 3]]&lt;&gt;""),TblImps[[#This Row],[Amount 3]])</f>
        <v>0</v>
      </c>
      <c r="AP27" s="57">
        <f>IF(AND(TblImps[[#This Row],[Resource]]=AP$2,TblImps[[#This Row],[Part]]&lt;&gt;""),TblImps[[#This Row],[Amount]]) + IF(AND(TblImps[[#This Row],[Resource 2]]=AP$2,TblImps[[#This Row],[Part 2]]&lt;&gt;""),TblImps[[#This Row],[Amount 2]]) + IF(AND(TblImps[[#This Row],[Resource 3]]=AP$2,TblImps[[#This Row],[Part 3]]&lt;&gt;""),TblImps[[#This Row],[Amount 3]])</f>
        <v>0</v>
      </c>
      <c r="AQ27" s="142"/>
      <c r="AR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7" s="142"/>
      <c r="AW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7" s="142"/>
      <c r="BB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7" s="142"/>
      <c r="BG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7" s="142"/>
      <c r="BL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7" s="142"/>
      <c r="BQ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7" s="142"/>
      <c r="BV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7" s="61">
        <f>TblImps[[#This Row],[Login]]</f>
        <v>0</v>
      </c>
      <c r="BX27" s="137"/>
      <c r="BY27" s="293">
        <f ca="1">OFFSET(TblImps[[#This Row],[Real time]],-1,0)+1/24</f>
        <v>46047.958333333278</v>
      </c>
      <c r="BZ27" s="294">
        <f ca="1">OFFSET(TblImps[[#This Row],[Servertime]],-1,0)+1/24</f>
        <v>46047.958333333278</v>
      </c>
      <c r="CA27" s="57"/>
      <c r="CB27" s="292"/>
      <c r="CC27" s="292"/>
    </row>
    <row r="28" spans="1:84" x14ac:dyDescent="0.2">
      <c r="A28" s="214">
        <f ca="1">TblConstr[[#This Row],[Land]]</f>
        <v>110</v>
      </c>
      <c r="B28" s="142"/>
      <c r="C28" s="94">
        <f ca="1">TblProd[[#This Row],[Platinum]]</f>
        <v>87576</v>
      </c>
      <c r="D28" s="94">
        <f ca="1">TblProd[[#This Row],[Lumber]]</f>
        <v>33216</v>
      </c>
      <c r="E28" s="94">
        <f ca="1">TblProd[[#This Row],[Ore]]</f>
        <v>0</v>
      </c>
      <c r="F28" s="94">
        <f ca="1">TblProd[[#This Row],[Gems]]</f>
        <v>0</v>
      </c>
      <c r="G28" s="154"/>
      <c r="H28" s="94">
        <f ca="1">TblMili[[#This Row],[Draftees]]</f>
        <v>290</v>
      </c>
      <c r="I28" s="180">
        <f ca="1">TblPop[[#This Row],[Employment]]</f>
        <v>1</v>
      </c>
      <c r="J28" s="180">
        <f ca="1">TblPop[[#This Row],[Total]]/TblPop[[#This Row],[Net max]]</f>
        <v>0.94237918215613381</v>
      </c>
      <c r="K28" s="283">
        <f>TblRezone[[#This Row],[Hour]]</f>
        <v>25</v>
      </c>
      <c r="L28" s="284">
        <f ca="1">TblImps[[#This Row],[Real time]]</f>
        <v>46047.999999999942</v>
      </c>
      <c r="M28" s="61">
        <f>IF(ISERROR(TblImps[[#This Row],[algorithm]]),0,TblImps[[#This Row],[algorithm]]*1)</f>
        <v>0</v>
      </c>
      <c r="N28" s="94">
        <f ca="1">TblImps[[#This Row],[Land]]</f>
        <v>110</v>
      </c>
      <c r="O28" s="285" t="s">
        <v>4</v>
      </c>
      <c r="P28" s="286"/>
      <c r="Q28" s="285" t="s">
        <v>210</v>
      </c>
      <c r="R28" s="285" t="s">
        <v>7</v>
      </c>
      <c r="S28" s="286"/>
      <c r="T28" s="285" t="s">
        <v>210</v>
      </c>
      <c r="U28" s="285" t="s">
        <v>3</v>
      </c>
      <c r="V28" s="286"/>
      <c r="W28" s="285" t="s">
        <v>210</v>
      </c>
      <c r="X28" s="142"/>
      <c r="Y28" s="287">
        <f ca="1">science_cap*(1-EXP(-TblImps[[#This Row],[Σ Science]]/(science_param*(OFFSET(TblImps[[#This Row],[Land]],1,0)-OFFSET(TblExplore[[#This Row],[Land Bonus]],1,0)*20)+15000)))*(1+(mason_bonus*TblConstr[[#This Row],[Tot Mas]]/TblConstr[[#This Row],[Land (2)]]))</f>
        <v>0</v>
      </c>
      <c r="Z28" s="287">
        <f ca="1">keep_cap*(1-EXP(-TblImps[[#This Row],[Σ Keep]]/(keep_param*(OFFSET(TblImps[[#This Row],[Land]],1,0)-OFFSET(TblExplore[[#This Row],[Land Bonus]],1,0)*20)+15000)))*(1+(mason_bonus*TblConstr[[#This Row],[Tot Mas]]/TblConstr[[#This Row],[Land (2)]]))</f>
        <v>0</v>
      </c>
      <c r="AA28" s="287">
        <f ca="1">harbor_towers_cap*(1-EXP(-TblImps[[#This Row],[Σ Spires]]/(towers_param*(OFFSET(TblImps[[#This Row],[Land]],1,0)-OFFSET(TblExplore[[#This Row],[Land Bonus]],1,0)*20)+15000)))*(1+(mason_bonus*TblConstr[[#This Row],[Tot Mas]]/TblConstr[[#This Row],[Land (2)]]))</f>
        <v>0</v>
      </c>
      <c r="AB28" s="287">
        <f ca="1">walls_forges_cap*(1-EXP(-TblImps[[#This Row],[Σ Forges]]/(walls_forges_param*(OFFSET(TblImps[[#This Row],[Land]],1,0)-OFFSET(TblExplore[[#This Row],[Land Bonus]],1,0)*20)+15000)))*(1+(mason_bonus*TblConstr[[#This Row],[Tot Mas]]/TblConstr[[#This Row],[Land (2)]]))</f>
        <v>0</v>
      </c>
      <c r="AC28" s="287">
        <f ca="1">walls_forges_cap*(1-EXP(-TblImps[[#This Row],[Σ Walls]]/(walls_forges_param*(OFFSET(TblImps[[#This Row],[Land]],1,0)-OFFSET(TblExplore[[#This Row],[Land Bonus]],1,0)*20)+15000)))*(1+(mason_bonus*TblConstr[[#This Row],[Tot Mas]]/TblConstr[[#This Row],[Land (2)]]))</f>
        <v>0</v>
      </c>
      <c r="AD28" s="287">
        <f ca="1">harbor_towers_cap*(1-EXP(-TblImps[[#This Row],[Σ Harbor]]/(harbor_towers_param*(OFFSET(TblImps[[#This Row],[Land]],1,0)-OFFSET(TblExplore[[#This Row],[Land Bonus]],1,0)*20)+15000)))*(1+(mason_bonus*TblConstr[[#This Row],[Tot Mas]]/TblConstr[[#This Row],[Land (2)]]))</f>
        <v>0</v>
      </c>
      <c r="AE28" s="142"/>
      <c r="AF28" s="61">
        <f ca="1">(1+Overview!$I$29)*SUM(TblImps[[#This Row],[P2]:[G2]])+OFFSET(TblImps[[#This Row],[Σ Science]],-1,0)</f>
        <v>0</v>
      </c>
      <c r="AG28" s="61">
        <f ca="1">(1+Overview!$I$29)*SUM(TblImps[[#This Row],[P3]:[G3]])+OFFSET(TblImps[[#This Row],[Σ Keep]],-1,0)</f>
        <v>0</v>
      </c>
      <c r="AH28" s="61">
        <f ca="1">(1+Overview!$I$29 + tech_7_1*TblTech[[#This Row],[7-1]])*SUM(TblImps[[#This Row],[P4]:[G4]])+OFFSET(TblImps[[#This Row],[Σ Spires]],-1,0)</f>
        <v>0</v>
      </c>
      <c r="AI28" s="61">
        <f ca="1">(1+Overview!$I$29)*SUM(TblImps[[#This Row],[P5]:[G5]])+OFFSET(TblImps[[#This Row],[Σ Forges]],-1,0)</f>
        <v>0</v>
      </c>
      <c r="AJ28" s="61">
        <f ca="1">(1+Overview!$I$29)*SUM(TblImps[[#This Row],[P6]:[G6]])+OFFSET(TblImps[[#This Row],[Σ Walls]],-1,0)</f>
        <v>0</v>
      </c>
      <c r="AK28" s="61">
        <f ca="1">(1+Overview!$I$29 + tech_7_1*TblTech[[#This Row],[7-1]])*SUM(TblImps[[#This Row],[P7]:[G7]])+OFFSET(TblImps[[#This Row],[Σ Harbor]],-1,0)</f>
        <v>0</v>
      </c>
      <c r="AL28" s="142"/>
      <c r="AM28" s="57">
        <f>IF(AND(TblImps[[#This Row],[Resource]]=AM$2,TblImps[[#This Row],[Part]]&lt;&gt;""),TblImps[[#This Row],[Amount]]) + IF(AND(TblImps[[#This Row],[Resource 2]]=AM$2,TblImps[[#This Row],[Part 2]]&lt;&gt;""),TblImps[[#This Row],[Amount 2]]) + IF(AND(TblImps[[#This Row],[Resource 3]]=AM$2,TblImps[[#This Row],[Part 3]]&lt;&gt;""),TblImps[[#This Row],[Amount 3]])</f>
        <v>0</v>
      </c>
      <c r="AN28" s="57">
        <f>IF(AND(TblImps[[#This Row],[Resource]]=AN$2,TblImps[[#This Row],[Part]]&lt;&gt;""),TblImps[[#This Row],[Amount]]) + IF(AND(TblImps[[#This Row],[Resource 2]]=AN$2,TblImps[[#This Row],[Part 2]]&lt;&gt;""),TblImps[[#This Row],[Amount 2]]) + IF(AND(TblImps[[#This Row],[Resource 3]]=AN$2,TblImps[[#This Row],[Part 3]]&lt;&gt;""),TblImps[[#This Row],[Amount 3]])</f>
        <v>0</v>
      </c>
      <c r="AO28" s="57">
        <f>IF(AND(TblImps[[#This Row],[Resource]]=AO$2,TblImps[[#This Row],[Part]]&lt;&gt;""),TblImps[[#This Row],[Amount]]) + IF(AND(TblImps[[#This Row],[Resource 2]]=AO$2,TblImps[[#This Row],[Part 2]]&lt;&gt;""),TblImps[[#This Row],[Amount 2]]) + IF(AND(TblImps[[#This Row],[Resource 3]]=AO$2,TblImps[[#This Row],[Part 3]]&lt;&gt;""),TblImps[[#This Row],[Amount 3]])</f>
        <v>0</v>
      </c>
      <c r="AP28" s="57">
        <f>IF(AND(TblImps[[#This Row],[Resource]]=AP$2,TblImps[[#This Row],[Part]]&lt;&gt;""),TblImps[[#This Row],[Amount]]) + IF(AND(TblImps[[#This Row],[Resource 2]]=AP$2,TblImps[[#This Row],[Part 2]]&lt;&gt;""),TblImps[[#This Row],[Amount 2]]) + IF(AND(TblImps[[#This Row],[Resource 3]]=AP$2,TblImps[[#This Row],[Part 3]]&lt;&gt;""),TblImps[[#This Row],[Amount 3]])</f>
        <v>0</v>
      </c>
      <c r="AQ28" s="142"/>
      <c r="AR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8" s="142"/>
      <c r="AW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8" s="142"/>
      <c r="BB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8" s="142"/>
      <c r="BG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8" s="142"/>
      <c r="BL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8" s="142"/>
      <c r="BQ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8" s="142"/>
      <c r="BV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8" s="61">
        <f>TblImps[[#This Row],[Login]]</f>
        <v>0</v>
      </c>
      <c r="BX28" s="137"/>
      <c r="BY28" s="293">
        <f ca="1">OFFSET(TblImps[[#This Row],[Real time]],-1,0)+1/24</f>
        <v>46047.999999999942</v>
      </c>
      <c r="BZ28" s="294">
        <f ca="1">OFFSET(TblImps[[#This Row],[Servertime]],-1,0)+1/24</f>
        <v>46047.999999999942</v>
      </c>
      <c r="CA28" s="57"/>
      <c r="CB28" s="292"/>
      <c r="CC28" s="292"/>
    </row>
    <row r="29" spans="1:84" x14ac:dyDescent="0.2">
      <c r="A29" s="214">
        <f ca="1">TblConstr[[#This Row],[Land]]</f>
        <v>110</v>
      </c>
      <c r="B29" s="142"/>
      <c r="C29" s="94">
        <f ca="1">TblProd[[#This Row],[Platinum]]</f>
        <v>89530</v>
      </c>
      <c r="D29" s="94">
        <f ca="1">TblProd[[#This Row],[Lumber]]</f>
        <v>33884</v>
      </c>
      <c r="E29" s="94">
        <f ca="1">TblProd[[#This Row],[Ore]]</f>
        <v>0</v>
      </c>
      <c r="F29" s="94">
        <f ca="1">TblProd[[#This Row],[Gems]]</f>
        <v>0</v>
      </c>
      <c r="G29" s="154"/>
      <c r="H29" s="94">
        <f ca="1">TblMili[[#This Row],[Draftees]]</f>
        <v>297</v>
      </c>
      <c r="I29" s="180">
        <f ca="1">TblPop[[#This Row],[Employment]]</f>
        <v>1</v>
      </c>
      <c r="J29" s="180">
        <f ca="1">TblPop[[#This Row],[Total]]/TblPop[[#This Row],[Net max]]</f>
        <v>0.96282527881040891</v>
      </c>
      <c r="K29" s="283">
        <f>TblRezone[[#This Row],[Hour]]</f>
        <v>26</v>
      </c>
      <c r="L29" s="284">
        <f ca="1">TblImps[[#This Row],[Real time]]</f>
        <v>46048.041666666606</v>
      </c>
      <c r="M29" s="61">
        <f>IF(ISERROR(TblImps[[#This Row],[algorithm]]),0,TblImps[[#This Row],[algorithm]]*1)</f>
        <v>0</v>
      </c>
      <c r="N29" s="94">
        <f ca="1">TblImps[[#This Row],[Land]]</f>
        <v>110</v>
      </c>
      <c r="O29" s="285" t="s">
        <v>4</v>
      </c>
      <c r="P29" s="286"/>
      <c r="Q29" s="285" t="s">
        <v>210</v>
      </c>
      <c r="R29" s="285" t="s">
        <v>7</v>
      </c>
      <c r="S29" s="286"/>
      <c r="T29" s="285" t="s">
        <v>210</v>
      </c>
      <c r="U29" s="285" t="s">
        <v>3</v>
      </c>
      <c r="V29" s="286"/>
      <c r="W29" s="285" t="s">
        <v>210</v>
      </c>
      <c r="X29" s="142"/>
      <c r="Y29" s="287">
        <f ca="1">science_cap*(1-EXP(-TblImps[[#This Row],[Σ Science]]/(science_param*(OFFSET(TblImps[[#This Row],[Land]],1,0)-OFFSET(TblExplore[[#This Row],[Land Bonus]],1,0)*20)+15000)))*(1+(mason_bonus*TblConstr[[#This Row],[Tot Mas]]/TblConstr[[#This Row],[Land (2)]]))</f>
        <v>0</v>
      </c>
      <c r="Z29" s="287">
        <f ca="1">keep_cap*(1-EXP(-TblImps[[#This Row],[Σ Keep]]/(keep_param*(OFFSET(TblImps[[#This Row],[Land]],1,0)-OFFSET(TblExplore[[#This Row],[Land Bonus]],1,0)*20)+15000)))*(1+(mason_bonus*TblConstr[[#This Row],[Tot Mas]]/TblConstr[[#This Row],[Land (2)]]))</f>
        <v>0</v>
      </c>
      <c r="AA29" s="287">
        <f ca="1">harbor_towers_cap*(1-EXP(-TblImps[[#This Row],[Σ Spires]]/(towers_param*(OFFSET(TblImps[[#This Row],[Land]],1,0)-OFFSET(TblExplore[[#This Row],[Land Bonus]],1,0)*20)+15000)))*(1+(mason_bonus*TblConstr[[#This Row],[Tot Mas]]/TblConstr[[#This Row],[Land (2)]]))</f>
        <v>0</v>
      </c>
      <c r="AB29" s="287">
        <f ca="1">walls_forges_cap*(1-EXP(-TblImps[[#This Row],[Σ Forges]]/(walls_forges_param*(OFFSET(TblImps[[#This Row],[Land]],1,0)-OFFSET(TblExplore[[#This Row],[Land Bonus]],1,0)*20)+15000)))*(1+(mason_bonus*TblConstr[[#This Row],[Tot Mas]]/TblConstr[[#This Row],[Land (2)]]))</f>
        <v>0</v>
      </c>
      <c r="AC29" s="287">
        <f ca="1">walls_forges_cap*(1-EXP(-TblImps[[#This Row],[Σ Walls]]/(walls_forges_param*(OFFSET(TblImps[[#This Row],[Land]],1,0)-OFFSET(TblExplore[[#This Row],[Land Bonus]],1,0)*20)+15000)))*(1+(mason_bonus*TblConstr[[#This Row],[Tot Mas]]/TblConstr[[#This Row],[Land (2)]]))</f>
        <v>0</v>
      </c>
      <c r="AD29" s="287">
        <f ca="1">harbor_towers_cap*(1-EXP(-TblImps[[#This Row],[Σ Harbor]]/(harbor_towers_param*(OFFSET(TblImps[[#This Row],[Land]],1,0)-OFFSET(TblExplore[[#This Row],[Land Bonus]],1,0)*20)+15000)))*(1+(mason_bonus*TblConstr[[#This Row],[Tot Mas]]/TblConstr[[#This Row],[Land (2)]]))</f>
        <v>0</v>
      </c>
      <c r="AE29" s="142"/>
      <c r="AF29" s="61">
        <f ca="1">(1+Overview!$I$29)*SUM(TblImps[[#This Row],[P2]:[G2]])+OFFSET(TblImps[[#This Row],[Σ Science]],-1,0)</f>
        <v>0</v>
      </c>
      <c r="AG29" s="61">
        <f ca="1">(1+Overview!$I$29)*SUM(TblImps[[#This Row],[P3]:[G3]])+OFFSET(TblImps[[#This Row],[Σ Keep]],-1,0)</f>
        <v>0</v>
      </c>
      <c r="AH29" s="61">
        <f ca="1">(1+Overview!$I$29 + tech_7_1*TblTech[[#This Row],[7-1]])*SUM(TblImps[[#This Row],[P4]:[G4]])+OFFSET(TblImps[[#This Row],[Σ Spires]],-1,0)</f>
        <v>0</v>
      </c>
      <c r="AI29" s="61">
        <f ca="1">(1+Overview!$I$29)*SUM(TblImps[[#This Row],[P5]:[G5]])+OFFSET(TblImps[[#This Row],[Σ Forges]],-1,0)</f>
        <v>0</v>
      </c>
      <c r="AJ29" s="61">
        <f ca="1">(1+Overview!$I$29)*SUM(TblImps[[#This Row],[P6]:[G6]])+OFFSET(TblImps[[#This Row],[Σ Walls]],-1,0)</f>
        <v>0</v>
      </c>
      <c r="AK29" s="61">
        <f ca="1">(1+Overview!$I$29 + tech_7_1*TblTech[[#This Row],[7-1]])*SUM(TblImps[[#This Row],[P7]:[G7]])+OFFSET(TblImps[[#This Row],[Σ Harbor]],-1,0)</f>
        <v>0</v>
      </c>
      <c r="AL29" s="142"/>
      <c r="AM29" s="57">
        <f>IF(AND(TblImps[[#This Row],[Resource]]=AM$2,TblImps[[#This Row],[Part]]&lt;&gt;""),TblImps[[#This Row],[Amount]]) + IF(AND(TblImps[[#This Row],[Resource 2]]=AM$2,TblImps[[#This Row],[Part 2]]&lt;&gt;""),TblImps[[#This Row],[Amount 2]]) + IF(AND(TblImps[[#This Row],[Resource 3]]=AM$2,TblImps[[#This Row],[Part 3]]&lt;&gt;""),TblImps[[#This Row],[Amount 3]])</f>
        <v>0</v>
      </c>
      <c r="AN29" s="57">
        <f>IF(AND(TblImps[[#This Row],[Resource]]=AN$2,TblImps[[#This Row],[Part]]&lt;&gt;""),TblImps[[#This Row],[Amount]]) + IF(AND(TblImps[[#This Row],[Resource 2]]=AN$2,TblImps[[#This Row],[Part 2]]&lt;&gt;""),TblImps[[#This Row],[Amount 2]]) + IF(AND(TblImps[[#This Row],[Resource 3]]=AN$2,TblImps[[#This Row],[Part 3]]&lt;&gt;""),TblImps[[#This Row],[Amount 3]])</f>
        <v>0</v>
      </c>
      <c r="AO29" s="57">
        <f>IF(AND(TblImps[[#This Row],[Resource]]=AO$2,TblImps[[#This Row],[Part]]&lt;&gt;""),TblImps[[#This Row],[Amount]]) + IF(AND(TblImps[[#This Row],[Resource 2]]=AO$2,TblImps[[#This Row],[Part 2]]&lt;&gt;""),TblImps[[#This Row],[Amount 2]]) + IF(AND(TblImps[[#This Row],[Resource 3]]=AO$2,TblImps[[#This Row],[Part 3]]&lt;&gt;""),TblImps[[#This Row],[Amount 3]])</f>
        <v>0</v>
      </c>
      <c r="AP29" s="57">
        <f>IF(AND(TblImps[[#This Row],[Resource]]=AP$2,TblImps[[#This Row],[Part]]&lt;&gt;""),TblImps[[#This Row],[Amount]]) + IF(AND(TblImps[[#This Row],[Resource 2]]=AP$2,TblImps[[#This Row],[Part 2]]&lt;&gt;""),TblImps[[#This Row],[Amount 2]]) + IF(AND(TblImps[[#This Row],[Resource 3]]=AP$2,TblImps[[#This Row],[Part 3]]&lt;&gt;""),TblImps[[#This Row],[Amount 3]])</f>
        <v>0</v>
      </c>
      <c r="AQ29" s="142"/>
      <c r="AR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29" s="142"/>
      <c r="AW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29" s="142"/>
      <c r="BB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29" s="142"/>
      <c r="BG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29" s="142"/>
      <c r="BL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29" s="142"/>
      <c r="BQ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29" s="142"/>
      <c r="BV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29" s="61">
        <f>TblImps[[#This Row],[Login]]</f>
        <v>0</v>
      </c>
      <c r="BX29" s="137"/>
      <c r="BY29" s="293">
        <f ca="1">OFFSET(TblImps[[#This Row],[Real time]],-1,0)+1/24</f>
        <v>46048.041666666606</v>
      </c>
      <c r="BZ29" s="294">
        <f ca="1">OFFSET(TblImps[[#This Row],[Servertime]],-1,0)+1/24</f>
        <v>46048.041666666606</v>
      </c>
      <c r="CA29" s="57"/>
      <c r="CB29" s="292"/>
      <c r="CC29" s="292"/>
    </row>
    <row r="30" spans="1:84" x14ac:dyDescent="0.2">
      <c r="A30" s="214">
        <f ca="1">TblConstr[[#This Row],[Land]]</f>
        <v>110</v>
      </c>
      <c r="B30" s="142"/>
      <c r="C30" s="94">
        <f ca="1">TblProd[[#This Row],[Platinum]]</f>
        <v>91525</v>
      </c>
      <c r="D30" s="94">
        <f ca="1">TblProd[[#This Row],[Lumber]]</f>
        <v>34545</v>
      </c>
      <c r="E30" s="94">
        <f ca="1">TblProd[[#This Row],[Ore]]</f>
        <v>0</v>
      </c>
      <c r="F30" s="94">
        <f ca="1">TblProd[[#This Row],[Gems]]</f>
        <v>0</v>
      </c>
      <c r="G30" s="154"/>
      <c r="H30" s="94">
        <f ca="1">TblMili[[#This Row],[Draftees]]</f>
        <v>304</v>
      </c>
      <c r="I30" s="180">
        <f ca="1">TblPop[[#This Row],[Employment]]</f>
        <v>1</v>
      </c>
      <c r="J30" s="180">
        <f ca="1">TblPop[[#This Row],[Total]]/TblPop[[#This Row],[Net max]]</f>
        <v>0.98327137546468402</v>
      </c>
      <c r="K30" s="283">
        <f>TblRezone[[#This Row],[Hour]]</f>
        <v>27</v>
      </c>
      <c r="L30" s="284">
        <f ca="1">TblImps[[#This Row],[Real time]]</f>
        <v>46048.08333333327</v>
      </c>
      <c r="M30" s="61">
        <f>IF(ISERROR(TblImps[[#This Row],[algorithm]]),0,TblImps[[#This Row],[algorithm]]*1)</f>
        <v>0</v>
      </c>
      <c r="N30" s="94">
        <f ca="1">TblImps[[#This Row],[Land]]</f>
        <v>110</v>
      </c>
      <c r="O30" s="285" t="s">
        <v>4</v>
      </c>
      <c r="P30" s="286"/>
      <c r="Q30" s="285" t="s">
        <v>210</v>
      </c>
      <c r="R30" s="285" t="s">
        <v>7</v>
      </c>
      <c r="S30" s="286"/>
      <c r="T30" s="285" t="s">
        <v>210</v>
      </c>
      <c r="U30" s="285" t="s">
        <v>3</v>
      </c>
      <c r="V30" s="286"/>
      <c r="W30" s="285" t="s">
        <v>210</v>
      </c>
      <c r="X30" s="142"/>
      <c r="Y30" s="287">
        <f ca="1">science_cap*(1-EXP(-TblImps[[#This Row],[Σ Science]]/(science_param*(OFFSET(TblImps[[#This Row],[Land]],1,0)-OFFSET(TblExplore[[#This Row],[Land Bonus]],1,0)*20)+15000)))*(1+(mason_bonus*TblConstr[[#This Row],[Tot Mas]]/TblConstr[[#This Row],[Land (2)]]))</f>
        <v>0</v>
      </c>
      <c r="Z30" s="287">
        <f ca="1">keep_cap*(1-EXP(-TblImps[[#This Row],[Σ Keep]]/(keep_param*(OFFSET(TblImps[[#This Row],[Land]],1,0)-OFFSET(TblExplore[[#This Row],[Land Bonus]],1,0)*20)+15000)))*(1+(mason_bonus*TblConstr[[#This Row],[Tot Mas]]/TblConstr[[#This Row],[Land (2)]]))</f>
        <v>0</v>
      </c>
      <c r="AA30" s="287">
        <f ca="1">harbor_towers_cap*(1-EXP(-TblImps[[#This Row],[Σ Spires]]/(towers_param*(OFFSET(TblImps[[#This Row],[Land]],1,0)-OFFSET(TblExplore[[#This Row],[Land Bonus]],1,0)*20)+15000)))*(1+(mason_bonus*TblConstr[[#This Row],[Tot Mas]]/TblConstr[[#This Row],[Land (2)]]))</f>
        <v>0</v>
      </c>
      <c r="AB30" s="287">
        <f ca="1">walls_forges_cap*(1-EXP(-TblImps[[#This Row],[Σ Forges]]/(walls_forges_param*(OFFSET(TblImps[[#This Row],[Land]],1,0)-OFFSET(TblExplore[[#This Row],[Land Bonus]],1,0)*20)+15000)))*(1+(mason_bonus*TblConstr[[#This Row],[Tot Mas]]/TblConstr[[#This Row],[Land (2)]]))</f>
        <v>0</v>
      </c>
      <c r="AC30" s="287">
        <f ca="1">walls_forges_cap*(1-EXP(-TblImps[[#This Row],[Σ Walls]]/(walls_forges_param*(OFFSET(TblImps[[#This Row],[Land]],1,0)-OFFSET(TblExplore[[#This Row],[Land Bonus]],1,0)*20)+15000)))*(1+(mason_bonus*TblConstr[[#This Row],[Tot Mas]]/TblConstr[[#This Row],[Land (2)]]))</f>
        <v>0</v>
      </c>
      <c r="AD30" s="287">
        <f ca="1">harbor_towers_cap*(1-EXP(-TblImps[[#This Row],[Σ Harbor]]/(harbor_towers_param*(OFFSET(TblImps[[#This Row],[Land]],1,0)-OFFSET(TblExplore[[#This Row],[Land Bonus]],1,0)*20)+15000)))*(1+(mason_bonus*TblConstr[[#This Row],[Tot Mas]]/TblConstr[[#This Row],[Land (2)]]))</f>
        <v>0</v>
      </c>
      <c r="AE30" s="142"/>
      <c r="AF30" s="61">
        <f ca="1">(1+Overview!$I$29)*SUM(TblImps[[#This Row],[P2]:[G2]])+OFFSET(TblImps[[#This Row],[Σ Science]],-1,0)</f>
        <v>0</v>
      </c>
      <c r="AG30" s="61">
        <f ca="1">(1+Overview!$I$29)*SUM(TblImps[[#This Row],[P3]:[G3]])+OFFSET(TblImps[[#This Row],[Σ Keep]],-1,0)</f>
        <v>0</v>
      </c>
      <c r="AH30" s="61">
        <f ca="1">(1+Overview!$I$29 + tech_7_1*TblTech[[#This Row],[7-1]])*SUM(TblImps[[#This Row],[P4]:[G4]])+OFFSET(TblImps[[#This Row],[Σ Spires]],-1,0)</f>
        <v>0</v>
      </c>
      <c r="AI30" s="61">
        <f ca="1">(1+Overview!$I$29)*SUM(TblImps[[#This Row],[P5]:[G5]])+OFFSET(TblImps[[#This Row],[Σ Forges]],-1,0)</f>
        <v>0</v>
      </c>
      <c r="AJ30" s="61">
        <f ca="1">(1+Overview!$I$29)*SUM(TblImps[[#This Row],[P6]:[G6]])+OFFSET(TblImps[[#This Row],[Σ Walls]],-1,0)</f>
        <v>0</v>
      </c>
      <c r="AK30" s="61">
        <f ca="1">(1+Overview!$I$29 + tech_7_1*TblTech[[#This Row],[7-1]])*SUM(TblImps[[#This Row],[P7]:[G7]])+OFFSET(TblImps[[#This Row],[Σ Harbor]],-1,0)</f>
        <v>0</v>
      </c>
      <c r="AL30" s="142"/>
      <c r="AM30" s="57">
        <f>IF(AND(TblImps[[#This Row],[Resource]]=AM$2,TblImps[[#This Row],[Part]]&lt;&gt;""),TblImps[[#This Row],[Amount]]) + IF(AND(TblImps[[#This Row],[Resource 2]]=AM$2,TblImps[[#This Row],[Part 2]]&lt;&gt;""),TblImps[[#This Row],[Amount 2]]) + IF(AND(TblImps[[#This Row],[Resource 3]]=AM$2,TblImps[[#This Row],[Part 3]]&lt;&gt;""),TblImps[[#This Row],[Amount 3]])</f>
        <v>0</v>
      </c>
      <c r="AN30" s="57">
        <f>IF(AND(TblImps[[#This Row],[Resource]]=AN$2,TblImps[[#This Row],[Part]]&lt;&gt;""),TblImps[[#This Row],[Amount]]) + IF(AND(TblImps[[#This Row],[Resource 2]]=AN$2,TblImps[[#This Row],[Part 2]]&lt;&gt;""),TblImps[[#This Row],[Amount 2]]) + IF(AND(TblImps[[#This Row],[Resource 3]]=AN$2,TblImps[[#This Row],[Part 3]]&lt;&gt;""),TblImps[[#This Row],[Amount 3]])</f>
        <v>0</v>
      </c>
      <c r="AO30" s="57">
        <f>IF(AND(TblImps[[#This Row],[Resource]]=AO$2,TblImps[[#This Row],[Part]]&lt;&gt;""),TblImps[[#This Row],[Amount]]) + IF(AND(TblImps[[#This Row],[Resource 2]]=AO$2,TblImps[[#This Row],[Part 2]]&lt;&gt;""),TblImps[[#This Row],[Amount 2]]) + IF(AND(TblImps[[#This Row],[Resource 3]]=AO$2,TblImps[[#This Row],[Part 3]]&lt;&gt;""),TblImps[[#This Row],[Amount 3]])</f>
        <v>0</v>
      </c>
      <c r="AP30" s="57">
        <f>IF(AND(TblImps[[#This Row],[Resource]]=AP$2,TblImps[[#This Row],[Part]]&lt;&gt;""),TblImps[[#This Row],[Amount]]) + IF(AND(TblImps[[#This Row],[Resource 2]]=AP$2,TblImps[[#This Row],[Part 2]]&lt;&gt;""),TblImps[[#This Row],[Amount 2]]) + IF(AND(TblImps[[#This Row],[Resource 3]]=AP$2,TblImps[[#This Row],[Part 3]]&lt;&gt;""),TblImps[[#This Row],[Amount 3]])</f>
        <v>0</v>
      </c>
      <c r="AQ30" s="142"/>
      <c r="AR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0" s="142"/>
      <c r="AW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0" s="142"/>
      <c r="BB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0" s="142"/>
      <c r="BG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0" s="142"/>
      <c r="BL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0" s="142"/>
      <c r="BQ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0" s="142"/>
      <c r="BV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0" s="61">
        <f>TblImps[[#This Row],[Login]]</f>
        <v>0</v>
      </c>
      <c r="BX30" s="137"/>
      <c r="BY30" s="293">
        <f ca="1">OFFSET(TblImps[[#This Row],[Real time]],-1,0)+1/24</f>
        <v>46048.08333333327</v>
      </c>
      <c r="BZ30" s="294">
        <f ca="1">OFFSET(TblImps[[#This Row],[Servertime]],-1,0)+1/24</f>
        <v>46048.08333333327</v>
      </c>
      <c r="CA30" s="57"/>
      <c r="CB30" s="292"/>
      <c r="CC30" s="292"/>
      <c r="CD30" s="45" t="s">
        <v>4</v>
      </c>
    </row>
    <row r="31" spans="1:84" x14ac:dyDescent="0.2">
      <c r="A31" s="214">
        <f ca="1">TblConstr[[#This Row],[Land]]</f>
        <v>110</v>
      </c>
      <c r="B31" s="142"/>
      <c r="C31" s="94">
        <f ca="1">TblProd[[#This Row],[Platinum]]</f>
        <v>93560</v>
      </c>
      <c r="D31" s="94">
        <f ca="1">TblProd[[#This Row],[Lumber]]</f>
        <v>35200</v>
      </c>
      <c r="E31" s="94">
        <f ca="1">TblProd[[#This Row],[Ore]]</f>
        <v>0</v>
      </c>
      <c r="F31" s="94">
        <f ca="1">TblProd[[#This Row],[Gems]]</f>
        <v>0</v>
      </c>
      <c r="G31" s="154"/>
      <c r="H31" s="94">
        <f ca="1">TblMili[[#This Row],[Draftees]]</f>
        <v>312</v>
      </c>
      <c r="I31" s="180">
        <f ca="1">TblPop[[#This Row],[Employment]]</f>
        <v>1</v>
      </c>
      <c r="J31" s="180">
        <f ca="1">TblPop[[#This Row],[Total]]/TblPop[[#This Row],[Net max]]</f>
        <v>1</v>
      </c>
      <c r="K31" s="283">
        <f>TblRezone[[#This Row],[Hour]]</f>
        <v>28</v>
      </c>
      <c r="L31" s="284">
        <f ca="1">TblImps[[#This Row],[Real time]]</f>
        <v>46048.124999999935</v>
      </c>
      <c r="M31" s="61">
        <f>IF(ISERROR(TblImps[[#This Row],[algorithm]]),0,TblImps[[#This Row],[algorithm]]*1)</f>
        <v>0</v>
      </c>
      <c r="N31" s="94">
        <f ca="1">TblImps[[#This Row],[Land]]</f>
        <v>110</v>
      </c>
      <c r="O31" s="285" t="s">
        <v>4</v>
      </c>
      <c r="P31" s="286"/>
      <c r="Q31" s="285" t="s">
        <v>210</v>
      </c>
      <c r="R31" s="285" t="s">
        <v>7</v>
      </c>
      <c r="S31" s="286"/>
      <c r="T31" s="285" t="s">
        <v>210</v>
      </c>
      <c r="U31" s="285" t="s">
        <v>3</v>
      </c>
      <c r="V31" s="286"/>
      <c r="W31" s="285" t="s">
        <v>210</v>
      </c>
      <c r="X31" s="142"/>
      <c r="Y31" s="287">
        <f ca="1">science_cap*(1-EXP(-TblImps[[#This Row],[Σ Science]]/(science_param*(OFFSET(TblImps[[#This Row],[Land]],1,0)-OFFSET(TblExplore[[#This Row],[Land Bonus]],1,0)*20)+15000)))*(1+(mason_bonus*TblConstr[[#This Row],[Tot Mas]]/TblConstr[[#This Row],[Land (2)]]))</f>
        <v>0</v>
      </c>
      <c r="Z31" s="287">
        <f ca="1">keep_cap*(1-EXP(-TblImps[[#This Row],[Σ Keep]]/(keep_param*(OFFSET(TblImps[[#This Row],[Land]],1,0)-OFFSET(TblExplore[[#This Row],[Land Bonus]],1,0)*20)+15000)))*(1+(mason_bonus*TblConstr[[#This Row],[Tot Mas]]/TblConstr[[#This Row],[Land (2)]]))</f>
        <v>0</v>
      </c>
      <c r="AA31" s="287">
        <f ca="1">harbor_towers_cap*(1-EXP(-TblImps[[#This Row],[Σ Spires]]/(towers_param*(OFFSET(TblImps[[#This Row],[Land]],1,0)-OFFSET(TblExplore[[#This Row],[Land Bonus]],1,0)*20)+15000)))*(1+(mason_bonus*TblConstr[[#This Row],[Tot Mas]]/TblConstr[[#This Row],[Land (2)]]))</f>
        <v>0</v>
      </c>
      <c r="AB31" s="287">
        <f ca="1">walls_forges_cap*(1-EXP(-TblImps[[#This Row],[Σ Forges]]/(walls_forges_param*(OFFSET(TblImps[[#This Row],[Land]],1,0)-OFFSET(TblExplore[[#This Row],[Land Bonus]],1,0)*20)+15000)))*(1+(mason_bonus*TblConstr[[#This Row],[Tot Mas]]/TblConstr[[#This Row],[Land (2)]]))</f>
        <v>0</v>
      </c>
      <c r="AC31" s="287">
        <f ca="1">walls_forges_cap*(1-EXP(-TblImps[[#This Row],[Σ Walls]]/(walls_forges_param*(OFFSET(TblImps[[#This Row],[Land]],1,0)-OFFSET(TblExplore[[#This Row],[Land Bonus]],1,0)*20)+15000)))*(1+(mason_bonus*TblConstr[[#This Row],[Tot Mas]]/TblConstr[[#This Row],[Land (2)]]))</f>
        <v>0</v>
      </c>
      <c r="AD31" s="287">
        <f ca="1">harbor_towers_cap*(1-EXP(-TblImps[[#This Row],[Σ Harbor]]/(harbor_towers_param*(OFFSET(TblImps[[#This Row],[Land]],1,0)-OFFSET(TblExplore[[#This Row],[Land Bonus]],1,0)*20)+15000)))*(1+(mason_bonus*TblConstr[[#This Row],[Tot Mas]]/TblConstr[[#This Row],[Land (2)]]))</f>
        <v>0</v>
      </c>
      <c r="AE31" s="142"/>
      <c r="AF31" s="61">
        <f ca="1">(1+Overview!$I$29)*SUM(TblImps[[#This Row],[P2]:[G2]])+OFFSET(TblImps[[#This Row],[Σ Science]],-1,0)</f>
        <v>0</v>
      </c>
      <c r="AG31" s="61">
        <f ca="1">(1+Overview!$I$29)*SUM(TblImps[[#This Row],[P3]:[G3]])+OFFSET(TblImps[[#This Row],[Σ Keep]],-1,0)</f>
        <v>0</v>
      </c>
      <c r="AH31" s="61">
        <f ca="1">(1+Overview!$I$29 + tech_7_1*TblTech[[#This Row],[7-1]])*SUM(TblImps[[#This Row],[P4]:[G4]])+OFFSET(TblImps[[#This Row],[Σ Spires]],-1,0)</f>
        <v>0</v>
      </c>
      <c r="AI31" s="61">
        <f ca="1">(1+Overview!$I$29)*SUM(TblImps[[#This Row],[P5]:[G5]])+OFFSET(TblImps[[#This Row],[Σ Forges]],-1,0)</f>
        <v>0</v>
      </c>
      <c r="AJ31" s="61">
        <f ca="1">(1+Overview!$I$29)*SUM(TblImps[[#This Row],[P6]:[G6]])+OFFSET(TblImps[[#This Row],[Σ Walls]],-1,0)</f>
        <v>0</v>
      </c>
      <c r="AK31" s="61">
        <f ca="1">(1+Overview!$I$29 + tech_7_1*TblTech[[#This Row],[7-1]])*SUM(TblImps[[#This Row],[P7]:[G7]])+OFFSET(TblImps[[#This Row],[Σ Harbor]],-1,0)</f>
        <v>0</v>
      </c>
      <c r="AL31" s="142"/>
      <c r="AM31" s="57">
        <f>IF(AND(TblImps[[#This Row],[Resource]]=AM$2,TblImps[[#This Row],[Part]]&lt;&gt;""),TblImps[[#This Row],[Amount]]) + IF(AND(TblImps[[#This Row],[Resource 2]]=AM$2,TblImps[[#This Row],[Part 2]]&lt;&gt;""),TblImps[[#This Row],[Amount 2]]) + IF(AND(TblImps[[#This Row],[Resource 3]]=AM$2,TblImps[[#This Row],[Part 3]]&lt;&gt;""),TblImps[[#This Row],[Amount 3]])</f>
        <v>0</v>
      </c>
      <c r="AN31" s="57">
        <f>IF(AND(TblImps[[#This Row],[Resource]]=AN$2,TblImps[[#This Row],[Part]]&lt;&gt;""),TblImps[[#This Row],[Amount]]) + IF(AND(TblImps[[#This Row],[Resource 2]]=AN$2,TblImps[[#This Row],[Part 2]]&lt;&gt;""),TblImps[[#This Row],[Amount 2]]) + IF(AND(TblImps[[#This Row],[Resource 3]]=AN$2,TblImps[[#This Row],[Part 3]]&lt;&gt;""),TblImps[[#This Row],[Amount 3]])</f>
        <v>0</v>
      </c>
      <c r="AO31" s="57">
        <f>IF(AND(TblImps[[#This Row],[Resource]]=AO$2,TblImps[[#This Row],[Part]]&lt;&gt;""),TblImps[[#This Row],[Amount]]) + IF(AND(TblImps[[#This Row],[Resource 2]]=AO$2,TblImps[[#This Row],[Part 2]]&lt;&gt;""),TblImps[[#This Row],[Amount 2]]) + IF(AND(TblImps[[#This Row],[Resource 3]]=AO$2,TblImps[[#This Row],[Part 3]]&lt;&gt;""),TblImps[[#This Row],[Amount 3]])</f>
        <v>0</v>
      </c>
      <c r="AP31" s="57">
        <f>IF(AND(TblImps[[#This Row],[Resource]]=AP$2,TblImps[[#This Row],[Part]]&lt;&gt;""),TblImps[[#This Row],[Amount]]) + IF(AND(TblImps[[#This Row],[Resource 2]]=AP$2,TblImps[[#This Row],[Part 2]]&lt;&gt;""),TblImps[[#This Row],[Amount 2]]) + IF(AND(TblImps[[#This Row],[Resource 3]]=AP$2,TblImps[[#This Row],[Part 3]]&lt;&gt;""),TblImps[[#This Row],[Amount 3]])</f>
        <v>0</v>
      </c>
      <c r="AQ31" s="142"/>
      <c r="AR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1" s="142"/>
      <c r="AW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1" s="142"/>
      <c r="BB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1" s="142"/>
      <c r="BG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1" s="142"/>
      <c r="BL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1" s="142"/>
      <c r="BQ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1" s="142"/>
      <c r="BV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1" s="61">
        <f>TblImps[[#This Row],[Login]]</f>
        <v>0</v>
      </c>
      <c r="BX31" s="137"/>
      <c r="BY31" s="293">
        <f ca="1">OFFSET(TblImps[[#This Row],[Real time]],-1,0)+1/24</f>
        <v>46048.124999999935</v>
      </c>
      <c r="BZ31" s="294">
        <f ca="1">OFFSET(TblImps[[#This Row],[Servertime]],-1,0)+1/24</f>
        <v>46048.124999999935</v>
      </c>
      <c r="CA31" s="57"/>
      <c r="CB31" s="292"/>
      <c r="CC31" s="292"/>
      <c r="CD31" s="45" t="s">
        <v>7</v>
      </c>
    </row>
    <row r="32" spans="1:84" x14ac:dyDescent="0.2">
      <c r="A32" s="214">
        <f ca="1">TblConstr[[#This Row],[Land]]</f>
        <v>110</v>
      </c>
      <c r="B32" s="142"/>
      <c r="C32" s="94">
        <f ca="1">TblProd[[#This Row],[Platinum]]</f>
        <v>95622</v>
      </c>
      <c r="D32" s="94">
        <f ca="1">TblProd[[#This Row],[Lumber]]</f>
        <v>35848</v>
      </c>
      <c r="E32" s="94">
        <f ca="1">TblProd[[#This Row],[Ore]]</f>
        <v>0</v>
      </c>
      <c r="F32" s="94">
        <f ca="1">TblProd[[#This Row],[Gems]]</f>
        <v>0</v>
      </c>
      <c r="G32" s="154"/>
      <c r="H32" s="94">
        <f ca="1">TblMili[[#This Row],[Draftees]]</f>
        <v>320</v>
      </c>
      <c r="I32" s="180">
        <f ca="1">TblPop[[#This Row],[Employment]]</f>
        <v>1</v>
      </c>
      <c r="J32" s="180">
        <f ca="1">TblPop[[#This Row],[Total]]/TblPop[[#This Row],[Net max]]</f>
        <v>1</v>
      </c>
      <c r="K32" s="283">
        <f>TblRezone[[#This Row],[Hour]]</f>
        <v>29</v>
      </c>
      <c r="L32" s="284">
        <f ca="1">TblImps[[#This Row],[Real time]]</f>
        <v>46048.166666666599</v>
      </c>
      <c r="M32" s="61">
        <f>IF(ISERROR(TblImps[[#This Row],[algorithm]]),0,TblImps[[#This Row],[algorithm]]*1)</f>
        <v>0</v>
      </c>
      <c r="N32" s="94">
        <f ca="1">TblImps[[#This Row],[Land]]</f>
        <v>110</v>
      </c>
      <c r="O32" s="285" t="s">
        <v>4</v>
      </c>
      <c r="P32" s="286"/>
      <c r="Q32" s="285" t="s">
        <v>210</v>
      </c>
      <c r="R32" s="285" t="s">
        <v>7</v>
      </c>
      <c r="S32" s="286"/>
      <c r="T32" s="285" t="s">
        <v>210</v>
      </c>
      <c r="U32" s="285" t="s">
        <v>3</v>
      </c>
      <c r="V32" s="286"/>
      <c r="W32" s="285" t="s">
        <v>210</v>
      </c>
      <c r="X32" s="142"/>
      <c r="Y32" s="287">
        <f ca="1">science_cap*(1-EXP(-TblImps[[#This Row],[Σ Science]]/(science_param*(OFFSET(TblImps[[#This Row],[Land]],1,0)-OFFSET(TblExplore[[#This Row],[Land Bonus]],1,0)*20)+15000)))*(1+(mason_bonus*TblConstr[[#This Row],[Tot Mas]]/TblConstr[[#This Row],[Land (2)]]))</f>
        <v>0</v>
      </c>
      <c r="Z32" s="287">
        <f ca="1">keep_cap*(1-EXP(-TblImps[[#This Row],[Σ Keep]]/(keep_param*(OFFSET(TblImps[[#This Row],[Land]],1,0)-OFFSET(TblExplore[[#This Row],[Land Bonus]],1,0)*20)+15000)))*(1+(mason_bonus*TblConstr[[#This Row],[Tot Mas]]/TblConstr[[#This Row],[Land (2)]]))</f>
        <v>0</v>
      </c>
      <c r="AA32" s="287">
        <f ca="1">harbor_towers_cap*(1-EXP(-TblImps[[#This Row],[Σ Spires]]/(towers_param*(OFFSET(TblImps[[#This Row],[Land]],1,0)-OFFSET(TblExplore[[#This Row],[Land Bonus]],1,0)*20)+15000)))*(1+(mason_bonus*TblConstr[[#This Row],[Tot Mas]]/TblConstr[[#This Row],[Land (2)]]))</f>
        <v>0</v>
      </c>
      <c r="AB32" s="287">
        <f ca="1">walls_forges_cap*(1-EXP(-TblImps[[#This Row],[Σ Forges]]/(walls_forges_param*(OFFSET(TblImps[[#This Row],[Land]],1,0)-OFFSET(TblExplore[[#This Row],[Land Bonus]],1,0)*20)+15000)))*(1+(mason_bonus*TblConstr[[#This Row],[Tot Mas]]/TblConstr[[#This Row],[Land (2)]]))</f>
        <v>0</v>
      </c>
      <c r="AC32" s="287">
        <f ca="1">walls_forges_cap*(1-EXP(-TblImps[[#This Row],[Σ Walls]]/(walls_forges_param*(OFFSET(TblImps[[#This Row],[Land]],1,0)-OFFSET(TblExplore[[#This Row],[Land Bonus]],1,0)*20)+15000)))*(1+(mason_bonus*TblConstr[[#This Row],[Tot Mas]]/TblConstr[[#This Row],[Land (2)]]))</f>
        <v>0</v>
      </c>
      <c r="AD32" s="287">
        <f ca="1">harbor_towers_cap*(1-EXP(-TblImps[[#This Row],[Σ Harbor]]/(harbor_towers_param*(OFFSET(TblImps[[#This Row],[Land]],1,0)-OFFSET(TblExplore[[#This Row],[Land Bonus]],1,0)*20)+15000)))*(1+(mason_bonus*TblConstr[[#This Row],[Tot Mas]]/TblConstr[[#This Row],[Land (2)]]))</f>
        <v>0</v>
      </c>
      <c r="AE32" s="142"/>
      <c r="AF32" s="61">
        <f ca="1">(1+Overview!$I$29)*SUM(TblImps[[#This Row],[P2]:[G2]])+OFFSET(TblImps[[#This Row],[Σ Science]],-1,0)</f>
        <v>0</v>
      </c>
      <c r="AG32" s="61">
        <f ca="1">(1+Overview!$I$29)*SUM(TblImps[[#This Row],[P3]:[G3]])+OFFSET(TblImps[[#This Row],[Σ Keep]],-1,0)</f>
        <v>0</v>
      </c>
      <c r="AH32" s="61">
        <f ca="1">(1+Overview!$I$29 + tech_7_1*TblTech[[#This Row],[7-1]])*SUM(TblImps[[#This Row],[P4]:[G4]])+OFFSET(TblImps[[#This Row],[Σ Spires]],-1,0)</f>
        <v>0</v>
      </c>
      <c r="AI32" s="61">
        <f ca="1">(1+Overview!$I$29)*SUM(TblImps[[#This Row],[P5]:[G5]])+OFFSET(TblImps[[#This Row],[Σ Forges]],-1,0)</f>
        <v>0</v>
      </c>
      <c r="AJ32" s="61">
        <f ca="1">(1+Overview!$I$29)*SUM(TblImps[[#This Row],[P6]:[G6]])+OFFSET(TblImps[[#This Row],[Σ Walls]],-1,0)</f>
        <v>0</v>
      </c>
      <c r="AK32" s="61">
        <f ca="1">(1+Overview!$I$29 + tech_7_1*TblTech[[#This Row],[7-1]])*SUM(TblImps[[#This Row],[P7]:[G7]])+OFFSET(TblImps[[#This Row],[Σ Harbor]],-1,0)</f>
        <v>0</v>
      </c>
      <c r="AL32" s="142"/>
      <c r="AM32" s="57">
        <f>IF(AND(TblImps[[#This Row],[Resource]]=AM$2,TblImps[[#This Row],[Part]]&lt;&gt;""),TblImps[[#This Row],[Amount]]) + IF(AND(TblImps[[#This Row],[Resource 2]]=AM$2,TblImps[[#This Row],[Part 2]]&lt;&gt;""),TblImps[[#This Row],[Amount 2]]) + IF(AND(TblImps[[#This Row],[Resource 3]]=AM$2,TblImps[[#This Row],[Part 3]]&lt;&gt;""),TblImps[[#This Row],[Amount 3]])</f>
        <v>0</v>
      </c>
      <c r="AN32" s="57">
        <f>IF(AND(TblImps[[#This Row],[Resource]]=AN$2,TblImps[[#This Row],[Part]]&lt;&gt;""),TblImps[[#This Row],[Amount]]) + IF(AND(TblImps[[#This Row],[Resource 2]]=AN$2,TblImps[[#This Row],[Part 2]]&lt;&gt;""),TblImps[[#This Row],[Amount 2]]) + IF(AND(TblImps[[#This Row],[Resource 3]]=AN$2,TblImps[[#This Row],[Part 3]]&lt;&gt;""),TblImps[[#This Row],[Amount 3]])</f>
        <v>0</v>
      </c>
      <c r="AO32" s="57">
        <f>IF(AND(TblImps[[#This Row],[Resource]]=AO$2,TblImps[[#This Row],[Part]]&lt;&gt;""),TblImps[[#This Row],[Amount]]) + IF(AND(TblImps[[#This Row],[Resource 2]]=AO$2,TblImps[[#This Row],[Part 2]]&lt;&gt;""),TblImps[[#This Row],[Amount 2]]) + IF(AND(TblImps[[#This Row],[Resource 3]]=AO$2,TblImps[[#This Row],[Part 3]]&lt;&gt;""),TblImps[[#This Row],[Amount 3]])</f>
        <v>0</v>
      </c>
      <c r="AP32" s="57">
        <f>IF(AND(TblImps[[#This Row],[Resource]]=AP$2,TblImps[[#This Row],[Part]]&lt;&gt;""),TblImps[[#This Row],[Amount]]) + IF(AND(TblImps[[#This Row],[Resource 2]]=AP$2,TblImps[[#This Row],[Part 2]]&lt;&gt;""),TblImps[[#This Row],[Amount 2]]) + IF(AND(TblImps[[#This Row],[Resource 3]]=AP$2,TblImps[[#This Row],[Part 3]]&lt;&gt;""),TblImps[[#This Row],[Amount 3]])</f>
        <v>0</v>
      </c>
      <c r="AQ32" s="142"/>
      <c r="AR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2" s="142"/>
      <c r="AW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2" s="142"/>
      <c r="BB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2" s="142"/>
      <c r="BG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2" s="142"/>
      <c r="BL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2" s="142"/>
      <c r="BQ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2" s="142"/>
      <c r="BV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2" s="61">
        <f>TblImps[[#This Row],[Login]]</f>
        <v>0</v>
      </c>
      <c r="BX32" s="137"/>
      <c r="BY32" s="293">
        <f ca="1">OFFSET(TblImps[[#This Row],[Real time]],-1,0)+1/24</f>
        <v>46048.166666666599</v>
      </c>
      <c r="BZ32" s="294">
        <f ca="1">OFFSET(TblImps[[#This Row],[Servertime]],-1,0)+1/24</f>
        <v>46048.166666666599</v>
      </c>
      <c r="CA32" s="57"/>
      <c r="CB32" s="292"/>
      <c r="CC32" s="292"/>
      <c r="CD32" s="45" t="s">
        <v>3</v>
      </c>
    </row>
    <row r="33" spans="1:82" x14ac:dyDescent="0.2">
      <c r="A33" s="214">
        <f ca="1">TblConstr[[#This Row],[Land]]</f>
        <v>110</v>
      </c>
      <c r="B33" s="142"/>
      <c r="C33" s="94">
        <f ca="1">TblProd[[#This Row],[Platinum]]</f>
        <v>97663</v>
      </c>
      <c r="D33" s="94">
        <f ca="1">TblProd[[#This Row],[Lumber]]</f>
        <v>36490</v>
      </c>
      <c r="E33" s="94">
        <f ca="1">TblProd[[#This Row],[Ore]]</f>
        <v>0</v>
      </c>
      <c r="F33" s="94">
        <f ca="1">TblProd[[#This Row],[Gems]]</f>
        <v>0</v>
      </c>
      <c r="G33" s="154"/>
      <c r="H33" s="94">
        <f ca="1">TblMili[[#This Row],[Draftees]]</f>
        <v>328</v>
      </c>
      <c r="I33" s="180">
        <f ca="1">TblPop[[#This Row],[Employment]]</f>
        <v>1</v>
      </c>
      <c r="J33" s="180">
        <f ca="1">TblPop[[#This Row],[Total]]/TblPop[[#This Row],[Net max]]</f>
        <v>1</v>
      </c>
      <c r="K33" s="283">
        <f>TblRezone[[#This Row],[Hour]]</f>
        <v>30</v>
      </c>
      <c r="L33" s="284">
        <f ca="1">TblImps[[#This Row],[Real time]]</f>
        <v>46048.208333333263</v>
      </c>
      <c r="M33" s="61">
        <f>IF(ISERROR(TblImps[[#This Row],[algorithm]]),0,TblImps[[#This Row],[algorithm]]*1)</f>
        <v>0</v>
      </c>
      <c r="N33" s="94">
        <f ca="1">TblImps[[#This Row],[Land]]</f>
        <v>110</v>
      </c>
      <c r="O33" s="285" t="s">
        <v>4</v>
      </c>
      <c r="P33" s="286"/>
      <c r="Q33" s="285" t="s">
        <v>210</v>
      </c>
      <c r="R33" s="285" t="s">
        <v>7</v>
      </c>
      <c r="S33" s="286"/>
      <c r="T33" s="285" t="s">
        <v>210</v>
      </c>
      <c r="U33" s="285" t="s">
        <v>3</v>
      </c>
      <c r="V33" s="286"/>
      <c r="W33" s="285" t="s">
        <v>210</v>
      </c>
      <c r="X33" s="142"/>
      <c r="Y33" s="287">
        <f ca="1">science_cap*(1-EXP(-TblImps[[#This Row],[Σ Science]]/(science_param*(OFFSET(TblImps[[#This Row],[Land]],1,0)-OFFSET(TblExplore[[#This Row],[Land Bonus]],1,0)*20)+15000)))*(1+(mason_bonus*TblConstr[[#This Row],[Tot Mas]]/TblConstr[[#This Row],[Land (2)]]))</f>
        <v>0</v>
      </c>
      <c r="Z33" s="287">
        <f ca="1">keep_cap*(1-EXP(-TblImps[[#This Row],[Σ Keep]]/(keep_param*(OFFSET(TblImps[[#This Row],[Land]],1,0)-OFFSET(TblExplore[[#This Row],[Land Bonus]],1,0)*20)+15000)))*(1+(mason_bonus*TblConstr[[#This Row],[Tot Mas]]/TblConstr[[#This Row],[Land (2)]]))</f>
        <v>0</v>
      </c>
      <c r="AA33" s="287">
        <f ca="1">harbor_towers_cap*(1-EXP(-TblImps[[#This Row],[Σ Spires]]/(towers_param*(OFFSET(TblImps[[#This Row],[Land]],1,0)-OFFSET(TblExplore[[#This Row],[Land Bonus]],1,0)*20)+15000)))*(1+(mason_bonus*TblConstr[[#This Row],[Tot Mas]]/TblConstr[[#This Row],[Land (2)]]))</f>
        <v>0</v>
      </c>
      <c r="AB33" s="287">
        <f ca="1">walls_forges_cap*(1-EXP(-TblImps[[#This Row],[Σ Forges]]/(walls_forges_param*(OFFSET(TblImps[[#This Row],[Land]],1,0)-OFFSET(TblExplore[[#This Row],[Land Bonus]],1,0)*20)+15000)))*(1+(mason_bonus*TblConstr[[#This Row],[Tot Mas]]/TblConstr[[#This Row],[Land (2)]]))</f>
        <v>0</v>
      </c>
      <c r="AC33" s="287">
        <f ca="1">walls_forges_cap*(1-EXP(-TblImps[[#This Row],[Σ Walls]]/(walls_forges_param*(OFFSET(TblImps[[#This Row],[Land]],1,0)-OFFSET(TblExplore[[#This Row],[Land Bonus]],1,0)*20)+15000)))*(1+(mason_bonus*TblConstr[[#This Row],[Tot Mas]]/TblConstr[[#This Row],[Land (2)]]))</f>
        <v>0</v>
      </c>
      <c r="AD33" s="287">
        <f ca="1">harbor_towers_cap*(1-EXP(-TblImps[[#This Row],[Σ Harbor]]/(harbor_towers_param*(OFFSET(TblImps[[#This Row],[Land]],1,0)-OFFSET(TblExplore[[#This Row],[Land Bonus]],1,0)*20)+15000)))*(1+(mason_bonus*TblConstr[[#This Row],[Tot Mas]]/TblConstr[[#This Row],[Land (2)]]))</f>
        <v>0</v>
      </c>
      <c r="AE33" s="142"/>
      <c r="AF33" s="61">
        <f ca="1">(1+Overview!$I$29)*SUM(TblImps[[#This Row],[P2]:[G2]])+OFFSET(TblImps[[#This Row],[Σ Science]],-1,0)</f>
        <v>0</v>
      </c>
      <c r="AG33" s="61">
        <f ca="1">(1+Overview!$I$29)*SUM(TblImps[[#This Row],[P3]:[G3]])+OFFSET(TblImps[[#This Row],[Σ Keep]],-1,0)</f>
        <v>0</v>
      </c>
      <c r="AH33" s="61">
        <f ca="1">(1+Overview!$I$29 + tech_7_1*TblTech[[#This Row],[7-1]])*SUM(TblImps[[#This Row],[P4]:[G4]])+OFFSET(TblImps[[#This Row],[Σ Spires]],-1,0)</f>
        <v>0</v>
      </c>
      <c r="AI33" s="61">
        <f ca="1">(1+Overview!$I$29)*SUM(TblImps[[#This Row],[P5]:[G5]])+OFFSET(TblImps[[#This Row],[Σ Forges]],-1,0)</f>
        <v>0</v>
      </c>
      <c r="AJ33" s="61">
        <f ca="1">(1+Overview!$I$29)*SUM(TblImps[[#This Row],[P6]:[G6]])+OFFSET(TblImps[[#This Row],[Σ Walls]],-1,0)</f>
        <v>0</v>
      </c>
      <c r="AK33" s="61">
        <f ca="1">(1+Overview!$I$29 + tech_7_1*TblTech[[#This Row],[7-1]])*SUM(TblImps[[#This Row],[P7]:[G7]])+OFFSET(TblImps[[#This Row],[Σ Harbor]],-1,0)</f>
        <v>0</v>
      </c>
      <c r="AL33" s="142"/>
      <c r="AM33" s="57">
        <f>IF(AND(TblImps[[#This Row],[Resource]]=AM$2,TblImps[[#This Row],[Part]]&lt;&gt;""),TblImps[[#This Row],[Amount]]) + IF(AND(TblImps[[#This Row],[Resource 2]]=AM$2,TblImps[[#This Row],[Part 2]]&lt;&gt;""),TblImps[[#This Row],[Amount 2]]) + IF(AND(TblImps[[#This Row],[Resource 3]]=AM$2,TblImps[[#This Row],[Part 3]]&lt;&gt;""),TblImps[[#This Row],[Amount 3]])</f>
        <v>0</v>
      </c>
      <c r="AN33" s="57">
        <f>IF(AND(TblImps[[#This Row],[Resource]]=AN$2,TblImps[[#This Row],[Part]]&lt;&gt;""),TblImps[[#This Row],[Amount]]) + IF(AND(TblImps[[#This Row],[Resource 2]]=AN$2,TblImps[[#This Row],[Part 2]]&lt;&gt;""),TblImps[[#This Row],[Amount 2]]) + IF(AND(TblImps[[#This Row],[Resource 3]]=AN$2,TblImps[[#This Row],[Part 3]]&lt;&gt;""),TblImps[[#This Row],[Amount 3]])</f>
        <v>0</v>
      </c>
      <c r="AO33" s="57">
        <f>IF(AND(TblImps[[#This Row],[Resource]]=AO$2,TblImps[[#This Row],[Part]]&lt;&gt;""),TblImps[[#This Row],[Amount]]) + IF(AND(TblImps[[#This Row],[Resource 2]]=AO$2,TblImps[[#This Row],[Part 2]]&lt;&gt;""),TblImps[[#This Row],[Amount 2]]) + IF(AND(TblImps[[#This Row],[Resource 3]]=AO$2,TblImps[[#This Row],[Part 3]]&lt;&gt;""),TblImps[[#This Row],[Amount 3]])</f>
        <v>0</v>
      </c>
      <c r="AP33" s="57">
        <f>IF(AND(TblImps[[#This Row],[Resource]]=AP$2,TblImps[[#This Row],[Part]]&lt;&gt;""),TblImps[[#This Row],[Amount]]) + IF(AND(TblImps[[#This Row],[Resource 2]]=AP$2,TblImps[[#This Row],[Part 2]]&lt;&gt;""),TblImps[[#This Row],[Amount 2]]) + IF(AND(TblImps[[#This Row],[Resource 3]]=AP$2,TblImps[[#This Row],[Part 3]]&lt;&gt;""),TblImps[[#This Row],[Amount 3]])</f>
        <v>0</v>
      </c>
      <c r="AQ33" s="142"/>
      <c r="AR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3" s="142"/>
      <c r="AW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3" s="142"/>
      <c r="BB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3" s="142"/>
      <c r="BG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3" s="142"/>
      <c r="BL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3" s="142"/>
      <c r="BQ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3" s="142"/>
      <c r="BV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3" s="61">
        <f>TblImps[[#This Row],[Login]]</f>
        <v>0</v>
      </c>
      <c r="BX33" s="137"/>
      <c r="BY33" s="293">
        <f ca="1">OFFSET(TblImps[[#This Row],[Real time]],-1,0)+1/24</f>
        <v>46048.208333333263</v>
      </c>
      <c r="BZ33" s="294">
        <f ca="1">OFFSET(TblImps[[#This Row],[Servertime]],-1,0)+1/24</f>
        <v>46048.208333333263</v>
      </c>
      <c r="CA33" s="57"/>
      <c r="CB33" s="292"/>
      <c r="CC33" s="292"/>
      <c r="CD33" s="45" t="s">
        <v>2</v>
      </c>
    </row>
    <row r="34" spans="1:82" x14ac:dyDescent="0.2">
      <c r="A34" s="214">
        <f ca="1">TblConstr[[#This Row],[Land]]</f>
        <v>110</v>
      </c>
      <c r="B34" s="142"/>
      <c r="C34" s="94">
        <f ca="1">TblProd[[#This Row],[Platinum]]</f>
        <v>99682</v>
      </c>
      <c r="D34" s="94">
        <f ca="1">TblProd[[#This Row],[Lumber]]</f>
        <v>37125</v>
      </c>
      <c r="E34" s="94">
        <f ca="1">TblProd[[#This Row],[Ore]]</f>
        <v>0</v>
      </c>
      <c r="F34" s="94">
        <f ca="1">TblProd[[#This Row],[Gems]]</f>
        <v>0</v>
      </c>
      <c r="G34" s="154"/>
      <c r="H34" s="94">
        <f ca="1">TblMili[[#This Row],[Draftees]]</f>
        <v>335</v>
      </c>
      <c r="I34" s="180">
        <f ca="1">TblPop[[#This Row],[Employment]]</f>
        <v>1</v>
      </c>
      <c r="J34" s="180">
        <f ca="1">TblPop[[#This Row],[Total]]/TblPop[[#This Row],[Net max]]</f>
        <v>1</v>
      </c>
      <c r="K34" s="283">
        <f>TblRezone[[#This Row],[Hour]]</f>
        <v>31</v>
      </c>
      <c r="L34" s="284">
        <f ca="1">TblImps[[#This Row],[Real time]]</f>
        <v>46048.249999999927</v>
      </c>
      <c r="M34" s="61">
        <f>IF(ISERROR(TblImps[[#This Row],[algorithm]]),0,TblImps[[#This Row],[algorithm]]*1)</f>
        <v>0</v>
      </c>
      <c r="N34" s="94">
        <f ca="1">TblImps[[#This Row],[Land]]</f>
        <v>110</v>
      </c>
      <c r="O34" s="285" t="s">
        <v>4</v>
      </c>
      <c r="P34" s="286"/>
      <c r="Q34" s="285" t="s">
        <v>210</v>
      </c>
      <c r="R34" s="285" t="s">
        <v>7</v>
      </c>
      <c r="S34" s="286"/>
      <c r="T34" s="285" t="s">
        <v>210</v>
      </c>
      <c r="U34" s="285" t="s">
        <v>3</v>
      </c>
      <c r="V34" s="286"/>
      <c r="W34" s="285" t="s">
        <v>210</v>
      </c>
      <c r="X34" s="142"/>
      <c r="Y34" s="287">
        <f ca="1">science_cap*(1-EXP(-TblImps[[#This Row],[Σ Science]]/(science_param*(OFFSET(TblImps[[#This Row],[Land]],1,0)-OFFSET(TblExplore[[#This Row],[Land Bonus]],1,0)*20)+15000)))*(1+(mason_bonus*TblConstr[[#This Row],[Tot Mas]]/TblConstr[[#This Row],[Land (2)]]))</f>
        <v>0</v>
      </c>
      <c r="Z34" s="287">
        <f ca="1">keep_cap*(1-EXP(-TblImps[[#This Row],[Σ Keep]]/(keep_param*(OFFSET(TblImps[[#This Row],[Land]],1,0)-OFFSET(TblExplore[[#This Row],[Land Bonus]],1,0)*20)+15000)))*(1+(mason_bonus*TblConstr[[#This Row],[Tot Mas]]/TblConstr[[#This Row],[Land (2)]]))</f>
        <v>0</v>
      </c>
      <c r="AA34" s="287">
        <f ca="1">harbor_towers_cap*(1-EXP(-TblImps[[#This Row],[Σ Spires]]/(towers_param*(OFFSET(TblImps[[#This Row],[Land]],1,0)-OFFSET(TblExplore[[#This Row],[Land Bonus]],1,0)*20)+15000)))*(1+(mason_bonus*TblConstr[[#This Row],[Tot Mas]]/TblConstr[[#This Row],[Land (2)]]))</f>
        <v>0</v>
      </c>
      <c r="AB34" s="287">
        <f ca="1">walls_forges_cap*(1-EXP(-TblImps[[#This Row],[Σ Forges]]/(walls_forges_param*(OFFSET(TblImps[[#This Row],[Land]],1,0)-OFFSET(TblExplore[[#This Row],[Land Bonus]],1,0)*20)+15000)))*(1+(mason_bonus*TblConstr[[#This Row],[Tot Mas]]/TblConstr[[#This Row],[Land (2)]]))</f>
        <v>0</v>
      </c>
      <c r="AC34" s="287">
        <f ca="1">walls_forges_cap*(1-EXP(-TblImps[[#This Row],[Σ Walls]]/(walls_forges_param*(OFFSET(TblImps[[#This Row],[Land]],1,0)-OFFSET(TblExplore[[#This Row],[Land Bonus]],1,0)*20)+15000)))*(1+(mason_bonus*TblConstr[[#This Row],[Tot Mas]]/TblConstr[[#This Row],[Land (2)]]))</f>
        <v>0</v>
      </c>
      <c r="AD34" s="287">
        <f ca="1">harbor_towers_cap*(1-EXP(-TblImps[[#This Row],[Σ Harbor]]/(harbor_towers_param*(OFFSET(TblImps[[#This Row],[Land]],1,0)-OFFSET(TblExplore[[#This Row],[Land Bonus]],1,0)*20)+15000)))*(1+(mason_bonus*TblConstr[[#This Row],[Tot Mas]]/TblConstr[[#This Row],[Land (2)]]))</f>
        <v>0</v>
      </c>
      <c r="AE34" s="142"/>
      <c r="AF34" s="61">
        <f ca="1">(1+Overview!$I$29)*SUM(TblImps[[#This Row],[P2]:[G2]])+OFFSET(TblImps[[#This Row],[Σ Science]],-1,0)</f>
        <v>0</v>
      </c>
      <c r="AG34" s="61">
        <f ca="1">(1+Overview!$I$29)*SUM(TblImps[[#This Row],[P3]:[G3]])+OFFSET(TblImps[[#This Row],[Σ Keep]],-1,0)</f>
        <v>0</v>
      </c>
      <c r="AH34" s="61">
        <f ca="1">(1+Overview!$I$29 + tech_7_1*TblTech[[#This Row],[7-1]])*SUM(TblImps[[#This Row],[P4]:[G4]])+OFFSET(TblImps[[#This Row],[Σ Spires]],-1,0)</f>
        <v>0</v>
      </c>
      <c r="AI34" s="61">
        <f ca="1">(1+Overview!$I$29)*SUM(TblImps[[#This Row],[P5]:[G5]])+OFFSET(TblImps[[#This Row],[Σ Forges]],-1,0)</f>
        <v>0</v>
      </c>
      <c r="AJ34" s="61">
        <f ca="1">(1+Overview!$I$29)*SUM(TblImps[[#This Row],[P6]:[G6]])+OFFSET(TblImps[[#This Row],[Σ Walls]],-1,0)</f>
        <v>0</v>
      </c>
      <c r="AK34" s="61">
        <f ca="1">(1+Overview!$I$29 + tech_7_1*TblTech[[#This Row],[7-1]])*SUM(TblImps[[#This Row],[P7]:[G7]])+OFFSET(TblImps[[#This Row],[Σ Harbor]],-1,0)</f>
        <v>0</v>
      </c>
      <c r="AL34" s="142"/>
      <c r="AM34" s="57">
        <f>IF(AND(TblImps[[#This Row],[Resource]]=AM$2,TblImps[[#This Row],[Part]]&lt;&gt;""),TblImps[[#This Row],[Amount]]) + IF(AND(TblImps[[#This Row],[Resource 2]]=AM$2,TblImps[[#This Row],[Part 2]]&lt;&gt;""),TblImps[[#This Row],[Amount 2]]) + IF(AND(TblImps[[#This Row],[Resource 3]]=AM$2,TblImps[[#This Row],[Part 3]]&lt;&gt;""),TblImps[[#This Row],[Amount 3]])</f>
        <v>0</v>
      </c>
      <c r="AN34" s="57">
        <f>IF(AND(TblImps[[#This Row],[Resource]]=AN$2,TblImps[[#This Row],[Part]]&lt;&gt;""),TblImps[[#This Row],[Amount]]) + IF(AND(TblImps[[#This Row],[Resource 2]]=AN$2,TblImps[[#This Row],[Part 2]]&lt;&gt;""),TblImps[[#This Row],[Amount 2]]) + IF(AND(TblImps[[#This Row],[Resource 3]]=AN$2,TblImps[[#This Row],[Part 3]]&lt;&gt;""),TblImps[[#This Row],[Amount 3]])</f>
        <v>0</v>
      </c>
      <c r="AO34" s="57">
        <f>IF(AND(TblImps[[#This Row],[Resource]]=AO$2,TblImps[[#This Row],[Part]]&lt;&gt;""),TblImps[[#This Row],[Amount]]) + IF(AND(TblImps[[#This Row],[Resource 2]]=AO$2,TblImps[[#This Row],[Part 2]]&lt;&gt;""),TblImps[[#This Row],[Amount 2]]) + IF(AND(TblImps[[#This Row],[Resource 3]]=AO$2,TblImps[[#This Row],[Part 3]]&lt;&gt;""),TblImps[[#This Row],[Amount 3]])</f>
        <v>0</v>
      </c>
      <c r="AP34" s="57">
        <f>IF(AND(TblImps[[#This Row],[Resource]]=AP$2,TblImps[[#This Row],[Part]]&lt;&gt;""),TblImps[[#This Row],[Amount]]) + IF(AND(TblImps[[#This Row],[Resource 2]]=AP$2,TblImps[[#This Row],[Part 2]]&lt;&gt;""),TblImps[[#This Row],[Amount 2]]) + IF(AND(TblImps[[#This Row],[Resource 3]]=AP$2,TblImps[[#This Row],[Part 3]]&lt;&gt;""),TblImps[[#This Row],[Amount 3]])</f>
        <v>0</v>
      </c>
      <c r="AQ34" s="142"/>
      <c r="AR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4" s="142"/>
      <c r="AW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4" s="142"/>
      <c r="BB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4" s="142"/>
      <c r="BG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4" s="142"/>
      <c r="BL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4" s="142"/>
      <c r="BQ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4" s="142"/>
      <c r="BV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4" s="61">
        <f>TblImps[[#This Row],[Login]]</f>
        <v>0</v>
      </c>
      <c r="BX34" s="137"/>
      <c r="BY34" s="293">
        <f ca="1">OFFSET(TblImps[[#This Row],[Real time]],-1,0)+1/24</f>
        <v>46048.249999999927</v>
      </c>
      <c r="BZ34" s="294">
        <f ca="1">OFFSET(TblImps[[#This Row],[Servertime]],-1,0)+1/24</f>
        <v>46048.249999999927</v>
      </c>
      <c r="CA34" s="57"/>
      <c r="CB34" s="292"/>
      <c r="CC34" s="292"/>
    </row>
    <row r="35" spans="1:82" x14ac:dyDescent="0.2">
      <c r="A35" s="214">
        <f ca="1">TblConstr[[#This Row],[Land]]</f>
        <v>110</v>
      </c>
      <c r="B35" s="142"/>
      <c r="C35" s="94">
        <f ca="1">TblProd[[#This Row],[Platinum]]</f>
        <v>101682</v>
      </c>
      <c r="D35" s="94">
        <f ca="1">TblProd[[#This Row],[Lumber]]</f>
        <v>37754</v>
      </c>
      <c r="E35" s="94">
        <f ca="1">TblProd[[#This Row],[Ore]]</f>
        <v>0</v>
      </c>
      <c r="F35" s="94">
        <f ca="1">TblProd[[#This Row],[Gems]]</f>
        <v>0</v>
      </c>
      <c r="G35" s="154"/>
      <c r="H35" s="94">
        <f ca="1">TblMili[[#This Row],[Draftees]]</f>
        <v>342</v>
      </c>
      <c r="I35" s="180">
        <f ca="1">TblPop[[#This Row],[Employment]]</f>
        <v>1</v>
      </c>
      <c r="J35" s="180">
        <f ca="1">TblPop[[#This Row],[Total]]/TblPop[[#This Row],[Net max]]</f>
        <v>1</v>
      </c>
      <c r="K35" s="283">
        <f>TblRezone[[#This Row],[Hour]]</f>
        <v>32</v>
      </c>
      <c r="L35" s="284">
        <f ca="1">TblImps[[#This Row],[Real time]]</f>
        <v>46048.291666666591</v>
      </c>
      <c r="M35" s="61">
        <f>IF(ISERROR(TblImps[[#This Row],[algorithm]]),0,TblImps[[#This Row],[algorithm]]*1)</f>
        <v>0</v>
      </c>
      <c r="N35" s="94">
        <f ca="1">TblImps[[#This Row],[Land]]</f>
        <v>110</v>
      </c>
      <c r="O35" s="285" t="s">
        <v>4</v>
      </c>
      <c r="P35" s="286"/>
      <c r="Q35" s="285" t="s">
        <v>210</v>
      </c>
      <c r="R35" s="285" t="s">
        <v>7</v>
      </c>
      <c r="S35" s="286"/>
      <c r="T35" s="285" t="s">
        <v>210</v>
      </c>
      <c r="U35" s="285" t="s">
        <v>3</v>
      </c>
      <c r="V35" s="286"/>
      <c r="W35" s="285" t="s">
        <v>210</v>
      </c>
      <c r="X35" s="142"/>
      <c r="Y35" s="287">
        <f ca="1">science_cap*(1-EXP(-TblImps[[#This Row],[Σ Science]]/(science_param*(OFFSET(TblImps[[#This Row],[Land]],1,0)-OFFSET(TblExplore[[#This Row],[Land Bonus]],1,0)*20)+15000)))*(1+(mason_bonus*TblConstr[[#This Row],[Tot Mas]]/TblConstr[[#This Row],[Land (2)]]))</f>
        <v>0</v>
      </c>
      <c r="Z35" s="287">
        <f ca="1">keep_cap*(1-EXP(-TblImps[[#This Row],[Σ Keep]]/(keep_param*(OFFSET(TblImps[[#This Row],[Land]],1,0)-OFFSET(TblExplore[[#This Row],[Land Bonus]],1,0)*20)+15000)))*(1+(mason_bonus*TblConstr[[#This Row],[Tot Mas]]/TblConstr[[#This Row],[Land (2)]]))</f>
        <v>0</v>
      </c>
      <c r="AA35" s="287">
        <f ca="1">harbor_towers_cap*(1-EXP(-TblImps[[#This Row],[Σ Spires]]/(towers_param*(OFFSET(TblImps[[#This Row],[Land]],1,0)-OFFSET(TblExplore[[#This Row],[Land Bonus]],1,0)*20)+15000)))*(1+(mason_bonus*TblConstr[[#This Row],[Tot Mas]]/TblConstr[[#This Row],[Land (2)]]))</f>
        <v>0</v>
      </c>
      <c r="AB35" s="287">
        <f ca="1">walls_forges_cap*(1-EXP(-TblImps[[#This Row],[Σ Forges]]/(walls_forges_param*(OFFSET(TblImps[[#This Row],[Land]],1,0)-OFFSET(TblExplore[[#This Row],[Land Bonus]],1,0)*20)+15000)))*(1+(mason_bonus*TblConstr[[#This Row],[Tot Mas]]/TblConstr[[#This Row],[Land (2)]]))</f>
        <v>0</v>
      </c>
      <c r="AC35" s="287">
        <f ca="1">walls_forges_cap*(1-EXP(-TblImps[[#This Row],[Σ Walls]]/(walls_forges_param*(OFFSET(TblImps[[#This Row],[Land]],1,0)-OFFSET(TblExplore[[#This Row],[Land Bonus]],1,0)*20)+15000)))*(1+(mason_bonus*TblConstr[[#This Row],[Tot Mas]]/TblConstr[[#This Row],[Land (2)]]))</f>
        <v>0</v>
      </c>
      <c r="AD35" s="287">
        <f ca="1">harbor_towers_cap*(1-EXP(-TblImps[[#This Row],[Σ Harbor]]/(harbor_towers_param*(OFFSET(TblImps[[#This Row],[Land]],1,0)-OFFSET(TblExplore[[#This Row],[Land Bonus]],1,0)*20)+15000)))*(1+(mason_bonus*TblConstr[[#This Row],[Tot Mas]]/TblConstr[[#This Row],[Land (2)]]))</f>
        <v>0</v>
      </c>
      <c r="AE35" s="142"/>
      <c r="AF35" s="61">
        <f ca="1">(1+Overview!$I$29)*SUM(TblImps[[#This Row],[P2]:[G2]])+OFFSET(TblImps[[#This Row],[Σ Science]],-1,0)</f>
        <v>0</v>
      </c>
      <c r="AG35" s="61">
        <f ca="1">(1+Overview!$I$29)*SUM(TblImps[[#This Row],[P3]:[G3]])+OFFSET(TblImps[[#This Row],[Σ Keep]],-1,0)</f>
        <v>0</v>
      </c>
      <c r="AH35" s="61">
        <f ca="1">(1+Overview!$I$29 + tech_7_1*TblTech[[#This Row],[7-1]])*SUM(TblImps[[#This Row],[P4]:[G4]])+OFFSET(TblImps[[#This Row],[Σ Spires]],-1,0)</f>
        <v>0</v>
      </c>
      <c r="AI35" s="61">
        <f ca="1">(1+Overview!$I$29)*SUM(TblImps[[#This Row],[P5]:[G5]])+OFFSET(TblImps[[#This Row],[Σ Forges]],-1,0)</f>
        <v>0</v>
      </c>
      <c r="AJ35" s="61">
        <f ca="1">(1+Overview!$I$29)*SUM(TblImps[[#This Row],[P6]:[G6]])+OFFSET(TblImps[[#This Row],[Σ Walls]],-1,0)</f>
        <v>0</v>
      </c>
      <c r="AK35" s="61">
        <f ca="1">(1+Overview!$I$29 + tech_7_1*TblTech[[#This Row],[7-1]])*SUM(TblImps[[#This Row],[P7]:[G7]])+OFFSET(TblImps[[#This Row],[Σ Harbor]],-1,0)</f>
        <v>0</v>
      </c>
      <c r="AL35" s="142"/>
      <c r="AM35" s="57">
        <f>IF(AND(TblImps[[#This Row],[Resource]]=AM$2,TblImps[[#This Row],[Part]]&lt;&gt;""),TblImps[[#This Row],[Amount]]) + IF(AND(TblImps[[#This Row],[Resource 2]]=AM$2,TblImps[[#This Row],[Part 2]]&lt;&gt;""),TblImps[[#This Row],[Amount 2]]) + IF(AND(TblImps[[#This Row],[Resource 3]]=AM$2,TblImps[[#This Row],[Part 3]]&lt;&gt;""),TblImps[[#This Row],[Amount 3]])</f>
        <v>0</v>
      </c>
      <c r="AN35" s="57">
        <f>IF(AND(TblImps[[#This Row],[Resource]]=AN$2,TblImps[[#This Row],[Part]]&lt;&gt;""),TblImps[[#This Row],[Amount]]) + IF(AND(TblImps[[#This Row],[Resource 2]]=AN$2,TblImps[[#This Row],[Part 2]]&lt;&gt;""),TblImps[[#This Row],[Amount 2]]) + IF(AND(TblImps[[#This Row],[Resource 3]]=AN$2,TblImps[[#This Row],[Part 3]]&lt;&gt;""),TblImps[[#This Row],[Amount 3]])</f>
        <v>0</v>
      </c>
      <c r="AO35" s="57">
        <f>IF(AND(TblImps[[#This Row],[Resource]]=AO$2,TblImps[[#This Row],[Part]]&lt;&gt;""),TblImps[[#This Row],[Amount]]) + IF(AND(TblImps[[#This Row],[Resource 2]]=AO$2,TblImps[[#This Row],[Part 2]]&lt;&gt;""),TblImps[[#This Row],[Amount 2]]) + IF(AND(TblImps[[#This Row],[Resource 3]]=AO$2,TblImps[[#This Row],[Part 3]]&lt;&gt;""),TblImps[[#This Row],[Amount 3]])</f>
        <v>0</v>
      </c>
      <c r="AP35" s="57">
        <f>IF(AND(TblImps[[#This Row],[Resource]]=AP$2,TblImps[[#This Row],[Part]]&lt;&gt;""),TblImps[[#This Row],[Amount]]) + IF(AND(TblImps[[#This Row],[Resource 2]]=AP$2,TblImps[[#This Row],[Part 2]]&lt;&gt;""),TblImps[[#This Row],[Amount 2]]) + IF(AND(TblImps[[#This Row],[Resource 3]]=AP$2,TblImps[[#This Row],[Part 3]]&lt;&gt;""),TblImps[[#This Row],[Amount 3]])</f>
        <v>0</v>
      </c>
      <c r="AQ35" s="142"/>
      <c r="AR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5" s="142"/>
      <c r="AW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5" s="142"/>
      <c r="BB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5" s="142"/>
      <c r="BG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5" s="142"/>
      <c r="BL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5" s="142"/>
      <c r="BQ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5" s="142"/>
      <c r="BV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5" s="61">
        <f>TblImps[[#This Row],[Login]]</f>
        <v>0</v>
      </c>
      <c r="BX35" s="137"/>
      <c r="BY35" s="293">
        <f ca="1">OFFSET(TblImps[[#This Row],[Real time]],-1,0)+1/24</f>
        <v>46048.291666666591</v>
      </c>
      <c r="BZ35" s="294">
        <f ca="1">OFFSET(TblImps[[#This Row],[Servertime]],-1,0)+1/24</f>
        <v>46048.291666666591</v>
      </c>
      <c r="CA35" s="57"/>
      <c r="CB35" s="292"/>
      <c r="CC35" s="292"/>
      <c r="CD35" s="45" t="s">
        <v>208</v>
      </c>
    </row>
    <row r="36" spans="1:82" x14ac:dyDescent="0.2">
      <c r="A36" s="214">
        <f ca="1">TblConstr[[#This Row],[Land]]</f>
        <v>110</v>
      </c>
      <c r="B36" s="142"/>
      <c r="C36" s="94">
        <f ca="1">TblProd[[#This Row],[Platinum]]</f>
        <v>103663</v>
      </c>
      <c r="D36" s="94">
        <f ca="1">TblProd[[#This Row],[Lumber]]</f>
        <v>38376</v>
      </c>
      <c r="E36" s="94">
        <f ca="1">TblProd[[#This Row],[Ore]]</f>
        <v>0</v>
      </c>
      <c r="F36" s="94">
        <f ca="1">TblProd[[#This Row],[Gems]]</f>
        <v>0</v>
      </c>
      <c r="G36" s="154"/>
      <c r="H36" s="94">
        <f ca="1">TblMili[[#This Row],[Draftees]]</f>
        <v>349</v>
      </c>
      <c r="I36" s="180">
        <f ca="1">TblPop[[#This Row],[Employment]]</f>
        <v>1</v>
      </c>
      <c r="J36" s="180">
        <f ca="1">TblPop[[#This Row],[Total]]/TblPop[[#This Row],[Net max]]</f>
        <v>1</v>
      </c>
      <c r="K36" s="283">
        <f>TblRezone[[#This Row],[Hour]]</f>
        <v>33</v>
      </c>
      <c r="L36" s="284">
        <f ca="1">TblImps[[#This Row],[Real time]]</f>
        <v>46048.333333333256</v>
      </c>
      <c r="M36" s="61">
        <f>IF(ISERROR(TblImps[[#This Row],[algorithm]]),0,TblImps[[#This Row],[algorithm]]*1)</f>
        <v>0</v>
      </c>
      <c r="N36" s="94">
        <f ca="1">TblImps[[#This Row],[Land]]</f>
        <v>110</v>
      </c>
      <c r="O36" s="285" t="s">
        <v>4</v>
      </c>
      <c r="P36" s="286"/>
      <c r="Q36" s="285" t="s">
        <v>210</v>
      </c>
      <c r="R36" s="285" t="s">
        <v>7</v>
      </c>
      <c r="S36" s="286"/>
      <c r="T36" s="285" t="s">
        <v>210</v>
      </c>
      <c r="U36" s="285" t="s">
        <v>3</v>
      </c>
      <c r="V36" s="286"/>
      <c r="W36" s="285" t="s">
        <v>210</v>
      </c>
      <c r="X36" s="142"/>
      <c r="Y36" s="287">
        <f ca="1">science_cap*(1-EXP(-TblImps[[#This Row],[Σ Science]]/(science_param*(OFFSET(TblImps[[#This Row],[Land]],1,0)-OFFSET(TblExplore[[#This Row],[Land Bonus]],1,0)*20)+15000)))*(1+(mason_bonus*TblConstr[[#This Row],[Tot Mas]]/TblConstr[[#This Row],[Land (2)]]))</f>
        <v>0</v>
      </c>
      <c r="Z36" s="287">
        <f ca="1">keep_cap*(1-EXP(-TblImps[[#This Row],[Σ Keep]]/(keep_param*(OFFSET(TblImps[[#This Row],[Land]],1,0)-OFFSET(TblExplore[[#This Row],[Land Bonus]],1,0)*20)+15000)))*(1+(mason_bonus*TblConstr[[#This Row],[Tot Mas]]/TblConstr[[#This Row],[Land (2)]]))</f>
        <v>0</v>
      </c>
      <c r="AA36" s="287">
        <f ca="1">harbor_towers_cap*(1-EXP(-TblImps[[#This Row],[Σ Spires]]/(towers_param*(OFFSET(TblImps[[#This Row],[Land]],1,0)-OFFSET(TblExplore[[#This Row],[Land Bonus]],1,0)*20)+15000)))*(1+(mason_bonus*TblConstr[[#This Row],[Tot Mas]]/TblConstr[[#This Row],[Land (2)]]))</f>
        <v>0</v>
      </c>
      <c r="AB36" s="287">
        <f ca="1">walls_forges_cap*(1-EXP(-TblImps[[#This Row],[Σ Forges]]/(walls_forges_param*(OFFSET(TblImps[[#This Row],[Land]],1,0)-OFFSET(TblExplore[[#This Row],[Land Bonus]],1,0)*20)+15000)))*(1+(mason_bonus*TblConstr[[#This Row],[Tot Mas]]/TblConstr[[#This Row],[Land (2)]]))</f>
        <v>0</v>
      </c>
      <c r="AC36" s="287">
        <f ca="1">walls_forges_cap*(1-EXP(-TblImps[[#This Row],[Σ Walls]]/(walls_forges_param*(OFFSET(TblImps[[#This Row],[Land]],1,0)-OFFSET(TblExplore[[#This Row],[Land Bonus]],1,0)*20)+15000)))*(1+(mason_bonus*TblConstr[[#This Row],[Tot Mas]]/TblConstr[[#This Row],[Land (2)]]))</f>
        <v>0</v>
      </c>
      <c r="AD36" s="287">
        <f ca="1">harbor_towers_cap*(1-EXP(-TblImps[[#This Row],[Σ Harbor]]/(harbor_towers_param*(OFFSET(TblImps[[#This Row],[Land]],1,0)-OFFSET(TblExplore[[#This Row],[Land Bonus]],1,0)*20)+15000)))*(1+(mason_bonus*TblConstr[[#This Row],[Tot Mas]]/TblConstr[[#This Row],[Land (2)]]))</f>
        <v>0</v>
      </c>
      <c r="AE36" s="142"/>
      <c r="AF36" s="61">
        <f ca="1">(1+Overview!$I$29)*SUM(TblImps[[#This Row],[P2]:[G2]])+OFFSET(TblImps[[#This Row],[Σ Science]],-1,0)</f>
        <v>0</v>
      </c>
      <c r="AG36" s="61">
        <f ca="1">(1+Overview!$I$29)*SUM(TblImps[[#This Row],[P3]:[G3]])+OFFSET(TblImps[[#This Row],[Σ Keep]],-1,0)</f>
        <v>0</v>
      </c>
      <c r="AH36" s="61">
        <f ca="1">(1+Overview!$I$29 + tech_7_1*TblTech[[#This Row],[7-1]])*SUM(TblImps[[#This Row],[P4]:[G4]])+OFFSET(TblImps[[#This Row],[Σ Spires]],-1,0)</f>
        <v>0</v>
      </c>
      <c r="AI36" s="61">
        <f ca="1">(1+Overview!$I$29)*SUM(TblImps[[#This Row],[P5]:[G5]])+OFFSET(TblImps[[#This Row],[Σ Forges]],-1,0)</f>
        <v>0</v>
      </c>
      <c r="AJ36" s="61">
        <f ca="1">(1+Overview!$I$29)*SUM(TblImps[[#This Row],[P6]:[G6]])+OFFSET(TblImps[[#This Row],[Σ Walls]],-1,0)</f>
        <v>0</v>
      </c>
      <c r="AK36" s="61">
        <f ca="1">(1+Overview!$I$29 + tech_7_1*TblTech[[#This Row],[7-1]])*SUM(TblImps[[#This Row],[P7]:[G7]])+OFFSET(TblImps[[#This Row],[Σ Harbor]],-1,0)</f>
        <v>0</v>
      </c>
      <c r="AL36" s="142"/>
      <c r="AM36" s="57">
        <f>IF(AND(TblImps[[#This Row],[Resource]]=AM$2,TblImps[[#This Row],[Part]]&lt;&gt;""),TblImps[[#This Row],[Amount]]) + IF(AND(TblImps[[#This Row],[Resource 2]]=AM$2,TblImps[[#This Row],[Part 2]]&lt;&gt;""),TblImps[[#This Row],[Amount 2]]) + IF(AND(TblImps[[#This Row],[Resource 3]]=AM$2,TblImps[[#This Row],[Part 3]]&lt;&gt;""),TblImps[[#This Row],[Amount 3]])</f>
        <v>0</v>
      </c>
      <c r="AN36" s="57">
        <f>IF(AND(TblImps[[#This Row],[Resource]]=AN$2,TblImps[[#This Row],[Part]]&lt;&gt;""),TblImps[[#This Row],[Amount]]) + IF(AND(TblImps[[#This Row],[Resource 2]]=AN$2,TblImps[[#This Row],[Part 2]]&lt;&gt;""),TblImps[[#This Row],[Amount 2]]) + IF(AND(TblImps[[#This Row],[Resource 3]]=AN$2,TblImps[[#This Row],[Part 3]]&lt;&gt;""),TblImps[[#This Row],[Amount 3]])</f>
        <v>0</v>
      </c>
      <c r="AO36" s="57">
        <f>IF(AND(TblImps[[#This Row],[Resource]]=AO$2,TblImps[[#This Row],[Part]]&lt;&gt;""),TblImps[[#This Row],[Amount]]) + IF(AND(TblImps[[#This Row],[Resource 2]]=AO$2,TblImps[[#This Row],[Part 2]]&lt;&gt;""),TblImps[[#This Row],[Amount 2]]) + IF(AND(TblImps[[#This Row],[Resource 3]]=AO$2,TblImps[[#This Row],[Part 3]]&lt;&gt;""),TblImps[[#This Row],[Amount 3]])</f>
        <v>0</v>
      </c>
      <c r="AP36" s="57">
        <f>IF(AND(TblImps[[#This Row],[Resource]]=AP$2,TblImps[[#This Row],[Part]]&lt;&gt;""),TblImps[[#This Row],[Amount]]) + IF(AND(TblImps[[#This Row],[Resource 2]]=AP$2,TblImps[[#This Row],[Part 2]]&lt;&gt;""),TblImps[[#This Row],[Amount 2]]) + IF(AND(TblImps[[#This Row],[Resource 3]]=AP$2,TblImps[[#This Row],[Part 3]]&lt;&gt;""),TblImps[[#This Row],[Amount 3]])</f>
        <v>0</v>
      </c>
      <c r="AQ36" s="142"/>
      <c r="AR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6" s="142"/>
      <c r="AW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6" s="142"/>
      <c r="BB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6" s="142"/>
      <c r="BG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6" s="142"/>
      <c r="BL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6" s="142"/>
      <c r="BQ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6" s="142"/>
      <c r="BV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6" s="61">
        <f>TblImps[[#This Row],[Login]]</f>
        <v>0</v>
      </c>
      <c r="BX36" s="137"/>
      <c r="BY36" s="293">
        <f ca="1">OFFSET(TblImps[[#This Row],[Real time]],-1,0)+1/24</f>
        <v>46048.333333333256</v>
      </c>
      <c r="BZ36" s="294">
        <f ca="1">OFFSET(TblImps[[#This Row],[Servertime]],-1,0)+1/24</f>
        <v>46048.333333333256</v>
      </c>
      <c r="CA36" s="57"/>
      <c r="CB36" s="292"/>
      <c r="CC36" s="292"/>
      <c r="CD36" s="45" t="s">
        <v>210</v>
      </c>
    </row>
    <row r="37" spans="1:82" x14ac:dyDescent="0.2">
      <c r="A37" s="214">
        <f ca="1">TblConstr[[#This Row],[Land]]</f>
        <v>110</v>
      </c>
      <c r="B37" s="142"/>
      <c r="C37" s="94">
        <f ca="1">TblProd[[#This Row],[Platinum]]</f>
        <v>105625</v>
      </c>
      <c r="D37" s="94">
        <f ca="1">TblProd[[#This Row],[Lumber]]</f>
        <v>38992</v>
      </c>
      <c r="E37" s="94">
        <f ca="1">TblProd[[#This Row],[Ore]]</f>
        <v>0</v>
      </c>
      <c r="F37" s="94">
        <f ca="1">TblProd[[#This Row],[Gems]]</f>
        <v>0</v>
      </c>
      <c r="G37" s="154"/>
      <c r="H37" s="94">
        <f ca="1">TblMili[[#This Row],[Draftees]]</f>
        <v>356</v>
      </c>
      <c r="I37" s="180">
        <f ca="1">TblPop[[#This Row],[Employment]]</f>
        <v>1</v>
      </c>
      <c r="J37" s="180">
        <f ca="1">TblPop[[#This Row],[Total]]/TblPop[[#This Row],[Net max]]</f>
        <v>1</v>
      </c>
      <c r="K37" s="283">
        <f>TblRezone[[#This Row],[Hour]]</f>
        <v>34</v>
      </c>
      <c r="L37" s="284">
        <f ca="1">TblImps[[#This Row],[Real time]]</f>
        <v>46048.37499999992</v>
      </c>
      <c r="M37" s="61">
        <f>IF(ISERROR(TblImps[[#This Row],[algorithm]]),0,TblImps[[#This Row],[algorithm]]*1)</f>
        <v>0</v>
      </c>
      <c r="N37" s="94">
        <f ca="1">TblImps[[#This Row],[Land]]</f>
        <v>110</v>
      </c>
      <c r="O37" s="285" t="s">
        <v>4</v>
      </c>
      <c r="P37" s="286"/>
      <c r="Q37" s="285" t="s">
        <v>210</v>
      </c>
      <c r="R37" s="285" t="s">
        <v>7</v>
      </c>
      <c r="S37" s="286"/>
      <c r="T37" s="285" t="s">
        <v>210</v>
      </c>
      <c r="U37" s="285" t="s">
        <v>3</v>
      </c>
      <c r="V37" s="286"/>
      <c r="W37" s="285" t="s">
        <v>210</v>
      </c>
      <c r="X37" s="142"/>
      <c r="Y37" s="287">
        <f ca="1">science_cap*(1-EXP(-TblImps[[#This Row],[Σ Science]]/(science_param*(OFFSET(TblImps[[#This Row],[Land]],1,0)-OFFSET(TblExplore[[#This Row],[Land Bonus]],1,0)*20)+15000)))*(1+(mason_bonus*TblConstr[[#This Row],[Tot Mas]]/TblConstr[[#This Row],[Land (2)]]))</f>
        <v>0</v>
      </c>
      <c r="Z37" s="287">
        <f ca="1">keep_cap*(1-EXP(-TblImps[[#This Row],[Σ Keep]]/(keep_param*(OFFSET(TblImps[[#This Row],[Land]],1,0)-OFFSET(TblExplore[[#This Row],[Land Bonus]],1,0)*20)+15000)))*(1+(mason_bonus*TblConstr[[#This Row],[Tot Mas]]/TblConstr[[#This Row],[Land (2)]]))</f>
        <v>0</v>
      </c>
      <c r="AA37" s="287">
        <f ca="1">harbor_towers_cap*(1-EXP(-TblImps[[#This Row],[Σ Spires]]/(towers_param*(OFFSET(TblImps[[#This Row],[Land]],1,0)-OFFSET(TblExplore[[#This Row],[Land Bonus]],1,0)*20)+15000)))*(1+(mason_bonus*TblConstr[[#This Row],[Tot Mas]]/TblConstr[[#This Row],[Land (2)]]))</f>
        <v>0</v>
      </c>
      <c r="AB37" s="287">
        <f ca="1">walls_forges_cap*(1-EXP(-TblImps[[#This Row],[Σ Forges]]/(walls_forges_param*(OFFSET(TblImps[[#This Row],[Land]],1,0)-OFFSET(TblExplore[[#This Row],[Land Bonus]],1,0)*20)+15000)))*(1+(mason_bonus*TblConstr[[#This Row],[Tot Mas]]/TblConstr[[#This Row],[Land (2)]]))</f>
        <v>0</v>
      </c>
      <c r="AC37" s="287">
        <f ca="1">walls_forges_cap*(1-EXP(-TblImps[[#This Row],[Σ Walls]]/(walls_forges_param*(OFFSET(TblImps[[#This Row],[Land]],1,0)-OFFSET(TblExplore[[#This Row],[Land Bonus]],1,0)*20)+15000)))*(1+(mason_bonus*TblConstr[[#This Row],[Tot Mas]]/TblConstr[[#This Row],[Land (2)]]))</f>
        <v>0</v>
      </c>
      <c r="AD37" s="287">
        <f ca="1">harbor_towers_cap*(1-EXP(-TblImps[[#This Row],[Σ Harbor]]/(harbor_towers_param*(OFFSET(TblImps[[#This Row],[Land]],1,0)-OFFSET(TblExplore[[#This Row],[Land Bonus]],1,0)*20)+15000)))*(1+(mason_bonus*TblConstr[[#This Row],[Tot Mas]]/TblConstr[[#This Row],[Land (2)]]))</f>
        <v>0</v>
      </c>
      <c r="AE37" s="142"/>
      <c r="AF37" s="61">
        <f ca="1">(1+Overview!$I$29)*SUM(TblImps[[#This Row],[P2]:[G2]])+OFFSET(TblImps[[#This Row],[Σ Science]],-1,0)</f>
        <v>0</v>
      </c>
      <c r="AG37" s="61">
        <f ca="1">(1+Overview!$I$29)*SUM(TblImps[[#This Row],[P3]:[G3]])+OFFSET(TblImps[[#This Row],[Σ Keep]],-1,0)</f>
        <v>0</v>
      </c>
      <c r="AH37" s="61">
        <f ca="1">(1+Overview!$I$29 + tech_7_1*TblTech[[#This Row],[7-1]])*SUM(TblImps[[#This Row],[P4]:[G4]])+OFFSET(TblImps[[#This Row],[Σ Spires]],-1,0)</f>
        <v>0</v>
      </c>
      <c r="AI37" s="61">
        <f ca="1">(1+Overview!$I$29)*SUM(TblImps[[#This Row],[P5]:[G5]])+OFFSET(TblImps[[#This Row],[Σ Forges]],-1,0)</f>
        <v>0</v>
      </c>
      <c r="AJ37" s="61">
        <f ca="1">(1+Overview!$I$29)*SUM(TblImps[[#This Row],[P6]:[G6]])+OFFSET(TblImps[[#This Row],[Σ Walls]],-1,0)</f>
        <v>0</v>
      </c>
      <c r="AK37" s="61">
        <f ca="1">(1+Overview!$I$29 + tech_7_1*TblTech[[#This Row],[7-1]])*SUM(TblImps[[#This Row],[P7]:[G7]])+OFFSET(TblImps[[#This Row],[Σ Harbor]],-1,0)</f>
        <v>0</v>
      </c>
      <c r="AL37" s="142"/>
      <c r="AM37" s="57">
        <f>IF(AND(TblImps[[#This Row],[Resource]]=AM$2,TblImps[[#This Row],[Part]]&lt;&gt;""),TblImps[[#This Row],[Amount]]) + IF(AND(TblImps[[#This Row],[Resource 2]]=AM$2,TblImps[[#This Row],[Part 2]]&lt;&gt;""),TblImps[[#This Row],[Amount 2]]) + IF(AND(TblImps[[#This Row],[Resource 3]]=AM$2,TblImps[[#This Row],[Part 3]]&lt;&gt;""),TblImps[[#This Row],[Amount 3]])</f>
        <v>0</v>
      </c>
      <c r="AN37" s="57">
        <f>IF(AND(TblImps[[#This Row],[Resource]]=AN$2,TblImps[[#This Row],[Part]]&lt;&gt;""),TblImps[[#This Row],[Amount]]) + IF(AND(TblImps[[#This Row],[Resource 2]]=AN$2,TblImps[[#This Row],[Part 2]]&lt;&gt;""),TblImps[[#This Row],[Amount 2]]) + IF(AND(TblImps[[#This Row],[Resource 3]]=AN$2,TblImps[[#This Row],[Part 3]]&lt;&gt;""),TblImps[[#This Row],[Amount 3]])</f>
        <v>0</v>
      </c>
      <c r="AO37" s="57">
        <f>IF(AND(TblImps[[#This Row],[Resource]]=AO$2,TblImps[[#This Row],[Part]]&lt;&gt;""),TblImps[[#This Row],[Amount]]) + IF(AND(TblImps[[#This Row],[Resource 2]]=AO$2,TblImps[[#This Row],[Part 2]]&lt;&gt;""),TblImps[[#This Row],[Amount 2]]) + IF(AND(TblImps[[#This Row],[Resource 3]]=AO$2,TblImps[[#This Row],[Part 3]]&lt;&gt;""),TblImps[[#This Row],[Amount 3]])</f>
        <v>0</v>
      </c>
      <c r="AP37" s="57">
        <f>IF(AND(TblImps[[#This Row],[Resource]]=AP$2,TblImps[[#This Row],[Part]]&lt;&gt;""),TblImps[[#This Row],[Amount]]) + IF(AND(TblImps[[#This Row],[Resource 2]]=AP$2,TblImps[[#This Row],[Part 2]]&lt;&gt;""),TblImps[[#This Row],[Amount 2]]) + IF(AND(TblImps[[#This Row],[Resource 3]]=AP$2,TblImps[[#This Row],[Part 3]]&lt;&gt;""),TblImps[[#This Row],[Amount 3]])</f>
        <v>0</v>
      </c>
      <c r="AQ37" s="142"/>
      <c r="AR3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7" s="142"/>
      <c r="AW3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7" s="142"/>
      <c r="BB3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7" s="142"/>
      <c r="BG3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7" s="142"/>
      <c r="BL3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7" s="142"/>
      <c r="BQ3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7" s="142"/>
      <c r="BV3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7" s="61">
        <f>TblImps[[#This Row],[Login]]</f>
        <v>0</v>
      </c>
      <c r="BX37" s="137"/>
      <c r="BY37" s="293">
        <f ca="1">OFFSET(TblImps[[#This Row],[Real time]],-1,0)+1/24</f>
        <v>46048.37499999992</v>
      </c>
      <c r="BZ37" s="294">
        <f ca="1">OFFSET(TblImps[[#This Row],[Servertime]],-1,0)+1/24</f>
        <v>46048.37499999992</v>
      </c>
      <c r="CA37" s="57"/>
      <c r="CB37" s="292"/>
      <c r="CC37" s="292"/>
      <c r="CD37" s="45" t="s">
        <v>1107</v>
      </c>
    </row>
    <row r="38" spans="1:82" x14ac:dyDescent="0.2">
      <c r="A38" s="214">
        <f ca="1">TblConstr[[#This Row],[Land]]</f>
        <v>110</v>
      </c>
      <c r="B38" s="142"/>
      <c r="C38" s="94">
        <f ca="1">TblProd[[#This Row],[Platinum]]</f>
        <v>107569</v>
      </c>
      <c r="D38" s="94">
        <f ca="1">TblProd[[#This Row],[Lumber]]</f>
        <v>39602</v>
      </c>
      <c r="E38" s="94">
        <f ca="1">TblProd[[#This Row],[Ore]]</f>
        <v>0</v>
      </c>
      <c r="F38" s="94">
        <f ca="1">TblProd[[#This Row],[Gems]]</f>
        <v>0</v>
      </c>
      <c r="G38" s="154"/>
      <c r="H38" s="94">
        <f ca="1">TblMili[[#This Row],[Draftees]]</f>
        <v>363</v>
      </c>
      <c r="I38" s="180">
        <f ca="1">TblPop[[#This Row],[Employment]]</f>
        <v>1</v>
      </c>
      <c r="J38" s="180">
        <f ca="1">TblPop[[#This Row],[Total]]/TblPop[[#This Row],[Net max]]</f>
        <v>1</v>
      </c>
      <c r="K38" s="283">
        <f>TblRezone[[#This Row],[Hour]]</f>
        <v>35</v>
      </c>
      <c r="L38" s="284">
        <f ca="1">TblImps[[#This Row],[Real time]]</f>
        <v>46048.416666666584</v>
      </c>
      <c r="M38" s="61">
        <f>IF(ISERROR(TblImps[[#This Row],[algorithm]]),0,TblImps[[#This Row],[algorithm]]*1)</f>
        <v>0</v>
      </c>
      <c r="N38" s="94">
        <f ca="1">TblImps[[#This Row],[Land]]</f>
        <v>110</v>
      </c>
      <c r="O38" s="285" t="s">
        <v>4</v>
      </c>
      <c r="P38" s="286"/>
      <c r="Q38" s="285" t="s">
        <v>210</v>
      </c>
      <c r="R38" s="285" t="s">
        <v>7</v>
      </c>
      <c r="S38" s="286"/>
      <c r="T38" s="285" t="s">
        <v>210</v>
      </c>
      <c r="U38" s="285" t="s">
        <v>3</v>
      </c>
      <c r="V38" s="286"/>
      <c r="W38" s="285" t="s">
        <v>210</v>
      </c>
      <c r="X38" s="142"/>
      <c r="Y38" s="287">
        <f ca="1">science_cap*(1-EXP(-TblImps[[#This Row],[Σ Science]]/(science_param*(OFFSET(TblImps[[#This Row],[Land]],1,0)-OFFSET(TblExplore[[#This Row],[Land Bonus]],1,0)*20)+15000)))*(1+(mason_bonus*TblConstr[[#This Row],[Tot Mas]]/TblConstr[[#This Row],[Land (2)]]))</f>
        <v>0</v>
      </c>
      <c r="Z38" s="287">
        <f ca="1">keep_cap*(1-EXP(-TblImps[[#This Row],[Σ Keep]]/(keep_param*(OFFSET(TblImps[[#This Row],[Land]],1,0)-OFFSET(TblExplore[[#This Row],[Land Bonus]],1,0)*20)+15000)))*(1+(mason_bonus*TblConstr[[#This Row],[Tot Mas]]/TblConstr[[#This Row],[Land (2)]]))</f>
        <v>0</v>
      </c>
      <c r="AA38" s="287">
        <f ca="1">harbor_towers_cap*(1-EXP(-TblImps[[#This Row],[Σ Spires]]/(towers_param*(OFFSET(TblImps[[#This Row],[Land]],1,0)-OFFSET(TblExplore[[#This Row],[Land Bonus]],1,0)*20)+15000)))*(1+(mason_bonus*TblConstr[[#This Row],[Tot Mas]]/TblConstr[[#This Row],[Land (2)]]))</f>
        <v>0</v>
      </c>
      <c r="AB38" s="287">
        <f ca="1">walls_forges_cap*(1-EXP(-TblImps[[#This Row],[Σ Forges]]/(walls_forges_param*(OFFSET(TblImps[[#This Row],[Land]],1,0)-OFFSET(TblExplore[[#This Row],[Land Bonus]],1,0)*20)+15000)))*(1+(mason_bonus*TblConstr[[#This Row],[Tot Mas]]/TblConstr[[#This Row],[Land (2)]]))</f>
        <v>0</v>
      </c>
      <c r="AC38" s="287">
        <f ca="1">walls_forges_cap*(1-EXP(-TblImps[[#This Row],[Σ Walls]]/(walls_forges_param*(OFFSET(TblImps[[#This Row],[Land]],1,0)-OFFSET(TblExplore[[#This Row],[Land Bonus]],1,0)*20)+15000)))*(1+(mason_bonus*TblConstr[[#This Row],[Tot Mas]]/TblConstr[[#This Row],[Land (2)]]))</f>
        <v>0</v>
      </c>
      <c r="AD38" s="287">
        <f ca="1">harbor_towers_cap*(1-EXP(-TblImps[[#This Row],[Σ Harbor]]/(harbor_towers_param*(OFFSET(TblImps[[#This Row],[Land]],1,0)-OFFSET(TblExplore[[#This Row],[Land Bonus]],1,0)*20)+15000)))*(1+(mason_bonus*TblConstr[[#This Row],[Tot Mas]]/TblConstr[[#This Row],[Land (2)]]))</f>
        <v>0</v>
      </c>
      <c r="AE38" s="142"/>
      <c r="AF38" s="61">
        <f ca="1">(1+Overview!$I$29)*SUM(TblImps[[#This Row],[P2]:[G2]])+OFFSET(TblImps[[#This Row],[Σ Science]],-1,0)</f>
        <v>0</v>
      </c>
      <c r="AG38" s="61">
        <f ca="1">(1+Overview!$I$29)*SUM(TblImps[[#This Row],[P3]:[G3]])+OFFSET(TblImps[[#This Row],[Σ Keep]],-1,0)</f>
        <v>0</v>
      </c>
      <c r="AH38" s="61">
        <f ca="1">(1+Overview!$I$29 + tech_7_1*TblTech[[#This Row],[7-1]])*SUM(TblImps[[#This Row],[P4]:[G4]])+OFFSET(TblImps[[#This Row],[Σ Spires]],-1,0)</f>
        <v>0</v>
      </c>
      <c r="AI38" s="61">
        <f ca="1">(1+Overview!$I$29)*SUM(TblImps[[#This Row],[P5]:[G5]])+OFFSET(TblImps[[#This Row],[Σ Forges]],-1,0)</f>
        <v>0</v>
      </c>
      <c r="AJ38" s="61">
        <f ca="1">(1+Overview!$I$29)*SUM(TblImps[[#This Row],[P6]:[G6]])+OFFSET(TblImps[[#This Row],[Σ Walls]],-1,0)</f>
        <v>0</v>
      </c>
      <c r="AK38" s="61">
        <f ca="1">(1+Overview!$I$29 + tech_7_1*TblTech[[#This Row],[7-1]])*SUM(TblImps[[#This Row],[P7]:[G7]])+OFFSET(TblImps[[#This Row],[Σ Harbor]],-1,0)</f>
        <v>0</v>
      </c>
      <c r="AL38" s="142"/>
      <c r="AM38" s="57">
        <f>IF(AND(TblImps[[#This Row],[Resource]]=AM$2,TblImps[[#This Row],[Part]]&lt;&gt;""),TblImps[[#This Row],[Amount]]) + IF(AND(TblImps[[#This Row],[Resource 2]]=AM$2,TblImps[[#This Row],[Part 2]]&lt;&gt;""),TblImps[[#This Row],[Amount 2]]) + IF(AND(TblImps[[#This Row],[Resource 3]]=AM$2,TblImps[[#This Row],[Part 3]]&lt;&gt;""),TblImps[[#This Row],[Amount 3]])</f>
        <v>0</v>
      </c>
      <c r="AN38" s="57">
        <f>IF(AND(TblImps[[#This Row],[Resource]]=AN$2,TblImps[[#This Row],[Part]]&lt;&gt;""),TblImps[[#This Row],[Amount]]) + IF(AND(TblImps[[#This Row],[Resource 2]]=AN$2,TblImps[[#This Row],[Part 2]]&lt;&gt;""),TblImps[[#This Row],[Amount 2]]) + IF(AND(TblImps[[#This Row],[Resource 3]]=AN$2,TblImps[[#This Row],[Part 3]]&lt;&gt;""),TblImps[[#This Row],[Amount 3]])</f>
        <v>0</v>
      </c>
      <c r="AO38" s="57">
        <f>IF(AND(TblImps[[#This Row],[Resource]]=AO$2,TblImps[[#This Row],[Part]]&lt;&gt;""),TblImps[[#This Row],[Amount]]) + IF(AND(TblImps[[#This Row],[Resource 2]]=AO$2,TblImps[[#This Row],[Part 2]]&lt;&gt;""),TblImps[[#This Row],[Amount 2]]) + IF(AND(TblImps[[#This Row],[Resource 3]]=AO$2,TblImps[[#This Row],[Part 3]]&lt;&gt;""),TblImps[[#This Row],[Amount 3]])</f>
        <v>0</v>
      </c>
      <c r="AP38" s="57">
        <f>IF(AND(TblImps[[#This Row],[Resource]]=AP$2,TblImps[[#This Row],[Part]]&lt;&gt;""),TblImps[[#This Row],[Amount]]) + IF(AND(TblImps[[#This Row],[Resource 2]]=AP$2,TblImps[[#This Row],[Part 2]]&lt;&gt;""),TblImps[[#This Row],[Amount 2]]) + IF(AND(TblImps[[#This Row],[Resource 3]]=AP$2,TblImps[[#This Row],[Part 3]]&lt;&gt;""),TblImps[[#This Row],[Amount 3]])</f>
        <v>0</v>
      </c>
      <c r="AQ38" s="142"/>
      <c r="AR3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8" s="142"/>
      <c r="AW3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8" s="142"/>
      <c r="BB3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8" s="142"/>
      <c r="BG3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8" s="142"/>
      <c r="BL3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8" s="142"/>
      <c r="BQ3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8" s="142"/>
      <c r="BV3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8" s="61">
        <f>TblImps[[#This Row],[Login]]</f>
        <v>0</v>
      </c>
      <c r="BX38" s="137"/>
      <c r="BY38" s="293">
        <f ca="1">OFFSET(TblImps[[#This Row],[Real time]],-1,0)+1/24</f>
        <v>46048.416666666584</v>
      </c>
      <c r="BZ38" s="294">
        <f ca="1">OFFSET(TblImps[[#This Row],[Servertime]],-1,0)+1/24</f>
        <v>46048.416666666584</v>
      </c>
      <c r="CA38" s="57"/>
      <c r="CB38" s="292"/>
      <c r="CC38" s="292"/>
      <c r="CD38" s="45" t="s">
        <v>212</v>
      </c>
    </row>
    <row r="39" spans="1:82" x14ac:dyDescent="0.2">
      <c r="A39" s="214">
        <f ca="1">TblConstr[[#This Row],[Land]]</f>
        <v>110</v>
      </c>
      <c r="B39" s="142"/>
      <c r="C39" s="94">
        <f ca="1">TblProd[[#This Row],[Platinum]]</f>
        <v>109494</v>
      </c>
      <c r="D39" s="94">
        <f ca="1">TblProd[[#This Row],[Lumber]]</f>
        <v>40206</v>
      </c>
      <c r="E39" s="94">
        <f ca="1">TblProd[[#This Row],[Ore]]</f>
        <v>0</v>
      </c>
      <c r="F39" s="94">
        <f ca="1">TblProd[[#This Row],[Gems]]</f>
        <v>0</v>
      </c>
      <c r="G39" s="154"/>
      <c r="H39" s="94">
        <f ca="1">TblMili[[#This Row],[Draftees]]</f>
        <v>370</v>
      </c>
      <c r="I39" s="180">
        <f ca="1">TblPop[[#This Row],[Employment]]</f>
        <v>1</v>
      </c>
      <c r="J39" s="180">
        <f ca="1">TblPop[[#This Row],[Total]]/TblPop[[#This Row],[Net max]]</f>
        <v>1</v>
      </c>
      <c r="K39" s="283">
        <f>TblRezone[[#This Row],[Hour]]</f>
        <v>36</v>
      </c>
      <c r="L39" s="284">
        <f ca="1">TblImps[[#This Row],[Real time]]</f>
        <v>46048.458333333248</v>
      </c>
      <c r="M39" s="61">
        <f>IF(ISERROR(TblImps[[#This Row],[algorithm]]),0,TblImps[[#This Row],[algorithm]]*1)</f>
        <v>0</v>
      </c>
      <c r="N39" s="94">
        <f ca="1">TblImps[[#This Row],[Land]]</f>
        <v>110</v>
      </c>
      <c r="O39" s="285" t="s">
        <v>4</v>
      </c>
      <c r="P39" s="286"/>
      <c r="Q39" s="285" t="s">
        <v>210</v>
      </c>
      <c r="R39" s="285" t="s">
        <v>7</v>
      </c>
      <c r="S39" s="286"/>
      <c r="T39" s="285" t="s">
        <v>210</v>
      </c>
      <c r="U39" s="285" t="s">
        <v>3</v>
      </c>
      <c r="V39" s="286"/>
      <c r="W39" s="285" t="s">
        <v>210</v>
      </c>
      <c r="X39" s="142"/>
      <c r="Y39" s="287">
        <f ca="1">science_cap*(1-EXP(-TblImps[[#This Row],[Σ Science]]/(science_param*(OFFSET(TblImps[[#This Row],[Land]],1,0)-OFFSET(TblExplore[[#This Row],[Land Bonus]],1,0)*20)+15000)))*(1+(mason_bonus*TblConstr[[#This Row],[Tot Mas]]/TblConstr[[#This Row],[Land (2)]]))</f>
        <v>0</v>
      </c>
      <c r="Z39" s="287">
        <f ca="1">keep_cap*(1-EXP(-TblImps[[#This Row],[Σ Keep]]/(keep_param*(OFFSET(TblImps[[#This Row],[Land]],1,0)-OFFSET(TblExplore[[#This Row],[Land Bonus]],1,0)*20)+15000)))*(1+(mason_bonus*TblConstr[[#This Row],[Tot Mas]]/TblConstr[[#This Row],[Land (2)]]))</f>
        <v>0</v>
      </c>
      <c r="AA39" s="287">
        <f ca="1">harbor_towers_cap*(1-EXP(-TblImps[[#This Row],[Σ Spires]]/(towers_param*(OFFSET(TblImps[[#This Row],[Land]],1,0)-OFFSET(TblExplore[[#This Row],[Land Bonus]],1,0)*20)+15000)))*(1+(mason_bonus*TblConstr[[#This Row],[Tot Mas]]/TblConstr[[#This Row],[Land (2)]]))</f>
        <v>0</v>
      </c>
      <c r="AB39" s="287">
        <f ca="1">walls_forges_cap*(1-EXP(-TblImps[[#This Row],[Σ Forges]]/(walls_forges_param*(OFFSET(TblImps[[#This Row],[Land]],1,0)-OFFSET(TblExplore[[#This Row],[Land Bonus]],1,0)*20)+15000)))*(1+(mason_bonus*TblConstr[[#This Row],[Tot Mas]]/TblConstr[[#This Row],[Land (2)]]))</f>
        <v>0</v>
      </c>
      <c r="AC39" s="287">
        <f ca="1">walls_forges_cap*(1-EXP(-TblImps[[#This Row],[Σ Walls]]/(walls_forges_param*(OFFSET(TblImps[[#This Row],[Land]],1,0)-OFFSET(TblExplore[[#This Row],[Land Bonus]],1,0)*20)+15000)))*(1+(mason_bonus*TblConstr[[#This Row],[Tot Mas]]/TblConstr[[#This Row],[Land (2)]]))</f>
        <v>0</v>
      </c>
      <c r="AD39" s="287">
        <f ca="1">harbor_towers_cap*(1-EXP(-TblImps[[#This Row],[Σ Harbor]]/(harbor_towers_param*(OFFSET(TblImps[[#This Row],[Land]],1,0)-OFFSET(TblExplore[[#This Row],[Land Bonus]],1,0)*20)+15000)))*(1+(mason_bonus*TblConstr[[#This Row],[Tot Mas]]/TblConstr[[#This Row],[Land (2)]]))</f>
        <v>0</v>
      </c>
      <c r="AE39" s="142"/>
      <c r="AF39" s="61">
        <f ca="1">(1+Overview!$I$29)*SUM(TblImps[[#This Row],[P2]:[G2]])+OFFSET(TblImps[[#This Row],[Σ Science]],-1,0)</f>
        <v>0</v>
      </c>
      <c r="AG39" s="61">
        <f ca="1">(1+Overview!$I$29)*SUM(TblImps[[#This Row],[P3]:[G3]])+OFFSET(TblImps[[#This Row],[Σ Keep]],-1,0)</f>
        <v>0</v>
      </c>
      <c r="AH39" s="61">
        <f ca="1">(1+Overview!$I$29 + tech_7_1*TblTech[[#This Row],[7-1]])*SUM(TblImps[[#This Row],[P4]:[G4]])+OFFSET(TblImps[[#This Row],[Σ Spires]],-1,0)</f>
        <v>0</v>
      </c>
      <c r="AI39" s="61">
        <f ca="1">(1+Overview!$I$29)*SUM(TblImps[[#This Row],[P5]:[G5]])+OFFSET(TblImps[[#This Row],[Σ Forges]],-1,0)</f>
        <v>0</v>
      </c>
      <c r="AJ39" s="61">
        <f ca="1">(1+Overview!$I$29)*SUM(TblImps[[#This Row],[P6]:[G6]])+OFFSET(TblImps[[#This Row],[Σ Walls]],-1,0)</f>
        <v>0</v>
      </c>
      <c r="AK39" s="61">
        <f ca="1">(1+Overview!$I$29 + tech_7_1*TblTech[[#This Row],[7-1]])*SUM(TblImps[[#This Row],[P7]:[G7]])+OFFSET(TblImps[[#This Row],[Σ Harbor]],-1,0)</f>
        <v>0</v>
      </c>
      <c r="AL39" s="142"/>
      <c r="AM39" s="57">
        <f>IF(AND(TblImps[[#This Row],[Resource]]=AM$2,TblImps[[#This Row],[Part]]&lt;&gt;""),TblImps[[#This Row],[Amount]]) + IF(AND(TblImps[[#This Row],[Resource 2]]=AM$2,TblImps[[#This Row],[Part 2]]&lt;&gt;""),TblImps[[#This Row],[Amount 2]]) + IF(AND(TblImps[[#This Row],[Resource 3]]=AM$2,TblImps[[#This Row],[Part 3]]&lt;&gt;""),TblImps[[#This Row],[Amount 3]])</f>
        <v>0</v>
      </c>
      <c r="AN39" s="57">
        <f>IF(AND(TblImps[[#This Row],[Resource]]=AN$2,TblImps[[#This Row],[Part]]&lt;&gt;""),TblImps[[#This Row],[Amount]]) + IF(AND(TblImps[[#This Row],[Resource 2]]=AN$2,TblImps[[#This Row],[Part 2]]&lt;&gt;""),TblImps[[#This Row],[Amount 2]]) + IF(AND(TblImps[[#This Row],[Resource 3]]=AN$2,TblImps[[#This Row],[Part 3]]&lt;&gt;""),TblImps[[#This Row],[Amount 3]])</f>
        <v>0</v>
      </c>
      <c r="AO39" s="57">
        <f>IF(AND(TblImps[[#This Row],[Resource]]=AO$2,TblImps[[#This Row],[Part]]&lt;&gt;""),TblImps[[#This Row],[Amount]]) + IF(AND(TblImps[[#This Row],[Resource 2]]=AO$2,TblImps[[#This Row],[Part 2]]&lt;&gt;""),TblImps[[#This Row],[Amount 2]]) + IF(AND(TblImps[[#This Row],[Resource 3]]=AO$2,TblImps[[#This Row],[Part 3]]&lt;&gt;""),TblImps[[#This Row],[Amount 3]])</f>
        <v>0</v>
      </c>
      <c r="AP39" s="57">
        <f>IF(AND(TblImps[[#This Row],[Resource]]=AP$2,TblImps[[#This Row],[Part]]&lt;&gt;""),TblImps[[#This Row],[Amount]]) + IF(AND(TblImps[[#This Row],[Resource 2]]=AP$2,TblImps[[#This Row],[Part 2]]&lt;&gt;""),TblImps[[#This Row],[Amount 2]]) + IF(AND(TblImps[[#This Row],[Resource 3]]=AP$2,TblImps[[#This Row],[Part 3]]&lt;&gt;""),TblImps[[#This Row],[Amount 3]])</f>
        <v>0</v>
      </c>
      <c r="AQ39" s="142"/>
      <c r="AR3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3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3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3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39" s="142"/>
      <c r="AW3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3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3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3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39" s="142"/>
      <c r="BB3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3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3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3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39" s="142"/>
      <c r="BG3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3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3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3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39" s="142"/>
      <c r="BL3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3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3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3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39" s="142"/>
      <c r="BQ3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3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3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3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39" s="142"/>
      <c r="BV3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39" s="61">
        <f>TblImps[[#This Row],[Login]]</f>
        <v>0</v>
      </c>
      <c r="BX39" s="137"/>
      <c r="BY39" s="293">
        <f ca="1">OFFSET(TblImps[[#This Row],[Real time]],-1,0)+1/24</f>
        <v>46048.458333333248</v>
      </c>
      <c r="BZ39" s="294">
        <f ca="1">OFFSET(TblImps[[#This Row],[Servertime]],-1,0)+1/24</f>
        <v>46048.458333333248</v>
      </c>
      <c r="CA39" s="57"/>
      <c r="CB39" s="292"/>
      <c r="CC39" s="292"/>
      <c r="CD39" s="45" t="s">
        <v>213</v>
      </c>
    </row>
    <row r="40" spans="1:82" s="5" customFormat="1" x14ac:dyDescent="0.2">
      <c r="A40" s="230">
        <f ca="1">TblConstr[[#This Row],[Land]]</f>
        <v>110</v>
      </c>
      <c r="B40" s="149"/>
      <c r="C40" s="35">
        <f ca="1">TblProd[[#This Row],[Platinum]]</f>
        <v>111400</v>
      </c>
      <c r="D40" s="35">
        <f ca="1">TblProd[[#This Row],[Lumber]]</f>
        <v>40804</v>
      </c>
      <c r="E40" s="35">
        <f ca="1">TblProd[[#This Row],[Ore]]</f>
        <v>0</v>
      </c>
      <c r="F40" s="35">
        <f ca="1">TblProd[[#This Row],[Gems]]</f>
        <v>0</v>
      </c>
      <c r="G40" s="162"/>
      <c r="H40" s="35">
        <f ca="1">TblMili[[#This Row],[Draftees]]</f>
        <v>377</v>
      </c>
      <c r="I40" s="436">
        <f ca="1">TblPop[[#This Row],[Employment]]</f>
        <v>1</v>
      </c>
      <c r="J40" s="436">
        <f ca="1">TblPop[[#This Row],[Total]]/TblPop[[#This Row],[Net max]]</f>
        <v>1</v>
      </c>
      <c r="K40" s="298">
        <f>TblRezone[[#This Row],[Hour]]</f>
        <v>37</v>
      </c>
      <c r="L40" s="299">
        <f ca="1">TblImps[[#This Row],[Real time]]</f>
        <v>46048.499999999913</v>
      </c>
      <c r="M40" s="148">
        <f>IF(ISERROR(TblImps[[#This Row],[algorithm]]),0,TblImps[[#This Row],[algorithm]]*1)</f>
        <v>0</v>
      </c>
      <c r="N40" s="35">
        <f ca="1">TblImps[[#This Row],[Land]]</f>
        <v>110</v>
      </c>
      <c r="O40" s="300" t="s">
        <v>4</v>
      </c>
      <c r="P40" s="301"/>
      <c r="Q40" s="300" t="s">
        <v>210</v>
      </c>
      <c r="R40" s="300" t="s">
        <v>7</v>
      </c>
      <c r="S40" s="301"/>
      <c r="T40" s="300" t="s">
        <v>210</v>
      </c>
      <c r="U40" s="300" t="s">
        <v>3</v>
      </c>
      <c r="V40" s="301"/>
      <c r="W40" s="300" t="s">
        <v>210</v>
      </c>
      <c r="X40" s="149"/>
      <c r="Y40" s="458">
        <f ca="1">science_cap*(1-EXP(-TblImps[[#This Row],[Σ Science]]/(science_param*(OFFSET(TblImps[[#This Row],[Land]],1,0)-OFFSET(TblExplore[[#This Row],[Land Bonus]],1,0)*20)+15000)))*(1+(mason_bonus*TblConstr[[#This Row],[Tot Mas]]/TblConstr[[#This Row],[Land (2)]]))</f>
        <v>0</v>
      </c>
      <c r="Z40" s="458">
        <f ca="1">keep_cap*(1-EXP(-TblImps[[#This Row],[Σ Keep]]/(keep_param*(OFFSET(TblImps[[#This Row],[Land]],1,0)-OFFSET(TblExplore[[#This Row],[Land Bonus]],1,0)*20)+15000)))*(1+(mason_bonus*TblConstr[[#This Row],[Tot Mas]]/TblConstr[[#This Row],[Land (2)]]))</f>
        <v>0</v>
      </c>
      <c r="AA40" s="458">
        <f ca="1">harbor_towers_cap*(1-EXP(-TblImps[[#This Row],[Σ Spires]]/(towers_param*(OFFSET(TblImps[[#This Row],[Land]],1,0)-OFFSET(TblExplore[[#This Row],[Land Bonus]],1,0)*20)+15000)))*(1+(mason_bonus*TblConstr[[#This Row],[Tot Mas]]/TblConstr[[#This Row],[Land (2)]]))</f>
        <v>0</v>
      </c>
      <c r="AB40" s="458">
        <f ca="1">walls_forges_cap*(1-EXP(-TblImps[[#This Row],[Σ Forges]]/(walls_forges_param*(OFFSET(TblImps[[#This Row],[Land]],1,0)-OFFSET(TblExplore[[#This Row],[Land Bonus]],1,0)*20)+15000)))*(1+(mason_bonus*TblConstr[[#This Row],[Tot Mas]]/TblConstr[[#This Row],[Land (2)]]))</f>
        <v>0</v>
      </c>
      <c r="AC40" s="458">
        <f ca="1">walls_forges_cap*(1-EXP(-TblImps[[#This Row],[Σ Walls]]/(walls_forges_param*(OFFSET(TblImps[[#This Row],[Land]],1,0)-OFFSET(TblExplore[[#This Row],[Land Bonus]],1,0)*20)+15000)))*(1+(mason_bonus*TblConstr[[#This Row],[Tot Mas]]/TblConstr[[#This Row],[Land (2)]]))</f>
        <v>0</v>
      </c>
      <c r="AD40" s="458">
        <f ca="1">harbor_towers_cap*(1-EXP(-TblImps[[#This Row],[Σ Harbor]]/(harbor_towers_param*(OFFSET(TblImps[[#This Row],[Land]],1,0)-OFFSET(TblExplore[[#This Row],[Land Bonus]],1,0)*20)+15000)))*(1+(mason_bonus*TblConstr[[#This Row],[Tot Mas]]/TblConstr[[#This Row],[Land (2)]]))</f>
        <v>0</v>
      </c>
      <c r="AE40" s="149"/>
      <c r="AF40" s="148">
        <f ca="1">(1+Overview!$I$29)*SUM(TblImps[[#This Row],[P2]:[G2]])+OFFSET(TblImps[[#This Row],[Σ Science]],-1,0)</f>
        <v>0</v>
      </c>
      <c r="AG40" s="148">
        <f ca="1">(1+Overview!$I$29)*SUM(TblImps[[#This Row],[P3]:[G3]])+OFFSET(TblImps[[#This Row],[Σ Keep]],-1,0)</f>
        <v>0</v>
      </c>
      <c r="AH40" s="148">
        <f ca="1">(1+Overview!$I$29 + tech_7_1*TblTech[[#This Row],[7-1]])*SUM(TblImps[[#This Row],[P4]:[G4]])+OFFSET(TblImps[[#This Row],[Σ Spires]],-1,0)</f>
        <v>0</v>
      </c>
      <c r="AI40" s="148">
        <f ca="1">(1+Overview!$I$29)*SUM(TblImps[[#This Row],[P5]:[G5]])+OFFSET(TblImps[[#This Row],[Σ Forges]],-1,0)</f>
        <v>0</v>
      </c>
      <c r="AJ40" s="148">
        <f ca="1">(1+Overview!$I$29)*SUM(TblImps[[#This Row],[P6]:[G6]])+OFFSET(TblImps[[#This Row],[Σ Walls]],-1,0)</f>
        <v>0</v>
      </c>
      <c r="AK40" s="148">
        <f ca="1">(1+Overview!$I$29 + tech_7_1*TblTech[[#This Row],[7-1]])*SUM(TblImps[[#This Row],[P7]:[G7]])+OFFSET(TblImps[[#This Row],[Σ Harbor]],-1,0)</f>
        <v>0</v>
      </c>
      <c r="AL40" s="149"/>
      <c r="AM40" s="28">
        <f>IF(AND(TblImps[[#This Row],[Resource]]=AM$2,TblImps[[#This Row],[Part]]&lt;&gt;""),TblImps[[#This Row],[Amount]]) + IF(AND(TblImps[[#This Row],[Resource 2]]=AM$2,TblImps[[#This Row],[Part 2]]&lt;&gt;""),TblImps[[#This Row],[Amount 2]]) + IF(AND(TblImps[[#This Row],[Resource 3]]=AM$2,TblImps[[#This Row],[Part 3]]&lt;&gt;""),TblImps[[#This Row],[Amount 3]])</f>
        <v>0</v>
      </c>
      <c r="AN40" s="28">
        <f>IF(AND(TblImps[[#This Row],[Resource]]=AN$2,TblImps[[#This Row],[Part]]&lt;&gt;""),TblImps[[#This Row],[Amount]]) + IF(AND(TblImps[[#This Row],[Resource 2]]=AN$2,TblImps[[#This Row],[Part 2]]&lt;&gt;""),TblImps[[#This Row],[Amount 2]]) + IF(AND(TblImps[[#This Row],[Resource 3]]=AN$2,TblImps[[#This Row],[Part 3]]&lt;&gt;""),TblImps[[#This Row],[Amount 3]])</f>
        <v>0</v>
      </c>
      <c r="AO40" s="28">
        <f>IF(AND(TblImps[[#This Row],[Resource]]=AO$2,TblImps[[#This Row],[Part]]&lt;&gt;""),TblImps[[#This Row],[Amount]]) + IF(AND(TblImps[[#This Row],[Resource 2]]=AO$2,TblImps[[#This Row],[Part 2]]&lt;&gt;""),TblImps[[#This Row],[Amount 2]]) + IF(AND(TblImps[[#This Row],[Resource 3]]=AO$2,TblImps[[#This Row],[Part 3]]&lt;&gt;""),TblImps[[#This Row],[Amount 3]])</f>
        <v>0</v>
      </c>
      <c r="AP40" s="28">
        <f>IF(AND(TblImps[[#This Row],[Resource]]=AP$2,TblImps[[#This Row],[Part]]&lt;&gt;""),TblImps[[#This Row],[Amount]]) + IF(AND(TblImps[[#This Row],[Resource 2]]=AP$2,TblImps[[#This Row],[Part 2]]&lt;&gt;""),TblImps[[#This Row],[Amount 2]]) + IF(AND(TblImps[[#This Row],[Resource 3]]=AP$2,TblImps[[#This Row],[Part 3]]&lt;&gt;""),TblImps[[#This Row],[Amount 3]])</f>
        <v>0</v>
      </c>
      <c r="AQ40" s="149"/>
      <c r="AR40" s="28">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0" s="28">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0" s="28">
        <f>IF(TblImps[[#This Row],[Resource]]=AT$2,IF(TblImps[[#This Row],[Part]]=$Y$2,TblImps[[#This Row],[Amount]]*ore_invest)) + IF(TblImps[[#This Row],[Resource 2]]=AT$2,IF(TblImps[[#This Row],[Part 2]]=$Y$2,TblImps[[#This Row],[Amount 2]]*ore_invest)) + IF(TblImps[[#This Row],[Resource 3]]=AT$2,IF(TblImps[[#This Row],[Part 3]]=$Y$2,TblImps[[#This Row],[Amount 3]]*ore_invest))</f>
        <v>0</v>
      </c>
      <c r="AU40" s="28">
        <f>IF(TblImps[[#This Row],[Resource]]=AU$2,IF(TblImps[[#This Row],[Part]]=$Y$2,TblImps[[#This Row],[Amount]]*gem_invest)) + IF(TblImps[[#This Row],[Resource 2]]=AU$2,IF(TblImps[[#This Row],[Part 2]]=$Y$2,TblImps[[#This Row],[Amount 2]]*gem_invest)) + IF(TblImps[[#This Row],[Resource 3]]=AU$2,IF(TblImps[[#This Row],[Part 3]]=$Y$2,TblImps[[#This Row],[Amount 3]]*gem_invest))</f>
        <v>0</v>
      </c>
      <c r="AV40" s="149"/>
      <c r="AW40" s="28">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0" s="28">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0" s="28">
        <f>IF(TblImps[[#This Row],[Resource]]=AY$2,IF(TblImps[[#This Row],[Part]]=$Z$2,TblImps[[#This Row],[Amount]]*ore_invest)) + IF(TblImps[[#This Row],[Resource 2]]=AY$2,IF(TblImps[[#This Row],[Part 2]]=$Z$2,TblImps[[#This Row],[Amount 2]]*ore_invest)) + IF(TblImps[[#This Row],[Resource 3]]=AY$2,IF(TblImps[[#This Row],[Part 3]]=$Z$2,TblImps[[#This Row],[Amount 3]]*ore_invest))</f>
        <v>0</v>
      </c>
      <c r="AZ40" s="28">
        <f>IF(TblImps[[#This Row],[Resource]]=AZ$2,IF(TblImps[[#This Row],[Part]]=$Z$2,TblImps[[#This Row],[Amount]]*gem_invest)) + IF(TblImps[[#This Row],[Resource 2]]=AZ$2,IF(TblImps[[#This Row],[Part 2]]=$Z$2,TblImps[[#This Row],[Amount 2]]*gem_invest)) + IF(TblImps[[#This Row],[Resource 3]]=AZ$2,IF(TblImps[[#This Row],[Part 3]]=$Z$2,TblImps[[#This Row],[Amount 3]]*gem_invest))</f>
        <v>0</v>
      </c>
      <c r="BA40" s="149"/>
      <c r="BB40" s="28">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0" s="28">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0" s="28">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0" s="28">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0" s="149"/>
      <c r="BG40" s="28">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0" s="28">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0" s="28">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0" s="28">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0" s="149"/>
      <c r="BL40" s="28">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0" s="28">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0" s="28">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0" s="28">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0" s="149"/>
      <c r="BQ40" s="28">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0" s="28">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0" s="28">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0" s="28">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0" s="149"/>
      <c r="BV40" s="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0" s="148">
        <f>TblImps[[#This Row],[Login]]</f>
        <v>0</v>
      </c>
      <c r="BX40" s="144"/>
      <c r="BY40" s="459">
        <f ca="1">OFFSET(TblImps[[#This Row],[Real time]],-1,0)+1/24</f>
        <v>46048.499999999913</v>
      </c>
      <c r="BZ40" s="460">
        <f ca="1">OFFSET(TblImps[[#This Row],[Servertime]],-1,0)+1/24</f>
        <v>46048.499999999913</v>
      </c>
      <c r="CA40" s="28"/>
      <c r="CB40" s="461"/>
      <c r="CC40" s="461"/>
      <c r="CD40" s="5" t="s">
        <v>526</v>
      </c>
    </row>
    <row r="41" spans="1:82" x14ac:dyDescent="0.2">
      <c r="A41" s="214">
        <f ca="1">TblConstr[[#This Row],[Land]]</f>
        <v>110</v>
      </c>
      <c r="B41" s="142"/>
      <c r="C41" s="94">
        <f ca="1">TblProd[[#This Row],[Platinum]]</f>
        <v>113287</v>
      </c>
      <c r="D41" s="94">
        <f ca="1">TblProd[[#This Row],[Lumber]]</f>
        <v>41396</v>
      </c>
      <c r="E41" s="94">
        <f ca="1">TblProd[[#This Row],[Ore]]</f>
        <v>0</v>
      </c>
      <c r="F41" s="94">
        <f ca="1">TblProd[[#This Row],[Gems]]</f>
        <v>0</v>
      </c>
      <c r="G41" s="154"/>
      <c r="H41" s="94">
        <f ca="1">TblMili[[#This Row],[Draftees]]</f>
        <v>384</v>
      </c>
      <c r="I41" s="180">
        <f ca="1">TblPop[[#This Row],[Employment]]</f>
        <v>1</v>
      </c>
      <c r="J41" s="180">
        <f ca="1">TblPop[[#This Row],[Total]]/TblPop[[#This Row],[Net max]]</f>
        <v>1</v>
      </c>
      <c r="K41" s="283">
        <f>TblRezone[[#This Row],[Hour]]</f>
        <v>38</v>
      </c>
      <c r="L41" s="284">
        <f ca="1">TblImps[[#This Row],[Real time]]</f>
        <v>46048.541666666577</v>
      </c>
      <c r="M41" s="61">
        <f>IF(ISERROR(TblImps[[#This Row],[algorithm]]),0,TblImps[[#This Row],[algorithm]]*1)</f>
        <v>0</v>
      </c>
      <c r="N41" s="94">
        <f ca="1">TblImps[[#This Row],[Land]]</f>
        <v>110</v>
      </c>
      <c r="O41" s="285" t="s">
        <v>4</v>
      </c>
      <c r="P41" s="286"/>
      <c r="Q41" s="285" t="s">
        <v>210</v>
      </c>
      <c r="R41" s="285" t="s">
        <v>7</v>
      </c>
      <c r="S41" s="286"/>
      <c r="T41" s="285" t="s">
        <v>210</v>
      </c>
      <c r="U41" s="285" t="s">
        <v>3</v>
      </c>
      <c r="V41" s="286"/>
      <c r="W41" s="285" t="s">
        <v>210</v>
      </c>
      <c r="X41" s="142"/>
      <c r="Y41" s="287">
        <f ca="1">science_cap*(1-EXP(-TblImps[[#This Row],[Σ Science]]/(science_param*(OFFSET(TblImps[[#This Row],[Land]],1,0)-OFFSET(TblExplore[[#This Row],[Land Bonus]],1,0)*20)+15000)))*(1+(mason_bonus*TblConstr[[#This Row],[Tot Mas]]/TblConstr[[#This Row],[Land (2)]]))</f>
        <v>0</v>
      </c>
      <c r="Z41" s="287">
        <f ca="1">keep_cap*(1-EXP(-TblImps[[#This Row],[Σ Keep]]/(keep_param*(OFFSET(TblImps[[#This Row],[Land]],1,0)-OFFSET(TblExplore[[#This Row],[Land Bonus]],1,0)*20)+15000)))*(1+(mason_bonus*TblConstr[[#This Row],[Tot Mas]]/TblConstr[[#This Row],[Land (2)]]))</f>
        <v>0</v>
      </c>
      <c r="AA41" s="287">
        <f ca="1">harbor_towers_cap*(1-EXP(-TblImps[[#This Row],[Σ Spires]]/(towers_param*(OFFSET(TblImps[[#This Row],[Land]],1,0)-OFFSET(TblExplore[[#This Row],[Land Bonus]],1,0)*20)+15000)))*(1+(mason_bonus*TblConstr[[#This Row],[Tot Mas]]/TblConstr[[#This Row],[Land (2)]]))</f>
        <v>0</v>
      </c>
      <c r="AB41" s="287">
        <f ca="1">walls_forges_cap*(1-EXP(-TblImps[[#This Row],[Σ Forges]]/(walls_forges_param*(OFFSET(TblImps[[#This Row],[Land]],1,0)-OFFSET(TblExplore[[#This Row],[Land Bonus]],1,0)*20)+15000)))*(1+(mason_bonus*TblConstr[[#This Row],[Tot Mas]]/TblConstr[[#This Row],[Land (2)]]))</f>
        <v>0</v>
      </c>
      <c r="AC41" s="287">
        <f ca="1">walls_forges_cap*(1-EXP(-TblImps[[#This Row],[Σ Walls]]/(walls_forges_param*(OFFSET(TblImps[[#This Row],[Land]],1,0)-OFFSET(TblExplore[[#This Row],[Land Bonus]],1,0)*20)+15000)))*(1+(mason_bonus*TblConstr[[#This Row],[Tot Mas]]/TblConstr[[#This Row],[Land (2)]]))</f>
        <v>0</v>
      </c>
      <c r="AD41" s="287">
        <f ca="1">harbor_towers_cap*(1-EXP(-TblImps[[#This Row],[Σ Harbor]]/(harbor_towers_param*(OFFSET(TblImps[[#This Row],[Land]],1,0)-OFFSET(TblExplore[[#This Row],[Land Bonus]],1,0)*20)+15000)))*(1+(mason_bonus*TblConstr[[#This Row],[Tot Mas]]/TblConstr[[#This Row],[Land (2)]]))</f>
        <v>0</v>
      </c>
      <c r="AE41" s="142"/>
      <c r="AF41" s="61">
        <f ca="1">(1+Overview!$I$29)*SUM(TblImps[[#This Row],[P2]:[G2]])+OFFSET(TblImps[[#This Row],[Σ Science]],-1,0)</f>
        <v>0</v>
      </c>
      <c r="AG41" s="61">
        <f ca="1">(1+Overview!$I$29)*SUM(TblImps[[#This Row],[P3]:[G3]])+OFFSET(TblImps[[#This Row],[Σ Keep]],-1,0)</f>
        <v>0</v>
      </c>
      <c r="AH41" s="61">
        <f ca="1">(1+Overview!$I$29 + tech_7_1*TblTech[[#This Row],[7-1]])*SUM(TblImps[[#This Row],[P4]:[G4]])+OFFSET(TblImps[[#This Row],[Σ Spires]],-1,0)</f>
        <v>0</v>
      </c>
      <c r="AI41" s="61">
        <f ca="1">(1+Overview!$I$29)*SUM(TblImps[[#This Row],[P5]:[G5]])+OFFSET(TblImps[[#This Row],[Σ Forges]],-1,0)</f>
        <v>0</v>
      </c>
      <c r="AJ41" s="61">
        <f ca="1">(1+Overview!$I$29)*SUM(TblImps[[#This Row],[P6]:[G6]])+OFFSET(TblImps[[#This Row],[Σ Walls]],-1,0)</f>
        <v>0</v>
      </c>
      <c r="AK41" s="61">
        <f ca="1">(1+Overview!$I$29 + tech_7_1*TblTech[[#This Row],[7-1]])*SUM(TblImps[[#This Row],[P7]:[G7]])+OFFSET(TblImps[[#This Row],[Σ Harbor]],-1,0)</f>
        <v>0</v>
      </c>
      <c r="AL41" s="142"/>
      <c r="AM41" s="57">
        <f>IF(AND(TblImps[[#This Row],[Resource]]=AM$2,TblImps[[#This Row],[Part]]&lt;&gt;""),TblImps[[#This Row],[Amount]]) + IF(AND(TblImps[[#This Row],[Resource 2]]=AM$2,TblImps[[#This Row],[Part 2]]&lt;&gt;""),TblImps[[#This Row],[Amount 2]]) + IF(AND(TblImps[[#This Row],[Resource 3]]=AM$2,TblImps[[#This Row],[Part 3]]&lt;&gt;""),TblImps[[#This Row],[Amount 3]])</f>
        <v>0</v>
      </c>
      <c r="AN41" s="57">
        <f>IF(AND(TblImps[[#This Row],[Resource]]=AN$2,TblImps[[#This Row],[Part]]&lt;&gt;""),TblImps[[#This Row],[Amount]]) + IF(AND(TblImps[[#This Row],[Resource 2]]=AN$2,TblImps[[#This Row],[Part 2]]&lt;&gt;""),TblImps[[#This Row],[Amount 2]]) + IF(AND(TblImps[[#This Row],[Resource 3]]=AN$2,TblImps[[#This Row],[Part 3]]&lt;&gt;""),TblImps[[#This Row],[Amount 3]])</f>
        <v>0</v>
      </c>
      <c r="AO41" s="57">
        <f>IF(AND(TblImps[[#This Row],[Resource]]=AO$2,TblImps[[#This Row],[Part]]&lt;&gt;""),TblImps[[#This Row],[Amount]]) + IF(AND(TblImps[[#This Row],[Resource 2]]=AO$2,TblImps[[#This Row],[Part 2]]&lt;&gt;""),TblImps[[#This Row],[Amount 2]]) + IF(AND(TblImps[[#This Row],[Resource 3]]=AO$2,TblImps[[#This Row],[Part 3]]&lt;&gt;""),TblImps[[#This Row],[Amount 3]])</f>
        <v>0</v>
      </c>
      <c r="AP41" s="57">
        <f>IF(AND(TblImps[[#This Row],[Resource]]=AP$2,TblImps[[#This Row],[Part]]&lt;&gt;""),TblImps[[#This Row],[Amount]]) + IF(AND(TblImps[[#This Row],[Resource 2]]=AP$2,TblImps[[#This Row],[Part 2]]&lt;&gt;""),TblImps[[#This Row],[Amount 2]]) + IF(AND(TblImps[[#This Row],[Resource 3]]=AP$2,TblImps[[#This Row],[Part 3]]&lt;&gt;""),TblImps[[#This Row],[Amount 3]])</f>
        <v>0</v>
      </c>
      <c r="AQ41" s="142"/>
      <c r="AR4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1" s="142"/>
      <c r="AW4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1" s="142"/>
      <c r="BB4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1" s="142"/>
      <c r="BG4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1" s="142"/>
      <c r="BL4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1" s="142"/>
      <c r="BQ4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1" s="142"/>
      <c r="BV4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1" s="61">
        <f>TblImps[[#This Row],[Login]]</f>
        <v>0</v>
      </c>
      <c r="BX41" s="137"/>
      <c r="BY41" s="293">
        <f ca="1">OFFSET(TblImps[[#This Row],[Real time]],-1,0)+1/24</f>
        <v>46048.541666666577</v>
      </c>
      <c r="BZ41" s="294">
        <f ca="1">OFFSET(TblImps[[#This Row],[Servertime]],-1,0)+1/24</f>
        <v>46048.541666666577</v>
      </c>
      <c r="CA41" s="57"/>
      <c r="CB41" s="292"/>
      <c r="CC41" s="292"/>
    </row>
    <row r="42" spans="1:82" x14ac:dyDescent="0.2">
      <c r="A42" s="214">
        <f ca="1">TblConstr[[#This Row],[Land]]</f>
        <v>110</v>
      </c>
      <c r="B42" s="142"/>
      <c r="C42" s="94">
        <f ca="1">TblProd[[#This Row],[Platinum]]</f>
        <v>115155</v>
      </c>
      <c r="D42" s="94">
        <f ca="1">TblProd[[#This Row],[Lumber]]</f>
        <v>41982</v>
      </c>
      <c r="E42" s="94">
        <f ca="1">TblProd[[#This Row],[Ore]]</f>
        <v>0</v>
      </c>
      <c r="F42" s="94">
        <f ca="1">TblProd[[#This Row],[Gems]]</f>
        <v>0</v>
      </c>
      <c r="G42" s="154"/>
      <c r="H42" s="94">
        <f ca="1">TblMili[[#This Row],[Draftees]]</f>
        <v>391</v>
      </c>
      <c r="I42" s="180">
        <f ca="1">TblPop[[#This Row],[Employment]]</f>
        <v>1</v>
      </c>
      <c r="J42" s="180">
        <f ca="1">TblPop[[#This Row],[Total]]/TblPop[[#This Row],[Net max]]</f>
        <v>1</v>
      </c>
      <c r="K42" s="283">
        <f>TblRezone[[#This Row],[Hour]]</f>
        <v>39</v>
      </c>
      <c r="L42" s="284">
        <f ca="1">TblImps[[#This Row],[Real time]]</f>
        <v>46048.583333333241</v>
      </c>
      <c r="M42" s="61">
        <f>IF(ISERROR(TblImps[[#This Row],[algorithm]]),0,TblImps[[#This Row],[algorithm]]*1)</f>
        <v>0</v>
      </c>
      <c r="N42" s="94">
        <f ca="1">TblImps[[#This Row],[Land]]</f>
        <v>110</v>
      </c>
      <c r="O42" s="285" t="s">
        <v>4</v>
      </c>
      <c r="P42" s="286"/>
      <c r="Q42" s="285" t="s">
        <v>210</v>
      </c>
      <c r="R42" s="285" t="s">
        <v>7</v>
      </c>
      <c r="S42" s="286"/>
      <c r="T42" s="285" t="s">
        <v>210</v>
      </c>
      <c r="U42" s="285" t="s">
        <v>3</v>
      </c>
      <c r="V42" s="286"/>
      <c r="W42" s="285" t="s">
        <v>210</v>
      </c>
      <c r="X42" s="142"/>
      <c r="Y42" s="287">
        <f ca="1">science_cap*(1-EXP(-TblImps[[#This Row],[Σ Science]]/(science_param*(OFFSET(TblImps[[#This Row],[Land]],1,0)-OFFSET(TblExplore[[#This Row],[Land Bonus]],1,0)*20)+15000)))*(1+(mason_bonus*TblConstr[[#This Row],[Tot Mas]]/TblConstr[[#This Row],[Land (2)]]))</f>
        <v>0</v>
      </c>
      <c r="Z42" s="287">
        <f ca="1">keep_cap*(1-EXP(-TblImps[[#This Row],[Σ Keep]]/(keep_param*(OFFSET(TblImps[[#This Row],[Land]],1,0)-OFFSET(TblExplore[[#This Row],[Land Bonus]],1,0)*20)+15000)))*(1+(mason_bonus*TblConstr[[#This Row],[Tot Mas]]/TblConstr[[#This Row],[Land (2)]]))</f>
        <v>0</v>
      </c>
      <c r="AA42" s="287">
        <f ca="1">harbor_towers_cap*(1-EXP(-TblImps[[#This Row],[Σ Spires]]/(towers_param*(OFFSET(TblImps[[#This Row],[Land]],1,0)-OFFSET(TblExplore[[#This Row],[Land Bonus]],1,0)*20)+15000)))*(1+(mason_bonus*TblConstr[[#This Row],[Tot Mas]]/TblConstr[[#This Row],[Land (2)]]))</f>
        <v>0</v>
      </c>
      <c r="AB42" s="287">
        <f ca="1">walls_forges_cap*(1-EXP(-TblImps[[#This Row],[Σ Forges]]/(walls_forges_param*(OFFSET(TblImps[[#This Row],[Land]],1,0)-OFFSET(TblExplore[[#This Row],[Land Bonus]],1,0)*20)+15000)))*(1+(mason_bonus*TblConstr[[#This Row],[Tot Mas]]/TblConstr[[#This Row],[Land (2)]]))</f>
        <v>0</v>
      </c>
      <c r="AC42" s="287">
        <f ca="1">walls_forges_cap*(1-EXP(-TblImps[[#This Row],[Σ Walls]]/(walls_forges_param*(OFFSET(TblImps[[#This Row],[Land]],1,0)-OFFSET(TblExplore[[#This Row],[Land Bonus]],1,0)*20)+15000)))*(1+(mason_bonus*TblConstr[[#This Row],[Tot Mas]]/TblConstr[[#This Row],[Land (2)]]))</f>
        <v>0</v>
      </c>
      <c r="AD42" s="287">
        <f ca="1">harbor_towers_cap*(1-EXP(-TblImps[[#This Row],[Σ Harbor]]/(harbor_towers_param*(OFFSET(TblImps[[#This Row],[Land]],1,0)-OFFSET(TblExplore[[#This Row],[Land Bonus]],1,0)*20)+15000)))*(1+(mason_bonus*TblConstr[[#This Row],[Tot Mas]]/TblConstr[[#This Row],[Land (2)]]))</f>
        <v>0</v>
      </c>
      <c r="AE42" s="142"/>
      <c r="AF42" s="61">
        <f ca="1">(1+Overview!$I$29)*SUM(TblImps[[#This Row],[P2]:[G2]])+OFFSET(TblImps[[#This Row],[Σ Science]],-1,0)</f>
        <v>0</v>
      </c>
      <c r="AG42" s="61">
        <f ca="1">(1+Overview!$I$29)*SUM(TblImps[[#This Row],[P3]:[G3]])+OFFSET(TblImps[[#This Row],[Σ Keep]],-1,0)</f>
        <v>0</v>
      </c>
      <c r="AH42" s="61">
        <f ca="1">(1+Overview!$I$29 + tech_7_1*TblTech[[#This Row],[7-1]])*SUM(TblImps[[#This Row],[P4]:[G4]])+OFFSET(TblImps[[#This Row],[Σ Spires]],-1,0)</f>
        <v>0</v>
      </c>
      <c r="AI42" s="61">
        <f ca="1">(1+Overview!$I$29)*SUM(TblImps[[#This Row],[P5]:[G5]])+OFFSET(TblImps[[#This Row],[Σ Forges]],-1,0)</f>
        <v>0</v>
      </c>
      <c r="AJ42" s="61">
        <f ca="1">(1+Overview!$I$29)*SUM(TblImps[[#This Row],[P6]:[G6]])+OFFSET(TblImps[[#This Row],[Σ Walls]],-1,0)</f>
        <v>0</v>
      </c>
      <c r="AK42" s="61">
        <f ca="1">(1+Overview!$I$29 + tech_7_1*TblTech[[#This Row],[7-1]])*SUM(TblImps[[#This Row],[P7]:[G7]])+OFFSET(TblImps[[#This Row],[Σ Harbor]],-1,0)</f>
        <v>0</v>
      </c>
      <c r="AL42" s="142"/>
      <c r="AM42" s="57">
        <f>IF(AND(TblImps[[#This Row],[Resource]]=AM$2,TblImps[[#This Row],[Part]]&lt;&gt;""),TblImps[[#This Row],[Amount]]) + IF(AND(TblImps[[#This Row],[Resource 2]]=AM$2,TblImps[[#This Row],[Part 2]]&lt;&gt;""),TblImps[[#This Row],[Amount 2]]) + IF(AND(TblImps[[#This Row],[Resource 3]]=AM$2,TblImps[[#This Row],[Part 3]]&lt;&gt;""),TblImps[[#This Row],[Amount 3]])</f>
        <v>0</v>
      </c>
      <c r="AN42" s="57">
        <f>IF(AND(TblImps[[#This Row],[Resource]]=AN$2,TblImps[[#This Row],[Part]]&lt;&gt;""),TblImps[[#This Row],[Amount]]) + IF(AND(TblImps[[#This Row],[Resource 2]]=AN$2,TblImps[[#This Row],[Part 2]]&lt;&gt;""),TblImps[[#This Row],[Amount 2]]) + IF(AND(TblImps[[#This Row],[Resource 3]]=AN$2,TblImps[[#This Row],[Part 3]]&lt;&gt;""),TblImps[[#This Row],[Amount 3]])</f>
        <v>0</v>
      </c>
      <c r="AO42" s="57">
        <f>IF(AND(TblImps[[#This Row],[Resource]]=AO$2,TblImps[[#This Row],[Part]]&lt;&gt;""),TblImps[[#This Row],[Amount]]) + IF(AND(TblImps[[#This Row],[Resource 2]]=AO$2,TblImps[[#This Row],[Part 2]]&lt;&gt;""),TblImps[[#This Row],[Amount 2]]) + IF(AND(TblImps[[#This Row],[Resource 3]]=AO$2,TblImps[[#This Row],[Part 3]]&lt;&gt;""),TblImps[[#This Row],[Amount 3]])</f>
        <v>0</v>
      </c>
      <c r="AP42" s="57">
        <f>IF(AND(TblImps[[#This Row],[Resource]]=AP$2,TblImps[[#This Row],[Part]]&lt;&gt;""),TblImps[[#This Row],[Amount]]) + IF(AND(TblImps[[#This Row],[Resource 2]]=AP$2,TblImps[[#This Row],[Part 2]]&lt;&gt;""),TblImps[[#This Row],[Amount 2]]) + IF(AND(TblImps[[#This Row],[Resource 3]]=AP$2,TblImps[[#This Row],[Part 3]]&lt;&gt;""),TblImps[[#This Row],[Amount 3]])</f>
        <v>0</v>
      </c>
      <c r="AQ42" s="142"/>
      <c r="AR4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2" s="142"/>
      <c r="AW4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2" s="142"/>
      <c r="BB4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2" s="142"/>
      <c r="BG4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2" s="142"/>
      <c r="BL4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2" s="142"/>
      <c r="BQ4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2" s="142"/>
      <c r="BV4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2" s="61">
        <f>TblImps[[#This Row],[Login]]</f>
        <v>0</v>
      </c>
      <c r="BX42" s="137"/>
      <c r="BY42" s="293">
        <f ca="1">OFFSET(TblImps[[#This Row],[Real time]],-1,0)+1/24</f>
        <v>46048.583333333241</v>
      </c>
      <c r="BZ42" s="294">
        <f ca="1">OFFSET(TblImps[[#This Row],[Servertime]],-1,0)+1/24</f>
        <v>46048.583333333241</v>
      </c>
      <c r="CA42" s="297"/>
      <c r="CB42" s="292"/>
      <c r="CC42" s="292"/>
    </row>
    <row r="43" spans="1:82" x14ac:dyDescent="0.2">
      <c r="A43" s="214">
        <f ca="1">TblConstr[[#This Row],[Land]]</f>
        <v>110</v>
      </c>
      <c r="B43" s="142"/>
      <c r="C43" s="94">
        <f ca="1">TblProd[[#This Row],[Platinum]]</f>
        <v>117004</v>
      </c>
      <c r="D43" s="94">
        <f ca="1">TblProd[[#This Row],[Lumber]]</f>
        <v>42562</v>
      </c>
      <c r="E43" s="94">
        <f ca="1">TblProd[[#This Row],[Ore]]</f>
        <v>0</v>
      </c>
      <c r="F43" s="94">
        <f ca="1">TblProd[[#This Row],[Gems]]</f>
        <v>0</v>
      </c>
      <c r="G43" s="154"/>
      <c r="H43" s="94">
        <f ca="1">TblMili[[#This Row],[Draftees]]</f>
        <v>398</v>
      </c>
      <c r="I43" s="180">
        <f ca="1">TblPop[[#This Row],[Employment]]</f>
        <v>1</v>
      </c>
      <c r="J43" s="180">
        <f ca="1">TblPop[[#This Row],[Total]]/TblPop[[#This Row],[Net max]]</f>
        <v>1</v>
      </c>
      <c r="K43" s="283">
        <f>TblRezone[[#This Row],[Hour]]</f>
        <v>40</v>
      </c>
      <c r="L43" s="284">
        <f ca="1">TblImps[[#This Row],[Real time]]</f>
        <v>46048.624999999905</v>
      </c>
      <c r="M43" s="61">
        <f>IF(ISERROR(TblImps[[#This Row],[algorithm]]),0,TblImps[[#This Row],[algorithm]]*1)</f>
        <v>0</v>
      </c>
      <c r="N43" s="94">
        <f ca="1">TblImps[[#This Row],[Land]]</f>
        <v>110</v>
      </c>
      <c r="O43" s="285" t="s">
        <v>4</v>
      </c>
      <c r="P43" s="286"/>
      <c r="Q43" s="285" t="s">
        <v>210</v>
      </c>
      <c r="R43" s="285" t="s">
        <v>7</v>
      </c>
      <c r="S43" s="286"/>
      <c r="T43" s="285" t="s">
        <v>210</v>
      </c>
      <c r="U43" s="285" t="s">
        <v>3</v>
      </c>
      <c r="V43" s="286"/>
      <c r="W43" s="285" t="s">
        <v>210</v>
      </c>
      <c r="X43" s="142"/>
      <c r="Y43" s="287">
        <f ca="1">science_cap*(1-EXP(-TblImps[[#This Row],[Σ Science]]/(science_param*(OFFSET(TblImps[[#This Row],[Land]],1,0)-OFFSET(TblExplore[[#This Row],[Land Bonus]],1,0)*20)+15000)))*(1+(mason_bonus*TblConstr[[#This Row],[Tot Mas]]/TblConstr[[#This Row],[Land (2)]]))</f>
        <v>0</v>
      </c>
      <c r="Z43" s="287">
        <f ca="1">keep_cap*(1-EXP(-TblImps[[#This Row],[Σ Keep]]/(keep_param*(OFFSET(TblImps[[#This Row],[Land]],1,0)-OFFSET(TblExplore[[#This Row],[Land Bonus]],1,0)*20)+15000)))*(1+(mason_bonus*TblConstr[[#This Row],[Tot Mas]]/TblConstr[[#This Row],[Land (2)]]))</f>
        <v>0</v>
      </c>
      <c r="AA43" s="287">
        <f ca="1">harbor_towers_cap*(1-EXP(-TblImps[[#This Row],[Σ Spires]]/(towers_param*(OFFSET(TblImps[[#This Row],[Land]],1,0)-OFFSET(TblExplore[[#This Row],[Land Bonus]],1,0)*20)+15000)))*(1+(mason_bonus*TblConstr[[#This Row],[Tot Mas]]/TblConstr[[#This Row],[Land (2)]]))</f>
        <v>0</v>
      </c>
      <c r="AB43" s="287">
        <f ca="1">walls_forges_cap*(1-EXP(-TblImps[[#This Row],[Σ Forges]]/(walls_forges_param*(OFFSET(TblImps[[#This Row],[Land]],1,0)-OFFSET(TblExplore[[#This Row],[Land Bonus]],1,0)*20)+15000)))*(1+(mason_bonus*TblConstr[[#This Row],[Tot Mas]]/TblConstr[[#This Row],[Land (2)]]))</f>
        <v>0</v>
      </c>
      <c r="AC43" s="287">
        <f ca="1">walls_forges_cap*(1-EXP(-TblImps[[#This Row],[Σ Walls]]/(walls_forges_param*(OFFSET(TblImps[[#This Row],[Land]],1,0)-OFFSET(TblExplore[[#This Row],[Land Bonus]],1,0)*20)+15000)))*(1+(mason_bonus*TblConstr[[#This Row],[Tot Mas]]/TblConstr[[#This Row],[Land (2)]]))</f>
        <v>0</v>
      </c>
      <c r="AD43" s="287">
        <f ca="1">harbor_towers_cap*(1-EXP(-TblImps[[#This Row],[Σ Harbor]]/(harbor_towers_param*(OFFSET(TblImps[[#This Row],[Land]],1,0)-OFFSET(TblExplore[[#This Row],[Land Bonus]],1,0)*20)+15000)))*(1+(mason_bonus*TblConstr[[#This Row],[Tot Mas]]/TblConstr[[#This Row],[Land (2)]]))</f>
        <v>0</v>
      </c>
      <c r="AE43" s="142"/>
      <c r="AF43" s="61">
        <f ca="1">(1+Overview!$I$29)*SUM(TblImps[[#This Row],[P2]:[G2]])+OFFSET(TblImps[[#This Row],[Σ Science]],-1,0)</f>
        <v>0</v>
      </c>
      <c r="AG43" s="61">
        <f ca="1">(1+Overview!$I$29)*SUM(TblImps[[#This Row],[P3]:[G3]])+OFFSET(TblImps[[#This Row],[Σ Keep]],-1,0)</f>
        <v>0</v>
      </c>
      <c r="AH43" s="61">
        <f ca="1">(1+Overview!$I$29 + tech_7_1*TblTech[[#This Row],[7-1]])*SUM(TblImps[[#This Row],[P4]:[G4]])+OFFSET(TblImps[[#This Row],[Σ Spires]],-1,0)</f>
        <v>0</v>
      </c>
      <c r="AI43" s="61">
        <f ca="1">(1+Overview!$I$29)*SUM(TblImps[[#This Row],[P5]:[G5]])+OFFSET(TblImps[[#This Row],[Σ Forges]],-1,0)</f>
        <v>0</v>
      </c>
      <c r="AJ43" s="61">
        <f ca="1">(1+Overview!$I$29)*SUM(TblImps[[#This Row],[P6]:[G6]])+OFFSET(TblImps[[#This Row],[Σ Walls]],-1,0)</f>
        <v>0</v>
      </c>
      <c r="AK43" s="61">
        <f ca="1">(1+Overview!$I$29 + tech_7_1*TblTech[[#This Row],[7-1]])*SUM(TblImps[[#This Row],[P7]:[G7]])+OFFSET(TblImps[[#This Row],[Σ Harbor]],-1,0)</f>
        <v>0</v>
      </c>
      <c r="AL43" s="142"/>
      <c r="AM43" s="57">
        <f>IF(AND(TblImps[[#This Row],[Resource]]=AM$2,TblImps[[#This Row],[Part]]&lt;&gt;""),TblImps[[#This Row],[Amount]]) + IF(AND(TblImps[[#This Row],[Resource 2]]=AM$2,TblImps[[#This Row],[Part 2]]&lt;&gt;""),TblImps[[#This Row],[Amount 2]]) + IF(AND(TblImps[[#This Row],[Resource 3]]=AM$2,TblImps[[#This Row],[Part 3]]&lt;&gt;""),TblImps[[#This Row],[Amount 3]])</f>
        <v>0</v>
      </c>
      <c r="AN43" s="57">
        <f>IF(AND(TblImps[[#This Row],[Resource]]=AN$2,TblImps[[#This Row],[Part]]&lt;&gt;""),TblImps[[#This Row],[Amount]]) + IF(AND(TblImps[[#This Row],[Resource 2]]=AN$2,TblImps[[#This Row],[Part 2]]&lt;&gt;""),TblImps[[#This Row],[Amount 2]]) + IF(AND(TblImps[[#This Row],[Resource 3]]=AN$2,TblImps[[#This Row],[Part 3]]&lt;&gt;""),TblImps[[#This Row],[Amount 3]])</f>
        <v>0</v>
      </c>
      <c r="AO43" s="57">
        <f>IF(AND(TblImps[[#This Row],[Resource]]=AO$2,TblImps[[#This Row],[Part]]&lt;&gt;""),TblImps[[#This Row],[Amount]]) + IF(AND(TblImps[[#This Row],[Resource 2]]=AO$2,TblImps[[#This Row],[Part 2]]&lt;&gt;""),TblImps[[#This Row],[Amount 2]]) + IF(AND(TblImps[[#This Row],[Resource 3]]=AO$2,TblImps[[#This Row],[Part 3]]&lt;&gt;""),TblImps[[#This Row],[Amount 3]])</f>
        <v>0</v>
      </c>
      <c r="AP43" s="57">
        <f>IF(AND(TblImps[[#This Row],[Resource]]=AP$2,TblImps[[#This Row],[Part]]&lt;&gt;""),TblImps[[#This Row],[Amount]]) + IF(AND(TblImps[[#This Row],[Resource 2]]=AP$2,TblImps[[#This Row],[Part 2]]&lt;&gt;""),TblImps[[#This Row],[Amount 2]]) + IF(AND(TblImps[[#This Row],[Resource 3]]=AP$2,TblImps[[#This Row],[Part 3]]&lt;&gt;""),TblImps[[#This Row],[Amount 3]])</f>
        <v>0</v>
      </c>
      <c r="AQ43" s="142"/>
      <c r="AR4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3" s="142"/>
      <c r="AW4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3" s="142"/>
      <c r="BB4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3" s="142"/>
      <c r="BG4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3" s="142"/>
      <c r="BL4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3" s="142"/>
      <c r="BQ4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3" s="142"/>
      <c r="BV4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3" s="61">
        <f>TblImps[[#This Row],[Login]]</f>
        <v>0</v>
      </c>
      <c r="BX43" s="137"/>
      <c r="BY43" s="293">
        <f ca="1">OFFSET(TblImps[[#This Row],[Real time]],-1,0)+1/24</f>
        <v>46048.624999999905</v>
      </c>
      <c r="BZ43" s="294">
        <f ca="1">OFFSET(TblImps[[#This Row],[Servertime]],-1,0)+1/24</f>
        <v>46048.624999999905</v>
      </c>
      <c r="CA43" s="57"/>
      <c r="CB43" s="292"/>
      <c r="CC43" s="292"/>
    </row>
    <row r="44" spans="1:82" x14ac:dyDescent="0.2">
      <c r="A44" s="214">
        <f ca="1">TblConstr[[#This Row],[Land]]</f>
        <v>110</v>
      </c>
      <c r="B44" s="142"/>
      <c r="C44" s="94">
        <f ca="1">TblProd[[#This Row],[Platinum]]</f>
        <v>118834</v>
      </c>
      <c r="D44" s="94">
        <f ca="1">TblProd[[#This Row],[Lumber]]</f>
        <v>43136</v>
      </c>
      <c r="E44" s="94">
        <f ca="1">TblProd[[#This Row],[Ore]]</f>
        <v>0</v>
      </c>
      <c r="F44" s="94">
        <f ca="1">TblProd[[#This Row],[Gems]]</f>
        <v>0</v>
      </c>
      <c r="G44" s="154"/>
      <c r="H44" s="94">
        <f ca="1">TblMili[[#This Row],[Draftees]]</f>
        <v>405</v>
      </c>
      <c r="I44" s="180">
        <f ca="1">TblPop[[#This Row],[Employment]]</f>
        <v>1</v>
      </c>
      <c r="J44" s="180">
        <f ca="1">TblPop[[#This Row],[Total]]/TblPop[[#This Row],[Net max]]</f>
        <v>1</v>
      </c>
      <c r="K44" s="283">
        <f>TblRezone[[#This Row],[Hour]]</f>
        <v>41</v>
      </c>
      <c r="L44" s="284">
        <f ca="1">TblImps[[#This Row],[Real time]]</f>
        <v>46048.66666666657</v>
      </c>
      <c r="M44" s="61">
        <f>IF(ISERROR(TblImps[[#This Row],[algorithm]]),0,TblImps[[#This Row],[algorithm]]*1)</f>
        <v>0</v>
      </c>
      <c r="N44" s="94">
        <f ca="1">TblImps[[#This Row],[Land]]</f>
        <v>110</v>
      </c>
      <c r="O44" s="285" t="s">
        <v>4</v>
      </c>
      <c r="P44" s="286"/>
      <c r="Q44" s="285" t="s">
        <v>210</v>
      </c>
      <c r="R44" s="285" t="s">
        <v>7</v>
      </c>
      <c r="S44" s="286"/>
      <c r="T44" s="285" t="s">
        <v>210</v>
      </c>
      <c r="U44" s="285" t="s">
        <v>3</v>
      </c>
      <c r="V44" s="286"/>
      <c r="W44" s="285" t="s">
        <v>210</v>
      </c>
      <c r="X44" s="142"/>
      <c r="Y44" s="287">
        <f ca="1">science_cap*(1-EXP(-TblImps[[#This Row],[Σ Science]]/(science_param*(OFFSET(TblImps[[#This Row],[Land]],1,0)-OFFSET(TblExplore[[#This Row],[Land Bonus]],1,0)*20)+15000)))*(1+(mason_bonus*TblConstr[[#This Row],[Tot Mas]]/TblConstr[[#This Row],[Land (2)]]))</f>
        <v>0</v>
      </c>
      <c r="Z44" s="287">
        <f ca="1">keep_cap*(1-EXP(-TblImps[[#This Row],[Σ Keep]]/(keep_param*(OFFSET(TblImps[[#This Row],[Land]],1,0)-OFFSET(TblExplore[[#This Row],[Land Bonus]],1,0)*20)+15000)))*(1+(mason_bonus*TblConstr[[#This Row],[Tot Mas]]/TblConstr[[#This Row],[Land (2)]]))</f>
        <v>0</v>
      </c>
      <c r="AA44" s="287">
        <f ca="1">harbor_towers_cap*(1-EXP(-TblImps[[#This Row],[Σ Spires]]/(towers_param*(OFFSET(TblImps[[#This Row],[Land]],1,0)-OFFSET(TblExplore[[#This Row],[Land Bonus]],1,0)*20)+15000)))*(1+(mason_bonus*TblConstr[[#This Row],[Tot Mas]]/TblConstr[[#This Row],[Land (2)]]))</f>
        <v>0</v>
      </c>
      <c r="AB44" s="287">
        <f ca="1">walls_forges_cap*(1-EXP(-TblImps[[#This Row],[Σ Forges]]/(walls_forges_param*(OFFSET(TblImps[[#This Row],[Land]],1,0)-OFFSET(TblExplore[[#This Row],[Land Bonus]],1,0)*20)+15000)))*(1+(mason_bonus*TblConstr[[#This Row],[Tot Mas]]/TblConstr[[#This Row],[Land (2)]]))</f>
        <v>0</v>
      </c>
      <c r="AC44" s="287">
        <f ca="1">walls_forges_cap*(1-EXP(-TblImps[[#This Row],[Σ Walls]]/(walls_forges_param*(OFFSET(TblImps[[#This Row],[Land]],1,0)-OFFSET(TblExplore[[#This Row],[Land Bonus]],1,0)*20)+15000)))*(1+(mason_bonus*TblConstr[[#This Row],[Tot Mas]]/TblConstr[[#This Row],[Land (2)]]))</f>
        <v>0</v>
      </c>
      <c r="AD44" s="287">
        <f ca="1">harbor_towers_cap*(1-EXP(-TblImps[[#This Row],[Σ Harbor]]/(harbor_towers_param*(OFFSET(TblImps[[#This Row],[Land]],1,0)-OFFSET(TblExplore[[#This Row],[Land Bonus]],1,0)*20)+15000)))*(1+(mason_bonus*TblConstr[[#This Row],[Tot Mas]]/TblConstr[[#This Row],[Land (2)]]))</f>
        <v>0</v>
      </c>
      <c r="AE44" s="142"/>
      <c r="AF44" s="61">
        <f ca="1">(1+Overview!$I$29)*SUM(TblImps[[#This Row],[P2]:[G2]])+OFFSET(TblImps[[#This Row],[Σ Science]],-1,0)</f>
        <v>0</v>
      </c>
      <c r="AG44" s="61">
        <f ca="1">(1+Overview!$I$29)*SUM(TblImps[[#This Row],[P3]:[G3]])+OFFSET(TblImps[[#This Row],[Σ Keep]],-1,0)</f>
        <v>0</v>
      </c>
      <c r="AH44" s="61">
        <f ca="1">(1+Overview!$I$29 + tech_7_1*TblTech[[#This Row],[7-1]])*SUM(TblImps[[#This Row],[P4]:[G4]])+OFFSET(TblImps[[#This Row],[Σ Spires]],-1,0)</f>
        <v>0</v>
      </c>
      <c r="AI44" s="61">
        <f ca="1">(1+Overview!$I$29)*SUM(TblImps[[#This Row],[P5]:[G5]])+OFFSET(TblImps[[#This Row],[Σ Forges]],-1,0)</f>
        <v>0</v>
      </c>
      <c r="AJ44" s="61">
        <f ca="1">(1+Overview!$I$29)*SUM(TblImps[[#This Row],[P6]:[G6]])+OFFSET(TblImps[[#This Row],[Σ Walls]],-1,0)</f>
        <v>0</v>
      </c>
      <c r="AK44" s="61">
        <f ca="1">(1+Overview!$I$29 + tech_7_1*TblTech[[#This Row],[7-1]])*SUM(TblImps[[#This Row],[P7]:[G7]])+OFFSET(TblImps[[#This Row],[Σ Harbor]],-1,0)</f>
        <v>0</v>
      </c>
      <c r="AL44" s="142"/>
      <c r="AM44" s="57">
        <f>IF(AND(TblImps[[#This Row],[Resource]]=AM$2,TblImps[[#This Row],[Part]]&lt;&gt;""),TblImps[[#This Row],[Amount]]) + IF(AND(TblImps[[#This Row],[Resource 2]]=AM$2,TblImps[[#This Row],[Part 2]]&lt;&gt;""),TblImps[[#This Row],[Amount 2]]) + IF(AND(TblImps[[#This Row],[Resource 3]]=AM$2,TblImps[[#This Row],[Part 3]]&lt;&gt;""),TblImps[[#This Row],[Amount 3]])</f>
        <v>0</v>
      </c>
      <c r="AN44" s="57">
        <f>IF(AND(TblImps[[#This Row],[Resource]]=AN$2,TblImps[[#This Row],[Part]]&lt;&gt;""),TblImps[[#This Row],[Amount]]) + IF(AND(TblImps[[#This Row],[Resource 2]]=AN$2,TblImps[[#This Row],[Part 2]]&lt;&gt;""),TblImps[[#This Row],[Amount 2]]) + IF(AND(TblImps[[#This Row],[Resource 3]]=AN$2,TblImps[[#This Row],[Part 3]]&lt;&gt;""),TblImps[[#This Row],[Amount 3]])</f>
        <v>0</v>
      </c>
      <c r="AO44" s="57">
        <f>IF(AND(TblImps[[#This Row],[Resource]]=AO$2,TblImps[[#This Row],[Part]]&lt;&gt;""),TblImps[[#This Row],[Amount]]) + IF(AND(TblImps[[#This Row],[Resource 2]]=AO$2,TblImps[[#This Row],[Part 2]]&lt;&gt;""),TblImps[[#This Row],[Amount 2]]) + IF(AND(TblImps[[#This Row],[Resource 3]]=AO$2,TblImps[[#This Row],[Part 3]]&lt;&gt;""),TblImps[[#This Row],[Amount 3]])</f>
        <v>0</v>
      </c>
      <c r="AP44" s="57">
        <f>IF(AND(TblImps[[#This Row],[Resource]]=AP$2,TblImps[[#This Row],[Part]]&lt;&gt;""),TblImps[[#This Row],[Amount]]) + IF(AND(TblImps[[#This Row],[Resource 2]]=AP$2,TblImps[[#This Row],[Part 2]]&lt;&gt;""),TblImps[[#This Row],[Amount 2]]) + IF(AND(TblImps[[#This Row],[Resource 3]]=AP$2,TblImps[[#This Row],[Part 3]]&lt;&gt;""),TblImps[[#This Row],[Amount 3]])</f>
        <v>0</v>
      </c>
      <c r="AQ44" s="142"/>
      <c r="AR4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4" s="142"/>
      <c r="AW4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4" s="142"/>
      <c r="BB4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4" s="142"/>
      <c r="BG4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4" s="142"/>
      <c r="BL4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4" s="142"/>
      <c r="BQ4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4" s="142"/>
      <c r="BV4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4" s="61">
        <f>TblImps[[#This Row],[Login]]</f>
        <v>0</v>
      </c>
      <c r="BX44" s="137"/>
      <c r="BY44" s="293">
        <f ca="1">OFFSET(TblImps[[#This Row],[Real time]],-1,0)+1/24</f>
        <v>46048.66666666657</v>
      </c>
      <c r="BZ44" s="294">
        <f ca="1">OFFSET(TblImps[[#This Row],[Servertime]],-1,0)+1/24</f>
        <v>46048.66666666657</v>
      </c>
      <c r="CA44" s="57"/>
      <c r="CB44" s="292"/>
      <c r="CC44" s="292"/>
    </row>
    <row r="45" spans="1:82" x14ac:dyDescent="0.2">
      <c r="A45" s="214">
        <f ca="1">TblConstr[[#This Row],[Land]]</f>
        <v>110</v>
      </c>
      <c r="B45" s="142"/>
      <c r="C45" s="94">
        <f ca="1">TblProd[[#This Row],[Platinum]]</f>
        <v>120645</v>
      </c>
      <c r="D45" s="94">
        <f ca="1">TblProd[[#This Row],[Lumber]]</f>
        <v>43705</v>
      </c>
      <c r="E45" s="94">
        <f ca="1">TblProd[[#This Row],[Ore]]</f>
        <v>0</v>
      </c>
      <c r="F45" s="94">
        <f ca="1">TblProd[[#This Row],[Gems]]</f>
        <v>0</v>
      </c>
      <c r="G45" s="154"/>
      <c r="H45" s="94">
        <f ca="1">TblMili[[#This Row],[Draftees]]</f>
        <v>412</v>
      </c>
      <c r="I45" s="180">
        <f ca="1">TblPop[[#This Row],[Employment]]</f>
        <v>1</v>
      </c>
      <c r="J45" s="180">
        <f ca="1">TblPop[[#This Row],[Total]]/TblPop[[#This Row],[Net max]]</f>
        <v>1</v>
      </c>
      <c r="K45" s="283">
        <f>TblRezone[[#This Row],[Hour]]</f>
        <v>42</v>
      </c>
      <c r="L45" s="284">
        <f ca="1">TblImps[[#This Row],[Real time]]</f>
        <v>46048.708333333234</v>
      </c>
      <c r="M45" s="61">
        <f>IF(ISERROR(TblImps[[#This Row],[algorithm]]),0,TblImps[[#This Row],[algorithm]]*1)</f>
        <v>0</v>
      </c>
      <c r="N45" s="94">
        <f ca="1">TblImps[[#This Row],[Land]]</f>
        <v>110</v>
      </c>
      <c r="O45" s="285" t="s">
        <v>4</v>
      </c>
      <c r="P45" s="286"/>
      <c r="Q45" s="285" t="s">
        <v>210</v>
      </c>
      <c r="R45" s="285" t="s">
        <v>7</v>
      </c>
      <c r="S45" s="286"/>
      <c r="T45" s="285" t="s">
        <v>210</v>
      </c>
      <c r="U45" s="285" t="s">
        <v>3</v>
      </c>
      <c r="V45" s="286"/>
      <c r="W45" s="285" t="s">
        <v>210</v>
      </c>
      <c r="X45" s="142"/>
      <c r="Y45" s="287">
        <f ca="1">science_cap*(1-EXP(-TblImps[[#This Row],[Σ Science]]/(science_param*(OFFSET(TblImps[[#This Row],[Land]],1,0)-OFFSET(TblExplore[[#This Row],[Land Bonus]],1,0)*20)+15000)))*(1+(mason_bonus*TblConstr[[#This Row],[Tot Mas]]/TblConstr[[#This Row],[Land (2)]]))</f>
        <v>0</v>
      </c>
      <c r="Z45" s="287">
        <f ca="1">keep_cap*(1-EXP(-TblImps[[#This Row],[Σ Keep]]/(keep_param*(OFFSET(TblImps[[#This Row],[Land]],1,0)-OFFSET(TblExplore[[#This Row],[Land Bonus]],1,0)*20)+15000)))*(1+(mason_bonus*TblConstr[[#This Row],[Tot Mas]]/TblConstr[[#This Row],[Land (2)]]))</f>
        <v>0</v>
      </c>
      <c r="AA45" s="287">
        <f ca="1">harbor_towers_cap*(1-EXP(-TblImps[[#This Row],[Σ Spires]]/(towers_param*(OFFSET(TblImps[[#This Row],[Land]],1,0)-OFFSET(TblExplore[[#This Row],[Land Bonus]],1,0)*20)+15000)))*(1+(mason_bonus*TblConstr[[#This Row],[Tot Mas]]/TblConstr[[#This Row],[Land (2)]]))</f>
        <v>0</v>
      </c>
      <c r="AB45" s="287">
        <f ca="1">walls_forges_cap*(1-EXP(-TblImps[[#This Row],[Σ Forges]]/(walls_forges_param*(OFFSET(TblImps[[#This Row],[Land]],1,0)-OFFSET(TblExplore[[#This Row],[Land Bonus]],1,0)*20)+15000)))*(1+(mason_bonus*TblConstr[[#This Row],[Tot Mas]]/TblConstr[[#This Row],[Land (2)]]))</f>
        <v>0</v>
      </c>
      <c r="AC45" s="287">
        <f ca="1">walls_forges_cap*(1-EXP(-TblImps[[#This Row],[Σ Walls]]/(walls_forges_param*(OFFSET(TblImps[[#This Row],[Land]],1,0)-OFFSET(TblExplore[[#This Row],[Land Bonus]],1,0)*20)+15000)))*(1+(mason_bonus*TblConstr[[#This Row],[Tot Mas]]/TblConstr[[#This Row],[Land (2)]]))</f>
        <v>0</v>
      </c>
      <c r="AD45" s="287">
        <f ca="1">harbor_towers_cap*(1-EXP(-TblImps[[#This Row],[Σ Harbor]]/(harbor_towers_param*(OFFSET(TblImps[[#This Row],[Land]],1,0)-OFFSET(TblExplore[[#This Row],[Land Bonus]],1,0)*20)+15000)))*(1+(mason_bonus*TblConstr[[#This Row],[Tot Mas]]/TblConstr[[#This Row],[Land (2)]]))</f>
        <v>0</v>
      </c>
      <c r="AE45" s="142"/>
      <c r="AF45" s="61">
        <f ca="1">(1+Overview!$I$29)*SUM(TblImps[[#This Row],[P2]:[G2]])+OFFSET(TblImps[[#This Row],[Σ Science]],-1,0)</f>
        <v>0</v>
      </c>
      <c r="AG45" s="61">
        <f ca="1">(1+Overview!$I$29)*SUM(TblImps[[#This Row],[P3]:[G3]])+OFFSET(TblImps[[#This Row],[Σ Keep]],-1,0)</f>
        <v>0</v>
      </c>
      <c r="AH45" s="61">
        <f ca="1">(1+Overview!$I$29 + tech_7_1*TblTech[[#This Row],[7-1]])*SUM(TblImps[[#This Row],[P4]:[G4]])+OFFSET(TblImps[[#This Row],[Σ Spires]],-1,0)</f>
        <v>0</v>
      </c>
      <c r="AI45" s="61">
        <f ca="1">(1+Overview!$I$29)*SUM(TblImps[[#This Row],[P5]:[G5]])+OFFSET(TblImps[[#This Row],[Σ Forges]],-1,0)</f>
        <v>0</v>
      </c>
      <c r="AJ45" s="61">
        <f ca="1">(1+Overview!$I$29)*SUM(TblImps[[#This Row],[P6]:[G6]])+OFFSET(TblImps[[#This Row],[Σ Walls]],-1,0)</f>
        <v>0</v>
      </c>
      <c r="AK45" s="61">
        <f ca="1">(1+Overview!$I$29 + tech_7_1*TblTech[[#This Row],[7-1]])*SUM(TblImps[[#This Row],[P7]:[G7]])+OFFSET(TblImps[[#This Row],[Σ Harbor]],-1,0)</f>
        <v>0</v>
      </c>
      <c r="AL45" s="142"/>
      <c r="AM45" s="57">
        <f>IF(AND(TblImps[[#This Row],[Resource]]=AM$2,TblImps[[#This Row],[Part]]&lt;&gt;""),TblImps[[#This Row],[Amount]]) + IF(AND(TblImps[[#This Row],[Resource 2]]=AM$2,TblImps[[#This Row],[Part 2]]&lt;&gt;""),TblImps[[#This Row],[Amount 2]]) + IF(AND(TblImps[[#This Row],[Resource 3]]=AM$2,TblImps[[#This Row],[Part 3]]&lt;&gt;""),TblImps[[#This Row],[Amount 3]])</f>
        <v>0</v>
      </c>
      <c r="AN45" s="57">
        <f>IF(AND(TblImps[[#This Row],[Resource]]=AN$2,TblImps[[#This Row],[Part]]&lt;&gt;""),TblImps[[#This Row],[Amount]]) + IF(AND(TblImps[[#This Row],[Resource 2]]=AN$2,TblImps[[#This Row],[Part 2]]&lt;&gt;""),TblImps[[#This Row],[Amount 2]]) + IF(AND(TblImps[[#This Row],[Resource 3]]=AN$2,TblImps[[#This Row],[Part 3]]&lt;&gt;""),TblImps[[#This Row],[Amount 3]])</f>
        <v>0</v>
      </c>
      <c r="AO45" s="57">
        <f>IF(AND(TblImps[[#This Row],[Resource]]=AO$2,TblImps[[#This Row],[Part]]&lt;&gt;""),TblImps[[#This Row],[Amount]]) + IF(AND(TblImps[[#This Row],[Resource 2]]=AO$2,TblImps[[#This Row],[Part 2]]&lt;&gt;""),TblImps[[#This Row],[Amount 2]]) + IF(AND(TblImps[[#This Row],[Resource 3]]=AO$2,TblImps[[#This Row],[Part 3]]&lt;&gt;""),TblImps[[#This Row],[Amount 3]])</f>
        <v>0</v>
      </c>
      <c r="AP45" s="57">
        <f>IF(AND(TblImps[[#This Row],[Resource]]=AP$2,TblImps[[#This Row],[Part]]&lt;&gt;""),TblImps[[#This Row],[Amount]]) + IF(AND(TblImps[[#This Row],[Resource 2]]=AP$2,TblImps[[#This Row],[Part 2]]&lt;&gt;""),TblImps[[#This Row],[Amount 2]]) + IF(AND(TblImps[[#This Row],[Resource 3]]=AP$2,TblImps[[#This Row],[Part 3]]&lt;&gt;""),TblImps[[#This Row],[Amount 3]])</f>
        <v>0</v>
      </c>
      <c r="AQ45" s="142"/>
      <c r="AR4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5" s="142"/>
      <c r="AW4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5" s="142"/>
      <c r="BB4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5" s="142"/>
      <c r="BG4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5" s="142"/>
      <c r="BL4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5" s="142"/>
      <c r="BQ4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5" s="142"/>
      <c r="BV4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5" s="61">
        <f>TblImps[[#This Row],[Login]]</f>
        <v>0</v>
      </c>
      <c r="BX45" s="137"/>
      <c r="BY45" s="293">
        <f ca="1">OFFSET(TblImps[[#This Row],[Real time]],-1,0)+1/24</f>
        <v>46048.708333333234</v>
      </c>
      <c r="BZ45" s="294">
        <f ca="1">OFFSET(TblImps[[#This Row],[Servertime]],-1,0)+1/24</f>
        <v>46048.708333333234</v>
      </c>
      <c r="CA45" s="57"/>
      <c r="CB45" s="292"/>
      <c r="CC45" s="292"/>
    </row>
    <row r="46" spans="1:82" x14ac:dyDescent="0.2">
      <c r="A46" s="214">
        <f ca="1">TblConstr[[#This Row],[Land]]</f>
        <v>110</v>
      </c>
      <c r="B46" s="142"/>
      <c r="C46" s="94">
        <f ca="1">TblProd[[#This Row],[Platinum]]</f>
        <v>122437</v>
      </c>
      <c r="D46" s="94">
        <f ca="1">TblProd[[#This Row],[Lumber]]</f>
        <v>44268</v>
      </c>
      <c r="E46" s="94">
        <f ca="1">TblProd[[#This Row],[Ore]]</f>
        <v>0</v>
      </c>
      <c r="F46" s="94">
        <f ca="1">TblProd[[#This Row],[Gems]]</f>
        <v>0</v>
      </c>
      <c r="G46" s="154"/>
      <c r="H46" s="94">
        <f ca="1">TblMili[[#This Row],[Draftees]]</f>
        <v>419</v>
      </c>
      <c r="I46" s="180">
        <f ca="1">TblPop[[#This Row],[Employment]]</f>
        <v>1</v>
      </c>
      <c r="J46" s="180">
        <f ca="1">TblPop[[#This Row],[Total]]/TblPop[[#This Row],[Net max]]</f>
        <v>1</v>
      </c>
      <c r="K46" s="283">
        <f>TblRezone[[#This Row],[Hour]]</f>
        <v>43</v>
      </c>
      <c r="L46" s="284">
        <f ca="1">TblImps[[#This Row],[Real time]]</f>
        <v>46048.749999999898</v>
      </c>
      <c r="M46" s="61">
        <f>IF(ISERROR(TblImps[[#This Row],[algorithm]]),0,TblImps[[#This Row],[algorithm]]*1)</f>
        <v>0</v>
      </c>
      <c r="N46" s="94">
        <f ca="1">TblImps[[#This Row],[Land]]</f>
        <v>110</v>
      </c>
      <c r="O46" s="285" t="s">
        <v>4</v>
      </c>
      <c r="P46" s="286"/>
      <c r="Q46" s="285" t="s">
        <v>210</v>
      </c>
      <c r="R46" s="285" t="s">
        <v>7</v>
      </c>
      <c r="S46" s="286"/>
      <c r="T46" s="285" t="s">
        <v>210</v>
      </c>
      <c r="U46" s="285" t="s">
        <v>3</v>
      </c>
      <c r="V46" s="286"/>
      <c r="W46" s="285" t="s">
        <v>210</v>
      </c>
      <c r="X46" s="142"/>
      <c r="Y46" s="287">
        <f ca="1">science_cap*(1-EXP(-TblImps[[#This Row],[Σ Science]]/(science_param*(OFFSET(TblImps[[#This Row],[Land]],1,0)-OFFSET(TblExplore[[#This Row],[Land Bonus]],1,0)*20)+15000)))*(1+(mason_bonus*TblConstr[[#This Row],[Tot Mas]]/TblConstr[[#This Row],[Land (2)]]))</f>
        <v>0</v>
      </c>
      <c r="Z46" s="287">
        <f ca="1">keep_cap*(1-EXP(-TblImps[[#This Row],[Σ Keep]]/(keep_param*(OFFSET(TblImps[[#This Row],[Land]],1,0)-OFFSET(TblExplore[[#This Row],[Land Bonus]],1,0)*20)+15000)))*(1+(mason_bonus*TblConstr[[#This Row],[Tot Mas]]/TblConstr[[#This Row],[Land (2)]]))</f>
        <v>0</v>
      </c>
      <c r="AA46" s="287">
        <f ca="1">harbor_towers_cap*(1-EXP(-TblImps[[#This Row],[Σ Spires]]/(towers_param*(OFFSET(TblImps[[#This Row],[Land]],1,0)-OFFSET(TblExplore[[#This Row],[Land Bonus]],1,0)*20)+15000)))*(1+(mason_bonus*TblConstr[[#This Row],[Tot Mas]]/TblConstr[[#This Row],[Land (2)]]))</f>
        <v>0</v>
      </c>
      <c r="AB46" s="287">
        <f ca="1">walls_forges_cap*(1-EXP(-TblImps[[#This Row],[Σ Forges]]/(walls_forges_param*(OFFSET(TblImps[[#This Row],[Land]],1,0)-OFFSET(TblExplore[[#This Row],[Land Bonus]],1,0)*20)+15000)))*(1+(mason_bonus*TblConstr[[#This Row],[Tot Mas]]/TblConstr[[#This Row],[Land (2)]]))</f>
        <v>0</v>
      </c>
      <c r="AC46" s="287">
        <f ca="1">walls_forges_cap*(1-EXP(-TblImps[[#This Row],[Σ Walls]]/(walls_forges_param*(OFFSET(TblImps[[#This Row],[Land]],1,0)-OFFSET(TblExplore[[#This Row],[Land Bonus]],1,0)*20)+15000)))*(1+(mason_bonus*TblConstr[[#This Row],[Tot Mas]]/TblConstr[[#This Row],[Land (2)]]))</f>
        <v>0</v>
      </c>
      <c r="AD46" s="287">
        <f ca="1">harbor_towers_cap*(1-EXP(-TblImps[[#This Row],[Σ Harbor]]/(harbor_towers_param*(OFFSET(TblImps[[#This Row],[Land]],1,0)-OFFSET(TblExplore[[#This Row],[Land Bonus]],1,0)*20)+15000)))*(1+(mason_bonus*TblConstr[[#This Row],[Tot Mas]]/TblConstr[[#This Row],[Land (2)]]))</f>
        <v>0</v>
      </c>
      <c r="AE46" s="142"/>
      <c r="AF46" s="61">
        <f ca="1">(1+Overview!$I$29)*SUM(TblImps[[#This Row],[P2]:[G2]])+OFFSET(TblImps[[#This Row],[Σ Science]],-1,0)</f>
        <v>0</v>
      </c>
      <c r="AG46" s="61">
        <f ca="1">(1+Overview!$I$29)*SUM(TblImps[[#This Row],[P3]:[G3]])+OFFSET(TblImps[[#This Row],[Σ Keep]],-1,0)</f>
        <v>0</v>
      </c>
      <c r="AH46" s="61">
        <f ca="1">(1+Overview!$I$29 + tech_7_1*TblTech[[#This Row],[7-1]])*SUM(TblImps[[#This Row],[P4]:[G4]])+OFFSET(TblImps[[#This Row],[Σ Spires]],-1,0)</f>
        <v>0</v>
      </c>
      <c r="AI46" s="61">
        <f ca="1">(1+Overview!$I$29)*SUM(TblImps[[#This Row],[P5]:[G5]])+OFFSET(TblImps[[#This Row],[Σ Forges]],-1,0)</f>
        <v>0</v>
      </c>
      <c r="AJ46" s="61">
        <f ca="1">(1+Overview!$I$29)*SUM(TblImps[[#This Row],[P6]:[G6]])+OFFSET(TblImps[[#This Row],[Σ Walls]],-1,0)</f>
        <v>0</v>
      </c>
      <c r="AK46" s="61">
        <f ca="1">(1+Overview!$I$29 + tech_7_1*TblTech[[#This Row],[7-1]])*SUM(TblImps[[#This Row],[P7]:[G7]])+OFFSET(TblImps[[#This Row],[Σ Harbor]],-1,0)</f>
        <v>0</v>
      </c>
      <c r="AL46" s="142"/>
      <c r="AM46" s="57">
        <f>IF(AND(TblImps[[#This Row],[Resource]]=AM$2,TblImps[[#This Row],[Part]]&lt;&gt;""),TblImps[[#This Row],[Amount]]) + IF(AND(TblImps[[#This Row],[Resource 2]]=AM$2,TblImps[[#This Row],[Part 2]]&lt;&gt;""),TblImps[[#This Row],[Amount 2]]) + IF(AND(TblImps[[#This Row],[Resource 3]]=AM$2,TblImps[[#This Row],[Part 3]]&lt;&gt;""),TblImps[[#This Row],[Amount 3]])</f>
        <v>0</v>
      </c>
      <c r="AN46" s="57">
        <f>IF(AND(TblImps[[#This Row],[Resource]]=AN$2,TblImps[[#This Row],[Part]]&lt;&gt;""),TblImps[[#This Row],[Amount]]) + IF(AND(TblImps[[#This Row],[Resource 2]]=AN$2,TblImps[[#This Row],[Part 2]]&lt;&gt;""),TblImps[[#This Row],[Amount 2]]) + IF(AND(TblImps[[#This Row],[Resource 3]]=AN$2,TblImps[[#This Row],[Part 3]]&lt;&gt;""),TblImps[[#This Row],[Amount 3]])</f>
        <v>0</v>
      </c>
      <c r="AO46" s="57">
        <f>IF(AND(TblImps[[#This Row],[Resource]]=AO$2,TblImps[[#This Row],[Part]]&lt;&gt;""),TblImps[[#This Row],[Amount]]) + IF(AND(TblImps[[#This Row],[Resource 2]]=AO$2,TblImps[[#This Row],[Part 2]]&lt;&gt;""),TblImps[[#This Row],[Amount 2]]) + IF(AND(TblImps[[#This Row],[Resource 3]]=AO$2,TblImps[[#This Row],[Part 3]]&lt;&gt;""),TblImps[[#This Row],[Amount 3]])</f>
        <v>0</v>
      </c>
      <c r="AP46" s="57">
        <f>IF(AND(TblImps[[#This Row],[Resource]]=AP$2,TblImps[[#This Row],[Part]]&lt;&gt;""),TblImps[[#This Row],[Amount]]) + IF(AND(TblImps[[#This Row],[Resource 2]]=AP$2,TblImps[[#This Row],[Part 2]]&lt;&gt;""),TblImps[[#This Row],[Amount 2]]) + IF(AND(TblImps[[#This Row],[Resource 3]]=AP$2,TblImps[[#This Row],[Part 3]]&lt;&gt;""),TblImps[[#This Row],[Amount 3]])</f>
        <v>0</v>
      </c>
      <c r="AQ46" s="142"/>
      <c r="AR4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6" s="142"/>
      <c r="AW4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6" s="142"/>
      <c r="BB4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6" s="142"/>
      <c r="BG4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6" s="142"/>
      <c r="BL4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6" s="142"/>
      <c r="BQ4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6" s="142"/>
      <c r="BV4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6" s="61">
        <f>TblImps[[#This Row],[Login]]</f>
        <v>0</v>
      </c>
      <c r="BX46" s="137"/>
      <c r="BY46" s="293">
        <f ca="1">OFFSET(TblImps[[#This Row],[Real time]],-1,0)+1/24</f>
        <v>46048.749999999898</v>
      </c>
      <c r="BZ46" s="294">
        <f ca="1">OFFSET(TblImps[[#This Row],[Servertime]],-1,0)+1/24</f>
        <v>46048.749999999898</v>
      </c>
      <c r="CA46" s="57"/>
      <c r="CB46" s="292"/>
      <c r="CC46" s="292"/>
    </row>
    <row r="47" spans="1:82" x14ac:dyDescent="0.2">
      <c r="A47" s="214">
        <f ca="1">TblConstr[[#This Row],[Land]]</f>
        <v>110</v>
      </c>
      <c r="B47" s="142"/>
      <c r="C47" s="94">
        <f ca="1">TblProd[[#This Row],[Platinum]]</f>
        <v>124210</v>
      </c>
      <c r="D47" s="94">
        <f ca="1">TblProd[[#This Row],[Lumber]]</f>
        <v>44825</v>
      </c>
      <c r="E47" s="94">
        <f ca="1">TblProd[[#This Row],[Ore]]</f>
        <v>0</v>
      </c>
      <c r="F47" s="94">
        <f ca="1">TblProd[[#This Row],[Gems]]</f>
        <v>0</v>
      </c>
      <c r="G47" s="154"/>
      <c r="H47" s="94">
        <f ca="1">TblMili[[#This Row],[Draftees]]</f>
        <v>426</v>
      </c>
      <c r="I47" s="180">
        <f ca="1">TblPop[[#This Row],[Employment]]</f>
        <v>1</v>
      </c>
      <c r="J47" s="180">
        <f ca="1">TblPop[[#This Row],[Total]]/TblPop[[#This Row],[Net max]]</f>
        <v>1</v>
      </c>
      <c r="K47" s="283">
        <f>TblRezone[[#This Row],[Hour]]</f>
        <v>44</v>
      </c>
      <c r="L47" s="284">
        <f ca="1">TblImps[[#This Row],[Real time]]</f>
        <v>46048.791666666562</v>
      </c>
      <c r="M47" s="61">
        <f>IF(ISERROR(TblImps[[#This Row],[algorithm]]),0,TblImps[[#This Row],[algorithm]]*1)</f>
        <v>0</v>
      </c>
      <c r="N47" s="94">
        <f ca="1">TblImps[[#This Row],[Land]]</f>
        <v>110</v>
      </c>
      <c r="O47" s="285" t="s">
        <v>4</v>
      </c>
      <c r="P47" s="286"/>
      <c r="Q47" s="285" t="s">
        <v>210</v>
      </c>
      <c r="R47" s="285" t="s">
        <v>7</v>
      </c>
      <c r="S47" s="286"/>
      <c r="T47" s="285" t="s">
        <v>210</v>
      </c>
      <c r="U47" s="285" t="s">
        <v>3</v>
      </c>
      <c r="V47" s="286"/>
      <c r="W47" s="285" t="s">
        <v>210</v>
      </c>
      <c r="X47" s="142"/>
      <c r="Y47" s="287">
        <f ca="1">science_cap*(1-EXP(-TblImps[[#This Row],[Σ Science]]/(science_param*(OFFSET(TblImps[[#This Row],[Land]],1,0)-OFFSET(TblExplore[[#This Row],[Land Bonus]],1,0)*20)+15000)))*(1+(mason_bonus*TblConstr[[#This Row],[Tot Mas]]/TblConstr[[#This Row],[Land (2)]]))</f>
        <v>0</v>
      </c>
      <c r="Z47" s="287">
        <f ca="1">keep_cap*(1-EXP(-TblImps[[#This Row],[Σ Keep]]/(keep_param*(OFFSET(TblImps[[#This Row],[Land]],1,0)-OFFSET(TblExplore[[#This Row],[Land Bonus]],1,0)*20)+15000)))*(1+(mason_bonus*TblConstr[[#This Row],[Tot Mas]]/TblConstr[[#This Row],[Land (2)]]))</f>
        <v>0</v>
      </c>
      <c r="AA47" s="287">
        <f ca="1">harbor_towers_cap*(1-EXP(-TblImps[[#This Row],[Σ Spires]]/(towers_param*(OFFSET(TblImps[[#This Row],[Land]],1,0)-OFFSET(TblExplore[[#This Row],[Land Bonus]],1,0)*20)+15000)))*(1+(mason_bonus*TblConstr[[#This Row],[Tot Mas]]/TblConstr[[#This Row],[Land (2)]]))</f>
        <v>0</v>
      </c>
      <c r="AB47" s="287">
        <f ca="1">walls_forges_cap*(1-EXP(-TblImps[[#This Row],[Σ Forges]]/(walls_forges_param*(OFFSET(TblImps[[#This Row],[Land]],1,0)-OFFSET(TblExplore[[#This Row],[Land Bonus]],1,0)*20)+15000)))*(1+(mason_bonus*TblConstr[[#This Row],[Tot Mas]]/TblConstr[[#This Row],[Land (2)]]))</f>
        <v>0</v>
      </c>
      <c r="AC47" s="287">
        <f ca="1">walls_forges_cap*(1-EXP(-TblImps[[#This Row],[Σ Walls]]/(walls_forges_param*(OFFSET(TblImps[[#This Row],[Land]],1,0)-OFFSET(TblExplore[[#This Row],[Land Bonus]],1,0)*20)+15000)))*(1+(mason_bonus*TblConstr[[#This Row],[Tot Mas]]/TblConstr[[#This Row],[Land (2)]]))</f>
        <v>0</v>
      </c>
      <c r="AD47" s="287">
        <f ca="1">harbor_towers_cap*(1-EXP(-TblImps[[#This Row],[Σ Harbor]]/(harbor_towers_param*(OFFSET(TblImps[[#This Row],[Land]],1,0)-OFFSET(TblExplore[[#This Row],[Land Bonus]],1,0)*20)+15000)))*(1+(mason_bonus*TblConstr[[#This Row],[Tot Mas]]/TblConstr[[#This Row],[Land (2)]]))</f>
        <v>0</v>
      </c>
      <c r="AE47" s="142"/>
      <c r="AF47" s="61">
        <f ca="1">(1+Overview!$I$29)*SUM(TblImps[[#This Row],[P2]:[G2]])+OFFSET(TblImps[[#This Row],[Σ Science]],-1,0)</f>
        <v>0</v>
      </c>
      <c r="AG47" s="61">
        <f ca="1">(1+Overview!$I$29)*SUM(TblImps[[#This Row],[P3]:[G3]])+OFFSET(TblImps[[#This Row],[Σ Keep]],-1,0)</f>
        <v>0</v>
      </c>
      <c r="AH47" s="61">
        <f ca="1">(1+Overview!$I$29 + tech_7_1*TblTech[[#This Row],[7-1]])*SUM(TblImps[[#This Row],[P4]:[G4]])+OFFSET(TblImps[[#This Row],[Σ Spires]],-1,0)</f>
        <v>0</v>
      </c>
      <c r="AI47" s="61">
        <f ca="1">(1+Overview!$I$29)*SUM(TblImps[[#This Row],[P5]:[G5]])+OFFSET(TblImps[[#This Row],[Σ Forges]],-1,0)</f>
        <v>0</v>
      </c>
      <c r="AJ47" s="61">
        <f ca="1">(1+Overview!$I$29)*SUM(TblImps[[#This Row],[P6]:[G6]])+OFFSET(TblImps[[#This Row],[Σ Walls]],-1,0)</f>
        <v>0</v>
      </c>
      <c r="AK47" s="61">
        <f ca="1">(1+Overview!$I$29 + tech_7_1*TblTech[[#This Row],[7-1]])*SUM(TblImps[[#This Row],[P7]:[G7]])+OFFSET(TblImps[[#This Row],[Σ Harbor]],-1,0)</f>
        <v>0</v>
      </c>
      <c r="AL47" s="142"/>
      <c r="AM47" s="57">
        <f>IF(AND(TblImps[[#This Row],[Resource]]=AM$2,TblImps[[#This Row],[Part]]&lt;&gt;""),TblImps[[#This Row],[Amount]]) + IF(AND(TblImps[[#This Row],[Resource 2]]=AM$2,TblImps[[#This Row],[Part 2]]&lt;&gt;""),TblImps[[#This Row],[Amount 2]]) + IF(AND(TblImps[[#This Row],[Resource 3]]=AM$2,TblImps[[#This Row],[Part 3]]&lt;&gt;""),TblImps[[#This Row],[Amount 3]])</f>
        <v>0</v>
      </c>
      <c r="AN47" s="57">
        <f>IF(AND(TblImps[[#This Row],[Resource]]=AN$2,TblImps[[#This Row],[Part]]&lt;&gt;""),TblImps[[#This Row],[Amount]]) + IF(AND(TblImps[[#This Row],[Resource 2]]=AN$2,TblImps[[#This Row],[Part 2]]&lt;&gt;""),TblImps[[#This Row],[Amount 2]]) + IF(AND(TblImps[[#This Row],[Resource 3]]=AN$2,TblImps[[#This Row],[Part 3]]&lt;&gt;""),TblImps[[#This Row],[Amount 3]])</f>
        <v>0</v>
      </c>
      <c r="AO47" s="57">
        <f>IF(AND(TblImps[[#This Row],[Resource]]=AO$2,TblImps[[#This Row],[Part]]&lt;&gt;""),TblImps[[#This Row],[Amount]]) + IF(AND(TblImps[[#This Row],[Resource 2]]=AO$2,TblImps[[#This Row],[Part 2]]&lt;&gt;""),TblImps[[#This Row],[Amount 2]]) + IF(AND(TblImps[[#This Row],[Resource 3]]=AO$2,TblImps[[#This Row],[Part 3]]&lt;&gt;""),TblImps[[#This Row],[Amount 3]])</f>
        <v>0</v>
      </c>
      <c r="AP47" s="57">
        <f>IF(AND(TblImps[[#This Row],[Resource]]=AP$2,TblImps[[#This Row],[Part]]&lt;&gt;""),TblImps[[#This Row],[Amount]]) + IF(AND(TblImps[[#This Row],[Resource 2]]=AP$2,TblImps[[#This Row],[Part 2]]&lt;&gt;""),TblImps[[#This Row],[Amount 2]]) + IF(AND(TblImps[[#This Row],[Resource 3]]=AP$2,TblImps[[#This Row],[Part 3]]&lt;&gt;""),TblImps[[#This Row],[Amount 3]])</f>
        <v>0</v>
      </c>
      <c r="AQ47" s="142"/>
      <c r="AR4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7" s="142"/>
      <c r="AW4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7" s="142"/>
      <c r="BB4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7" s="142"/>
      <c r="BG4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7" s="142"/>
      <c r="BL4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7" s="142"/>
      <c r="BQ4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7" s="142"/>
      <c r="BV4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7" s="61">
        <f>TblImps[[#This Row],[Login]]</f>
        <v>0</v>
      </c>
      <c r="BX47" s="137"/>
      <c r="BY47" s="293">
        <f ca="1">OFFSET(TblImps[[#This Row],[Real time]],-1,0)+1/24</f>
        <v>46048.791666666562</v>
      </c>
      <c r="BZ47" s="294">
        <f ca="1">OFFSET(TblImps[[#This Row],[Servertime]],-1,0)+1/24</f>
        <v>46048.791666666562</v>
      </c>
      <c r="CA47" s="57"/>
      <c r="CB47" s="292"/>
      <c r="CC47" s="292"/>
    </row>
    <row r="48" spans="1:82" x14ac:dyDescent="0.2">
      <c r="A48" s="214">
        <f ca="1">TblConstr[[#This Row],[Land]]</f>
        <v>110</v>
      </c>
      <c r="B48" s="142"/>
      <c r="C48" s="94">
        <f ca="1">TblProd[[#This Row],[Platinum]]</f>
        <v>125965</v>
      </c>
      <c r="D48" s="94">
        <f ca="1">TblProd[[#This Row],[Lumber]]</f>
        <v>45377</v>
      </c>
      <c r="E48" s="94">
        <f ca="1">TblProd[[#This Row],[Ore]]</f>
        <v>0</v>
      </c>
      <c r="F48" s="94">
        <f ca="1">TblProd[[#This Row],[Gems]]</f>
        <v>0</v>
      </c>
      <c r="G48" s="154"/>
      <c r="H48" s="94">
        <f ca="1">TblMili[[#This Row],[Draftees]]</f>
        <v>433</v>
      </c>
      <c r="I48" s="180">
        <f ca="1">TblPop[[#This Row],[Employment]]</f>
        <v>1</v>
      </c>
      <c r="J48" s="180">
        <f ca="1">TblPop[[#This Row],[Total]]/TblPop[[#This Row],[Net max]]</f>
        <v>1</v>
      </c>
      <c r="K48" s="283">
        <f>TblRezone[[#This Row],[Hour]]</f>
        <v>45</v>
      </c>
      <c r="L48" s="284">
        <f ca="1">TblImps[[#This Row],[Real time]]</f>
        <v>46048.833333333227</v>
      </c>
      <c r="M48" s="61">
        <f>IF(ISERROR(TblImps[[#This Row],[algorithm]]),0,TblImps[[#This Row],[algorithm]]*1)</f>
        <v>0</v>
      </c>
      <c r="N48" s="94">
        <f ca="1">TblImps[[#This Row],[Land]]</f>
        <v>110</v>
      </c>
      <c r="O48" s="285" t="s">
        <v>4</v>
      </c>
      <c r="P48" s="286"/>
      <c r="Q48" s="285" t="s">
        <v>210</v>
      </c>
      <c r="R48" s="285" t="s">
        <v>7</v>
      </c>
      <c r="S48" s="286"/>
      <c r="T48" s="285" t="s">
        <v>210</v>
      </c>
      <c r="U48" s="285" t="s">
        <v>3</v>
      </c>
      <c r="V48" s="286"/>
      <c r="W48" s="285" t="s">
        <v>210</v>
      </c>
      <c r="X48" s="142"/>
      <c r="Y48" s="287">
        <f ca="1">science_cap*(1-EXP(-TblImps[[#This Row],[Σ Science]]/(science_param*(OFFSET(TblImps[[#This Row],[Land]],1,0)-OFFSET(TblExplore[[#This Row],[Land Bonus]],1,0)*20)+15000)))*(1+(mason_bonus*TblConstr[[#This Row],[Tot Mas]]/TblConstr[[#This Row],[Land (2)]]))</f>
        <v>0</v>
      </c>
      <c r="Z48" s="287">
        <f ca="1">keep_cap*(1-EXP(-TblImps[[#This Row],[Σ Keep]]/(keep_param*(OFFSET(TblImps[[#This Row],[Land]],1,0)-OFFSET(TblExplore[[#This Row],[Land Bonus]],1,0)*20)+15000)))*(1+(mason_bonus*TblConstr[[#This Row],[Tot Mas]]/TblConstr[[#This Row],[Land (2)]]))</f>
        <v>0</v>
      </c>
      <c r="AA48" s="287">
        <f ca="1">harbor_towers_cap*(1-EXP(-TblImps[[#This Row],[Σ Spires]]/(towers_param*(OFFSET(TblImps[[#This Row],[Land]],1,0)-OFFSET(TblExplore[[#This Row],[Land Bonus]],1,0)*20)+15000)))*(1+(mason_bonus*TblConstr[[#This Row],[Tot Mas]]/TblConstr[[#This Row],[Land (2)]]))</f>
        <v>0</v>
      </c>
      <c r="AB48" s="287">
        <f ca="1">walls_forges_cap*(1-EXP(-TblImps[[#This Row],[Σ Forges]]/(walls_forges_param*(OFFSET(TblImps[[#This Row],[Land]],1,0)-OFFSET(TblExplore[[#This Row],[Land Bonus]],1,0)*20)+15000)))*(1+(mason_bonus*TblConstr[[#This Row],[Tot Mas]]/TblConstr[[#This Row],[Land (2)]]))</f>
        <v>0</v>
      </c>
      <c r="AC48" s="287">
        <f ca="1">walls_forges_cap*(1-EXP(-TblImps[[#This Row],[Σ Walls]]/(walls_forges_param*(OFFSET(TblImps[[#This Row],[Land]],1,0)-OFFSET(TblExplore[[#This Row],[Land Bonus]],1,0)*20)+15000)))*(1+(mason_bonus*TblConstr[[#This Row],[Tot Mas]]/TblConstr[[#This Row],[Land (2)]]))</f>
        <v>0</v>
      </c>
      <c r="AD48" s="287">
        <f ca="1">harbor_towers_cap*(1-EXP(-TblImps[[#This Row],[Σ Harbor]]/(harbor_towers_param*(OFFSET(TblImps[[#This Row],[Land]],1,0)-OFFSET(TblExplore[[#This Row],[Land Bonus]],1,0)*20)+15000)))*(1+(mason_bonus*TblConstr[[#This Row],[Tot Mas]]/TblConstr[[#This Row],[Land (2)]]))</f>
        <v>0</v>
      </c>
      <c r="AE48" s="142"/>
      <c r="AF48" s="61">
        <f ca="1">(1+Overview!$I$29)*SUM(TblImps[[#This Row],[P2]:[G2]])+OFFSET(TblImps[[#This Row],[Σ Science]],-1,0)</f>
        <v>0</v>
      </c>
      <c r="AG48" s="61">
        <f ca="1">(1+Overview!$I$29)*SUM(TblImps[[#This Row],[P3]:[G3]])+OFFSET(TblImps[[#This Row],[Σ Keep]],-1,0)</f>
        <v>0</v>
      </c>
      <c r="AH48" s="61">
        <f ca="1">(1+Overview!$I$29 + tech_7_1*TblTech[[#This Row],[7-1]])*SUM(TblImps[[#This Row],[P4]:[G4]])+OFFSET(TblImps[[#This Row],[Σ Spires]],-1,0)</f>
        <v>0</v>
      </c>
      <c r="AI48" s="61">
        <f ca="1">(1+Overview!$I$29)*SUM(TblImps[[#This Row],[P5]:[G5]])+OFFSET(TblImps[[#This Row],[Σ Forges]],-1,0)</f>
        <v>0</v>
      </c>
      <c r="AJ48" s="61">
        <f ca="1">(1+Overview!$I$29)*SUM(TblImps[[#This Row],[P6]:[G6]])+OFFSET(TblImps[[#This Row],[Σ Walls]],-1,0)</f>
        <v>0</v>
      </c>
      <c r="AK48" s="61">
        <f ca="1">(1+Overview!$I$29 + tech_7_1*TblTech[[#This Row],[7-1]])*SUM(TblImps[[#This Row],[P7]:[G7]])+OFFSET(TblImps[[#This Row],[Σ Harbor]],-1,0)</f>
        <v>0</v>
      </c>
      <c r="AL48" s="142"/>
      <c r="AM48" s="57">
        <f>IF(AND(TblImps[[#This Row],[Resource]]=AM$2,TblImps[[#This Row],[Part]]&lt;&gt;""),TblImps[[#This Row],[Amount]]) + IF(AND(TblImps[[#This Row],[Resource 2]]=AM$2,TblImps[[#This Row],[Part 2]]&lt;&gt;""),TblImps[[#This Row],[Amount 2]]) + IF(AND(TblImps[[#This Row],[Resource 3]]=AM$2,TblImps[[#This Row],[Part 3]]&lt;&gt;""),TblImps[[#This Row],[Amount 3]])</f>
        <v>0</v>
      </c>
      <c r="AN48" s="57">
        <f>IF(AND(TblImps[[#This Row],[Resource]]=AN$2,TblImps[[#This Row],[Part]]&lt;&gt;""),TblImps[[#This Row],[Amount]]) + IF(AND(TblImps[[#This Row],[Resource 2]]=AN$2,TblImps[[#This Row],[Part 2]]&lt;&gt;""),TblImps[[#This Row],[Amount 2]]) + IF(AND(TblImps[[#This Row],[Resource 3]]=AN$2,TblImps[[#This Row],[Part 3]]&lt;&gt;""),TblImps[[#This Row],[Amount 3]])</f>
        <v>0</v>
      </c>
      <c r="AO48" s="57">
        <f>IF(AND(TblImps[[#This Row],[Resource]]=AO$2,TblImps[[#This Row],[Part]]&lt;&gt;""),TblImps[[#This Row],[Amount]]) + IF(AND(TblImps[[#This Row],[Resource 2]]=AO$2,TblImps[[#This Row],[Part 2]]&lt;&gt;""),TblImps[[#This Row],[Amount 2]]) + IF(AND(TblImps[[#This Row],[Resource 3]]=AO$2,TblImps[[#This Row],[Part 3]]&lt;&gt;""),TblImps[[#This Row],[Amount 3]])</f>
        <v>0</v>
      </c>
      <c r="AP48" s="57">
        <f>IF(AND(TblImps[[#This Row],[Resource]]=AP$2,TblImps[[#This Row],[Part]]&lt;&gt;""),TblImps[[#This Row],[Amount]]) + IF(AND(TblImps[[#This Row],[Resource 2]]=AP$2,TblImps[[#This Row],[Part 2]]&lt;&gt;""),TblImps[[#This Row],[Amount 2]]) + IF(AND(TblImps[[#This Row],[Resource 3]]=AP$2,TblImps[[#This Row],[Part 3]]&lt;&gt;""),TblImps[[#This Row],[Amount 3]])</f>
        <v>0</v>
      </c>
      <c r="AQ48" s="142"/>
      <c r="AR4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8" s="142"/>
      <c r="AW4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8" s="142"/>
      <c r="BB4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8" s="142"/>
      <c r="BG4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8" s="142"/>
      <c r="BL4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8" s="142"/>
      <c r="BQ4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8" s="142"/>
      <c r="BV4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8" s="61">
        <f>TblImps[[#This Row],[Login]]</f>
        <v>0</v>
      </c>
      <c r="BX48" s="137"/>
      <c r="BY48" s="293">
        <f ca="1">OFFSET(TblImps[[#This Row],[Real time]],-1,0)+1/24</f>
        <v>46048.833333333227</v>
      </c>
      <c r="BZ48" s="294">
        <f ca="1">OFFSET(TblImps[[#This Row],[Servertime]],-1,0)+1/24</f>
        <v>46048.833333333227</v>
      </c>
      <c r="CA48" s="57"/>
      <c r="CB48" s="292"/>
      <c r="CC48" s="292"/>
    </row>
    <row r="49" spans="1:81" x14ac:dyDescent="0.2">
      <c r="A49" s="214">
        <f ca="1">TblConstr[[#This Row],[Land]]</f>
        <v>110</v>
      </c>
      <c r="B49" s="142"/>
      <c r="C49" s="94">
        <f ca="1">TblProd[[#This Row],[Platinum]]</f>
        <v>127701</v>
      </c>
      <c r="D49" s="94">
        <f ca="1">TblProd[[#This Row],[Lumber]]</f>
        <v>45923</v>
      </c>
      <c r="E49" s="94">
        <f ca="1">TblProd[[#This Row],[Ore]]</f>
        <v>0</v>
      </c>
      <c r="F49" s="94">
        <f ca="1">TblProd[[#This Row],[Gems]]</f>
        <v>0</v>
      </c>
      <c r="G49" s="154"/>
      <c r="H49" s="94">
        <f ca="1">TblMili[[#This Row],[Draftees]]</f>
        <v>439</v>
      </c>
      <c r="I49" s="180">
        <f ca="1">TblPop[[#This Row],[Employment]]</f>
        <v>1</v>
      </c>
      <c r="J49" s="180">
        <f ca="1">TblPop[[#This Row],[Total]]/TblPop[[#This Row],[Net max]]</f>
        <v>1</v>
      </c>
      <c r="K49" s="283">
        <f>TblRezone[[#This Row],[Hour]]</f>
        <v>46</v>
      </c>
      <c r="L49" s="284">
        <f ca="1">TblImps[[#This Row],[Real time]]</f>
        <v>46048.874999999891</v>
      </c>
      <c r="M49" s="61">
        <f>IF(ISERROR(TblImps[[#This Row],[algorithm]]),0,TblImps[[#This Row],[algorithm]]*1)</f>
        <v>0</v>
      </c>
      <c r="N49" s="94">
        <f ca="1">TblImps[[#This Row],[Land]]</f>
        <v>110</v>
      </c>
      <c r="O49" s="285" t="s">
        <v>4</v>
      </c>
      <c r="P49" s="286"/>
      <c r="Q49" s="285" t="s">
        <v>210</v>
      </c>
      <c r="R49" s="285" t="s">
        <v>7</v>
      </c>
      <c r="S49" s="286"/>
      <c r="T49" s="285" t="s">
        <v>210</v>
      </c>
      <c r="U49" s="285" t="s">
        <v>3</v>
      </c>
      <c r="V49" s="286"/>
      <c r="W49" s="285" t="s">
        <v>210</v>
      </c>
      <c r="X49" s="142"/>
      <c r="Y49" s="287">
        <f ca="1">science_cap*(1-EXP(-TblImps[[#This Row],[Σ Science]]/(science_param*(OFFSET(TblImps[[#This Row],[Land]],1,0)-OFFSET(TblExplore[[#This Row],[Land Bonus]],1,0)*20)+15000)))*(1+(mason_bonus*TblConstr[[#This Row],[Tot Mas]]/TblConstr[[#This Row],[Land (2)]]))</f>
        <v>0</v>
      </c>
      <c r="Z49" s="287">
        <f ca="1">keep_cap*(1-EXP(-TblImps[[#This Row],[Σ Keep]]/(keep_param*(OFFSET(TblImps[[#This Row],[Land]],1,0)-OFFSET(TblExplore[[#This Row],[Land Bonus]],1,0)*20)+15000)))*(1+(mason_bonus*TblConstr[[#This Row],[Tot Mas]]/TblConstr[[#This Row],[Land (2)]]))</f>
        <v>0</v>
      </c>
      <c r="AA49" s="287">
        <f ca="1">harbor_towers_cap*(1-EXP(-TblImps[[#This Row],[Σ Spires]]/(towers_param*(OFFSET(TblImps[[#This Row],[Land]],1,0)-OFFSET(TblExplore[[#This Row],[Land Bonus]],1,0)*20)+15000)))*(1+(mason_bonus*TblConstr[[#This Row],[Tot Mas]]/TblConstr[[#This Row],[Land (2)]]))</f>
        <v>0</v>
      </c>
      <c r="AB49" s="287">
        <f ca="1">walls_forges_cap*(1-EXP(-TblImps[[#This Row],[Σ Forges]]/(walls_forges_param*(OFFSET(TblImps[[#This Row],[Land]],1,0)-OFFSET(TblExplore[[#This Row],[Land Bonus]],1,0)*20)+15000)))*(1+(mason_bonus*TblConstr[[#This Row],[Tot Mas]]/TblConstr[[#This Row],[Land (2)]]))</f>
        <v>0</v>
      </c>
      <c r="AC49" s="287">
        <f ca="1">walls_forges_cap*(1-EXP(-TblImps[[#This Row],[Σ Walls]]/(walls_forges_param*(OFFSET(TblImps[[#This Row],[Land]],1,0)-OFFSET(TblExplore[[#This Row],[Land Bonus]],1,0)*20)+15000)))*(1+(mason_bonus*TblConstr[[#This Row],[Tot Mas]]/TblConstr[[#This Row],[Land (2)]]))</f>
        <v>0</v>
      </c>
      <c r="AD49" s="287">
        <f ca="1">harbor_towers_cap*(1-EXP(-TblImps[[#This Row],[Σ Harbor]]/(harbor_towers_param*(OFFSET(TblImps[[#This Row],[Land]],1,0)-OFFSET(TblExplore[[#This Row],[Land Bonus]],1,0)*20)+15000)))*(1+(mason_bonus*TblConstr[[#This Row],[Tot Mas]]/TblConstr[[#This Row],[Land (2)]]))</f>
        <v>0</v>
      </c>
      <c r="AE49" s="142"/>
      <c r="AF49" s="61">
        <f ca="1">(1+Overview!$I$29)*SUM(TblImps[[#This Row],[P2]:[G2]])+OFFSET(TblImps[[#This Row],[Σ Science]],-1,0)</f>
        <v>0</v>
      </c>
      <c r="AG49" s="61">
        <f ca="1">(1+Overview!$I$29)*SUM(TblImps[[#This Row],[P3]:[G3]])+OFFSET(TblImps[[#This Row],[Σ Keep]],-1,0)</f>
        <v>0</v>
      </c>
      <c r="AH49" s="61">
        <f ca="1">(1+Overview!$I$29 + tech_7_1*TblTech[[#This Row],[7-1]])*SUM(TblImps[[#This Row],[P4]:[G4]])+OFFSET(TblImps[[#This Row],[Σ Spires]],-1,0)</f>
        <v>0</v>
      </c>
      <c r="AI49" s="61">
        <f ca="1">(1+Overview!$I$29)*SUM(TblImps[[#This Row],[P5]:[G5]])+OFFSET(TblImps[[#This Row],[Σ Forges]],-1,0)</f>
        <v>0</v>
      </c>
      <c r="AJ49" s="61">
        <f ca="1">(1+Overview!$I$29)*SUM(TblImps[[#This Row],[P6]:[G6]])+OFFSET(TblImps[[#This Row],[Σ Walls]],-1,0)</f>
        <v>0</v>
      </c>
      <c r="AK49" s="61">
        <f ca="1">(1+Overview!$I$29 + tech_7_1*TblTech[[#This Row],[7-1]])*SUM(TblImps[[#This Row],[P7]:[G7]])+OFFSET(TblImps[[#This Row],[Σ Harbor]],-1,0)</f>
        <v>0</v>
      </c>
      <c r="AL49" s="142"/>
      <c r="AM49" s="57">
        <f>IF(AND(TblImps[[#This Row],[Resource]]=AM$2,TblImps[[#This Row],[Part]]&lt;&gt;""),TblImps[[#This Row],[Amount]]) + IF(AND(TblImps[[#This Row],[Resource 2]]=AM$2,TblImps[[#This Row],[Part 2]]&lt;&gt;""),TblImps[[#This Row],[Amount 2]]) + IF(AND(TblImps[[#This Row],[Resource 3]]=AM$2,TblImps[[#This Row],[Part 3]]&lt;&gt;""),TblImps[[#This Row],[Amount 3]])</f>
        <v>0</v>
      </c>
      <c r="AN49" s="57">
        <f>IF(AND(TblImps[[#This Row],[Resource]]=AN$2,TblImps[[#This Row],[Part]]&lt;&gt;""),TblImps[[#This Row],[Amount]]) + IF(AND(TblImps[[#This Row],[Resource 2]]=AN$2,TblImps[[#This Row],[Part 2]]&lt;&gt;""),TblImps[[#This Row],[Amount 2]]) + IF(AND(TblImps[[#This Row],[Resource 3]]=AN$2,TblImps[[#This Row],[Part 3]]&lt;&gt;""),TblImps[[#This Row],[Amount 3]])</f>
        <v>0</v>
      </c>
      <c r="AO49" s="57">
        <f>IF(AND(TblImps[[#This Row],[Resource]]=AO$2,TblImps[[#This Row],[Part]]&lt;&gt;""),TblImps[[#This Row],[Amount]]) + IF(AND(TblImps[[#This Row],[Resource 2]]=AO$2,TblImps[[#This Row],[Part 2]]&lt;&gt;""),TblImps[[#This Row],[Amount 2]]) + IF(AND(TblImps[[#This Row],[Resource 3]]=AO$2,TblImps[[#This Row],[Part 3]]&lt;&gt;""),TblImps[[#This Row],[Amount 3]])</f>
        <v>0</v>
      </c>
      <c r="AP49" s="57">
        <f>IF(AND(TblImps[[#This Row],[Resource]]=AP$2,TblImps[[#This Row],[Part]]&lt;&gt;""),TblImps[[#This Row],[Amount]]) + IF(AND(TblImps[[#This Row],[Resource 2]]=AP$2,TblImps[[#This Row],[Part 2]]&lt;&gt;""),TblImps[[#This Row],[Amount 2]]) + IF(AND(TblImps[[#This Row],[Resource 3]]=AP$2,TblImps[[#This Row],[Part 3]]&lt;&gt;""),TblImps[[#This Row],[Amount 3]])</f>
        <v>0</v>
      </c>
      <c r="AQ49" s="142"/>
      <c r="AR4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4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4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4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49" s="142"/>
      <c r="AW4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4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4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4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49" s="142"/>
      <c r="BB4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4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4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4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49" s="142"/>
      <c r="BG4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4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4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4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49" s="142"/>
      <c r="BL4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4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4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4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49" s="142"/>
      <c r="BQ4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4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4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4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49" s="142"/>
      <c r="BV4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49" s="61">
        <f>TblImps[[#This Row],[Login]]</f>
        <v>0</v>
      </c>
      <c r="BX49" s="137"/>
      <c r="BY49" s="293">
        <f ca="1">OFFSET(TblImps[[#This Row],[Real time]],-1,0)+1/24</f>
        <v>46048.874999999891</v>
      </c>
      <c r="BZ49" s="294">
        <f ca="1">OFFSET(TblImps[[#This Row],[Servertime]],-1,0)+1/24</f>
        <v>46048.874999999891</v>
      </c>
      <c r="CA49" s="57"/>
      <c r="CB49" s="292"/>
      <c r="CC49" s="292"/>
    </row>
    <row r="50" spans="1:81" x14ac:dyDescent="0.2">
      <c r="A50" s="214">
        <f ca="1">TblConstr[[#This Row],[Land]]</f>
        <v>110</v>
      </c>
      <c r="B50" s="142"/>
      <c r="C50" s="94">
        <f ca="1">TblProd[[#This Row],[Platinum]]</f>
        <v>129420</v>
      </c>
      <c r="D50" s="94">
        <f ca="1">TblProd[[#This Row],[Lumber]]</f>
        <v>46464</v>
      </c>
      <c r="E50" s="94">
        <f ca="1">TblProd[[#This Row],[Ore]]</f>
        <v>0</v>
      </c>
      <c r="F50" s="94">
        <f ca="1">TblProd[[#This Row],[Gems]]</f>
        <v>0</v>
      </c>
      <c r="G50" s="154"/>
      <c r="H50" s="94">
        <f ca="1">TblMili[[#This Row],[Draftees]]</f>
        <v>445</v>
      </c>
      <c r="I50" s="180">
        <f ca="1">TblPop[[#This Row],[Employment]]</f>
        <v>1</v>
      </c>
      <c r="J50" s="180">
        <f ca="1">TblPop[[#This Row],[Total]]/TblPop[[#This Row],[Net max]]</f>
        <v>1</v>
      </c>
      <c r="K50" s="283">
        <f>TblRezone[[#This Row],[Hour]]</f>
        <v>47</v>
      </c>
      <c r="L50" s="284">
        <f ca="1">TblImps[[#This Row],[Real time]]</f>
        <v>46048.916666666555</v>
      </c>
      <c r="M50" s="61">
        <f>IF(ISERROR(TblImps[[#This Row],[algorithm]]),0,TblImps[[#This Row],[algorithm]]*1)</f>
        <v>0</v>
      </c>
      <c r="N50" s="94">
        <f ca="1">TblImps[[#This Row],[Land]]</f>
        <v>110</v>
      </c>
      <c r="O50" s="285" t="s">
        <v>4</v>
      </c>
      <c r="P50" s="286"/>
      <c r="Q50" s="285" t="s">
        <v>210</v>
      </c>
      <c r="R50" s="285" t="s">
        <v>7</v>
      </c>
      <c r="S50" s="286"/>
      <c r="T50" s="285" t="s">
        <v>210</v>
      </c>
      <c r="U50" s="285" t="s">
        <v>3</v>
      </c>
      <c r="V50" s="286"/>
      <c r="W50" s="285" t="s">
        <v>210</v>
      </c>
      <c r="X50" s="142"/>
      <c r="Y50" s="287">
        <f ca="1">science_cap*(1-EXP(-TblImps[[#This Row],[Σ Science]]/(science_param*(OFFSET(TblImps[[#This Row],[Land]],1,0)-OFFSET(TblExplore[[#This Row],[Land Bonus]],1,0)*20)+15000)))*(1+(mason_bonus*TblConstr[[#This Row],[Tot Mas]]/TblConstr[[#This Row],[Land (2)]]))</f>
        <v>0</v>
      </c>
      <c r="Z50" s="287">
        <f ca="1">keep_cap*(1-EXP(-TblImps[[#This Row],[Σ Keep]]/(keep_param*(OFFSET(TblImps[[#This Row],[Land]],1,0)-OFFSET(TblExplore[[#This Row],[Land Bonus]],1,0)*20)+15000)))*(1+(mason_bonus*TblConstr[[#This Row],[Tot Mas]]/TblConstr[[#This Row],[Land (2)]]))</f>
        <v>0</v>
      </c>
      <c r="AA50" s="287">
        <f ca="1">harbor_towers_cap*(1-EXP(-TblImps[[#This Row],[Σ Spires]]/(towers_param*(OFFSET(TblImps[[#This Row],[Land]],1,0)-OFFSET(TblExplore[[#This Row],[Land Bonus]],1,0)*20)+15000)))*(1+(mason_bonus*TblConstr[[#This Row],[Tot Mas]]/TblConstr[[#This Row],[Land (2)]]))</f>
        <v>0</v>
      </c>
      <c r="AB50" s="287">
        <f ca="1">walls_forges_cap*(1-EXP(-TblImps[[#This Row],[Σ Forges]]/(walls_forges_param*(OFFSET(TblImps[[#This Row],[Land]],1,0)-OFFSET(TblExplore[[#This Row],[Land Bonus]],1,0)*20)+15000)))*(1+(mason_bonus*TblConstr[[#This Row],[Tot Mas]]/TblConstr[[#This Row],[Land (2)]]))</f>
        <v>0</v>
      </c>
      <c r="AC50" s="287">
        <f ca="1">walls_forges_cap*(1-EXP(-TblImps[[#This Row],[Σ Walls]]/(walls_forges_param*(OFFSET(TblImps[[#This Row],[Land]],1,0)-OFFSET(TblExplore[[#This Row],[Land Bonus]],1,0)*20)+15000)))*(1+(mason_bonus*TblConstr[[#This Row],[Tot Mas]]/TblConstr[[#This Row],[Land (2)]]))</f>
        <v>0</v>
      </c>
      <c r="AD50" s="287">
        <f ca="1">harbor_towers_cap*(1-EXP(-TblImps[[#This Row],[Σ Harbor]]/(harbor_towers_param*(OFFSET(TblImps[[#This Row],[Land]],1,0)-OFFSET(TblExplore[[#This Row],[Land Bonus]],1,0)*20)+15000)))*(1+(mason_bonus*TblConstr[[#This Row],[Tot Mas]]/TblConstr[[#This Row],[Land (2)]]))</f>
        <v>0</v>
      </c>
      <c r="AE50" s="142"/>
      <c r="AF50" s="61">
        <f ca="1">(1+Overview!$I$29)*SUM(TblImps[[#This Row],[P2]:[G2]])+OFFSET(TblImps[[#This Row],[Σ Science]],-1,0)</f>
        <v>0</v>
      </c>
      <c r="AG50" s="61">
        <f ca="1">(1+Overview!$I$29)*SUM(TblImps[[#This Row],[P3]:[G3]])+OFFSET(TblImps[[#This Row],[Σ Keep]],-1,0)</f>
        <v>0</v>
      </c>
      <c r="AH50" s="61">
        <f ca="1">(1+Overview!$I$29 + tech_7_1*TblTech[[#This Row],[7-1]])*SUM(TblImps[[#This Row],[P4]:[G4]])+OFFSET(TblImps[[#This Row],[Σ Spires]],-1,0)</f>
        <v>0</v>
      </c>
      <c r="AI50" s="61">
        <f ca="1">(1+Overview!$I$29)*SUM(TblImps[[#This Row],[P5]:[G5]])+OFFSET(TblImps[[#This Row],[Σ Forges]],-1,0)</f>
        <v>0</v>
      </c>
      <c r="AJ50" s="61">
        <f ca="1">(1+Overview!$I$29)*SUM(TblImps[[#This Row],[P6]:[G6]])+OFFSET(TblImps[[#This Row],[Σ Walls]],-1,0)</f>
        <v>0</v>
      </c>
      <c r="AK50" s="61">
        <f ca="1">(1+Overview!$I$29 + tech_7_1*TblTech[[#This Row],[7-1]])*SUM(TblImps[[#This Row],[P7]:[G7]])+OFFSET(TblImps[[#This Row],[Σ Harbor]],-1,0)</f>
        <v>0</v>
      </c>
      <c r="AL50" s="142"/>
      <c r="AM50" s="57">
        <f>IF(AND(TblImps[[#This Row],[Resource]]=AM$2,TblImps[[#This Row],[Part]]&lt;&gt;""),TblImps[[#This Row],[Amount]]) + IF(AND(TblImps[[#This Row],[Resource 2]]=AM$2,TblImps[[#This Row],[Part 2]]&lt;&gt;""),TblImps[[#This Row],[Amount 2]]) + IF(AND(TblImps[[#This Row],[Resource 3]]=AM$2,TblImps[[#This Row],[Part 3]]&lt;&gt;""),TblImps[[#This Row],[Amount 3]])</f>
        <v>0</v>
      </c>
      <c r="AN50" s="57">
        <f>IF(AND(TblImps[[#This Row],[Resource]]=AN$2,TblImps[[#This Row],[Part]]&lt;&gt;""),TblImps[[#This Row],[Amount]]) + IF(AND(TblImps[[#This Row],[Resource 2]]=AN$2,TblImps[[#This Row],[Part 2]]&lt;&gt;""),TblImps[[#This Row],[Amount 2]]) + IF(AND(TblImps[[#This Row],[Resource 3]]=AN$2,TblImps[[#This Row],[Part 3]]&lt;&gt;""),TblImps[[#This Row],[Amount 3]])</f>
        <v>0</v>
      </c>
      <c r="AO50" s="57">
        <f>IF(AND(TblImps[[#This Row],[Resource]]=AO$2,TblImps[[#This Row],[Part]]&lt;&gt;""),TblImps[[#This Row],[Amount]]) + IF(AND(TblImps[[#This Row],[Resource 2]]=AO$2,TblImps[[#This Row],[Part 2]]&lt;&gt;""),TblImps[[#This Row],[Amount 2]]) + IF(AND(TblImps[[#This Row],[Resource 3]]=AO$2,TblImps[[#This Row],[Part 3]]&lt;&gt;""),TblImps[[#This Row],[Amount 3]])</f>
        <v>0</v>
      </c>
      <c r="AP50" s="57">
        <f>IF(AND(TblImps[[#This Row],[Resource]]=AP$2,TblImps[[#This Row],[Part]]&lt;&gt;""),TblImps[[#This Row],[Amount]]) + IF(AND(TblImps[[#This Row],[Resource 2]]=AP$2,TblImps[[#This Row],[Part 2]]&lt;&gt;""),TblImps[[#This Row],[Amount 2]]) + IF(AND(TblImps[[#This Row],[Resource 3]]=AP$2,TblImps[[#This Row],[Part 3]]&lt;&gt;""),TblImps[[#This Row],[Amount 3]])</f>
        <v>0</v>
      </c>
      <c r="AQ50" s="142"/>
      <c r="AR5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0" s="142"/>
      <c r="AW5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0" s="142"/>
      <c r="BB5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0" s="142"/>
      <c r="BG5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0" s="142"/>
      <c r="BL5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0" s="142"/>
      <c r="BQ5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0" s="142"/>
      <c r="BV5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0" s="61">
        <f>TblImps[[#This Row],[Login]]</f>
        <v>0</v>
      </c>
      <c r="BX50" s="137"/>
      <c r="BY50" s="293">
        <f ca="1">OFFSET(TblImps[[#This Row],[Real time]],-1,0)+1/24</f>
        <v>46048.916666666555</v>
      </c>
      <c r="BZ50" s="294">
        <f ca="1">OFFSET(TblImps[[#This Row],[Servertime]],-1,0)+1/24</f>
        <v>46048.916666666555</v>
      </c>
      <c r="CA50" s="57"/>
      <c r="CB50" s="292"/>
      <c r="CC50" s="292"/>
    </row>
    <row r="51" spans="1:81" x14ac:dyDescent="0.2">
      <c r="A51" s="214">
        <f ca="1">TblConstr[[#This Row],[Land]]</f>
        <v>110</v>
      </c>
      <c r="B51" s="142"/>
      <c r="C51" s="94">
        <f ca="1">TblProd[[#This Row],[Platinum]]</f>
        <v>131123</v>
      </c>
      <c r="D51" s="94">
        <f ca="1">TblProd[[#This Row],[Lumber]]</f>
        <v>46999</v>
      </c>
      <c r="E51" s="94">
        <f ca="1">TblProd[[#This Row],[Ore]]</f>
        <v>0</v>
      </c>
      <c r="F51" s="94">
        <f ca="1">TblProd[[#This Row],[Gems]]</f>
        <v>0</v>
      </c>
      <c r="G51" s="154"/>
      <c r="H51" s="94">
        <f ca="1">TblMili[[#This Row],[Draftees]]</f>
        <v>451</v>
      </c>
      <c r="I51" s="180">
        <f ca="1">TblPop[[#This Row],[Employment]]</f>
        <v>1</v>
      </c>
      <c r="J51" s="180">
        <f ca="1">TblPop[[#This Row],[Total]]/TblPop[[#This Row],[Net max]]</f>
        <v>1</v>
      </c>
      <c r="K51" s="283">
        <f>TblRezone[[#This Row],[Hour]]</f>
        <v>48</v>
      </c>
      <c r="L51" s="284">
        <f ca="1">TblImps[[#This Row],[Real time]]</f>
        <v>46048.958333333219</v>
      </c>
      <c r="M51" s="61">
        <f>IF(ISERROR(TblImps[[#This Row],[algorithm]]),0,TblImps[[#This Row],[algorithm]]*1)</f>
        <v>0</v>
      </c>
      <c r="N51" s="94">
        <f ca="1">TblImps[[#This Row],[Land]]</f>
        <v>110</v>
      </c>
      <c r="O51" s="285" t="s">
        <v>4</v>
      </c>
      <c r="P51" s="286"/>
      <c r="Q51" s="285" t="s">
        <v>210</v>
      </c>
      <c r="R51" s="285" t="s">
        <v>7</v>
      </c>
      <c r="S51" s="286"/>
      <c r="T51" s="285" t="s">
        <v>210</v>
      </c>
      <c r="U51" s="285" t="s">
        <v>3</v>
      </c>
      <c r="V51" s="286"/>
      <c r="W51" s="285" t="s">
        <v>210</v>
      </c>
      <c r="X51" s="142"/>
      <c r="Y51" s="287">
        <f ca="1">science_cap*(1-EXP(-TblImps[[#This Row],[Σ Science]]/(science_param*(OFFSET(TblImps[[#This Row],[Land]],1,0)-OFFSET(TblExplore[[#This Row],[Land Bonus]],1,0)*20)+15000)))*(1+(mason_bonus*TblConstr[[#This Row],[Tot Mas]]/TblConstr[[#This Row],[Land (2)]]))</f>
        <v>0</v>
      </c>
      <c r="Z51" s="287">
        <f ca="1">keep_cap*(1-EXP(-TblImps[[#This Row],[Σ Keep]]/(keep_param*(OFFSET(TblImps[[#This Row],[Land]],1,0)-OFFSET(TblExplore[[#This Row],[Land Bonus]],1,0)*20)+15000)))*(1+(mason_bonus*TblConstr[[#This Row],[Tot Mas]]/TblConstr[[#This Row],[Land (2)]]))</f>
        <v>0</v>
      </c>
      <c r="AA51" s="287">
        <f ca="1">harbor_towers_cap*(1-EXP(-TblImps[[#This Row],[Σ Spires]]/(towers_param*(OFFSET(TblImps[[#This Row],[Land]],1,0)-OFFSET(TblExplore[[#This Row],[Land Bonus]],1,0)*20)+15000)))*(1+(mason_bonus*TblConstr[[#This Row],[Tot Mas]]/TblConstr[[#This Row],[Land (2)]]))</f>
        <v>0</v>
      </c>
      <c r="AB51" s="287">
        <f ca="1">walls_forges_cap*(1-EXP(-TblImps[[#This Row],[Σ Forges]]/(walls_forges_param*(OFFSET(TblImps[[#This Row],[Land]],1,0)-OFFSET(TblExplore[[#This Row],[Land Bonus]],1,0)*20)+15000)))*(1+(mason_bonus*TblConstr[[#This Row],[Tot Mas]]/TblConstr[[#This Row],[Land (2)]]))</f>
        <v>0</v>
      </c>
      <c r="AC51" s="287">
        <f ca="1">walls_forges_cap*(1-EXP(-TblImps[[#This Row],[Σ Walls]]/(walls_forges_param*(OFFSET(TblImps[[#This Row],[Land]],1,0)-OFFSET(TblExplore[[#This Row],[Land Bonus]],1,0)*20)+15000)))*(1+(mason_bonus*TblConstr[[#This Row],[Tot Mas]]/TblConstr[[#This Row],[Land (2)]]))</f>
        <v>0</v>
      </c>
      <c r="AD51" s="287">
        <f ca="1">harbor_towers_cap*(1-EXP(-TblImps[[#This Row],[Σ Harbor]]/(harbor_towers_param*(OFFSET(TblImps[[#This Row],[Land]],1,0)-OFFSET(TblExplore[[#This Row],[Land Bonus]],1,0)*20)+15000)))*(1+(mason_bonus*TblConstr[[#This Row],[Tot Mas]]/TblConstr[[#This Row],[Land (2)]]))</f>
        <v>0</v>
      </c>
      <c r="AE51" s="142"/>
      <c r="AF51" s="61">
        <f ca="1">(1+Overview!$I$29)*SUM(TblImps[[#This Row],[P2]:[G2]])+OFFSET(TblImps[[#This Row],[Σ Science]],-1,0)</f>
        <v>0</v>
      </c>
      <c r="AG51" s="61">
        <f ca="1">(1+Overview!$I$29)*SUM(TblImps[[#This Row],[P3]:[G3]])+OFFSET(TblImps[[#This Row],[Σ Keep]],-1,0)</f>
        <v>0</v>
      </c>
      <c r="AH51" s="61">
        <f ca="1">(1+Overview!$I$29 + tech_7_1*TblTech[[#This Row],[7-1]])*SUM(TblImps[[#This Row],[P4]:[G4]])+OFFSET(TblImps[[#This Row],[Σ Spires]],-1,0)</f>
        <v>0</v>
      </c>
      <c r="AI51" s="61">
        <f ca="1">(1+Overview!$I$29)*SUM(TblImps[[#This Row],[P5]:[G5]])+OFFSET(TblImps[[#This Row],[Σ Forges]],-1,0)</f>
        <v>0</v>
      </c>
      <c r="AJ51" s="61">
        <f ca="1">(1+Overview!$I$29)*SUM(TblImps[[#This Row],[P6]:[G6]])+OFFSET(TblImps[[#This Row],[Σ Walls]],-1,0)</f>
        <v>0</v>
      </c>
      <c r="AK51" s="61">
        <f ca="1">(1+Overview!$I$29 + tech_7_1*TblTech[[#This Row],[7-1]])*SUM(TblImps[[#This Row],[P7]:[G7]])+OFFSET(TblImps[[#This Row],[Σ Harbor]],-1,0)</f>
        <v>0</v>
      </c>
      <c r="AL51" s="142"/>
      <c r="AM51" s="57">
        <f>IF(AND(TblImps[[#This Row],[Resource]]=AM$2,TblImps[[#This Row],[Part]]&lt;&gt;""),TblImps[[#This Row],[Amount]]) + IF(AND(TblImps[[#This Row],[Resource 2]]=AM$2,TblImps[[#This Row],[Part 2]]&lt;&gt;""),TblImps[[#This Row],[Amount 2]]) + IF(AND(TblImps[[#This Row],[Resource 3]]=AM$2,TblImps[[#This Row],[Part 3]]&lt;&gt;""),TblImps[[#This Row],[Amount 3]])</f>
        <v>0</v>
      </c>
      <c r="AN51" s="57">
        <f>IF(AND(TblImps[[#This Row],[Resource]]=AN$2,TblImps[[#This Row],[Part]]&lt;&gt;""),TblImps[[#This Row],[Amount]]) + IF(AND(TblImps[[#This Row],[Resource 2]]=AN$2,TblImps[[#This Row],[Part 2]]&lt;&gt;""),TblImps[[#This Row],[Amount 2]]) + IF(AND(TblImps[[#This Row],[Resource 3]]=AN$2,TblImps[[#This Row],[Part 3]]&lt;&gt;""),TblImps[[#This Row],[Amount 3]])</f>
        <v>0</v>
      </c>
      <c r="AO51" s="57">
        <f>IF(AND(TblImps[[#This Row],[Resource]]=AO$2,TblImps[[#This Row],[Part]]&lt;&gt;""),TblImps[[#This Row],[Amount]]) + IF(AND(TblImps[[#This Row],[Resource 2]]=AO$2,TblImps[[#This Row],[Part 2]]&lt;&gt;""),TblImps[[#This Row],[Amount 2]]) + IF(AND(TblImps[[#This Row],[Resource 3]]=AO$2,TblImps[[#This Row],[Part 3]]&lt;&gt;""),TblImps[[#This Row],[Amount 3]])</f>
        <v>0</v>
      </c>
      <c r="AP51" s="57">
        <f>IF(AND(TblImps[[#This Row],[Resource]]=AP$2,TblImps[[#This Row],[Part]]&lt;&gt;""),TblImps[[#This Row],[Amount]]) + IF(AND(TblImps[[#This Row],[Resource 2]]=AP$2,TblImps[[#This Row],[Part 2]]&lt;&gt;""),TblImps[[#This Row],[Amount 2]]) + IF(AND(TblImps[[#This Row],[Resource 3]]=AP$2,TblImps[[#This Row],[Part 3]]&lt;&gt;""),TblImps[[#This Row],[Amount 3]])</f>
        <v>0</v>
      </c>
      <c r="AQ51" s="142"/>
      <c r="AR5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1" s="142"/>
      <c r="AW5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1" s="142"/>
      <c r="BB5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1" s="142"/>
      <c r="BG5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1" s="142"/>
      <c r="BL5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1" s="142"/>
      <c r="BQ5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1" s="142"/>
      <c r="BV5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1" s="61">
        <f>TblImps[[#This Row],[Login]]</f>
        <v>0</v>
      </c>
      <c r="BX51" s="137"/>
      <c r="BY51" s="293">
        <f ca="1">OFFSET(TblImps[[#This Row],[Real time]],-1,0)+1/24</f>
        <v>46048.958333333219</v>
      </c>
      <c r="BZ51" s="294">
        <f ca="1">OFFSET(TblImps[[#This Row],[Servertime]],-1,0)+1/24</f>
        <v>46048.958333333219</v>
      </c>
      <c r="CA51" s="57"/>
      <c r="CB51" s="292"/>
      <c r="CC51" s="292"/>
    </row>
    <row r="52" spans="1:81" x14ac:dyDescent="0.2">
      <c r="A52" s="214">
        <f ca="1">TblConstr[[#This Row],[Land]]</f>
        <v>110</v>
      </c>
      <c r="B52" s="142"/>
      <c r="C52" s="94">
        <f ca="1">TblProd[[#This Row],[Platinum]]</f>
        <v>132810</v>
      </c>
      <c r="D52" s="94">
        <f ca="1">TblProd[[#This Row],[Lumber]]</f>
        <v>47529</v>
      </c>
      <c r="E52" s="94">
        <f ca="1">TblProd[[#This Row],[Ore]]</f>
        <v>0</v>
      </c>
      <c r="F52" s="94">
        <f ca="1">TblProd[[#This Row],[Gems]]</f>
        <v>0</v>
      </c>
      <c r="G52" s="154"/>
      <c r="H52" s="94">
        <f ca="1">TblMili[[#This Row],[Draftees]]</f>
        <v>457</v>
      </c>
      <c r="I52" s="180">
        <f ca="1">TblPop[[#This Row],[Employment]]</f>
        <v>1</v>
      </c>
      <c r="J52" s="180">
        <f ca="1">TblPop[[#This Row],[Total]]/TblPop[[#This Row],[Net max]]</f>
        <v>1</v>
      </c>
      <c r="K52" s="283">
        <f>TblRezone[[#This Row],[Hour]]</f>
        <v>49</v>
      </c>
      <c r="L52" s="284">
        <f ca="1">TblImps[[#This Row],[Real time]]</f>
        <v>46048.999999999884</v>
      </c>
      <c r="M52" s="61">
        <f>IF(ISERROR(TblImps[[#This Row],[algorithm]]),0,TblImps[[#This Row],[algorithm]]*1)</f>
        <v>0</v>
      </c>
      <c r="N52" s="94">
        <f ca="1">TblImps[[#This Row],[Land]]</f>
        <v>110</v>
      </c>
      <c r="O52" s="285" t="s">
        <v>4</v>
      </c>
      <c r="P52" s="286"/>
      <c r="Q52" s="285" t="s">
        <v>210</v>
      </c>
      <c r="R52" s="285" t="s">
        <v>7</v>
      </c>
      <c r="S52" s="286"/>
      <c r="T52" s="285" t="s">
        <v>210</v>
      </c>
      <c r="U52" s="285" t="s">
        <v>3</v>
      </c>
      <c r="V52" s="286"/>
      <c r="W52" s="285" t="s">
        <v>210</v>
      </c>
      <c r="X52" s="142"/>
      <c r="Y52" s="287">
        <f ca="1">science_cap*(1-EXP(-TblImps[[#This Row],[Σ Science]]/(science_param*(OFFSET(TblImps[[#This Row],[Land]],1,0)-OFFSET(TblExplore[[#This Row],[Land Bonus]],1,0)*20)+15000)))*(1+(mason_bonus*TblConstr[[#This Row],[Tot Mas]]/TblConstr[[#This Row],[Land (2)]]))</f>
        <v>0</v>
      </c>
      <c r="Z52" s="287">
        <f ca="1">keep_cap*(1-EXP(-TblImps[[#This Row],[Σ Keep]]/(keep_param*(OFFSET(TblImps[[#This Row],[Land]],1,0)-OFFSET(TblExplore[[#This Row],[Land Bonus]],1,0)*20)+15000)))*(1+(mason_bonus*TblConstr[[#This Row],[Tot Mas]]/TblConstr[[#This Row],[Land (2)]]))</f>
        <v>0</v>
      </c>
      <c r="AA52" s="287">
        <f ca="1">harbor_towers_cap*(1-EXP(-TblImps[[#This Row],[Σ Spires]]/(towers_param*(OFFSET(TblImps[[#This Row],[Land]],1,0)-OFFSET(TblExplore[[#This Row],[Land Bonus]],1,0)*20)+15000)))*(1+(mason_bonus*TblConstr[[#This Row],[Tot Mas]]/TblConstr[[#This Row],[Land (2)]]))</f>
        <v>0</v>
      </c>
      <c r="AB52" s="287">
        <f ca="1">walls_forges_cap*(1-EXP(-TblImps[[#This Row],[Σ Forges]]/(walls_forges_param*(OFFSET(TblImps[[#This Row],[Land]],1,0)-OFFSET(TblExplore[[#This Row],[Land Bonus]],1,0)*20)+15000)))*(1+(mason_bonus*TblConstr[[#This Row],[Tot Mas]]/TblConstr[[#This Row],[Land (2)]]))</f>
        <v>0</v>
      </c>
      <c r="AC52" s="287">
        <f ca="1">walls_forges_cap*(1-EXP(-TblImps[[#This Row],[Σ Walls]]/(walls_forges_param*(OFFSET(TblImps[[#This Row],[Land]],1,0)-OFFSET(TblExplore[[#This Row],[Land Bonus]],1,0)*20)+15000)))*(1+(mason_bonus*TblConstr[[#This Row],[Tot Mas]]/TblConstr[[#This Row],[Land (2)]]))</f>
        <v>0</v>
      </c>
      <c r="AD52" s="287">
        <f ca="1">harbor_towers_cap*(1-EXP(-TblImps[[#This Row],[Σ Harbor]]/(harbor_towers_param*(OFFSET(TblImps[[#This Row],[Land]],1,0)-OFFSET(TblExplore[[#This Row],[Land Bonus]],1,0)*20)+15000)))*(1+(mason_bonus*TblConstr[[#This Row],[Tot Mas]]/TblConstr[[#This Row],[Land (2)]]))</f>
        <v>0</v>
      </c>
      <c r="AE52" s="142"/>
      <c r="AF52" s="61">
        <f ca="1">(1+Overview!$I$29)*SUM(TblImps[[#This Row],[P2]:[G2]])+OFFSET(TblImps[[#This Row],[Σ Science]],-1,0)</f>
        <v>0</v>
      </c>
      <c r="AG52" s="61">
        <f ca="1">(1+Overview!$I$29)*SUM(TblImps[[#This Row],[P3]:[G3]])+OFFSET(TblImps[[#This Row],[Σ Keep]],-1,0)</f>
        <v>0</v>
      </c>
      <c r="AH52" s="61">
        <f ca="1">(1+Overview!$I$29 + tech_7_1*TblTech[[#This Row],[7-1]])*SUM(TblImps[[#This Row],[P4]:[G4]])+OFFSET(TblImps[[#This Row],[Σ Spires]],-1,0)</f>
        <v>0</v>
      </c>
      <c r="AI52" s="61">
        <f ca="1">(1+Overview!$I$29)*SUM(TblImps[[#This Row],[P5]:[G5]])+OFFSET(TblImps[[#This Row],[Σ Forges]],-1,0)</f>
        <v>0</v>
      </c>
      <c r="AJ52" s="61">
        <f ca="1">(1+Overview!$I$29)*SUM(TblImps[[#This Row],[P6]:[G6]])+OFFSET(TblImps[[#This Row],[Σ Walls]],-1,0)</f>
        <v>0</v>
      </c>
      <c r="AK52" s="61">
        <f ca="1">(1+Overview!$I$29 + tech_7_1*TblTech[[#This Row],[7-1]])*SUM(TblImps[[#This Row],[P7]:[G7]])+OFFSET(TblImps[[#This Row],[Σ Harbor]],-1,0)</f>
        <v>0</v>
      </c>
      <c r="AL52" s="142"/>
      <c r="AM52" s="57">
        <f>IF(AND(TblImps[[#This Row],[Resource]]=AM$2,TblImps[[#This Row],[Part]]&lt;&gt;""),TblImps[[#This Row],[Amount]]) + IF(AND(TblImps[[#This Row],[Resource 2]]=AM$2,TblImps[[#This Row],[Part 2]]&lt;&gt;""),TblImps[[#This Row],[Amount 2]]) + IF(AND(TblImps[[#This Row],[Resource 3]]=AM$2,TblImps[[#This Row],[Part 3]]&lt;&gt;""),TblImps[[#This Row],[Amount 3]])</f>
        <v>0</v>
      </c>
      <c r="AN52" s="57">
        <f>IF(AND(TblImps[[#This Row],[Resource]]=AN$2,TblImps[[#This Row],[Part]]&lt;&gt;""),TblImps[[#This Row],[Amount]]) + IF(AND(TblImps[[#This Row],[Resource 2]]=AN$2,TblImps[[#This Row],[Part 2]]&lt;&gt;""),TblImps[[#This Row],[Amount 2]]) + IF(AND(TblImps[[#This Row],[Resource 3]]=AN$2,TblImps[[#This Row],[Part 3]]&lt;&gt;""),TblImps[[#This Row],[Amount 3]])</f>
        <v>0</v>
      </c>
      <c r="AO52" s="57">
        <f>IF(AND(TblImps[[#This Row],[Resource]]=AO$2,TblImps[[#This Row],[Part]]&lt;&gt;""),TblImps[[#This Row],[Amount]]) + IF(AND(TblImps[[#This Row],[Resource 2]]=AO$2,TblImps[[#This Row],[Part 2]]&lt;&gt;""),TblImps[[#This Row],[Amount 2]]) + IF(AND(TblImps[[#This Row],[Resource 3]]=AO$2,TblImps[[#This Row],[Part 3]]&lt;&gt;""),TblImps[[#This Row],[Amount 3]])</f>
        <v>0</v>
      </c>
      <c r="AP52" s="57">
        <f>IF(AND(TblImps[[#This Row],[Resource]]=AP$2,TblImps[[#This Row],[Part]]&lt;&gt;""),TblImps[[#This Row],[Amount]]) + IF(AND(TblImps[[#This Row],[Resource 2]]=AP$2,TblImps[[#This Row],[Part 2]]&lt;&gt;""),TblImps[[#This Row],[Amount 2]]) + IF(AND(TblImps[[#This Row],[Resource 3]]=AP$2,TblImps[[#This Row],[Part 3]]&lt;&gt;""),TblImps[[#This Row],[Amount 3]])</f>
        <v>0</v>
      </c>
      <c r="AQ52" s="142"/>
      <c r="AR5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2" s="142"/>
      <c r="AW5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2" s="142"/>
      <c r="BB5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2" s="142"/>
      <c r="BG5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2" s="142"/>
      <c r="BL5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2" s="142"/>
      <c r="BQ5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2" s="142"/>
      <c r="BV5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2" s="61">
        <f>TblImps[[#This Row],[Login]]</f>
        <v>0</v>
      </c>
      <c r="BX52" s="137"/>
      <c r="BY52" s="293">
        <f ca="1">OFFSET(TblImps[[#This Row],[Real time]],-1,0)+1/24</f>
        <v>46048.999999999884</v>
      </c>
      <c r="BZ52" s="294">
        <f ca="1">OFFSET(TblImps[[#This Row],[Servertime]],-1,0)+1/24</f>
        <v>46048.999999999884</v>
      </c>
      <c r="CA52" s="57"/>
      <c r="CB52" s="292"/>
      <c r="CC52" s="292"/>
    </row>
    <row r="53" spans="1:81" x14ac:dyDescent="0.2">
      <c r="A53" s="214">
        <f ca="1">TblConstr[[#This Row],[Land]]</f>
        <v>110</v>
      </c>
      <c r="B53" s="142"/>
      <c r="C53" s="94">
        <f ca="1">TblProd[[#This Row],[Platinum]]</f>
        <v>134481</v>
      </c>
      <c r="D53" s="94">
        <f ca="1">TblProd[[#This Row],[Lumber]]</f>
        <v>48054</v>
      </c>
      <c r="E53" s="94">
        <f ca="1">TblProd[[#This Row],[Ore]]</f>
        <v>0</v>
      </c>
      <c r="F53" s="94">
        <f ca="1">TblProd[[#This Row],[Gems]]</f>
        <v>0</v>
      </c>
      <c r="G53" s="154"/>
      <c r="H53" s="94">
        <f ca="1">TblMili[[#This Row],[Draftees]]</f>
        <v>463</v>
      </c>
      <c r="I53" s="180">
        <f ca="1">TblPop[[#This Row],[Employment]]</f>
        <v>1</v>
      </c>
      <c r="J53" s="180">
        <f ca="1">TblPop[[#This Row],[Total]]/TblPop[[#This Row],[Net max]]</f>
        <v>1</v>
      </c>
      <c r="K53" s="283">
        <f>TblRezone[[#This Row],[Hour]]</f>
        <v>50</v>
      </c>
      <c r="L53" s="284">
        <f ca="1">TblImps[[#This Row],[Real time]]</f>
        <v>46049.041666666548</v>
      </c>
      <c r="M53" s="61">
        <f>IF(ISERROR(TblImps[[#This Row],[algorithm]]),0,TblImps[[#This Row],[algorithm]]*1)</f>
        <v>0</v>
      </c>
      <c r="N53" s="94">
        <f ca="1">TblImps[[#This Row],[Land]]</f>
        <v>110</v>
      </c>
      <c r="O53" s="285" t="s">
        <v>4</v>
      </c>
      <c r="P53" s="286"/>
      <c r="Q53" s="285" t="s">
        <v>210</v>
      </c>
      <c r="R53" s="285" t="s">
        <v>7</v>
      </c>
      <c r="S53" s="286"/>
      <c r="T53" s="285" t="s">
        <v>210</v>
      </c>
      <c r="U53" s="285" t="s">
        <v>3</v>
      </c>
      <c r="V53" s="286"/>
      <c r="W53" s="285" t="s">
        <v>210</v>
      </c>
      <c r="X53" s="142"/>
      <c r="Y53" s="287">
        <f ca="1">science_cap*(1-EXP(-TblImps[[#This Row],[Σ Science]]/(science_param*(OFFSET(TblImps[[#This Row],[Land]],1,0)-OFFSET(TblExplore[[#This Row],[Land Bonus]],1,0)*20)+15000)))*(1+(mason_bonus*TblConstr[[#This Row],[Tot Mas]]/TblConstr[[#This Row],[Land (2)]]))</f>
        <v>0</v>
      </c>
      <c r="Z53" s="287">
        <f ca="1">keep_cap*(1-EXP(-TblImps[[#This Row],[Σ Keep]]/(keep_param*(OFFSET(TblImps[[#This Row],[Land]],1,0)-OFFSET(TblExplore[[#This Row],[Land Bonus]],1,0)*20)+15000)))*(1+(mason_bonus*TblConstr[[#This Row],[Tot Mas]]/TblConstr[[#This Row],[Land (2)]]))</f>
        <v>0</v>
      </c>
      <c r="AA53" s="287">
        <f ca="1">harbor_towers_cap*(1-EXP(-TblImps[[#This Row],[Σ Spires]]/(towers_param*(OFFSET(TblImps[[#This Row],[Land]],1,0)-OFFSET(TblExplore[[#This Row],[Land Bonus]],1,0)*20)+15000)))*(1+(mason_bonus*TblConstr[[#This Row],[Tot Mas]]/TblConstr[[#This Row],[Land (2)]]))</f>
        <v>0</v>
      </c>
      <c r="AB53" s="287">
        <f ca="1">walls_forges_cap*(1-EXP(-TblImps[[#This Row],[Σ Forges]]/(walls_forges_param*(OFFSET(TblImps[[#This Row],[Land]],1,0)-OFFSET(TblExplore[[#This Row],[Land Bonus]],1,0)*20)+15000)))*(1+(mason_bonus*TblConstr[[#This Row],[Tot Mas]]/TblConstr[[#This Row],[Land (2)]]))</f>
        <v>0</v>
      </c>
      <c r="AC53" s="287">
        <f ca="1">walls_forges_cap*(1-EXP(-TblImps[[#This Row],[Σ Walls]]/(walls_forges_param*(OFFSET(TblImps[[#This Row],[Land]],1,0)-OFFSET(TblExplore[[#This Row],[Land Bonus]],1,0)*20)+15000)))*(1+(mason_bonus*TblConstr[[#This Row],[Tot Mas]]/TblConstr[[#This Row],[Land (2)]]))</f>
        <v>0</v>
      </c>
      <c r="AD53" s="287">
        <f ca="1">harbor_towers_cap*(1-EXP(-TblImps[[#This Row],[Σ Harbor]]/(harbor_towers_param*(OFFSET(TblImps[[#This Row],[Land]],1,0)-OFFSET(TblExplore[[#This Row],[Land Bonus]],1,0)*20)+15000)))*(1+(mason_bonus*TblConstr[[#This Row],[Tot Mas]]/TblConstr[[#This Row],[Land (2)]]))</f>
        <v>0</v>
      </c>
      <c r="AE53" s="142"/>
      <c r="AF53" s="61">
        <f ca="1">(1+Overview!$I$29)*SUM(TblImps[[#This Row],[P2]:[G2]])+OFFSET(TblImps[[#This Row],[Σ Science]],-1,0)</f>
        <v>0</v>
      </c>
      <c r="AG53" s="61">
        <f ca="1">(1+Overview!$I$29)*SUM(TblImps[[#This Row],[P3]:[G3]])+OFFSET(TblImps[[#This Row],[Σ Keep]],-1,0)</f>
        <v>0</v>
      </c>
      <c r="AH53" s="61">
        <f ca="1">(1+Overview!$I$29 + tech_7_1*TblTech[[#This Row],[7-1]])*SUM(TblImps[[#This Row],[P4]:[G4]])+OFFSET(TblImps[[#This Row],[Σ Spires]],-1,0)</f>
        <v>0</v>
      </c>
      <c r="AI53" s="61">
        <f ca="1">(1+Overview!$I$29)*SUM(TblImps[[#This Row],[P5]:[G5]])+OFFSET(TblImps[[#This Row],[Σ Forges]],-1,0)</f>
        <v>0</v>
      </c>
      <c r="AJ53" s="61">
        <f ca="1">(1+Overview!$I$29)*SUM(TblImps[[#This Row],[P6]:[G6]])+OFFSET(TblImps[[#This Row],[Σ Walls]],-1,0)</f>
        <v>0</v>
      </c>
      <c r="AK53" s="61">
        <f ca="1">(1+Overview!$I$29 + tech_7_1*TblTech[[#This Row],[7-1]])*SUM(TblImps[[#This Row],[P7]:[G7]])+OFFSET(TblImps[[#This Row],[Σ Harbor]],-1,0)</f>
        <v>0</v>
      </c>
      <c r="AL53" s="142"/>
      <c r="AM53" s="57">
        <f>IF(AND(TblImps[[#This Row],[Resource]]=AM$2,TblImps[[#This Row],[Part]]&lt;&gt;""),TblImps[[#This Row],[Amount]]) + IF(AND(TblImps[[#This Row],[Resource 2]]=AM$2,TblImps[[#This Row],[Part 2]]&lt;&gt;""),TblImps[[#This Row],[Amount 2]]) + IF(AND(TblImps[[#This Row],[Resource 3]]=AM$2,TblImps[[#This Row],[Part 3]]&lt;&gt;""),TblImps[[#This Row],[Amount 3]])</f>
        <v>0</v>
      </c>
      <c r="AN53" s="57">
        <f>IF(AND(TblImps[[#This Row],[Resource]]=AN$2,TblImps[[#This Row],[Part]]&lt;&gt;""),TblImps[[#This Row],[Amount]]) + IF(AND(TblImps[[#This Row],[Resource 2]]=AN$2,TblImps[[#This Row],[Part 2]]&lt;&gt;""),TblImps[[#This Row],[Amount 2]]) + IF(AND(TblImps[[#This Row],[Resource 3]]=AN$2,TblImps[[#This Row],[Part 3]]&lt;&gt;""),TblImps[[#This Row],[Amount 3]])</f>
        <v>0</v>
      </c>
      <c r="AO53" s="57">
        <f>IF(AND(TblImps[[#This Row],[Resource]]=AO$2,TblImps[[#This Row],[Part]]&lt;&gt;""),TblImps[[#This Row],[Amount]]) + IF(AND(TblImps[[#This Row],[Resource 2]]=AO$2,TblImps[[#This Row],[Part 2]]&lt;&gt;""),TblImps[[#This Row],[Amount 2]]) + IF(AND(TblImps[[#This Row],[Resource 3]]=AO$2,TblImps[[#This Row],[Part 3]]&lt;&gt;""),TblImps[[#This Row],[Amount 3]])</f>
        <v>0</v>
      </c>
      <c r="AP53" s="57">
        <f>IF(AND(TblImps[[#This Row],[Resource]]=AP$2,TblImps[[#This Row],[Part]]&lt;&gt;""),TblImps[[#This Row],[Amount]]) + IF(AND(TblImps[[#This Row],[Resource 2]]=AP$2,TblImps[[#This Row],[Part 2]]&lt;&gt;""),TblImps[[#This Row],[Amount 2]]) + IF(AND(TblImps[[#This Row],[Resource 3]]=AP$2,TblImps[[#This Row],[Part 3]]&lt;&gt;""),TblImps[[#This Row],[Amount 3]])</f>
        <v>0</v>
      </c>
      <c r="AQ53" s="142"/>
      <c r="AR5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3" s="142"/>
      <c r="AW5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3" s="142"/>
      <c r="BB5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3" s="142"/>
      <c r="BG5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3" s="142"/>
      <c r="BL5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3" s="142"/>
      <c r="BQ5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3" s="142"/>
      <c r="BV5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3" s="61">
        <f>TblImps[[#This Row],[Login]]</f>
        <v>0</v>
      </c>
      <c r="BX53" s="137"/>
      <c r="BY53" s="293">
        <f ca="1">OFFSET(TblImps[[#This Row],[Real time]],-1,0)+1/24</f>
        <v>46049.041666666548</v>
      </c>
      <c r="BZ53" s="294">
        <f ca="1">OFFSET(TblImps[[#This Row],[Servertime]],-1,0)+1/24</f>
        <v>46049.041666666548</v>
      </c>
      <c r="CA53" s="57"/>
      <c r="CB53" s="292"/>
      <c r="CC53" s="292"/>
    </row>
    <row r="54" spans="1:81" x14ac:dyDescent="0.2">
      <c r="A54" s="214">
        <f ca="1">TblConstr[[#This Row],[Land]]</f>
        <v>110</v>
      </c>
      <c r="B54" s="142"/>
      <c r="C54" s="94">
        <f ca="1">TblProd[[#This Row],[Platinum]]</f>
        <v>136136</v>
      </c>
      <c r="D54" s="94">
        <f ca="1">TblProd[[#This Row],[Lumber]]</f>
        <v>48573</v>
      </c>
      <c r="E54" s="94">
        <f ca="1">TblProd[[#This Row],[Ore]]</f>
        <v>0</v>
      </c>
      <c r="F54" s="94">
        <f ca="1">TblProd[[#This Row],[Gems]]</f>
        <v>0</v>
      </c>
      <c r="G54" s="154"/>
      <c r="H54" s="94">
        <f ca="1">TblMili[[#This Row],[Draftees]]</f>
        <v>469</v>
      </c>
      <c r="I54" s="180">
        <f ca="1">TblPop[[#This Row],[Employment]]</f>
        <v>1</v>
      </c>
      <c r="J54" s="180">
        <f ca="1">TblPop[[#This Row],[Total]]/TblPop[[#This Row],[Net max]]</f>
        <v>1</v>
      </c>
      <c r="K54" s="283">
        <f>TblRezone[[#This Row],[Hour]]</f>
        <v>51</v>
      </c>
      <c r="L54" s="284">
        <f ca="1">TblImps[[#This Row],[Real time]]</f>
        <v>46049.083333333212</v>
      </c>
      <c r="M54" s="61">
        <f>IF(ISERROR(TblImps[[#This Row],[algorithm]]),0,TblImps[[#This Row],[algorithm]]*1)</f>
        <v>0</v>
      </c>
      <c r="N54" s="94">
        <f ca="1">TblImps[[#This Row],[Land]]</f>
        <v>110</v>
      </c>
      <c r="O54" s="285" t="s">
        <v>4</v>
      </c>
      <c r="P54" s="286"/>
      <c r="Q54" s="285" t="s">
        <v>210</v>
      </c>
      <c r="R54" s="285" t="s">
        <v>7</v>
      </c>
      <c r="S54" s="286"/>
      <c r="T54" s="285" t="s">
        <v>210</v>
      </c>
      <c r="U54" s="285" t="s">
        <v>3</v>
      </c>
      <c r="V54" s="286"/>
      <c r="W54" s="285" t="s">
        <v>210</v>
      </c>
      <c r="X54" s="142"/>
      <c r="Y54" s="287">
        <f ca="1">science_cap*(1-EXP(-TblImps[[#This Row],[Σ Science]]/(science_param*(OFFSET(TblImps[[#This Row],[Land]],1,0)-OFFSET(TblExplore[[#This Row],[Land Bonus]],1,0)*20)+15000)))*(1+(mason_bonus*TblConstr[[#This Row],[Tot Mas]]/TblConstr[[#This Row],[Land (2)]]))</f>
        <v>0</v>
      </c>
      <c r="Z54" s="287">
        <f ca="1">keep_cap*(1-EXP(-TblImps[[#This Row],[Σ Keep]]/(keep_param*(OFFSET(TblImps[[#This Row],[Land]],1,0)-OFFSET(TblExplore[[#This Row],[Land Bonus]],1,0)*20)+15000)))*(1+(mason_bonus*TblConstr[[#This Row],[Tot Mas]]/TblConstr[[#This Row],[Land (2)]]))</f>
        <v>0</v>
      </c>
      <c r="AA54" s="287">
        <f ca="1">harbor_towers_cap*(1-EXP(-TblImps[[#This Row],[Σ Spires]]/(towers_param*(OFFSET(TblImps[[#This Row],[Land]],1,0)-OFFSET(TblExplore[[#This Row],[Land Bonus]],1,0)*20)+15000)))*(1+(mason_bonus*TblConstr[[#This Row],[Tot Mas]]/TblConstr[[#This Row],[Land (2)]]))</f>
        <v>0</v>
      </c>
      <c r="AB54" s="287">
        <f ca="1">walls_forges_cap*(1-EXP(-TblImps[[#This Row],[Σ Forges]]/(walls_forges_param*(OFFSET(TblImps[[#This Row],[Land]],1,0)-OFFSET(TblExplore[[#This Row],[Land Bonus]],1,0)*20)+15000)))*(1+(mason_bonus*TblConstr[[#This Row],[Tot Mas]]/TblConstr[[#This Row],[Land (2)]]))</f>
        <v>0</v>
      </c>
      <c r="AC54" s="287">
        <f ca="1">walls_forges_cap*(1-EXP(-TblImps[[#This Row],[Σ Walls]]/(walls_forges_param*(OFFSET(TblImps[[#This Row],[Land]],1,0)-OFFSET(TblExplore[[#This Row],[Land Bonus]],1,0)*20)+15000)))*(1+(mason_bonus*TblConstr[[#This Row],[Tot Mas]]/TblConstr[[#This Row],[Land (2)]]))</f>
        <v>0</v>
      </c>
      <c r="AD54" s="287">
        <f ca="1">harbor_towers_cap*(1-EXP(-TblImps[[#This Row],[Σ Harbor]]/(harbor_towers_param*(OFFSET(TblImps[[#This Row],[Land]],1,0)-OFFSET(TblExplore[[#This Row],[Land Bonus]],1,0)*20)+15000)))*(1+(mason_bonus*TblConstr[[#This Row],[Tot Mas]]/TblConstr[[#This Row],[Land (2)]]))</f>
        <v>0</v>
      </c>
      <c r="AE54" s="142"/>
      <c r="AF54" s="61">
        <f ca="1">(1+Overview!$I$29)*SUM(TblImps[[#This Row],[P2]:[G2]])+OFFSET(TblImps[[#This Row],[Σ Science]],-1,0)</f>
        <v>0</v>
      </c>
      <c r="AG54" s="61">
        <f ca="1">(1+Overview!$I$29)*SUM(TblImps[[#This Row],[P3]:[G3]])+OFFSET(TblImps[[#This Row],[Σ Keep]],-1,0)</f>
        <v>0</v>
      </c>
      <c r="AH54" s="61">
        <f ca="1">(1+Overview!$I$29 + tech_7_1*TblTech[[#This Row],[7-1]])*SUM(TblImps[[#This Row],[P4]:[G4]])+OFFSET(TblImps[[#This Row],[Σ Spires]],-1,0)</f>
        <v>0</v>
      </c>
      <c r="AI54" s="61">
        <f ca="1">(1+Overview!$I$29)*SUM(TblImps[[#This Row],[P5]:[G5]])+OFFSET(TblImps[[#This Row],[Σ Forges]],-1,0)</f>
        <v>0</v>
      </c>
      <c r="AJ54" s="61">
        <f ca="1">(1+Overview!$I$29)*SUM(TblImps[[#This Row],[P6]:[G6]])+OFFSET(TblImps[[#This Row],[Σ Walls]],-1,0)</f>
        <v>0</v>
      </c>
      <c r="AK54" s="61">
        <f ca="1">(1+Overview!$I$29 + tech_7_1*TblTech[[#This Row],[7-1]])*SUM(TblImps[[#This Row],[P7]:[G7]])+OFFSET(TblImps[[#This Row],[Σ Harbor]],-1,0)</f>
        <v>0</v>
      </c>
      <c r="AL54" s="142"/>
      <c r="AM54" s="57">
        <f>IF(AND(TblImps[[#This Row],[Resource]]=AM$2,TblImps[[#This Row],[Part]]&lt;&gt;""),TblImps[[#This Row],[Amount]]) + IF(AND(TblImps[[#This Row],[Resource 2]]=AM$2,TblImps[[#This Row],[Part 2]]&lt;&gt;""),TblImps[[#This Row],[Amount 2]]) + IF(AND(TblImps[[#This Row],[Resource 3]]=AM$2,TblImps[[#This Row],[Part 3]]&lt;&gt;""),TblImps[[#This Row],[Amount 3]])</f>
        <v>0</v>
      </c>
      <c r="AN54" s="57">
        <f>IF(AND(TblImps[[#This Row],[Resource]]=AN$2,TblImps[[#This Row],[Part]]&lt;&gt;""),TblImps[[#This Row],[Amount]]) + IF(AND(TblImps[[#This Row],[Resource 2]]=AN$2,TblImps[[#This Row],[Part 2]]&lt;&gt;""),TblImps[[#This Row],[Amount 2]]) + IF(AND(TblImps[[#This Row],[Resource 3]]=AN$2,TblImps[[#This Row],[Part 3]]&lt;&gt;""),TblImps[[#This Row],[Amount 3]])</f>
        <v>0</v>
      </c>
      <c r="AO54" s="57">
        <f>IF(AND(TblImps[[#This Row],[Resource]]=AO$2,TblImps[[#This Row],[Part]]&lt;&gt;""),TblImps[[#This Row],[Amount]]) + IF(AND(TblImps[[#This Row],[Resource 2]]=AO$2,TblImps[[#This Row],[Part 2]]&lt;&gt;""),TblImps[[#This Row],[Amount 2]]) + IF(AND(TblImps[[#This Row],[Resource 3]]=AO$2,TblImps[[#This Row],[Part 3]]&lt;&gt;""),TblImps[[#This Row],[Amount 3]])</f>
        <v>0</v>
      </c>
      <c r="AP54" s="57">
        <f>IF(AND(TblImps[[#This Row],[Resource]]=AP$2,TblImps[[#This Row],[Part]]&lt;&gt;""),TblImps[[#This Row],[Amount]]) + IF(AND(TblImps[[#This Row],[Resource 2]]=AP$2,TblImps[[#This Row],[Part 2]]&lt;&gt;""),TblImps[[#This Row],[Amount 2]]) + IF(AND(TblImps[[#This Row],[Resource 3]]=AP$2,TblImps[[#This Row],[Part 3]]&lt;&gt;""),TblImps[[#This Row],[Amount 3]])</f>
        <v>0</v>
      </c>
      <c r="AQ54" s="142"/>
      <c r="AR5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4" s="142"/>
      <c r="AW5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4" s="142"/>
      <c r="BB5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4" s="142"/>
      <c r="BG5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4" s="142"/>
      <c r="BL5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4" s="142"/>
      <c r="BQ5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4" s="142"/>
      <c r="BV5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4" s="61">
        <f>TblImps[[#This Row],[Login]]</f>
        <v>0</v>
      </c>
      <c r="BX54" s="137"/>
      <c r="BY54" s="293">
        <f ca="1">OFFSET(TblImps[[#This Row],[Real time]],-1,0)+1/24</f>
        <v>46049.083333333212</v>
      </c>
      <c r="BZ54" s="294">
        <f ca="1">OFFSET(TblImps[[#This Row],[Servertime]],-1,0)+1/24</f>
        <v>46049.083333333212</v>
      </c>
      <c r="CA54" s="57"/>
      <c r="CB54" s="292"/>
      <c r="CC54" s="292"/>
    </row>
    <row r="55" spans="1:81" x14ac:dyDescent="0.2">
      <c r="A55" s="214">
        <f ca="1">TblConstr[[#This Row],[Land]]</f>
        <v>110</v>
      </c>
      <c r="B55" s="142"/>
      <c r="C55" s="94">
        <f ca="1">TblProd[[#This Row],[Platinum]]</f>
        <v>137774</v>
      </c>
      <c r="D55" s="94">
        <f ca="1">TblProd[[#This Row],[Lumber]]</f>
        <v>49087</v>
      </c>
      <c r="E55" s="94">
        <f ca="1">TblProd[[#This Row],[Ore]]</f>
        <v>0</v>
      </c>
      <c r="F55" s="94">
        <f ca="1">TblProd[[#This Row],[Gems]]</f>
        <v>0</v>
      </c>
      <c r="G55" s="154"/>
      <c r="H55" s="94">
        <f ca="1">TblMili[[#This Row],[Draftees]]</f>
        <v>475</v>
      </c>
      <c r="I55" s="180">
        <f ca="1">TblPop[[#This Row],[Employment]]</f>
        <v>1</v>
      </c>
      <c r="J55" s="180">
        <f ca="1">TblPop[[#This Row],[Total]]/TblPop[[#This Row],[Net max]]</f>
        <v>1</v>
      </c>
      <c r="K55" s="283">
        <f>TblRezone[[#This Row],[Hour]]</f>
        <v>52</v>
      </c>
      <c r="L55" s="284">
        <f ca="1">TblImps[[#This Row],[Real time]]</f>
        <v>46049.124999999876</v>
      </c>
      <c r="M55" s="61">
        <f>IF(ISERROR(TblImps[[#This Row],[algorithm]]),0,TblImps[[#This Row],[algorithm]]*1)</f>
        <v>0</v>
      </c>
      <c r="N55" s="94">
        <f ca="1">TblImps[[#This Row],[Land]]</f>
        <v>110</v>
      </c>
      <c r="O55" s="285" t="s">
        <v>4</v>
      </c>
      <c r="P55" s="286"/>
      <c r="Q55" s="285" t="s">
        <v>210</v>
      </c>
      <c r="R55" s="285" t="s">
        <v>7</v>
      </c>
      <c r="S55" s="286"/>
      <c r="T55" s="285" t="s">
        <v>210</v>
      </c>
      <c r="U55" s="285" t="s">
        <v>3</v>
      </c>
      <c r="V55" s="286"/>
      <c r="W55" s="285" t="s">
        <v>210</v>
      </c>
      <c r="X55" s="142"/>
      <c r="Y55" s="287">
        <f ca="1">science_cap*(1-EXP(-TblImps[[#This Row],[Σ Science]]/(science_param*(OFFSET(TblImps[[#This Row],[Land]],1,0)-OFFSET(TblExplore[[#This Row],[Land Bonus]],1,0)*20)+15000)))*(1+(mason_bonus*TblConstr[[#This Row],[Tot Mas]]/TblConstr[[#This Row],[Land (2)]]))</f>
        <v>0</v>
      </c>
      <c r="Z55" s="287">
        <f ca="1">keep_cap*(1-EXP(-TblImps[[#This Row],[Σ Keep]]/(keep_param*(OFFSET(TblImps[[#This Row],[Land]],1,0)-OFFSET(TblExplore[[#This Row],[Land Bonus]],1,0)*20)+15000)))*(1+(mason_bonus*TblConstr[[#This Row],[Tot Mas]]/TblConstr[[#This Row],[Land (2)]]))</f>
        <v>0</v>
      </c>
      <c r="AA55" s="287">
        <f ca="1">harbor_towers_cap*(1-EXP(-TblImps[[#This Row],[Σ Spires]]/(towers_param*(OFFSET(TblImps[[#This Row],[Land]],1,0)-OFFSET(TblExplore[[#This Row],[Land Bonus]],1,0)*20)+15000)))*(1+(mason_bonus*TblConstr[[#This Row],[Tot Mas]]/TblConstr[[#This Row],[Land (2)]]))</f>
        <v>0</v>
      </c>
      <c r="AB55" s="287">
        <f ca="1">walls_forges_cap*(1-EXP(-TblImps[[#This Row],[Σ Forges]]/(walls_forges_param*(OFFSET(TblImps[[#This Row],[Land]],1,0)-OFFSET(TblExplore[[#This Row],[Land Bonus]],1,0)*20)+15000)))*(1+(mason_bonus*TblConstr[[#This Row],[Tot Mas]]/TblConstr[[#This Row],[Land (2)]]))</f>
        <v>0</v>
      </c>
      <c r="AC55" s="287">
        <f ca="1">walls_forges_cap*(1-EXP(-TblImps[[#This Row],[Σ Walls]]/(walls_forges_param*(OFFSET(TblImps[[#This Row],[Land]],1,0)-OFFSET(TblExplore[[#This Row],[Land Bonus]],1,0)*20)+15000)))*(1+(mason_bonus*TblConstr[[#This Row],[Tot Mas]]/TblConstr[[#This Row],[Land (2)]]))</f>
        <v>0</v>
      </c>
      <c r="AD55" s="287">
        <f ca="1">harbor_towers_cap*(1-EXP(-TblImps[[#This Row],[Σ Harbor]]/(harbor_towers_param*(OFFSET(TblImps[[#This Row],[Land]],1,0)-OFFSET(TblExplore[[#This Row],[Land Bonus]],1,0)*20)+15000)))*(1+(mason_bonus*TblConstr[[#This Row],[Tot Mas]]/TblConstr[[#This Row],[Land (2)]]))</f>
        <v>0</v>
      </c>
      <c r="AE55" s="142"/>
      <c r="AF55" s="61">
        <f ca="1">(1+Overview!$I$29)*SUM(TblImps[[#This Row],[P2]:[G2]])+OFFSET(TblImps[[#This Row],[Σ Science]],-1,0)</f>
        <v>0</v>
      </c>
      <c r="AG55" s="61">
        <f ca="1">(1+Overview!$I$29)*SUM(TblImps[[#This Row],[P3]:[G3]])+OFFSET(TblImps[[#This Row],[Σ Keep]],-1,0)</f>
        <v>0</v>
      </c>
      <c r="AH55" s="61">
        <f ca="1">(1+Overview!$I$29 + tech_7_1*TblTech[[#This Row],[7-1]])*SUM(TblImps[[#This Row],[P4]:[G4]])+OFFSET(TblImps[[#This Row],[Σ Spires]],-1,0)</f>
        <v>0</v>
      </c>
      <c r="AI55" s="61">
        <f ca="1">(1+Overview!$I$29)*SUM(TblImps[[#This Row],[P5]:[G5]])+OFFSET(TblImps[[#This Row],[Σ Forges]],-1,0)</f>
        <v>0</v>
      </c>
      <c r="AJ55" s="61">
        <f ca="1">(1+Overview!$I$29)*SUM(TblImps[[#This Row],[P6]:[G6]])+OFFSET(TblImps[[#This Row],[Σ Walls]],-1,0)</f>
        <v>0</v>
      </c>
      <c r="AK55" s="61">
        <f ca="1">(1+Overview!$I$29 + tech_7_1*TblTech[[#This Row],[7-1]])*SUM(TblImps[[#This Row],[P7]:[G7]])+OFFSET(TblImps[[#This Row],[Σ Harbor]],-1,0)</f>
        <v>0</v>
      </c>
      <c r="AL55" s="142"/>
      <c r="AM55" s="57">
        <f>IF(AND(TblImps[[#This Row],[Resource]]=AM$2,TblImps[[#This Row],[Part]]&lt;&gt;""),TblImps[[#This Row],[Amount]]) + IF(AND(TblImps[[#This Row],[Resource 2]]=AM$2,TblImps[[#This Row],[Part 2]]&lt;&gt;""),TblImps[[#This Row],[Amount 2]]) + IF(AND(TblImps[[#This Row],[Resource 3]]=AM$2,TblImps[[#This Row],[Part 3]]&lt;&gt;""),TblImps[[#This Row],[Amount 3]])</f>
        <v>0</v>
      </c>
      <c r="AN55" s="57">
        <f>IF(AND(TblImps[[#This Row],[Resource]]=AN$2,TblImps[[#This Row],[Part]]&lt;&gt;""),TblImps[[#This Row],[Amount]]) + IF(AND(TblImps[[#This Row],[Resource 2]]=AN$2,TblImps[[#This Row],[Part 2]]&lt;&gt;""),TblImps[[#This Row],[Amount 2]]) + IF(AND(TblImps[[#This Row],[Resource 3]]=AN$2,TblImps[[#This Row],[Part 3]]&lt;&gt;""),TblImps[[#This Row],[Amount 3]])</f>
        <v>0</v>
      </c>
      <c r="AO55" s="57">
        <f>IF(AND(TblImps[[#This Row],[Resource]]=AO$2,TblImps[[#This Row],[Part]]&lt;&gt;""),TblImps[[#This Row],[Amount]]) + IF(AND(TblImps[[#This Row],[Resource 2]]=AO$2,TblImps[[#This Row],[Part 2]]&lt;&gt;""),TblImps[[#This Row],[Amount 2]]) + IF(AND(TblImps[[#This Row],[Resource 3]]=AO$2,TblImps[[#This Row],[Part 3]]&lt;&gt;""),TblImps[[#This Row],[Amount 3]])</f>
        <v>0</v>
      </c>
      <c r="AP55" s="57">
        <f>IF(AND(TblImps[[#This Row],[Resource]]=AP$2,TblImps[[#This Row],[Part]]&lt;&gt;""),TblImps[[#This Row],[Amount]]) + IF(AND(TblImps[[#This Row],[Resource 2]]=AP$2,TblImps[[#This Row],[Part 2]]&lt;&gt;""),TblImps[[#This Row],[Amount 2]]) + IF(AND(TblImps[[#This Row],[Resource 3]]=AP$2,TblImps[[#This Row],[Part 3]]&lt;&gt;""),TblImps[[#This Row],[Amount 3]])</f>
        <v>0</v>
      </c>
      <c r="AQ55" s="142"/>
      <c r="AR5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5" s="142"/>
      <c r="AW5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5" s="142"/>
      <c r="BB5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5" s="142"/>
      <c r="BG5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5" s="142"/>
      <c r="BL5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5" s="142"/>
      <c r="BQ5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5" s="142"/>
      <c r="BV5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5" s="61">
        <f>TblImps[[#This Row],[Login]]</f>
        <v>0</v>
      </c>
      <c r="BX55" s="137"/>
      <c r="BY55" s="293">
        <f ca="1">OFFSET(TblImps[[#This Row],[Real time]],-1,0)+1/24</f>
        <v>46049.124999999876</v>
      </c>
      <c r="BZ55" s="294">
        <f ca="1">OFFSET(TblImps[[#This Row],[Servertime]],-1,0)+1/24</f>
        <v>46049.124999999876</v>
      </c>
      <c r="CA55" s="57"/>
      <c r="CB55" s="292"/>
      <c r="CC55" s="292"/>
    </row>
    <row r="56" spans="1:81" x14ac:dyDescent="0.2">
      <c r="A56" s="214">
        <f ca="1">TblConstr[[#This Row],[Land]]</f>
        <v>110</v>
      </c>
      <c r="B56" s="142"/>
      <c r="C56" s="94">
        <f ca="1">TblProd[[#This Row],[Platinum]]</f>
        <v>139396</v>
      </c>
      <c r="D56" s="94">
        <f ca="1">TblProd[[#This Row],[Lumber]]</f>
        <v>49596</v>
      </c>
      <c r="E56" s="94">
        <f ca="1">TblProd[[#This Row],[Ore]]</f>
        <v>0</v>
      </c>
      <c r="F56" s="94">
        <f ca="1">TblProd[[#This Row],[Gems]]</f>
        <v>0</v>
      </c>
      <c r="G56" s="154"/>
      <c r="H56" s="94">
        <f ca="1">TblMili[[#This Row],[Draftees]]</f>
        <v>481</v>
      </c>
      <c r="I56" s="180">
        <f ca="1">TblPop[[#This Row],[Employment]]</f>
        <v>1</v>
      </c>
      <c r="J56" s="180">
        <f ca="1">TblPop[[#This Row],[Total]]/TblPop[[#This Row],[Net max]]</f>
        <v>1</v>
      </c>
      <c r="K56" s="283">
        <f>TblRezone[[#This Row],[Hour]]</f>
        <v>53</v>
      </c>
      <c r="L56" s="284">
        <f ca="1">TblImps[[#This Row],[Real time]]</f>
        <v>46049.166666666541</v>
      </c>
      <c r="M56" s="61">
        <f>IF(ISERROR(TblImps[[#This Row],[algorithm]]),0,TblImps[[#This Row],[algorithm]]*1)</f>
        <v>0</v>
      </c>
      <c r="N56" s="94">
        <f ca="1">TblImps[[#This Row],[Land]]</f>
        <v>110</v>
      </c>
      <c r="O56" s="285" t="s">
        <v>4</v>
      </c>
      <c r="P56" s="286"/>
      <c r="Q56" s="285" t="s">
        <v>210</v>
      </c>
      <c r="R56" s="285" t="s">
        <v>7</v>
      </c>
      <c r="S56" s="286"/>
      <c r="T56" s="285" t="s">
        <v>210</v>
      </c>
      <c r="U56" s="285" t="s">
        <v>3</v>
      </c>
      <c r="V56" s="286"/>
      <c r="W56" s="285" t="s">
        <v>210</v>
      </c>
      <c r="X56" s="142"/>
      <c r="Y56" s="287">
        <f ca="1">science_cap*(1-EXP(-TblImps[[#This Row],[Σ Science]]/(science_param*(OFFSET(TblImps[[#This Row],[Land]],1,0)-OFFSET(TblExplore[[#This Row],[Land Bonus]],1,0)*20)+15000)))*(1+(mason_bonus*TblConstr[[#This Row],[Tot Mas]]/TblConstr[[#This Row],[Land (2)]]))</f>
        <v>0</v>
      </c>
      <c r="Z56" s="287">
        <f ca="1">keep_cap*(1-EXP(-TblImps[[#This Row],[Σ Keep]]/(keep_param*(OFFSET(TblImps[[#This Row],[Land]],1,0)-OFFSET(TblExplore[[#This Row],[Land Bonus]],1,0)*20)+15000)))*(1+(mason_bonus*TblConstr[[#This Row],[Tot Mas]]/TblConstr[[#This Row],[Land (2)]]))</f>
        <v>0</v>
      </c>
      <c r="AA56" s="287">
        <f ca="1">harbor_towers_cap*(1-EXP(-TblImps[[#This Row],[Σ Spires]]/(towers_param*(OFFSET(TblImps[[#This Row],[Land]],1,0)-OFFSET(TblExplore[[#This Row],[Land Bonus]],1,0)*20)+15000)))*(1+(mason_bonus*TblConstr[[#This Row],[Tot Mas]]/TblConstr[[#This Row],[Land (2)]]))</f>
        <v>0</v>
      </c>
      <c r="AB56" s="287">
        <f ca="1">walls_forges_cap*(1-EXP(-TblImps[[#This Row],[Σ Forges]]/(walls_forges_param*(OFFSET(TblImps[[#This Row],[Land]],1,0)-OFFSET(TblExplore[[#This Row],[Land Bonus]],1,0)*20)+15000)))*(1+(mason_bonus*TblConstr[[#This Row],[Tot Mas]]/TblConstr[[#This Row],[Land (2)]]))</f>
        <v>0</v>
      </c>
      <c r="AC56" s="287">
        <f ca="1">walls_forges_cap*(1-EXP(-TblImps[[#This Row],[Σ Walls]]/(walls_forges_param*(OFFSET(TblImps[[#This Row],[Land]],1,0)-OFFSET(TblExplore[[#This Row],[Land Bonus]],1,0)*20)+15000)))*(1+(mason_bonus*TblConstr[[#This Row],[Tot Mas]]/TblConstr[[#This Row],[Land (2)]]))</f>
        <v>0</v>
      </c>
      <c r="AD56" s="287">
        <f ca="1">harbor_towers_cap*(1-EXP(-TblImps[[#This Row],[Σ Harbor]]/(harbor_towers_param*(OFFSET(TblImps[[#This Row],[Land]],1,0)-OFFSET(TblExplore[[#This Row],[Land Bonus]],1,0)*20)+15000)))*(1+(mason_bonus*TblConstr[[#This Row],[Tot Mas]]/TblConstr[[#This Row],[Land (2)]]))</f>
        <v>0</v>
      </c>
      <c r="AE56" s="142"/>
      <c r="AF56" s="61">
        <f ca="1">(1+Overview!$I$29)*SUM(TblImps[[#This Row],[P2]:[G2]])+OFFSET(TblImps[[#This Row],[Σ Science]],-1,0)</f>
        <v>0</v>
      </c>
      <c r="AG56" s="61">
        <f ca="1">(1+Overview!$I$29)*SUM(TblImps[[#This Row],[P3]:[G3]])+OFFSET(TblImps[[#This Row],[Σ Keep]],-1,0)</f>
        <v>0</v>
      </c>
      <c r="AH56" s="61">
        <f ca="1">(1+Overview!$I$29 + tech_7_1*TblTech[[#This Row],[7-1]])*SUM(TblImps[[#This Row],[P4]:[G4]])+OFFSET(TblImps[[#This Row],[Σ Spires]],-1,0)</f>
        <v>0</v>
      </c>
      <c r="AI56" s="61">
        <f ca="1">(1+Overview!$I$29)*SUM(TblImps[[#This Row],[P5]:[G5]])+OFFSET(TblImps[[#This Row],[Σ Forges]],-1,0)</f>
        <v>0</v>
      </c>
      <c r="AJ56" s="61">
        <f ca="1">(1+Overview!$I$29)*SUM(TblImps[[#This Row],[P6]:[G6]])+OFFSET(TblImps[[#This Row],[Σ Walls]],-1,0)</f>
        <v>0</v>
      </c>
      <c r="AK56" s="61">
        <f ca="1">(1+Overview!$I$29 + tech_7_1*TblTech[[#This Row],[7-1]])*SUM(TblImps[[#This Row],[P7]:[G7]])+OFFSET(TblImps[[#This Row],[Σ Harbor]],-1,0)</f>
        <v>0</v>
      </c>
      <c r="AL56" s="142"/>
      <c r="AM56" s="57">
        <f>IF(AND(TblImps[[#This Row],[Resource]]=AM$2,TblImps[[#This Row],[Part]]&lt;&gt;""),TblImps[[#This Row],[Amount]]) + IF(AND(TblImps[[#This Row],[Resource 2]]=AM$2,TblImps[[#This Row],[Part 2]]&lt;&gt;""),TblImps[[#This Row],[Amount 2]]) + IF(AND(TblImps[[#This Row],[Resource 3]]=AM$2,TblImps[[#This Row],[Part 3]]&lt;&gt;""),TblImps[[#This Row],[Amount 3]])</f>
        <v>0</v>
      </c>
      <c r="AN56" s="57">
        <f>IF(AND(TblImps[[#This Row],[Resource]]=AN$2,TblImps[[#This Row],[Part]]&lt;&gt;""),TblImps[[#This Row],[Amount]]) + IF(AND(TblImps[[#This Row],[Resource 2]]=AN$2,TblImps[[#This Row],[Part 2]]&lt;&gt;""),TblImps[[#This Row],[Amount 2]]) + IF(AND(TblImps[[#This Row],[Resource 3]]=AN$2,TblImps[[#This Row],[Part 3]]&lt;&gt;""),TblImps[[#This Row],[Amount 3]])</f>
        <v>0</v>
      </c>
      <c r="AO56" s="57">
        <f>IF(AND(TblImps[[#This Row],[Resource]]=AO$2,TblImps[[#This Row],[Part]]&lt;&gt;""),TblImps[[#This Row],[Amount]]) + IF(AND(TblImps[[#This Row],[Resource 2]]=AO$2,TblImps[[#This Row],[Part 2]]&lt;&gt;""),TblImps[[#This Row],[Amount 2]]) + IF(AND(TblImps[[#This Row],[Resource 3]]=AO$2,TblImps[[#This Row],[Part 3]]&lt;&gt;""),TblImps[[#This Row],[Amount 3]])</f>
        <v>0</v>
      </c>
      <c r="AP56" s="57">
        <f>IF(AND(TblImps[[#This Row],[Resource]]=AP$2,TblImps[[#This Row],[Part]]&lt;&gt;""),TblImps[[#This Row],[Amount]]) + IF(AND(TblImps[[#This Row],[Resource 2]]=AP$2,TblImps[[#This Row],[Part 2]]&lt;&gt;""),TblImps[[#This Row],[Amount 2]]) + IF(AND(TblImps[[#This Row],[Resource 3]]=AP$2,TblImps[[#This Row],[Part 3]]&lt;&gt;""),TblImps[[#This Row],[Amount 3]])</f>
        <v>0</v>
      </c>
      <c r="AQ56" s="142"/>
      <c r="AR5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6" s="142"/>
      <c r="AW5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6" s="142"/>
      <c r="BB5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6" s="142"/>
      <c r="BG5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6" s="142"/>
      <c r="BL5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6" s="142"/>
      <c r="BQ5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6" s="142"/>
      <c r="BV5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6" s="61">
        <f>TblImps[[#This Row],[Login]]</f>
        <v>0</v>
      </c>
      <c r="BX56" s="137"/>
      <c r="BY56" s="293">
        <f ca="1">OFFSET(TblImps[[#This Row],[Real time]],-1,0)+1/24</f>
        <v>46049.166666666541</v>
      </c>
      <c r="BZ56" s="294">
        <f ca="1">OFFSET(TblImps[[#This Row],[Servertime]],-1,0)+1/24</f>
        <v>46049.166666666541</v>
      </c>
      <c r="CA56" s="57"/>
      <c r="CB56" s="292"/>
      <c r="CC56" s="292"/>
    </row>
    <row r="57" spans="1:81" x14ac:dyDescent="0.2">
      <c r="A57" s="214">
        <f ca="1">TblConstr[[#This Row],[Land]]</f>
        <v>110</v>
      </c>
      <c r="B57" s="142"/>
      <c r="C57" s="94">
        <f ca="1">TblProd[[#This Row],[Platinum]]</f>
        <v>141002</v>
      </c>
      <c r="D57" s="94">
        <f ca="1">TblProd[[#This Row],[Lumber]]</f>
        <v>50100</v>
      </c>
      <c r="E57" s="94">
        <f ca="1">TblProd[[#This Row],[Ore]]</f>
        <v>0</v>
      </c>
      <c r="F57" s="94">
        <f ca="1">TblProd[[#This Row],[Gems]]</f>
        <v>0</v>
      </c>
      <c r="G57" s="154"/>
      <c r="H57" s="94">
        <f ca="1">TblMili[[#This Row],[Draftees]]</f>
        <v>487</v>
      </c>
      <c r="I57" s="180">
        <f ca="1">TblPop[[#This Row],[Employment]]</f>
        <v>1</v>
      </c>
      <c r="J57" s="180">
        <f ca="1">TblPop[[#This Row],[Total]]/TblPop[[#This Row],[Net max]]</f>
        <v>1</v>
      </c>
      <c r="K57" s="283">
        <f>TblRezone[[#This Row],[Hour]]</f>
        <v>54</v>
      </c>
      <c r="L57" s="284">
        <f ca="1">TblImps[[#This Row],[Real time]]</f>
        <v>46049.208333333205</v>
      </c>
      <c r="M57" s="61">
        <f>IF(ISERROR(TblImps[[#This Row],[algorithm]]),0,TblImps[[#This Row],[algorithm]]*1)</f>
        <v>0</v>
      </c>
      <c r="N57" s="94">
        <f ca="1">TblImps[[#This Row],[Land]]</f>
        <v>110</v>
      </c>
      <c r="O57" s="285" t="s">
        <v>4</v>
      </c>
      <c r="P57" s="286"/>
      <c r="Q57" s="285" t="s">
        <v>210</v>
      </c>
      <c r="R57" s="285" t="s">
        <v>7</v>
      </c>
      <c r="S57" s="286"/>
      <c r="T57" s="285" t="s">
        <v>210</v>
      </c>
      <c r="U57" s="285" t="s">
        <v>3</v>
      </c>
      <c r="V57" s="286"/>
      <c r="W57" s="285" t="s">
        <v>210</v>
      </c>
      <c r="X57" s="142"/>
      <c r="Y57" s="287">
        <f ca="1">science_cap*(1-EXP(-TblImps[[#This Row],[Σ Science]]/(science_param*(OFFSET(TblImps[[#This Row],[Land]],1,0)-OFFSET(TblExplore[[#This Row],[Land Bonus]],1,0)*20)+15000)))*(1+(mason_bonus*TblConstr[[#This Row],[Tot Mas]]/TblConstr[[#This Row],[Land (2)]]))</f>
        <v>0</v>
      </c>
      <c r="Z57" s="287">
        <f ca="1">keep_cap*(1-EXP(-TblImps[[#This Row],[Σ Keep]]/(keep_param*(OFFSET(TblImps[[#This Row],[Land]],1,0)-OFFSET(TblExplore[[#This Row],[Land Bonus]],1,0)*20)+15000)))*(1+(mason_bonus*TblConstr[[#This Row],[Tot Mas]]/TblConstr[[#This Row],[Land (2)]]))</f>
        <v>0</v>
      </c>
      <c r="AA57" s="287">
        <f ca="1">harbor_towers_cap*(1-EXP(-TblImps[[#This Row],[Σ Spires]]/(towers_param*(OFFSET(TblImps[[#This Row],[Land]],1,0)-OFFSET(TblExplore[[#This Row],[Land Bonus]],1,0)*20)+15000)))*(1+(mason_bonus*TblConstr[[#This Row],[Tot Mas]]/TblConstr[[#This Row],[Land (2)]]))</f>
        <v>0</v>
      </c>
      <c r="AB57" s="287">
        <f ca="1">walls_forges_cap*(1-EXP(-TblImps[[#This Row],[Σ Forges]]/(walls_forges_param*(OFFSET(TblImps[[#This Row],[Land]],1,0)-OFFSET(TblExplore[[#This Row],[Land Bonus]],1,0)*20)+15000)))*(1+(mason_bonus*TblConstr[[#This Row],[Tot Mas]]/TblConstr[[#This Row],[Land (2)]]))</f>
        <v>0</v>
      </c>
      <c r="AC57" s="287">
        <f ca="1">walls_forges_cap*(1-EXP(-TblImps[[#This Row],[Σ Walls]]/(walls_forges_param*(OFFSET(TblImps[[#This Row],[Land]],1,0)-OFFSET(TblExplore[[#This Row],[Land Bonus]],1,0)*20)+15000)))*(1+(mason_bonus*TblConstr[[#This Row],[Tot Mas]]/TblConstr[[#This Row],[Land (2)]]))</f>
        <v>0</v>
      </c>
      <c r="AD57" s="287">
        <f ca="1">harbor_towers_cap*(1-EXP(-TblImps[[#This Row],[Σ Harbor]]/(harbor_towers_param*(OFFSET(TblImps[[#This Row],[Land]],1,0)-OFFSET(TblExplore[[#This Row],[Land Bonus]],1,0)*20)+15000)))*(1+(mason_bonus*TblConstr[[#This Row],[Tot Mas]]/TblConstr[[#This Row],[Land (2)]]))</f>
        <v>0</v>
      </c>
      <c r="AE57" s="142"/>
      <c r="AF57" s="61">
        <f ca="1">(1+Overview!$I$29)*SUM(TblImps[[#This Row],[P2]:[G2]])+OFFSET(TblImps[[#This Row],[Σ Science]],-1,0)</f>
        <v>0</v>
      </c>
      <c r="AG57" s="61">
        <f ca="1">(1+Overview!$I$29)*SUM(TblImps[[#This Row],[P3]:[G3]])+OFFSET(TblImps[[#This Row],[Σ Keep]],-1,0)</f>
        <v>0</v>
      </c>
      <c r="AH57" s="61">
        <f ca="1">(1+Overview!$I$29 + tech_7_1*TblTech[[#This Row],[7-1]])*SUM(TblImps[[#This Row],[P4]:[G4]])+OFFSET(TblImps[[#This Row],[Σ Spires]],-1,0)</f>
        <v>0</v>
      </c>
      <c r="AI57" s="61">
        <f ca="1">(1+Overview!$I$29)*SUM(TblImps[[#This Row],[P5]:[G5]])+OFFSET(TblImps[[#This Row],[Σ Forges]],-1,0)</f>
        <v>0</v>
      </c>
      <c r="AJ57" s="61">
        <f ca="1">(1+Overview!$I$29)*SUM(TblImps[[#This Row],[P6]:[G6]])+OFFSET(TblImps[[#This Row],[Σ Walls]],-1,0)</f>
        <v>0</v>
      </c>
      <c r="AK57" s="61">
        <f ca="1">(1+Overview!$I$29 + tech_7_1*TblTech[[#This Row],[7-1]])*SUM(TblImps[[#This Row],[P7]:[G7]])+OFFSET(TblImps[[#This Row],[Σ Harbor]],-1,0)</f>
        <v>0</v>
      </c>
      <c r="AL57" s="142"/>
      <c r="AM57" s="57">
        <f>IF(AND(TblImps[[#This Row],[Resource]]=AM$2,TblImps[[#This Row],[Part]]&lt;&gt;""),TblImps[[#This Row],[Amount]]) + IF(AND(TblImps[[#This Row],[Resource 2]]=AM$2,TblImps[[#This Row],[Part 2]]&lt;&gt;""),TblImps[[#This Row],[Amount 2]]) + IF(AND(TblImps[[#This Row],[Resource 3]]=AM$2,TblImps[[#This Row],[Part 3]]&lt;&gt;""),TblImps[[#This Row],[Amount 3]])</f>
        <v>0</v>
      </c>
      <c r="AN57" s="57">
        <f>IF(AND(TblImps[[#This Row],[Resource]]=AN$2,TblImps[[#This Row],[Part]]&lt;&gt;""),TblImps[[#This Row],[Amount]]) + IF(AND(TblImps[[#This Row],[Resource 2]]=AN$2,TblImps[[#This Row],[Part 2]]&lt;&gt;""),TblImps[[#This Row],[Amount 2]]) + IF(AND(TblImps[[#This Row],[Resource 3]]=AN$2,TblImps[[#This Row],[Part 3]]&lt;&gt;""),TblImps[[#This Row],[Amount 3]])</f>
        <v>0</v>
      </c>
      <c r="AO57" s="57">
        <f>IF(AND(TblImps[[#This Row],[Resource]]=AO$2,TblImps[[#This Row],[Part]]&lt;&gt;""),TblImps[[#This Row],[Amount]]) + IF(AND(TblImps[[#This Row],[Resource 2]]=AO$2,TblImps[[#This Row],[Part 2]]&lt;&gt;""),TblImps[[#This Row],[Amount 2]]) + IF(AND(TblImps[[#This Row],[Resource 3]]=AO$2,TblImps[[#This Row],[Part 3]]&lt;&gt;""),TblImps[[#This Row],[Amount 3]])</f>
        <v>0</v>
      </c>
      <c r="AP57" s="57">
        <f>IF(AND(TblImps[[#This Row],[Resource]]=AP$2,TblImps[[#This Row],[Part]]&lt;&gt;""),TblImps[[#This Row],[Amount]]) + IF(AND(TblImps[[#This Row],[Resource 2]]=AP$2,TblImps[[#This Row],[Part 2]]&lt;&gt;""),TblImps[[#This Row],[Amount 2]]) + IF(AND(TblImps[[#This Row],[Resource 3]]=AP$2,TblImps[[#This Row],[Part 3]]&lt;&gt;""),TblImps[[#This Row],[Amount 3]])</f>
        <v>0</v>
      </c>
      <c r="AQ57" s="142"/>
      <c r="AR5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7" s="142"/>
      <c r="AW5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7" s="142"/>
      <c r="BB5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7" s="142"/>
      <c r="BG5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7" s="142"/>
      <c r="BL5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7" s="142"/>
      <c r="BQ5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7" s="142"/>
      <c r="BV5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7" s="61">
        <f>TblImps[[#This Row],[Login]]</f>
        <v>0</v>
      </c>
      <c r="BX57" s="137"/>
      <c r="BY57" s="293">
        <f ca="1">OFFSET(TblImps[[#This Row],[Real time]],-1,0)+1/24</f>
        <v>46049.208333333205</v>
      </c>
      <c r="BZ57" s="294">
        <f ca="1">OFFSET(TblImps[[#This Row],[Servertime]],-1,0)+1/24</f>
        <v>46049.208333333205</v>
      </c>
      <c r="CA57" s="57"/>
      <c r="CB57" s="292"/>
      <c r="CC57" s="292"/>
    </row>
    <row r="58" spans="1:81" x14ac:dyDescent="0.2">
      <c r="A58" s="214">
        <f ca="1">TblConstr[[#This Row],[Land]]</f>
        <v>110</v>
      </c>
      <c r="B58" s="142"/>
      <c r="C58" s="94">
        <f ca="1">TblProd[[#This Row],[Platinum]]</f>
        <v>142592</v>
      </c>
      <c r="D58" s="94">
        <f ca="1">TblProd[[#This Row],[Lumber]]</f>
        <v>50599</v>
      </c>
      <c r="E58" s="94">
        <f ca="1">TblProd[[#This Row],[Ore]]</f>
        <v>0</v>
      </c>
      <c r="F58" s="94">
        <f ca="1">TblProd[[#This Row],[Gems]]</f>
        <v>0</v>
      </c>
      <c r="G58" s="154"/>
      <c r="H58" s="94">
        <f ca="1">TblMili[[#This Row],[Draftees]]</f>
        <v>493</v>
      </c>
      <c r="I58" s="180">
        <f ca="1">TblPop[[#This Row],[Employment]]</f>
        <v>1</v>
      </c>
      <c r="J58" s="180">
        <f ca="1">TblPop[[#This Row],[Total]]/TblPop[[#This Row],[Net max]]</f>
        <v>1</v>
      </c>
      <c r="K58" s="283">
        <f>TblRezone[[#This Row],[Hour]]</f>
        <v>55</v>
      </c>
      <c r="L58" s="284">
        <f ca="1">TblImps[[#This Row],[Real time]]</f>
        <v>46049.249999999869</v>
      </c>
      <c r="M58" s="61">
        <f>IF(ISERROR(TblImps[[#This Row],[algorithm]]),0,TblImps[[#This Row],[algorithm]]*1)</f>
        <v>0</v>
      </c>
      <c r="N58" s="94">
        <f ca="1">TblImps[[#This Row],[Land]]</f>
        <v>110</v>
      </c>
      <c r="O58" s="285" t="s">
        <v>4</v>
      </c>
      <c r="P58" s="286"/>
      <c r="Q58" s="285" t="s">
        <v>210</v>
      </c>
      <c r="R58" s="285" t="s">
        <v>7</v>
      </c>
      <c r="S58" s="286"/>
      <c r="T58" s="285" t="s">
        <v>210</v>
      </c>
      <c r="U58" s="285" t="s">
        <v>3</v>
      </c>
      <c r="V58" s="286"/>
      <c r="W58" s="285" t="s">
        <v>210</v>
      </c>
      <c r="X58" s="142"/>
      <c r="Y58" s="287">
        <f ca="1">science_cap*(1-EXP(-TblImps[[#This Row],[Σ Science]]/(science_param*(OFFSET(TblImps[[#This Row],[Land]],1,0)-OFFSET(TblExplore[[#This Row],[Land Bonus]],1,0)*20)+15000)))*(1+(mason_bonus*TblConstr[[#This Row],[Tot Mas]]/TblConstr[[#This Row],[Land (2)]]))</f>
        <v>0</v>
      </c>
      <c r="Z58" s="287">
        <f ca="1">keep_cap*(1-EXP(-TblImps[[#This Row],[Σ Keep]]/(keep_param*(OFFSET(TblImps[[#This Row],[Land]],1,0)-OFFSET(TblExplore[[#This Row],[Land Bonus]],1,0)*20)+15000)))*(1+(mason_bonus*TblConstr[[#This Row],[Tot Mas]]/TblConstr[[#This Row],[Land (2)]]))</f>
        <v>0</v>
      </c>
      <c r="AA58" s="287">
        <f ca="1">harbor_towers_cap*(1-EXP(-TblImps[[#This Row],[Σ Spires]]/(towers_param*(OFFSET(TblImps[[#This Row],[Land]],1,0)-OFFSET(TblExplore[[#This Row],[Land Bonus]],1,0)*20)+15000)))*(1+(mason_bonus*TblConstr[[#This Row],[Tot Mas]]/TblConstr[[#This Row],[Land (2)]]))</f>
        <v>0</v>
      </c>
      <c r="AB58" s="287">
        <f ca="1">walls_forges_cap*(1-EXP(-TblImps[[#This Row],[Σ Forges]]/(walls_forges_param*(OFFSET(TblImps[[#This Row],[Land]],1,0)-OFFSET(TblExplore[[#This Row],[Land Bonus]],1,0)*20)+15000)))*(1+(mason_bonus*TblConstr[[#This Row],[Tot Mas]]/TblConstr[[#This Row],[Land (2)]]))</f>
        <v>0</v>
      </c>
      <c r="AC58" s="287">
        <f ca="1">walls_forges_cap*(1-EXP(-TblImps[[#This Row],[Σ Walls]]/(walls_forges_param*(OFFSET(TblImps[[#This Row],[Land]],1,0)-OFFSET(TblExplore[[#This Row],[Land Bonus]],1,0)*20)+15000)))*(1+(mason_bonus*TblConstr[[#This Row],[Tot Mas]]/TblConstr[[#This Row],[Land (2)]]))</f>
        <v>0</v>
      </c>
      <c r="AD58" s="287">
        <f ca="1">harbor_towers_cap*(1-EXP(-TblImps[[#This Row],[Σ Harbor]]/(harbor_towers_param*(OFFSET(TblImps[[#This Row],[Land]],1,0)-OFFSET(TblExplore[[#This Row],[Land Bonus]],1,0)*20)+15000)))*(1+(mason_bonus*TblConstr[[#This Row],[Tot Mas]]/TblConstr[[#This Row],[Land (2)]]))</f>
        <v>0</v>
      </c>
      <c r="AE58" s="142"/>
      <c r="AF58" s="61">
        <f ca="1">(1+Overview!$I$29)*SUM(TblImps[[#This Row],[P2]:[G2]])+OFFSET(TblImps[[#This Row],[Σ Science]],-1,0)</f>
        <v>0</v>
      </c>
      <c r="AG58" s="61">
        <f ca="1">(1+Overview!$I$29)*SUM(TblImps[[#This Row],[P3]:[G3]])+OFFSET(TblImps[[#This Row],[Σ Keep]],-1,0)</f>
        <v>0</v>
      </c>
      <c r="AH58" s="61">
        <f ca="1">(1+Overview!$I$29 + tech_7_1*TblTech[[#This Row],[7-1]])*SUM(TblImps[[#This Row],[P4]:[G4]])+OFFSET(TblImps[[#This Row],[Σ Spires]],-1,0)</f>
        <v>0</v>
      </c>
      <c r="AI58" s="61">
        <f ca="1">(1+Overview!$I$29)*SUM(TblImps[[#This Row],[P5]:[G5]])+OFFSET(TblImps[[#This Row],[Σ Forges]],-1,0)</f>
        <v>0</v>
      </c>
      <c r="AJ58" s="61">
        <f ca="1">(1+Overview!$I$29)*SUM(TblImps[[#This Row],[P6]:[G6]])+OFFSET(TblImps[[#This Row],[Σ Walls]],-1,0)</f>
        <v>0</v>
      </c>
      <c r="AK58" s="61">
        <f ca="1">(1+Overview!$I$29 + tech_7_1*TblTech[[#This Row],[7-1]])*SUM(TblImps[[#This Row],[P7]:[G7]])+OFFSET(TblImps[[#This Row],[Σ Harbor]],-1,0)</f>
        <v>0</v>
      </c>
      <c r="AL58" s="142"/>
      <c r="AM58" s="57">
        <f>IF(AND(TblImps[[#This Row],[Resource]]=AM$2,TblImps[[#This Row],[Part]]&lt;&gt;""),TblImps[[#This Row],[Amount]]) + IF(AND(TblImps[[#This Row],[Resource 2]]=AM$2,TblImps[[#This Row],[Part 2]]&lt;&gt;""),TblImps[[#This Row],[Amount 2]]) + IF(AND(TblImps[[#This Row],[Resource 3]]=AM$2,TblImps[[#This Row],[Part 3]]&lt;&gt;""),TblImps[[#This Row],[Amount 3]])</f>
        <v>0</v>
      </c>
      <c r="AN58" s="57">
        <f>IF(AND(TblImps[[#This Row],[Resource]]=AN$2,TblImps[[#This Row],[Part]]&lt;&gt;""),TblImps[[#This Row],[Amount]]) + IF(AND(TblImps[[#This Row],[Resource 2]]=AN$2,TblImps[[#This Row],[Part 2]]&lt;&gt;""),TblImps[[#This Row],[Amount 2]]) + IF(AND(TblImps[[#This Row],[Resource 3]]=AN$2,TblImps[[#This Row],[Part 3]]&lt;&gt;""),TblImps[[#This Row],[Amount 3]])</f>
        <v>0</v>
      </c>
      <c r="AO58" s="57">
        <f>IF(AND(TblImps[[#This Row],[Resource]]=AO$2,TblImps[[#This Row],[Part]]&lt;&gt;""),TblImps[[#This Row],[Amount]]) + IF(AND(TblImps[[#This Row],[Resource 2]]=AO$2,TblImps[[#This Row],[Part 2]]&lt;&gt;""),TblImps[[#This Row],[Amount 2]]) + IF(AND(TblImps[[#This Row],[Resource 3]]=AO$2,TblImps[[#This Row],[Part 3]]&lt;&gt;""),TblImps[[#This Row],[Amount 3]])</f>
        <v>0</v>
      </c>
      <c r="AP58" s="57">
        <f>IF(AND(TblImps[[#This Row],[Resource]]=AP$2,TblImps[[#This Row],[Part]]&lt;&gt;""),TblImps[[#This Row],[Amount]]) + IF(AND(TblImps[[#This Row],[Resource 2]]=AP$2,TblImps[[#This Row],[Part 2]]&lt;&gt;""),TblImps[[#This Row],[Amount 2]]) + IF(AND(TblImps[[#This Row],[Resource 3]]=AP$2,TblImps[[#This Row],[Part 3]]&lt;&gt;""),TblImps[[#This Row],[Amount 3]])</f>
        <v>0</v>
      </c>
      <c r="AQ58" s="142"/>
      <c r="AR5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8" s="142"/>
      <c r="AW5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8" s="142"/>
      <c r="BB5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8" s="142"/>
      <c r="BG5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8" s="142"/>
      <c r="BL5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8" s="142"/>
      <c r="BQ5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8" s="142"/>
      <c r="BV5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8" s="61">
        <f>TblImps[[#This Row],[Login]]</f>
        <v>0</v>
      </c>
      <c r="BX58" s="137"/>
      <c r="BY58" s="293">
        <f ca="1">OFFSET(TblImps[[#This Row],[Real time]],-1,0)+1/24</f>
        <v>46049.249999999869</v>
      </c>
      <c r="BZ58" s="294">
        <f ca="1">OFFSET(TblImps[[#This Row],[Servertime]],-1,0)+1/24</f>
        <v>46049.249999999869</v>
      </c>
      <c r="CA58" s="57"/>
      <c r="CB58" s="292"/>
      <c r="CC58" s="292"/>
    </row>
    <row r="59" spans="1:81" x14ac:dyDescent="0.2">
      <c r="A59" s="214">
        <f ca="1">TblConstr[[#This Row],[Land]]</f>
        <v>110</v>
      </c>
      <c r="B59" s="142"/>
      <c r="C59" s="94">
        <f ca="1">TblProd[[#This Row],[Platinum]]</f>
        <v>144166</v>
      </c>
      <c r="D59" s="94">
        <f ca="1">TblProd[[#This Row],[Lumber]]</f>
        <v>51093</v>
      </c>
      <c r="E59" s="94">
        <f ca="1">TblProd[[#This Row],[Ore]]</f>
        <v>0</v>
      </c>
      <c r="F59" s="94">
        <f ca="1">TblProd[[#This Row],[Gems]]</f>
        <v>0</v>
      </c>
      <c r="G59" s="154"/>
      <c r="H59" s="94">
        <f ca="1">TblMili[[#This Row],[Draftees]]</f>
        <v>499</v>
      </c>
      <c r="I59" s="180">
        <f ca="1">TblPop[[#This Row],[Employment]]</f>
        <v>1</v>
      </c>
      <c r="J59" s="180">
        <f ca="1">TblPop[[#This Row],[Total]]/TblPop[[#This Row],[Net max]]</f>
        <v>1</v>
      </c>
      <c r="K59" s="283">
        <f>TblRezone[[#This Row],[Hour]]</f>
        <v>56</v>
      </c>
      <c r="L59" s="284">
        <f ca="1">TblImps[[#This Row],[Real time]]</f>
        <v>46049.291666666533</v>
      </c>
      <c r="M59" s="61">
        <f>IF(ISERROR(TblImps[[#This Row],[algorithm]]),0,TblImps[[#This Row],[algorithm]]*1)</f>
        <v>0</v>
      </c>
      <c r="N59" s="94">
        <f ca="1">TblImps[[#This Row],[Land]]</f>
        <v>110</v>
      </c>
      <c r="O59" s="285" t="s">
        <v>4</v>
      </c>
      <c r="P59" s="286"/>
      <c r="Q59" s="285" t="s">
        <v>210</v>
      </c>
      <c r="R59" s="285" t="s">
        <v>7</v>
      </c>
      <c r="S59" s="286"/>
      <c r="T59" s="285" t="s">
        <v>210</v>
      </c>
      <c r="U59" s="285" t="s">
        <v>3</v>
      </c>
      <c r="V59" s="286"/>
      <c r="W59" s="285" t="s">
        <v>210</v>
      </c>
      <c r="X59" s="142"/>
      <c r="Y59" s="287">
        <f ca="1">science_cap*(1-EXP(-TblImps[[#This Row],[Σ Science]]/(science_param*(OFFSET(TblImps[[#This Row],[Land]],1,0)-OFFSET(TblExplore[[#This Row],[Land Bonus]],1,0)*20)+15000)))*(1+(mason_bonus*TblConstr[[#This Row],[Tot Mas]]/TblConstr[[#This Row],[Land (2)]]))</f>
        <v>0</v>
      </c>
      <c r="Z59" s="287">
        <f ca="1">keep_cap*(1-EXP(-TblImps[[#This Row],[Σ Keep]]/(keep_param*(OFFSET(TblImps[[#This Row],[Land]],1,0)-OFFSET(TblExplore[[#This Row],[Land Bonus]],1,0)*20)+15000)))*(1+(mason_bonus*TblConstr[[#This Row],[Tot Mas]]/TblConstr[[#This Row],[Land (2)]]))</f>
        <v>0</v>
      </c>
      <c r="AA59" s="287">
        <f ca="1">harbor_towers_cap*(1-EXP(-TblImps[[#This Row],[Σ Spires]]/(towers_param*(OFFSET(TblImps[[#This Row],[Land]],1,0)-OFFSET(TblExplore[[#This Row],[Land Bonus]],1,0)*20)+15000)))*(1+(mason_bonus*TblConstr[[#This Row],[Tot Mas]]/TblConstr[[#This Row],[Land (2)]]))</f>
        <v>0</v>
      </c>
      <c r="AB59" s="287">
        <f ca="1">walls_forges_cap*(1-EXP(-TblImps[[#This Row],[Σ Forges]]/(walls_forges_param*(OFFSET(TblImps[[#This Row],[Land]],1,0)-OFFSET(TblExplore[[#This Row],[Land Bonus]],1,0)*20)+15000)))*(1+(mason_bonus*TblConstr[[#This Row],[Tot Mas]]/TblConstr[[#This Row],[Land (2)]]))</f>
        <v>0</v>
      </c>
      <c r="AC59" s="287">
        <f ca="1">walls_forges_cap*(1-EXP(-TblImps[[#This Row],[Σ Walls]]/(walls_forges_param*(OFFSET(TblImps[[#This Row],[Land]],1,0)-OFFSET(TblExplore[[#This Row],[Land Bonus]],1,0)*20)+15000)))*(1+(mason_bonus*TblConstr[[#This Row],[Tot Mas]]/TblConstr[[#This Row],[Land (2)]]))</f>
        <v>0</v>
      </c>
      <c r="AD59" s="287">
        <f ca="1">harbor_towers_cap*(1-EXP(-TblImps[[#This Row],[Σ Harbor]]/(harbor_towers_param*(OFFSET(TblImps[[#This Row],[Land]],1,0)-OFFSET(TblExplore[[#This Row],[Land Bonus]],1,0)*20)+15000)))*(1+(mason_bonus*TblConstr[[#This Row],[Tot Mas]]/TblConstr[[#This Row],[Land (2)]]))</f>
        <v>0</v>
      </c>
      <c r="AE59" s="142"/>
      <c r="AF59" s="61">
        <f ca="1">(1+Overview!$I$29)*SUM(TblImps[[#This Row],[P2]:[G2]])+OFFSET(TblImps[[#This Row],[Σ Science]],-1,0)</f>
        <v>0</v>
      </c>
      <c r="AG59" s="61">
        <f ca="1">(1+Overview!$I$29)*SUM(TblImps[[#This Row],[P3]:[G3]])+OFFSET(TblImps[[#This Row],[Σ Keep]],-1,0)</f>
        <v>0</v>
      </c>
      <c r="AH59" s="61">
        <f ca="1">(1+Overview!$I$29 + tech_7_1*TblTech[[#This Row],[7-1]])*SUM(TblImps[[#This Row],[P4]:[G4]])+OFFSET(TblImps[[#This Row],[Σ Spires]],-1,0)</f>
        <v>0</v>
      </c>
      <c r="AI59" s="61">
        <f ca="1">(1+Overview!$I$29)*SUM(TblImps[[#This Row],[P5]:[G5]])+OFFSET(TblImps[[#This Row],[Σ Forges]],-1,0)</f>
        <v>0</v>
      </c>
      <c r="AJ59" s="61">
        <f ca="1">(1+Overview!$I$29)*SUM(TblImps[[#This Row],[P6]:[G6]])+OFFSET(TblImps[[#This Row],[Σ Walls]],-1,0)</f>
        <v>0</v>
      </c>
      <c r="AK59" s="61">
        <f ca="1">(1+Overview!$I$29 + tech_7_1*TblTech[[#This Row],[7-1]])*SUM(TblImps[[#This Row],[P7]:[G7]])+OFFSET(TblImps[[#This Row],[Σ Harbor]],-1,0)</f>
        <v>0</v>
      </c>
      <c r="AL59" s="142"/>
      <c r="AM59" s="57">
        <f>IF(AND(TblImps[[#This Row],[Resource]]=AM$2,TblImps[[#This Row],[Part]]&lt;&gt;""),TblImps[[#This Row],[Amount]]) + IF(AND(TblImps[[#This Row],[Resource 2]]=AM$2,TblImps[[#This Row],[Part 2]]&lt;&gt;""),TblImps[[#This Row],[Amount 2]]) + IF(AND(TblImps[[#This Row],[Resource 3]]=AM$2,TblImps[[#This Row],[Part 3]]&lt;&gt;""),TblImps[[#This Row],[Amount 3]])</f>
        <v>0</v>
      </c>
      <c r="AN59" s="57">
        <f>IF(AND(TblImps[[#This Row],[Resource]]=AN$2,TblImps[[#This Row],[Part]]&lt;&gt;""),TblImps[[#This Row],[Amount]]) + IF(AND(TblImps[[#This Row],[Resource 2]]=AN$2,TblImps[[#This Row],[Part 2]]&lt;&gt;""),TblImps[[#This Row],[Amount 2]]) + IF(AND(TblImps[[#This Row],[Resource 3]]=AN$2,TblImps[[#This Row],[Part 3]]&lt;&gt;""),TblImps[[#This Row],[Amount 3]])</f>
        <v>0</v>
      </c>
      <c r="AO59" s="57">
        <f>IF(AND(TblImps[[#This Row],[Resource]]=AO$2,TblImps[[#This Row],[Part]]&lt;&gt;""),TblImps[[#This Row],[Amount]]) + IF(AND(TblImps[[#This Row],[Resource 2]]=AO$2,TblImps[[#This Row],[Part 2]]&lt;&gt;""),TblImps[[#This Row],[Amount 2]]) + IF(AND(TblImps[[#This Row],[Resource 3]]=AO$2,TblImps[[#This Row],[Part 3]]&lt;&gt;""),TblImps[[#This Row],[Amount 3]])</f>
        <v>0</v>
      </c>
      <c r="AP59" s="57">
        <f>IF(AND(TblImps[[#This Row],[Resource]]=AP$2,TblImps[[#This Row],[Part]]&lt;&gt;""),TblImps[[#This Row],[Amount]]) + IF(AND(TblImps[[#This Row],[Resource 2]]=AP$2,TblImps[[#This Row],[Part 2]]&lt;&gt;""),TblImps[[#This Row],[Amount 2]]) + IF(AND(TblImps[[#This Row],[Resource 3]]=AP$2,TblImps[[#This Row],[Part 3]]&lt;&gt;""),TblImps[[#This Row],[Amount 3]])</f>
        <v>0</v>
      </c>
      <c r="AQ59" s="142"/>
      <c r="AR5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5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5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5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59" s="142"/>
      <c r="AW5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5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5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5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59" s="142"/>
      <c r="BB5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5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5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5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59" s="142"/>
      <c r="BG5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5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5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5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59" s="142"/>
      <c r="BL5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5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5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5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59" s="142"/>
      <c r="BQ5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5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5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5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59" s="142"/>
      <c r="BV5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59" s="61">
        <f>TblImps[[#This Row],[Login]]</f>
        <v>0</v>
      </c>
      <c r="BX59" s="137"/>
      <c r="BY59" s="293">
        <f ca="1">OFFSET(TblImps[[#This Row],[Real time]],-1,0)+1/24</f>
        <v>46049.291666666533</v>
      </c>
      <c r="BZ59" s="294">
        <f ca="1">OFFSET(TblImps[[#This Row],[Servertime]],-1,0)+1/24</f>
        <v>46049.291666666533</v>
      </c>
      <c r="CA59" s="57"/>
      <c r="CB59" s="292"/>
      <c r="CC59" s="292"/>
    </row>
    <row r="60" spans="1:81" x14ac:dyDescent="0.2">
      <c r="A60" s="214">
        <f ca="1">TblConstr[[#This Row],[Land]]</f>
        <v>110</v>
      </c>
      <c r="B60" s="142"/>
      <c r="C60" s="94">
        <f ca="1">TblProd[[#This Row],[Platinum]]</f>
        <v>145723</v>
      </c>
      <c r="D60" s="94">
        <f ca="1">TblProd[[#This Row],[Lumber]]</f>
        <v>51582</v>
      </c>
      <c r="E60" s="94">
        <f ca="1">TblProd[[#This Row],[Ore]]</f>
        <v>0</v>
      </c>
      <c r="F60" s="94">
        <f ca="1">TblProd[[#This Row],[Gems]]</f>
        <v>0</v>
      </c>
      <c r="G60" s="154"/>
      <c r="H60" s="94">
        <f ca="1">TblMili[[#This Row],[Draftees]]</f>
        <v>505</v>
      </c>
      <c r="I60" s="180">
        <f ca="1">TblPop[[#This Row],[Employment]]</f>
        <v>1</v>
      </c>
      <c r="J60" s="180">
        <f ca="1">TblPop[[#This Row],[Total]]/TblPop[[#This Row],[Net max]]</f>
        <v>1</v>
      </c>
      <c r="K60" s="283">
        <f>TblRezone[[#This Row],[Hour]]</f>
        <v>57</v>
      </c>
      <c r="L60" s="284">
        <f ca="1">TblImps[[#This Row],[Real time]]</f>
        <v>46049.333333333198</v>
      </c>
      <c r="M60" s="61">
        <f>IF(ISERROR(TblImps[[#This Row],[algorithm]]),0,TblImps[[#This Row],[algorithm]]*1)</f>
        <v>0</v>
      </c>
      <c r="N60" s="94">
        <f ca="1">TblImps[[#This Row],[Land]]</f>
        <v>110</v>
      </c>
      <c r="O60" s="285" t="s">
        <v>4</v>
      </c>
      <c r="P60" s="286"/>
      <c r="Q60" s="285" t="s">
        <v>210</v>
      </c>
      <c r="R60" s="285" t="s">
        <v>7</v>
      </c>
      <c r="S60" s="286"/>
      <c r="T60" s="285" t="s">
        <v>210</v>
      </c>
      <c r="U60" s="285" t="s">
        <v>3</v>
      </c>
      <c r="V60" s="286"/>
      <c r="W60" s="285" t="s">
        <v>210</v>
      </c>
      <c r="X60" s="142"/>
      <c r="Y60" s="287">
        <f ca="1">science_cap*(1-EXP(-TblImps[[#This Row],[Σ Science]]/(science_param*(OFFSET(TblImps[[#This Row],[Land]],1,0)-OFFSET(TblExplore[[#This Row],[Land Bonus]],1,0)*20)+15000)))*(1+(mason_bonus*TblConstr[[#This Row],[Tot Mas]]/TblConstr[[#This Row],[Land (2)]]))</f>
        <v>0</v>
      </c>
      <c r="Z60" s="287">
        <f ca="1">keep_cap*(1-EXP(-TblImps[[#This Row],[Σ Keep]]/(keep_param*(OFFSET(TblImps[[#This Row],[Land]],1,0)-OFFSET(TblExplore[[#This Row],[Land Bonus]],1,0)*20)+15000)))*(1+(mason_bonus*TblConstr[[#This Row],[Tot Mas]]/TblConstr[[#This Row],[Land (2)]]))</f>
        <v>0</v>
      </c>
      <c r="AA60" s="287">
        <f ca="1">harbor_towers_cap*(1-EXP(-TblImps[[#This Row],[Σ Spires]]/(towers_param*(OFFSET(TblImps[[#This Row],[Land]],1,0)-OFFSET(TblExplore[[#This Row],[Land Bonus]],1,0)*20)+15000)))*(1+(mason_bonus*TblConstr[[#This Row],[Tot Mas]]/TblConstr[[#This Row],[Land (2)]]))</f>
        <v>0</v>
      </c>
      <c r="AB60" s="287">
        <f ca="1">walls_forges_cap*(1-EXP(-TblImps[[#This Row],[Σ Forges]]/(walls_forges_param*(OFFSET(TblImps[[#This Row],[Land]],1,0)-OFFSET(TblExplore[[#This Row],[Land Bonus]],1,0)*20)+15000)))*(1+(mason_bonus*TblConstr[[#This Row],[Tot Mas]]/TblConstr[[#This Row],[Land (2)]]))</f>
        <v>0</v>
      </c>
      <c r="AC60" s="287">
        <f ca="1">walls_forges_cap*(1-EXP(-TblImps[[#This Row],[Σ Walls]]/(walls_forges_param*(OFFSET(TblImps[[#This Row],[Land]],1,0)-OFFSET(TblExplore[[#This Row],[Land Bonus]],1,0)*20)+15000)))*(1+(mason_bonus*TblConstr[[#This Row],[Tot Mas]]/TblConstr[[#This Row],[Land (2)]]))</f>
        <v>0</v>
      </c>
      <c r="AD60" s="287">
        <f ca="1">harbor_towers_cap*(1-EXP(-TblImps[[#This Row],[Σ Harbor]]/(harbor_towers_param*(OFFSET(TblImps[[#This Row],[Land]],1,0)-OFFSET(TblExplore[[#This Row],[Land Bonus]],1,0)*20)+15000)))*(1+(mason_bonus*TblConstr[[#This Row],[Tot Mas]]/TblConstr[[#This Row],[Land (2)]]))</f>
        <v>0</v>
      </c>
      <c r="AE60" s="142"/>
      <c r="AF60" s="61">
        <f ca="1">(1+Overview!$I$29)*SUM(TblImps[[#This Row],[P2]:[G2]])+OFFSET(TblImps[[#This Row],[Σ Science]],-1,0)</f>
        <v>0</v>
      </c>
      <c r="AG60" s="61">
        <f ca="1">(1+Overview!$I$29)*SUM(TblImps[[#This Row],[P3]:[G3]])+OFFSET(TblImps[[#This Row],[Σ Keep]],-1,0)</f>
        <v>0</v>
      </c>
      <c r="AH60" s="61">
        <f ca="1">(1+Overview!$I$29 + tech_7_1*TblTech[[#This Row],[7-1]])*SUM(TblImps[[#This Row],[P4]:[G4]])+OFFSET(TblImps[[#This Row],[Σ Spires]],-1,0)</f>
        <v>0</v>
      </c>
      <c r="AI60" s="61">
        <f ca="1">(1+Overview!$I$29)*SUM(TblImps[[#This Row],[P5]:[G5]])+OFFSET(TblImps[[#This Row],[Σ Forges]],-1,0)</f>
        <v>0</v>
      </c>
      <c r="AJ60" s="61">
        <f ca="1">(1+Overview!$I$29)*SUM(TblImps[[#This Row],[P6]:[G6]])+OFFSET(TblImps[[#This Row],[Σ Walls]],-1,0)</f>
        <v>0</v>
      </c>
      <c r="AK60" s="61">
        <f ca="1">(1+Overview!$I$29 + tech_7_1*TblTech[[#This Row],[7-1]])*SUM(TblImps[[#This Row],[P7]:[G7]])+OFFSET(TblImps[[#This Row],[Σ Harbor]],-1,0)</f>
        <v>0</v>
      </c>
      <c r="AL60" s="142"/>
      <c r="AM60" s="57">
        <f>IF(AND(TblImps[[#This Row],[Resource]]=AM$2,TblImps[[#This Row],[Part]]&lt;&gt;""),TblImps[[#This Row],[Amount]]) + IF(AND(TblImps[[#This Row],[Resource 2]]=AM$2,TblImps[[#This Row],[Part 2]]&lt;&gt;""),TblImps[[#This Row],[Amount 2]]) + IF(AND(TblImps[[#This Row],[Resource 3]]=AM$2,TblImps[[#This Row],[Part 3]]&lt;&gt;""),TblImps[[#This Row],[Amount 3]])</f>
        <v>0</v>
      </c>
      <c r="AN60" s="57">
        <f>IF(AND(TblImps[[#This Row],[Resource]]=AN$2,TblImps[[#This Row],[Part]]&lt;&gt;""),TblImps[[#This Row],[Amount]]) + IF(AND(TblImps[[#This Row],[Resource 2]]=AN$2,TblImps[[#This Row],[Part 2]]&lt;&gt;""),TblImps[[#This Row],[Amount 2]]) + IF(AND(TblImps[[#This Row],[Resource 3]]=AN$2,TblImps[[#This Row],[Part 3]]&lt;&gt;""),TblImps[[#This Row],[Amount 3]])</f>
        <v>0</v>
      </c>
      <c r="AO60" s="57">
        <f>IF(AND(TblImps[[#This Row],[Resource]]=AO$2,TblImps[[#This Row],[Part]]&lt;&gt;""),TblImps[[#This Row],[Amount]]) + IF(AND(TblImps[[#This Row],[Resource 2]]=AO$2,TblImps[[#This Row],[Part 2]]&lt;&gt;""),TblImps[[#This Row],[Amount 2]]) + IF(AND(TblImps[[#This Row],[Resource 3]]=AO$2,TblImps[[#This Row],[Part 3]]&lt;&gt;""),TblImps[[#This Row],[Amount 3]])</f>
        <v>0</v>
      </c>
      <c r="AP60" s="57">
        <f>IF(AND(TblImps[[#This Row],[Resource]]=AP$2,TblImps[[#This Row],[Part]]&lt;&gt;""),TblImps[[#This Row],[Amount]]) + IF(AND(TblImps[[#This Row],[Resource 2]]=AP$2,TblImps[[#This Row],[Part 2]]&lt;&gt;""),TblImps[[#This Row],[Amount 2]]) + IF(AND(TblImps[[#This Row],[Resource 3]]=AP$2,TblImps[[#This Row],[Part 3]]&lt;&gt;""),TblImps[[#This Row],[Amount 3]])</f>
        <v>0</v>
      </c>
      <c r="AQ60" s="142"/>
      <c r="AR6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0" s="142"/>
      <c r="AW6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0" s="142"/>
      <c r="BB6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0" s="142"/>
      <c r="BG6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0" s="142"/>
      <c r="BL6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0" s="142"/>
      <c r="BQ6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0" s="142"/>
      <c r="BV6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0" s="61">
        <f>TblImps[[#This Row],[Login]]</f>
        <v>0</v>
      </c>
      <c r="BX60" s="137"/>
      <c r="BY60" s="293">
        <f ca="1">OFFSET(TblImps[[#This Row],[Real time]],-1,0)+1/24</f>
        <v>46049.333333333198</v>
      </c>
      <c r="BZ60" s="294">
        <f ca="1">OFFSET(TblImps[[#This Row],[Servertime]],-1,0)+1/24</f>
        <v>46049.333333333198</v>
      </c>
      <c r="CA60" s="57"/>
      <c r="CB60" s="292"/>
      <c r="CC60" s="292"/>
    </row>
    <row r="61" spans="1:81" x14ac:dyDescent="0.2">
      <c r="A61" s="214">
        <f ca="1">TblConstr[[#This Row],[Land]]</f>
        <v>110</v>
      </c>
      <c r="B61" s="142"/>
      <c r="C61" s="94">
        <f ca="1">TblProd[[#This Row],[Platinum]]</f>
        <v>147264</v>
      </c>
      <c r="D61" s="94">
        <f ca="1">TblProd[[#This Row],[Lumber]]</f>
        <v>52066</v>
      </c>
      <c r="E61" s="94">
        <f ca="1">TblProd[[#This Row],[Ore]]</f>
        <v>0</v>
      </c>
      <c r="F61" s="94">
        <f ca="1">TblProd[[#This Row],[Gems]]</f>
        <v>0</v>
      </c>
      <c r="G61" s="154"/>
      <c r="H61" s="94">
        <f ca="1">TblMili[[#This Row],[Draftees]]</f>
        <v>511</v>
      </c>
      <c r="I61" s="180">
        <f ca="1">TblPop[[#This Row],[Employment]]</f>
        <v>1</v>
      </c>
      <c r="J61" s="180">
        <f ca="1">TblPop[[#This Row],[Total]]/TblPop[[#This Row],[Net max]]</f>
        <v>1</v>
      </c>
      <c r="K61" s="283">
        <f>TblRezone[[#This Row],[Hour]]</f>
        <v>58</v>
      </c>
      <c r="L61" s="284">
        <f ca="1">TblImps[[#This Row],[Real time]]</f>
        <v>46049.374999999862</v>
      </c>
      <c r="M61" s="61">
        <f>IF(ISERROR(TblImps[[#This Row],[algorithm]]),0,TblImps[[#This Row],[algorithm]]*1)</f>
        <v>0</v>
      </c>
      <c r="N61" s="94">
        <f ca="1">TblImps[[#This Row],[Land]]</f>
        <v>110</v>
      </c>
      <c r="O61" s="285" t="s">
        <v>4</v>
      </c>
      <c r="P61" s="286"/>
      <c r="Q61" s="285" t="s">
        <v>210</v>
      </c>
      <c r="R61" s="285" t="s">
        <v>7</v>
      </c>
      <c r="S61" s="286"/>
      <c r="T61" s="285" t="s">
        <v>210</v>
      </c>
      <c r="U61" s="285" t="s">
        <v>3</v>
      </c>
      <c r="V61" s="286"/>
      <c r="W61" s="285" t="s">
        <v>210</v>
      </c>
      <c r="X61" s="142"/>
      <c r="Y61" s="287">
        <f ca="1">science_cap*(1-EXP(-TblImps[[#This Row],[Σ Science]]/(science_param*(OFFSET(TblImps[[#This Row],[Land]],1,0)-OFFSET(TblExplore[[#This Row],[Land Bonus]],1,0)*20)+15000)))*(1+(mason_bonus*TblConstr[[#This Row],[Tot Mas]]/TblConstr[[#This Row],[Land (2)]]))</f>
        <v>0</v>
      </c>
      <c r="Z61" s="287">
        <f ca="1">keep_cap*(1-EXP(-TblImps[[#This Row],[Σ Keep]]/(keep_param*(OFFSET(TblImps[[#This Row],[Land]],1,0)-OFFSET(TblExplore[[#This Row],[Land Bonus]],1,0)*20)+15000)))*(1+(mason_bonus*TblConstr[[#This Row],[Tot Mas]]/TblConstr[[#This Row],[Land (2)]]))</f>
        <v>0</v>
      </c>
      <c r="AA61" s="287">
        <f ca="1">harbor_towers_cap*(1-EXP(-TblImps[[#This Row],[Σ Spires]]/(towers_param*(OFFSET(TblImps[[#This Row],[Land]],1,0)-OFFSET(TblExplore[[#This Row],[Land Bonus]],1,0)*20)+15000)))*(1+(mason_bonus*TblConstr[[#This Row],[Tot Mas]]/TblConstr[[#This Row],[Land (2)]]))</f>
        <v>0</v>
      </c>
      <c r="AB61" s="287">
        <f ca="1">walls_forges_cap*(1-EXP(-TblImps[[#This Row],[Σ Forges]]/(walls_forges_param*(OFFSET(TblImps[[#This Row],[Land]],1,0)-OFFSET(TblExplore[[#This Row],[Land Bonus]],1,0)*20)+15000)))*(1+(mason_bonus*TblConstr[[#This Row],[Tot Mas]]/TblConstr[[#This Row],[Land (2)]]))</f>
        <v>0</v>
      </c>
      <c r="AC61" s="287">
        <f ca="1">walls_forges_cap*(1-EXP(-TblImps[[#This Row],[Σ Walls]]/(walls_forges_param*(OFFSET(TblImps[[#This Row],[Land]],1,0)-OFFSET(TblExplore[[#This Row],[Land Bonus]],1,0)*20)+15000)))*(1+(mason_bonus*TblConstr[[#This Row],[Tot Mas]]/TblConstr[[#This Row],[Land (2)]]))</f>
        <v>0</v>
      </c>
      <c r="AD61" s="287">
        <f ca="1">harbor_towers_cap*(1-EXP(-TblImps[[#This Row],[Σ Harbor]]/(harbor_towers_param*(OFFSET(TblImps[[#This Row],[Land]],1,0)-OFFSET(TblExplore[[#This Row],[Land Bonus]],1,0)*20)+15000)))*(1+(mason_bonus*TblConstr[[#This Row],[Tot Mas]]/TblConstr[[#This Row],[Land (2)]]))</f>
        <v>0</v>
      </c>
      <c r="AE61" s="142"/>
      <c r="AF61" s="61">
        <f ca="1">(1+Overview!$I$29)*SUM(TblImps[[#This Row],[P2]:[G2]])+OFFSET(TblImps[[#This Row],[Σ Science]],-1,0)</f>
        <v>0</v>
      </c>
      <c r="AG61" s="61">
        <f ca="1">(1+Overview!$I$29)*SUM(TblImps[[#This Row],[P3]:[G3]])+OFFSET(TblImps[[#This Row],[Σ Keep]],-1,0)</f>
        <v>0</v>
      </c>
      <c r="AH61" s="61">
        <f ca="1">(1+Overview!$I$29 + tech_7_1*TblTech[[#This Row],[7-1]])*SUM(TblImps[[#This Row],[P4]:[G4]])+OFFSET(TblImps[[#This Row],[Σ Spires]],-1,0)</f>
        <v>0</v>
      </c>
      <c r="AI61" s="61">
        <f ca="1">(1+Overview!$I$29)*SUM(TblImps[[#This Row],[P5]:[G5]])+OFFSET(TblImps[[#This Row],[Σ Forges]],-1,0)</f>
        <v>0</v>
      </c>
      <c r="AJ61" s="61">
        <f ca="1">(1+Overview!$I$29)*SUM(TblImps[[#This Row],[P6]:[G6]])+OFFSET(TblImps[[#This Row],[Σ Walls]],-1,0)</f>
        <v>0</v>
      </c>
      <c r="AK61" s="61">
        <f ca="1">(1+Overview!$I$29 + tech_7_1*TblTech[[#This Row],[7-1]])*SUM(TblImps[[#This Row],[P7]:[G7]])+OFFSET(TblImps[[#This Row],[Σ Harbor]],-1,0)</f>
        <v>0</v>
      </c>
      <c r="AL61" s="142"/>
      <c r="AM61" s="57">
        <f>IF(AND(TblImps[[#This Row],[Resource]]=AM$2,TblImps[[#This Row],[Part]]&lt;&gt;""),TblImps[[#This Row],[Amount]]) + IF(AND(TblImps[[#This Row],[Resource 2]]=AM$2,TblImps[[#This Row],[Part 2]]&lt;&gt;""),TblImps[[#This Row],[Amount 2]]) + IF(AND(TblImps[[#This Row],[Resource 3]]=AM$2,TblImps[[#This Row],[Part 3]]&lt;&gt;""),TblImps[[#This Row],[Amount 3]])</f>
        <v>0</v>
      </c>
      <c r="AN61" s="57">
        <f>IF(AND(TblImps[[#This Row],[Resource]]=AN$2,TblImps[[#This Row],[Part]]&lt;&gt;""),TblImps[[#This Row],[Amount]]) + IF(AND(TblImps[[#This Row],[Resource 2]]=AN$2,TblImps[[#This Row],[Part 2]]&lt;&gt;""),TblImps[[#This Row],[Amount 2]]) + IF(AND(TblImps[[#This Row],[Resource 3]]=AN$2,TblImps[[#This Row],[Part 3]]&lt;&gt;""),TblImps[[#This Row],[Amount 3]])</f>
        <v>0</v>
      </c>
      <c r="AO61" s="57">
        <f>IF(AND(TblImps[[#This Row],[Resource]]=AO$2,TblImps[[#This Row],[Part]]&lt;&gt;""),TblImps[[#This Row],[Amount]]) + IF(AND(TblImps[[#This Row],[Resource 2]]=AO$2,TblImps[[#This Row],[Part 2]]&lt;&gt;""),TblImps[[#This Row],[Amount 2]]) + IF(AND(TblImps[[#This Row],[Resource 3]]=AO$2,TblImps[[#This Row],[Part 3]]&lt;&gt;""),TblImps[[#This Row],[Amount 3]])</f>
        <v>0</v>
      </c>
      <c r="AP61" s="57">
        <f>IF(AND(TblImps[[#This Row],[Resource]]=AP$2,TblImps[[#This Row],[Part]]&lt;&gt;""),TblImps[[#This Row],[Amount]]) + IF(AND(TblImps[[#This Row],[Resource 2]]=AP$2,TblImps[[#This Row],[Part 2]]&lt;&gt;""),TblImps[[#This Row],[Amount 2]]) + IF(AND(TblImps[[#This Row],[Resource 3]]=AP$2,TblImps[[#This Row],[Part 3]]&lt;&gt;""),TblImps[[#This Row],[Amount 3]])</f>
        <v>0</v>
      </c>
      <c r="AQ61" s="142"/>
      <c r="AR6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1" s="142"/>
      <c r="AW6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1" s="142"/>
      <c r="BB6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1" s="142"/>
      <c r="BG6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1" s="142"/>
      <c r="BL6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1" s="142"/>
      <c r="BQ6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1" s="142"/>
      <c r="BV6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1" s="61">
        <f>TblImps[[#This Row],[Login]]</f>
        <v>0</v>
      </c>
      <c r="BX61" s="137"/>
      <c r="BY61" s="293">
        <f ca="1">OFFSET(TblImps[[#This Row],[Real time]],-1,0)+1/24</f>
        <v>46049.374999999862</v>
      </c>
      <c r="BZ61" s="294">
        <f ca="1">OFFSET(TblImps[[#This Row],[Servertime]],-1,0)+1/24</f>
        <v>46049.374999999862</v>
      </c>
      <c r="CA61" s="57"/>
      <c r="CB61" s="292"/>
      <c r="CC61" s="292"/>
    </row>
    <row r="62" spans="1:81" x14ac:dyDescent="0.2">
      <c r="A62" s="214">
        <f ca="1">TblConstr[[#This Row],[Land]]</f>
        <v>110</v>
      </c>
      <c r="B62" s="142"/>
      <c r="C62" s="94">
        <f ca="1">TblProd[[#This Row],[Platinum]]</f>
        <v>148789</v>
      </c>
      <c r="D62" s="94">
        <f ca="1">TblProd[[#This Row],[Lumber]]</f>
        <v>52545</v>
      </c>
      <c r="E62" s="94">
        <f ca="1">TblProd[[#This Row],[Ore]]</f>
        <v>0</v>
      </c>
      <c r="F62" s="94">
        <f ca="1">TblProd[[#This Row],[Gems]]</f>
        <v>0</v>
      </c>
      <c r="G62" s="154"/>
      <c r="H62" s="94">
        <f ca="1">TblMili[[#This Row],[Draftees]]</f>
        <v>517</v>
      </c>
      <c r="I62" s="180">
        <f ca="1">TblPop[[#This Row],[Employment]]</f>
        <v>1</v>
      </c>
      <c r="J62" s="180">
        <f ca="1">TblPop[[#This Row],[Total]]/TblPop[[#This Row],[Net max]]</f>
        <v>1</v>
      </c>
      <c r="K62" s="283">
        <f>TblRezone[[#This Row],[Hour]]</f>
        <v>59</v>
      </c>
      <c r="L62" s="284">
        <f ca="1">TblImps[[#This Row],[Real time]]</f>
        <v>46049.416666666526</v>
      </c>
      <c r="M62" s="61">
        <f>IF(ISERROR(TblImps[[#This Row],[algorithm]]),0,TblImps[[#This Row],[algorithm]]*1)</f>
        <v>0</v>
      </c>
      <c r="N62" s="94">
        <f ca="1">TblImps[[#This Row],[Land]]</f>
        <v>110</v>
      </c>
      <c r="O62" s="285" t="s">
        <v>4</v>
      </c>
      <c r="P62" s="286"/>
      <c r="Q62" s="285" t="s">
        <v>210</v>
      </c>
      <c r="R62" s="285" t="s">
        <v>7</v>
      </c>
      <c r="S62" s="286"/>
      <c r="T62" s="285" t="s">
        <v>210</v>
      </c>
      <c r="U62" s="285" t="s">
        <v>3</v>
      </c>
      <c r="V62" s="286"/>
      <c r="W62" s="285" t="s">
        <v>210</v>
      </c>
      <c r="X62" s="142"/>
      <c r="Y62" s="287">
        <f ca="1">science_cap*(1-EXP(-TblImps[[#This Row],[Σ Science]]/(science_param*(OFFSET(TblImps[[#This Row],[Land]],1,0)-OFFSET(TblExplore[[#This Row],[Land Bonus]],1,0)*20)+15000)))*(1+(mason_bonus*TblConstr[[#This Row],[Tot Mas]]/TblConstr[[#This Row],[Land (2)]]))</f>
        <v>0</v>
      </c>
      <c r="Z62" s="287">
        <f ca="1">keep_cap*(1-EXP(-TblImps[[#This Row],[Σ Keep]]/(keep_param*(OFFSET(TblImps[[#This Row],[Land]],1,0)-OFFSET(TblExplore[[#This Row],[Land Bonus]],1,0)*20)+15000)))*(1+(mason_bonus*TblConstr[[#This Row],[Tot Mas]]/TblConstr[[#This Row],[Land (2)]]))</f>
        <v>0</v>
      </c>
      <c r="AA62" s="287">
        <f ca="1">harbor_towers_cap*(1-EXP(-TblImps[[#This Row],[Σ Spires]]/(towers_param*(OFFSET(TblImps[[#This Row],[Land]],1,0)-OFFSET(TblExplore[[#This Row],[Land Bonus]],1,0)*20)+15000)))*(1+(mason_bonus*TblConstr[[#This Row],[Tot Mas]]/TblConstr[[#This Row],[Land (2)]]))</f>
        <v>0</v>
      </c>
      <c r="AB62" s="287">
        <f ca="1">walls_forges_cap*(1-EXP(-TblImps[[#This Row],[Σ Forges]]/(walls_forges_param*(OFFSET(TblImps[[#This Row],[Land]],1,0)-OFFSET(TblExplore[[#This Row],[Land Bonus]],1,0)*20)+15000)))*(1+(mason_bonus*TblConstr[[#This Row],[Tot Mas]]/TblConstr[[#This Row],[Land (2)]]))</f>
        <v>0</v>
      </c>
      <c r="AC62" s="287">
        <f ca="1">walls_forges_cap*(1-EXP(-TblImps[[#This Row],[Σ Walls]]/(walls_forges_param*(OFFSET(TblImps[[#This Row],[Land]],1,0)-OFFSET(TblExplore[[#This Row],[Land Bonus]],1,0)*20)+15000)))*(1+(mason_bonus*TblConstr[[#This Row],[Tot Mas]]/TblConstr[[#This Row],[Land (2)]]))</f>
        <v>0</v>
      </c>
      <c r="AD62" s="287">
        <f ca="1">harbor_towers_cap*(1-EXP(-TblImps[[#This Row],[Σ Harbor]]/(harbor_towers_param*(OFFSET(TblImps[[#This Row],[Land]],1,0)-OFFSET(TblExplore[[#This Row],[Land Bonus]],1,0)*20)+15000)))*(1+(mason_bonus*TblConstr[[#This Row],[Tot Mas]]/TblConstr[[#This Row],[Land (2)]]))</f>
        <v>0</v>
      </c>
      <c r="AE62" s="142"/>
      <c r="AF62" s="61">
        <f ca="1">(1+Overview!$I$29)*SUM(TblImps[[#This Row],[P2]:[G2]])+OFFSET(TblImps[[#This Row],[Σ Science]],-1,0)</f>
        <v>0</v>
      </c>
      <c r="AG62" s="61">
        <f ca="1">(1+Overview!$I$29)*SUM(TblImps[[#This Row],[P3]:[G3]])+OFFSET(TblImps[[#This Row],[Σ Keep]],-1,0)</f>
        <v>0</v>
      </c>
      <c r="AH62" s="61">
        <f ca="1">(1+Overview!$I$29 + tech_7_1*TblTech[[#This Row],[7-1]])*SUM(TblImps[[#This Row],[P4]:[G4]])+OFFSET(TblImps[[#This Row],[Σ Spires]],-1,0)</f>
        <v>0</v>
      </c>
      <c r="AI62" s="61">
        <f ca="1">(1+Overview!$I$29)*SUM(TblImps[[#This Row],[P5]:[G5]])+OFFSET(TblImps[[#This Row],[Σ Forges]],-1,0)</f>
        <v>0</v>
      </c>
      <c r="AJ62" s="61">
        <f ca="1">(1+Overview!$I$29)*SUM(TblImps[[#This Row],[P6]:[G6]])+OFFSET(TblImps[[#This Row],[Σ Walls]],-1,0)</f>
        <v>0</v>
      </c>
      <c r="AK62" s="61">
        <f ca="1">(1+Overview!$I$29 + tech_7_1*TblTech[[#This Row],[7-1]])*SUM(TblImps[[#This Row],[P7]:[G7]])+OFFSET(TblImps[[#This Row],[Σ Harbor]],-1,0)</f>
        <v>0</v>
      </c>
      <c r="AL62" s="142"/>
      <c r="AM62" s="57">
        <f>IF(AND(TblImps[[#This Row],[Resource]]=AM$2,TblImps[[#This Row],[Part]]&lt;&gt;""),TblImps[[#This Row],[Amount]]) + IF(AND(TblImps[[#This Row],[Resource 2]]=AM$2,TblImps[[#This Row],[Part 2]]&lt;&gt;""),TblImps[[#This Row],[Amount 2]]) + IF(AND(TblImps[[#This Row],[Resource 3]]=AM$2,TblImps[[#This Row],[Part 3]]&lt;&gt;""),TblImps[[#This Row],[Amount 3]])</f>
        <v>0</v>
      </c>
      <c r="AN62" s="57">
        <f>IF(AND(TblImps[[#This Row],[Resource]]=AN$2,TblImps[[#This Row],[Part]]&lt;&gt;""),TblImps[[#This Row],[Amount]]) + IF(AND(TblImps[[#This Row],[Resource 2]]=AN$2,TblImps[[#This Row],[Part 2]]&lt;&gt;""),TblImps[[#This Row],[Amount 2]]) + IF(AND(TblImps[[#This Row],[Resource 3]]=AN$2,TblImps[[#This Row],[Part 3]]&lt;&gt;""),TblImps[[#This Row],[Amount 3]])</f>
        <v>0</v>
      </c>
      <c r="AO62" s="57">
        <f>IF(AND(TblImps[[#This Row],[Resource]]=AO$2,TblImps[[#This Row],[Part]]&lt;&gt;""),TblImps[[#This Row],[Amount]]) + IF(AND(TblImps[[#This Row],[Resource 2]]=AO$2,TblImps[[#This Row],[Part 2]]&lt;&gt;""),TblImps[[#This Row],[Amount 2]]) + IF(AND(TblImps[[#This Row],[Resource 3]]=AO$2,TblImps[[#This Row],[Part 3]]&lt;&gt;""),TblImps[[#This Row],[Amount 3]])</f>
        <v>0</v>
      </c>
      <c r="AP62" s="57">
        <f>IF(AND(TblImps[[#This Row],[Resource]]=AP$2,TblImps[[#This Row],[Part]]&lt;&gt;""),TblImps[[#This Row],[Amount]]) + IF(AND(TblImps[[#This Row],[Resource 2]]=AP$2,TblImps[[#This Row],[Part 2]]&lt;&gt;""),TblImps[[#This Row],[Amount 2]]) + IF(AND(TblImps[[#This Row],[Resource 3]]=AP$2,TblImps[[#This Row],[Part 3]]&lt;&gt;""),TblImps[[#This Row],[Amount 3]])</f>
        <v>0</v>
      </c>
      <c r="AQ62" s="142"/>
      <c r="AR6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2" s="142"/>
      <c r="AW6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2" s="142"/>
      <c r="BB6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2" s="142"/>
      <c r="BG6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2" s="142"/>
      <c r="BL6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2" s="142"/>
      <c r="BQ6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2" s="142"/>
      <c r="BV6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2" s="61">
        <f>TblImps[[#This Row],[Login]]</f>
        <v>0</v>
      </c>
      <c r="BX62" s="137"/>
      <c r="BY62" s="293">
        <f ca="1">OFFSET(TblImps[[#This Row],[Real time]],-1,0)+1/24</f>
        <v>46049.416666666526</v>
      </c>
      <c r="BZ62" s="294">
        <f ca="1">OFFSET(TblImps[[#This Row],[Servertime]],-1,0)+1/24</f>
        <v>46049.416666666526</v>
      </c>
      <c r="CA62" s="57"/>
      <c r="CB62" s="292"/>
      <c r="CC62" s="292"/>
    </row>
    <row r="63" spans="1:81" x14ac:dyDescent="0.2">
      <c r="A63" s="214">
        <f ca="1">TblConstr[[#This Row],[Land]]</f>
        <v>110</v>
      </c>
      <c r="B63" s="142"/>
      <c r="C63" s="94">
        <f ca="1">TblProd[[#This Row],[Platinum]]</f>
        <v>150298</v>
      </c>
      <c r="D63" s="94">
        <f ca="1">TblProd[[#This Row],[Lumber]]</f>
        <v>53020</v>
      </c>
      <c r="E63" s="94">
        <f ca="1">TblProd[[#This Row],[Ore]]</f>
        <v>0</v>
      </c>
      <c r="F63" s="94">
        <f ca="1">TblProd[[#This Row],[Gems]]</f>
        <v>0</v>
      </c>
      <c r="G63" s="154"/>
      <c r="H63" s="94">
        <f ca="1">TblMili[[#This Row],[Draftees]]</f>
        <v>523</v>
      </c>
      <c r="I63" s="180">
        <f ca="1">TblPop[[#This Row],[Employment]]</f>
        <v>1</v>
      </c>
      <c r="J63" s="180">
        <f ca="1">TblPop[[#This Row],[Total]]/TblPop[[#This Row],[Net max]]</f>
        <v>1</v>
      </c>
      <c r="K63" s="283">
        <f>TblRezone[[#This Row],[Hour]]</f>
        <v>60</v>
      </c>
      <c r="L63" s="284">
        <f ca="1">TblImps[[#This Row],[Real time]]</f>
        <v>46049.45833333319</v>
      </c>
      <c r="M63" s="61">
        <f>IF(ISERROR(TblImps[[#This Row],[algorithm]]),0,TblImps[[#This Row],[algorithm]]*1)</f>
        <v>0</v>
      </c>
      <c r="N63" s="94">
        <f ca="1">TblImps[[#This Row],[Land]]</f>
        <v>110</v>
      </c>
      <c r="O63" s="285" t="s">
        <v>4</v>
      </c>
      <c r="P63" s="286"/>
      <c r="Q63" s="285" t="s">
        <v>210</v>
      </c>
      <c r="R63" s="285" t="s">
        <v>7</v>
      </c>
      <c r="S63" s="286"/>
      <c r="T63" s="285" t="s">
        <v>210</v>
      </c>
      <c r="U63" s="285" t="s">
        <v>3</v>
      </c>
      <c r="V63" s="286"/>
      <c r="W63" s="285" t="s">
        <v>210</v>
      </c>
      <c r="X63" s="142"/>
      <c r="Y63" s="287">
        <f ca="1">science_cap*(1-EXP(-TblImps[[#This Row],[Σ Science]]/(science_param*(OFFSET(TblImps[[#This Row],[Land]],1,0)-OFFSET(TblExplore[[#This Row],[Land Bonus]],1,0)*20)+15000)))*(1+(mason_bonus*TblConstr[[#This Row],[Tot Mas]]/TblConstr[[#This Row],[Land (2)]]))</f>
        <v>0</v>
      </c>
      <c r="Z63" s="287">
        <f ca="1">keep_cap*(1-EXP(-TblImps[[#This Row],[Σ Keep]]/(keep_param*(OFFSET(TblImps[[#This Row],[Land]],1,0)-OFFSET(TblExplore[[#This Row],[Land Bonus]],1,0)*20)+15000)))*(1+(mason_bonus*TblConstr[[#This Row],[Tot Mas]]/TblConstr[[#This Row],[Land (2)]]))</f>
        <v>0</v>
      </c>
      <c r="AA63" s="287">
        <f ca="1">harbor_towers_cap*(1-EXP(-TblImps[[#This Row],[Σ Spires]]/(towers_param*(OFFSET(TblImps[[#This Row],[Land]],1,0)-OFFSET(TblExplore[[#This Row],[Land Bonus]],1,0)*20)+15000)))*(1+(mason_bonus*TblConstr[[#This Row],[Tot Mas]]/TblConstr[[#This Row],[Land (2)]]))</f>
        <v>0</v>
      </c>
      <c r="AB63" s="287">
        <f ca="1">walls_forges_cap*(1-EXP(-TblImps[[#This Row],[Σ Forges]]/(walls_forges_param*(OFFSET(TblImps[[#This Row],[Land]],1,0)-OFFSET(TblExplore[[#This Row],[Land Bonus]],1,0)*20)+15000)))*(1+(mason_bonus*TblConstr[[#This Row],[Tot Mas]]/TblConstr[[#This Row],[Land (2)]]))</f>
        <v>0</v>
      </c>
      <c r="AC63" s="287">
        <f ca="1">walls_forges_cap*(1-EXP(-TblImps[[#This Row],[Σ Walls]]/(walls_forges_param*(OFFSET(TblImps[[#This Row],[Land]],1,0)-OFFSET(TblExplore[[#This Row],[Land Bonus]],1,0)*20)+15000)))*(1+(mason_bonus*TblConstr[[#This Row],[Tot Mas]]/TblConstr[[#This Row],[Land (2)]]))</f>
        <v>0</v>
      </c>
      <c r="AD63" s="287">
        <f ca="1">harbor_towers_cap*(1-EXP(-TblImps[[#This Row],[Σ Harbor]]/(harbor_towers_param*(OFFSET(TblImps[[#This Row],[Land]],1,0)-OFFSET(TblExplore[[#This Row],[Land Bonus]],1,0)*20)+15000)))*(1+(mason_bonus*TblConstr[[#This Row],[Tot Mas]]/TblConstr[[#This Row],[Land (2)]]))</f>
        <v>0</v>
      </c>
      <c r="AE63" s="142"/>
      <c r="AF63" s="61">
        <f ca="1">(1+Overview!$I$29)*SUM(TblImps[[#This Row],[P2]:[G2]])+OFFSET(TblImps[[#This Row],[Σ Science]],-1,0)</f>
        <v>0</v>
      </c>
      <c r="AG63" s="61">
        <f ca="1">(1+Overview!$I$29)*SUM(TblImps[[#This Row],[P3]:[G3]])+OFFSET(TblImps[[#This Row],[Σ Keep]],-1,0)</f>
        <v>0</v>
      </c>
      <c r="AH63" s="61">
        <f ca="1">(1+Overview!$I$29 + tech_7_1*TblTech[[#This Row],[7-1]])*SUM(TblImps[[#This Row],[P4]:[G4]])+OFFSET(TblImps[[#This Row],[Σ Spires]],-1,0)</f>
        <v>0</v>
      </c>
      <c r="AI63" s="61">
        <f ca="1">(1+Overview!$I$29)*SUM(TblImps[[#This Row],[P5]:[G5]])+OFFSET(TblImps[[#This Row],[Σ Forges]],-1,0)</f>
        <v>0</v>
      </c>
      <c r="AJ63" s="61">
        <f ca="1">(1+Overview!$I$29)*SUM(TblImps[[#This Row],[P6]:[G6]])+OFFSET(TblImps[[#This Row],[Σ Walls]],-1,0)</f>
        <v>0</v>
      </c>
      <c r="AK63" s="61">
        <f ca="1">(1+Overview!$I$29 + tech_7_1*TblTech[[#This Row],[7-1]])*SUM(TblImps[[#This Row],[P7]:[G7]])+OFFSET(TblImps[[#This Row],[Σ Harbor]],-1,0)</f>
        <v>0</v>
      </c>
      <c r="AL63" s="142"/>
      <c r="AM63" s="57">
        <f>IF(AND(TblImps[[#This Row],[Resource]]=AM$2,TblImps[[#This Row],[Part]]&lt;&gt;""),TblImps[[#This Row],[Amount]]) + IF(AND(TblImps[[#This Row],[Resource 2]]=AM$2,TblImps[[#This Row],[Part 2]]&lt;&gt;""),TblImps[[#This Row],[Amount 2]]) + IF(AND(TblImps[[#This Row],[Resource 3]]=AM$2,TblImps[[#This Row],[Part 3]]&lt;&gt;""),TblImps[[#This Row],[Amount 3]])</f>
        <v>0</v>
      </c>
      <c r="AN63" s="57">
        <f>IF(AND(TblImps[[#This Row],[Resource]]=AN$2,TblImps[[#This Row],[Part]]&lt;&gt;""),TblImps[[#This Row],[Amount]]) + IF(AND(TblImps[[#This Row],[Resource 2]]=AN$2,TblImps[[#This Row],[Part 2]]&lt;&gt;""),TblImps[[#This Row],[Amount 2]]) + IF(AND(TblImps[[#This Row],[Resource 3]]=AN$2,TblImps[[#This Row],[Part 3]]&lt;&gt;""),TblImps[[#This Row],[Amount 3]])</f>
        <v>0</v>
      </c>
      <c r="AO63" s="57">
        <f>IF(AND(TblImps[[#This Row],[Resource]]=AO$2,TblImps[[#This Row],[Part]]&lt;&gt;""),TblImps[[#This Row],[Amount]]) + IF(AND(TblImps[[#This Row],[Resource 2]]=AO$2,TblImps[[#This Row],[Part 2]]&lt;&gt;""),TblImps[[#This Row],[Amount 2]]) + IF(AND(TblImps[[#This Row],[Resource 3]]=AO$2,TblImps[[#This Row],[Part 3]]&lt;&gt;""),TblImps[[#This Row],[Amount 3]])</f>
        <v>0</v>
      </c>
      <c r="AP63" s="57">
        <f>IF(AND(TblImps[[#This Row],[Resource]]=AP$2,TblImps[[#This Row],[Part]]&lt;&gt;""),TblImps[[#This Row],[Amount]]) + IF(AND(TblImps[[#This Row],[Resource 2]]=AP$2,TblImps[[#This Row],[Part 2]]&lt;&gt;""),TblImps[[#This Row],[Amount 2]]) + IF(AND(TblImps[[#This Row],[Resource 3]]=AP$2,TblImps[[#This Row],[Part 3]]&lt;&gt;""),TblImps[[#This Row],[Amount 3]])</f>
        <v>0</v>
      </c>
      <c r="AQ63" s="142"/>
      <c r="AR6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3" s="142"/>
      <c r="AW6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3" s="142"/>
      <c r="BB6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3" s="142"/>
      <c r="BG6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3" s="142"/>
      <c r="BL6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3" s="142"/>
      <c r="BQ6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3" s="142"/>
      <c r="BV6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3" s="61">
        <f>TblImps[[#This Row],[Login]]</f>
        <v>0</v>
      </c>
      <c r="BX63" s="137"/>
      <c r="BY63" s="293">
        <f ca="1">OFFSET(TblImps[[#This Row],[Real time]],-1,0)+1/24</f>
        <v>46049.45833333319</v>
      </c>
      <c r="BZ63" s="294">
        <f ca="1">OFFSET(TblImps[[#This Row],[Servertime]],-1,0)+1/24</f>
        <v>46049.45833333319</v>
      </c>
      <c r="CA63" s="57"/>
      <c r="CB63" s="292"/>
      <c r="CC63" s="292"/>
    </row>
    <row r="64" spans="1:81" x14ac:dyDescent="0.2">
      <c r="A64" s="214">
        <f ca="1">TblConstr[[#This Row],[Land]]</f>
        <v>110</v>
      </c>
      <c r="B64" s="142"/>
      <c r="C64" s="94">
        <f ca="1">TblProd[[#This Row],[Platinum]]</f>
        <v>151791</v>
      </c>
      <c r="D64" s="94">
        <f ca="1">TblProd[[#This Row],[Lumber]]</f>
        <v>53490</v>
      </c>
      <c r="E64" s="94">
        <f ca="1">TblProd[[#This Row],[Ore]]</f>
        <v>0</v>
      </c>
      <c r="F64" s="94">
        <f ca="1">TblProd[[#This Row],[Gems]]</f>
        <v>0</v>
      </c>
      <c r="G64" s="154"/>
      <c r="H64" s="94">
        <f ca="1">TblMili[[#This Row],[Draftees]]</f>
        <v>529</v>
      </c>
      <c r="I64" s="180">
        <f ca="1">TblPop[[#This Row],[Employment]]</f>
        <v>1</v>
      </c>
      <c r="J64" s="180">
        <f ca="1">TblPop[[#This Row],[Total]]/TblPop[[#This Row],[Net max]]</f>
        <v>1</v>
      </c>
      <c r="K64" s="283">
        <f>TblRezone[[#This Row],[Hour]]</f>
        <v>61</v>
      </c>
      <c r="L64" s="284">
        <f ca="1">TblImps[[#This Row],[Real time]]</f>
        <v>46049.499999999854</v>
      </c>
      <c r="M64" s="61">
        <f>IF(ISERROR(TblImps[[#This Row],[algorithm]]),0,TblImps[[#This Row],[algorithm]]*1)</f>
        <v>0</v>
      </c>
      <c r="N64" s="94">
        <f ca="1">TblImps[[#This Row],[Land]]</f>
        <v>110</v>
      </c>
      <c r="O64" s="285" t="s">
        <v>4</v>
      </c>
      <c r="P64" s="286"/>
      <c r="Q64" s="285" t="s">
        <v>210</v>
      </c>
      <c r="R64" s="285" t="s">
        <v>7</v>
      </c>
      <c r="S64" s="286"/>
      <c r="T64" s="285" t="s">
        <v>210</v>
      </c>
      <c r="U64" s="285" t="s">
        <v>3</v>
      </c>
      <c r="V64" s="286"/>
      <c r="W64" s="285" t="s">
        <v>210</v>
      </c>
      <c r="X64" s="142"/>
      <c r="Y64" s="287">
        <f ca="1">science_cap*(1-EXP(-TblImps[[#This Row],[Σ Science]]/(science_param*(OFFSET(TblImps[[#This Row],[Land]],1,0)-OFFSET(TblExplore[[#This Row],[Land Bonus]],1,0)*20)+15000)))*(1+(mason_bonus*TblConstr[[#This Row],[Tot Mas]]/TblConstr[[#This Row],[Land (2)]]))</f>
        <v>0</v>
      </c>
      <c r="Z64" s="287">
        <f ca="1">keep_cap*(1-EXP(-TblImps[[#This Row],[Σ Keep]]/(keep_param*(OFFSET(TblImps[[#This Row],[Land]],1,0)-OFFSET(TblExplore[[#This Row],[Land Bonus]],1,0)*20)+15000)))*(1+(mason_bonus*TblConstr[[#This Row],[Tot Mas]]/TblConstr[[#This Row],[Land (2)]]))</f>
        <v>0</v>
      </c>
      <c r="AA64" s="287">
        <f ca="1">harbor_towers_cap*(1-EXP(-TblImps[[#This Row],[Σ Spires]]/(towers_param*(OFFSET(TblImps[[#This Row],[Land]],1,0)-OFFSET(TblExplore[[#This Row],[Land Bonus]],1,0)*20)+15000)))*(1+(mason_bonus*TblConstr[[#This Row],[Tot Mas]]/TblConstr[[#This Row],[Land (2)]]))</f>
        <v>0</v>
      </c>
      <c r="AB64" s="287">
        <f ca="1">walls_forges_cap*(1-EXP(-TblImps[[#This Row],[Σ Forges]]/(walls_forges_param*(OFFSET(TblImps[[#This Row],[Land]],1,0)-OFFSET(TblExplore[[#This Row],[Land Bonus]],1,0)*20)+15000)))*(1+(mason_bonus*TblConstr[[#This Row],[Tot Mas]]/TblConstr[[#This Row],[Land (2)]]))</f>
        <v>0</v>
      </c>
      <c r="AC64" s="287">
        <f ca="1">walls_forges_cap*(1-EXP(-TblImps[[#This Row],[Σ Walls]]/(walls_forges_param*(OFFSET(TblImps[[#This Row],[Land]],1,0)-OFFSET(TblExplore[[#This Row],[Land Bonus]],1,0)*20)+15000)))*(1+(mason_bonus*TblConstr[[#This Row],[Tot Mas]]/TblConstr[[#This Row],[Land (2)]]))</f>
        <v>0</v>
      </c>
      <c r="AD64" s="287">
        <f ca="1">harbor_towers_cap*(1-EXP(-TblImps[[#This Row],[Σ Harbor]]/(harbor_towers_param*(OFFSET(TblImps[[#This Row],[Land]],1,0)-OFFSET(TblExplore[[#This Row],[Land Bonus]],1,0)*20)+15000)))*(1+(mason_bonus*TblConstr[[#This Row],[Tot Mas]]/TblConstr[[#This Row],[Land (2)]]))</f>
        <v>0</v>
      </c>
      <c r="AE64" s="142"/>
      <c r="AF64" s="61">
        <f ca="1">(1+Overview!$I$29)*SUM(TblImps[[#This Row],[P2]:[G2]])+OFFSET(TblImps[[#This Row],[Σ Science]],-1,0)</f>
        <v>0</v>
      </c>
      <c r="AG64" s="61">
        <f ca="1">(1+Overview!$I$29)*SUM(TblImps[[#This Row],[P3]:[G3]])+OFFSET(TblImps[[#This Row],[Σ Keep]],-1,0)</f>
        <v>0</v>
      </c>
      <c r="AH64" s="61">
        <f ca="1">(1+Overview!$I$29 + tech_7_1*TblTech[[#This Row],[7-1]])*SUM(TblImps[[#This Row],[P4]:[G4]])+OFFSET(TblImps[[#This Row],[Σ Spires]],-1,0)</f>
        <v>0</v>
      </c>
      <c r="AI64" s="61">
        <f ca="1">(1+Overview!$I$29)*SUM(TblImps[[#This Row],[P5]:[G5]])+OFFSET(TblImps[[#This Row],[Σ Forges]],-1,0)</f>
        <v>0</v>
      </c>
      <c r="AJ64" s="61">
        <f ca="1">(1+Overview!$I$29)*SUM(TblImps[[#This Row],[P6]:[G6]])+OFFSET(TblImps[[#This Row],[Σ Walls]],-1,0)</f>
        <v>0</v>
      </c>
      <c r="AK64" s="61">
        <f ca="1">(1+Overview!$I$29 + tech_7_1*TblTech[[#This Row],[7-1]])*SUM(TblImps[[#This Row],[P7]:[G7]])+OFFSET(TblImps[[#This Row],[Σ Harbor]],-1,0)</f>
        <v>0</v>
      </c>
      <c r="AL64" s="142"/>
      <c r="AM64" s="57">
        <f>IF(AND(TblImps[[#This Row],[Resource]]=AM$2,TblImps[[#This Row],[Part]]&lt;&gt;""),TblImps[[#This Row],[Amount]]) + IF(AND(TblImps[[#This Row],[Resource 2]]=AM$2,TblImps[[#This Row],[Part 2]]&lt;&gt;""),TblImps[[#This Row],[Amount 2]]) + IF(AND(TblImps[[#This Row],[Resource 3]]=AM$2,TblImps[[#This Row],[Part 3]]&lt;&gt;""),TblImps[[#This Row],[Amount 3]])</f>
        <v>0</v>
      </c>
      <c r="AN64" s="57">
        <f>IF(AND(TblImps[[#This Row],[Resource]]=AN$2,TblImps[[#This Row],[Part]]&lt;&gt;""),TblImps[[#This Row],[Amount]]) + IF(AND(TblImps[[#This Row],[Resource 2]]=AN$2,TblImps[[#This Row],[Part 2]]&lt;&gt;""),TblImps[[#This Row],[Amount 2]]) + IF(AND(TblImps[[#This Row],[Resource 3]]=AN$2,TblImps[[#This Row],[Part 3]]&lt;&gt;""),TblImps[[#This Row],[Amount 3]])</f>
        <v>0</v>
      </c>
      <c r="AO64" s="57">
        <f>IF(AND(TblImps[[#This Row],[Resource]]=AO$2,TblImps[[#This Row],[Part]]&lt;&gt;""),TblImps[[#This Row],[Amount]]) + IF(AND(TblImps[[#This Row],[Resource 2]]=AO$2,TblImps[[#This Row],[Part 2]]&lt;&gt;""),TblImps[[#This Row],[Amount 2]]) + IF(AND(TblImps[[#This Row],[Resource 3]]=AO$2,TblImps[[#This Row],[Part 3]]&lt;&gt;""),TblImps[[#This Row],[Amount 3]])</f>
        <v>0</v>
      </c>
      <c r="AP64" s="57">
        <f>IF(AND(TblImps[[#This Row],[Resource]]=AP$2,TblImps[[#This Row],[Part]]&lt;&gt;""),TblImps[[#This Row],[Amount]]) + IF(AND(TblImps[[#This Row],[Resource 2]]=AP$2,TblImps[[#This Row],[Part 2]]&lt;&gt;""),TblImps[[#This Row],[Amount 2]]) + IF(AND(TblImps[[#This Row],[Resource 3]]=AP$2,TblImps[[#This Row],[Part 3]]&lt;&gt;""),TblImps[[#This Row],[Amount 3]])</f>
        <v>0</v>
      </c>
      <c r="AQ64" s="142"/>
      <c r="AR6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4" s="142"/>
      <c r="AW6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4" s="142"/>
      <c r="BB6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4" s="142"/>
      <c r="BG6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4" s="142"/>
      <c r="BL6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4" s="142"/>
      <c r="BQ6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4" s="142"/>
      <c r="BV6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4" s="61">
        <f>TblImps[[#This Row],[Login]]</f>
        <v>0</v>
      </c>
      <c r="BX64" s="137"/>
      <c r="BY64" s="293">
        <f ca="1">OFFSET(TblImps[[#This Row],[Real time]],-1,0)+1/24</f>
        <v>46049.499999999854</v>
      </c>
      <c r="BZ64" s="294">
        <f ca="1">OFFSET(TblImps[[#This Row],[Servertime]],-1,0)+1/24</f>
        <v>46049.499999999854</v>
      </c>
      <c r="CA64" s="57"/>
      <c r="CB64" s="292"/>
      <c r="CC64" s="292"/>
    </row>
    <row r="65" spans="1:84" x14ac:dyDescent="0.2">
      <c r="A65" s="214">
        <f ca="1">TblConstr[[#This Row],[Land]]</f>
        <v>110</v>
      </c>
      <c r="B65" s="142"/>
      <c r="C65" s="94">
        <f ca="1">TblProd[[#This Row],[Platinum]]</f>
        <v>153267</v>
      </c>
      <c r="D65" s="94">
        <f ca="1">TblProd[[#This Row],[Lumber]]</f>
        <v>53955</v>
      </c>
      <c r="E65" s="94">
        <f ca="1">TblProd[[#This Row],[Ore]]</f>
        <v>0</v>
      </c>
      <c r="F65" s="94">
        <f ca="1">TblProd[[#This Row],[Gems]]</f>
        <v>0</v>
      </c>
      <c r="G65" s="154"/>
      <c r="H65" s="94">
        <f ca="1">TblMili[[#This Row],[Draftees]]</f>
        <v>534</v>
      </c>
      <c r="I65" s="180">
        <f ca="1">TblPop[[#This Row],[Employment]]</f>
        <v>1</v>
      </c>
      <c r="J65" s="180">
        <f ca="1">TblPop[[#This Row],[Total]]/TblPop[[#This Row],[Net max]]</f>
        <v>1</v>
      </c>
      <c r="K65" s="283">
        <f>TblRezone[[#This Row],[Hour]]</f>
        <v>62</v>
      </c>
      <c r="L65" s="284">
        <f ca="1">TblImps[[#This Row],[Real time]]</f>
        <v>46049.541666666519</v>
      </c>
      <c r="M65" s="61">
        <f>IF(ISERROR(TblImps[[#This Row],[algorithm]]),0,TblImps[[#This Row],[algorithm]]*1)</f>
        <v>0</v>
      </c>
      <c r="N65" s="94">
        <f ca="1">TblImps[[#This Row],[Land]]</f>
        <v>110</v>
      </c>
      <c r="O65" s="285" t="s">
        <v>4</v>
      </c>
      <c r="P65" s="286"/>
      <c r="Q65" s="285" t="s">
        <v>210</v>
      </c>
      <c r="R65" s="285" t="s">
        <v>7</v>
      </c>
      <c r="S65" s="286"/>
      <c r="T65" s="285" t="s">
        <v>210</v>
      </c>
      <c r="U65" s="285" t="s">
        <v>3</v>
      </c>
      <c r="V65" s="286"/>
      <c r="W65" s="285" t="s">
        <v>210</v>
      </c>
      <c r="X65" s="142"/>
      <c r="Y65" s="287">
        <f ca="1">science_cap*(1-EXP(-TblImps[[#This Row],[Σ Science]]/(science_param*(OFFSET(TblImps[[#This Row],[Land]],1,0)-OFFSET(TblExplore[[#This Row],[Land Bonus]],1,0)*20)+15000)))*(1+(mason_bonus*TblConstr[[#This Row],[Tot Mas]]/TblConstr[[#This Row],[Land (2)]]))</f>
        <v>0</v>
      </c>
      <c r="Z65" s="287">
        <f ca="1">keep_cap*(1-EXP(-TblImps[[#This Row],[Σ Keep]]/(keep_param*(OFFSET(TblImps[[#This Row],[Land]],1,0)-OFFSET(TblExplore[[#This Row],[Land Bonus]],1,0)*20)+15000)))*(1+(mason_bonus*TblConstr[[#This Row],[Tot Mas]]/TblConstr[[#This Row],[Land (2)]]))</f>
        <v>0</v>
      </c>
      <c r="AA65" s="287">
        <f ca="1">harbor_towers_cap*(1-EXP(-TblImps[[#This Row],[Σ Spires]]/(towers_param*(OFFSET(TblImps[[#This Row],[Land]],1,0)-OFFSET(TblExplore[[#This Row],[Land Bonus]],1,0)*20)+15000)))*(1+(mason_bonus*TblConstr[[#This Row],[Tot Mas]]/TblConstr[[#This Row],[Land (2)]]))</f>
        <v>0</v>
      </c>
      <c r="AB65" s="287">
        <f ca="1">walls_forges_cap*(1-EXP(-TblImps[[#This Row],[Σ Forges]]/(walls_forges_param*(OFFSET(TblImps[[#This Row],[Land]],1,0)-OFFSET(TblExplore[[#This Row],[Land Bonus]],1,0)*20)+15000)))*(1+(mason_bonus*TblConstr[[#This Row],[Tot Mas]]/TblConstr[[#This Row],[Land (2)]]))</f>
        <v>0</v>
      </c>
      <c r="AC65" s="287">
        <f ca="1">walls_forges_cap*(1-EXP(-TblImps[[#This Row],[Σ Walls]]/(walls_forges_param*(OFFSET(TblImps[[#This Row],[Land]],1,0)-OFFSET(TblExplore[[#This Row],[Land Bonus]],1,0)*20)+15000)))*(1+(mason_bonus*TblConstr[[#This Row],[Tot Mas]]/TblConstr[[#This Row],[Land (2)]]))</f>
        <v>0</v>
      </c>
      <c r="AD65" s="287">
        <f ca="1">harbor_towers_cap*(1-EXP(-TblImps[[#This Row],[Σ Harbor]]/(harbor_towers_param*(OFFSET(TblImps[[#This Row],[Land]],1,0)-OFFSET(TblExplore[[#This Row],[Land Bonus]],1,0)*20)+15000)))*(1+(mason_bonus*TblConstr[[#This Row],[Tot Mas]]/TblConstr[[#This Row],[Land (2)]]))</f>
        <v>0</v>
      </c>
      <c r="AE65" s="142"/>
      <c r="AF65" s="61">
        <f ca="1">(1+Overview!$I$29)*SUM(TblImps[[#This Row],[P2]:[G2]])+OFFSET(TblImps[[#This Row],[Σ Science]],-1,0)</f>
        <v>0</v>
      </c>
      <c r="AG65" s="61">
        <f ca="1">(1+Overview!$I$29)*SUM(TblImps[[#This Row],[P3]:[G3]])+OFFSET(TblImps[[#This Row],[Σ Keep]],-1,0)</f>
        <v>0</v>
      </c>
      <c r="AH65" s="61">
        <f ca="1">(1+Overview!$I$29 + tech_7_1*TblTech[[#This Row],[7-1]])*SUM(TblImps[[#This Row],[P4]:[G4]])+OFFSET(TblImps[[#This Row],[Σ Spires]],-1,0)</f>
        <v>0</v>
      </c>
      <c r="AI65" s="61">
        <f ca="1">(1+Overview!$I$29)*SUM(TblImps[[#This Row],[P5]:[G5]])+OFFSET(TblImps[[#This Row],[Σ Forges]],-1,0)</f>
        <v>0</v>
      </c>
      <c r="AJ65" s="61">
        <f ca="1">(1+Overview!$I$29)*SUM(TblImps[[#This Row],[P6]:[G6]])+OFFSET(TblImps[[#This Row],[Σ Walls]],-1,0)</f>
        <v>0</v>
      </c>
      <c r="AK65" s="61">
        <f ca="1">(1+Overview!$I$29 + tech_7_1*TblTech[[#This Row],[7-1]])*SUM(TblImps[[#This Row],[P7]:[G7]])+OFFSET(TblImps[[#This Row],[Σ Harbor]],-1,0)</f>
        <v>0</v>
      </c>
      <c r="AL65" s="142"/>
      <c r="AM65" s="57">
        <f>IF(AND(TblImps[[#This Row],[Resource]]=AM$2,TblImps[[#This Row],[Part]]&lt;&gt;""),TblImps[[#This Row],[Amount]]) + IF(AND(TblImps[[#This Row],[Resource 2]]=AM$2,TblImps[[#This Row],[Part 2]]&lt;&gt;""),TblImps[[#This Row],[Amount 2]]) + IF(AND(TblImps[[#This Row],[Resource 3]]=AM$2,TblImps[[#This Row],[Part 3]]&lt;&gt;""),TblImps[[#This Row],[Amount 3]])</f>
        <v>0</v>
      </c>
      <c r="AN65" s="57">
        <f>IF(AND(TblImps[[#This Row],[Resource]]=AN$2,TblImps[[#This Row],[Part]]&lt;&gt;""),TblImps[[#This Row],[Amount]]) + IF(AND(TblImps[[#This Row],[Resource 2]]=AN$2,TblImps[[#This Row],[Part 2]]&lt;&gt;""),TblImps[[#This Row],[Amount 2]]) + IF(AND(TblImps[[#This Row],[Resource 3]]=AN$2,TblImps[[#This Row],[Part 3]]&lt;&gt;""),TblImps[[#This Row],[Amount 3]])</f>
        <v>0</v>
      </c>
      <c r="AO65" s="57">
        <f>IF(AND(TblImps[[#This Row],[Resource]]=AO$2,TblImps[[#This Row],[Part]]&lt;&gt;""),TblImps[[#This Row],[Amount]]) + IF(AND(TblImps[[#This Row],[Resource 2]]=AO$2,TblImps[[#This Row],[Part 2]]&lt;&gt;""),TblImps[[#This Row],[Amount 2]]) + IF(AND(TblImps[[#This Row],[Resource 3]]=AO$2,TblImps[[#This Row],[Part 3]]&lt;&gt;""),TblImps[[#This Row],[Amount 3]])</f>
        <v>0</v>
      </c>
      <c r="AP65" s="57">
        <f>IF(AND(TblImps[[#This Row],[Resource]]=AP$2,TblImps[[#This Row],[Part]]&lt;&gt;""),TblImps[[#This Row],[Amount]]) + IF(AND(TblImps[[#This Row],[Resource 2]]=AP$2,TblImps[[#This Row],[Part 2]]&lt;&gt;""),TblImps[[#This Row],[Amount 2]]) + IF(AND(TblImps[[#This Row],[Resource 3]]=AP$2,TblImps[[#This Row],[Part 3]]&lt;&gt;""),TblImps[[#This Row],[Amount 3]])</f>
        <v>0</v>
      </c>
      <c r="AQ65" s="142"/>
      <c r="AR6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5" s="142"/>
      <c r="AW6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5" s="142"/>
      <c r="BB6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5" s="142"/>
      <c r="BG6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5" s="142"/>
      <c r="BL6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5" s="142"/>
      <c r="BQ6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5" s="142"/>
      <c r="BV6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5" s="61">
        <f>TblImps[[#This Row],[Login]]</f>
        <v>0</v>
      </c>
      <c r="BX65" s="137"/>
      <c r="BY65" s="293">
        <f ca="1">OFFSET(TblImps[[#This Row],[Real time]],-1,0)+1/24</f>
        <v>46049.541666666519</v>
      </c>
      <c r="BZ65" s="294">
        <f ca="1">OFFSET(TblImps[[#This Row],[Servertime]],-1,0)+1/24</f>
        <v>46049.541666666519</v>
      </c>
      <c r="CA65" s="57"/>
      <c r="CB65" s="292"/>
      <c r="CC65" s="292"/>
    </row>
    <row r="66" spans="1:84" x14ac:dyDescent="0.2">
      <c r="A66" s="214">
        <f ca="1">TblConstr[[#This Row],[Land]]</f>
        <v>110</v>
      </c>
      <c r="B66" s="142"/>
      <c r="C66" s="94">
        <f ca="1">TblProd[[#This Row],[Platinum]]</f>
        <v>154730</v>
      </c>
      <c r="D66" s="94">
        <f ca="1">TblProd[[#This Row],[Lumber]]</f>
        <v>54415</v>
      </c>
      <c r="E66" s="94">
        <f ca="1">TblProd[[#This Row],[Ore]]</f>
        <v>0</v>
      </c>
      <c r="F66" s="94">
        <f ca="1">TblProd[[#This Row],[Gems]]</f>
        <v>0</v>
      </c>
      <c r="G66" s="154"/>
      <c r="H66" s="94">
        <f ca="1">TblMili[[#This Row],[Draftees]]</f>
        <v>539</v>
      </c>
      <c r="I66" s="180">
        <f ca="1">TblPop[[#This Row],[Employment]]</f>
        <v>1</v>
      </c>
      <c r="J66" s="180">
        <f ca="1">TblPop[[#This Row],[Total]]/TblPop[[#This Row],[Net max]]</f>
        <v>1</v>
      </c>
      <c r="K66" s="283">
        <f>TblRezone[[#This Row],[Hour]]</f>
        <v>63</v>
      </c>
      <c r="L66" s="284">
        <f ca="1">TblImps[[#This Row],[Real time]]</f>
        <v>46049.583333333183</v>
      </c>
      <c r="M66" s="61">
        <f>IF(ISERROR(TblImps[[#This Row],[algorithm]]),0,TblImps[[#This Row],[algorithm]]*1)</f>
        <v>0</v>
      </c>
      <c r="N66" s="94">
        <f ca="1">TblImps[[#This Row],[Land]]</f>
        <v>110</v>
      </c>
      <c r="O66" s="285" t="s">
        <v>4</v>
      </c>
      <c r="P66" s="286"/>
      <c r="Q66" s="285" t="s">
        <v>210</v>
      </c>
      <c r="R66" s="285" t="s">
        <v>7</v>
      </c>
      <c r="S66" s="286"/>
      <c r="T66" s="285" t="s">
        <v>210</v>
      </c>
      <c r="U66" s="285" t="s">
        <v>3</v>
      </c>
      <c r="V66" s="286"/>
      <c r="W66" s="285" t="s">
        <v>210</v>
      </c>
      <c r="X66" s="142"/>
      <c r="Y66" s="287">
        <f ca="1">science_cap*(1-EXP(-TblImps[[#This Row],[Σ Science]]/(science_param*(OFFSET(TblImps[[#This Row],[Land]],1,0)-OFFSET(TblExplore[[#This Row],[Land Bonus]],1,0)*20)+15000)))*(1+(mason_bonus*TblConstr[[#This Row],[Tot Mas]]/TblConstr[[#This Row],[Land (2)]]))</f>
        <v>0</v>
      </c>
      <c r="Z66" s="287">
        <f ca="1">keep_cap*(1-EXP(-TblImps[[#This Row],[Σ Keep]]/(keep_param*(OFFSET(TblImps[[#This Row],[Land]],1,0)-OFFSET(TblExplore[[#This Row],[Land Bonus]],1,0)*20)+15000)))*(1+(mason_bonus*TblConstr[[#This Row],[Tot Mas]]/TblConstr[[#This Row],[Land (2)]]))</f>
        <v>0</v>
      </c>
      <c r="AA66" s="287">
        <f ca="1">harbor_towers_cap*(1-EXP(-TblImps[[#This Row],[Σ Spires]]/(towers_param*(OFFSET(TblImps[[#This Row],[Land]],1,0)-OFFSET(TblExplore[[#This Row],[Land Bonus]],1,0)*20)+15000)))*(1+(mason_bonus*TblConstr[[#This Row],[Tot Mas]]/TblConstr[[#This Row],[Land (2)]]))</f>
        <v>0</v>
      </c>
      <c r="AB66" s="287">
        <f ca="1">walls_forges_cap*(1-EXP(-TblImps[[#This Row],[Σ Forges]]/(walls_forges_param*(OFFSET(TblImps[[#This Row],[Land]],1,0)-OFFSET(TblExplore[[#This Row],[Land Bonus]],1,0)*20)+15000)))*(1+(mason_bonus*TblConstr[[#This Row],[Tot Mas]]/TblConstr[[#This Row],[Land (2)]]))</f>
        <v>0</v>
      </c>
      <c r="AC66" s="287">
        <f ca="1">walls_forges_cap*(1-EXP(-TblImps[[#This Row],[Σ Walls]]/(walls_forges_param*(OFFSET(TblImps[[#This Row],[Land]],1,0)-OFFSET(TblExplore[[#This Row],[Land Bonus]],1,0)*20)+15000)))*(1+(mason_bonus*TblConstr[[#This Row],[Tot Mas]]/TblConstr[[#This Row],[Land (2)]]))</f>
        <v>0</v>
      </c>
      <c r="AD66" s="287">
        <f ca="1">harbor_towers_cap*(1-EXP(-TblImps[[#This Row],[Σ Harbor]]/(harbor_towers_param*(OFFSET(TblImps[[#This Row],[Land]],1,0)-OFFSET(TblExplore[[#This Row],[Land Bonus]],1,0)*20)+15000)))*(1+(mason_bonus*TblConstr[[#This Row],[Tot Mas]]/TblConstr[[#This Row],[Land (2)]]))</f>
        <v>0</v>
      </c>
      <c r="AE66" s="142"/>
      <c r="AF66" s="61">
        <f ca="1">(1+Overview!$I$29)*SUM(TblImps[[#This Row],[P2]:[G2]])+OFFSET(TblImps[[#This Row],[Σ Science]],-1,0)</f>
        <v>0</v>
      </c>
      <c r="AG66" s="61">
        <f ca="1">(1+Overview!$I$29)*SUM(TblImps[[#This Row],[P3]:[G3]])+OFFSET(TblImps[[#This Row],[Σ Keep]],-1,0)</f>
        <v>0</v>
      </c>
      <c r="AH66" s="61">
        <f ca="1">(1+Overview!$I$29 + tech_7_1*TblTech[[#This Row],[7-1]])*SUM(TblImps[[#This Row],[P4]:[G4]])+OFFSET(TblImps[[#This Row],[Σ Spires]],-1,0)</f>
        <v>0</v>
      </c>
      <c r="AI66" s="61">
        <f ca="1">(1+Overview!$I$29)*SUM(TblImps[[#This Row],[P5]:[G5]])+OFFSET(TblImps[[#This Row],[Σ Forges]],-1,0)</f>
        <v>0</v>
      </c>
      <c r="AJ66" s="61">
        <f ca="1">(1+Overview!$I$29)*SUM(TblImps[[#This Row],[P6]:[G6]])+OFFSET(TblImps[[#This Row],[Σ Walls]],-1,0)</f>
        <v>0</v>
      </c>
      <c r="AK66" s="61">
        <f ca="1">(1+Overview!$I$29 + tech_7_1*TblTech[[#This Row],[7-1]])*SUM(TblImps[[#This Row],[P7]:[G7]])+OFFSET(TblImps[[#This Row],[Σ Harbor]],-1,0)</f>
        <v>0</v>
      </c>
      <c r="AL66" s="142"/>
      <c r="AM66" s="57">
        <f>IF(AND(TblImps[[#This Row],[Resource]]=AM$2,TblImps[[#This Row],[Part]]&lt;&gt;""),TblImps[[#This Row],[Amount]]) + IF(AND(TblImps[[#This Row],[Resource 2]]=AM$2,TblImps[[#This Row],[Part 2]]&lt;&gt;""),TblImps[[#This Row],[Amount 2]]) + IF(AND(TblImps[[#This Row],[Resource 3]]=AM$2,TblImps[[#This Row],[Part 3]]&lt;&gt;""),TblImps[[#This Row],[Amount 3]])</f>
        <v>0</v>
      </c>
      <c r="AN66" s="57">
        <f>IF(AND(TblImps[[#This Row],[Resource]]=AN$2,TblImps[[#This Row],[Part]]&lt;&gt;""),TblImps[[#This Row],[Amount]]) + IF(AND(TblImps[[#This Row],[Resource 2]]=AN$2,TblImps[[#This Row],[Part 2]]&lt;&gt;""),TblImps[[#This Row],[Amount 2]]) + IF(AND(TblImps[[#This Row],[Resource 3]]=AN$2,TblImps[[#This Row],[Part 3]]&lt;&gt;""),TblImps[[#This Row],[Amount 3]])</f>
        <v>0</v>
      </c>
      <c r="AO66" s="57">
        <f>IF(AND(TblImps[[#This Row],[Resource]]=AO$2,TblImps[[#This Row],[Part]]&lt;&gt;""),TblImps[[#This Row],[Amount]]) + IF(AND(TblImps[[#This Row],[Resource 2]]=AO$2,TblImps[[#This Row],[Part 2]]&lt;&gt;""),TblImps[[#This Row],[Amount 2]]) + IF(AND(TblImps[[#This Row],[Resource 3]]=AO$2,TblImps[[#This Row],[Part 3]]&lt;&gt;""),TblImps[[#This Row],[Amount 3]])</f>
        <v>0</v>
      </c>
      <c r="AP66" s="57">
        <f>IF(AND(TblImps[[#This Row],[Resource]]=AP$2,TblImps[[#This Row],[Part]]&lt;&gt;""),TblImps[[#This Row],[Amount]]) + IF(AND(TblImps[[#This Row],[Resource 2]]=AP$2,TblImps[[#This Row],[Part 2]]&lt;&gt;""),TblImps[[#This Row],[Amount 2]]) + IF(AND(TblImps[[#This Row],[Resource 3]]=AP$2,TblImps[[#This Row],[Part 3]]&lt;&gt;""),TblImps[[#This Row],[Amount 3]])</f>
        <v>0</v>
      </c>
      <c r="AQ66" s="142"/>
      <c r="AR6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6" s="142"/>
      <c r="AW6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6" s="142"/>
      <c r="BB6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6" s="142"/>
      <c r="BG6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6" s="142"/>
      <c r="BL6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6" s="142"/>
      <c r="BQ6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6" s="142"/>
      <c r="BV6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6" s="61">
        <f>TblImps[[#This Row],[Login]]</f>
        <v>0</v>
      </c>
      <c r="BX66" s="137"/>
      <c r="BY66" s="293">
        <f ca="1">OFFSET(TblImps[[#This Row],[Real time]],-1,0)+1/24</f>
        <v>46049.583333333183</v>
      </c>
      <c r="BZ66" s="294">
        <f ca="1">OFFSET(TblImps[[#This Row],[Servertime]],-1,0)+1/24</f>
        <v>46049.583333333183</v>
      </c>
      <c r="CA66" s="297"/>
      <c r="CB66" s="292"/>
      <c r="CC66" s="292"/>
    </row>
    <row r="67" spans="1:84" x14ac:dyDescent="0.2">
      <c r="A67" s="214">
        <f ca="1">TblConstr[[#This Row],[Land]]</f>
        <v>110</v>
      </c>
      <c r="B67" s="142"/>
      <c r="C67" s="94">
        <f ca="1">TblProd[[#This Row],[Platinum]]</f>
        <v>156179</v>
      </c>
      <c r="D67" s="94">
        <f ca="1">TblProd[[#This Row],[Lumber]]</f>
        <v>54871</v>
      </c>
      <c r="E67" s="94">
        <f ca="1">TblProd[[#This Row],[Ore]]</f>
        <v>0</v>
      </c>
      <c r="F67" s="94">
        <f ca="1">TblProd[[#This Row],[Gems]]</f>
        <v>0</v>
      </c>
      <c r="G67" s="154"/>
      <c r="H67" s="94">
        <f ca="1">TblMili[[#This Row],[Draftees]]</f>
        <v>544</v>
      </c>
      <c r="I67" s="180">
        <f ca="1">TblPop[[#This Row],[Employment]]</f>
        <v>1</v>
      </c>
      <c r="J67" s="180">
        <f ca="1">TblPop[[#This Row],[Total]]/TblPop[[#This Row],[Net max]]</f>
        <v>1</v>
      </c>
      <c r="K67" s="283">
        <f>TblRezone[[#This Row],[Hour]]</f>
        <v>64</v>
      </c>
      <c r="L67" s="284">
        <f ca="1">TblImps[[#This Row],[Real time]]</f>
        <v>46049.624999999847</v>
      </c>
      <c r="M67" s="61">
        <f>IF(ISERROR(TblImps[[#This Row],[algorithm]]),0,TblImps[[#This Row],[algorithm]]*1)</f>
        <v>0</v>
      </c>
      <c r="N67" s="94">
        <f ca="1">TblImps[[#This Row],[Land]]</f>
        <v>110</v>
      </c>
      <c r="O67" s="285" t="s">
        <v>4</v>
      </c>
      <c r="P67" s="286"/>
      <c r="Q67" s="285" t="s">
        <v>210</v>
      </c>
      <c r="R67" s="285" t="s">
        <v>7</v>
      </c>
      <c r="S67" s="286"/>
      <c r="T67" s="285" t="s">
        <v>210</v>
      </c>
      <c r="U67" s="285" t="s">
        <v>3</v>
      </c>
      <c r="V67" s="286"/>
      <c r="W67" s="285" t="s">
        <v>210</v>
      </c>
      <c r="X67" s="142"/>
      <c r="Y67" s="287">
        <f ca="1">science_cap*(1-EXP(-TblImps[[#This Row],[Σ Science]]/(science_param*(OFFSET(TblImps[[#This Row],[Land]],1,0)-OFFSET(TblExplore[[#This Row],[Land Bonus]],1,0)*20)+15000)))*(1+(mason_bonus*TblConstr[[#This Row],[Tot Mas]]/TblConstr[[#This Row],[Land (2)]]))</f>
        <v>0</v>
      </c>
      <c r="Z67" s="287">
        <f ca="1">keep_cap*(1-EXP(-TblImps[[#This Row],[Σ Keep]]/(keep_param*(OFFSET(TblImps[[#This Row],[Land]],1,0)-OFFSET(TblExplore[[#This Row],[Land Bonus]],1,0)*20)+15000)))*(1+(mason_bonus*TblConstr[[#This Row],[Tot Mas]]/TblConstr[[#This Row],[Land (2)]]))</f>
        <v>0</v>
      </c>
      <c r="AA67" s="287">
        <f ca="1">harbor_towers_cap*(1-EXP(-TblImps[[#This Row],[Σ Spires]]/(towers_param*(OFFSET(TblImps[[#This Row],[Land]],1,0)-OFFSET(TblExplore[[#This Row],[Land Bonus]],1,0)*20)+15000)))*(1+(mason_bonus*TblConstr[[#This Row],[Tot Mas]]/TblConstr[[#This Row],[Land (2)]]))</f>
        <v>0</v>
      </c>
      <c r="AB67" s="287">
        <f ca="1">walls_forges_cap*(1-EXP(-TblImps[[#This Row],[Σ Forges]]/(walls_forges_param*(OFFSET(TblImps[[#This Row],[Land]],1,0)-OFFSET(TblExplore[[#This Row],[Land Bonus]],1,0)*20)+15000)))*(1+(mason_bonus*TblConstr[[#This Row],[Tot Mas]]/TblConstr[[#This Row],[Land (2)]]))</f>
        <v>0</v>
      </c>
      <c r="AC67" s="287">
        <f ca="1">walls_forges_cap*(1-EXP(-TblImps[[#This Row],[Σ Walls]]/(walls_forges_param*(OFFSET(TblImps[[#This Row],[Land]],1,0)-OFFSET(TblExplore[[#This Row],[Land Bonus]],1,0)*20)+15000)))*(1+(mason_bonus*TblConstr[[#This Row],[Tot Mas]]/TblConstr[[#This Row],[Land (2)]]))</f>
        <v>0</v>
      </c>
      <c r="AD67" s="287">
        <f ca="1">harbor_towers_cap*(1-EXP(-TblImps[[#This Row],[Σ Harbor]]/(harbor_towers_param*(OFFSET(TblImps[[#This Row],[Land]],1,0)-OFFSET(TblExplore[[#This Row],[Land Bonus]],1,0)*20)+15000)))*(1+(mason_bonus*TblConstr[[#This Row],[Tot Mas]]/TblConstr[[#This Row],[Land (2)]]))</f>
        <v>0</v>
      </c>
      <c r="AE67" s="142"/>
      <c r="AF67" s="61">
        <f ca="1">(1+Overview!$I$29)*SUM(TblImps[[#This Row],[P2]:[G2]])+OFFSET(TblImps[[#This Row],[Σ Science]],-1,0)</f>
        <v>0</v>
      </c>
      <c r="AG67" s="61">
        <f ca="1">(1+Overview!$I$29)*SUM(TblImps[[#This Row],[P3]:[G3]])+OFFSET(TblImps[[#This Row],[Σ Keep]],-1,0)</f>
        <v>0</v>
      </c>
      <c r="AH67" s="61">
        <f ca="1">(1+Overview!$I$29 + tech_7_1*TblTech[[#This Row],[7-1]])*SUM(TblImps[[#This Row],[P4]:[G4]])+OFFSET(TblImps[[#This Row],[Σ Spires]],-1,0)</f>
        <v>0</v>
      </c>
      <c r="AI67" s="61">
        <f ca="1">(1+Overview!$I$29)*SUM(TblImps[[#This Row],[P5]:[G5]])+OFFSET(TblImps[[#This Row],[Σ Forges]],-1,0)</f>
        <v>0</v>
      </c>
      <c r="AJ67" s="61">
        <f ca="1">(1+Overview!$I$29)*SUM(TblImps[[#This Row],[P6]:[G6]])+OFFSET(TblImps[[#This Row],[Σ Walls]],-1,0)</f>
        <v>0</v>
      </c>
      <c r="AK67" s="61">
        <f ca="1">(1+Overview!$I$29 + tech_7_1*TblTech[[#This Row],[7-1]])*SUM(TblImps[[#This Row],[P7]:[G7]])+OFFSET(TblImps[[#This Row],[Σ Harbor]],-1,0)</f>
        <v>0</v>
      </c>
      <c r="AL67" s="142"/>
      <c r="AM67" s="57">
        <f>IF(AND(TblImps[[#This Row],[Resource]]=AM$2,TblImps[[#This Row],[Part]]&lt;&gt;""),TblImps[[#This Row],[Amount]]) + IF(AND(TblImps[[#This Row],[Resource 2]]=AM$2,TblImps[[#This Row],[Part 2]]&lt;&gt;""),TblImps[[#This Row],[Amount 2]]) + IF(AND(TblImps[[#This Row],[Resource 3]]=AM$2,TblImps[[#This Row],[Part 3]]&lt;&gt;""),TblImps[[#This Row],[Amount 3]])</f>
        <v>0</v>
      </c>
      <c r="AN67" s="57">
        <f>IF(AND(TblImps[[#This Row],[Resource]]=AN$2,TblImps[[#This Row],[Part]]&lt;&gt;""),TblImps[[#This Row],[Amount]]) + IF(AND(TblImps[[#This Row],[Resource 2]]=AN$2,TblImps[[#This Row],[Part 2]]&lt;&gt;""),TblImps[[#This Row],[Amount 2]]) + IF(AND(TblImps[[#This Row],[Resource 3]]=AN$2,TblImps[[#This Row],[Part 3]]&lt;&gt;""),TblImps[[#This Row],[Amount 3]])</f>
        <v>0</v>
      </c>
      <c r="AO67" s="57">
        <f>IF(AND(TblImps[[#This Row],[Resource]]=AO$2,TblImps[[#This Row],[Part]]&lt;&gt;""),TblImps[[#This Row],[Amount]]) + IF(AND(TblImps[[#This Row],[Resource 2]]=AO$2,TblImps[[#This Row],[Part 2]]&lt;&gt;""),TblImps[[#This Row],[Amount 2]]) + IF(AND(TblImps[[#This Row],[Resource 3]]=AO$2,TblImps[[#This Row],[Part 3]]&lt;&gt;""),TblImps[[#This Row],[Amount 3]])</f>
        <v>0</v>
      </c>
      <c r="AP67" s="57">
        <f>IF(AND(TblImps[[#This Row],[Resource]]=AP$2,TblImps[[#This Row],[Part]]&lt;&gt;""),TblImps[[#This Row],[Amount]]) + IF(AND(TblImps[[#This Row],[Resource 2]]=AP$2,TblImps[[#This Row],[Part 2]]&lt;&gt;""),TblImps[[#This Row],[Amount 2]]) + IF(AND(TblImps[[#This Row],[Resource 3]]=AP$2,TblImps[[#This Row],[Part 3]]&lt;&gt;""),TblImps[[#This Row],[Amount 3]])</f>
        <v>0</v>
      </c>
      <c r="AQ67" s="142"/>
      <c r="AR6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7" s="142"/>
      <c r="AW6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7" s="142"/>
      <c r="BB6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7" s="142"/>
      <c r="BG6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7" s="142"/>
      <c r="BL6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7" s="142"/>
      <c r="BQ6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7" s="142"/>
      <c r="BV6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7" s="61">
        <f>TblImps[[#This Row],[Login]]</f>
        <v>0</v>
      </c>
      <c r="BX67" s="137"/>
      <c r="BY67" s="293">
        <f ca="1">OFFSET(TblImps[[#This Row],[Real time]],-1,0)+1/24</f>
        <v>46049.624999999847</v>
      </c>
      <c r="BZ67" s="294">
        <f ca="1">OFFSET(TblImps[[#This Row],[Servertime]],-1,0)+1/24</f>
        <v>46049.624999999847</v>
      </c>
      <c r="CA67" s="57"/>
      <c r="CB67" s="292"/>
      <c r="CC67" s="292"/>
    </row>
    <row r="68" spans="1:84" x14ac:dyDescent="0.2">
      <c r="A68" s="214">
        <f ca="1">TblConstr[[#This Row],[Land]]</f>
        <v>110</v>
      </c>
      <c r="B68" s="142"/>
      <c r="C68" s="94">
        <f ca="1">TblProd[[#This Row],[Platinum]]</f>
        <v>157615</v>
      </c>
      <c r="D68" s="94">
        <f ca="1">TblProd[[#This Row],[Lumber]]</f>
        <v>55322</v>
      </c>
      <c r="E68" s="94">
        <f ca="1">TblProd[[#This Row],[Ore]]</f>
        <v>0</v>
      </c>
      <c r="F68" s="94">
        <f ca="1">TblProd[[#This Row],[Gems]]</f>
        <v>0</v>
      </c>
      <c r="G68" s="154"/>
      <c r="H68" s="94">
        <f ca="1">TblMili[[#This Row],[Draftees]]</f>
        <v>549</v>
      </c>
      <c r="I68" s="180">
        <f ca="1">TblPop[[#This Row],[Employment]]</f>
        <v>1</v>
      </c>
      <c r="J68" s="180">
        <f ca="1">TblPop[[#This Row],[Total]]/TblPop[[#This Row],[Net max]]</f>
        <v>1</v>
      </c>
      <c r="K68" s="283">
        <f>TblRezone[[#This Row],[Hour]]</f>
        <v>65</v>
      </c>
      <c r="L68" s="284">
        <f ca="1">TblImps[[#This Row],[Real time]]</f>
        <v>46049.666666666511</v>
      </c>
      <c r="M68" s="61">
        <f>IF(ISERROR(TblImps[[#This Row],[algorithm]]),0,TblImps[[#This Row],[algorithm]]*1)</f>
        <v>0</v>
      </c>
      <c r="N68" s="94">
        <f ca="1">TblImps[[#This Row],[Land]]</f>
        <v>110</v>
      </c>
      <c r="O68" s="285" t="s">
        <v>4</v>
      </c>
      <c r="P68" s="286"/>
      <c r="Q68" s="285" t="s">
        <v>210</v>
      </c>
      <c r="R68" s="285" t="s">
        <v>7</v>
      </c>
      <c r="S68" s="286"/>
      <c r="T68" s="285" t="s">
        <v>210</v>
      </c>
      <c r="U68" s="285" t="s">
        <v>3</v>
      </c>
      <c r="V68" s="286"/>
      <c r="W68" s="285" t="s">
        <v>210</v>
      </c>
      <c r="X68" s="142"/>
      <c r="Y68" s="287">
        <f ca="1">science_cap*(1-EXP(-TblImps[[#This Row],[Σ Science]]/(science_param*(OFFSET(TblImps[[#This Row],[Land]],1,0)-OFFSET(TblExplore[[#This Row],[Land Bonus]],1,0)*20)+15000)))*(1+(mason_bonus*TblConstr[[#This Row],[Tot Mas]]/TblConstr[[#This Row],[Land (2)]]))</f>
        <v>0</v>
      </c>
      <c r="Z68" s="287">
        <f ca="1">keep_cap*(1-EXP(-TblImps[[#This Row],[Σ Keep]]/(keep_param*(OFFSET(TblImps[[#This Row],[Land]],1,0)-OFFSET(TblExplore[[#This Row],[Land Bonus]],1,0)*20)+15000)))*(1+(mason_bonus*TblConstr[[#This Row],[Tot Mas]]/TblConstr[[#This Row],[Land (2)]]))</f>
        <v>0</v>
      </c>
      <c r="AA68" s="287">
        <f ca="1">harbor_towers_cap*(1-EXP(-TblImps[[#This Row],[Σ Spires]]/(towers_param*(OFFSET(TblImps[[#This Row],[Land]],1,0)-OFFSET(TblExplore[[#This Row],[Land Bonus]],1,0)*20)+15000)))*(1+(mason_bonus*TblConstr[[#This Row],[Tot Mas]]/TblConstr[[#This Row],[Land (2)]]))</f>
        <v>0</v>
      </c>
      <c r="AB68" s="287">
        <f ca="1">walls_forges_cap*(1-EXP(-TblImps[[#This Row],[Σ Forges]]/(walls_forges_param*(OFFSET(TblImps[[#This Row],[Land]],1,0)-OFFSET(TblExplore[[#This Row],[Land Bonus]],1,0)*20)+15000)))*(1+(mason_bonus*TblConstr[[#This Row],[Tot Mas]]/TblConstr[[#This Row],[Land (2)]]))</f>
        <v>0</v>
      </c>
      <c r="AC68" s="287">
        <f ca="1">walls_forges_cap*(1-EXP(-TblImps[[#This Row],[Σ Walls]]/(walls_forges_param*(OFFSET(TblImps[[#This Row],[Land]],1,0)-OFFSET(TblExplore[[#This Row],[Land Bonus]],1,0)*20)+15000)))*(1+(mason_bonus*TblConstr[[#This Row],[Tot Mas]]/TblConstr[[#This Row],[Land (2)]]))</f>
        <v>0</v>
      </c>
      <c r="AD68" s="287">
        <f ca="1">harbor_towers_cap*(1-EXP(-TblImps[[#This Row],[Σ Harbor]]/(harbor_towers_param*(OFFSET(TblImps[[#This Row],[Land]],1,0)-OFFSET(TblExplore[[#This Row],[Land Bonus]],1,0)*20)+15000)))*(1+(mason_bonus*TblConstr[[#This Row],[Tot Mas]]/TblConstr[[#This Row],[Land (2)]]))</f>
        <v>0</v>
      </c>
      <c r="AE68" s="142"/>
      <c r="AF68" s="61">
        <f ca="1">(1+Overview!$I$29)*SUM(TblImps[[#This Row],[P2]:[G2]])+OFFSET(TblImps[[#This Row],[Σ Science]],-1,0)</f>
        <v>0</v>
      </c>
      <c r="AG68" s="61">
        <f ca="1">(1+Overview!$I$29)*SUM(TblImps[[#This Row],[P3]:[G3]])+OFFSET(TblImps[[#This Row],[Σ Keep]],-1,0)</f>
        <v>0</v>
      </c>
      <c r="AH68" s="61">
        <f ca="1">(1+Overview!$I$29 + tech_7_1*TblTech[[#This Row],[7-1]])*SUM(TblImps[[#This Row],[P4]:[G4]])+OFFSET(TblImps[[#This Row],[Σ Spires]],-1,0)</f>
        <v>0</v>
      </c>
      <c r="AI68" s="61">
        <f ca="1">(1+Overview!$I$29)*SUM(TblImps[[#This Row],[P5]:[G5]])+OFFSET(TblImps[[#This Row],[Σ Forges]],-1,0)</f>
        <v>0</v>
      </c>
      <c r="AJ68" s="61">
        <f ca="1">(1+Overview!$I$29)*SUM(TblImps[[#This Row],[P6]:[G6]])+OFFSET(TblImps[[#This Row],[Σ Walls]],-1,0)</f>
        <v>0</v>
      </c>
      <c r="AK68" s="61">
        <f ca="1">(1+Overview!$I$29 + tech_7_1*TblTech[[#This Row],[7-1]])*SUM(TblImps[[#This Row],[P7]:[G7]])+OFFSET(TblImps[[#This Row],[Σ Harbor]],-1,0)</f>
        <v>0</v>
      </c>
      <c r="AL68" s="142"/>
      <c r="AM68" s="57">
        <f>IF(AND(TblImps[[#This Row],[Resource]]=AM$2,TblImps[[#This Row],[Part]]&lt;&gt;""),TblImps[[#This Row],[Amount]]) + IF(AND(TblImps[[#This Row],[Resource 2]]=AM$2,TblImps[[#This Row],[Part 2]]&lt;&gt;""),TblImps[[#This Row],[Amount 2]]) + IF(AND(TblImps[[#This Row],[Resource 3]]=AM$2,TblImps[[#This Row],[Part 3]]&lt;&gt;""),TblImps[[#This Row],[Amount 3]])</f>
        <v>0</v>
      </c>
      <c r="AN68" s="57">
        <f>IF(AND(TblImps[[#This Row],[Resource]]=AN$2,TblImps[[#This Row],[Part]]&lt;&gt;""),TblImps[[#This Row],[Amount]]) + IF(AND(TblImps[[#This Row],[Resource 2]]=AN$2,TblImps[[#This Row],[Part 2]]&lt;&gt;""),TblImps[[#This Row],[Amount 2]]) + IF(AND(TblImps[[#This Row],[Resource 3]]=AN$2,TblImps[[#This Row],[Part 3]]&lt;&gt;""),TblImps[[#This Row],[Amount 3]])</f>
        <v>0</v>
      </c>
      <c r="AO68" s="57">
        <f>IF(AND(TblImps[[#This Row],[Resource]]=AO$2,TblImps[[#This Row],[Part]]&lt;&gt;""),TblImps[[#This Row],[Amount]]) + IF(AND(TblImps[[#This Row],[Resource 2]]=AO$2,TblImps[[#This Row],[Part 2]]&lt;&gt;""),TblImps[[#This Row],[Amount 2]]) + IF(AND(TblImps[[#This Row],[Resource 3]]=AO$2,TblImps[[#This Row],[Part 3]]&lt;&gt;""),TblImps[[#This Row],[Amount 3]])</f>
        <v>0</v>
      </c>
      <c r="AP68" s="57">
        <f>IF(AND(TblImps[[#This Row],[Resource]]=AP$2,TblImps[[#This Row],[Part]]&lt;&gt;""),TblImps[[#This Row],[Amount]]) + IF(AND(TblImps[[#This Row],[Resource 2]]=AP$2,TblImps[[#This Row],[Part 2]]&lt;&gt;""),TblImps[[#This Row],[Amount 2]]) + IF(AND(TblImps[[#This Row],[Resource 3]]=AP$2,TblImps[[#This Row],[Part 3]]&lt;&gt;""),TblImps[[#This Row],[Amount 3]])</f>
        <v>0</v>
      </c>
      <c r="AQ68" s="142"/>
      <c r="AR6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8" s="142"/>
      <c r="AW6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8" s="142"/>
      <c r="BB6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8" s="142"/>
      <c r="BG6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8" s="142"/>
      <c r="BL6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8" s="142"/>
      <c r="BQ6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8" s="142"/>
      <c r="BV6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8" s="61">
        <f>TblImps[[#This Row],[Login]]</f>
        <v>0</v>
      </c>
      <c r="BX68" s="137"/>
      <c r="BY68" s="293">
        <f ca="1">OFFSET(TblImps[[#This Row],[Real time]],-1,0)+1/24</f>
        <v>46049.666666666511</v>
      </c>
      <c r="BZ68" s="294">
        <f ca="1">OFFSET(TblImps[[#This Row],[Servertime]],-1,0)+1/24</f>
        <v>46049.666666666511</v>
      </c>
      <c r="CA68" s="57"/>
      <c r="CB68" s="292"/>
      <c r="CC68" s="292"/>
    </row>
    <row r="69" spans="1:84" x14ac:dyDescent="0.2">
      <c r="A69" s="214">
        <f ca="1">TblConstr[[#This Row],[Land]]</f>
        <v>110</v>
      </c>
      <c r="B69" s="142"/>
      <c r="C69" s="94">
        <f ca="1">TblProd[[#This Row],[Platinum]]</f>
        <v>159037</v>
      </c>
      <c r="D69" s="94">
        <f ca="1">TblProd[[#This Row],[Lumber]]</f>
        <v>55769</v>
      </c>
      <c r="E69" s="94">
        <f ca="1">TblProd[[#This Row],[Ore]]</f>
        <v>0</v>
      </c>
      <c r="F69" s="94">
        <f ca="1">TblProd[[#This Row],[Gems]]</f>
        <v>0</v>
      </c>
      <c r="G69" s="154"/>
      <c r="H69" s="94">
        <f ca="1">TblMili[[#This Row],[Draftees]]</f>
        <v>554</v>
      </c>
      <c r="I69" s="180">
        <f ca="1">TblPop[[#This Row],[Employment]]</f>
        <v>1</v>
      </c>
      <c r="J69" s="180">
        <f ca="1">TblPop[[#This Row],[Total]]/TblPop[[#This Row],[Net max]]</f>
        <v>1</v>
      </c>
      <c r="K69" s="283">
        <f>TblRezone[[#This Row],[Hour]]</f>
        <v>66</v>
      </c>
      <c r="L69" s="284">
        <f ca="1">TblImps[[#This Row],[Real time]]</f>
        <v>46049.708333333176</v>
      </c>
      <c r="M69" s="61">
        <f>IF(ISERROR(TblImps[[#This Row],[algorithm]]),0,TblImps[[#This Row],[algorithm]]*1)</f>
        <v>0</v>
      </c>
      <c r="N69" s="94">
        <f ca="1">TblImps[[#This Row],[Land]]</f>
        <v>110</v>
      </c>
      <c r="O69" s="285" t="s">
        <v>4</v>
      </c>
      <c r="P69" s="286"/>
      <c r="Q69" s="285" t="s">
        <v>210</v>
      </c>
      <c r="R69" s="285" t="s">
        <v>7</v>
      </c>
      <c r="S69" s="286"/>
      <c r="T69" s="285" t="s">
        <v>210</v>
      </c>
      <c r="U69" s="285" t="s">
        <v>3</v>
      </c>
      <c r="V69" s="286"/>
      <c r="W69" s="285" t="s">
        <v>210</v>
      </c>
      <c r="X69" s="142"/>
      <c r="Y69" s="287">
        <f ca="1">science_cap*(1-EXP(-TblImps[[#This Row],[Σ Science]]/(science_param*(OFFSET(TblImps[[#This Row],[Land]],1,0)-OFFSET(TblExplore[[#This Row],[Land Bonus]],1,0)*20)+15000)))*(1+(mason_bonus*TblConstr[[#This Row],[Tot Mas]]/TblConstr[[#This Row],[Land (2)]]))</f>
        <v>0</v>
      </c>
      <c r="Z69" s="287">
        <f ca="1">keep_cap*(1-EXP(-TblImps[[#This Row],[Σ Keep]]/(keep_param*(OFFSET(TblImps[[#This Row],[Land]],1,0)-OFFSET(TblExplore[[#This Row],[Land Bonus]],1,0)*20)+15000)))*(1+(mason_bonus*TblConstr[[#This Row],[Tot Mas]]/TblConstr[[#This Row],[Land (2)]]))</f>
        <v>0</v>
      </c>
      <c r="AA69" s="287">
        <f ca="1">harbor_towers_cap*(1-EXP(-TblImps[[#This Row],[Σ Spires]]/(towers_param*(OFFSET(TblImps[[#This Row],[Land]],1,0)-OFFSET(TblExplore[[#This Row],[Land Bonus]],1,0)*20)+15000)))*(1+(mason_bonus*TblConstr[[#This Row],[Tot Mas]]/TblConstr[[#This Row],[Land (2)]]))</f>
        <v>0</v>
      </c>
      <c r="AB69" s="287">
        <f ca="1">walls_forges_cap*(1-EXP(-TblImps[[#This Row],[Σ Forges]]/(walls_forges_param*(OFFSET(TblImps[[#This Row],[Land]],1,0)-OFFSET(TblExplore[[#This Row],[Land Bonus]],1,0)*20)+15000)))*(1+(mason_bonus*TblConstr[[#This Row],[Tot Mas]]/TblConstr[[#This Row],[Land (2)]]))</f>
        <v>0</v>
      </c>
      <c r="AC69" s="287">
        <f ca="1">walls_forges_cap*(1-EXP(-TblImps[[#This Row],[Σ Walls]]/(walls_forges_param*(OFFSET(TblImps[[#This Row],[Land]],1,0)-OFFSET(TblExplore[[#This Row],[Land Bonus]],1,0)*20)+15000)))*(1+(mason_bonus*TblConstr[[#This Row],[Tot Mas]]/TblConstr[[#This Row],[Land (2)]]))</f>
        <v>0</v>
      </c>
      <c r="AD69" s="287">
        <f ca="1">harbor_towers_cap*(1-EXP(-TblImps[[#This Row],[Σ Harbor]]/(harbor_towers_param*(OFFSET(TblImps[[#This Row],[Land]],1,0)-OFFSET(TblExplore[[#This Row],[Land Bonus]],1,0)*20)+15000)))*(1+(mason_bonus*TblConstr[[#This Row],[Tot Mas]]/TblConstr[[#This Row],[Land (2)]]))</f>
        <v>0</v>
      </c>
      <c r="AE69" s="142"/>
      <c r="AF69" s="61">
        <f ca="1">(1+Overview!$I$29)*SUM(TblImps[[#This Row],[P2]:[G2]])+OFFSET(TblImps[[#This Row],[Σ Science]],-1,0)</f>
        <v>0</v>
      </c>
      <c r="AG69" s="61">
        <f ca="1">(1+Overview!$I$29)*SUM(TblImps[[#This Row],[P3]:[G3]])+OFFSET(TblImps[[#This Row],[Σ Keep]],-1,0)</f>
        <v>0</v>
      </c>
      <c r="AH69" s="61">
        <f ca="1">(1+Overview!$I$29 + tech_7_1*TblTech[[#This Row],[7-1]])*SUM(TblImps[[#This Row],[P4]:[G4]])+OFFSET(TblImps[[#This Row],[Σ Spires]],-1,0)</f>
        <v>0</v>
      </c>
      <c r="AI69" s="61">
        <f ca="1">(1+Overview!$I$29)*SUM(TblImps[[#This Row],[P5]:[G5]])+OFFSET(TblImps[[#This Row],[Σ Forges]],-1,0)</f>
        <v>0</v>
      </c>
      <c r="AJ69" s="61">
        <f ca="1">(1+Overview!$I$29)*SUM(TblImps[[#This Row],[P6]:[G6]])+OFFSET(TblImps[[#This Row],[Σ Walls]],-1,0)</f>
        <v>0</v>
      </c>
      <c r="AK69" s="61">
        <f ca="1">(1+Overview!$I$29 + tech_7_1*TblTech[[#This Row],[7-1]])*SUM(TblImps[[#This Row],[P7]:[G7]])+OFFSET(TblImps[[#This Row],[Σ Harbor]],-1,0)</f>
        <v>0</v>
      </c>
      <c r="AL69" s="142"/>
      <c r="AM69" s="57">
        <f>IF(AND(TblImps[[#This Row],[Resource]]=AM$2,TblImps[[#This Row],[Part]]&lt;&gt;""),TblImps[[#This Row],[Amount]]) + IF(AND(TblImps[[#This Row],[Resource 2]]=AM$2,TblImps[[#This Row],[Part 2]]&lt;&gt;""),TblImps[[#This Row],[Amount 2]]) + IF(AND(TblImps[[#This Row],[Resource 3]]=AM$2,TblImps[[#This Row],[Part 3]]&lt;&gt;""),TblImps[[#This Row],[Amount 3]])</f>
        <v>0</v>
      </c>
      <c r="AN69" s="57">
        <f>IF(AND(TblImps[[#This Row],[Resource]]=AN$2,TblImps[[#This Row],[Part]]&lt;&gt;""),TblImps[[#This Row],[Amount]]) + IF(AND(TblImps[[#This Row],[Resource 2]]=AN$2,TblImps[[#This Row],[Part 2]]&lt;&gt;""),TblImps[[#This Row],[Amount 2]]) + IF(AND(TblImps[[#This Row],[Resource 3]]=AN$2,TblImps[[#This Row],[Part 3]]&lt;&gt;""),TblImps[[#This Row],[Amount 3]])</f>
        <v>0</v>
      </c>
      <c r="AO69" s="57">
        <f>IF(AND(TblImps[[#This Row],[Resource]]=AO$2,TblImps[[#This Row],[Part]]&lt;&gt;""),TblImps[[#This Row],[Amount]]) + IF(AND(TblImps[[#This Row],[Resource 2]]=AO$2,TblImps[[#This Row],[Part 2]]&lt;&gt;""),TblImps[[#This Row],[Amount 2]]) + IF(AND(TblImps[[#This Row],[Resource 3]]=AO$2,TblImps[[#This Row],[Part 3]]&lt;&gt;""),TblImps[[#This Row],[Amount 3]])</f>
        <v>0</v>
      </c>
      <c r="AP69" s="57">
        <f>IF(AND(TblImps[[#This Row],[Resource]]=AP$2,TblImps[[#This Row],[Part]]&lt;&gt;""),TblImps[[#This Row],[Amount]]) + IF(AND(TblImps[[#This Row],[Resource 2]]=AP$2,TblImps[[#This Row],[Part 2]]&lt;&gt;""),TblImps[[#This Row],[Amount 2]]) + IF(AND(TblImps[[#This Row],[Resource 3]]=AP$2,TblImps[[#This Row],[Part 3]]&lt;&gt;""),TblImps[[#This Row],[Amount 3]])</f>
        <v>0</v>
      </c>
      <c r="AQ69" s="142"/>
      <c r="AR6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6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6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6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69" s="142"/>
      <c r="AW6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6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6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6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69" s="142"/>
      <c r="BB6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6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6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6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69" s="142"/>
      <c r="BG6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6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6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6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69" s="142"/>
      <c r="BL6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6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6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6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69" s="142"/>
      <c r="BQ6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6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6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6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69" s="142"/>
      <c r="BV6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69" s="61">
        <f>TblImps[[#This Row],[Login]]</f>
        <v>0</v>
      </c>
      <c r="BX69" s="137"/>
      <c r="BY69" s="293">
        <f ca="1">OFFSET(TblImps[[#This Row],[Real time]],-1,0)+1/24</f>
        <v>46049.708333333176</v>
      </c>
      <c r="BZ69" s="294">
        <f ca="1">OFFSET(TblImps[[#This Row],[Servertime]],-1,0)+1/24</f>
        <v>46049.708333333176</v>
      </c>
      <c r="CA69" s="57"/>
      <c r="CB69" s="292"/>
      <c r="CC69" s="292"/>
    </row>
    <row r="70" spans="1:84" x14ac:dyDescent="0.2">
      <c r="A70" s="214">
        <f ca="1">TblConstr[[#This Row],[Land]]</f>
        <v>110</v>
      </c>
      <c r="B70" s="142"/>
      <c r="C70" s="94">
        <f ca="1">TblProd[[#This Row],[Platinum]]</f>
        <v>160446</v>
      </c>
      <c r="D70" s="94">
        <f ca="1">TblProd[[#This Row],[Lumber]]</f>
        <v>56211</v>
      </c>
      <c r="E70" s="94">
        <f ca="1">TblProd[[#This Row],[Ore]]</f>
        <v>0</v>
      </c>
      <c r="F70" s="94">
        <f ca="1">TblProd[[#This Row],[Gems]]</f>
        <v>0</v>
      </c>
      <c r="G70" s="154"/>
      <c r="H70" s="94">
        <f ca="1">TblMili[[#This Row],[Draftees]]</f>
        <v>559</v>
      </c>
      <c r="I70" s="180">
        <f ca="1">TblPop[[#This Row],[Employment]]</f>
        <v>1</v>
      </c>
      <c r="J70" s="180">
        <f ca="1">TblPop[[#This Row],[Total]]/TblPop[[#This Row],[Net max]]</f>
        <v>1</v>
      </c>
      <c r="K70" s="283">
        <f>TblRezone[[#This Row],[Hour]]</f>
        <v>67</v>
      </c>
      <c r="L70" s="284">
        <f ca="1">TblImps[[#This Row],[Real time]]</f>
        <v>46049.74999999984</v>
      </c>
      <c r="M70" s="61">
        <f>IF(ISERROR(TblImps[[#This Row],[algorithm]]),0,TblImps[[#This Row],[algorithm]]*1)</f>
        <v>0</v>
      </c>
      <c r="N70" s="94">
        <f ca="1">TblImps[[#This Row],[Land]]</f>
        <v>110</v>
      </c>
      <c r="O70" s="285" t="s">
        <v>4</v>
      </c>
      <c r="P70" s="286"/>
      <c r="Q70" s="285" t="s">
        <v>210</v>
      </c>
      <c r="R70" s="285" t="s">
        <v>7</v>
      </c>
      <c r="S70" s="286"/>
      <c r="T70" s="285" t="s">
        <v>210</v>
      </c>
      <c r="U70" s="285" t="s">
        <v>3</v>
      </c>
      <c r="V70" s="286"/>
      <c r="W70" s="285" t="s">
        <v>210</v>
      </c>
      <c r="X70" s="142"/>
      <c r="Y70" s="287">
        <f ca="1">science_cap*(1-EXP(-TblImps[[#This Row],[Σ Science]]/(science_param*(OFFSET(TblImps[[#This Row],[Land]],1,0)-OFFSET(TblExplore[[#This Row],[Land Bonus]],1,0)*20)+15000)))*(1+(mason_bonus*TblConstr[[#This Row],[Tot Mas]]/TblConstr[[#This Row],[Land (2)]]))</f>
        <v>0</v>
      </c>
      <c r="Z70" s="287">
        <f ca="1">keep_cap*(1-EXP(-TblImps[[#This Row],[Σ Keep]]/(keep_param*(OFFSET(TblImps[[#This Row],[Land]],1,0)-OFFSET(TblExplore[[#This Row],[Land Bonus]],1,0)*20)+15000)))*(1+(mason_bonus*TblConstr[[#This Row],[Tot Mas]]/TblConstr[[#This Row],[Land (2)]]))</f>
        <v>0</v>
      </c>
      <c r="AA70" s="287">
        <f ca="1">harbor_towers_cap*(1-EXP(-TblImps[[#This Row],[Σ Spires]]/(towers_param*(OFFSET(TblImps[[#This Row],[Land]],1,0)-OFFSET(TblExplore[[#This Row],[Land Bonus]],1,0)*20)+15000)))*(1+(mason_bonus*TblConstr[[#This Row],[Tot Mas]]/TblConstr[[#This Row],[Land (2)]]))</f>
        <v>0</v>
      </c>
      <c r="AB70" s="287">
        <f ca="1">walls_forges_cap*(1-EXP(-TblImps[[#This Row],[Σ Forges]]/(walls_forges_param*(OFFSET(TblImps[[#This Row],[Land]],1,0)-OFFSET(TblExplore[[#This Row],[Land Bonus]],1,0)*20)+15000)))*(1+(mason_bonus*TblConstr[[#This Row],[Tot Mas]]/TblConstr[[#This Row],[Land (2)]]))</f>
        <v>0</v>
      </c>
      <c r="AC70" s="287">
        <f ca="1">walls_forges_cap*(1-EXP(-TblImps[[#This Row],[Σ Walls]]/(walls_forges_param*(OFFSET(TblImps[[#This Row],[Land]],1,0)-OFFSET(TblExplore[[#This Row],[Land Bonus]],1,0)*20)+15000)))*(1+(mason_bonus*TblConstr[[#This Row],[Tot Mas]]/TblConstr[[#This Row],[Land (2)]]))</f>
        <v>0</v>
      </c>
      <c r="AD70" s="287">
        <f ca="1">harbor_towers_cap*(1-EXP(-TblImps[[#This Row],[Σ Harbor]]/(harbor_towers_param*(OFFSET(TblImps[[#This Row],[Land]],1,0)-OFFSET(TblExplore[[#This Row],[Land Bonus]],1,0)*20)+15000)))*(1+(mason_bonus*TblConstr[[#This Row],[Tot Mas]]/TblConstr[[#This Row],[Land (2)]]))</f>
        <v>0</v>
      </c>
      <c r="AE70" s="142"/>
      <c r="AF70" s="61">
        <f ca="1">(1+Overview!$I$29)*SUM(TblImps[[#This Row],[P2]:[G2]])+OFFSET(TblImps[[#This Row],[Σ Science]],-1,0)</f>
        <v>0</v>
      </c>
      <c r="AG70" s="61">
        <f ca="1">(1+Overview!$I$29)*SUM(TblImps[[#This Row],[P3]:[G3]])+OFFSET(TblImps[[#This Row],[Σ Keep]],-1,0)</f>
        <v>0</v>
      </c>
      <c r="AH70" s="61">
        <f ca="1">(1+Overview!$I$29 + tech_7_1*TblTech[[#This Row],[7-1]])*SUM(TblImps[[#This Row],[P4]:[G4]])+OFFSET(TblImps[[#This Row],[Σ Spires]],-1,0)</f>
        <v>0</v>
      </c>
      <c r="AI70" s="61">
        <f ca="1">(1+Overview!$I$29)*SUM(TblImps[[#This Row],[P5]:[G5]])+OFFSET(TblImps[[#This Row],[Σ Forges]],-1,0)</f>
        <v>0</v>
      </c>
      <c r="AJ70" s="61">
        <f ca="1">(1+Overview!$I$29)*SUM(TblImps[[#This Row],[P6]:[G6]])+OFFSET(TblImps[[#This Row],[Σ Walls]],-1,0)</f>
        <v>0</v>
      </c>
      <c r="AK70" s="61">
        <f ca="1">(1+Overview!$I$29 + tech_7_1*TblTech[[#This Row],[7-1]])*SUM(TblImps[[#This Row],[P7]:[G7]])+OFFSET(TblImps[[#This Row],[Σ Harbor]],-1,0)</f>
        <v>0</v>
      </c>
      <c r="AL70" s="142"/>
      <c r="AM70" s="57">
        <f>IF(AND(TblImps[[#This Row],[Resource]]=AM$2,TblImps[[#This Row],[Part]]&lt;&gt;""),TblImps[[#This Row],[Amount]]) + IF(AND(TblImps[[#This Row],[Resource 2]]=AM$2,TblImps[[#This Row],[Part 2]]&lt;&gt;""),TblImps[[#This Row],[Amount 2]]) + IF(AND(TblImps[[#This Row],[Resource 3]]=AM$2,TblImps[[#This Row],[Part 3]]&lt;&gt;""),TblImps[[#This Row],[Amount 3]])</f>
        <v>0</v>
      </c>
      <c r="AN70" s="57">
        <f>IF(AND(TblImps[[#This Row],[Resource]]=AN$2,TblImps[[#This Row],[Part]]&lt;&gt;""),TblImps[[#This Row],[Amount]]) + IF(AND(TblImps[[#This Row],[Resource 2]]=AN$2,TblImps[[#This Row],[Part 2]]&lt;&gt;""),TblImps[[#This Row],[Amount 2]]) + IF(AND(TblImps[[#This Row],[Resource 3]]=AN$2,TblImps[[#This Row],[Part 3]]&lt;&gt;""),TblImps[[#This Row],[Amount 3]])</f>
        <v>0</v>
      </c>
      <c r="AO70" s="57">
        <f>IF(AND(TblImps[[#This Row],[Resource]]=AO$2,TblImps[[#This Row],[Part]]&lt;&gt;""),TblImps[[#This Row],[Amount]]) + IF(AND(TblImps[[#This Row],[Resource 2]]=AO$2,TblImps[[#This Row],[Part 2]]&lt;&gt;""),TblImps[[#This Row],[Amount 2]]) + IF(AND(TblImps[[#This Row],[Resource 3]]=AO$2,TblImps[[#This Row],[Part 3]]&lt;&gt;""),TblImps[[#This Row],[Amount 3]])</f>
        <v>0</v>
      </c>
      <c r="AP70" s="57">
        <f>IF(AND(TblImps[[#This Row],[Resource]]=AP$2,TblImps[[#This Row],[Part]]&lt;&gt;""),TblImps[[#This Row],[Amount]]) + IF(AND(TblImps[[#This Row],[Resource 2]]=AP$2,TblImps[[#This Row],[Part 2]]&lt;&gt;""),TblImps[[#This Row],[Amount 2]]) + IF(AND(TblImps[[#This Row],[Resource 3]]=AP$2,TblImps[[#This Row],[Part 3]]&lt;&gt;""),TblImps[[#This Row],[Amount 3]])</f>
        <v>0</v>
      </c>
      <c r="AQ70" s="142"/>
      <c r="AR7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0" s="142"/>
      <c r="AW7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0" s="142"/>
      <c r="BB7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0" s="142"/>
      <c r="BG7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0" s="142"/>
      <c r="BL7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0" s="142"/>
      <c r="BQ7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0" s="142"/>
      <c r="BV7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0" s="61">
        <f>TblImps[[#This Row],[Login]]</f>
        <v>0</v>
      </c>
      <c r="BX70" s="137"/>
      <c r="BY70" s="293">
        <f ca="1">OFFSET(TblImps[[#This Row],[Real time]],-1,0)+1/24</f>
        <v>46049.74999999984</v>
      </c>
      <c r="BZ70" s="294">
        <f ca="1">OFFSET(TblImps[[#This Row],[Servertime]],-1,0)+1/24</f>
        <v>46049.74999999984</v>
      </c>
      <c r="CA70" s="57"/>
      <c r="CB70" s="292"/>
      <c r="CC70" s="292"/>
    </row>
    <row r="71" spans="1:84" x14ac:dyDescent="0.2">
      <c r="A71" s="214">
        <f ca="1">TblConstr[[#This Row],[Land]]</f>
        <v>110</v>
      </c>
      <c r="B71" s="142"/>
      <c r="C71" s="94">
        <f ca="1">TblProd[[#This Row],[Platinum]]</f>
        <v>161841</v>
      </c>
      <c r="D71" s="94">
        <f ca="1">TblProd[[#This Row],[Lumber]]</f>
        <v>56649</v>
      </c>
      <c r="E71" s="94">
        <f ca="1">TblProd[[#This Row],[Ore]]</f>
        <v>0</v>
      </c>
      <c r="F71" s="94">
        <f ca="1">TblProd[[#This Row],[Gems]]</f>
        <v>0</v>
      </c>
      <c r="G71" s="154"/>
      <c r="H71" s="94">
        <f ca="1">TblMili[[#This Row],[Draftees]]</f>
        <v>564</v>
      </c>
      <c r="I71" s="180">
        <f ca="1">TblPop[[#This Row],[Employment]]</f>
        <v>1</v>
      </c>
      <c r="J71" s="180">
        <f ca="1">TblPop[[#This Row],[Total]]/TblPop[[#This Row],[Net max]]</f>
        <v>1</v>
      </c>
      <c r="K71" s="283">
        <f>TblRezone[[#This Row],[Hour]]</f>
        <v>68</v>
      </c>
      <c r="L71" s="284">
        <f ca="1">TblImps[[#This Row],[Real time]]</f>
        <v>46049.791666666504</v>
      </c>
      <c r="M71" s="61">
        <f>IF(ISERROR(TblImps[[#This Row],[algorithm]]),0,TblImps[[#This Row],[algorithm]]*1)</f>
        <v>0</v>
      </c>
      <c r="N71" s="94">
        <f ca="1">TblImps[[#This Row],[Land]]</f>
        <v>110</v>
      </c>
      <c r="O71" s="285" t="s">
        <v>4</v>
      </c>
      <c r="P71" s="286"/>
      <c r="Q71" s="285" t="s">
        <v>210</v>
      </c>
      <c r="R71" s="285" t="s">
        <v>7</v>
      </c>
      <c r="S71" s="286"/>
      <c r="T71" s="285" t="s">
        <v>210</v>
      </c>
      <c r="U71" s="285" t="s">
        <v>3</v>
      </c>
      <c r="V71" s="286"/>
      <c r="W71" s="285" t="s">
        <v>210</v>
      </c>
      <c r="X71" s="142"/>
      <c r="Y71" s="287">
        <f ca="1">science_cap*(1-EXP(-TblImps[[#This Row],[Σ Science]]/(science_param*(OFFSET(TblImps[[#This Row],[Land]],1,0)-OFFSET(TblExplore[[#This Row],[Land Bonus]],1,0)*20)+15000)))*(1+(mason_bonus*TblConstr[[#This Row],[Tot Mas]]/TblConstr[[#This Row],[Land (2)]]))</f>
        <v>0</v>
      </c>
      <c r="Z71" s="287">
        <f ca="1">keep_cap*(1-EXP(-TblImps[[#This Row],[Σ Keep]]/(keep_param*(OFFSET(TblImps[[#This Row],[Land]],1,0)-OFFSET(TblExplore[[#This Row],[Land Bonus]],1,0)*20)+15000)))*(1+(mason_bonus*TblConstr[[#This Row],[Tot Mas]]/TblConstr[[#This Row],[Land (2)]]))</f>
        <v>0</v>
      </c>
      <c r="AA71" s="287">
        <f ca="1">harbor_towers_cap*(1-EXP(-TblImps[[#This Row],[Σ Spires]]/(towers_param*(OFFSET(TblImps[[#This Row],[Land]],1,0)-OFFSET(TblExplore[[#This Row],[Land Bonus]],1,0)*20)+15000)))*(1+(mason_bonus*TblConstr[[#This Row],[Tot Mas]]/TblConstr[[#This Row],[Land (2)]]))</f>
        <v>0</v>
      </c>
      <c r="AB71" s="287">
        <f ca="1">walls_forges_cap*(1-EXP(-TblImps[[#This Row],[Σ Forges]]/(walls_forges_param*(OFFSET(TblImps[[#This Row],[Land]],1,0)-OFFSET(TblExplore[[#This Row],[Land Bonus]],1,0)*20)+15000)))*(1+(mason_bonus*TblConstr[[#This Row],[Tot Mas]]/TblConstr[[#This Row],[Land (2)]]))</f>
        <v>0</v>
      </c>
      <c r="AC71" s="287">
        <f ca="1">walls_forges_cap*(1-EXP(-TblImps[[#This Row],[Σ Walls]]/(walls_forges_param*(OFFSET(TblImps[[#This Row],[Land]],1,0)-OFFSET(TblExplore[[#This Row],[Land Bonus]],1,0)*20)+15000)))*(1+(mason_bonus*TblConstr[[#This Row],[Tot Mas]]/TblConstr[[#This Row],[Land (2)]]))</f>
        <v>0</v>
      </c>
      <c r="AD71" s="287">
        <f ca="1">harbor_towers_cap*(1-EXP(-TblImps[[#This Row],[Σ Harbor]]/(harbor_towers_param*(OFFSET(TblImps[[#This Row],[Land]],1,0)-OFFSET(TblExplore[[#This Row],[Land Bonus]],1,0)*20)+15000)))*(1+(mason_bonus*TblConstr[[#This Row],[Tot Mas]]/TblConstr[[#This Row],[Land (2)]]))</f>
        <v>0</v>
      </c>
      <c r="AE71" s="142"/>
      <c r="AF71" s="61">
        <f ca="1">(1+Overview!$I$29)*SUM(TblImps[[#This Row],[P2]:[G2]])+OFFSET(TblImps[[#This Row],[Σ Science]],-1,0)</f>
        <v>0</v>
      </c>
      <c r="AG71" s="61">
        <f ca="1">(1+Overview!$I$29)*SUM(TblImps[[#This Row],[P3]:[G3]])+OFFSET(TblImps[[#This Row],[Σ Keep]],-1,0)</f>
        <v>0</v>
      </c>
      <c r="AH71" s="61">
        <f ca="1">(1+Overview!$I$29 + tech_7_1*TblTech[[#This Row],[7-1]])*SUM(TblImps[[#This Row],[P4]:[G4]])+OFFSET(TblImps[[#This Row],[Σ Spires]],-1,0)</f>
        <v>0</v>
      </c>
      <c r="AI71" s="61">
        <f ca="1">(1+Overview!$I$29)*SUM(TblImps[[#This Row],[P5]:[G5]])+OFFSET(TblImps[[#This Row],[Σ Forges]],-1,0)</f>
        <v>0</v>
      </c>
      <c r="AJ71" s="61">
        <f ca="1">(1+Overview!$I$29)*SUM(TblImps[[#This Row],[P6]:[G6]])+OFFSET(TblImps[[#This Row],[Σ Walls]],-1,0)</f>
        <v>0</v>
      </c>
      <c r="AK71" s="61">
        <f ca="1">(1+Overview!$I$29 + tech_7_1*TblTech[[#This Row],[7-1]])*SUM(TblImps[[#This Row],[P7]:[G7]])+OFFSET(TblImps[[#This Row],[Σ Harbor]],-1,0)</f>
        <v>0</v>
      </c>
      <c r="AL71" s="142"/>
      <c r="AM71" s="57">
        <f>IF(AND(TblImps[[#This Row],[Resource]]=AM$2,TblImps[[#This Row],[Part]]&lt;&gt;""),TblImps[[#This Row],[Amount]]) + IF(AND(TblImps[[#This Row],[Resource 2]]=AM$2,TblImps[[#This Row],[Part 2]]&lt;&gt;""),TblImps[[#This Row],[Amount 2]]) + IF(AND(TblImps[[#This Row],[Resource 3]]=AM$2,TblImps[[#This Row],[Part 3]]&lt;&gt;""),TblImps[[#This Row],[Amount 3]])</f>
        <v>0</v>
      </c>
      <c r="AN71" s="57">
        <f>IF(AND(TblImps[[#This Row],[Resource]]=AN$2,TblImps[[#This Row],[Part]]&lt;&gt;""),TblImps[[#This Row],[Amount]]) + IF(AND(TblImps[[#This Row],[Resource 2]]=AN$2,TblImps[[#This Row],[Part 2]]&lt;&gt;""),TblImps[[#This Row],[Amount 2]]) + IF(AND(TblImps[[#This Row],[Resource 3]]=AN$2,TblImps[[#This Row],[Part 3]]&lt;&gt;""),TblImps[[#This Row],[Amount 3]])</f>
        <v>0</v>
      </c>
      <c r="AO71" s="57">
        <f>IF(AND(TblImps[[#This Row],[Resource]]=AO$2,TblImps[[#This Row],[Part]]&lt;&gt;""),TblImps[[#This Row],[Amount]]) + IF(AND(TblImps[[#This Row],[Resource 2]]=AO$2,TblImps[[#This Row],[Part 2]]&lt;&gt;""),TblImps[[#This Row],[Amount 2]]) + IF(AND(TblImps[[#This Row],[Resource 3]]=AO$2,TblImps[[#This Row],[Part 3]]&lt;&gt;""),TblImps[[#This Row],[Amount 3]])</f>
        <v>0</v>
      </c>
      <c r="AP71" s="57">
        <f>IF(AND(TblImps[[#This Row],[Resource]]=AP$2,TblImps[[#This Row],[Part]]&lt;&gt;""),TblImps[[#This Row],[Amount]]) + IF(AND(TblImps[[#This Row],[Resource 2]]=AP$2,TblImps[[#This Row],[Part 2]]&lt;&gt;""),TblImps[[#This Row],[Amount 2]]) + IF(AND(TblImps[[#This Row],[Resource 3]]=AP$2,TblImps[[#This Row],[Part 3]]&lt;&gt;""),TblImps[[#This Row],[Amount 3]])</f>
        <v>0</v>
      </c>
      <c r="AQ71" s="142"/>
      <c r="AR7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1" s="142"/>
      <c r="AW7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1" s="142"/>
      <c r="BB7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1" s="142"/>
      <c r="BG7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1" s="142"/>
      <c r="BL7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1" s="142"/>
      <c r="BQ7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1" s="142"/>
      <c r="BV7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1" s="61">
        <f>TblImps[[#This Row],[Login]]</f>
        <v>0</v>
      </c>
      <c r="BX71" s="137"/>
      <c r="BY71" s="293">
        <f ca="1">OFFSET(TblImps[[#This Row],[Real time]],-1,0)+1/24</f>
        <v>46049.791666666504</v>
      </c>
      <c r="BZ71" s="294">
        <f ca="1">OFFSET(TblImps[[#This Row],[Servertime]],-1,0)+1/24</f>
        <v>46049.791666666504</v>
      </c>
      <c r="CA71" s="57"/>
      <c r="CB71" s="292"/>
      <c r="CC71" s="292"/>
    </row>
    <row r="72" spans="1:84" x14ac:dyDescent="0.2">
      <c r="A72" s="214">
        <f ca="1">TblConstr[[#This Row],[Land]]</f>
        <v>110</v>
      </c>
      <c r="B72" s="142"/>
      <c r="C72" s="94">
        <f ca="1">TblProd[[#This Row],[Platinum]]</f>
        <v>163223</v>
      </c>
      <c r="D72" s="94">
        <f ca="1">TblProd[[#This Row],[Lumber]]</f>
        <v>57083</v>
      </c>
      <c r="E72" s="94">
        <f ca="1">TblProd[[#This Row],[Ore]]</f>
        <v>0</v>
      </c>
      <c r="F72" s="94">
        <f ca="1">TblProd[[#This Row],[Gems]]</f>
        <v>0</v>
      </c>
      <c r="G72" s="154"/>
      <c r="H72" s="94">
        <f ca="1">TblMili[[#This Row],[Draftees]]</f>
        <v>569</v>
      </c>
      <c r="I72" s="180">
        <f ca="1">TblPop[[#This Row],[Employment]]</f>
        <v>1</v>
      </c>
      <c r="J72" s="180">
        <f ca="1">TblPop[[#This Row],[Total]]/TblPop[[#This Row],[Net max]]</f>
        <v>1</v>
      </c>
      <c r="K72" s="283">
        <f>TblRezone[[#This Row],[Hour]]</f>
        <v>69</v>
      </c>
      <c r="L72" s="284">
        <f ca="1">TblImps[[#This Row],[Real time]]</f>
        <v>46049.833333333168</v>
      </c>
      <c r="M72" s="61">
        <f>IF(ISERROR(TblImps[[#This Row],[algorithm]]),0,TblImps[[#This Row],[algorithm]]*1)</f>
        <v>0</v>
      </c>
      <c r="N72" s="94">
        <f ca="1">TblImps[[#This Row],[Land]]</f>
        <v>110</v>
      </c>
      <c r="O72" s="285" t="s">
        <v>4</v>
      </c>
      <c r="P72" s="286"/>
      <c r="Q72" s="285" t="s">
        <v>210</v>
      </c>
      <c r="R72" s="285" t="s">
        <v>7</v>
      </c>
      <c r="S72" s="286"/>
      <c r="T72" s="285" t="s">
        <v>210</v>
      </c>
      <c r="U72" s="285" t="s">
        <v>3</v>
      </c>
      <c r="V72" s="286"/>
      <c r="W72" s="285" t="s">
        <v>210</v>
      </c>
      <c r="X72" s="142"/>
      <c r="Y72" s="287">
        <f ca="1">science_cap*(1-EXP(-TblImps[[#This Row],[Σ Science]]/(science_param*(OFFSET(TblImps[[#This Row],[Land]],1,0)-OFFSET(TblExplore[[#This Row],[Land Bonus]],1,0)*20)+15000)))*(1+(mason_bonus*TblConstr[[#This Row],[Tot Mas]]/TblConstr[[#This Row],[Land (2)]]))</f>
        <v>0</v>
      </c>
      <c r="Z72" s="287">
        <f ca="1">keep_cap*(1-EXP(-TblImps[[#This Row],[Σ Keep]]/(keep_param*(OFFSET(TblImps[[#This Row],[Land]],1,0)-OFFSET(TblExplore[[#This Row],[Land Bonus]],1,0)*20)+15000)))*(1+(mason_bonus*TblConstr[[#This Row],[Tot Mas]]/TblConstr[[#This Row],[Land (2)]]))</f>
        <v>0</v>
      </c>
      <c r="AA72" s="287">
        <f ca="1">harbor_towers_cap*(1-EXP(-TblImps[[#This Row],[Σ Spires]]/(towers_param*(OFFSET(TblImps[[#This Row],[Land]],1,0)-OFFSET(TblExplore[[#This Row],[Land Bonus]],1,0)*20)+15000)))*(1+(mason_bonus*TblConstr[[#This Row],[Tot Mas]]/TblConstr[[#This Row],[Land (2)]]))</f>
        <v>0</v>
      </c>
      <c r="AB72" s="287">
        <f ca="1">walls_forges_cap*(1-EXP(-TblImps[[#This Row],[Σ Forges]]/(walls_forges_param*(OFFSET(TblImps[[#This Row],[Land]],1,0)-OFFSET(TblExplore[[#This Row],[Land Bonus]],1,0)*20)+15000)))*(1+(mason_bonus*TblConstr[[#This Row],[Tot Mas]]/TblConstr[[#This Row],[Land (2)]]))</f>
        <v>0</v>
      </c>
      <c r="AC72" s="287">
        <f ca="1">walls_forges_cap*(1-EXP(-TblImps[[#This Row],[Σ Walls]]/(walls_forges_param*(OFFSET(TblImps[[#This Row],[Land]],1,0)-OFFSET(TblExplore[[#This Row],[Land Bonus]],1,0)*20)+15000)))*(1+(mason_bonus*TblConstr[[#This Row],[Tot Mas]]/TblConstr[[#This Row],[Land (2)]]))</f>
        <v>0</v>
      </c>
      <c r="AD72" s="287">
        <f ca="1">harbor_towers_cap*(1-EXP(-TblImps[[#This Row],[Σ Harbor]]/(harbor_towers_param*(OFFSET(TblImps[[#This Row],[Land]],1,0)-OFFSET(TblExplore[[#This Row],[Land Bonus]],1,0)*20)+15000)))*(1+(mason_bonus*TblConstr[[#This Row],[Tot Mas]]/TblConstr[[#This Row],[Land (2)]]))</f>
        <v>0</v>
      </c>
      <c r="AE72" s="142"/>
      <c r="AF72" s="61">
        <f ca="1">(1+Overview!$I$29)*SUM(TblImps[[#This Row],[P2]:[G2]])+OFFSET(TblImps[[#This Row],[Σ Science]],-1,0)</f>
        <v>0</v>
      </c>
      <c r="AG72" s="61">
        <f ca="1">(1+Overview!$I$29)*SUM(TblImps[[#This Row],[P3]:[G3]])+OFFSET(TblImps[[#This Row],[Σ Keep]],-1,0)</f>
        <v>0</v>
      </c>
      <c r="AH72" s="61">
        <f ca="1">(1+Overview!$I$29 + tech_7_1*TblTech[[#This Row],[7-1]])*SUM(TblImps[[#This Row],[P4]:[G4]])+OFFSET(TblImps[[#This Row],[Σ Spires]],-1,0)</f>
        <v>0</v>
      </c>
      <c r="AI72" s="61">
        <f ca="1">(1+Overview!$I$29)*SUM(TblImps[[#This Row],[P5]:[G5]])+OFFSET(TblImps[[#This Row],[Σ Forges]],-1,0)</f>
        <v>0</v>
      </c>
      <c r="AJ72" s="61">
        <f ca="1">(1+Overview!$I$29)*SUM(TblImps[[#This Row],[P6]:[G6]])+OFFSET(TblImps[[#This Row],[Σ Walls]],-1,0)</f>
        <v>0</v>
      </c>
      <c r="AK72" s="61">
        <f ca="1">(1+Overview!$I$29 + tech_7_1*TblTech[[#This Row],[7-1]])*SUM(TblImps[[#This Row],[P7]:[G7]])+OFFSET(TblImps[[#This Row],[Σ Harbor]],-1,0)</f>
        <v>0</v>
      </c>
      <c r="AL72" s="142"/>
      <c r="AM72" s="57">
        <f>IF(AND(TblImps[[#This Row],[Resource]]=AM$2,TblImps[[#This Row],[Part]]&lt;&gt;""),TblImps[[#This Row],[Amount]]) + IF(AND(TblImps[[#This Row],[Resource 2]]=AM$2,TblImps[[#This Row],[Part 2]]&lt;&gt;""),TblImps[[#This Row],[Amount 2]]) + IF(AND(TblImps[[#This Row],[Resource 3]]=AM$2,TblImps[[#This Row],[Part 3]]&lt;&gt;""),TblImps[[#This Row],[Amount 3]])</f>
        <v>0</v>
      </c>
      <c r="AN72" s="57">
        <f>IF(AND(TblImps[[#This Row],[Resource]]=AN$2,TblImps[[#This Row],[Part]]&lt;&gt;""),TblImps[[#This Row],[Amount]]) + IF(AND(TblImps[[#This Row],[Resource 2]]=AN$2,TblImps[[#This Row],[Part 2]]&lt;&gt;""),TblImps[[#This Row],[Amount 2]]) + IF(AND(TblImps[[#This Row],[Resource 3]]=AN$2,TblImps[[#This Row],[Part 3]]&lt;&gt;""),TblImps[[#This Row],[Amount 3]])</f>
        <v>0</v>
      </c>
      <c r="AO72" s="57">
        <f>IF(AND(TblImps[[#This Row],[Resource]]=AO$2,TblImps[[#This Row],[Part]]&lt;&gt;""),TblImps[[#This Row],[Amount]]) + IF(AND(TblImps[[#This Row],[Resource 2]]=AO$2,TblImps[[#This Row],[Part 2]]&lt;&gt;""),TblImps[[#This Row],[Amount 2]]) + IF(AND(TblImps[[#This Row],[Resource 3]]=AO$2,TblImps[[#This Row],[Part 3]]&lt;&gt;""),TblImps[[#This Row],[Amount 3]])</f>
        <v>0</v>
      </c>
      <c r="AP72" s="57">
        <f>IF(AND(TblImps[[#This Row],[Resource]]=AP$2,TblImps[[#This Row],[Part]]&lt;&gt;""),TblImps[[#This Row],[Amount]]) + IF(AND(TblImps[[#This Row],[Resource 2]]=AP$2,TblImps[[#This Row],[Part 2]]&lt;&gt;""),TblImps[[#This Row],[Amount 2]]) + IF(AND(TblImps[[#This Row],[Resource 3]]=AP$2,TblImps[[#This Row],[Part 3]]&lt;&gt;""),TblImps[[#This Row],[Amount 3]])</f>
        <v>0</v>
      </c>
      <c r="AQ72" s="142"/>
      <c r="AR7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2" s="142"/>
      <c r="AW7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2" s="142"/>
      <c r="BB7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2" s="142"/>
      <c r="BG7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2" s="142"/>
      <c r="BL7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2" s="142"/>
      <c r="BQ7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2" s="142"/>
      <c r="BV7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2" s="61">
        <f>TblImps[[#This Row],[Login]]</f>
        <v>0</v>
      </c>
      <c r="BX72" s="137"/>
      <c r="BY72" s="293">
        <f ca="1">OFFSET(TblImps[[#This Row],[Real time]],-1,0)+1/24</f>
        <v>46049.833333333168</v>
      </c>
      <c r="BZ72" s="294">
        <f ca="1">OFFSET(TblImps[[#This Row],[Servertime]],-1,0)+1/24</f>
        <v>46049.833333333168</v>
      </c>
      <c r="CA72" s="57"/>
      <c r="CB72" s="292"/>
      <c r="CC72" s="292"/>
    </row>
    <row r="73" spans="1:84" x14ac:dyDescent="0.2">
      <c r="A73" s="214">
        <f ca="1">TblConstr[[#This Row],[Land]]</f>
        <v>110</v>
      </c>
      <c r="B73" s="142"/>
      <c r="C73" s="94">
        <f ca="1">TblProd[[#This Row],[Platinum]]</f>
        <v>164591</v>
      </c>
      <c r="D73" s="94">
        <f ca="1">TblProd[[#This Row],[Lumber]]</f>
        <v>57512</v>
      </c>
      <c r="E73" s="94">
        <f ca="1">TblProd[[#This Row],[Ore]]</f>
        <v>0</v>
      </c>
      <c r="F73" s="94">
        <f ca="1">TblProd[[#This Row],[Gems]]</f>
        <v>0</v>
      </c>
      <c r="G73" s="154"/>
      <c r="H73" s="94">
        <f ca="1">TblMili[[#This Row],[Draftees]]</f>
        <v>574</v>
      </c>
      <c r="I73" s="180">
        <f ca="1">TblPop[[#This Row],[Employment]]</f>
        <v>1</v>
      </c>
      <c r="J73" s="180">
        <f ca="1">TblPop[[#This Row],[Total]]/TblPop[[#This Row],[Net max]]</f>
        <v>1</v>
      </c>
      <c r="K73" s="283">
        <f>TblRezone[[#This Row],[Hour]]</f>
        <v>70</v>
      </c>
      <c r="L73" s="284">
        <f ca="1">TblImps[[#This Row],[Real time]]</f>
        <v>46049.874999999833</v>
      </c>
      <c r="M73" s="61">
        <f>IF(ISERROR(TblImps[[#This Row],[algorithm]]),0,TblImps[[#This Row],[algorithm]]*1)</f>
        <v>0</v>
      </c>
      <c r="N73" s="94">
        <f ca="1">TblImps[[#This Row],[Land]]</f>
        <v>110</v>
      </c>
      <c r="O73" s="285" t="s">
        <v>4</v>
      </c>
      <c r="P73" s="286"/>
      <c r="Q73" s="285" t="s">
        <v>210</v>
      </c>
      <c r="R73" s="285" t="s">
        <v>7</v>
      </c>
      <c r="S73" s="286"/>
      <c r="T73" s="285" t="s">
        <v>210</v>
      </c>
      <c r="U73" s="285" t="s">
        <v>3</v>
      </c>
      <c r="V73" s="286"/>
      <c r="W73" s="285" t="s">
        <v>210</v>
      </c>
      <c r="X73" s="142"/>
      <c r="Y73" s="287">
        <f ca="1">science_cap*(1-EXP(-TblImps[[#This Row],[Σ Science]]/(science_param*(OFFSET(TblImps[[#This Row],[Land]],1,0)-OFFSET(TblExplore[[#This Row],[Land Bonus]],1,0)*20)+15000)))*(1+(mason_bonus*TblConstr[[#This Row],[Tot Mas]]/TblConstr[[#This Row],[Land (2)]]))</f>
        <v>0</v>
      </c>
      <c r="Z73" s="287">
        <f ca="1">keep_cap*(1-EXP(-TblImps[[#This Row],[Σ Keep]]/(keep_param*(OFFSET(TblImps[[#This Row],[Land]],1,0)-OFFSET(TblExplore[[#This Row],[Land Bonus]],1,0)*20)+15000)))*(1+(mason_bonus*TblConstr[[#This Row],[Tot Mas]]/TblConstr[[#This Row],[Land (2)]]))</f>
        <v>0</v>
      </c>
      <c r="AA73" s="287">
        <f ca="1">harbor_towers_cap*(1-EXP(-TblImps[[#This Row],[Σ Spires]]/(towers_param*(OFFSET(TblImps[[#This Row],[Land]],1,0)-OFFSET(TblExplore[[#This Row],[Land Bonus]],1,0)*20)+15000)))*(1+(mason_bonus*TblConstr[[#This Row],[Tot Mas]]/TblConstr[[#This Row],[Land (2)]]))</f>
        <v>0</v>
      </c>
      <c r="AB73" s="287">
        <f ca="1">walls_forges_cap*(1-EXP(-TblImps[[#This Row],[Σ Forges]]/(walls_forges_param*(OFFSET(TblImps[[#This Row],[Land]],1,0)-OFFSET(TblExplore[[#This Row],[Land Bonus]],1,0)*20)+15000)))*(1+(mason_bonus*TblConstr[[#This Row],[Tot Mas]]/TblConstr[[#This Row],[Land (2)]]))</f>
        <v>0</v>
      </c>
      <c r="AC73" s="287">
        <f ca="1">walls_forges_cap*(1-EXP(-TblImps[[#This Row],[Σ Walls]]/(walls_forges_param*(OFFSET(TblImps[[#This Row],[Land]],1,0)-OFFSET(TblExplore[[#This Row],[Land Bonus]],1,0)*20)+15000)))*(1+(mason_bonus*TblConstr[[#This Row],[Tot Mas]]/TblConstr[[#This Row],[Land (2)]]))</f>
        <v>0</v>
      </c>
      <c r="AD73" s="287">
        <f ca="1">harbor_towers_cap*(1-EXP(-TblImps[[#This Row],[Σ Harbor]]/(harbor_towers_param*(OFFSET(TblImps[[#This Row],[Land]],1,0)-OFFSET(TblExplore[[#This Row],[Land Bonus]],1,0)*20)+15000)))*(1+(mason_bonus*TblConstr[[#This Row],[Tot Mas]]/TblConstr[[#This Row],[Land (2)]]))</f>
        <v>0</v>
      </c>
      <c r="AE73" s="142"/>
      <c r="AF73" s="61">
        <f ca="1">(1+Overview!$I$29)*SUM(TblImps[[#This Row],[P2]:[G2]])+OFFSET(TblImps[[#This Row],[Σ Science]],-1,0)</f>
        <v>0</v>
      </c>
      <c r="AG73" s="61">
        <f ca="1">(1+Overview!$I$29)*SUM(TblImps[[#This Row],[P3]:[G3]])+OFFSET(TblImps[[#This Row],[Σ Keep]],-1,0)</f>
        <v>0</v>
      </c>
      <c r="AH73" s="61">
        <f ca="1">(1+Overview!$I$29 + tech_7_1*TblTech[[#This Row],[7-1]])*SUM(TblImps[[#This Row],[P4]:[G4]])+OFFSET(TblImps[[#This Row],[Σ Spires]],-1,0)</f>
        <v>0</v>
      </c>
      <c r="AI73" s="61">
        <f ca="1">(1+Overview!$I$29)*SUM(TblImps[[#This Row],[P5]:[G5]])+OFFSET(TblImps[[#This Row],[Σ Forges]],-1,0)</f>
        <v>0</v>
      </c>
      <c r="AJ73" s="61">
        <f ca="1">(1+Overview!$I$29)*SUM(TblImps[[#This Row],[P6]:[G6]])+OFFSET(TblImps[[#This Row],[Σ Walls]],-1,0)</f>
        <v>0</v>
      </c>
      <c r="AK73" s="61">
        <f ca="1">(1+Overview!$I$29 + tech_7_1*TblTech[[#This Row],[7-1]])*SUM(TblImps[[#This Row],[P7]:[G7]])+OFFSET(TblImps[[#This Row],[Σ Harbor]],-1,0)</f>
        <v>0</v>
      </c>
      <c r="AL73" s="142"/>
      <c r="AM73" s="57">
        <f>IF(AND(TblImps[[#This Row],[Resource]]=AM$2,TblImps[[#This Row],[Part]]&lt;&gt;""),TblImps[[#This Row],[Amount]]) + IF(AND(TblImps[[#This Row],[Resource 2]]=AM$2,TblImps[[#This Row],[Part 2]]&lt;&gt;""),TblImps[[#This Row],[Amount 2]]) + IF(AND(TblImps[[#This Row],[Resource 3]]=AM$2,TblImps[[#This Row],[Part 3]]&lt;&gt;""),TblImps[[#This Row],[Amount 3]])</f>
        <v>0</v>
      </c>
      <c r="AN73" s="57">
        <f>IF(AND(TblImps[[#This Row],[Resource]]=AN$2,TblImps[[#This Row],[Part]]&lt;&gt;""),TblImps[[#This Row],[Amount]]) + IF(AND(TblImps[[#This Row],[Resource 2]]=AN$2,TblImps[[#This Row],[Part 2]]&lt;&gt;""),TblImps[[#This Row],[Amount 2]]) + IF(AND(TblImps[[#This Row],[Resource 3]]=AN$2,TblImps[[#This Row],[Part 3]]&lt;&gt;""),TblImps[[#This Row],[Amount 3]])</f>
        <v>0</v>
      </c>
      <c r="AO73" s="57">
        <f>IF(AND(TblImps[[#This Row],[Resource]]=AO$2,TblImps[[#This Row],[Part]]&lt;&gt;""),TblImps[[#This Row],[Amount]]) + IF(AND(TblImps[[#This Row],[Resource 2]]=AO$2,TblImps[[#This Row],[Part 2]]&lt;&gt;""),TblImps[[#This Row],[Amount 2]]) + IF(AND(TblImps[[#This Row],[Resource 3]]=AO$2,TblImps[[#This Row],[Part 3]]&lt;&gt;""),TblImps[[#This Row],[Amount 3]])</f>
        <v>0</v>
      </c>
      <c r="AP73" s="57">
        <f>IF(AND(TblImps[[#This Row],[Resource]]=AP$2,TblImps[[#This Row],[Part]]&lt;&gt;""),TblImps[[#This Row],[Amount]]) + IF(AND(TblImps[[#This Row],[Resource 2]]=AP$2,TblImps[[#This Row],[Part 2]]&lt;&gt;""),TblImps[[#This Row],[Amount 2]]) + IF(AND(TblImps[[#This Row],[Resource 3]]=AP$2,TblImps[[#This Row],[Part 3]]&lt;&gt;""),TblImps[[#This Row],[Amount 3]])</f>
        <v>0</v>
      </c>
      <c r="AQ73" s="142"/>
      <c r="AR7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3" s="142"/>
      <c r="AW7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3" s="142"/>
      <c r="BB7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3" s="142"/>
      <c r="BG7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3" s="142"/>
      <c r="BL7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3" s="142"/>
      <c r="BQ7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3" s="142"/>
      <c r="BV7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3" s="61">
        <f>TblImps[[#This Row],[Login]]</f>
        <v>0</v>
      </c>
      <c r="BX73" s="137"/>
      <c r="BY73" s="293">
        <f ca="1">OFFSET(TblImps[[#This Row],[Real time]],-1,0)+1/24</f>
        <v>46049.874999999833</v>
      </c>
      <c r="BZ73" s="294">
        <f ca="1">OFFSET(TblImps[[#This Row],[Servertime]],-1,0)+1/24</f>
        <v>46049.874999999833</v>
      </c>
      <c r="CA73" s="57"/>
      <c r="CB73" s="292"/>
      <c r="CC73" s="292"/>
    </row>
    <row r="74" spans="1:84" x14ac:dyDescent="0.2">
      <c r="A74" s="214">
        <f ca="1">TblConstr[[#This Row],[Land]]</f>
        <v>110</v>
      </c>
      <c r="B74" s="142"/>
      <c r="C74" s="94">
        <f ca="1">TblProd[[#This Row],[Platinum]]</f>
        <v>165946</v>
      </c>
      <c r="D74" s="94">
        <f ca="1">TblProd[[#This Row],[Lumber]]</f>
        <v>57937</v>
      </c>
      <c r="E74" s="94">
        <f ca="1">TblProd[[#This Row],[Ore]]</f>
        <v>0</v>
      </c>
      <c r="F74" s="94">
        <f ca="1">TblProd[[#This Row],[Gems]]</f>
        <v>0</v>
      </c>
      <c r="G74" s="154"/>
      <c r="H74" s="94">
        <f ca="1">TblMili[[#This Row],[Draftees]]</f>
        <v>579</v>
      </c>
      <c r="I74" s="180">
        <f ca="1">TblPop[[#This Row],[Employment]]</f>
        <v>1</v>
      </c>
      <c r="J74" s="180">
        <f ca="1">TblPop[[#This Row],[Total]]/TblPop[[#This Row],[Net max]]</f>
        <v>1</v>
      </c>
      <c r="K74" s="283">
        <f>TblRezone[[#This Row],[Hour]]</f>
        <v>71</v>
      </c>
      <c r="L74" s="284">
        <f ca="1">TblImps[[#This Row],[Real time]]</f>
        <v>46049.916666666497</v>
      </c>
      <c r="M74" s="61">
        <f>IF(ISERROR(TblImps[[#This Row],[algorithm]]),0,TblImps[[#This Row],[algorithm]]*1)</f>
        <v>0</v>
      </c>
      <c r="N74" s="94">
        <f ca="1">TblImps[[#This Row],[Land]]</f>
        <v>110</v>
      </c>
      <c r="O74" s="285" t="s">
        <v>4</v>
      </c>
      <c r="P74" s="286"/>
      <c r="Q74" s="285" t="s">
        <v>210</v>
      </c>
      <c r="R74" s="285" t="s">
        <v>7</v>
      </c>
      <c r="S74" s="286"/>
      <c r="T74" s="285" t="s">
        <v>210</v>
      </c>
      <c r="U74" s="285" t="s">
        <v>3</v>
      </c>
      <c r="V74" s="286"/>
      <c r="W74" s="285" t="s">
        <v>210</v>
      </c>
      <c r="X74" s="142"/>
      <c r="Y74" s="287">
        <f ca="1">science_cap*(1-EXP(-TblImps[[#This Row],[Σ Science]]/(science_param*(OFFSET(TblImps[[#This Row],[Land]],1,0)-OFFSET(TblExplore[[#This Row],[Land Bonus]],1,0)*20)+15000)))*(1+(mason_bonus*TblConstr[[#This Row],[Tot Mas]]/TblConstr[[#This Row],[Land (2)]]))</f>
        <v>0</v>
      </c>
      <c r="Z74" s="287">
        <f ca="1">keep_cap*(1-EXP(-TblImps[[#This Row],[Σ Keep]]/(keep_param*(OFFSET(TblImps[[#This Row],[Land]],1,0)-OFFSET(TblExplore[[#This Row],[Land Bonus]],1,0)*20)+15000)))*(1+(mason_bonus*TblConstr[[#This Row],[Tot Mas]]/TblConstr[[#This Row],[Land (2)]]))</f>
        <v>0</v>
      </c>
      <c r="AA74" s="287">
        <f ca="1">harbor_towers_cap*(1-EXP(-TblImps[[#This Row],[Σ Spires]]/(towers_param*(OFFSET(TblImps[[#This Row],[Land]],1,0)-OFFSET(TblExplore[[#This Row],[Land Bonus]],1,0)*20)+15000)))*(1+(mason_bonus*TblConstr[[#This Row],[Tot Mas]]/TblConstr[[#This Row],[Land (2)]]))</f>
        <v>0</v>
      </c>
      <c r="AB74" s="287">
        <f ca="1">walls_forges_cap*(1-EXP(-TblImps[[#This Row],[Σ Forges]]/(walls_forges_param*(OFFSET(TblImps[[#This Row],[Land]],1,0)-OFFSET(TblExplore[[#This Row],[Land Bonus]],1,0)*20)+15000)))*(1+(mason_bonus*TblConstr[[#This Row],[Tot Mas]]/TblConstr[[#This Row],[Land (2)]]))</f>
        <v>0</v>
      </c>
      <c r="AC74" s="287">
        <f ca="1">walls_forges_cap*(1-EXP(-TblImps[[#This Row],[Σ Walls]]/(walls_forges_param*(OFFSET(TblImps[[#This Row],[Land]],1,0)-OFFSET(TblExplore[[#This Row],[Land Bonus]],1,0)*20)+15000)))*(1+(mason_bonus*TblConstr[[#This Row],[Tot Mas]]/TblConstr[[#This Row],[Land (2)]]))</f>
        <v>0</v>
      </c>
      <c r="AD74" s="287">
        <f ca="1">harbor_towers_cap*(1-EXP(-TblImps[[#This Row],[Σ Harbor]]/(harbor_towers_param*(OFFSET(TblImps[[#This Row],[Land]],1,0)-OFFSET(TblExplore[[#This Row],[Land Bonus]],1,0)*20)+15000)))*(1+(mason_bonus*TblConstr[[#This Row],[Tot Mas]]/TblConstr[[#This Row],[Land (2)]]))</f>
        <v>0</v>
      </c>
      <c r="AE74" s="142"/>
      <c r="AF74" s="61">
        <f ca="1">(1+Overview!$I$29)*SUM(TblImps[[#This Row],[P2]:[G2]])+OFFSET(TblImps[[#This Row],[Σ Science]],-1,0)</f>
        <v>0</v>
      </c>
      <c r="AG74" s="61">
        <f ca="1">(1+Overview!$I$29)*SUM(TblImps[[#This Row],[P3]:[G3]])+OFFSET(TblImps[[#This Row],[Σ Keep]],-1,0)</f>
        <v>0</v>
      </c>
      <c r="AH74" s="61">
        <f ca="1">(1+Overview!$I$29 + tech_7_1*TblTech[[#This Row],[7-1]])*SUM(TblImps[[#This Row],[P4]:[G4]])+OFFSET(TblImps[[#This Row],[Σ Spires]],-1,0)</f>
        <v>0</v>
      </c>
      <c r="AI74" s="61">
        <f ca="1">(1+Overview!$I$29)*SUM(TblImps[[#This Row],[P5]:[G5]])+OFFSET(TblImps[[#This Row],[Σ Forges]],-1,0)</f>
        <v>0</v>
      </c>
      <c r="AJ74" s="61">
        <f ca="1">(1+Overview!$I$29)*SUM(TblImps[[#This Row],[P6]:[G6]])+OFFSET(TblImps[[#This Row],[Σ Walls]],-1,0)</f>
        <v>0</v>
      </c>
      <c r="AK74" s="61">
        <f ca="1">(1+Overview!$I$29 + tech_7_1*TblTech[[#This Row],[7-1]])*SUM(TblImps[[#This Row],[P7]:[G7]])+OFFSET(TblImps[[#This Row],[Σ Harbor]],-1,0)</f>
        <v>0</v>
      </c>
      <c r="AL74" s="142"/>
      <c r="AM74" s="57">
        <f>IF(AND(TblImps[[#This Row],[Resource]]=AM$2,TblImps[[#This Row],[Part]]&lt;&gt;""),TblImps[[#This Row],[Amount]]) + IF(AND(TblImps[[#This Row],[Resource 2]]=AM$2,TblImps[[#This Row],[Part 2]]&lt;&gt;""),TblImps[[#This Row],[Amount 2]]) + IF(AND(TblImps[[#This Row],[Resource 3]]=AM$2,TblImps[[#This Row],[Part 3]]&lt;&gt;""),TblImps[[#This Row],[Amount 3]])</f>
        <v>0</v>
      </c>
      <c r="AN74" s="57">
        <f>IF(AND(TblImps[[#This Row],[Resource]]=AN$2,TblImps[[#This Row],[Part]]&lt;&gt;""),TblImps[[#This Row],[Amount]]) + IF(AND(TblImps[[#This Row],[Resource 2]]=AN$2,TblImps[[#This Row],[Part 2]]&lt;&gt;""),TblImps[[#This Row],[Amount 2]]) + IF(AND(TblImps[[#This Row],[Resource 3]]=AN$2,TblImps[[#This Row],[Part 3]]&lt;&gt;""),TblImps[[#This Row],[Amount 3]])</f>
        <v>0</v>
      </c>
      <c r="AO74" s="57">
        <f>IF(AND(TblImps[[#This Row],[Resource]]=AO$2,TblImps[[#This Row],[Part]]&lt;&gt;""),TblImps[[#This Row],[Amount]]) + IF(AND(TblImps[[#This Row],[Resource 2]]=AO$2,TblImps[[#This Row],[Part 2]]&lt;&gt;""),TblImps[[#This Row],[Amount 2]]) + IF(AND(TblImps[[#This Row],[Resource 3]]=AO$2,TblImps[[#This Row],[Part 3]]&lt;&gt;""),TblImps[[#This Row],[Amount 3]])</f>
        <v>0</v>
      </c>
      <c r="AP74" s="57">
        <f>IF(AND(TblImps[[#This Row],[Resource]]=AP$2,TblImps[[#This Row],[Part]]&lt;&gt;""),TblImps[[#This Row],[Amount]]) + IF(AND(TblImps[[#This Row],[Resource 2]]=AP$2,TblImps[[#This Row],[Part 2]]&lt;&gt;""),TblImps[[#This Row],[Amount 2]]) + IF(AND(TblImps[[#This Row],[Resource 3]]=AP$2,TblImps[[#This Row],[Part 3]]&lt;&gt;""),TblImps[[#This Row],[Amount 3]])</f>
        <v>0</v>
      </c>
      <c r="AQ74" s="142"/>
      <c r="AR7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4" s="142"/>
      <c r="AW7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4" s="142"/>
      <c r="BB7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4" s="142"/>
      <c r="BG7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4" s="142"/>
      <c r="BL7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4" s="142"/>
      <c r="BQ7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4" s="142"/>
      <c r="BV7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4" s="61">
        <f>TblImps[[#This Row],[Login]]</f>
        <v>0</v>
      </c>
      <c r="BX74" s="137"/>
      <c r="BY74" s="293">
        <f ca="1">OFFSET(TblImps[[#This Row],[Real time]],-1,0)+1/24</f>
        <v>46049.916666666497</v>
      </c>
      <c r="BZ74" s="294">
        <f ca="1">OFFSET(TblImps[[#This Row],[Servertime]],-1,0)+1/24</f>
        <v>46049.916666666497</v>
      </c>
      <c r="CA74" s="57"/>
      <c r="CB74" s="292"/>
      <c r="CC74" s="292"/>
    </row>
    <row r="75" spans="1:84" x14ac:dyDescent="0.2">
      <c r="A75" s="214">
        <f ca="1">TblConstr[[#This Row],[Land]]</f>
        <v>110</v>
      </c>
      <c r="B75" s="142"/>
      <c r="C75" s="94">
        <f ca="1">TblProd[[#This Row],[Platinum]]</f>
        <v>167287</v>
      </c>
      <c r="D75" s="94">
        <f ca="1">TblProd[[#This Row],[Lumber]]</f>
        <v>58358</v>
      </c>
      <c r="E75" s="94">
        <f ca="1">TblProd[[#This Row],[Ore]]</f>
        <v>0</v>
      </c>
      <c r="F75" s="94">
        <f ca="1">TblProd[[#This Row],[Gems]]</f>
        <v>0</v>
      </c>
      <c r="G75" s="154"/>
      <c r="H75" s="94">
        <f ca="1">TblMili[[#This Row],[Draftees]]</f>
        <v>584</v>
      </c>
      <c r="I75" s="180">
        <f ca="1">TblPop[[#This Row],[Employment]]</f>
        <v>1</v>
      </c>
      <c r="J75" s="180">
        <f ca="1">TblPop[[#This Row],[Total]]/TblPop[[#This Row],[Net max]]</f>
        <v>1</v>
      </c>
      <c r="K75" s="283">
        <f>TblRezone[[#This Row],[Hour]]</f>
        <v>72</v>
      </c>
      <c r="L75" s="284">
        <f ca="1">TblImps[[#This Row],[Real time]]</f>
        <v>46049.958333333161</v>
      </c>
      <c r="M75" s="61">
        <f>IF(ISERROR(TblImps[[#This Row],[algorithm]]),0,TblImps[[#This Row],[algorithm]]*1)</f>
        <v>0</v>
      </c>
      <c r="N75" s="94">
        <f ca="1">TblImps[[#This Row],[Land]]</f>
        <v>110</v>
      </c>
      <c r="O75" s="285" t="s">
        <v>4</v>
      </c>
      <c r="P75" s="286"/>
      <c r="Q75" s="285" t="s">
        <v>210</v>
      </c>
      <c r="R75" s="285" t="s">
        <v>7</v>
      </c>
      <c r="S75" s="286"/>
      <c r="T75" s="285" t="s">
        <v>210</v>
      </c>
      <c r="U75" s="285" t="s">
        <v>3</v>
      </c>
      <c r="V75" s="286"/>
      <c r="W75" s="285" t="s">
        <v>210</v>
      </c>
      <c r="X75" s="142"/>
      <c r="Y75" s="287">
        <f ca="1">science_cap*(1-EXP(-TblImps[[#This Row],[Σ Science]]/(science_param*(OFFSET(TblImps[[#This Row],[Land]],1,0)-OFFSET(TblExplore[[#This Row],[Land Bonus]],1,0)*20)+15000)))*(1+(mason_bonus*TblConstr[[#This Row],[Tot Mas]]/TblConstr[[#This Row],[Land (2)]]))</f>
        <v>0</v>
      </c>
      <c r="Z75" s="287">
        <f ca="1">keep_cap*(1-EXP(-TblImps[[#This Row],[Σ Keep]]/(keep_param*(OFFSET(TblImps[[#This Row],[Land]],1,0)-OFFSET(TblExplore[[#This Row],[Land Bonus]],1,0)*20)+15000)))*(1+(mason_bonus*TblConstr[[#This Row],[Tot Mas]]/TblConstr[[#This Row],[Land (2)]]))</f>
        <v>0</v>
      </c>
      <c r="AA75" s="287">
        <f ca="1">harbor_towers_cap*(1-EXP(-TblImps[[#This Row],[Σ Spires]]/(towers_param*(OFFSET(TblImps[[#This Row],[Land]],1,0)-OFFSET(TblExplore[[#This Row],[Land Bonus]],1,0)*20)+15000)))*(1+(mason_bonus*TblConstr[[#This Row],[Tot Mas]]/TblConstr[[#This Row],[Land (2)]]))</f>
        <v>0</v>
      </c>
      <c r="AB75" s="287">
        <f ca="1">walls_forges_cap*(1-EXP(-TblImps[[#This Row],[Σ Forges]]/(walls_forges_param*(OFFSET(TblImps[[#This Row],[Land]],1,0)-OFFSET(TblExplore[[#This Row],[Land Bonus]],1,0)*20)+15000)))*(1+(mason_bonus*TblConstr[[#This Row],[Tot Mas]]/TblConstr[[#This Row],[Land (2)]]))</f>
        <v>0</v>
      </c>
      <c r="AC75" s="287">
        <f ca="1">walls_forges_cap*(1-EXP(-TblImps[[#This Row],[Σ Walls]]/(walls_forges_param*(OFFSET(TblImps[[#This Row],[Land]],1,0)-OFFSET(TblExplore[[#This Row],[Land Bonus]],1,0)*20)+15000)))*(1+(mason_bonus*TblConstr[[#This Row],[Tot Mas]]/TblConstr[[#This Row],[Land (2)]]))</f>
        <v>0</v>
      </c>
      <c r="AD75" s="287">
        <f ca="1">harbor_towers_cap*(1-EXP(-TblImps[[#This Row],[Σ Harbor]]/(harbor_towers_param*(OFFSET(TblImps[[#This Row],[Land]],1,0)-OFFSET(TblExplore[[#This Row],[Land Bonus]],1,0)*20)+15000)))*(1+(mason_bonus*TblConstr[[#This Row],[Tot Mas]]/TblConstr[[#This Row],[Land (2)]]))</f>
        <v>0</v>
      </c>
      <c r="AE75" s="142"/>
      <c r="AF75" s="61">
        <f ca="1">(1+Overview!$I$29)*SUM(TblImps[[#This Row],[P2]:[G2]])+OFFSET(TblImps[[#This Row],[Σ Science]],-1,0)</f>
        <v>0</v>
      </c>
      <c r="AG75" s="61">
        <f ca="1">(1+Overview!$I$29)*SUM(TblImps[[#This Row],[P3]:[G3]])+OFFSET(TblImps[[#This Row],[Σ Keep]],-1,0)</f>
        <v>0</v>
      </c>
      <c r="AH75" s="61">
        <f ca="1">(1+Overview!$I$29 + tech_7_1*TblTech[[#This Row],[7-1]])*SUM(TblImps[[#This Row],[P4]:[G4]])+OFFSET(TblImps[[#This Row],[Σ Spires]],-1,0)</f>
        <v>0</v>
      </c>
      <c r="AI75" s="61">
        <f ca="1">(1+Overview!$I$29)*SUM(TblImps[[#This Row],[P5]:[G5]])+OFFSET(TblImps[[#This Row],[Σ Forges]],-1,0)</f>
        <v>0</v>
      </c>
      <c r="AJ75" s="61">
        <f ca="1">(1+Overview!$I$29)*SUM(TblImps[[#This Row],[P6]:[G6]])+OFFSET(TblImps[[#This Row],[Σ Walls]],-1,0)</f>
        <v>0</v>
      </c>
      <c r="AK75" s="61">
        <f ca="1">(1+Overview!$I$29 + tech_7_1*TblTech[[#This Row],[7-1]])*SUM(TblImps[[#This Row],[P7]:[G7]])+OFFSET(TblImps[[#This Row],[Σ Harbor]],-1,0)</f>
        <v>0</v>
      </c>
      <c r="AL75" s="142"/>
      <c r="AM75" s="57">
        <f>IF(AND(TblImps[[#This Row],[Resource]]=AM$2,TblImps[[#This Row],[Part]]&lt;&gt;""),TblImps[[#This Row],[Amount]]) + IF(AND(TblImps[[#This Row],[Resource 2]]=AM$2,TblImps[[#This Row],[Part 2]]&lt;&gt;""),TblImps[[#This Row],[Amount 2]]) + IF(AND(TblImps[[#This Row],[Resource 3]]=AM$2,TblImps[[#This Row],[Part 3]]&lt;&gt;""),TblImps[[#This Row],[Amount 3]])</f>
        <v>0</v>
      </c>
      <c r="AN75" s="57">
        <f>IF(AND(TblImps[[#This Row],[Resource]]=AN$2,TblImps[[#This Row],[Part]]&lt;&gt;""),TblImps[[#This Row],[Amount]]) + IF(AND(TblImps[[#This Row],[Resource 2]]=AN$2,TblImps[[#This Row],[Part 2]]&lt;&gt;""),TblImps[[#This Row],[Amount 2]]) + IF(AND(TblImps[[#This Row],[Resource 3]]=AN$2,TblImps[[#This Row],[Part 3]]&lt;&gt;""),TblImps[[#This Row],[Amount 3]])</f>
        <v>0</v>
      </c>
      <c r="AO75" s="57">
        <f>IF(AND(TblImps[[#This Row],[Resource]]=AO$2,TblImps[[#This Row],[Part]]&lt;&gt;""),TblImps[[#This Row],[Amount]]) + IF(AND(TblImps[[#This Row],[Resource 2]]=AO$2,TblImps[[#This Row],[Part 2]]&lt;&gt;""),TblImps[[#This Row],[Amount 2]]) + IF(AND(TblImps[[#This Row],[Resource 3]]=AO$2,TblImps[[#This Row],[Part 3]]&lt;&gt;""),TblImps[[#This Row],[Amount 3]])</f>
        <v>0</v>
      </c>
      <c r="AP75" s="57">
        <f>IF(AND(TblImps[[#This Row],[Resource]]=AP$2,TblImps[[#This Row],[Part]]&lt;&gt;""),TblImps[[#This Row],[Amount]]) + IF(AND(TblImps[[#This Row],[Resource 2]]=AP$2,TblImps[[#This Row],[Part 2]]&lt;&gt;""),TblImps[[#This Row],[Amount 2]]) + IF(AND(TblImps[[#This Row],[Resource 3]]=AP$2,TblImps[[#This Row],[Part 3]]&lt;&gt;""),TblImps[[#This Row],[Amount 3]])</f>
        <v>0</v>
      </c>
      <c r="AQ75" s="142"/>
      <c r="AR7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5" s="142"/>
      <c r="AW7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5" s="142"/>
      <c r="BB7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5" s="142"/>
      <c r="BG7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5" s="142"/>
      <c r="BL7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5" s="142"/>
      <c r="BQ7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5" s="142"/>
      <c r="BV7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5" s="61">
        <f>TblImps[[#This Row],[Login]]</f>
        <v>0</v>
      </c>
      <c r="BX75" s="137"/>
      <c r="BY75" s="293">
        <f ca="1">OFFSET(TblImps[[#This Row],[Real time]],-1,0)+1/24</f>
        <v>46049.958333333161</v>
      </c>
      <c r="BZ75" s="294">
        <f ca="1">OFFSET(TblImps[[#This Row],[Servertime]],-1,0)+1/24</f>
        <v>46049.958333333161</v>
      </c>
      <c r="CA75" s="57"/>
      <c r="CB75" s="292"/>
      <c r="CC75" s="292"/>
    </row>
    <row r="76" spans="1:84" x14ac:dyDescent="0.2">
      <c r="A76" s="214">
        <f ca="1">TblConstr[[#This Row],[Land]]</f>
        <v>110</v>
      </c>
      <c r="B76" s="142"/>
      <c r="C76" s="430">
        <f ca="1">TblProd[[#This Row],[Platinum]]</f>
        <v>168615</v>
      </c>
      <c r="D76" s="430">
        <f ca="1">TblProd[[#This Row],[Lumber]]</f>
        <v>58774</v>
      </c>
      <c r="E76" s="430">
        <f ca="1">TblProd[[#This Row],[Ore]]</f>
        <v>0</v>
      </c>
      <c r="F76" s="430">
        <f ca="1">TblProd[[#This Row],[Gems]]</f>
        <v>0</v>
      </c>
      <c r="G76" s="154"/>
      <c r="H76" s="430">
        <f ca="1">TblMili[[#This Row],[Draftees]]</f>
        <v>589</v>
      </c>
      <c r="I76" s="429">
        <f ca="1">TblPop[[#This Row],[Employment]]</f>
        <v>1</v>
      </c>
      <c r="J76" s="429">
        <f ca="1">TblPop[[#This Row],[Total]]/TblPop[[#This Row],[Net max]]</f>
        <v>1</v>
      </c>
      <c r="K76" s="283">
        <f>TblRezone[[#This Row],[Hour]]</f>
        <v>73</v>
      </c>
      <c r="L76" s="284">
        <f ca="1">TblImps[[#This Row],[Real time]]</f>
        <v>46049.999999999825</v>
      </c>
      <c r="M76" s="428">
        <f>IF(ISERROR(TblImps[[#This Row],[algorithm]]),0,TblImps[[#This Row],[algorithm]]*1)</f>
        <v>0</v>
      </c>
      <c r="N76" s="430">
        <f ca="1">TblImps[[#This Row],[Land]]</f>
        <v>110</v>
      </c>
      <c r="O76" s="285" t="s">
        <v>4</v>
      </c>
      <c r="P76" s="286"/>
      <c r="Q76" s="285" t="s">
        <v>210</v>
      </c>
      <c r="R76" s="285" t="s">
        <v>7</v>
      </c>
      <c r="S76" s="286"/>
      <c r="T76" s="285" t="s">
        <v>210</v>
      </c>
      <c r="U76" s="285" t="s">
        <v>3</v>
      </c>
      <c r="V76" s="286"/>
      <c r="W76" s="285" t="s">
        <v>210</v>
      </c>
      <c r="X76" s="142"/>
      <c r="Y76" s="455">
        <f ca="1">science_cap*(1-EXP(-TblImps[[#This Row],[Σ Science]]/(science_param*(OFFSET(TblImps[[#This Row],[Land]],1,0)-OFFSET(TblExplore[[#This Row],[Land Bonus]],1,0)*20)+15000)))*(1+(mason_bonus*TblConstr[[#This Row],[Tot Mas]]/TblConstr[[#This Row],[Land (2)]]))</f>
        <v>0</v>
      </c>
      <c r="Z76" s="455">
        <f ca="1">keep_cap*(1-EXP(-TblImps[[#This Row],[Σ Keep]]/(keep_param*(OFFSET(TblImps[[#This Row],[Land]],1,0)-OFFSET(TblExplore[[#This Row],[Land Bonus]],1,0)*20)+15000)))*(1+(mason_bonus*TblConstr[[#This Row],[Tot Mas]]/TblConstr[[#This Row],[Land (2)]]))</f>
        <v>0</v>
      </c>
      <c r="AA76" s="455">
        <f ca="1">harbor_towers_cap*(1-EXP(-TblImps[[#This Row],[Σ Spires]]/(towers_param*(OFFSET(TblImps[[#This Row],[Land]],1,0)-OFFSET(TblExplore[[#This Row],[Land Bonus]],1,0)*20)+15000)))*(1+(mason_bonus*TblConstr[[#This Row],[Tot Mas]]/TblConstr[[#This Row],[Land (2)]]))</f>
        <v>0</v>
      </c>
      <c r="AB76" s="455">
        <f ca="1">walls_forges_cap*(1-EXP(-TblImps[[#This Row],[Σ Forges]]/(walls_forges_param*(OFFSET(TblImps[[#This Row],[Land]],1,0)-OFFSET(TblExplore[[#This Row],[Land Bonus]],1,0)*20)+15000)))*(1+(mason_bonus*TblConstr[[#This Row],[Tot Mas]]/TblConstr[[#This Row],[Land (2)]]))</f>
        <v>0</v>
      </c>
      <c r="AC76" s="455">
        <f ca="1">walls_forges_cap*(1-EXP(-TblImps[[#This Row],[Σ Walls]]/(walls_forges_param*(OFFSET(TblImps[[#This Row],[Land]],1,0)-OFFSET(TblExplore[[#This Row],[Land Bonus]],1,0)*20)+15000)))*(1+(mason_bonus*TblConstr[[#This Row],[Tot Mas]]/TblConstr[[#This Row],[Land (2)]]))</f>
        <v>0</v>
      </c>
      <c r="AD76" s="455">
        <f ca="1">harbor_towers_cap*(1-EXP(-TblImps[[#This Row],[Σ Harbor]]/(harbor_towers_param*(OFFSET(TblImps[[#This Row],[Land]],1,0)-OFFSET(TblExplore[[#This Row],[Land Bonus]],1,0)*20)+15000)))*(1+(mason_bonus*TblConstr[[#This Row],[Tot Mas]]/TblConstr[[#This Row],[Land (2)]]))</f>
        <v>0</v>
      </c>
      <c r="AE76" s="142"/>
      <c r="AF76" s="428">
        <f ca="1">(1+Overview!$I$29)*SUM(TblImps[[#This Row],[P2]:[G2]])+OFFSET(TblImps[[#This Row],[Σ Science]],-1,0)</f>
        <v>0</v>
      </c>
      <c r="AG76" s="428">
        <f ca="1">(1+Overview!$I$29)*SUM(TblImps[[#This Row],[P3]:[G3]])+OFFSET(TblImps[[#This Row],[Σ Keep]],-1,0)</f>
        <v>0</v>
      </c>
      <c r="AH76" s="428">
        <f ca="1">(1+Overview!$I$29 + tech_7_1*TblTech[[#This Row],[7-1]])*SUM(TblImps[[#This Row],[P4]:[G4]])+OFFSET(TblImps[[#This Row],[Σ Spires]],-1,0)</f>
        <v>0</v>
      </c>
      <c r="AI76" s="428">
        <f ca="1">(1+Overview!$I$29)*SUM(TblImps[[#This Row],[P5]:[G5]])+OFFSET(TblImps[[#This Row],[Σ Forges]],-1,0)</f>
        <v>0</v>
      </c>
      <c r="AJ76" s="428">
        <f ca="1">(1+Overview!$I$29)*SUM(TblImps[[#This Row],[P6]:[G6]])+OFFSET(TblImps[[#This Row],[Σ Walls]],-1,0)</f>
        <v>0</v>
      </c>
      <c r="AK76" s="428">
        <f ca="1">(1+Overview!$I$29 + tech_7_1*TblTech[[#This Row],[7-1]])*SUM(TblImps[[#This Row],[P7]:[G7]])+OFFSET(TblImps[[#This Row],[Σ Harbor]],-1,0)</f>
        <v>0</v>
      </c>
      <c r="AL76" s="142"/>
      <c r="AM76" s="431">
        <f>IF(AND(TblImps[[#This Row],[Resource]]=AM$2,TblImps[[#This Row],[Part]]&lt;&gt;""),TblImps[[#This Row],[Amount]]) + IF(AND(TblImps[[#This Row],[Resource 2]]=AM$2,TblImps[[#This Row],[Part 2]]&lt;&gt;""),TblImps[[#This Row],[Amount 2]]) + IF(AND(TblImps[[#This Row],[Resource 3]]=AM$2,TblImps[[#This Row],[Part 3]]&lt;&gt;""),TblImps[[#This Row],[Amount 3]])</f>
        <v>0</v>
      </c>
      <c r="AN76" s="431">
        <f>IF(AND(TblImps[[#This Row],[Resource]]=AN$2,TblImps[[#This Row],[Part]]&lt;&gt;""),TblImps[[#This Row],[Amount]]) + IF(AND(TblImps[[#This Row],[Resource 2]]=AN$2,TblImps[[#This Row],[Part 2]]&lt;&gt;""),TblImps[[#This Row],[Amount 2]]) + IF(AND(TblImps[[#This Row],[Resource 3]]=AN$2,TblImps[[#This Row],[Part 3]]&lt;&gt;""),TblImps[[#This Row],[Amount 3]])</f>
        <v>0</v>
      </c>
      <c r="AO76" s="431">
        <f>IF(AND(TblImps[[#This Row],[Resource]]=AO$2,TblImps[[#This Row],[Part]]&lt;&gt;""),TblImps[[#This Row],[Amount]]) + IF(AND(TblImps[[#This Row],[Resource 2]]=AO$2,TblImps[[#This Row],[Part 2]]&lt;&gt;""),TblImps[[#This Row],[Amount 2]]) + IF(AND(TblImps[[#This Row],[Resource 3]]=AO$2,TblImps[[#This Row],[Part 3]]&lt;&gt;""),TblImps[[#This Row],[Amount 3]])</f>
        <v>0</v>
      </c>
      <c r="AP76" s="431">
        <f>IF(AND(TblImps[[#This Row],[Resource]]=AP$2,TblImps[[#This Row],[Part]]&lt;&gt;""),TblImps[[#This Row],[Amount]]) + IF(AND(TblImps[[#This Row],[Resource 2]]=AP$2,TblImps[[#This Row],[Part 2]]&lt;&gt;""),TblImps[[#This Row],[Amount 2]]) + IF(AND(TblImps[[#This Row],[Resource 3]]=AP$2,TblImps[[#This Row],[Part 3]]&lt;&gt;""),TblImps[[#This Row],[Amount 3]])</f>
        <v>0</v>
      </c>
      <c r="AQ76" s="142"/>
      <c r="AR76" s="431">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6" s="431">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6" s="431">
        <f>IF(TblImps[[#This Row],[Resource]]=AT$2,IF(TblImps[[#This Row],[Part]]=$Y$2,TblImps[[#This Row],[Amount]]*ore_invest)) + IF(TblImps[[#This Row],[Resource 2]]=AT$2,IF(TblImps[[#This Row],[Part 2]]=$Y$2,TblImps[[#This Row],[Amount 2]]*ore_invest)) + IF(TblImps[[#This Row],[Resource 3]]=AT$2,IF(TblImps[[#This Row],[Part 3]]=$Y$2,TblImps[[#This Row],[Amount 3]]*ore_invest))</f>
        <v>0</v>
      </c>
      <c r="AU76" s="431">
        <f>IF(TblImps[[#This Row],[Resource]]=AU$2,IF(TblImps[[#This Row],[Part]]=$Y$2,TblImps[[#This Row],[Amount]]*gem_invest)) + IF(TblImps[[#This Row],[Resource 2]]=AU$2,IF(TblImps[[#This Row],[Part 2]]=$Y$2,TblImps[[#This Row],[Amount 2]]*gem_invest)) + IF(TblImps[[#This Row],[Resource 3]]=AU$2,IF(TblImps[[#This Row],[Part 3]]=$Y$2,TblImps[[#This Row],[Amount 3]]*gem_invest))</f>
        <v>0</v>
      </c>
      <c r="AV76" s="142"/>
      <c r="AW76" s="431">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6" s="431">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6" s="431">
        <f>IF(TblImps[[#This Row],[Resource]]=AY$2,IF(TblImps[[#This Row],[Part]]=$Z$2,TblImps[[#This Row],[Amount]]*ore_invest)) + IF(TblImps[[#This Row],[Resource 2]]=AY$2,IF(TblImps[[#This Row],[Part 2]]=$Z$2,TblImps[[#This Row],[Amount 2]]*ore_invest)) + IF(TblImps[[#This Row],[Resource 3]]=AY$2,IF(TblImps[[#This Row],[Part 3]]=$Z$2,TblImps[[#This Row],[Amount 3]]*ore_invest))</f>
        <v>0</v>
      </c>
      <c r="AZ76" s="431">
        <f>IF(TblImps[[#This Row],[Resource]]=AZ$2,IF(TblImps[[#This Row],[Part]]=$Z$2,TblImps[[#This Row],[Amount]]*gem_invest)) + IF(TblImps[[#This Row],[Resource 2]]=AZ$2,IF(TblImps[[#This Row],[Part 2]]=$Z$2,TblImps[[#This Row],[Amount 2]]*gem_invest)) + IF(TblImps[[#This Row],[Resource 3]]=AZ$2,IF(TblImps[[#This Row],[Part 3]]=$Z$2,TblImps[[#This Row],[Amount 3]]*gem_invest))</f>
        <v>0</v>
      </c>
      <c r="BA76" s="142"/>
      <c r="BB76" s="431">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6" s="431">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6" s="431">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6" s="431">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6" s="142"/>
      <c r="BG76" s="431">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6" s="431">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6" s="431">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6" s="431">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6" s="142"/>
      <c r="BL76" s="431">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6" s="431">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6" s="431">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6" s="431">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6" s="142"/>
      <c r="BQ76" s="431">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6" s="431">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6" s="431">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6" s="431">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6" s="142"/>
      <c r="BV76" s="433"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6" s="428">
        <f>TblImps[[#This Row],[Login]]</f>
        <v>0</v>
      </c>
      <c r="BX76" s="137"/>
      <c r="BY76" s="456">
        <f ca="1">OFFSET(TblImps[[#This Row],[Real time]],-1,0)+1/24</f>
        <v>46049.999999999825</v>
      </c>
      <c r="BZ76" s="457">
        <f ca="1">OFFSET(TblImps[[#This Row],[Servertime]],-1,0)+1/24</f>
        <v>46049.999999999825</v>
      </c>
    </row>
    <row r="77" spans="1:84" x14ac:dyDescent="0.2">
      <c r="A77" s="214">
        <f ca="1">TblConstr[[#This Row],[Land]]</f>
        <v>110</v>
      </c>
      <c r="B77" s="142"/>
      <c r="C77" s="94">
        <f ca="1">TblProd[[#This Row],[Platinum]]</f>
        <v>169929</v>
      </c>
      <c r="D77" s="94">
        <f ca="1">TblProd[[#This Row],[Lumber]]</f>
        <v>59186</v>
      </c>
      <c r="E77" s="94">
        <f ca="1">TblProd[[#This Row],[Ore]]</f>
        <v>0</v>
      </c>
      <c r="F77" s="94">
        <f ca="1">TblProd[[#This Row],[Gems]]</f>
        <v>0</v>
      </c>
      <c r="G77" s="154"/>
      <c r="H77" s="94">
        <f ca="1">TblMili[[#This Row],[Draftees]]</f>
        <v>594</v>
      </c>
      <c r="I77" s="180">
        <f ca="1">TblPop[[#This Row],[Employment]]</f>
        <v>1</v>
      </c>
      <c r="J77" s="180">
        <f ca="1">TblPop[[#This Row],[Total]]/TblPop[[#This Row],[Net max]]</f>
        <v>1</v>
      </c>
      <c r="K77" s="283">
        <f>TblRezone[[#This Row],[Hour]]</f>
        <v>74</v>
      </c>
      <c r="L77" s="284">
        <f ca="1">TblImps[[#This Row],[Real time]]</f>
        <v>46050.04166666649</v>
      </c>
      <c r="M77" s="61">
        <f>IF(ISERROR(TblImps[[#This Row],[algorithm]]),0,TblImps[[#This Row],[algorithm]]*1)</f>
        <v>0</v>
      </c>
      <c r="N77" s="94">
        <f ca="1">TblImps[[#This Row],[Land]]</f>
        <v>110</v>
      </c>
      <c r="O77" s="285" t="s">
        <v>4</v>
      </c>
      <c r="P77" s="286"/>
      <c r="Q77" s="285" t="s">
        <v>210</v>
      </c>
      <c r="R77" s="285" t="s">
        <v>7</v>
      </c>
      <c r="S77" s="286"/>
      <c r="T77" s="285" t="s">
        <v>210</v>
      </c>
      <c r="U77" s="285" t="s">
        <v>3</v>
      </c>
      <c r="V77" s="286"/>
      <c r="W77" s="285" t="s">
        <v>210</v>
      </c>
      <c r="X77" s="142"/>
      <c r="Y77" s="287">
        <f ca="1">science_cap*(1-EXP(-TblImps[[#This Row],[Σ Science]]/(science_param*(OFFSET(TblImps[[#This Row],[Land]],1,0)-OFFSET(TblExplore[[#This Row],[Land Bonus]],1,0)*20)+15000)))*(1+(mason_bonus*TblConstr[[#This Row],[Tot Mas]]/TblConstr[[#This Row],[Land (2)]]))</f>
        <v>0</v>
      </c>
      <c r="Z77" s="287">
        <f ca="1">keep_cap*(1-EXP(-TblImps[[#This Row],[Σ Keep]]/(keep_param*(OFFSET(TblImps[[#This Row],[Land]],1,0)-OFFSET(TblExplore[[#This Row],[Land Bonus]],1,0)*20)+15000)))*(1+(mason_bonus*TblConstr[[#This Row],[Tot Mas]]/TblConstr[[#This Row],[Land (2)]]))</f>
        <v>0</v>
      </c>
      <c r="AA77" s="287">
        <f ca="1">harbor_towers_cap*(1-EXP(-TblImps[[#This Row],[Σ Spires]]/(towers_param*(OFFSET(TblImps[[#This Row],[Land]],1,0)-OFFSET(TblExplore[[#This Row],[Land Bonus]],1,0)*20)+15000)))*(1+(mason_bonus*TblConstr[[#This Row],[Tot Mas]]/TblConstr[[#This Row],[Land (2)]]))</f>
        <v>0</v>
      </c>
      <c r="AB77" s="287">
        <f ca="1">walls_forges_cap*(1-EXP(-TblImps[[#This Row],[Σ Forges]]/(walls_forges_param*(OFFSET(TblImps[[#This Row],[Land]],1,0)-OFFSET(TblExplore[[#This Row],[Land Bonus]],1,0)*20)+15000)))*(1+(mason_bonus*TblConstr[[#This Row],[Tot Mas]]/TblConstr[[#This Row],[Land (2)]]))</f>
        <v>0</v>
      </c>
      <c r="AC77" s="287">
        <f ca="1">walls_forges_cap*(1-EXP(-TblImps[[#This Row],[Σ Walls]]/(walls_forges_param*(OFFSET(TblImps[[#This Row],[Land]],1,0)-OFFSET(TblExplore[[#This Row],[Land Bonus]],1,0)*20)+15000)))*(1+(mason_bonus*TblConstr[[#This Row],[Tot Mas]]/TblConstr[[#This Row],[Land (2)]]))</f>
        <v>0</v>
      </c>
      <c r="AD77" s="287">
        <f ca="1">harbor_towers_cap*(1-EXP(-TblImps[[#This Row],[Σ Harbor]]/(harbor_towers_param*(OFFSET(TblImps[[#This Row],[Land]],1,0)-OFFSET(TblExplore[[#This Row],[Land Bonus]],1,0)*20)+15000)))*(1+(mason_bonus*TblConstr[[#This Row],[Tot Mas]]/TblConstr[[#This Row],[Land (2)]]))</f>
        <v>0</v>
      </c>
      <c r="AE77" s="142"/>
      <c r="AF77" s="61">
        <f ca="1">(1+Overview!$I$29)*SUM(TblImps[[#This Row],[P2]:[G2]])+OFFSET(TblImps[[#This Row],[Σ Science]],-1,0)</f>
        <v>0</v>
      </c>
      <c r="AG77" s="61">
        <f ca="1">(1+Overview!$I$29)*SUM(TblImps[[#This Row],[P3]:[G3]])+OFFSET(TblImps[[#This Row],[Σ Keep]],-1,0)</f>
        <v>0</v>
      </c>
      <c r="AH77" s="61">
        <f ca="1">(1+Overview!$I$29 + tech_7_1*TblTech[[#This Row],[7-1]])*SUM(TblImps[[#This Row],[P4]:[G4]])+OFFSET(TblImps[[#This Row],[Σ Spires]],-1,0)</f>
        <v>0</v>
      </c>
      <c r="AI77" s="61">
        <f ca="1">(1+Overview!$I$29)*SUM(TblImps[[#This Row],[P5]:[G5]])+OFFSET(TblImps[[#This Row],[Σ Forges]],-1,0)</f>
        <v>0</v>
      </c>
      <c r="AJ77" s="61">
        <f ca="1">(1+Overview!$I$29)*SUM(TblImps[[#This Row],[P6]:[G6]])+OFFSET(TblImps[[#This Row],[Σ Walls]],-1,0)</f>
        <v>0</v>
      </c>
      <c r="AK77" s="61">
        <f ca="1">(1+Overview!$I$29 + tech_7_1*TblTech[[#This Row],[7-1]])*SUM(TblImps[[#This Row],[P7]:[G7]])+OFFSET(TblImps[[#This Row],[Σ Harbor]],-1,0)</f>
        <v>0</v>
      </c>
      <c r="AL77" s="142"/>
      <c r="AM77" s="57">
        <f>IF(AND(TblImps[[#This Row],[Resource]]=AM$2,TblImps[[#This Row],[Part]]&lt;&gt;""),TblImps[[#This Row],[Amount]]) + IF(AND(TblImps[[#This Row],[Resource 2]]=AM$2,TblImps[[#This Row],[Part 2]]&lt;&gt;""),TblImps[[#This Row],[Amount 2]]) + IF(AND(TblImps[[#This Row],[Resource 3]]=AM$2,TblImps[[#This Row],[Part 3]]&lt;&gt;""),TblImps[[#This Row],[Amount 3]])</f>
        <v>0</v>
      </c>
      <c r="AN77" s="57">
        <f>IF(AND(TblImps[[#This Row],[Resource]]=AN$2,TblImps[[#This Row],[Part]]&lt;&gt;""),TblImps[[#This Row],[Amount]]) + IF(AND(TblImps[[#This Row],[Resource 2]]=AN$2,TblImps[[#This Row],[Part 2]]&lt;&gt;""),TblImps[[#This Row],[Amount 2]]) + IF(AND(TblImps[[#This Row],[Resource 3]]=AN$2,TblImps[[#This Row],[Part 3]]&lt;&gt;""),TblImps[[#This Row],[Amount 3]])</f>
        <v>0</v>
      </c>
      <c r="AO77" s="57">
        <f>IF(AND(TblImps[[#This Row],[Resource]]=AO$2,TblImps[[#This Row],[Part]]&lt;&gt;""),TblImps[[#This Row],[Amount]]) + IF(AND(TblImps[[#This Row],[Resource 2]]=AO$2,TblImps[[#This Row],[Part 2]]&lt;&gt;""),TblImps[[#This Row],[Amount 2]]) + IF(AND(TblImps[[#This Row],[Resource 3]]=AO$2,TblImps[[#This Row],[Part 3]]&lt;&gt;""),TblImps[[#This Row],[Amount 3]])</f>
        <v>0</v>
      </c>
      <c r="AP77" s="57">
        <f>IF(AND(TblImps[[#This Row],[Resource]]=AP$2,TblImps[[#This Row],[Part]]&lt;&gt;""),TblImps[[#This Row],[Amount]]) + IF(AND(TblImps[[#This Row],[Resource 2]]=AP$2,TblImps[[#This Row],[Part 2]]&lt;&gt;""),TblImps[[#This Row],[Amount 2]]) + IF(AND(TblImps[[#This Row],[Resource 3]]=AP$2,TblImps[[#This Row],[Part 3]]&lt;&gt;""),TblImps[[#This Row],[Amount 3]])</f>
        <v>0</v>
      </c>
      <c r="AQ77" s="142"/>
      <c r="AR7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7" s="142"/>
      <c r="AW7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7" s="142"/>
      <c r="BB7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7" s="142"/>
      <c r="BG7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7" s="142"/>
      <c r="BL7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7" s="142"/>
      <c r="BQ7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7" s="142"/>
      <c r="BV7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7" s="61">
        <f>TblImps[[#This Row],[Login]]</f>
        <v>0</v>
      </c>
      <c r="BX77" s="137"/>
      <c r="BY77" s="293">
        <f ca="1">OFFSET(TblImps[[#This Row],[Real time]],-1,0)+1/24</f>
        <v>46050.04166666649</v>
      </c>
      <c r="BZ77" s="294">
        <f ca="1">OFFSET(TblImps[[#This Row],[Servertime]],-1,0)+1/24</f>
        <v>46050.04166666649</v>
      </c>
      <c r="CA77" s="57"/>
      <c r="CB77" s="292"/>
      <c r="CC77" s="292"/>
    </row>
    <row r="78" spans="1:84" x14ac:dyDescent="0.2">
      <c r="A78" s="214">
        <f ca="1">TblConstr[[#This Row],[Land]]</f>
        <v>110</v>
      </c>
      <c r="B78" s="142"/>
      <c r="C78" s="94">
        <f ca="1">TblProd[[#This Row],[Platinum]]</f>
        <v>171230</v>
      </c>
      <c r="D78" s="94">
        <f ca="1">TblProd[[#This Row],[Lumber]]</f>
        <v>59594</v>
      </c>
      <c r="E78" s="94">
        <f ca="1">TblProd[[#This Row],[Ore]]</f>
        <v>0</v>
      </c>
      <c r="F78" s="94">
        <f ca="1">TblProd[[#This Row],[Gems]]</f>
        <v>0</v>
      </c>
      <c r="G78" s="154"/>
      <c r="H78" s="94">
        <f ca="1">TblMili[[#This Row],[Draftees]]</f>
        <v>599</v>
      </c>
      <c r="I78" s="180">
        <f ca="1">TblPop[[#This Row],[Employment]]</f>
        <v>1</v>
      </c>
      <c r="J78" s="180">
        <f ca="1">TblPop[[#This Row],[Total]]/TblPop[[#This Row],[Net max]]</f>
        <v>1</v>
      </c>
      <c r="K78" s="283">
        <f>TblRezone[[#This Row],[Hour]]</f>
        <v>75</v>
      </c>
      <c r="L78" s="284">
        <f ca="1">TblImps[[#This Row],[Real time]]</f>
        <v>46050.083333333154</v>
      </c>
      <c r="M78" s="61">
        <f>IF(ISERROR(TblImps[[#This Row],[algorithm]]),0,TblImps[[#This Row],[algorithm]]*1)</f>
        <v>0</v>
      </c>
      <c r="N78" s="94">
        <f ca="1">TblImps[[#This Row],[Land]]</f>
        <v>110</v>
      </c>
      <c r="O78" s="285" t="s">
        <v>4</v>
      </c>
      <c r="P78" s="286"/>
      <c r="Q78" s="285" t="s">
        <v>210</v>
      </c>
      <c r="R78" s="285" t="s">
        <v>7</v>
      </c>
      <c r="S78" s="286"/>
      <c r="T78" s="285" t="s">
        <v>210</v>
      </c>
      <c r="U78" s="285" t="s">
        <v>3</v>
      </c>
      <c r="V78" s="286"/>
      <c r="W78" s="285" t="s">
        <v>210</v>
      </c>
      <c r="X78" s="142"/>
      <c r="Y78" s="287">
        <f ca="1">science_cap*(1-EXP(-TblImps[[#This Row],[Σ Science]]/(science_param*(OFFSET(TblImps[[#This Row],[Land]],1,0)-OFFSET(TblExplore[[#This Row],[Land Bonus]],1,0)*20)+15000)))*(1+(mason_bonus*TblConstr[[#This Row],[Tot Mas]]/TblConstr[[#This Row],[Land (2)]]))</f>
        <v>0</v>
      </c>
      <c r="Z78" s="287">
        <f ca="1">keep_cap*(1-EXP(-TblImps[[#This Row],[Σ Keep]]/(keep_param*(OFFSET(TblImps[[#This Row],[Land]],1,0)-OFFSET(TblExplore[[#This Row],[Land Bonus]],1,0)*20)+15000)))*(1+(mason_bonus*TblConstr[[#This Row],[Tot Mas]]/TblConstr[[#This Row],[Land (2)]]))</f>
        <v>0</v>
      </c>
      <c r="AA78" s="287">
        <f ca="1">harbor_towers_cap*(1-EXP(-TblImps[[#This Row],[Σ Spires]]/(towers_param*(OFFSET(TblImps[[#This Row],[Land]],1,0)-OFFSET(TblExplore[[#This Row],[Land Bonus]],1,0)*20)+15000)))*(1+(mason_bonus*TblConstr[[#This Row],[Tot Mas]]/TblConstr[[#This Row],[Land (2)]]))</f>
        <v>0</v>
      </c>
      <c r="AB78" s="287">
        <f ca="1">walls_forges_cap*(1-EXP(-TblImps[[#This Row],[Σ Forges]]/(walls_forges_param*(OFFSET(TblImps[[#This Row],[Land]],1,0)-OFFSET(TblExplore[[#This Row],[Land Bonus]],1,0)*20)+15000)))*(1+(mason_bonus*TblConstr[[#This Row],[Tot Mas]]/TblConstr[[#This Row],[Land (2)]]))</f>
        <v>0</v>
      </c>
      <c r="AC78" s="287">
        <f ca="1">walls_forges_cap*(1-EXP(-TblImps[[#This Row],[Σ Walls]]/(walls_forges_param*(OFFSET(TblImps[[#This Row],[Land]],1,0)-OFFSET(TblExplore[[#This Row],[Land Bonus]],1,0)*20)+15000)))*(1+(mason_bonus*TblConstr[[#This Row],[Tot Mas]]/TblConstr[[#This Row],[Land (2)]]))</f>
        <v>0</v>
      </c>
      <c r="AD78" s="287">
        <f ca="1">harbor_towers_cap*(1-EXP(-TblImps[[#This Row],[Σ Harbor]]/(harbor_towers_param*(OFFSET(TblImps[[#This Row],[Land]],1,0)-OFFSET(TblExplore[[#This Row],[Land Bonus]],1,0)*20)+15000)))*(1+(mason_bonus*TblConstr[[#This Row],[Tot Mas]]/TblConstr[[#This Row],[Land (2)]]))</f>
        <v>0</v>
      </c>
      <c r="AE78" s="142"/>
      <c r="AF78" s="61">
        <f ca="1">(1+Overview!$I$29)*SUM(TblImps[[#This Row],[P2]:[G2]])+OFFSET(TblImps[[#This Row],[Σ Science]],-1,0)</f>
        <v>0</v>
      </c>
      <c r="AG78" s="61">
        <f ca="1">(1+Overview!$I$29)*SUM(TblImps[[#This Row],[P3]:[G3]])+OFFSET(TblImps[[#This Row],[Σ Keep]],-1,0)</f>
        <v>0</v>
      </c>
      <c r="AH78" s="61">
        <f ca="1">(1+Overview!$I$29 + tech_7_1*TblTech[[#This Row],[7-1]])*SUM(TblImps[[#This Row],[P4]:[G4]])+OFFSET(TblImps[[#This Row],[Σ Spires]],-1,0)</f>
        <v>0</v>
      </c>
      <c r="AI78" s="61">
        <f ca="1">(1+Overview!$I$29)*SUM(TblImps[[#This Row],[P5]:[G5]])+OFFSET(TblImps[[#This Row],[Σ Forges]],-1,0)</f>
        <v>0</v>
      </c>
      <c r="AJ78" s="61">
        <f ca="1">(1+Overview!$I$29)*SUM(TblImps[[#This Row],[P6]:[G6]])+OFFSET(TblImps[[#This Row],[Σ Walls]],-1,0)</f>
        <v>0</v>
      </c>
      <c r="AK78" s="61">
        <f ca="1">(1+Overview!$I$29 + tech_7_1*TblTech[[#This Row],[7-1]])*SUM(TblImps[[#This Row],[P7]:[G7]])+OFFSET(TblImps[[#This Row],[Σ Harbor]],-1,0)</f>
        <v>0</v>
      </c>
      <c r="AL78" s="142"/>
      <c r="AM78" s="57">
        <f>IF(AND(TblImps[[#This Row],[Resource]]=AM$2,TblImps[[#This Row],[Part]]&lt;&gt;""),TblImps[[#This Row],[Amount]]) + IF(AND(TblImps[[#This Row],[Resource 2]]=AM$2,TblImps[[#This Row],[Part 2]]&lt;&gt;""),TblImps[[#This Row],[Amount 2]]) + IF(AND(TblImps[[#This Row],[Resource 3]]=AM$2,TblImps[[#This Row],[Part 3]]&lt;&gt;""),TblImps[[#This Row],[Amount 3]])</f>
        <v>0</v>
      </c>
      <c r="AN78" s="57">
        <f>IF(AND(TblImps[[#This Row],[Resource]]=AN$2,TblImps[[#This Row],[Part]]&lt;&gt;""),TblImps[[#This Row],[Amount]]) + IF(AND(TblImps[[#This Row],[Resource 2]]=AN$2,TblImps[[#This Row],[Part 2]]&lt;&gt;""),TblImps[[#This Row],[Amount 2]]) + IF(AND(TblImps[[#This Row],[Resource 3]]=AN$2,TblImps[[#This Row],[Part 3]]&lt;&gt;""),TblImps[[#This Row],[Amount 3]])</f>
        <v>0</v>
      </c>
      <c r="AO78" s="57">
        <f>IF(AND(TblImps[[#This Row],[Resource]]=AO$2,TblImps[[#This Row],[Part]]&lt;&gt;""),TblImps[[#This Row],[Amount]]) + IF(AND(TblImps[[#This Row],[Resource 2]]=AO$2,TblImps[[#This Row],[Part 2]]&lt;&gt;""),TblImps[[#This Row],[Amount 2]]) + IF(AND(TblImps[[#This Row],[Resource 3]]=AO$2,TblImps[[#This Row],[Part 3]]&lt;&gt;""),TblImps[[#This Row],[Amount 3]])</f>
        <v>0</v>
      </c>
      <c r="AP78" s="57">
        <f>IF(AND(TblImps[[#This Row],[Resource]]=AP$2,TblImps[[#This Row],[Part]]&lt;&gt;""),TblImps[[#This Row],[Amount]]) + IF(AND(TblImps[[#This Row],[Resource 2]]=AP$2,TblImps[[#This Row],[Part 2]]&lt;&gt;""),TblImps[[#This Row],[Amount 2]]) + IF(AND(TblImps[[#This Row],[Resource 3]]=AP$2,TblImps[[#This Row],[Part 3]]&lt;&gt;""),TblImps[[#This Row],[Amount 3]])</f>
        <v>0</v>
      </c>
      <c r="AQ78" s="142"/>
      <c r="AR7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8" s="142"/>
      <c r="AW7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8" s="142"/>
      <c r="BB7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8" s="142"/>
      <c r="BG7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8" s="142"/>
      <c r="BL7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8" s="142"/>
      <c r="BQ7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8" s="142"/>
      <c r="BV7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8" s="61">
        <f>TblImps[[#This Row],[Login]]</f>
        <v>0</v>
      </c>
      <c r="BX78" s="137"/>
      <c r="BY78" s="293">
        <f ca="1">OFFSET(TblImps[[#This Row],[Real time]],-1,0)+1/24</f>
        <v>46050.083333333154</v>
      </c>
      <c r="BZ78" s="294">
        <f ca="1">OFFSET(TblImps[[#This Row],[Servertime]],-1,0)+1/24</f>
        <v>46050.083333333154</v>
      </c>
      <c r="CA78" s="57"/>
      <c r="CB78" s="292"/>
      <c r="CC78" s="292"/>
      <c r="CF78" s="295"/>
    </row>
    <row r="79" spans="1:84" x14ac:dyDescent="0.2">
      <c r="A79" s="214">
        <f ca="1">TblConstr[[#This Row],[Land]]</f>
        <v>110</v>
      </c>
      <c r="B79" s="142"/>
      <c r="C79" s="94">
        <f ca="1">TblProd[[#This Row],[Platinum]]</f>
        <v>172517</v>
      </c>
      <c r="D79" s="94">
        <f ca="1">TblProd[[#This Row],[Lumber]]</f>
        <v>59998</v>
      </c>
      <c r="E79" s="94">
        <f ca="1">TblProd[[#This Row],[Ore]]</f>
        <v>0</v>
      </c>
      <c r="F79" s="94">
        <f ca="1">TblProd[[#This Row],[Gems]]</f>
        <v>0</v>
      </c>
      <c r="G79" s="154"/>
      <c r="H79" s="94">
        <f ca="1">TblMili[[#This Row],[Draftees]]</f>
        <v>604</v>
      </c>
      <c r="I79" s="180">
        <f ca="1">TblPop[[#This Row],[Employment]]</f>
        <v>1</v>
      </c>
      <c r="J79" s="180">
        <f ca="1">TblPop[[#This Row],[Total]]/TblPop[[#This Row],[Net max]]</f>
        <v>1</v>
      </c>
      <c r="K79" s="283">
        <f>TblRezone[[#This Row],[Hour]]</f>
        <v>76</v>
      </c>
      <c r="L79" s="284">
        <f ca="1">TblImps[[#This Row],[Real time]]</f>
        <v>46050.124999999818</v>
      </c>
      <c r="M79" s="61">
        <f>IF(ISERROR(TblImps[[#This Row],[algorithm]]),0,TblImps[[#This Row],[algorithm]]*1)</f>
        <v>0</v>
      </c>
      <c r="N79" s="94">
        <f ca="1">TblImps[[#This Row],[Land]]</f>
        <v>110</v>
      </c>
      <c r="O79" s="285" t="s">
        <v>4</v>
      </c>
      <c r="P79" s="286"/>
      <c r="Q79" s="285" t="s">
        <v>210</v>
      </c>
      <c r="R79" s="285" t="s">
        <v>7</v>
      </c>
      <c r="S79" s="286"/>
      <c r="T79" s="285" t="s">
        <v>210</v>
      </c>
      <c r="U79" s="285" t="s">
        <v>3</v>
      </c>
      <c r="V79" s="286"/>
      <c r="W79" s="285" t="s">
        <v>210</v>
      </c>
      <c r="X79" s="142"/>
      <c r="Y79" s="287">
        <f ca="1">science_cap*(1-EXP(-TblImps[[#This Row],[Σ Science]]/(science_param*(OFFSET(TblImps[[#This Row],[Land]],1,0)-OFFSET(TblExplore[[#This Row],[Land Bonus]],1,0)*20)+15000)))*(1+(mason_bonus*TblConstr[[#This Row],[Tot Mas]]/TblConstr[[#This Row],[Land (2)]]))</f>
        <v>0</v>
      </c>
      <c r="Z79" s="287">
        <f ca="1">keep_cap*(1-EXP(-TblImps[[#This Row],[Σ Keep]]/(keep_param*(OFFSET(TblImps[[#This Row],[Land]],1,0)-OFFSET(TblExplore[[#This Row],[Land Bonus]],1,0)*20)+15000)))*(1+(mason_bonus*TblConstr[[#This Row],[Tot Mas]]/TblConstr[[#This Row],[Land (2)]]))</f>
        <v>0</v>
      </c>
      <c r="AA79" s="287">
        <f ca="1">harbor_towers_cap*(1-EXP(-TblImps[[#This Row],[Σ Spires]]/(towers_param*(OFFSET(TblImps[[#This Row],[Land]],1,0)-OFFSET(TblExplore[[#This Row],[Land Bonus]],1,0)*20)+15000)))*(1+(mason_bonus*TblConstr[[#This Row],[Tot Mas]]/TblConstr[[#This Row],[Land (2)]]))</f>
        <v>0</v>
      </c>
      <c r="AB79" s="287">
        <f ca="1">walls_forges_cap*(1-EXP(-TblImps[[#This Row],[Σ Forges]]/(walls_forges_param*(OFFSET(TblImps[[#This Row],[Land]],1,0)-OFFSET(TblExplore[[#This Row],[Land Bonus]],1,0)*20)+15000)))*(1+(mason_bonus*TblConstr[[#This Row],[Tot Mas]]/TblConstr[[#This Row],[Land (2)]]))</f>
        <v>0</v>
      </c>
      <c r="AC79" s="287">
        <f ca="1">walls_forges_cap*(1-EXP(-TblImps[[#This Row],[Σ Walls]]/(walls_forges_param*(OFFSET(TblImps[[#This Row],[Land]],1,0)-OFFSET(TblExplore[[#This Row],[Land Bonus]],1,0)*20)+15000)))*(1+(mason_bonus*TblConstr[[#This Row],[Tot Mas]]/TblConstr[[#This Row],[Land (2)]]))</f>
        <v>0</v>
      </c>
      <c r="AD79" s="287">
        <f ca="1">harbor_towers_cap*(1-EXP(-TblImps[[#This Row],[Σ Harbor]]/(harbor_towers_param*(OFFSET(TblImps[[#This Row],[Land]],1,0)-OFFSET(TblExplore[[#This Row],[Land Bonus]],1,0)*20)+15000)))*(1+(mason_bonus*TblConstr[[#This Row],[Tot Mas]]/TblConstr[[#This Row],[Land (2)]]))</f>
        <v>0</v>
      </c>
      <c r="AE79" s="142"/>
      <c r="AF79" s="61">
        <f ca="1">(1+Overview!$I$29)*SUM(TblImps[[#This Row],[P2]:[G2]])+OFFSET(TblImps[[#This Row],[Σ Science]],-1,0)</f>
        <v>0</v>
      </c>
      <c r="AG79" s="61">
        <f ca="1">(1+Overview!$I$29)*SUM(TblImps[[#This Row],[P3]:[G3]])+OFFSET(TblImps[[#This Row],[Σ Keep]],-1,0)</f>
        <v>0</v>
      </c>
      <c r="AH79" s="61">
        <f ca="1">(1+Overview!$I$29 + tech_7_1*TblTech[[#This Row],[7-1]])*SUM(TblImps[[#This Row],[P4]:[G4]])+OFFSET(TblImps[[#This Row],[Σ Spires]],-1,0)</f>
        <v>0</v>
      </c>
      <c r="AI79" s="61">
        <f ca="1">(1+Overview!$I$29)*SUM(TblImps[[#This Row],[P5]:[G5]])+OFFSET(TblImps[[#This Row],[Σ Forges]],-1,0)</f>
        <v>0</v>
      </c>
      <c r="AJ79" s="61">
        <f ca="1">(1+Overview!$I$29)*SUM(TblImps[[#This Row],[P6]:[G6]])+OFFSET(TblImps[[#This Row],[Σ Walls]],-1,0)</f>
        <v>0</v>
      </c>
      <c r="AK79" s="61">
        <f ca="1">(1+Overview!$I$29 + tech_7_1*TblTech[[#This Row],[7-1]])*SUM(TblImps[[#This Row],[P7]:[G7]])+OFFSET(TblImps[[#This Row],[Σ Harbor]],-1,0)</f>
        <v>0</v>
      </c>
      <c r="AL79" s="142"/>
      <c r="AM79" s="57">
        <f>IF(AND(TblImps[[#This Row],[Resource]]=AM$2,TblImps[[#This Row],[Part]]&lt;&gt;""),TblImps[[#This Row],[Amount]]) + IF(AND(TblImps[[#This Row],[Resource 2]]=AM$2,TblImps[[#This Row],[Part 2]]&lt;&gt;""),TblImps[[#This Row],[Amount 2]]) + IF(AND(TblImps[[#This Row],[Resource 3]]=AM$2,TblImps[[#This Row],[Part 3]]&lt;&gt;""),TblImps[[#This Row],[Amount 3]])</f>
        <v>0</v>
      </c>
      <c r="AN79" s="57">
        <f>IF(AND(TblImps[[#This Row],[Resource]]=AN$2,TblImps[[#This Row],[Part]]&lt;&gt;""),TblImps[[#This Row],[Amount]]) + IF(AND(TblImps[[#This Row],[Resource 2]]=AN$2,TblImps[[#This Row],[Part 2]]&lt;&gt;""),TblImps[[#This Row],[Amount 2]]) + IF(AND(TblImps[[#This Row],[Resource 3]]=AN$2,TblImps[[#This Row],[Part 3]]&lt;&gt;""),TblImps[[#This Row],[Amount 3]])</f>
        <v>0</v>
      </c>
      <c r="AO79" s="57">
        <f>IF(AND(TblImps[[#This Row],[Resource]]=AO$2,TblImps[[#This Row],[Part]]&lt;&gt;""),TblImps[[#This Row],[Amount]]) + IF(AND(TblImps[[#This Row],[Resource 2]]=AO$2,TblImps[[#This Row],[Part 2]]&lt;&gt;""),TblImps[[#This Row],[Amount 2]]) + IF(AND(TblImps[[#This Row],[Resource 3]]=AO$2,TblImps[[#This Row],[Part 3]]&lt;&gt;""),TblImps[[#This Row],[Amount 3]])</f>
        <v>0</v>
      </c>
      <c r="AP79" s="57">
        <f>IF(AND(TblImps[[#This Row],[Resource]]=AP$2,TblImps[[#This Row],[Part]]&lt;&gt;""),TblImps[[#This Row],[Amount]]) + IF(AND(TblImps[[#This Row],[Resource 2]]=AP$2,TblImps[[#This Row],[Part 2]]&lt;&gt;""),TblImps[[#This Row],[Amount 2]]) + IF(AND(TblImps[[#This Row],[Resource 3]]=AP$2,TblImps[[#This Row],[Part 3]]&lt;&gt;""),TblImps[[#This Row],[Amount 3]])</f>
        <v>0</v>
      </c>
      <c r="AQ79" s="142"/>
      <c r="AR7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7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7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7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79" s="142"/>
      <c r="AW7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7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7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7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79" s="142"/>
      <c r="BB7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7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7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7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79" s="142"/>
      <c r="BG7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7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7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7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79" s="142"/>
      <c r="BL7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7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7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7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79" s="142"/>
      <c r="BQ7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7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7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7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79" s="142"/>
      <c r="BV7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79" s="61">
        <f>TblImps[[#This Row],[Login]]</f>
        <v>0</v>
      </c>
      <c r="BX79" s="137"/>
      <c r="BY79" s="293">
        <f ca="1">OFFSET(TblImps[[#This Row],[Real time]],-1,0)+1/24</f>
        <v>46050.124999999818</v>
      </c>
      <c r="BZ79" s="294">
        <f ca="1">OFFSET(TblImps[[#This Row],[Servertime]],-1,0)+1/24</f>
        <v>46050.124999999818</v>
      </c>
      <c r="CA79" s="57"/>
      <c r="CB79" s="292"/>
      <c r="CC79" s="292"/>
      <c r="CF79" s="296"/>
    </row>
    <row r="80" spans="1:84" x14ac:dyDescent="0.2">
      <c r="A80" s="214">
        <f ca="1">TblConstr[[#This Row],[Land]]</f>
        <v>110</v>
      </c>
      <c r="B80" s="142"/>
      <c r="C80" s="94">
        <f ca="1">TblProd[[#This Row],[Platinum]]</f>
        <v>173791</v>
      </c>
      <c r="D80" s="94">
        <f ca="1">TblProd[[#This Row],[Lumber]]</f>
        <v>60398</v>
      </c>
      <c r="E80" s="94">
        <f ca="1">TblProd[[#This Row],[Ore]]</f>
        <v>0</v>
      </c>
      <c r="F80" s="94">
        <f ca="1">TblProd[[#This Row],[Gems]]</f>
        <v>0</v>
      </c>
      <c r="G80" s="154"/>
      <c r="H80" s="94">
        <f ca="1">TblMili[[#This Row],[Draftees]]</f>
        <v>609</v>
      </c>
      <c r="I80" s="180">
        <f ca="1">TblPop[[#This Row],[Employment]]</f>
        <v>1</v>
      </c>
      <c r="J80" s="180">
        <f ca="1">TblPop[[#This Row],[Total]]/TblPop[[#This Row],[Net max]]</f>
        <v>1</v>
      </c>
      <c r="K80" s="283">
        <f>TblRezone[[#This Row],[Hour]]</f>
        <v>77</v>
      </c>
      <c r="L80" s="284">
        <f ca="1">TblImps[[#This Row],[Real time]]</f>
        <v>46050.166666666482</v>
      </c>
      <c r="M80" s="61">
        <f>IF(ISERROR(TblImps[[#This Row],[algorithm]]),0,TblImps[[#This Row],[algorithm]]*1)</f>
        <v>0</v>
      </c>
      <c r="N80" s="94">
        <f ca="1">TblImps[[#This Row],[Land]]</f>
        <v>110</v>
      </c>
      <c r="O80" s="285" t="s">
        <v>4</v>
      </c>
      <c r="P80" s="286"/>
      <c r="Q80" s="285" t="s">
        <v>210</v>
      </c>
      <c r="R80" s="285" t="s">
        <v>7</v>
      </c>
      <c r="S80" s="286"/>
      <c r="T80" s="285" t="s">
        <v>210</v>
      </c>
      <c r="U80" s="285" t="s">
        <v>3</v>
      </c>
      <c r="V80" s="286"/>
      <c r="W80" s="285" t="s">
        <v>210</v>
      </c>
      <c r="X80" s="142"/>
      <c r="Y80" s="287">
        <f ca="1">science_cap*(1-EXP(-TblImps[[#This Row],[Σ Science]]/(science_param*(OFFSET(TblImps[[#This Row],[Land]],1,0)-OFFSET(TblExplore[[#This Row],[Land Bonus]],1,0)*20)+15000)))*(1+(mason_bonus*TblConstr[[#This Row],[Tot Mas]]/TblConstr[[#This Row],[Land (2)]]))</f>
        <v>0</v>
      </c>
      <c r="Z80" s="287">
        <f ca="1">keep_cap*(1-EXP(-TblImps[[#This Row],[Σ Keep]]/(keep_param*(OFFSET(TblImps[[#This Row],[Land]],1,0)-OFFSET(TblExplore[[#This Row],[Land Bonus]],1,0)*20)+15000)))*(1+(mason_bonus*TblConstr[[#This Row],[Tot Mas]]/TblConstr[[#This Row],[Land (2)]]))</f>
        <v>0</v>
      </c>
      <c r="AA80" s="287">
        <f ca="1">harbor_towers_cap*(1-EXP(-TblImps[[#This Row],[Σ Spires]]/(towers_param*(OFFSET(TblImps[[#This Row],[Land]],1,0)-OFFSET(TblExplore[[#This Row],[Land Bonus]],1,0)*20)+15000)))*(1+(mason_bonus*TblConstr[[#This Row],[Tot Mas]]/TblConstr[[#This Row],[Land (2)]]))</f>
        <v>0</v>
      </c>
      <c r="AB80" s="287">
        <f ca="1">walls_forges_cap*(1-EXP(-TblImps[[#This Row],[Σ Forges]]/(walls_forges_param*(OFFSET(TblImps[[#This Row],[Land]],1,0)-OFFSET(TblExplore[[#This Row],[Land Bonus]],1,0)*20)+15000)))*(1+(mason_bonus*TblConstr[[#This Row],[Tot Mas]]/TblConstr[[#This Row],[Land (2)]]))</f>
        <v>0</v>
      </c>
      <c r="AC80" s="287">
        <f ca="1">walls_forges_cap*(1-EXP(-TblImps[[#This Row],[Σ Walls]]/(walls_forges_param*(OFFSET(TblImps[[#This Row],[Land]],1,0)-OFFSET(TblExplore[[#This Row],[Land Bonus]],1,0)*20)+15000)))*(1+(mason_bonus*TblConstr[[#This Row],[Tot Mas]]/TblConstr[[#This Row],[Land (2)]]))</f>
        <v>0</v>
      </c>
      <c r="AD80" s="287">
        <f ca="1">harbor_towers_cap*(1-EXP(-TblImps[[#This Row],[Σ Harbor]]/(harbor_towers_param*(OFFSET(TblImps[[#This Row],[Land]],1,0)-OFFSET(TblExplore[[#This Row],[Land Bonus]],1,0)*20)+15000)))*(1+(mason_bonus*TblConstr[[#This Row],[Tot Mas]]/TblConstr[[#This Row],[Land (2)]]))</f>
        <v>0</v>
      </c>
      <c r="AE80" s="142"/>
      <c r="AF80" s="61">
        <f ca="1">(1+Overview!$I$29)*SUM(TblImps[[#This Row],[P2]:[G2]])+OFFSET(TblImps[[#This Row],[Σ Science]],-1,0)</f>
        <v>0</v>
      </c>
      <c r="AG80" s="61">
        <f ca="1">(1+Overview!$I$29)*SUM(TblImps[[#This Row],[P3]:[G3]])+OFFSET(TblImps[[#This Row],[Σ Keep]],-1,0)</f>
        <v>0</v>
      </c>
      <c r="AH80" s="61">
        <f ca="1">(1+Overview!$I$29 + tech_7_1*TblTech[[#This Row],[7-1]])*SUM(TblImps[[#This Row],[P4]:[G4]])+OFFSET(TblImps[[#This Row],[Σ Spires]],-1,0)</f>
        <v>0</v>
      </c>
      <c r="AI80" s="61">
        <f ca="1">(1+Overview!$I$29)*SUM(TblImps[[#This Row],[P5]:[G5]])+OFFSET(TblImps[[#This Row],[Σ Forges]],-1,0)</f>
        <v>0</v>
      </c>
      <c r="AJ80" s="61">
        <f ca="1">(1+Overview!$I$29)*SUM(TblImps[[#This Row],[P6]:[G6]])+OFFSET(TblImps[[#This Row],[Σ Walls]],-1,0)</f>
        <v>0</v>
      </c>
      <c r="AK80" s="61">
        <f ca="1">(1+Overview!$I$29 + tech_7_1*TblTech[[#This Row],[7-1]])*SUM(TblImps[[#This Row],[P7]:[G7]])+OFFSET(TblImps[[#This Row],[Σ Harbor]],-1,0)</f>
        <v>0</v>
      </c>
      <c r="AL80" s="142"/>
      <c r="AM80" s="57">
        <f>IF(AND(TblImps[[#This Row],[Resource]]=AM$2,TblImps[[#This Row],[Part]]&lt;&gt;""),TblImps[[#This Row],[Amount]]) + IF(AND(TblImps[[#This Row],[Resource 2]]=AM$2,TblImps[[#This Row],[Part 2]]&lt;&gt;""),TblImps[[#This Row],[Amount 2]]) + IF(AND(TblImps[[#This Row],[Resource 3]]=AM$2,TblImps[[#This Row],[Part 3]]&lt;&gt;""),TblImps[[#This Row],[Amount 3]])</f>
        <v>0</v>
      </c>
      <c r="AN80" s="57">
        <f>IF(AND(TblImps[[#This Row],[Resource]]=AN$2,TblImps[[#This Row],[Part]]&lt;&gt;""),TblImps[[#This Row],[Amount]]) + IF(AND(TblImps[[#This Row],[Resource 2]]=AN$2,TblImps[[#This Row],[Part 2]]&lt;&gt;""),TblImps[[#This Row],[Amount 2]]) + IF(AND(TblImps[[#This Row],[Resource 3]]=AN$2,TblImps[[#This Row],[Part 3]]&lt;&gt;""),TblImps[[#This Row],[Amount 3]])</f>
        <v>0</v>
      </c>
      <c r="AO80" s="57">
        <f>IF(AND(TblImps[[#This Row],[Resource]]=AO$2,TblImps[[#This Row],[Part]]&lt;&gt;""),TblImps[[#This Row],[Amount]]) + IF(AND(TblImps[[#This Row],[Resource 2]]=AO$2,TblImps[[#This Row],[Part 2]]&lt;&gt;""),TblImps[[#This Row],[Amount 2]]) + IF(AND(TblImps[[#This Row],[Resource 3]]=AO$2,TblImps[[#This Row],[Part 3]]&lt;&gt;""),TblImps[[#This Row],[Amount 3]])</f>
        <v>0</v>
      </c>
      <c r="AP80" s="57">
        <f>IF(AND(TblImps[[#This Row],[Resource]]=AP$2,TblImps[[#This Row],[Part]]&lt;&gt;""),TblImps[[#This Row],[Amount]]) + IF(AND(TblImps[[#This Row],[Resource 2]]=AP$2,TblImps[[#This Row],[Part 2]]&lt;&gt;""),TblImps[[#This Row],[Amount 2]]) + IF(AND(TblImps[[#This Row],[Resource 3]]=AP$2,TblImps[[#This Row],[Part 3]]&lt;&gt;""),TblImps[[#This Row],[Amount 3]])</f>
        <v>0</v>
      </c>
      <c r="AQ80" s="142"/>
      <c r="AR8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0" s="142"/>
      <c r="AW8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0" s="142"/>
      <c r="BB8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0" s="142"/>
      <c r="BG8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0" s="142"/>
      <c r="BL8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0" s="142"/>
      <c r="BQ8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0" s="142"/>
      <c r="BV8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0" s="61">
        <f>TblImps[[#This Row],[Login]]</f>
        <v>0</v>
      </c>
      <c r="BX80" s="137"/>
      <c r="BY80" s="293">
        <f ca="1">OFFSET(TblImps[[#This Row],[Real time]],-1,0)+1/24</f>
        <v>46050.166666666482</v>
      </c>
      <c r="BZ80" s="294">
        <f ca="1">OFFSET(TblImps[[#This Row],[Servertime]],-1,0)+1/24</f>
        <v>46050.166666666482</v>
      </c>
      <c r="CA80" s="57"/>
      <c r="CB80" s="292"/>
      <c r="CC80" s="292"/>
      <c r="CF80" s="295"/>
    </row>
    <row r="81" spans="1:84" x14ac:dyDescent="0.2">
      <c r="A81" s="214">
        <f ca="1">TblConstr[[#This Row],[Land]]</f>
        <v>110</v>
      </c>
      <c r="B81" s="142"/>
      <c r="C81" s="94">
        <f ca="1">TblProd[[#This Row],[Platinum]]</f>
        <v>175051</v>
      </c>
      <c r="D81" s="94">
        <f ca="1">TblProd[[#This Row],[Lumber]]</f>
        <v>60794</v>
      </c>
      <c r="E81" s="94">
        <f ca="1">TblProd[[#This Row],[Ore]]</f>
        <v>0</v>
      </c>
      <c r="F81" s="94">
        <f ca="1">TblProd[[#This Row],[Gems]]</f>
        <v>0</v>
      </c>
      <c r="G81" s="154"/>
      <c r="H81" s="94">
        <f ca="1">TblMili[[#This Row],[Draftees]]</f>
        <v>614</v>
      </c>
      <c r="I81" s="180">
        <f ca="1">TblPop[[#This Row],[Employment]]</f>
        <v>1</v>
      </c>
      <c r="J81" s="180">
        <f ca="1">TblPop[[#This Row],[Total]]/TblPop[[#This Row],[Net max]]</f>
        <v>1</v>
      </c>
      <c r="K81" s="283">
        <f>TblRezone[[#This Row],[Hour]]</f>
        <v>78</v>
      </c>
      <c r="L81" s="284">
        <f ca="1">TblImps[[#This Row],[Real time]]</f>
        <v>46050.208333333147</v>
      </c>
      <c r="M81" s="61">
        <f>IF(ISERROR(TblImps[[#This Row],[algorithm]]),0,TblImps[[#This Row],[algorithm]]*1)</f>
        <v>0</v>
      </c>
      <c r="N81" s="94">
        <f ca="1">TblImps[[#This Row],[Land]]</f>
        <v>110</v>
      </c>
      <c r="O81" s="285" t="s">
        <v>4</v>
      </c>
      <c r="P81" s="286"/>
      <c r="Q81" s="285" t="s">
        <v>210</v>
      </c>
      <c r="R81" s="285" t="s">
        <v>7</v>
      </c>
      <c r="S81" s="286"/>
      <c r="T81" s="285" t="s">
        <v>210</v>
      </c>
      <c r="U81" s="285" t="s">
        <v>3</v>
      </c>
      <c r="V81" s="286"/>
      <c r="W81" s="285" t="s">
        <v>210</v>
      </c>
      <c r="X81" s="142"/>
      <c r="Y81" s="287">
        <f ca="1">science_cap*(1-EXP(-TblImps[[#This Row],[Σ Science]]/(science_param*(OFFSET(TblImps[[#This Row],[Land]],1,0)-OFFSET(TblExplore[[#This Row],[Land Bonus]],1,0)*20)+15000)))*(1+(mason_bonus*TblConstr[[#This Row],[Tot Mas]]/TblConstr[[#This Row],[Land (2)]]))</f>
        <v>0</v>
      </c>
      <c r="Z81" s="287">
        <f ca="1">keep_cap*(1-EXP(-TblImps[[#This Row],[Σ Keep]]/(keep_param*(OFFSET(TblImps[[#This Row],[Land]],1,0)-OFFSET(TblExplore[[#This Row],[Land Bonus]],1,0)*20)+15000)))*(1+(mason_bonus*TblConstr[[#This Row],[Tot Mas]]/TblConstr[[#This Row],[Land (2)]]))</f>
        <v>0</v>
      </c>
      <c r="AA81" s="287">
        <f ca="1">harbor_towers_cap*(1-EXP(-TblImps[[#This Row],[Σ Spires]]/(towers_param*(OFFSET(TblImps[[#This Row],[Land]],1,0)-OFFSET(TblExplore[[#This Row],[Land Bonus]],1,0)*20)+15000)))*(1+(mason_bonus*TblConstr[[#This Row],[Tot Mas]]/TblConstr[[#This Row],[Land (2)]]))</f>
        <v>0</v>
      </c>
      <c r="AB81" s="287">
        <f ca="1">walls_forges_cap*(1-EXP(-TblImps[[#This Row],[Σ Forges]]/(walls_forges_param*(OFFSET(TblImps[[#This Row],[Land]],1,0)-OFFSET(TblExplore[[#This Row],[Land Bonus]],1,0)*20)+15000)))*(1+(mason_bonus*TblConstr[[#This Row],[Tot Mas]]/TblConstr[[#This Row],[Land (2)]]))</f>
        <v>0</v>
      </c>
      <c r="AC81" s="287">
        <f ca="1">walls_forges_cap*(1-EXP(-TblImps[[#This Row],[Σ Walls]]/(walls_forges_param*(OFFSET(TblImps[[#This Row],[Land]],1,0)-OFFSET(TblExplore[[#This Row],[Land Bonus]],1,0)*20)+15000)))*(1+(mason_bonus*TblConstr[[#This Row],[Tot Mas]]/TblConstr[[#This Row],[Land (2)]]))</f>
        <v>0</v>
      </c>
      <c r="AD81" s="287">
        <f ca="1">harbor_towers_cap*(1-EXP(-TblImps[[#This Row],[Σ Harbor]]/(harbor_towers_param*(OFFSET(TblImps[[#This Row],[Land]],1,0)-OFFSET(TblExplore[[#This Row],[Land Bonus]],1,0)*20)+15000)))*(1+(mason_bonus*TblConstr[[#This Row],[Tot Mas]]/TblConstr[[#This Row],[Land (2)]]))</f>
        <v>0</v>
      </c>
      <c r="AE81" s="142"/>
      <c r="AF81" s="61">
        <f ca="1">(1+Overview!$I$29)*SUM(TblImps[[#This Row],[P2]:[G2]])+OFFSET(TblImps[[#This Row],[Σ Science]],-1,0)</f>
        <v>0</v>
      </c>
      <c r="AG81" s="61">
        <f ca="1">(1+Overview!$I$29)*SUM(TblImps[[#This Row],[P3]:[G3]])+OFFSET(TblImps[[#This Row],[Σ Keep]],-1,0)</f>
        <v>0</v>
      </c>
      <c r="AH81" s="61">
        <f ca="1">(1+Overview!$I$29 + tech_7_1*TblTech[[#This Row],[7-1]])*SUM(TblImps[[#This Row],[P4]:[G4]])+OFFSET(TblImps[[#This Row],[Σ Spires]],-1,0)</f>
        <v>0</v>
      </c>
      <c r="AI81" s="61">
        <f ca="1">(1+Overview!$I$29)*SUM(TblImps[[#This Row],[P5]:[G5]])+OFFSET(TblImps[[#This Row],[Σ Forges]],-1,0)</f>
        <v>0</v>
      </c>
      <c r="AJ81" s="61">
        <f ca="1">(1+Overview!$I$29)*SUM(TblImps[[#This Row],[P6]:[G6]])+OFFSET(TblImps[[#This Row],[Σ Walls]],-1,0)</f>
        <v>0</v>
      </c>
      <c r="AK81" s="61">
        <f ca="1">(1+Overview!$I$29 + tech_7_1*TblTech[[#This Row],[7-1]])*SUM(TblImps[[#This Row],[P7]:[G7]])+OFFSET(TblImps[[#This Row],[Σ Harbor]],-1,0)</f>
        <v>0</v>
      </c>
      <c r="AL81" s="142"/>
      <c r="AM81" s="57">
        <f>IF(AND(TblImps[[#This Row],[Resource]]=AM$2,TblImps[[#This Row],[Part]]&lt;&gt;""),TblImps[[#This Row],[Amount]]) + IF(AND(TblImps[[#This Row],[Resource 2]]=AM$2,TblImps[[#This Row],[Part 2]]&lt;&gt;""),TblImps[[#This Row],[Amount 2]]) + IF(AND(TblImps[[#This Row],[Resource 3]]=AM$2,TblImps[[#This Row],[Part 3]]&lt;&gt;""),TblImps[[#This Row],[Amount 3]])</f>
        <v>0</v>
      </c>
      <c r="AN81" s="57">
        <f>IF(AND(TblImps[[#This Row],[Resource]]=AN$2,TblImps[[#This Row],[Part]]&lt;&gt;""),TblImps[[#This Row],[Amount]]) + IF(AND(TblImps[[#This Row],[Resource 2]]=AN$2,TblImps[[#This Row],[Part 2]]&lt;&gt;""),TblImps[[#This Row],[Amount 2]]) + IF(AND(TblImps[[#This Row],[Resource 3]]=AN$2,TblImps[[#This Row],[Part 3]]&lt;&gt;""),TblImps[[#This Row],[Amount 3]])</f>
        <v>0</v>
      </c>
      <c r="AO81" s="57">
        <f>IF(AND(TblImps[[#This Row],[Resource]]=AO$2,TblImps[[#This Row],[Part]]&lt;&gt;""),TblImps[[#This Row],[Amount]]) + IF(AND(TblImps[[#This Row],[Resource 2]]=AO$2,TblImps[[#This Row],[Part 2]]&lt;&gt;""),TblImps[[#This Row],[Amount 2]]) + IF(AND(TblImps[[#This Row],[Resource 3]]=AO$2,TblImps[[#This Row],[Part 3]]&lt;&gt;""),TblImps[[#This Row],[Amount 3]])</f>
        <v>0</v>
      </c>
      <c r="AP81" s="57">
        <f>IF(AND(TblImps[[#This Row],[Resource]]=AP$2,TblImps[[#This Row],[Part]]&lt;&gt;""),TblImps[[#This Row],[Amount]]) + IF(AND(TblImps[[#This Row],[Resource 2]]=AP$2,TblImps[[#This Row],[Part 2]]&lt;&gt;""),TblImps[[#This Row],[Amount 2]]) + IF(AND(TblImps[[#This Row],[Resource 3]]=AP$2,TblImps[[#This Row],[Part 3]]&lt;&gt;""),TblImps[[#This Row],[Amount 3]])</f>
        <v>0</v>
      </c>
      <c r="AQ81" s="142"/>
      <c r="AR8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1" s="142"/>
      <c r="AW8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1" s="142"/>
      <c r="BB8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1" s="142"/>
      <c r="BG8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1" s="142"/>
      <c r="BL8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1" s="142"/>
      <c r="BQ8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1" s="142"/>
      <c r="BV8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1" s="61">
        <f>TblImps[[#This Row],[Login]]</f>
        <v>0</v>
      </c>
      <c r="BX81" s="137"/>
      <c r="BY81" s="293">
        <f ca="1">OFFSET(TblImps[[#This Row],[Real time]],-1,0)+1/24</f>
        <v>46050.208333333147</v>
      </c>
      <c r="BZ81" s="294">
        <f ca="1">OFFSET(TblImps[[#This Row],[Servertime]],-1,0)+1/24</f>
        <v>46050.208333333147</v>
      </c>
      <c r="CA81" s="57"/>
      <c r="CB81" s="292"/>
      <c r="CC81" s="292"/>
      <c r="CF81" s="295"/>
    </row>
    <row r="82" spans="1:84" x14ac:dyDescent="0.2">
      <c r="A82" s="214">
        <f ca="1">TblConstr[[#This Row],[Land]]</f>
        <v>110</v>
      </c>
      <c r="B82" s="142"/>
      <c r="C82" s="94">
        <f ca="1">TblProd[[#This Row],[Platinum]]</f>
        <v>176298</v>
      </c>
      <c r="D82" s="94">
        <f ca="1">TblProd[[#This Row],[Lumber]]</f>
        <v>61186</v>
      </c>
      <c r="E82" s="94">
        <f ca="1">TblProd[[#This Row],[Ore]]</f>
        <v>0</v>
      </c>
      <c r="F82" s="94">
        <f ca="1">TblProd[[#This Row],[Gems]]</f>
        <v>0</v>
      </c>
      <c r="G82" s="154"/>
      <c r="H82" s="94">
        <f ca="1">TblMili[[#This Row],[Draftees]]</f>
        <v>619</v>
      </c>
      <c r="I82" s="180">
        <f ca="1">TblPop[[#This Row],[Employment]]</f>
        <v>1</v>
      </c>
      <c r="J82" s="180">
        <f ca="1">TblPop[[#This Row],[Total]]/TblPop[[#This Row],[Net max]]</f>
        <v>1</v>
      </c>
      <c r="K82" s="283">
        <f>TblRezone[[#This Row],[Hour]]</f>
        <v>79</v>
      </c>
      <c r="L82" s="284">
        <f ca="1">TblImps[[#This Row],[Real time]]</f>
        <v>46050.249999999811</v>
      </c>
      <c r="M82" s="61">
        <f>IF(ISERROR(TblImps[[#This Row],[algorithm]]),0,TblImps[[#This Row],[algorithm]]*1)</f>
        <v>0</v>
      </c>
      <c r="N82" s="94">
        <f ca="1">TblImps[[#This Row],[Land]]</f>
        <v>110</v>
      </c>
      <c r="O82" s="285" t="s">
        <v>4</v>
      </c>
      <c r="P82" s="286"/>
      <c r="Q82" s="285" t="s">
        <v>210</v>
      </c>
      <c r="R82" s="285" t="s">
        <v>7</v>
      </c>
      <c r="S82" s="286"/>
      <c r="T82" s="285" t="s">
        <v>210</v>
      </c>
      <c r="U82" s="285" t="s">
        <v>3</v>
      </c>
      <c r="V82" s="286"/>
      <c r="W82" s="285" t="s">
        <v>210</v>
      </c>
      <c r="X82" s="142"/>
      <c r="Y82" s="287">
        <f ca="1">science_cap*(1-EXP(-TblImps[[#This Row],[Σ Science]]/(science_param*(OFFSET(TblImps[[#This Row],[Land]],1,0)-OFFSET(TblExplore[[#This Row],[Land Bonus]],1,0)*20)+15000)))*(1+(mason_bonus*TblConstr[[#This Row],[Tot Mas]]/TblConstr[[#This Row],[Land (2)]]))</f>
        <v>0</v>
      </c>
      <c r="Z82" s="287">
        <f ca="1">keep_cap*(1-EXP(-TblImps[[#This Row],[Σ Keep]]/(keep_param*(OFFSET(TblImps[[#This Row],[Land]],1,0)-OFFSET(TblExplore[[#This Row],[Land Bonus]],1,0)*20)+15000)))*(1+(mason_bonus*TblConstr[[#This Row],[Tot Mas]]/TblConstr[[#This Row],[Land (2)]]))</f>
        <v>0</v>
      </c>
      <c r="AA82" s="287">
        <f ca="1">harbor_towers_cap*(1-EXP(-TblImps[[#This Row],[Σ Spires]]/(towers_param*(OFFSET(TblImps[[#This Row],[Land]],1,0)-OFFSET(TblExplore[[#This Row],[Land Bonus]],1,0)*20)+15000)))*(1+(mason_bonus*TblConstr[[#This Row],[Tot Mas]]/TblConstr[[#This Row],[Land (2)]]))</f>
        <v>0</v>
      </c>
      <c r="AB82" s="287">
        <f ca="1">walls_forges_cap*(1-EXP(-TblImps[[#This Row],[Σ Forges]]/(walls_forges_param*(OFFSET(TblImps[[#This Row],[Land]],1,0)-OFFSET(TblExplore[[#This Row],[Land Bonus]],1,0)*20)+15000)))*(1+(mason_bonus*TblConstr[[#This Row],[Tot Mas]]/TblConstr[[#This Row],[Land (2)]]))</f>
        <v>0</v>
      </c>
      <c r="AC82" s="287">
        <f ca="1">walls_forges_cap*(1-EXP(-TblImps[[#This Row],[Σ Walls]]/(walls_forges_param*(OFFSET(TblImps[[#This Row],[Land]],1,0)-OFFSET(TblExplore[[#This Row],[Land Bonus]],1,0)*20)+15000)))*(1+(mason_bonus*TblConstr[[#This Row],[Tot Mas]]/TblConstr[[#This Row],[Land (2)]]))</f>
        <v>0</v>
      </c>
      <c r="AD82" s="287">
        <f ca="1">harbor_towers_cap*(1-EXP(-TblImps[[#This Row],[Σ Harbor]]/(harbor_towers_param*(OFFSET(TblImps[[#This Row],[Land]],1,0)-OFFSET(TblExplore[[#This Row],[Land Bonus]],1,0)*20)+15000)))*(1+(mason_bonus*TblConstr[[#This Row],[Tot Mas]]/TblConstr[[#This Row],[Land (2)]]))</f>
        <v>0</v>
      </c>
      <c r="AE82" s="142"/>
      <c r="AF82" s="61">
        <f ca="1">(1+Overview!$I$29)*SUM(TblImps[[#This Row],[P2]:[G2]])+OFFSET(TblImps[[#This Row],[Σ Science]],-1,0)</f>
        <v>0</v>
      </c>
      <c r="AG82" s="61">
        <f ca="1">(1+Overview!$I$29)*SUM(TblImps[[#This Row],[P3]:[G3]])+OFFSET(TblImps[[#This Row],[Σ Keep]],-1,0)</f>
        <v>0</v>
      </c>
      <c r="AH82" s="61">
        <f ca="1">(1+Overview!$I$29 + tech_7_1*TblTech[[#This Row],[7-1]])*SUM(TblImps[[#This Row],[P4]:[G4]])+OFFSET(TblImps[[#This Row],[Σ Spires]],-1,0)</f>
        <v>0</v>
      </c>
      <c r="AI82" s="61">
        <f ca="1">(1+Overview!$I$29)*SUM(TblImps[[#This Row],[P5]:[G5]])+OFFSET(TblImps[[#This Row],[Σ Forges]],-1,0)</f>
        <v>0</v>
      </c>
      <c r="AJ82" s="61">
        <f ca="1">(1+Overview!$I$29)*SUM(TblImps[[#This Row],[P6]:[G6]])+OFFSET(TblImps[[#This Row],[Σ Walls]],-1,0)</f>
        <v>0</v>
      </c>
      <c r="AK82" s="61">
        <f ca="1">(1+Overview!$I$29 + tech_7_1*TblTech[[#This Row],[7-1]])*SUM(TblImps[[#This Row],[P7]:[G7]])+OFFSET(TblImps[[#This Row],[Σ Harbor]],-1,0)</f>
        <v>0</v>
      </c>
      <c r="AL82" s="142"/>
      <c r="AM82" s="57">
        <f>IF(AND(TblImps[[#This Row],[Resource]]=AM$2,TblImps[[#This Row],[Part]]&lt;&gt;""),TblImps[[#This Row],[Amount]]) + IF(AND(TblImps[[#This Row],[Resource 2]]=AM$2,TblImps[[#This Row],[Part 2]]&lt;&gt;""),TblImps[[#This Row],[Amount 2]]) + IF(AND(TblImps[[#This Row],[Resource 3]]=AM$2,TblImps[[#This Row],[Part 3]]&lt;&gt;""),TblImps[[#This Row],[Amount 3]])</f>
        <v>0</v>
      </c>
      <c r="AN82" s="57">
        <f>IF(AND(TblImps[[#This Row],[Resource]]=AN$2,TblImps[[#This Row],[Part]]&lt;&gt;""),TblImps[[#This Row],[Amount]]) + IF(AND(TblImps[[#This Row],[Resource 2]]=AN$2,TblImps[[#This Row],[Part 2]]&lt;&gt;""),TblImps[[#This Row],[Amount 2]]) + IF(AND(TblImps[[#This Row],[Resource 3]]=AN$2,TblImps[[#This Row],[Part 3]]&lt;&gt;""),TblImps[[#This Row],[Amount 3]])</f>
        <v>0</v>
      </c>
      <c r="AO82" s="57">
        <f>IF(AND(TblImps[[#This Row],[Resource]]=AO$2,TblImps[[#This Row],[Part]]&lt;&gt;""),TblImps[[#This Row],[Amount]]) + IF(AND(TblImps[[#This Row],[Resource 2]]=AO$2,TblImps[[#This Row],[Part 2]]&lt;&gt;""),TblImps[[#This Row],[Amount 2]]) + IF(AND(TblImps[[#This Row],[Resource 3]]=AO$2,TblImps[[#This Row],[Part 3]]&lt;&gt;""),TblImps[[#This Row],[Amount 3]])</f>
        <v>0</v>
      </c>
      <c r="AP82" s="57">
        <f>IF(AND(TblImps[[#This Row],[Resource]]=AP$2,TblImps[[#This Row],[Part]]&lt;&gt;""),TblImps[[#This Row],[Amount]]) + IF(AND(TblImps[[#This Row],[Resource 2]]=AP$2,TblImps[[#This Row],[Part 2]]&lt;&gt;""),TblImps[[#This Row],[Amount 2]]) + IF(AND(TblImps[[#This Row],[Resource 3]]=AP$2,TblImps[[#This Row],[Part 3]]&lt;&gt;""),TblImps[[#This Row],[Amount 3]])</f>
        <v>0</v>
      </c>
      <c r="AQ82" s="142"/>
      <c r="AR8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2" s="142"/>
      <c r="AW8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2" s="142"/>
      <c r="BB8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2" s="142"/>
      <c r="BG8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2" s="142"/>
      <c r="BL8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2" s="142"/>
      <c r="BQ8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2" s="142"/>
      <c r="BV8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2" s="61">
        <f>TblImps[[#This Row],[Login]]</f>
        <v>0</v>
      </c>
      <c r="BX82" s="137"/>
      <c r="BY82" s="293">
        <f ca="1">OFFSET(TblImps[[#This Row],[Real time]],-1,0)+1/24</f>
        <v>46050.249999999811</v>
      </c>
      <c r="BZ82" s="294">
        <f ca="1">OFFSET(TblImps[[#This Row],[Servertime]],-1,0)+1/24</f>
        <v>46050.249999999811</v>
      </c>
      <c r="CA82" s="57"/>
      <c r="CB82" s="292"/>
      <c r="CC82" s="292"/>
    </row>
    <row r="83" spans="1:84" x14ac:dyDescent="0.2">
      <c r="A83" s="214">
        <f ca="1">TblConstr[[#This Row],[Land]]</f>
        <v>110</v>
      </c>
      <c r="B83" s="142"/>
      <c r="C83" s="94">
        <f ca="1">TblProd[[#This Row],[Platinum]]</f>
        <v>177531</v>
      </c>
      <c r="D83" s="94">
        <f ca="1">TblProd[[#This Row],[Lumber]]</f>
        <v>61574</v>
      </c>
      <c r="E83" s="94">
        <f ca="1">TblProd[[#This Row],[Ore]]</f>
        <v>0</v>
      </c>
      <c r="F83" s="94">
        <f ca="1">TblProd[[#This Row],[Gems]]</f>
        <v>0</v>
      </c>
      <c r="G83" s="154"/>
      <c r="H83" s="94">
        <f ca="1">TblMili[[#This Row],[Draftees]]</f>
        <v>624</v>
      </c>
      <c r="I83" s="180">
        <f ca="1">TblPop[[#This Row],[Employment]]</f>
        <v>1</v>
      </c>
      <c r="J83" s="180">
        <f ca="1">TblPop[[#This Row],[Total]]/TblPop[[#This Row],[Net max]]</f>
        <v>1</v>
      </c>
      <c r="K83" s="283">
        <f>TblRezone[[#This Row],[Hour]]</f>
        <v>80</v>
      </c>
      <c r="L83" s="284">
        <f ca="1">TblImps[[#This Row],[Real time]]</f>
        <v>46050.291666666475</v>
      </c>
      <c r="M83" s="61">
        <f>IF(ISERROR(TblImps[[#This Row],[algorithm]]),0,TblImps[[#This Row],[algorithm]]*1)</f>
        <v>0</v>
      </c>
      <c r="N83" s="94">
        <f ca="1">TblImps[[#This Row],[Land]]</f>
        <v>110</v>
      </c>
      <c r="O83" s="285" t="s">
        <v>4</v>
      </c>
      <c r="P83" s="286"/>
      <c r="Q83" s="285" t="s">
        <v>210</v>
      </c>
      <c r="R83" s="285" t="s">
        <v>7</v>
      </c>
      <c r="S83" s="286"/>
      <c r="T83" s="285" t="s">
        <v>210</v>
      </c>
      <c r="U83" s="285" t="s">
        <v>3</v>
      </c>
      <c r="V83" s="286"/>
      <c r="W83" s="285" t="s">
        <v>210</v>
      </c>
      <c r="X83" s="142"/>
      <c r="Y83" s="287">
        <f ca="1">science_cap*(1-EXP(-TblImps[[#This Row],[Σ Science]]/(science_param*(OFFSET(TblImps[[#This Row],[Land]],1,0)-OFFSET(TblExplore[[#This Row],[Land Bonus]],1,0)*20)+15000)))*(1+(mason_bonus*TblConstr[[#This Row],[Tot Mas]]/TblConstr[[#This Row],[Land (2)]]))</f>
        <v>0</v>
      </c>
      <c r="Z83" s="287">
        <f ca="1">keep_cap*(1-EXP(-TblImps[[#This Row],[Σ Keep]]/(keep_param*(OFFSET(TblImps[[#This Row],[Land]],1,0)-OFFSET(TblExplore[[#This Row],[Land Bonus]],1,0)*20)+15000)))*(1+(mason_bonus*TblConstr[[#This Row],[Tot Mas]]/TblConstr[[#This Row],[Land (2)]]))</f>
        <v>0</v>
      </c>
      <c r="AA83" s="287">
        <f ca="1">harbor_towers_cap*(1-EXP(-TblImps[[#This Row],[Σ Spires]]/(towers_param*(OFFSET(TblImps[[#This Row],[Land]],1,0)-OFFSET(TblExplore[[#This Row],[Land Bonus]],1,0)*20)+15000)))*(1+(mason_bonus*TblConstr[[#This Row],[Tot Mas]]/TblConstr[[#This Row],[Land (2)]]))</f>
        <v>0</v>
      </c>
      <c r="AB83" s="287">
        <f ca="1">walls_forges_cap*(1-EXP(-TblImps[[#This Row],[Σ Forges]]/(walls_forges_param*(OFFSET(TblImps[[#This Row],[Land]],1,0)-OFFSET(TblExplore[[#This Row],[Land Bonus]],1,0)*20)+15000)))*(1+(mason_bonus*TblConstr[[#This Row],[Tot Mas]]/TblConstr[[#This Row],[Land (2)]]))</f>
        <v>0</v>
      </c>
      <c r="AC83" s="287">
        <f ca="1">walls_forges_cap*(1-EXP(-TblImps[[#This Row],[Σ Walls]]/(walls_forges_param*(OFFSET(TblImps[[#This Row],[Land]],1,0)-OFFSET(TblExplore[[#This Row],[Land Bonus]],1,0)*20)+15000)))*(1+(mason_bonus*TblConstr[[#This Row],[Tot Mas]]/TblConstr[[#This Row],[Land (2)]]))</f>
        <v>0</v>
      </c>
      <c r="AD83" s="287">
        <f ca="1">harbor_towers_cap*(1-EXP(-TblImps[[#This Row],[Σ Harbor]]/(harbor_towers_param*(OFFSET(TblImps[[#This Row],[Land]],1,0)-OFFSET(TblExplore[[#This Row],[Land Bonus]],1,0)*20)+15000)))*(1+(mason_bonus*TblConstr[[#This Row],[Tot Mas]]/TblConstr[[#This Row],[Land (2)]]))</f>
        <v>0</v>
      </c>
      <c r="AE83" s="142"/>
      <c r="AF83" s="61">
        <f ca="1">(1+Overview!$I$29)*SUM(TblImps[[#This Row],[P2]:[G2]])+OFFSET(TblImps[[#This Row],[Σ Science]],-1,0)</f>
        <v>0</v>
      </c>
      <c r="AG83" s="61">
        <f ca="1">(1+Overview!$I$29)*SUM(TblImps[[#This Row],[P3]:[G3]])+OFFSET(TblImps[[#This Row],[Σ Keep]],-1,0)</f>
        <v>0</v>
      </c>
      <c r="AH83" s="61">
        <f ca="1">(1+Overview!$I$29 + tech_7_1*TblTech[[#This Row],[7-1]])*SUM(TblImps[[#This Row],[P4]:[G4]])+OFFSET(TblImps[[#This Row],[Σ Spires]],-1,0)</f>
        <v>0</v>
      </c>
      <c r="AI83" s="61">
        <f ca="1">(1+Overview!$I$29)*SUM(TblImps[[#This Row],[P5]:[G5]])+OFFSET(TblImps[[#This Row],[Σ Forges]],-1,0)</f>
        <v>0</v>
      </c>
      <c r="AJ83" s="61">
        <f ca="1">(1+Overview!$I$29)*SUM(TblImps[[#This Row],[P6]:[G6]])+OFFSET(TblImps[[#This Row],[Σ Walls]],-1,0)</f>
        <v>0</v>
      </c>
      <c r="AK83" s="61">
        <f ca="1">(1+Overview!$I$29 + tech_7_1*TblTech[[#This Row],[7-1]])*SUM(TblImps[[#This Row],[P7]:[G7]])+OFFSET(TblImps[[#This Row],[Σ Harbor]],-1,0)</f>
        <v>0</v>
      </c>
      <c r="AL83" s="142"/>
      <c r="AM83" s="57">
        <f>IF(AND(TblImps[[#This Row],[Resource]]=AM$2,TblImps[[#This Row],[Part]]&lt;&gt;""),TblImps[[#This Row],[Amount]]) + IF(AND(TblImps[[#This Row],[Resource 2]]=AM$2,TblImps[[#This Row],[Part 2]]&lt;&gt;""),TblImps[[#This Row],[Amount 2]]) + IF(AND(TblImps[[#This Row],[Resource 3]]=AM$2,TblImps[[#This Row],[Part 3]]&lt;&gt;""),TblImps[[#This Row],[Amount 3]])</f>
        <v>0</v>
      </c>
      <c r="AN83" s="57">
        <f>IF(AND(TblImps[[#This Row],[Resource]]=AN$2,TblImps[[#This Row],[Part]]&lt;&gt;""),TblImps[[#This Row],[Amount]]) + IF(AND(TblImps[[#This Row],[Resource 2]]=AN$2,TblImps[[#This Row],[Part 2]]&lt;&gt;""),TblImps[[#This Row],[Amount 2]]) + IF(AND(TblImps[[#This Row],[Resource 3]]=AN$2,TblImps[[#This Row],[Part 3]]&lt;&gt;""),TblImps[[#This Row],[Amount 3]])</f>
        <v>0</v>
      </c>
      <c r="AO83" s="57">
        <f>IF(AND(TblImps[[#This Row],[Resource]]=AO$2,TblImps[[#This Row],[Part]]&lt;&gt;""),TblImps[[#This Row],[Amount]]) + IF(AND(TblImps[[#This Row],[Resource 2]]=AO$2,TblImps[[#This Row],[Part 2]]&lt;&gt;""),TblImps[[#This Row],[Amount 2]]) + IF(AND(TblImps[[#This Row],[Resource 3]]=AO$2,TblImps[[#This Row],[Part 3]]&lt;&gt;""),TblImps[[#This Row],[Amount 3]])</f>
        <v>0</v>
      </c>
      <c r="AP83" s="57">
        <f>IF(AND(TblImps[[#This Row],[Resource]]=AP$2,TblImps[[#This Row],[Part]]&lt;&gt;""),TblImps[[#This Row],[Amount]]) + IF(AND(TblImps[[#This Row],[Resource 2]]=AP$2,TblImps[[#This Row],[Part 2]]&lt;&gt;""),TblImps[[#This Row],[Amount 2]]) + IF(AND(TblImps[[#This Row],[Resource 3]]=AP$2,TblImps[[#This Row],[Part 3]]&lt;&gt;""),TblImps[[#This Row],[Amount 3]])</f>
        <v>0</v>
      </c>
      <c r="AQ83" s="142"/>
      <c r="AR8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3" s="142"/>
      <c r="AW8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3" s="142"/>
      <c r="BB8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3" s="142"/>
      <c r="BG8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3" s="142"/>
      <c r="BL8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3" s="142"/>
      <c r="BQ8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3" s="142"/>
      <c r="BV8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3" s="61">
        <f>TblImps[[#This Row],[Login]]</f>
        <v>0</v>
      </c>
      <c r="BX83" s="137"/>
      <c r="BY83" s="293">
        <f ca="1">OFFSET(TblImps[[#This Row],[Real time]],-1,0)+1/24</f>
        <v>46050.291666666475</v>
      </c>
      <c r="BZ83" s="294">
        <f ca="1">OFFSET(TblImps[[#This Row],[Servertime]],-1,0)+1/24</f>
        <v>46050.291666666475</v>
      </c>
      <c r="CA83" s="57"/>
      <c r="CB83" s="292"/>
      <c r="CC83" s="292"/>
    </row>
    <row r="84" spans="1:84" x14ac:dyDescent="0.2">
      <c r="A84" s="214">
        <f ca="1">TblConstr[[#This Row],[Land]]</f>
        <v>110</v>
      </c>
      <c r="B84" s="142"/>
      <c r="C84" s="94">
        <f ca="1">TblProd[[#This Row],[Platinum]]</f>
        <v>178751</v>
      </c>
      <c r="D84" s="94">
        <f ca="1">TblProd[[#This Row],[Lumber]]</f>
        <v>61958</v>
      </c>
      <c r="E84" s="94">
        <f ca="1">TblProd[[#This Row],[Ore]]</f>
        <v>0</v>
      </c>
      <c r="F84" s="94">
        <f ca="1">TblProd[[#This Row],[Gems]]</f>
        <v>0</v>
      </c>
      <c r="G84" s="154"/>
      <c r="H84" s="94">
        <f ca="1">TblMili[[#This Row],[Draftees]]</f>
        <v>629</v>
      </c>
      <c r="I84" s="180">
        <f ca="1">TblPop[[#This Row],[Employment]]</f>
        <v>1</v>
      </c>
      <c r="J84" s="180">
        <f ca="1">TblPop[[#This Row],[Total]]/TblPop[[#This Row],[Net max]]</f>
        <v>1</v>
      </c>
      <c r="K84" s="283">
        <f>TblRezone[[#This Row],[Hour]]</f>
        <v>81</v>
      </c>
      <c r="L84" s="284">
        <f ca="1">TblImps[[#This Row],[Real time]]</f>
        <v>46050.333333333139</v>
      </c>
      <c r="M84" s="61">
        <f>IF(ISERROR(TblImps[[#This Row],[algorithm]]),0,TblImps[[#This Row],[algorithm]]*1)</f>
        <v>0</v>
      </c>
      <c r="N84" s="94">
        <f ca="1">TblImps[[#This Row],[Land]]</f>
        <v>110</v>
      </c>
      <c r="O84" s="285" t="s">
        <v>4</v>
      </c>
      <c r="P84" s="286"/>
      <c r="Q84" s="285" t="s">
        <v>210</v>
      </c>
      <c r="R84" s="285" t="s">
        <v>7</v>
      </c>
      <c r="S84" s="286"/>
      <c r="T84" s="285" t="s">
        <v>210</v>
      </c>
      <c r="U84" s="285" t="s">
        <v>3</v>
      </c>
      <c r="V84" s="286"/>
      <c r="W84" s="285" t="s">
        <v>210</v>
      </c>
      <c r="X84" s="142"/>
      <c r="Y84" s="287">
        <f ca="1">science_cap*(1-EXP(-TblImps[[#This Row],[Σ Science]]/(science_param*(OFFSET(TblImps[[#This Row],[Land]],1,0)-OFFSET(TblExplore[[#This Row],[Land Bonus]],1,0)*20)+15000)))*(1+(mason_bonus*TblConstr[[#This Row],[Tot Mas]]/TblConstr[[#This Row],[Land (2)]]))</f>
        <v>0</v>
      </c>
      <c r="Z84" s="287">
        <f ca="1">keep_cap*(1-EXP(-TblImps[[#This Row],[Σ Keep]]/(keep_param*(OFFSET(TblImps[[#This Row],[Land]],1,0)-OFFSET(TblExplore[[#This Row],[Land Bonus]],1,0)*20)+15000)))*(1+(mason_bonus*TblConstr[[#This Row],[Tot Mas]]/TblConstr[[#This Row],[Land (2)]]))</f>
        <v>0</v>
      </c>
      <c r="AA84" s="287">
        <f ca="1">harbor_towers_cap*(1-EXP(-TblImps[[#This Row],[Σ Spires]]/(towers_param*(OFFSET(TblImps[[#This Row],[Land]],1,0)-OFFSET(TblExplore[[#This Row],[Land Bonus]],1,0)*20)+15000)))*(1+(mason_bonus*TblConstr[[#This Row],[Tot Mas]]/TblConstr[[#This Row],[Land (2)]]))</f>
        <v>0</v>
      </c>
      <c r="AB84" s="287">
        <f ca="1">walls_forges_cap*(1-EXP(-TblImps[[#This Row],[Σ Forges]]/(walls_forges_param*(OFFSET(TblImps[[#This Row],[Land]],1,0)-OFFSET(TblExplore[[#This Row],[Land Bonus]],1,0)*20)+15000)))*(1+(mason_bonus*TblConstr[[#This Row],[Tot Mas]]/TblConstr[[#This Row],[Land (2)]]))</f>
        <v>0</v>
      </c>
      <c r="AC84" s="287">
        <f ca="1">walls_forges_cap*(1-EXP(-TblImps[[#This Row],[Σ Walls]]/(walls_forges_param*(OFFSET(TblImps[[#This Row],[Land]],1,0)-OFFSET(TblExplore[[#This Row],[Land Bonus]],1,0)*20)+15000)))*(1+(mason_bonus*TblConstr[[#This Row],[Tot Mas]]/TblConstr[[#This Row],[Land (2)]]))</f>
        <v>0</v>
      </c>
      <c r="AD84" s="287">
        <f ca="1">harbor_towers_cap*(1-EXP(-TblImps[[#This Row],[Σ Harbor]]/(harbor_towers_param*(OFFSET(TblImps[[#This Row],[Land]],1,0)-OFFSET(TblExplore[[#This Row],[Land Bonus]],1,0)*20)+15000)))*(1+(mason_bonus*TblConstr[[#This Row],[Tot Mas]]/TblConstr[[#This Row],[Land (2)]]))</f>
        <v>0</v>
      </c>
      <c r="AE84" s="142"/>
      <c r="AF84" s="61">
        <f ca="1">(1+Overview!$I$29)*SUM(TblImps[[#This Row],[P2]:[G2]])+OFFSET(TblImps[[#This Row],[Σ Science]],-1,0)</f>
        <v>0</v>
      </c>
      <c r="AG84" s="61">
        <f ca="1">(1+Overview!$I$29)*SUM(TblImps[[#This Row],[P3]:[G3]])+OFFSET(TblImps[[#This Row],[Σ Keep]],-1,0)</f>
        <v>0</v>
      </c>
      <c r="AH84" s="61">
        <f ca="1">(1+Overview!$I$29 + tech_7_1*TblTech[[#This Row],[7-1]])*SUM(TblImps[[#This Row],[P4]:[G4]])+OFFSET(TblImps[[#This Row],[Σ Spires]],-1,0)</f>
        <v>0</v>
      </c>
      <c r="AI84" s="61">
        <f ca="1">(1+Overview!$I$29)*SUM(TblImps[[#This Row],[P5]:[G5]])+OFFSET(TblImps[[#This Row],[Σ Forges]],-1,0)</f>
        <v>0</v>
      </c>
      <c r="AJ84" s="61">
        <f ca="1">(1+Overview!$I$29)*SUM(TblImps[[#This Row],[P6]:[G6]])+OFFSET(TblImps[[#This Row],[Σ Walls]],-1,0)</f>
        <v>0</v>
      </c>
      <c r="AK84" s="61">
        <f ca="1">(1+Overview!$I$29 + tech_7_1*TblTech[[#This Row],[7-1]])*SUM(TblImps[[#This Row],[P7]:[G7]])+OFFSET(TblImps[[#This Row],[Σ Harbor]],-1,0)</f>
        <v>0</v>
      </c>
      <c r="AL84" s="142"/>
      <c r="AM84" s="57">
        <f>IF(AND(TblImps[[#This Row],[Resource]]=AM$2,TblImps[[#This Row],[Part]]&lt;&gt;""),TblImps[[#This Row],[Amount]]) + IF(AND(TblImps[[#This Row],[Resource 2]]=AM$2,TblImps[[#This Row],[Part 2]]&lt;&gt;""),TblImps[[#This Row],[Amount 2]]) + IF(AND(TblImps[[#This Row],[Resource 3]]=AM$2,TblImps[[#This Row],[Part 3]]&lt;&gt;""),TblImps[[#This Row],[Amount 3]])</f>
        <v>0</v>
      </c>
      <c r="AN84" s="57">
        <f>IF(AND(TblImps[[#This Row],[Resource]]=AN$2,TblImps[[#This Row],[Part]]&lt;&gt;""),TblImps[[#This Row],[Amount]]) + IF(AND(TblImps[[#This Row],[Resource 2]]=AN$2,TblImps[[#This Row],[Part 2]]&lt;&gt;""),TblImps[[#This Row],[Amount 2]]) + IF(AND(TblImps[[#This Row],[Resource 3]]=AN$2,TblImps[[#This Row],[Part 3]]&lt;&gt;""),TblImps[[#This Row],[Amount 3]])</f>
        <v>0</v>
      </c>
      <c r="AO84" s="57">
        <f>IF(AND(TblImps[[#This Row],[Resource]]=AO$2,TblImps[[#This Row],[Part]]&lt;&gt;""),TblImps[[#This Row],[Amount]]) + IF(AND(TblImps[[#This Row],[Resource 2]]=AO$2,TblImps[[#This Row],[Part 2]]&lt;&gt;""),TblImps[[#This Row],[Amount 2]]) + IF(AND(TblImps[[#This Row],[Resource 3]]=AO$2,TblImps[[#This Row],[Part 3]]&lt;&gt;""),TblImps[[#This Row],[Amount 3]])</f>
        <v>0</v>
      </c>
      <c r="AP84" s="57">
        <f>IF(AND(TblImps[[#This Row],[Resource]]=AP$2,TblImps[[#This Row],[Part]]&lt;&gt;""),TblImps[[#This Row],[Amount]]) + IF(AND(TblImps[[#This Row],[Resource 2]]=AP$2,TblImps[[#This Row],[Part 2]]&lt;&gt;""),TblImps[[#This Row],[Amount 2]]) + IF(AND(TblImps[[#This Row],[Resource 3]]=AP$2,TblImps[[#This Row],[Part 3]]&lt;&gt;""),TblImps[[#This Row],[Amount 3]])</f>
        <v>0</v>
      </c>
      <c r="AQ84" s="142"/>
      <c r="AR8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4" s="142"/>
      <c r="AW8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4" s="142"/>
      <c r="BB8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4" s="142"/>
      <c r="BG8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4" s="142"/>
      <c r="BL8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4" s="142"/>
      <c r="BQ8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4" s="142"/>
      <c r="BV8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4" s="61">
        <f>TblImps[[#This Row],[Login]]</f>
        <v>0</v>
      </c>
      <c r="BX84" s="137"/>
      <c r="BY84" s="293">
        <f ca="1">OFFSET(TblImps[[#This Row],[Real time]],-1,0)+1/24</f>
        <v>46050.333333333139</v>
      </c>
      <c r="BZ84" s="294">
        <f ca="1">OFFSET(TblImps[[#This Row],[Servertime]],-1,0)+1/24</f>
        <v>46050.333333333139</v>
      </c>
      <c r="CA84" s="57"/>
      <c r="CB84" s="292"/>
      <c r="CC84" s="292"/>
    </row>
    <row r="85" spans="1:84" x14ac:dyDescent="0.2">
      <c r="A85" s="214">
        <f ca="1">TblConstr[[#This Row],[Land]]</f>
        <v>110</v>
      </c>
      <c r="B85" s="142"/>
      <c r="C85" s="94">
        <f ca="1">TblProd[[#This Row],[Platinum]]</f>
        <v>179957</v>
      </c>
      <c r="D85" s="94">
        <f ca="1">TblProd[[#This Row],[Lumber]]</f>
        <v>62338</v>
      </c>
      <c r="E85" s="94">
        <f ca="1">TblProd[[#This Row],[Ore]]</f>
        <v>0</v>
      </c>
      <c r="F85" s="94">
        <f ca="1">TblProd[[#This Row],[Gems]]</f>
        <v>0</v>
      </c>
      <c r="G85" s="154"/>
      <c r="H85" s="94">
        <f ca="1">TblMili[[#This Row],[Draftees]]</f>
        <v>633</v>
      </c>
      <c r="I85" s="180">
        <f ca="1">TblPop[[#This Row],[Employment]]</f>
        <v>1</v>
      </c>
      <c r="J85" s="180">
        <f ca="1">TblPop[[#This Row],[Total]]/TblPop[[#This Row],[Net max]]</f>
        <v>1</v>
      </c>
      <c r="K85" s="283">
        <f>TblRezone[[#This Row],[Hour]]</f>
        <v>82</v>
      </c>
      <c r="L85" s="284">
        <f ca="1">TblImps[[#This Row],[Real time]]</f>
        <v>46050.374999999804</v>
      </c>
      <c r="M85" s="61">
        <f>IF(ISERROR(TblImps[[#This Row],[algorithm]]),0,TblImps[[#This Row],[algorithm]]*1)</f>
        <v>0</v>
      </c>
      <c r="N85" s="94">
        <f ca="1">TblImps[[#This Row],[Land]]</f>
        <v>110</v>
      </c>
      <c r="O85" s="285" t="s">
        <v>4</v>
      </c>
      <c r="P85" s="286"/>
      <c r="Q85" s="285" t="s">
        <v>210</v>
      </c>
      <c r="R85" s="285" t="s">
        <v>7</v>
      </c>
      <c r="S85" s="286"/>
      <c r="T85" s="285" t="s">
        <v>210</v>
      </c>
      <c r="U85" s="285" t="s">
        <v>3</v>
      </c>
      <c r="V85" s="286"/>
      <c r="W85" s="285" t="s">
        <v>210</v>
      </c>
      <c r="X85" s="142"/>
      <c r="Y85" s="287">
        <f ca="1">science_cap*(1-EXP(-TblImps[[#This Row],[Σ Science]]/(science_param*(OFFSET(TblImps[[#This Row],[Land]],1,0)-OFFSET(TblExplore[[#This Row],[Land Bonus]],1,0)*20)+15000)))*(1+(mason_bonus*TblConstr[[#This Row],[Tot Mas]]/TblConstr[[#This Row],[Land (2)]]))</f>
        <v>0</v>
      </c>
      <c r="Z85" s="287">
        <f ca="1">keep_cap*(1-EXP(-TblImps[[#This Row],[Σ Keep]]/(keep_param*(OFFSET(TblImps[[#This Row],[Land]],1,0)-OFFSET(TblExplore[[#This Row],[Land Bonus]],1,0)*20)+15000)))*(1+(mason_bonus*TblConstr[[#This Row],[Tot Mas]]/TblConstr[[#This Row],[Land (2)]]))</f>
        <v>0</v>
      </c>
      <c r="AA85" s="287">
        <f ca="1">harbor_towers_cap*(1-EXP(-TblImps[[#This Row],[Σ Spires]]/(towers_param*(OFFSET(TblImps[[#This Row],[Land]],1,0)-OFFSET(TblExplore[[#This Row],[Land Bonus]],1,0)*20)+15000)))*(1+(mason_bonus*TblConstr[[#This Row],[Tot Mas]]/TblConstr[[#This Row],[Land (2)]]))</f>
        <v>0</v>
      </c>
      <c r="AB85" s="287">
        <f ca="1">walls_forges_cap*(1-EXP(-TblImps[[#This Row],[Σ Forges]]/(walls_forges_param*(OFFSET(TblImps[[#This Row],[Land]],1,0)-OFFSET(TblExplore[[#This Row],[Land Bonus]],1,0)*20)+15000)))*(1+(mason_bonus*TblConstr[[#This Row],[Tot Mas]]/TblConstr[[#This Row],[Land (2)]]))</f>
        <v>0</v>
      </c>
      <c r="AC85" s="287">
        <f ca="1">walls_forges_cap*(1-EXP(-TblImps[[#This Row],[Σ Walls]]/(walls_forges_param*(OFFSET(TblImps[[#This Row],[Land]],1,0)-OFFSET(TblExplore[[#This Row],[Land Bonus]],1,0)*20)+15000)))*(1+(mason_bonus*TblConstr[[#This Row],[Tot Mas]]/TblConstr[[#This Row],[Land (2)]]))</f>
        <v>0</v>
      </c>
      <c r="AD85" s="287">
        <f ca="1">harbor_towers_cap*(1-EXP(-TblImps[[#This Row],[Σ Harbor]]/(harbor_towers_param*(OFFSET(TblImps[[#This Row],[Land]],1,0)-OFFSET(TblExplore[[#This Row],[Land Bonus]],1,0)*20)+15000)))*(1+(mason_bonus*TblConstr[[#This Row],[Tot Mas]]/TblConstr[[#This Row],[Land (2)]]))</f>
        <v>0</v>
      </c>
      <c r="AE85" s="142"/>
      <c r="AF85" s="61">
        <f ca="1">(1+Overview!$I$29)*SUM(TblImps[[#This Row],[P2]:[G2]])+OFFSET(TblImps[[#This Row],[Σ Science]],-1,0)</f>
        <v>0</v>
      </c>
      <c r="AG85" s="61">
        <f ca="1">(1+Overview!$I$29)*SUM(TblImps[[#This Row],[P3]:[G3]])+OFFSET(TblImps[[#This Row],[Σ Keep]],-1,0)</f>
        <v>0</v>
      </c>
      <c r="AH85" s="61">
        <f ca="1">(1+Overview!$I$29 + tech_7_1*TblTech[[#This Row],[7-1]])*SUM(TblImps[[#This Row],[P4]:[G4]])+OFFSET(TblImps[[#This Row],[Σ Spires]],-1,0)</f>
        <v>0</v>
      </c>
      <c r="AI85" s="61">
        <f ca="1">(1+Overview!$I$29)*SUM(TblImps[[#This Row],[P5]:[G5]])+OFFSET(TblImps[[#This Row],[Σ Forges]],-1,0)</f>
        <v>0</v>
      </c>
      <c r="AJ85" s="61">
        <f ca="1">(1+Overview!$I$29)*SUM(TblImps[[#This Row],[P6]:[G6]])+OFFSET(TblImps[[#This Row],[Σ Walls]],-1,0)</f>
        <v>0</v>
      </c>
      <c r="AK85" s="61">
        <f ca="1">(1+Overview!$I$29 + tech_7_1*TblTech[[#This Row],[7-1]])*SUM(TblImps[[#This Row],[P7]:[G7]])+OFFSET(TblImps[[#This Row],[Σ Harbor]],-1,0)</f>
        <v>0</v>
      </c>
      <c r="AL85" s="142"/>
      <c r="AM85" s="57">
        <f>IF(AND(TblImps[[#This Row],[Resource]]=AM$2,TblImps[[#This Row],[Part]]&lt;&gt;""),TblImps[[#This Row],[Amount]]) + IF(AND(TblImps[[#This Row],[Resource 2]]=AM$2,TblImps[[#This Row],[Part 2]]&lt;&gt;""),TblImps[[#This Row],[Amount 2]]) + IF(AND(TblImps[[#This Row],[Resource 3]]=AM$2,TblImps[[#This Row],[Part 3]]&lt;&gt;""),TblImps[[#This Row],[Amount 3]])</f>
        <v>0</v>
      </c>
      <c r="AN85" s="57">
        <f>IF(AND(TblImps[[#This Row],[Resource]]=AN$2,TblImps[[#This Row],[Part]]&lt;&gt;""),TblImps[[#This Row],[Amount]]) + IF(AND(TblImps[[#This Row],[Resource 2]]=AN$2,TblImps[[#This Row],[Part 2]]&lt;&gt;""),TblImps[[#This Row],[Amount 2]]) + IF(AND(TblImps[[#This Row],[Resource 3]]=AN$2,TblImps[[#This Row],[Part 3]]&lt;&gt;""),TblImps[[#This Row],[Amount 3]])</f>
        <v>0</v>
      </c>
      <c r="AO85" s="57">
        <f>IF(AND(TblImps[[#This Row],[Resource]]=AO$2,TblImps[[#This Row],[Part]]&lt;&gt;""),TblImps[[#This Row],[Amount]]) + IF(AND(TblImps[[#This Row],[Resource 2]]=AO$2,TblImps[[#This Row],[Part 2]]&lt;&gt;""),TblImps[[#This Row],[Amount 2]]) + IF(AND(TblImps[[#This Row],[Resource 3]]=AO$2,TblImps[[#This Row],[Part 3]]&lt;&gt;""),TblImps[[#This Row],[Amount 3]])</f>
        <v>0</v>
      </c>
      <c r="AP85" s="57">
        <f>IF(AND(TblImps[[#This Row],[Resource]]=AP$2,TblImps[[#This Row],[Part]]&lt;&gt;""),TblImps[[#This Row],[Amount]]) + IF(AND(TblImps[[#This Row],[Resource 2]]=AP$2,TblImps[[#This Row],[Part 2]]&lt;&gt;""),TblImps[[#This Row],[Amount 2]]) + IF(AND(TblImps[[#This Row],[Resource 3]]=AP$2,TblImps[[#This Row],[Part 3]]&lt;&gt;""),TblImps[[#This Row],[Amount 3]])</f>
        <v>0</v>
      </c>
      <c r="AQ85" s="142"/>
      <c r="AR8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5" s="142"/>
      <c r="AW8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5" s="142"/>
      <c r="BB8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5" s="142"/>
      <c r="BG8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5" s="142"/>
      <c r="BL8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5" s="142"/>
      <c r="BQ8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5" s="142"/>
      <c r="BV8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5" s="61">
        <f>TblImps[[#This Row],[Login]]</f>
        <v>0</v>
      </c>
      <c r="BX85" s="137"/>
      <c r="BY85" s="293">
        <f ca="1">OFFSET(TblImps[[#This Row],[Real time]],-1,0)+1/24</f>
        <v>46050.374999999804</v>
      </c>
      <c r="BZ85" s="294">
        <f ca="1">OFFSET(TblImps[[#This Row],[Servertime]],-1,0)+1/24</f>
        <v>46050.374999999804</v>
      </c>
      <c r="CA85" s="57"/>
      <c r="CB85" s="292"/>
      <c r="CC85" s="292"/>
    </row>
    <row r="86" spans="1:84" x14ac:dyDescent="0.2">
      <c r="A86" s="214">
        <f ca="1">TblConstr[[#This Row],[Land]]</f>
        <v>110</v>
      </c>
      <c r="B86" s="142"/>
      <c r="C86" s="94">
        <f ca="1">TblProd[[#This Row],[Platinum]]</f>
        <v>181153</v>
      </c>
      <c r="D86" s="94">
        <f ca="1">TblProd[[#This Row],[Lumber]]</f>
        <v>62715</v>
      </c>
      <c r="E86" s="94">
        <f ca="1">TblProd[[#This Row],[Ore]]</f>
        <v>0</v>
      </c>
      <c r="F86" s="94">
        <f ca="1">TblProd[[#This Row],[Gems]]</f>
        <v>0</v>
      </c>
      <c r="G86" s="154"/>
      <c r="H86" s="94">
        <f ca="1">TblMili[[#This Row],[Draftees]]</f>
        <v>637</v>
      </c>
      <c r="I86" s="180">
        <f ca="1">TblPop[[#This Row],[Employment]]</f>
        <v>1</v>
      </c>
      <c r="J86" s="180">
        <f ca="1">TblPop[[#This Row],[Total]]/TblPop[[#This Row],[Net max]]</f>
        <v>1</v>
      </c>
      <c r="K86" s="283">
        <f>TblRezone[[#This Row],[Hour]]</f>
        <v>83</v>
      </c>
      <c r="L86" s="284">
        <f ca="1">TblImps[[#This Row],[Real time]]</f>
        <v>46050.416666666468</v>
      </c>
      <c r="M86" s="61">
        <f>IF(ISERROR(TblImps[[#This Row],[algorithm]]),0,TblImps[[#This Row],[algorithm]]*1)</f>
        <v>0</v>
      </c>
      <c r="N86" s="94">
        <f ca="1">TblImps[[#This Row],[Land]]</f>
        <v>110</v>
      </c>
      <c r="O86" s="285" t="s">
        <v>4</v>
      </c>
      <c r="P86" s="286"/>
      <c r="Q86" s="285" t="s">
        <v>210</v>
      </c>
      <c r="R86" s="285" t="s">
        <v>7</v>
      </c>
      <c r="S86" s="286"/>
      <c r="T86" s="285" t="s">
        <v>210</v>
      </c>
      <c r="U86" s="285" t="s">
        <v>3</v>
      </c>
      <c r="V86" s="286"/>
      <c r="W86" s="285" t="s">
        <v>210</v>
      </c>
      <c r="X86" s="142"/>
      <c r="Y86" s="287">
        <f ca="1">science_cap*(1-EXP(-TblImps[[#This Row],[Σ Science]]/(science_param*(OFFSET(TblImps[[#This Row],[Land]],1,0)-OFFSET(TblExplore[[#This Row],[Land Bonus]],1,0)*20)+15000)))*(1+(mason_bonus*TblConstr[[#This Row],[Tot Mas]]/TblConstr[[#This Row],[Land (2)]]))</f>
        <v>0</v>
      </c>
      <c r="Z86" s="287">
        <f ca="1">keep_cap*(1-EXP(-TblImps[[#This Row],[Σ Keep]]/(keep_param*(OFFSET(TblImps[[#This Row],[Land]],1,0)-OFFSET(TblExplore[[#This Row],[Land Bonus]],1,0)*20)+15000)))*(1+(mason_bonus*TblConstr[[#This Row],[Tot Mas]]/TblConstr[[#This Row],[Land (2)]]))</f>
        <v>0</v>
      </c>
      <c r="AA86" s="287">
        <f ca="1">harbor_towers_cap*(1-EXP(-TblImps[[#This Row],[Σ Spires]]/(towers_param*(OFFSET(TblImps[[#This Row],[Land]],1,0)-OFFSET(TblExplore[[#This Row],[Land Bonus]],1,0)*20)+15000)))*(1+(mason_bonus*TblConstr[[#This Row],[Tot Mas]]/TblConstr[[#This Row],[Land (2)]]))</f>
        <v>0</v>
      </c>
      <c r="AB86" s="287">
        <f ca="1">walls_forges_cap*(1-EXP(-TblImps[[#This Row],[Σ Forges]]/(walls_forges_param*(OFFSET(TblImps[[#This Row],[Land]],1,0)-OFFSET(TblExplore[[#This Row],[Land Bonus]],1,0)*20)+15000)))*(1+(mason_bonus*TblConstr[[#This Row],[Tot Mas]]/TblConstr[[#This Row],[Land (2)]]))</f>
        <v>0</v>
      </c>
      <c r="AC86" s="287">
        <f ca="1">walls_forges_cap*(1-EXP(-TblImps[[#This Row],[Σ Walls]]/(walls_forges_param*(OFFSET(TblImps[[#This Row],[Land]],1,0)-OFFSET(TblExplore[[#This Row],[Land Bonus]],1,0)*20)+15000)))*(1+(mason_bonus*TblConstr[[#This Row],[Tot Mas]]/TblConstr[[#This Row],[Land (2)]]))</f>
        <v>0</v>
      </c>
      <c r="AD86" s="287">
        <f ca="1">harbor_towers_cap*(1-EXP(-TblImps[[#This Row],[Σ Harbor]]/(harbor_towers_param*(OFFSET(TblImps[[#This Row],[Land]],1,0)-OFFSET(TblExplore[[#This Row],[Land Bonus]],1,0)*20)+15000)))*(1+(mason_bonus*TblConstr[[#This Row],[Tot Mas]]/TblConstr[[#This Row],[Land (2)]]))</f>
        <v>0</v>
      </c>
      <c r="AE86" s="142"/>
      <c r="AF86" s="61">
        <f ca="1">(1+Overview!$I$29)*SUM(TblImps[[#This Row],[P2]:[G2]])+OFFSET(TblImps[[#This Row],[Σ Science]],-1,0)</f>
        <v>0</v>
      </c>
      <c r="AG86" s="61">
        <f ca="1">(1+Overview!$I$29)*SUM(TblImps[[#This Row],[P3]:[G3]])+OFFSET(TblImps[[#This Row],[Σ Keep]],-1,0)</f>
        <v>0</v>
      </c>
      <c r="AH86" s="61">
        <f ca="1">(1+Overview!$I$29 + tech_7_1*TblTech[[#This Row],[7-1]])*SUM(TblImps[[#This Row],[P4]:[G4]])+OFFSET(TblImps[[#This Row],[Σ Spires]],-1,0)</f>
        <v>0</v>
      </c>
      <c r="AI86" s="61">
        <f ca="1">(1+Overview!$I$29)*SUM(TblImps[[#This Row],[P5]:[G5]])+OFFSET(TblImps[[#This Row],[Σ Forges]],-1,0)</f>
        <v>0</v>
      </c>
      <c r="AJ86" s="61">
        <f ca="1">(1+Overview!$I$29)*SUM(TblImps[[#This Row],[P6]:[G6]])+OFFSET(TblImps[[#This Row],[Σ Walls]],-1,0)</f>
        <v>0</v>
      </c>
      <c r="AK86" s="61">
        <f ca="1">(1+Overview!$I$29 + tech_7_1*TblTech[[#This Row],[7-1]])*SUM(TblImps[[#This Row],[P7]:[G7]])+OFFSET(TblImps[[#This Row],[Σ Harbor]],-1,0)</f>
        <v>0</v>
      </c>
      <c r="AL86" s="142"/>
      <c r="AM86" s="57">
        <f>IF(AND(TblImps[[#This Row],[Resource]]=AM$2,TblImps[[#This Row],[Part]]&lt;&gt;""),TblImps[[#This Row],[Amount]]) + IF(AND(TblImps[[#This Row],[Resource 2]]=AM$2,TblImps[[#This Row],[Part 2]]&lt;&gt;""),TblImps[[#This Row],[Amount 2]]) + IF(AND(TblImps[[#This Row],[Resource 3]]=AM$2,TblImps[[#This Row],[Part 3]]&lt;&gt;""),TblImps[[#This Row],[Amount 3]])</f>
        <v>0</v>
      </c>
      <c r="AN86" s="57">
        <f>IF(AND(TblImps[[#This Row],[Resource]]=AN$2,TblImps[[#This Row],[Part]]&lt;&gt;""),TblImps[[#This Row],[Amount]]) + IF(AND(TblImps[[#This Row],[Resource 2]]=AN$2,TblImps[[#This Row],[Part 2]]&lt;&gt;""),TblImps[[#This Row],[Amount 2]]) + IF(AND(TblImps[[#This Row],[Resource 3]]=AN$2,TblImps[[#This Row],[Part 3]]&lt;&gt;""),TblImps[[#This Row],[Amount 3]])</f>
        <v>0</v>
      </c>
      <c r="AO86" s="57">
        <f>IF(AND(TblImps[[#This Row],[Resource]]=AO$2,TblImps[[#This Row],[Part]]&lt;&gt;""),TblImps[[#This Row],[Amount]]) + IF(AND(TblImps[[#This Row],[Resource 2]]=AO$2,TblImps[[#This Row],[Part 2]]&lt;&gt;""),TblImps[[#This Row],[Amount 2]]) + IF(AND(TblImps[[#This Row],[Resource 3]]=AO$2,TblImps[[#This Row],[Part 3]]&lt;&gt;""),TblImps[[#This Row],[Amount 3]])</f>
        <v>0</v>
      </c>
      <c r="AP86" s="57">
        <f>IF(AND(TblImps[[#This Row],[Resource]]=AP$2,TblImps[[#This Row],[Part]]&lt;&gt;""),TblImps[[#This Row],[Amount]]) + IF(AND(TblImps[[#This Row],[Resource 2]]=AP$2,TblImps[[#This Row],[Part 2]]&lt;&gt;""),TblImps[[#This Row],[Amount 2]]) + IF(AND(TblImps[[#This Row],[Resource 3]]=AP$2,TblImps[[#This Row],[Part 3]]&lt;&gt;""),TblImps[[#This Row],[Amount 3]])</f>
        <v>0</v>
      </c>
      <c r="AQ86" s="142"/>
      <c r="AR8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6" s="142"/>
      <c r="AW8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6" s="142"/>
      <c r="BB8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6" s="142"/>
      <c r="BG8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6" s="142"/>
      <c r="BL8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6" s="142"/>
      <c r="BQ8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6" s="142"/>
      <c r="BV8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6" s="61">
        <f>TblImps[[#This Row],[Login]]</f>
        <v>0</v>
      </c>
      <c r="BX86" s="137"/>
      <c r="BY86" s="293">
        <f ca="1">OFFSET(TblImps[[#This Row],[Real time]],-1,0)+1/24</f>
        <v>46050.416666666468</v>
      </c>
      <c r="BZ86" s="294">
        <f ca="1">OFFSET(TblImps[[#This Row],[Servertime]],-1,0)+1/24</f>
        <v>46050.416666666468</v>
      </c>
      <c r="CA86" s="57"/>
      <c r="CB86" s="292"/>
      <c r="CC86" s="292"/>
    </row>
    <row r="87" spans="1:84" x14ac:dyDescent="0.2">
      <c r="A87" s="214">
        <f ca="1">TblConstr[[#This Row],[Land]]</f>
        <v>110</v>
      </c>
      <c r="B87" s="142"/>
      <c r="C87" s="94">
        <f ca="1">TblProd[[#This Row],[Platinum]]</f>
        <v>182338</v>
      </c>
      <c r="D87" s="94">
        <f ca="1">TblProd[[#This Row],[Lumber]]</f>
        <v>63088</v>
      </c>
      <c r="E87" s="94">
        <f ca="1">TblProd[[#This Row],[Ore]]</f>
        <v>0</v>
      </c>
      <c r="F87" s="94">
        <f ca="1">TblProd[[#This Row],[Gems]]</f>
        <v>0</v>
      </c>
      <c r="G87" s="154"/>
      <c r="H87" s="94">
        <f ca="1">TblMili[[#This Row],[Draftees]]</f>
        <v>641</v>
      </c>
      <c r="I87" s="180">
        <f ca="1">TblPop[[#This Row],[Employment]]</f>
        <v>1</v>
      </c>
      <c r="J87" s="180">
        <f ca="1">TblPop[[#This Row],[Total]]/TblPop[[#This Row],[Net max]]</f>
        <v>1</v>
      </c>
      <c r="K87" s="283">
        <f>TblRezone[[#This Row],[Hour]]</f>
        <v>84</v>
      </c>
      <c r="L87" s="284">
        <f ca="1">TblImps[[#This Row],[Real time]]</f>
        <v>46050.458333333132</v>
      </c>
      <c r="M87" s="61">
        <f>IF(ISERROR(TblImps[[#This Row],[algorithm]]),0,TblImps[[#This Row],[algorithm]]*1)</f>
        <v>0</v>
      </c>
      <c r="N87" s="94">
        <f ca="1">TblImps[[#This Row],[Land]]</f>
        <v>110</v>
      </c>
      <c r="O87" s="285" t="s">
        <v>4</v>
      </c>
      <c r="P87" s="286"/>
      <c r="Q87" s="285" t="s">
        <v>210</v>
      </c>
      <c r="R87" s="285" t="s">
        <v>7</v>
      </c>
      <c r="S87" s="286"/>
      <c r="T87" s="285" t="s">
        <v>210</v>
      </c>
      <c r="U87" s="285" t="s">
        <v>3</v>
      </c>
      <c r="V87" s="286"/>
      <c r="W87" s="285" t="s">
        <v>210</v>
      </c>
      <c r="X87" s="142"/>
      <c r="Y87" s="287">
        <f ca="1">science_cap*(1-EXP(-TblImps[[#This Row],[Σ Science]]/(science_param*(OFFSET(TblImps[[#This Row],[Land]],1,0)-OFFSET(TblExplore[[#This Row],[Land Bonus]],1,0)*20)+15000)))*(1+(mason_bonus*TblConstr[[#This Row],[Tot Mas]]/TblConstr[[#This Row],[Land (2)]]))</f>
        <v>0</v>
      </c>
      <c r="Z87" s="287">
        <f ca="1">keep_cap*(1-EXP(-TblImps[[#This Row],[Σ Keep]]/(keep_param*(OFFSET(TblImps[[#This Row],[Land]],1,0)-OFFSET(TblExplore[[#This Row],[Land Bonus]],1,0)*20)+15000)))*(1+(mason_bonus*TblConstr[[#This Row],[Tot Mas]]/TblConstr[[#This Row],[Land (2)]]))</f>
        <v>0</v>
      </c>
      <c r="AA87" s="287">
        <f ca="1">harbor_towers_cap*(1-EXP(-TblImps[[#This Row],[Σ Spires]]/(towers_param*(OFFSET(TblImps[[#This Row],[Land]],1,0)-OFFSET(TblExplore[[#This Row],[Land Bonus]],1,0)*20)+15000)))*(1+(mason_bonus*TblConstr[[#This Row],[Tot Mas]]/TblConstr[[#This Row],[Land (2)]]))</f>
        <v>0</v>
      </c>
      <c r="AB87" s="287">
        <f ca="1">walls_forges_cap*(1-EXP(-TblImps[[#This Row],[Σ Forges]]/(walls_forges_param*(OFFSET(TblImps[[#This Row],[Land]],1,0)-OFFSET(TblExplore[[#This Row],[Land Bonus]],1,0)*20)+15000)))*(1+(mason_bonus*TblConstr[[#This Row],[Tot Mas]]/TblConstr[[#This Row],[Land (2)]]))</f>
        <v>0</v>
      </c>
      <c r="AC87" s="287">
        <f ca="1">walls_forges_cap*(1-EXP(-TblImps[[#This Row],[Σ Walls]]/(walls_forges_param*(OFFSET(TblImps[[#This Row],[Land]],1,0)-OFFSET(TblExplore[[#This Row],[Land Bonus]],1,0)*20)+15000)))*(1+(mason_bonus*TblConstr[[#This Row],[Tot Mas]]/TblConstr[[#This Row],[Land (2)]]))</f>
        <v>0</v>
      </c>
      <c r="AD87" s="287">
        <f ca="1">harbor_towers_cap*(1-EXP(-TblImps[[#This Row],[Σ Harbor]]/(harbor_towers_param*(OFFSET(TblImps[[#This Row],[Land]],1,0)-OFFSET(TblExplore[[#This Row],[Land Bonus]],1,0)*20)+15000)))*(1+(mason_bonus*TblConstr[[#This Row],[Tot Mas]]/TblConstr[[#This Row],[Land (2)]]))</f>
        <v>0</v>
      </c>
      <c r="AE87" s="142"/>
      <c r="AF87" s="61">
        <f ca="1">(1+Overview!$I$29)*SUM(TblImps[[#This Row],[P2]:[G2]])+OFFSET(TblImps[[#This Row],[Σ Science]],-1,0)</f>
        <v>0</v>
      </c>
      <c r="AG87" s="61">
        <f ca="1">(1+Overview!$I$29)*SUM(TblImps[[#This Row],[P3]:[G3]])+OFFSET(TblImps[[#This Row],[Σ Keep]],-1,0)</f>
        <v>0</v>
      </c>
      <c r="AH87" s="61">
        <f ca="1">(1+Overview!$I$29 + tech_7_1*TblTech[[#This Row],[7-1]])*SUM(TblImps[[#This Row],[P4]:[G4]])+OFFSET(TblImps[[#This Row],[Σ Spires]],-1,0)</f>
        <v>0</v>
      </c>
      <c r="AI87" s="61">
        <f ca="1">(1+Overview!$I$29)*SUM(TblImps[[#This Row],[P5]:[G5]])+OFFSET(TblImps[[#This Row],[Σ Forges]],-1,0)</f>
        <v>0</v>
      </c>
      <c r="AJ87" s="61">
        <f ca="1">(1+Overview!$I$29)*SUM(TblImps[[#This Row],[P6]:[G6]])+OFFSET(TblImps[[#This Row],[Σ Walls]],-1,0)</f>
        <v>0</v>
      </c>
      <c r="AK87" s="61">
        <f ca="1">(1+Overview!$I$29 + tech_7_1*TblTech[[#This Row],[7-1]])*SUM(TblImps[[#This Row],[P7]:[G7]])+OFFSET(TblImps[[#This Row],[Σ Harbor]],-1,0)</f>
        <v>0</v>
      </c>
      <c r="AL87" s="142"/>
      <c r="AM87" s="57">
        <f>IF(AND(TblImps[[#This Row],[Resource]]=AM$2,TblImps[[#This Row],[Part]]&lt;&gt;""),TblImps[[#This Row],[Amount]]) + IF(AND(TblImps[[#This Row],[Resource 2]]=AM$2,TblImps[[#This Row],[Part 2]]&lt;&gt;""),TblImps[[#This Row],[Amount 2]]) + IF(AND(TblImps[[#This Row],[Resource 3]]=AM$2,TblImps[[#This Row],[Part 3]]&lt;&gt;""),TblImps[[#This Row],[Amount 3]])</f>
        <v>0</v>
      </c>
      <c r="AN87" s="57">
        <f>IF(AND(TblImps[[#This Row],[Resource]]=AN$2,TblImps[[#This Row],[Part]]&lt;&gt;""),TblImps[[#This Row],[Amount]]) + IF(AND(TblImps[[#This Row],[Resource 2]]=AN$2,TblImps[[#This Row],[Part 2]]&lt;&gt;""),TblImps[[#This Row],[Amount 2]]) + IF(AND(TblImps[[#This Row],[Resource 3]]=AN$2,TblImps[[#This Row],[Part 3]]&lt;&gt;""),TblImps[[#This Row],[Amount 3]])</f>
        <v>0</v>
      </c>
      <c r="AO87" s="57">
        <f>IF(AND(TblImps[[#This Row],[Resource]]=AO$2,TblImps[[#This Row],[Part]]&lt;&gt;""),TblImps[[#This Row],[Amount]]) + IF(AND(TblImps[[#This Row],[Resource 2]]=AO$2,TblImps[[#This Row],[Part 2]]&lt;&gt;""),TblImps[[#This Row],[Amount 2]]) + IF(AND(TblImps[[#This Row],[Resource 3]]=AO$2,TblImps[[#This Row],[Part 3]]&lt;&gt;""),TblImps[[#This Row],[Amount 3]])</f>
        <v>0</v>
      </c>
      <c r="AP87" s="57">
        <f>IF(AND(TblImps[[#This Row],[Resource]]=AP$2,TblImps[[#This Row],[Part]]&lt;&gt;""),TblImps[[#This Row],[Amount]]) + IF(AND(TblImps[[#This Row],[Resource 2]]=AP$2,TblImps[[#This Row],[Part 2]]&lt;&gt;""),TblImps[[#This Row],[Amount 2]]) + IF(AND(TblImps[[#This Row],[Resource 3]]=AP$2,TblImps[[#This Row],[Part 3]]&lt;&gt;""),TblImps[[#This Row],[Amount 3]])</f>
        <v>0</v>
      </c>
      <c r="AQ87" s="142"/>
      <c r="AR8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7" s="142"/>
      <c r="AW8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7" s="142"/>
      <c r="BB8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7" s="142"/>
      <c r="BG8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7" s="142"/>
      <c r="BL8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7" s="142"/>
      <c r="BQ8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7" s="142"/>
      <c r="BV8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7" s="61">
        <f>TblImps[[#This Row],[Login]]</f>
        <v>0</v>
      </c>
      <c r="BX87" s="137"/>
      <c r="BY87" s="293">
        <f ca="1">OFFSET(TblImps[[#This Row],[Real time]],-1,0)+1/24</f>
        <v>46050.458333333132</v>
      </c>
      <c r="BZ87" s="294">
        <f ca="1">OFFSET(TblImps[[#This Row],[Servertime]],-1,0)+1/24</f>
        <v>46050.458333333132</v>
      </c>
      <c r="CA87" s="57"/>
      <c r="CB87" s="292"/>
      <c r="CC87" s="292"/>
    </row>
    <row r="88" spans="1:84" x14ac:dyDescent="0.2">
      <c r="A88" s="214">
        <f ca="1">TblConstr[[#This Row],[Land]]</f>
        <v>110</v>
      </c>
      <c r="B88" s="142"/>
      <c r="C88" s="94">
        <f ca="1">TblProd[[#This Row],[Platinum]]</f>
        <v>183512</v>
      </c>
      <c r="D88" s="94">
        <f ca="1">TblProd[[#This Row],[Lumber]]</f>
        <v>63457</v>
      </c>
      <c r="E88" s="94">
        <f ca="1">TblProd[[#This Row],[Ore]]</f>
        <v>0</v>
      </c>
      <c r="F88" s="94">
        <f ca="1">TblProd[[#This Row],[Gems]]</f>
        <v>0</v>
      </c>
      <c r="G88" s="154"/>
      <c r="H88" s="94">
        <f ca="1">TblMili[[#This Row],[Draftees]]</f>
        <v>645</v>
      </c>
      <c r="I88" s="180">
        <f ca="1">TblPop[[#This Row],[Employment]]</f>
        <v>1</v>
      </c>
      <c r="J88" s="180">
        <f ca="1">TblPop[[#This Row],[Total]]/TblPop[[#This Row],[Net max]]</f>
        <v>1</v>
      </c>
      <c r="K88" s="283">
        <f>TblRezone[[#This Row],[Hour]]</f>
        <v>85</v>
      </c>
      <c r="L88" s="284">
        <f ca="1">TblImps[[#This Row],[Real time]]</f>
        <v>46050.499999999796</v>
      </c>
      <c r="M88" s="61">
        <f>IF(ISERROR(TblImps[[#This Row],[algorithm]]),0,TblImps[[#This Row],[algorithm]]*1)</f>
        <v>0</v>
      </c>
      <c r="N88" s="94">
        <f ca="1">TblImps[[#This Row],[Land]]</f>
        <v>110</v>
      </c>
      <c r="O88" s="285" t="s">
        <v>4</v>
      </c>
      <c r="P88" s="286"/>
      <c r="Q88" s="285" t="s">
        <v>210</v>
      </c>
      <c r="R88" s="285" t="s">
        <v>7</v>
      </c>
      <c r="S88" s="286"/>
      <c r="T88" s="285" t="s">
        <v>210</v>
      </c>
      <c r="U88" s="285" t="s">
        <v>3</v>
      </c>
      <c r="V88" s="286"/>
      <c r="W88" s="285" t="s">
        <v>210</v>
      </c>
      <c r="X88" s="142"/>
      <c r="Y88" s="287">
        <f ca="1">science_cap*(1-EXP(-TblImps[[#This Row],[Σ Science]]/(science_param*(OFFSET(TblImps[[#This Row],[Land]],1,0)-OFFSET(TblExplore[[#This Row],[Land Bonus]],1,0)*20)+15000)))*(1+(mason_bonus*TblConstr[[#This Row],[Tot Mas]]/TblConstr[[#This Row],[Land (2)]]))</f>
        <v>0</v>
      </c>
      <c r="Z88" s="287">
        <f ca="1">keep_cap*(1-EXP(-TblImps[[#This Row],[Σ Keep]]/(keep_param*(OFFSET(TblImps[[#This Row],[Land]],1,0)-OFFSET(TblExplore[[#This Row],[Land Bonus]],1,0)*20)+15000)))*(1+(mason_bonus*TblConstr[[#This Row],[Tot Mas]]/TblConstr[[#This Row],[Land (2)]]))</f>
        <v>0</v>
      </c>
      <c r="AA88" s="287">
        <f ca="1">harbor_towers_cap*(1-EXP(-TblImps[[#This Row],[Σ Spires]]/(towers_param*(OFFSET(TblImps[[#This Row],[Land]],1,0)-OFFSET(TblExplore[[#This Row],[Land Bonus]],1,0)*20)+15000)))*(1+(mason_bonus*TblConstr[[#This Row],[Tot Mas]]/TblConstr[[#This Row],[Land (2)]]))</f>
        <v>0</v>
      </c>
      <c r="AB88" s="287">
        <f ca="1">walls_forges_cap*(1-EXP(-TblImps[[#This Row],[Σ Forges]]/(walls_forges_param*(OFFSET(TblImps[[#This Row],[Land]],1,0)-OFFSET(TblExplore[[#This Row],[Land Bonus]],1,0)*20)+15000)))*(1+(mason_bonus*TblConstr[[#This Row],[Tot Mas]]/TblConstr[[#This Row],[Land (2)]]))</f>
        <v>0</v>
      </c>
      <c r="AC88" s="287">
        <f ca="1">walls_forges_cap*(1-EXP(-TblImps[[#This Row],[Σ Walls]]/(walls_forges_param*(OFFSET(TblImps[[#This Row],[Land]],1,0)-OFFSET(TblExplore[[#This Row],[Land Bonus]],1,0)*20)+15000)))*(1+(mason_bonus*TblConstr[[#This Row],[Tot Mas]]/TblConstr[[#This Row],[Land (2)]]))</f>
        <v>0</v>
      </c>
      <c r="AD88" s="287">
        <f ca="1">harbor_towers_cap*(1-EXP(-TblImps[[#This Row],[Σ Harbor]]/(harbor_towers_param*(OFFSET(TblImps[[#This Row],[Land]],1,0)-OFFSET(TblExplore[[#This Row],[Land Bonus]],1,0)*20)+15000)))*(1+(mason_bonus*TblConstr[[#This Row],[Tot Mas]]/TblConstr[[#This Row],[Land (2)]]))</f>
        <v>0</v>
      </c>
      <c r="AE88" s="142"/>
      <c r="AF88" s="61">
        <f ca="1">(1+Overview!$I$29)*SUM(TblImps[[#This Row],[P2]:[G2]])+OFFSET(TblImps[[#This Row],[Σ Science]],-1,0)</f>
        <v>0</v>
      </c>
      <c r="AG88" s="61">
        <f ca="1">(1+Overview!$I$29)*SUM(TblImps[[#This Row],[P3]:[G3]])+OFFSET(TblImps[[#This Row],[Σ Keep]],-1,0)</f>
        <v>0</v>
      </c>
      <c r="AH88" s="61">
        <f ca="1">(1+Overview!$I$29 + tech_7_1*TblTech[[#This Row],[7-1]])*SUM(TblImps[[#This Row],[P4]:[G4]])+OFFSET(TblImps[[#This Row],[Σ Spires]],-1,0)</f>
        <v>0</v>
      </c>
      <c r="AI88" s="61">
        <f ca="1">(1+Overview!$I$29)*SUM(TblImps[[#This Row],[P5]:[G5]])+OFFSET(TblImps[[#This Row],[Σ Forges]],-1,0)</f>
        <v>0</v>
      </c>
      <c r="AJ88" s="61">
        <f ca="1">(1+Overview!$I$29)*SUM(TblImps[[#This Row],[P6]:[G6]])+OFFSET(TblImps[[#This Row],[Σ Walls]],-1,0)</f>
        <v>0</v>
      </c>
      <c r="AK88" s="61">
        <f ca="1">(1+Overview!$I$29 + tech_7_1*TblTech[[#This Row],[7-1]])*SUM(TblImps[[#This Row],[P7]:[G7]])+OFFSET(TblImps[[#This Row],[Σ Harbor]],-1,0)</f>
        <v>0</v>
      </c>
      <c r="AL88" s="142"/>
      <c r="AM88" s="57">
        <f>IF(AND(TblImps[[#This Row],[Resource]]=AM$2,TblImps[[#This Row],[Part]]&lt;&gt;""),TblImps[[#This Row],[Amount]]) + IF(AND(TblImps[[#This Row],[Resource 2]]=AM$2,TblImps[[#This Row],[Part 2]]&lt;&gt;""),TblImps[[#This Row],[Amount 2]]) + IF(AND(TblImps[[#This Row],[Resource 3]]=AM$2,TblImps[[#This Row],[Part 3]]&lt;&gt;""),TblImps[[#This Row],[Amount 3]])</f>
        <v>0</v>
      </c>
      <c r="AN88" s="57">
        <f>IF(AND(TblImps[[#This Row],[Resource]]=AN$2,TblImps[[#This Row],[Part]]&lt;&gt;""),TblImps[[#This Row],[Amount]]) + IF(AND(TblImps[[#This Row],[Resource 2]]=AN$2,TblImps[[#This Row],[Part 2]]&lt;&gt;""),TblImps[[#This Row],[Amount 2]]) + IF(AND(TblImps[[#This Row],[Resource 3]]=AN$2,TblImps[[#This Row],[Part 3]]&lt;&gt;""),TblImps[[#This Row],[Amount 3]])</f>
        <v>0</v>
      </c>
      <c r="AO88" s="57">
        <f>IF(AND(TblImps[[#This Row],[Resource]]=AO$2,TblImps[[#This Row],[Part]]&lt;&gt;""),TblImps[[#This Row],[Amount]]) + IF(AND(TblImps[[#This Row],[Resource 2]]=AO$2,TblImps[[#This Row],[Part 2]]&lt;&gt;""),TblImps[[#This Row],[Amount 2]]) + IF(AND(TblImps[[#This Row],[Resource 3]]=AO$2,TblImps[[#This Row],[Part 3]]&lt;&gt;""),TblImps[[#This Row],[Amount 3]])</f>
        <v>0</v>
      </c>
      <c r="AP88" s="57">
        <f>IF(AND(TblImps[[#This Row],[Resource]]=AP$2,TblImps[[#This Row],[Part]]&lt;&gt;""),TblImps[[#This Row],[Amount]]) + IF(AND(TblImps[[#This Row],[Resource 2]]=AP$2,TblImps[[#This Row],[Part 2]]&lt;&gt;""),TblImps[[#This Row],[Amount 2]]) + IF(AND(TblImps[[#This Row],[Resource 3]]=AP$2,TblImps[[#This Row],[Part 3]]&lt;&gt;""),TblImps[[#This Row],[Amount 3]])</f>
        <v>0</v>
      </c>
      <c r="AQ88" s="142"/>
      <c r="AR8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8" s="142"/>
      <c r="AW8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8" s="142"/>
      <c r="BB8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8" s="142"/>
      <c r="BG8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8" s="142"/>
      <c r="BL8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8" s="142"/>
      <c r="BQ8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8" s="142"/>
      <c r="BV8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8" s="61">
        <f>TblImps[[#This Row],[Login]]</f>
        <v>0</v>
      </c>
      <c r="BX88" s="137"/>
      <c r="BY88" s="293">
        <f ca="1">OFFSET(TblImps[[#This Row],[Real time]],-1,0)+1/24</f>
        <v>46050.499999999796</v>
      </c>
      <c r="BZ88" s="294">
        <f ca="1">OFFSET(TblImps[[#This Row],[Servertime]],-1,0)+1/24</f>
        <v>46050.499999999796</v>
      </c>
      <c r="CA88" s="57"/>
      <c r="CB88" s="292"/>
      <c r="CC88" s="292"/>
    </row>
    <row r="89" spans="1:84" x14ac:dyDescent="0.2">
      <c r="A89" s="214">
        <f ca="1">TblConstr[[#This Row],[Land]]</f>
        <v>110</v>
      </c>
      <c r="B89" s="142"/>
      <c r="C89" s="94">
        <f ca="1">TblProd[[#This Row],[Platinum]]</f>
        <v>184675</v>
      </c>
      <c r="D89" s="94">
        <f ca="1">TblProd[[#This Row],[Lumber]]</f>
        <v>63822</v>
      </c>
      <c r="E89" s="94">
        <f ca="1">TblProd[[#This Row],[Ore]]</f>
        <v>0</v>
      </c>
      <c r="F89" s="94">
        <f ca="1">TblProd[[#This Row],[Gems]]</f>
        <v>0</v>
      </c>
      <c r="G89" s="154"/>
      <c r="H89" s="94">
        <f ca="1">TblMili[[#This Row],[Draftees]]</f>
        <v>649</v>
      </c>
      <c r="I89" s="180">
        <f ca="1">TblPop[[#This Row],[Employment]]</f>
        <v>1</v>
      </c>
      <c r="J89" s="180">
        <f ca="1">TblPop[[#This Row],[Total]]/TblPop[[#This Row],[Net max]]</f>
        <v>1</v>
      </c>
      <c r="K89" s="283">
        <f>TblRezone[[#This Row],[Hour]]</f>
        <v>86</v>
      </c>
      <c r="L89" s="284">
        <f ca="1">TblImps[[#This Row],[Real time]]</f>
        <v>46050.541666666461</v>
      </c>
      <c r="M89" s="61">
        <f>IF(ISERROR(TblImps[[#This Row],[algorithm]]),0,TblImps[[#This Row],[algorithm]]*1)</f>
        <v>0</v>
      </c>
      <c r="N89" s="94">
        <f ca="1">TblImps[[#This Row],[Land]]</f>
        <v>110</v>
      </c>
      <c r="O89" s="285" t="s">
        <v>4</v>
      </c>
      <c r="P89" s="286"/>
      <c r="Q89" s="285" t="s">
        <v>210</v>
      </c>
      <c r="R89" s="285" t="s">
        <v>7</v>
      </c>
      <c r="S89" s="286"/>
      <c r="T89" s="285" t="s">
        <v>210</v>
      </c>
      <c r="U89" s="285" t="s">
        <v>3</v>
      </c>
      <c r="V89" s="286"/>
      <c r="W89" s="285" t="s">
        <v>210</v>
      </c>
      <c r="X89" s="142"/>
      <c r="Y89" s="287">
        <f ca="1">science_cap*(1-EXP(-TblImps[[#This Row],[Σ Science]]/(science_param*(OFFSET(TblImps[[#This Row],[Land]],1,0)-OFFSET(TblExplore[[#This Row],[Land Bonus]],1,0)*20)+15000)))*(1+(mason_bonus*TblConstr[[#This Row],[Tot Mas]]/TblConstr[[#This Row],[Land (2)]]))</f>
        <v>0</v>
      </c>
      <c r="Z89" s="287">
        <f ca="1">keep_cap*(1-EXP(-TblImps[[#This Row],[Σ Keep]]/(keep_param*(OFFSET(TblImps[[#This Row],[Land]],1,0)-OFFSET(TblExplore[[#This Row],[Land Bonus]],1,0)*20)+15000)))*(1+(mason_bonus*TblConstr[[#This Row],[Tot Mas]]/TblConstr[[#This Row],[Land (2)]]))</f>
        <v>0</v>
      </c>
      <c r="AA89" s="287">
        <f ca="1">harbor_towers_cap*(1-EXP(-TblImps[[#This Row],[Σ Spires]]/(towers_param*(OFFSET(TblImps[[#This Row],[Land]],1,0)-OFFSET(TblExplore[[#This Row],[Land Bonus]],1,0)*20)+15000)))*(1+(mason_bonus*TblConstr[[#This Row],[Tot Mas]]/TblConstr[[#This Row],[Land (2)]]))</f>
        <v>0</v>
      </c>
      <c r="AB89" s="287">
        <f ca="1">walls_forges_cap*(1-EXP(-TblImps[[#This Row],[Σ Forges]]/(walls_forges_param*(OFFSET(TblImps[[#This Row],[Land]],1,0)-OFFSET(TblExplore[[#This Row],[Land Bonus]],1,0)*20)+15000)))*(1+(mason_bonus*TblConstr[[#This Row],[Tot Mas]]/TblConstr[[#This Row],[Land (2)]]))</f>
        <v>0</v>
      </c>
      <c r="AC89" s="287">
        <f ca="1">walls_forges_cap*(1-EXP(-TblImps[[#This Row],[Σ Walls]]/(walls_forges_param*(OFFSET(TblImps[[#This Row],[Land]],1,0)-OFFSET(TblExplore[[#This Row],[Land Bonus]],1,0)*20)+15000)))*(1+(mason_bonus*TblConstr[[#This Row],[Tot Mas]]/TblConstr[[#This Row],[Land (2)]]))</f>
        <v>0</v>
      </c>
      <c r="AD89" s="287">
        <f ca="1">harbor_towers_cap*(1-EXP(-TblImps[[#This Row],[Σ Harbor]]/(harbor_towers_param*(OFFSET(TblImps[[#This Row],[Land]],1,0)-OFFSET(TblExplore[[#This Row],[Land Bonus]],1,0)*20)+15000)))*(1+(mason_bonus*TblConstr[[#This Row],[Tot Mas]]/TblConstr[[#This Row],[Land (2)]]))</f>
        <v>0</v>
      </c>
      <c r="AE89" s="142"/>
      <c r="AF89" s="61">
        <f ca="1">(1+Overview!$I$29)*SUM(TblImps[[#This Row],[P2]:[G2]])+OFFSET(TblImps[[#This Row],[Σ Science]],-1,0)</f>
        <v>0</v>
      </c>
      <c r="AG89" s="61">
        <f ca="1">(1+Overview!$I$29)*SUM(TblImps[[#This Row],[P3]:[G3]])+OFFSET(TblImps[[#This Row],[Σ Keep]],-1,0)</f>
        <v>0</v>
      </c>
      <c r="AH89" s="61">
        <f ca="1">(1+Overview!$I$29 + tech_7_1*TblTech[[#This Row],[7-1]])*SUM(TblImps[[#This Row],[P4]:[G4]])+OFFSET(TblImps[[#This Row],[Σ Spires]],-1,0)</f>
        <v>0</v>
      </c>
      <c r="AI89" s="61">
        <f ca="1">(1+Overview!$I$29)*SUM(TblImps[[#This Row],[P5]:[G5]])+OFFSET(TblImps[[#This Row],[Σ Forges]],-1,0)</f>
        <v>0</v>
      </c>
      <c r="AJ89" s="61">
        <f ca="1">(1+Overview!$I$29)*SUM(TblImps[[#This Row],[P6]:[G6]])+OFFSET(TblImps[[#This Row],[Σ Walls]],-1,0)</f>
        <v>0</v>
      </c>
      <c r="AK89" s="61">
        <f ca="1">(1+Overview!$I$29 + tech_7_1*TblTech[[#This Row],[7-1]])*SUM(TblImps[[#This Row],[P7]:[G7]])+OFFSET(TblImps[[#This Row],[Σ Harbor]],-1,0)</f>
        <v>0</v>
      </c>
      <c r="AL89" s="142"/>
      <c r="AM89" s="57">
        <f>IF(AND(TblImps[[#This Row],[Resource]]=AM$2,TblImps[[#This Row],[Part]]&lt;&gt;""),TblImps[[#This Row],[Amount]]) + IF(AND(TblImps[[#This Row],[Resource 2]]=AM$2,TblImps[[#This Row],[Part 2]]&lt;&gt;""),TblImps[[#This Row],[Amount 2]]) + IF(AND(TblImps[[#This Row],[Resource 3]]=AM$2,TblImps[[#This Row],[Part 3]]&lt;&gt;""),TblImps[[#This Row],[Amount 3]])</f>
        <v>0</v>
      </c>
      <c r="AN89" s="57">
        <f>IF(AND(TblImps[[#This Row],[Resource]]=AN$2,TblImps[[#This Row],[Part]]&lt;&gt;""),TblImps[[#This Row],[Amount]]) + IF(AND(TblImps[[#This Row],[Resource 2]]=AN$2,TblImps[[#This Row],[Part 2]]&lt;&gt;""),TblImps[[#This Row],[Amount 2]]) + IF(AND(TblImps[[#This Row],[Resource 3]]=AN$2,TblImps[[#This Row],[Part 3]]&lt;&gt;""),TblImps[[#This Row],[Amount 3]])</f>
        <v>0</v>
      </c>
      <c r="AO89" s="57">
        <f>IF(AND(TblImps[[#This Row],[Resource]]=AO$2,TblImps[[#This Row],[Part]]&lt;&gt;""),TblImps[[#This Row],[Amount]]) + IF(AND(TblImps[[#This Row],[Resource 2]]=AO$2,TblImps[[#This Row],[Part 2]]&lt;&gt;""),TblImps[[#This Row],[Amount 2]]) + IF(AND(TblImps[[#This Row],[Resource 3]]=AO$2,TblImps[[#This Row],[Part 3]]&lt;&gt;""),TblImps[[#This Row],[Amount 3]])</f>
        <v>0</v>
      </c>
      <c r="AP89" s="57">
        <f>IF(AND(TblImps[[#This Row],[Resource]]=AP$2,TblImps[[#This Row],[Part]]&lt;&gt;""),TblImps[[#This Row],[Amount]]) + IF(AND(TblImps[[#This Row],[Resource 2]]=AP$2,TblImps[[#This Row],[Part 2]]&lt;&gt;""),TblImps[[#This Row],[Amount 2]]) + IF(AND(TblImps[[#This Row],[Resource 3]]=AP$2,TblImps[[#This Row],[Part 3]]&lt;&gt;""),TblImps[[#This Row],[Amount 3]])</f>
        <v>0</v>
      </c>
      <c r="AQ89" s="142"/>
      <c r="AR8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8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8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8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89" s="142"/>
      <c r="AW8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8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8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8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89" s="142"/>
      <c r="BB8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8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8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8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89" s="142"/>
      <c r="BG8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8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8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8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89" s="142"/>
      <c r="BL8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8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8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8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89" s="142"/>
      <c r="BQ8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8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8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8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89" s="142"/>
      <c r="BV8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89" s="61">
        <f>TblImps[[#This Row],[Login]]</f>
        <v>0</v>
      </c>
      <c r="BX89" s="137"/>
      <c r="BY89" s="293">
        <f ca="1">OFFSET(TblImps[[#This Row],[Real time]],-1,0)+1/24</f>
        <v>46050.541666666461</v>
      </c>
      <c r="BZ89" s="294">
        <f ca="1">OFFSET(TblImps[[#This Row],[Servertime]],-1,0)+1/24</f>
        <v>46050.541666666461</v>
      </c>
      <c r="CA89" s="57"/>
      <c r="CB89" s="292"/>
      <c r="CC89" s="292"/>
      <c r="CD89" s="159"/>
    </row>
    <row r="90" spans="1:84" x14ac:dyDescent="0.2">
      <c r="A90" s="214">
        <f ca="1">TblConstr[[#This Row],[Land]]</f>
        <v>110</v>
      </c>
      <c r="B90" s="142"/>
      <c r="C90" s="94">
        <f ca="1">TblProd[[#This Row],[Platinum]]</f>
        <v>185827</v>
      </c>
      <c r="D90" s="94">
        <f ca="1">TblProd[[#This Row],[Lumber]]</f>
        <v>64184</v>
      </c>
      <c r="E90" s="94">
        <f ca="1">TblProd[[#This Row],[Ore]]</f>
        <v>0</v>
      </c>
      <c r="F90" s="94">
        <f ca="1">TblProd[[#This Row],[Gems]]</f>
        <v>0</v>
      </c>
      <c r="G90" s="154"/>
      <c r="H90" s="94">
        <f ca="1">TblMili[[#This Row],[Draftees]]</f>
        <v>653</v>
      </c>
      <c r="I90" s="180">
        <f ca="1">TblPop[[#This Row],[Employment]]</f>
        <v>1</v>
      </c>
      <c r="J90" s="180">
        <f ca="1">TblPop[[#This Row],[Total]]/TblPop[[#This Row],[Net max]]</f>
        <v>1</v>
      </c>
      <c r="K90" s="283">
        <f>TblRezone[[#This Row],[Hour]]</f>
        <v>87</v>
      </c>
      <c r="L90" s="284">
        <f ca="1">TblImps[[#This Row],[Real time]]</f>
        <v>46050.583333333125</v>
      </c>
      <c r="M90" s="61">
        <f>IF(ISERROR(TblImps[[#This Row],[algorithm]]),0,TblImps[[#This Row],[algorithm]]*1)</f>
        <v>0</v>
      </c>
      <c r="N90" s="94">
        <f ca="1">TblImps[[#This Row],[Land]]</f>
        <v>110</v>
      </c>
      <c r="O90" s="285" t="s">
        <v>4</v>
      </c>
      <c r="P90" s="286"/>
      <c r="Q90" s="285" t="s">
        <v>210</v>
      </c>
      <c r="R90" s="285" t="s">
        <v>7</v>
      </c>
      <c r="S90" s="286"/>
      <c r="T90" s="285" t="s">
        <v>210</v>
      </c>
      <c r="U90" s="285" t="s">
        <v>3</v>
      </c>
      <c r="V90" s="286"/>
      <c r="W90" s="285" t="s">
        <v>210</v>
      </c>
      <c r="X90" s="142"/>
      <c r="Y90" s="287">
        <f ca="1">science_cap*(1-EXP(-TblImps[[#This Row],[Σ Science]]/(science_param*(OFFSET(TblImps[[#This Row],[Land]],1,0)-OFFSET(TblExplore[[#This Row],[Land Bonus]],1,0)*20)+15000)))*(1+(mason_bonus*TblConstr[[#This Row],[Tot Mas]]/TblConstr[[#This Row],[Land (2)]]))</f>
        <v>0</v>
      </c>
      <c r="Z90" s="287">
        <f ca="1">keep_cap*(1-EXP(-TblImps[[#This Row],[Σ Keep]]/(keep_param*(OFFSET(TblImps[[#This Row],[Land]],1,0)-OFFSET(TblExplore[[#This Row],[Land Bonus]],1,0)*20)+15000)))*(1+(mason_bonus*TblConstr[[#This Row],[Tot Mas]]/TblConstr[[#This Row],[Land (2)]]))</f>
        <v>0</v>
      </c>
      <c r="AA90" s="287">
        <f ca="1">harbor_towers_cap*(1-EXP(-TblImps[[#This Row],[Σ Spires]]/(towers_param*(OFFSET(TblImps[[#This Row],[Land]],1,0)-OFFSET(TblExplore[[#This Row],[Land Bonus]],1,0)*20)+15000)))*(1+(mason_bonus*TblConstr[[#This Row],[Tot Mas]]/TblConstr[[#This Row],[Land (2)]]))</f>
        <v>0</v>
      </c>
      <c r="AB90" s="287">
        <f ca="1">walls_forges_cap*(1-EXP(-TblImps[[#This Row],[Σ Forges]]/(walls_forges_param*(OFFSET(TblImps[[#This Row],[Land]],1,0)-OFFSET(TblExplore[[#This Row],[Land Bonus]],1,0)*20)+15000)))*(1+(mason_bonus*TblConstr[[#This Row],[Tot Mas]]/TblConstr[[#This Row],[Land (2)]]))</f>
        <v>0</v>
      </c>
      <c r="AC90" s="287">
        <f ca="1">walls_forges_cap*(1-EXP(-TblImps[[#This Row],[Σ Walls]]/(walls_forges_param*(OFFSET(TblImps[[#This Row],[Land]],1,0)-OFFSET(TblExplore[[#This Row],[Land Bonus]],1,0)*20)+15000)))*(1+(mason_bonus*TblConstr[[#This Row],[Tot Mas]]/TblConstr[[#This Row],[Land (2)]]))</f>
        <v>0</v>
      </c>
      <c r="AD90" s="287">
        <f ca="1">harbor_towers_cap*(1-EXP(-TblImps[[#This Row],[Σ Harbor]]/(harbor_towers_param*(OFFSET(TblImps[[#This Row],[Land]],1,0)-OFFSET(TblExplore[[#This Row],[Land Bonus]],1,0)*20)+15000)))*(1+(mason_bonus*TblConstr[[#This Row],[Tot Mas]]/TblConstr[[#This Row],[Land (2)]]))</f>
        <v>0</v>
      </c>
      <c r="AE90" s="142"/>
      <c r="AF90" s="61">
        <f ca="1">(1+Overview!$I$29)*SUM(TblImps[[#This Row],[P2]:[G2]])+OFFSET(TblImps[[#This Row],[Σ Science]],-1,0)</f>
        <v>0</v>
      </c>
      <c r="AG90" s="61">
        <f ca="1">(1+Overview!$I$29)*SUM(TblImps[[#This Row],[P3]:[G3]])+OFFSET(TblImps[[#This Row],[Σ Keep]],-1,0)</f>
        <v>0</v>
      </c>
      <c r="AH90" s="61">
        <f ca="1">(1+Overview!$I$29 + tech_7_1*TblTech[[#This Row],[7-1]])*SUM(TblImps[[#This Row],[P4]:[G4]])+OFFSET(TblImps[[#This Row],[Σ Spires]],-1,0)</f>
        <v>0</v>
      </c>
      <c r="AI90" s="61">
        <f ca="1">(1+Overview!$I$29)*SUM(TblImps[[#This Row],[P5]:[G5]])+OFFSET(TblImps[[#This Row],[Σ Forges]],-1,0)</f>
        <v>0</v>
      </c>
      <c r="AJ90" s="61">
        <f ca="1">(1+Overview!$I$29)*SUM(TblImps[[#This Row],[P6]:[G6]])+OFFSET(TblImps[[#This Row],[Σ Walls]],-1,0)</f>
        <v>0</v>
      </c>
      <c r="AK90" s="61">
        <f ca="1">(1+Overview!$I$29 + tech_7_1*TblTech[[#This Row],[7-1]])*SUM(TblImps[[#This Row],[P7]:[G7]])+OFFSET(TblImps[[#This Row],[Σ Harbor]],-1,0)</f>
        <v>0</v>
      </c>
      <c r="AL90" s="142"/>
      <c r="AM90" s="57">
        <f>IF(AND(TblImps[[#This Row],[Resource]]=AM$2,TblImps[[#This Row],[Part]]&lt;&gt;""),TblImps[[#This Row],[Amount]]) + IF(AND(TblImps[[#This Row],[Resource 2]]=AM$2,TblImps[[#This Row],[Part 2]]&lt;&gt;""),TblImps[[#This Row],[Amount 2]]) + IF(AND(TblImps[[#This Row],[Resource 3]]=AM$2,TblImps[[#This Row],[Part 3]]&lt;&gt;""),TblImps[[#This Row],[Amount 3]])</f>
        <v>0</v>
      </c>
      <c r="AN90" s="57">
        <f>IF(AND(TblImps[[#This Row],[Resource]]=AN$2,TblImps[[#This Row],[Part]]&lt;&gt;""),TblImps[[#This Row],[Amount]]) + IF(AND(TblImps[[#This Row],[Resource 2]]=AN$2,TblImps[[#This Row],[Part 2]]&lt;&gt;""),TblImps[[#This Row],[Amount 2]]) + IF(AND(TblImps[[#This Row],[Resource 3]]=AN$2,TblImps[[#This Row],[Part 3]]&lt;&gt;""),TblImps[[#This Row],[Amount 3]])</f>
        <v>0</v>
      </c>
      <c r="AO90" s="57">
        <f>IF(AND(TblImps[[#This Row],[Resource]]=AO$2,TblImps[[#This Row],[Part]]&lt;&gt;""),TblImps[[#This Row],[Amount]]) + IF(AND(TblImps[[#This Row],[Resource 2]]=AO$2,TblImps[[#This Row],[Part 2]]&lt;&gt;""),TblImps[[#This Row],[Amount 2]]) + IF(AND(TblImps[[#This Row],[Resource 3]]=AO$2,TblImps[[#This Row],[Part 3]]&lt;&gt;""),TblImps[[#This Row],[Amount 3]])</f>
        <v>0</v>
      </c>
      <c r="AP90" s="57">
        <f>IF(AND(TblImps[[#This Row],[Resource]]=AP$2,TblImps[[#This Row],[Part]]&lt;&gt;""),TblImps[[#This Row],[Amount]]) + IF(AND(TblImps[[#This Row],[Resource 2]]=AP$2,TblImps[[#This Row],[Part 2]]&lt;&gt;""),TblImps[[#This Row],[Amount 2]]) + IF(AND(TblImps[[#This Row],[Resource 3]]=AP$2,TblImps[[#This Row],[Part 3]]&lt;&gt;""),TblImps[[#This Row],[Amount 3]])</f>
        <v>0</v>
      </c>
      <c r="AQ90" s="142"/>
      <c r="AR9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0" s="142"/>
      <c r="AW9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0" s="142"/>
      <c r="BB9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0" s="142"/>
      <c r="BG9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0" s="142"/>
      <c r="BL9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0" s="142"/>
      <c r="BQ9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0" s="142"/>
      <c r="BV9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0" s="61">
        <f>TblImps[[#This Row],[Login]]</f>
        <v>0</v>
      </c>
      <c r="BX90" s="137"/>
      <c r="BY90" s="293">
        <f ca="1">OFFSET(TblImps[[#This Row],[Real time]],-1,0)+1/24</f>
        <v>46050.583333333125</v>
      </c>
      <c r="BZ90" s="294">
        <f ca="1">OFFSET(TblImps[[#This Row],[Servertime]],-1,0)+1/24</f>
        <v>46050.583333333125</v>
      </c>
      <c r="CA90" s="297"/>
      <c r="CB90" s="292"/>
      <c r="CC90" s="292"/>
      <c r="CF90" s="295"/>
    </row>
    <row r="91" spans="1:84" x14ac:dyDescent="0.2">
      <c r="A91" s="214">
        <f ca="1">TblConstr[[#This Row],[Land]]</f>
        <v>110</v>
      </c>
      <c r="B91" s="142"/>
      <c r="C91" s="94">
        <f ca="1">TblProd[[#This Row],[Platinum]]</f>
        <v>186969</v>
      </c>
      <c r="D91" s="94">
        <f ca="1">TblProd[[#This Row],[Lumber]]</f>
        <v>64542</v>
      </c>
      <c r="E91" s="94">
        <f ca="1">TblProd[[#This Row],[Ore]]</f>
        <v>0</v>
      </c>
      <c r="F91" s="94">
        <f ca="1">TblProd[[#This Row],[Gems]]</f>
        <v>0</v>
      </c>
      <c r="G91" s="154"/>
      <c r="H91" s="94">
        <f ca="1">TblMili[[#This Row],[Draftees]]</f>
        <v>657</v>
      </c>
      <c r="I91" s="180">
        <f ca="1">TblPop[[#This Row],[Employment]]</f>
        <v>1</v>
      </c>
      <c r="J91" s="180">
        <f ca="1">TblPop[[#This Row],[Total]]/TblPop[[#This Row],[Net max]]</f>
        <v>1</v>
      </c>
      <c r="K91" s="283">
        <f>TblRezone[[#This Row],[Hour]]</f>
        <v>88</v>
      </c>
      <c r="L91" s="284">
        <f ca="1">TblImps[[#This Row],[Real time]]</f>
        <v>46050.624999999789</v>
      </c>
      <c r="M91" s="61">
        <f>IF(ISERROR(TblImps[[#This Row],[algorithm]]),0,TblImps[[#This Row],[algorithm]]*1)</f>
        <v>0</v>
      </c>
      <c r="N91" s="94">
        <f ca="1">TblImps[[#This Row],[Land]]</f>
        <v>110</v>
      </c>
      <c r="O91" s="285" t="s">
        <v>4</v>
      </c>
      <c r="P91" s="286"/>
      <c r="Q91" s="285" t="s">
        <v>210</v>
      </c>
      <c r="R91" s="285" t="s">
        <v>7</v>
      </c>
      <c r="S91" s="286"/>
      <c r="T91" s="285" t="s">
        <v>210</v>
      </c>
      <c r="U91" s="285" t="s">
        <v>3</v>
      </c>
      <c r="V91" s="286"/>
      <c r="W91" s="285" t="s">
        <v>210</v>
      </c>
      <c r="X91" s="142"/>
      <c r="Y91" s="287">
        <f ca="1">science_cap*(1-EXP(-TblImps[[#This Row],[Σ Science]]/(science_param*(OFFSET(TblImps[[#This Row],[Land]],1,0)-OFFSET(TblExplore[[#This Row],[Land Bonus]],1,0)*20)+15000)))*(1+(mason_bonus*TblConstr[[#This Row],[Tot Mas]]/TblConstr[[#This Row],[Land (2)]]))</f>
        <v>0</v>
      </c>
      <c r="Z91" s="287">
        <f ca="1">keep_cap*(1-EXP(-TblImps[[#This Row],[Σ Keep]]/(keep_param*(OFFSET(TblImps[[#This Row],[Land]],1,0)-OFFSET(TblExplore[[#This Row],[Land Bonus]],1,0)*20)+15000)))*(1+(mason_bonus*TblConstr[[#This Row],[Tot Mas]]/TblConstr[[#This Row],[Land (2)]]))</f>
        <v>0</v>
      </c>
      <c r="AA91" s="287">
        <f ca="1">harbor_towers_cap*(1-EXP(-TblImps[[#This Row],[Σ Spires]]/(towers_param*(OFFSET(TblImps[[#This Row],[Land]],1,0)-OFFSET(TblExplore[[#This Row],[Land Bonus]],1,0)*20)+15000)))*(1+(mason_bonus*TblConstr[[#This Row],[Tot Mas]]/TblConstr[[#This Row],[Land (2)]]))</f>
        <v>0</v>
      </c>
      <c r="AB91" s="287">
        <f ca="1">walls_forges_cap*(1-EXP(-TblImps[[#This Row],[Σ Forges]]/(walls_forges_param*(OFFSET(TblImps[[#This Row],[Land]],1,0)-OFFSET(TblExplore[[#This Row],[Land Bonus]],1,0)*20)+15000)))*(1+(mason_bonus*TblConstr[[#This Row],[Tot Mas]]/TblConstr[[#This Row],[Land (2)]]))</f>
        <v>0</v>
      </c>
      <c r="AC91" s="287">
        <f ca="1">walls_forges_cap*(1-EXP(-TblImps[[#This Row],[Σ Walls]]/(walls_forges_param*(OFFSET(TblImps[[#This Row],[Land]],1,0)-OFFSET(TblExplore[[#This Row],[Land Bonus]],1,0)*20)+15000)))*(1+(mason_bonus*TblConstr[[#This Row],[Tot Mas]]/TblConstr[[#This Row],[Land (2)]]))</f>
        <v>0</v>
      </c>
      <c r="AD91" s="287">
        <f ca="1">harbor_towers_cap*(1-EXP(-TblImps[[#This Row],[Σ Harbor]]/(harbor_towers_param*(OFFSET(TblImps[[#This Row],[Land]],1,0)-OFFSET(TblExplore[[#This Row],[Land Bonus]],1,0)*20)+15000)))*(1+(mason_bonus*TblConstr[[#This Row],[Tot Mas]]/TblConstr[[#This Row],[Land (2)]]))</f>
        <v>0</v>
      </c>
      <c r="AE91" s="142"/>
      <c r="AF91" s="61">
        <f ca="1">(1+Overview!$I$29)*SUM(TblImps[[#This Row],[P2]:[G2]])+OFFSET(TblImps[[#This Row],[Σ Science]],-1,0)</f>
        <v>0</v>
      </c>
      <c r="AG91" s="61">
        <f ca="1">(1+Overview!$I$29)*SUM(TblImps[[#This Row],[P3]:[G3]])+OFFSET(TblImps[[#This Row],[Σ Keep]],-1,0)</f>
        <v>0</v>
      </c>
      <c r="AH91" s="61">
        <f ca="1">(1+Overview!$I$29 + tech_7_1*TblTech[[#This Row],[7-1]])*SUM(TblImps[[#This Row],[P4]:[G4]])+OFFSET(TblImps[[#This Row],[Σ Spires]],-1,0)</f>
        <v>0</v>
      </c>
      <c r="AI91" s="61">
        <f ca="1">(1+Overview!$I$29)*SUM(TblImps[[#This Row],[P5]:[G5]])+OFFSET(TblImps[[#This Row],[Σ Forges]],-1,0)</f>
        <v>0</v>
      </c>
      <c r="AJ91" s="61">
        <f ca="1">(1+Overview!$I$29)*SUM(TblImps[[#This Row],[P6]:[G6]])+OFFSET(TblImps[[#This Row],[Σ Walls]],-1,0)</f>
        <v>0</v>
      </c>
      <c r="AK91" s="61">
        <f ca="1">(1+Overview!$I$29 + tech_7_1*TblTech[[#This Row],[7-1]])*SUM(TblImps[[#This Row],[P7]:[G7]])+OFFSET(TblImps[[#This Row],[Σ Harbor]],-1,0)</f>
        <v>0</v>
      </c>
      <c r="AL91" s="142"/>
      <c r="AM91" s="57">
        <f>IF(AND(TblImps[[#This Row],[Resource]]=AM$2,TblImps[[#This Row],[Part]]&lt;&gt;""),TblImps[[#This Row],[Amount]]) + IF(AND(TblImps[[#This Row],[Resource 2]]=AM$2,TblImps[[#This Row],[Part 2]]&lt;&gt;""),TblImps[[#This Row],[Amount 2]]) + IF(AND(TblImps[[#This Row],[Resource 3]]=AM$2,TblImps[[#This Row],[Part 3]]&lt;&gt;""),TblImps[[#This Row],[Amount 3]])</f>
        <v>0</v>
      </c>
      <c r="AN91" s="57">
        <f>IF(AND(TblImps[[#This Row],[Resource]]=AN$2,TblImps[[#This Row],[Part]]&lt;&gt;""),TblImps[[#This Row],[Amount]]) + IF(AND(TblImps[[#This Row],[Resource 2]]=AN$2,TblImps[[#This Row],[Part 2]]&lt;&gt;""),TblImps[[#This Row],[Amount 2]]) + IF(AND(TblImps[[#This Row],[Resource 3]]=AN$2,TblImps[[#This Row],[Part 3]]&lt;&gt;""),TblImps[[#This Row],[Amount 3]])</f>
        <v>0</v>
      </c>
      <c r="AO91" s="57">
        <f>IF(AND(TblImps[[#This Row],[Resource]]=AO$2,TblImps[[#This Row],[Part]]&lt;&gt;""),TblImps[[#This Row],[Amount]]) + IF(AND(TblImps[[#This Row],[Resource 2]]=AO$2,TblImps[[#This Row],[Part 2]]&lt;&gt;""),TblImps[[#This Row],[Amount 2]]) + IF(AND(TblImps[[#This Row],[Resource 3]]=AO$2,TblImps[[#This Row],[Part 3]]&lt;&gt;""),TblImps[[#This Row],[Amount 3]])</f>
        <v>0</v>
      </c>
      <c r="AP91" s="57">
        <f>IF(AND(TblImps[[#This Row],[Resource]]=AP$2,TblImps[[#This Row],[Part]]&lt;&gt;""),TblImps[[#This Row],[Amount]]) + IF(AND(TblImps[[#This Row],[Resource 2]]=AP$2,TblImps[[#This Row],[Part 2]]&lt;&gt;""),TblImps[[#This Row],[Amount 2]]) + IF(AND(TblImps[[#This Row],[Resource 3]]=AP$2,TblImps[[#This Row],[Part 3]]&lt;&gt;""),TblImps[[#This Row],[Amount 3]])</f>
        <v>0</v>
      </c>
      <c r="AQ91" s="142"/>
      <c r="AR9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1" s="142"/>
      <c r="AW9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1" s="142"/>
      <c r="BB9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1" s="142"/>
      <c r="BG9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1" s="142"/>
      <c r="BL9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1" s="142"/>
      <c r="BQ9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1" s="142"/>
      <c r="BV9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1" s="61">
        <f>TblImps[[#This Row],[Login]]</f>
        <v>0</v>
      </c>
      <c r="BX91" s="137"/>
      <c r="BY91" s="293">
        <f ca="1">OFFSET(TblImps[[#This Row],[Real time]],-1,0)+1/24</f>
        <v>46050.624999999789</v>
      </c>
      <c r="BZ91" s="294">
        <f ca="1">OFFSET(TblImps[[#This Row],[Servertime]],-1,0)+1/24</f>
        <v>46050.624999999789</v>
      </c>
      <c r="CA91" s="57"/>
      <c r="CB91" s="292"/>
      <c r="CC91" s="292"/>
      <c r="CF91" s="296"/>
    </row>
    <row r="92" spans="1:84" x14ac:dyDescent="0.2">
      <c r="A92" s="214">
        <f ca="1">TblConstr[[#This Row],[Land]]</f>
        <v>110</v>
      </c>
      <c r="B92" s="142"/>
      <c r="C92" s="94">
        <f ca="1">TblProd[[#This Row],[Platinum]]</f>
        <v>188100</v>
      </c>
      <c r="D92" s="94">
        <f ca="1">TblProd[[#This Row],[Lumber]]</f>
        <v>64897</v>
      </c>
      <c r="E92" s="94">
        <f ca="1">TblProd[[#This Row],[Ore]]</f>
        <v>0</v>
      </c>
      <c r="F92" s="94">
        <f ca="1">TblProd[[#This Row],[Gems]]</f>
        <v>0</v>
      </c>
      <c r="G92" s="154"/>
      <c r="H92" s="94">
        <f ca="1">TblMili[[#This Row],[Draftees]]</f>
        <v>661</v>
      </c>
      <c r="I92" s="180">
        <f ca="1">TblPop[[#This Row],[Employment]]</f>
        <v>1</v>
      </c>
      <c r="J92" s="180">
        <f ca="1">TblPop[[#This Row],[Total]]/TblPop[[#This Row],[Net max]]</f>
        <v>1</v>
      </c>
      <c r="K92" s="283">
        <f>TblRezone[[#This Row],[Hour]]</f>
        <v>89</v>
      </c>
      <c r="L92" s="284">
        <f ca="1">TblImps[[#This Row],[Real time]]</f>
        <v>46050.666666666453</v>
      </c>
      <c r="M92" s="61">
        <f>IF(ISERROR(TblImps[[#This Row],[algorithm]]),0,TblImps[[#This Row],[algorithm]]*1)</f>
        <v>0</v>
      </c>
      <c r="N92" s="94">
        <f ca="1">TblImps[[#This Row],[Land]]</f>
        <v>110</v>
      </c>
      <c r="O92" s="285" t="s">
        <v>4</v>
      </c>
      <c r="P92" s="286"/>
      <c r="Q92" s="285" t="s">
        <v>210</v>
      </c>
      <c r="R92" s="285" t="s">
        <v>7</v>
      </c>
      <c r="S92" s="286"/>
      <c r="T92" s="285" t="s">
        <v>210</v>
      </c>
      <c r="U92" s="285" t="s">
        <v>3</v>
      </c>
      <c r="V92" s="286"/>
      <c r="W92" s="285" t="s">
        <v>210</v>
      </c>
      <c r="X92" s="142"/>
      <c r="Y92" s="287">
        <f ca="1">science_cap*(1-EXP(-TblImps[[#This Row],[Σ Science]]/(science_param*(OFFSET(TblImps[[#This Row],[Land]],1,0)-OFFSET(TblExplore[[#This Row],[Land Bonus]],1,0)*20)+15000)))*(1+(mason_bonus*TblConstr[[#This Row],[Tot Mas]]/TblConstr[[#This Row],[Land (2)]]))</f>
        <v>0</v>
      </c>
      <c r="Z92" s="287">
        <f ca="1">keep_cap*(1-EXP(-TblImps[[#This Row],[Σ Keep]]/(keep_param*(OFFSET(TblImps[[#This Row],[Land]],1,0)-OFFSET(TblExplore[[#This Row],[Land Bonus]],1,0)*20)+15000)))*(1+(mason_bonus*TblConstr[[#This Row],[Tot Mas]]/TblConstr[[#This Row],[Land (2)]]))</f>
        <v>0</v>
      </c>
      <c r="AA92" s="287">
        <f ca="1">harbor_towers_cap*(1-EXP(-TblImps[[#This Row],[Σ Spires]]/(towers_param*(OFFSET(TblImps[[#This Row],[Land]],1,0)-OFFSET(TblExplore[[#This Row],[Land Bonus]],1,0)*20)+15000)))*(1+(mason_bonus*TblConstr[[#This Row],[Tot Mas]]/TblConstr[[#This Row],[Land (2)]]))</f>
        <v>0</v>
      </c>
      <c r="AB92" s="287">
        <f ca="1">walls_forges_cap*(1-EXP(-TblImps[[#This Row],[Σ Forges]]/(walls_forges_param*(OFFSET(TblImps[[#This Row],[Land]],1,0)-OFFSET(TblExplore[[#This Row],[Land Bonus]],1,0)*20)+15000)))*(1+(mason_bonus*TblConstr[[#This Row],[Tot Mas]]/TblConstr[[#This Row],[Land (2)]]))</f>
        <v>0</v>
      </c>
      <c r="AC92" s="287">
        <f ca="1">walls_forges_cap*(1-EXP(-TblImps[[#This Row],[Σ Walls]]/(walls_forges_param*(OFFSET(TblImps[[#This Row],[Land]],1,0)-OFFSET(TblExplore[[#This Row],[Land Bonus]],1,0)*20)+15000)))*(1+(mason_bonus*TblConstr[[#This Row],[Tot Mas]]/TblConstr[[#This Row],[Land (2)]]))</f>
        <v>0</v>
      </c>
      <c r="AD92" s="287">
        <f ca="1">harbor_towers_cap*(1-EXP(-TblImps[[#This Row],[Σ Harbor]]/(harbor_towers_param*(OFFSET(TblImps[[#This Row],[Land]],1,0)-OFFSET(TblExplore[[#This Row],[Land Bonus]],1,0)*20)+15000)))*(1+(mason_bonus*TblConstr[[#This Row],[Tot Mas]]/TblConstr[[#This Row],[Land (2)]]))</f>
        <v>0</v>
      </c>
      <c r="AE92" s="142"/>
      <c r="AF92" s="61">
        <f ca="1">(1+Overview!$I$29)*SUM(TblImps[[#This Row],[P2]:[G2]])+OFFSET(TblImps[[#This Row],[Σ Science]],-1,0)</f>
        <v>0</v>
      </c>
      <c r="AG92" s="61">
        <f ca="1">(1+Overview!$I$29)*SUM(TblImps[[#This Row],[P3]:[G3]])+OFFSET(TblImps[[#This Row],[Σ Keep]],-1,0)</f>
        <v>0</v>
      </c>
      <c r="AH92" s="61">
        <f ca="1">(1+Overview!$I$29 + tech_7_1*TblTech[[#This Row],[7-1]])*SUM(TblImps[[#This Row],[P4]:[G4]])+OFFSET(TblImps[[#This Row],[Σ Spires]],-1,0)</f>
        <v>0</v>
      </c>
      <c r="AI92" s="61">
        <f ca="1">(1+Overview!$I$29)*SUM(TblImps[[#This Row],[P5]:[G5]])+OFFSET(TblImps[[#This Row],[Σ Forges]],-1,0)</f>
        <v>0</v>
      </c>
      <c r="AJ92" s="61">
        <f ca="1">(1+Overview!$I$29)*SUM(TblImps[[#This Row],[P6]:[G6]])+OFFSET(TblImps[[#This Row],[Σ Walls]],-1,0)</f>
        <v>0</v>
      </c>
      <c r="AK92" s="61">
        <f ca="1">(1+Overview!$I$29 + tech_7_1*TblTech[[#This Row],[7-1]])*SUM(TblImps[[#This Row],[P7]:[G7]])+OFFSET(TblImps[[#This Row],[Σ Harbor]],-1,0)</f>
        <v>0</v>
      </c>
      <c r="AL92" s="142"/>
      <c r="AM92" s="57">
        <f>IF(AND(TblImps[[#This Row],[Resource]]=AM$2,TblImps[[#This Row],[Part]]&lt;&gt;""),TblImps[[#This Row],[Amount]]) + IF(AND(TblImps[[#This Row],[Resource 2]]=AM$2,TblImps[[#This Row],[Part 2]]&lt;&gt;""),TblImps[[#This Row],[Amount 2]]) + IF(AND(TblImps[[#This Row],[Resource 3]]=AM$2,TblImps[[#This Row],[Part 3]]&lt;&gt;""),TblImps[[#This Row],[Amount 3]])</f>
        <v>0</v>
      </c>
      <c r="AN92" s="57">
        <f>IF(AND(TblImps[[#This Row],[Resource]]=AN$2,TblImps[[#This Row],[Part]]&lt;&gt;""),TblImps[[#This Row],[Amount]]) + IF(AND(TblImps[[#This Row],[Resource 2]]=AN$2,TblImps[[#This Row],[Part 2]]&lt;&gt;""),TblImps[[#This Row],[Amount 2]]) + IF(AND(TblImps[[#This Row],[Resource 3]]=AN$2,TblImps[[#This Row],[Part 3]]&lt;&gt;""),TblImps[[#This Row],[Amount 3]])</f>
        <v>0</v>
      </c>
      <c r="AO92" s="57">
        <f>IF(AND(TblImps[[#This Row],[Resource]]=AO$2,TblImps[[#This Row],[Part]]&lt;&gt;""),TblImps[[#This Row],[Amount]]) + IF(AND(TblImps[[#This Row],[Resource 2]]=AO$2,TblImps[[#This Row],[Part 2]]&lt;&gt;""),TblImps[[#This Row],[Amount 2]]) + IF(AND(TblImps[[#This Row],[Resource 3]]=AO$2,TblImps[[#This Row],[Part 3]]&lt;&gt;""),TblImps[[#This Row],[Amount 3]])</f>
        <v>0</v>
      </c>
      <c r="AP92" s="57">
        <f>IF(AND(TblImps[[#This Row],[Resource]]=AP$2,TblImps[[#This Row],[Part]]&lt;&gt;""),TblImps[[#This Row],[Amount]]) + IF(AND(TblImps[[#This Row],[Resource 2]]=AP$2,TblImps[[#This Row],[Part 2]]&lt;&gt;""),TblImps[[#This Row],[Amount 2]]) + IF(AND(TblImps[[#This Row],[Resource 3]]=AP$2,TblImps[[#This Row],[Part 3]]&lt;&gt;""),TblImps[[#This Row],[Amount 3]])</f>
        <v>0</v>
      </c>
      <c r="AQ92" s="142"/>
      <c r="AR9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2" s="142"/>
      <c r="AW9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2" s="142"/>
      <c r="BB9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2" s="142"/>
      <c r="BG9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2" s="142"/>
      <c r="BL9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2" s="142"/>
      <c r="BQ9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2" s="142"/>
      <c r="BV9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2" s="61">
        <f>TblImps[[#This Row],[Login]]</f>
        <v>0</v>
      </c>
      <c r="BX92" s="137"/>
      <c r="BY92" s="293">
        <f ca="1">OFFSET(TblImps[[#This Row],[Real time]],-1,0)+1/24</f>
        <v>46050.666666666453</v>
      </c>
      <c r="BZ92" s="294">
        <f ca="1">OFFSET(TblImps[[#This Row],[Servertime]],-1,0)+1/24</f>
        <v>46050.666666666453</v>
      </c>
      <c r="CA92" s="57"/>
      <c r="CB92" s="292"/>
      <c r="CC92" s="292"/>
      <c r="CF92" s="295"/>
    </row>
    <row r="93" spans="1:84" x14ac:dyDescent="0.2">
      <c r="A93" s="214">
        <f ca="1">TblConstr[[#This Row],[Land]]</f>
        <v>110</v>
      </c>
      <c r="B93" s="142"/>
      <c r="C93" s="94">
        <f ca="1">TblProd[[#This Row],[Platinum]]</f>
        <v>189220</v>
      </c>
      <c r="D93" s="94">
        <f ca="1">TblProd[[#This Row],[Lumber]]</f>
        <v>65248</v>
      </c>
      <c r="E93" s="94">
        <f ca="1">TblProd[[#This Row],[Ore]]</f>
        <v>0</v>
      </c>
      <c r="F93" s="94">
        <f ca="1">TblProd[[#This Row],[Gems]]</f>
        <v>0</v>
      </c>
      <c r="G93" s="154"/>
      <c r="H93" s="94">
        <f ca="1">TblMili[[#This Row],[Draftees]]</f>
        <v>665</v>
      </c>
      <c r="I93" s="180">
        <f ca="1">TblPop[[#This Row],[Employment]]</f>
        <v>1</v>
      </c>
      <c r="J93" s="180">
        <f ca="1">TblPop[[#This Row],[Total]]/TblPop[[#This Row],[Net max]]</f>
        <v>1</v>
      </c>
      <c r="K93" s="283">
        <f>TblRezone[[#This Row],[Hour]]</f>
        <v>90</v>
      </c>
      <c r="L93" s="284">
        <f ca="1">TblImps[[#This Row],[Real time]]</f>
        <v>46050.708333333117</v>
      </c>
      <c r="M93" s="61">
        <f>IF(ISERROR(TblImps[[#This Row],[algorithm]]),0,TblImps[[#This Row],[algorithm]]*1)</f>
        <v>0</v>
      </c>
      <c r="N93" s="94">
        <f ca="1">TblImps[[#This Row],[Land]]</f>
        <v>110</v>
      </c>
      <c r="O93" s="285" t="s">
        <v>4</v>
      </c>
      <c r="P93" s="286"/>
      <c r="Q93" s="285" t="s">
        <v>210</v>
      </c>
      <c r="R93" s="285" t="s">
        <v>7</v>
      </c>
      <c r="S93" s="286"/>
      <c r="T93" s="285" t="s">
        <v>210</v>
      </c>
      <c r="U93" s="285" t="s">
        <v>3</v>
      </c>
      <c r="V93" s="286"/>
      <c r="W93" s="285" t="s">
        <v>210</v>
      </c>
      <c r="X93" s="142"/>
      <c r="Y93" s="287">
        <f ca="1">science_cap*(1-EXP(-TblImps[[#This Row],[Σ Science]]/(science_param*(OFFSET(TblImps[[#This Row],[Land]],1,0)-OFFSET(TblExplore[[#This Row],[Land Bonus]],1,0)*20)+15000)))*(1+(mason_bonus*TblConstr[[#This Row],[Tot Mas]]/TblConstr[[#This Row],[Land (2)]]))</f>
        <v>0</v>
      </c>
      <c r="Z93" s="287">
        <f ca="1">keep_cap*(1-EXP(-TblImps[[#This Row],[Σ Keep]]/(keep_param*(OFFSET(TblImps[[#This Row],[Land]],1,0)-OFFSET(TblExplore[[#This Row],[Land Bonus]],1,0)*20)+15000)))*(1+(mason_bonus*TblConstr[[#This Row],[Tot Mas]]/TblConstr[[#This Row],[Land (2)]]))</f>
        <v>0</v>
      </c>
      <c r="AA93" s="287">
        <f ca="1">harbor_towers_cap*(1-EXP(-TblImps[[#This Row],[Σ Spires]]/(towers_param*(OFFSET(TblImps[[#This Row],[Land]],1,0)-OFFSET(TblExplore[[#This Row],[Land Bonus]],1,0)*20)+15000)))*(1+(mason_bonus*TblConstr[[#This Row],[Tot Mas]]/TblConstr[[#This Row],[Land (2)]]))</f>
        <v>0</v>
      </c>
      <c r="AB93" s="287">
        <f ca="1">walls_forges_cap*(1-EXP(-TblImps[[#This Row],[Σ Forges]]/(walls_forges_param*(OFFSET(TblImps[[#This Row],[Land]],1,0)-OFFSET(TblExplore[[#This Row],[Land Bonus]],1,0)*20)+15000)))*(1+(mason_bonus*TblConstr[[#This Row],[Tot Mas]]/TblConstr[[#This Row],[Land (2)]]))</f>
        <v>0</v>
      </c>
      <c r="AC93" s="287">
        <f ca="1">walls_forges_cap*(1-EXP(-TblImps[[#This Row],[Σ Walls]]/(walls_forges_param*(OFFSET(TblImps[[#This Row],[Land]],1,0)-OFFSET(TblExplore[[#This Row],[Land Bonus]],1,0)*20)+15000)))*(1+(mason_bonus*TblConstr[[#This Row],[Tot Mas]]/TblConstr[[#This Row],[Land (2)]]))</f>
        <v>0</v>
      </c>
      <c r="AD93" s="287">
        <f ca="1">harbor_towers_cap*(1-EXP(-TblImps[[#This Row],[Σ Harbor]]/(harbor_towers_param*(OFFSET(TblImps[[#This Row],[Land]],1,0)-OFFSET(TblExplore[[#This Row],[Land Bonus]],1,0)*20)+15000)))*(1+(mason_bonus*TblConstr[[#This Row],[Tot Mas]]/TblConstr[[#This Row],[Land (2)]]))</f>
        <v>0</v>
      </c>
      <c r="AE93" s="142"/>
      <c r="AF93" s="61">
        <f ca="1">(1+Overview!$I$29)*SUM(TblImps[[#This Row],[P2]:[G2]])+OFFSET(TblImps[[#This Row],[Σ Science]],-1,0)</f>
        <v>0</v>
      </c>
      <c r="AG93" s="61">
        <f ca="1">(1+Overview!$I$29)*SUM(TblImps[[#This Row],[P3]:[G3]])+OFFSET(TblImps[[#This Row],[Σ Keep]],-1,0)</f>
        <v>0</v>
      </c>
      <c r="AH93" s="61">
        <f ca="1">(1+Overview!$I$29 + tech_7_1*TblTech[[#This Row],[7-1]])*SUM(TblImps[[#This Row],[P4]:[G4]])+OFFSET(TblImps[[#This Row],[Σ Spires]],-1,0)</f>
        <v>0</v>
      </c>
      <c r="AI93" s="61">
        <f ca="1">(1+Overview!$I$29)*SUM(TblImps[[#This Row],[P5]:[G5]])+OFFSET(TblImps[[#This Row],[Σ Forges]],-1,0)</f>
        <v>0</v>
      </c>
      <c r="AJ93" s="61">
        <f ca="1">(1+Overview!$I$29)*SUM(TblImps[[#This Row],[P6]:[G6]])+OFFSET(TblImps[[#This Row],[Σ Walls]],-1,0)</f>
        <v>0</v>
      </c>
      <c r="AK93" s="61">
        <f ca="1">(1+Overview!$I$29 + tech_7_1*TblTech[[#This Row],[7-1]])*SUM(TblImps[[#This Row],[P7]:[G7]])+OFFSET(TblImps[[#This Row],[Σ Harbor]],-1,0)</f>
        <v>0</v>
      </c>
      <c r="AL93" s="142"/>
      <c r="AM93" s="57">
        <f>IF(AND(TblImps[[#This Row],[Resource]]=AM$2,TblImps[[#This Row],[Part]]&lt;&gt;""),TblImps[[#This Row],[Amount]]) + IF(AND(TblImps[[#This Row],[Resource 2]]=AM$2,TblImps[[#This Row],[Part 2]]&lt;&gt;""),TblImps[[#This Row],[Amount 2]]) + IF(AND(TblImps[[#This Row],[Resource 3]]=AM$2,TblImps[[#This Row],[Part 3]]&lt;&gt;""),TblImps[[#This Row],[Amount 3]])</f>
        <v>0</v>
      </c>
      <c r="AN93" s="57">
        <f>IF(AND(TblImps[[#This Row],[Resource]]=AN$2,TblImps[[#This Row],[Part]]&lt;&gt;""),TblImps[[#This Row],[Amount]]) + IF(AND(TblImps[[#This Row],[Resource 2]]=AN$2,TblImps[[#This Row],[Part 2]]&lt;&gt;""),TblImps[[#This Row],[Amount 2]]) + IF(AND(TblImps[[#This Row],[Resource 3]]=AN$2,TblImps[[#This Row],[Part 3]]&lt;&gt;""),TblImps[[#This Row],[Amount 3]])</f>
        <v>0</v>
      </c>
      <c r="AO93" s="57">
        <f>IF(AND(TblImps[[#This Row],[Resource]]=AO$2,TblImps[[#This Row],[Part]]&lt;&gt;""),TblImps[[#This Row],[Amount]]) + IF(AND(TblImps[[#This Row],[Resource 2]]=AO$2,TblImps[[#This Row],[Part 2]]&lt;&gt;""),TblImps[[#This Row],[Amount 2]]) + IF(AND(TblImps[[#This Row],[Resource 3]]=AO$2,TblImps[[#This Row],[Part 3]]&lt;&gt;""),TblImps[[#This Row],[Amount 3]])</f>
        <v>0</v>
      </c>
      <c r="AP93" s="57">
        <f>IF(AND(TblImps[[#This Row],[Resource]]=AP$2,TblImps[[#This Row],[Part]]&lt;&gt;""),TblImps[[#This Row],[Amount]]) + IF(AND(TblImps[[#This Row],[Resource 2]]=AP$2,TblImps[[#This Row],[Part 2]]&lt;&gt;""),TblImps[[#This Row],[Amount 2]]) + IF(AND(TblImps[[#This Row],[Resource 3]]=AP$2,TblImps[[#This Row],[Part 3]]&lt;&gt;""),TblImps[[#This Row],[Amount 3]])</f>
        <v>0</v>
      </c>
      <c r="AQ93" s="142"/>
      <c r="AR9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3" s="142"/>
      <c r="AW9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3" s="142"/>
      <c r="BB9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3" s="142"/>
      <c r="BG9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3" s="142"/>
      <c r="BL9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3" s="142"/>
      <c r="BQ9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3" s="142"/>
      <c r="BV9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3" s="61">
        <f>TblImps[[#This Row],[Login]]</f>
        <v>0</v>
      </c>
      <c r="BX93" s="137"/>
      <c r="BY93" s="293">
        <f ca="1">OFFSET(TblImps[[#This Row],[Real time]],-1,0)+1/24</f>
        <v>46050.708333333117</v>
      </c>
      <c r="BZ93" s="294">
        <f ca="1">OFFSET(TblImps[[#This Row],[Servertime]],-1,0)+1/24</f>
        <v>46050.708333333117</v>
      </c>
      <c r="CA93" s="57"/>
      <c r="CB93" s="292"/>
      <c r="CC93" s="292"/>
      <c r="CF93" s="295"/>
    </row>
    <row r="94" spans="1:84" x14ac:dyDescent="0.2">
      <c r="A94" s="214">
        <f ca="1">TblConstr[[#This Row],[Land]]</f>
        <v>110</v>
      </c>
      <c r="B94" s="142"/>
      <c r="C94" s="94">
        <f ca="1">TblProd[[#This Row],[Platinum]]</f>
        <v>190329</v>
      </c>
      <c r="D94" s="94">
        <f ca="1">TblProd[[#This Row],[Lumber]]</f>
        <v>65596</v>
      </c>
      <c r="E94" s="94">
        <f ca="1">TblProd[[#This Row],[Ore]]</f>
        <v>0</v>
      </c>
      <c r="F94" s="94">
        <f ca="1">TblProd[[#This Row],[Gems]]</f>
        <v>0</v>
      </c>
      <c r="G94" s="154"/>
      <c r="H94" s="94">
        <f ca="1">TblMili[[#This Row],[Draftees]]</f>
        <v>669</v>
      </c>
      <c r="I94" s="180">
        <f ca="1">TblPop[[#This Row],[Employment]]</f>
        <v>1</v>
      </c>
      <c r="J94" s="180">
        <f ca="1">TblPop[[#This Row],[Total]]/TblPop[[#This Row],[Net max]]</f>
        <v>1</v>
      </c>
      <c r="K94" s="283">
        <f>TblRezone[[#This Row],[Hour]]</f>
        <v>91</v>
      </c>
      <c r="L94" s="284">
        <f ca="1">TblImps[[#This Row],[Real time]]</f>
        <v>46050.749999999782</v>
      </c>
      <c r="M94" s="61">
        <f>IF(ISERROR(TblImps[[#This Row],[algorithm]]),0,TblImps[[#This Row],[algorithm]]*1)</f>
        <v>0</v>
      </c>
      <c r="N94" s="94">
        <f ca="1">TblImps[[#This Row],[Land]]</f>
        <v>110</v>
      </c>
      <c r="O94" s="285" t="s">
        <v>4</v>
      </c>
      <c r="P94" s="286"/>
      <c r="Q94" s="285" t="s">
        <v>210</v>
      </c>
      <c r="R94" s="285" t="s">
        <v>7</v>
      </c>
      <c r="S94" s="286"/>
      <c r="T94" s="285" t="s">
        <v>210</v>
      </c>
      <c r="U94" s="285" t="s">
        <v>3</v>
      </c>
      <c r="V94" s="286"/>
      <c r="W94" s="285" t="s">
        <v>210</v>
      </c>
      <c r="X94" s="142"/>
      <c r="Y94" s="287">
        <f ca="1">science_cap*(1-EXP(-TblImps[[#This Row],[Σ Science]]/(science_param*(OFFSET(TblImps[[#This Row],[Land]],1,0)-OFFSET(TblExplore[[#This Row],[Land Bonus]],1,0)*20)+15000)))*(1+(mason_bonus*TblConstr[[#This Row],[Tot Mas]]/TblConstr[[#This Row],[Land (2)]]))</f>
        <v>0</v>
      </c>
      <c r="Z94" s="287">
        <f ca="1">keep_cap*(1-EXP(-TblImps[[#This Row],[Σ Keep]]/(keep_param*(OFFSET(TblImps[[#This Row],[Land]],1,0)-OFFSET(TblExplore[[#This Row],[Land Bonus]],1,0)*20)+15000)))*(1+(mason_bonus*TblConstr[[#This Row],[Tot Mas]]/TblConstr[[#This Row],[Land (2)]]))</f>
        <v>0</v>
      </c>
      <c r="AA94" s="287">
        <f ca="1">harbor_towers_cap*(1-EXP(-TblImps[[#This Row],[Σ Spires]]/(towers_param*(OFFSET(TblImps[[#This Row],[Land]],1,0)-OFFSET(TblExplore[[#This Row],[Land Bonus]],1,0)*20)+15000)))*(1+(mason_bonus*TblConstr[[#This Row],[Tot Mas]]/TblConstr[[#This Row],[Land (2)]]))</f>
        <v>0</v>
      </c>
      <c r="AB94" s="287">
        <f ca="1">walls_forges_cap*(1-EXP(-TblImps[[#This Row],[Σ Forges]]/(walls_forges_param*(OFFSET(TblImps[[#This Row],[Land]],1,0)-OFFSET(TblExplore[[#This Row],[Land Bonus]],1,0)*20)+15000)))*(1+(mason_bonus*TblConstr[[#This Row],[Tot Mas]]/TblConstr[[#This Row],[Land (2)]]))</f>
        <v>0</v>
      </c>
      <c r="AC94" s="287">
        <f ca="1">walls_forges_cap*(1-EXP(-TblImps[[#This Row],[Σ Walls]]/(walls_forges_param*(OFFSET(TblImps[[#This Row],[Land]],1,0)-OFFSET(TblExplore[[#This Row],[Land Bonus]],1,0)*20)+15000)))*(1+(mason_bonus*TblConstr[[#This Row],[Tot Mas]]/TblConstr[[#This Row],[Land (2)]]))</f>
        <v>0</v>
      </c>
      <c r="AD94" s="287">
        <f ca="1">harbor_towers_cap*(1-EXP(-TblImps[[#This Row],[Σ Harbor]]/(harbor_towers_param*(OFFSET(TblImps[[#This Row],[Land]],1,0)-OFFSET(TblExplore[[#This Row],[Land Bonus]],1,0)*20)+15000)))*(1+(mason_bonus*TblConstr[[#This Row],[Tot Mas]]/TblConstr[[#This Row],[Land (2)]]))</f>
        <v>0</v>
      </c>
      <c r="AE94" s="142"/>
      <c r="AF94" s="61">
        <f ca="1">(1+Overview!$I$29)*SUM(TblImps[[#This Row],[P2]:[G2]])+OFFSET(TblImps[[#This Row],[Σ Science]],-1,0)</f>
        <v>0</v>
      </c>
      <c r="AG94" s="61">
        <f ca="1">(1+Overview!$I$29)*SUM(TblImps[[#This Row],[P3]:[G3]])+OFFSET(TblImps[[#This Row],[Σ Keep]],-1,0)</f>
        <v>0</v>
      </c>
      <c r="AH94" s="61">
        <f ca="1">(1+Overview!$I$29 + tech_7_1*TblTech[[#This Row],[7-1]])*SUM(TblImps[[#This Row],[P4]:[G4]])+OFFSET(TblImps[[#This Row],[Σ Spires]],-1,0)</f>
        <v>0</v>
      </c>
      <c r="AI94" s="61">
        <f ca="1">(1+Overview!$I$29)*SUM(TblImps[[#This Row],[P5]:[G5]])+OFFSET(TblImps[[#This Row],[Σ Forges]],-1,0)</f>
        <v>0</v>
      </c>
      <c r="AJ94" s="61">
        <f ca="1">(1+Overview!$I$29)*SUM(TblImps[[#This Row],[P6]:[G6]])+OFFSET(TblImps[[#This Row],[Σ Walls]],-1,0)</f>
        <v>0</v>
      </c>
      <c r="AK94" s="61">
        <f ca="1">(1+Overview!$I$29 + tech_7_1*TblTech[[#This Row],[7-1]])*SUM(TblImps[[#This Row],[P7]:[G7]])+OFFSET(TblImps[[#This Row],[Σ Harbor]],-1,0)</f>
        <v>0</v>
      </c>
      <c r="AL94" s="142"/>
      <c r="AM94" s="57">
        <f>IF(AND(TblImps[[#This Row],[Resource]]=AM$2,TblImps[[#This Row],[Part]]&lt;&gt;""),TblImps[[#This Row],[Amount]]) + IF(AND(TblImps[[#This Row],[Resource 2]]=AM$2,TblImps[[#This Row],[Part 2]]&lt;&gt;""),TblImps[[#This Row],[Amount 2]]) + IF(AND(TblImps[[#This Row],[Resource 3]]=AM$2,TblImps[[#This Row],[Part 3]]&lt;&gt;""),TblImps[[#This Row],[Amount 3]])</f>
        <v>0</v>
      </c>
      <c r="AN94" s="57">
        <f>IF(AND(TblImps[[#This Row],[Resource]]=AN$2,TblImps[[#This Row],[Part]]&lt;&gt;""),TblImps[[#This Row],[Amount]]) + IF(AND(TblImps[[#This Row],[Resource 2]]=AN$2,TblImps[[#This Row],[Part 2]]&lt;&gt;""),TblImps[[#This Row],[Amount 2]]) + IF(AND(TblImps[[#This Row],[Resource 3]]=AN$2,TblImps[[#This Row],[Part 3]]&lt;&gt;""),TblImps[[#This Row],[Amount 3]])</f>
        <v>0</v>
      </c>
      <c r="AO94" s="57">
        <f>IF(AND(TblImps[[#This Row],[Resource]]=AO$2,TblImps[[#This Row],[Part]]&lt;&gt;""),TblImps[[#This Row],[Amount]]) + IF(AND(TblImps[[#This Row],[Resource 2]]=AO$2,TblImps[[#This Row],[Part 2]]&lt;&gt;""),TblImps[[#This Row],[Amount 2]]) + IF(AND(TblImps[[#This Row],[Resource 3]]=AO$2,TblImps[[#This Row],[Part 3]]&lt;&gt;""),TblImps[[#This Row],[Amount 3]])</f>
        <v>0</v>
      </c>
      <c r="AP94" s="57">
        <f>IF(AND(TblImps[[#This Row],[Resource]]=AP$2,TblImps[[#This Row],[Part]]&lt;&gt;""),TblImps[[#This Row],[Amount]]) + IF(AND(TblImps[[#This Row],[Resource 2]]=AP$2,TblImps[[#This Row],[Part 2]]&lt;&gt;""),TblImps[[#This Row],[Amount 2]]) + IF(AND(TblImps[[#This Row],[Resource 3]]=AP$2,TblImps[[#This Row],[Part 3]]&lt;&gt;""),TblImps[[#This Row],[Amount 3]])</f>
        <v>0</v>
      </c>
      <c r="AQ94" s="142"/>
      <c r="AR9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4" s="142"/>
      <c r="AW9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4" s="142"/>
      <c r="BB9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4" s="142"/>
      <c r="BG9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4" s="142"/>
      <c r="BL9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4" s="142"/>
      <c r="BQ9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4" s="142"/>
      <c r="BV9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4" s="61">
        <f>TblImps[[#This Row],[Login]]</f>
        <v>0</v>
      </c>
      <c r="BX94" s="137"/>
      <c r="BY94" s="293">
        <f ca="1">OFFSET(TblImps[[#This Row],[Real time]],-1,0)+1/24</f>
        <v>46050.749999999782</v>
      </c>
      <c r="BZ94" s="294">
        <f ca="1">OFFSET(TblImps[[#This Row],[Servertime]],-1,0)+1/24</f>
        <v>46050.749999999782</v>
      </c>
      <c r="CA94" s="57"/>
      <c r="CB94" s="292"/>
      <c r="CC94" s="292"/>
    </row>
    <row r="95" spans="1:84" x14ac:dyDescent="0.2">
      <c r="A95" s="214">
        <f ca="1">TblConstr[[#This Row],[Land]]</f>
        <v>110</v>
      </c>
      <c r="B95" s="142"/>
      <c r="C95" s="94">
        <f ca="1">TblProd[[#This Row],[Platinum]]</f>
        <v>191427</v>
      </c>
      <c r="D95" s="94">
        <f ca="1">TblProd[[#This Row],[Lumber]]</f>
        <v>65940</v>
      </c>
      <c r="E95" s="94">
        <f ca="1">TblProd[[#This Row],[Ore]]</f>
        <v>0</v>
      </c>
      <c r="F95" s="94">
        <f ca="1">TblProd[[#This Row],[Gems]]</f>
        <v>0</v>
      </c>
      <c r="G95" s="154"/>
      <c r="H95" s="94">
        <f ca="1">TblMili[[#This Row],[Draftees]]</f>
        <v>673</v>
      </c>
      <c r="I95" s="180">
        <f ca="1">TblPop[[#This Row],[Employment]]</f>
        <v>1</v>
      </c>
      <c r="J95" s="180">
        <f ca="1">TblPop[[#This Row],[Total]]/TblPop[[#This Row],[Net max]]</f>
        <v>1</v>
      </c>
      <c r="K95" s="283">
        <f>TblRezone[[#This Row],[Hour]]</f>
        <v>92</v>
      </c>
      <c r="L95" s="284">
        <f ca="1">TblImps[[#This Row],[Real time]]</f>
        <v>46050.791666666446</v>
      </c>
      <c r="M95" s="61">
        <f>IF(ISERROR(TblImps[[#This Row],[algorithm]]),0,TblImps[[#This Row],[algorithm]]*1)</f>
        <v>0</v>
      </c>
      <c r="N95" s="94">
        <f ca="1">TblImps[[#This Row],[Land]]</f>
        <v>110</v>
      </c>
      <c r="O95" s="285" t="s">
        <v>4</v>
      </c>
      <c r="P95" s="286"/>
      <c r="Q95" s="285" t="s">
        <v>210</v>
      </c>
      <c r="R95" s="285" t="s">
        <v>7</v>
      </c>
      <c r="S95" s="286"/>
      <c r="T95" s="285" t="s">
        <v>210</v>
      </c>
      <c r="U95" s="285" t="s">
        <v>3</v>
      </c>
      <c r="V95" s="286"/>
      <c r="W95" s="285" t="s">
        <v>210</v>
      </c>
      <c r="X95" s="142"/>
      <c r="Y95" s="287">
        <f ca="1">science_cap*(1-EXP(-TblImps[[#This Row],[Σ Science]]/(science_param*(OFFSET(TblImps[[#This Row],[Land]],1,0)-OFFSET(TblExplore[[#This Row],[Land Bonus]],1,0)*20)+15000)))*(1+(mason_bonus*TblConstr[[#This Row],[Tot Mas]]/TblConstr[[#This Row],[Land (2)]]))</f>
        <v>0</v>
      </c>
      <c r="Z95" s="287">
        <f ca="1">keep_cap*(1-EXP(-TblImps[[#This Row],[Σ Keep]]/(keep_param*(OFFSET(TblImps[[#This Row],[Land]],1,0)-OFFSET(TblExplore[[#This Row],[Land Bonus]],1,0)*20)+15000)))*(1+(mason_bonus*TblConstr[[#This Row],[Tot Mas]]/TblConstr[[#This Row],[Land (2)]]))</f>
        <v>0</v>
      </c>
      <c r="AA95" s="287">
        <f ca="1">harbor_towers_cap*(1-EXP(-TblImps[[#This Row],[Σ Spires]]/(towers_param*(OFFSET(TblImps[[#This Row],[Land]],1,0)-OFFSET(TblExplore[[#This Row],[Land Bonus]],1,0)*20)+15000)))*(1+(mason_bonus*TblConstr[[#This Row],[Tot Mas]]/TblConstr[[#This Row],[Land (2)]]))</f>
        <v>0</v>
      </c>
      <c r="AB95" s="287">
        <f ca="1">walls_forges_cap*(1-EXP(-TblImps[[#This Row],[Σ Forges]]/(walls_forges_param*(OFFSET(TblImps[[#This Row],[Land]],1,0)-OFFSET(TblExplore[[#This Row],[Land Bonus]],1,0)*20)+15000)))*(1+(mason_bonus*TblConstr[[#This Row],[Tot Mas]]/TblConstr[[#This Row],[Land (2)]]))</f>
        <v>0</v>
      </c>
      <c r="AC95" s="287">
        <f ca="1">walls_forges_cap*(1-EXP(-TblImps[[#This Row],[Σ Walls]]/(walls_forges_param*(OFFSET(TblImps[[#This Row],[Land]],1,0)-OFFSET(TblExplore[[#This Row],[Land Bonus]],1,0)*20)+15000)))*(1+(mason_bonus*TblConstr[[#This Row],[Tot Mas]]/TblConstr[[#This Row],[Land (2)]]))</f>
        <v>0</v>
      </c>
      <c r="AD95" s="287">
        <f ca="1">harbor_towers_cap*(1-EXP(-TblImps[[#This Row],[Σ Harbor]]/(harbor_towers_param*(OFFSET(TblImps[[#This Row],[Land]],1,0)-OFFSET(TblExplore[[#This Row],[Land Bonus]],1,0)*20)+15000)))*(1+(mason_bonus*TblConstr[[#This Row],[Tot Mas]]/TblConstr[[#This Row],[Land (2)]]))</f>
        <v>0</v>
      </c>
      <c r="AE95" s="142"/>
      <c r="AF95" s="61">
        <f ca="1">(1+Overview!$I$29)*SUM(TblImps[[#This Row],[P2]:[G2]])+OFFSET(TblImps[[#This Row],[Σ Science]],-1,0)</f>
        <v>0</v>
      </c>
      <c r="AG95" s="61">
        <f ca="1">(1+Overview!$I$29)*SUM(TblImps[[#This Row],[P3]:[G3]])+OFFSET(TblImps[[#This Row],[Σ Keep]],-1,0)</f>
        <v>0</v>
      </c>
      <c r="AH95" s="61">
        <f ca="1">(1+Overview!$I$29 + tech_7_1*TblTech[[#This Row],[7-1]])*SUM(TblImps[[#This Row],[P4]:[G4]])+OFFSET(TblImps[[#This Row],[Σ Spires]],-1,0)</f>
        <v>0</v>
      </c>
      <c r="AI95" s="61">
        <f ca="1">(1+Overview!$I$29)*SUM(TblImps[[#This Row],[P5]:[G5]])+OFFSET(TblImps[[#This Row],[Σ Forges]],-1,0)</f>
        <v>0</v>
      </c>
      <c r="AJ95" s="61">
        <f ca="1">(1+Overview!$I$29)*SUM(TblImps[[#This Row],[P6]:[G6]])+OFFSET(TblImps[[#This Row],[Σ Walls]],-1,0)</f>
        <v>0</v>
      </c>
      <c r="AK95" s="61">
        <f ca="1">(1+Overview!$I$29 + tech_7_1*TblTech[[#This Row],[7-1]])*SUM(TblImps[[#This Row],[P7]:[G7]])+OFFSET(TblImps[[#This Row],[Σ Harbor]],-1,0)</f>
        <v>0</v>
      </c>
      <c r="AL95" s="142"/>
      <c r="AM95" s="57">
        <f>IF(AND(TblImps[[#This Row],[Resource]]=AM$2,TblImps[[#This Row],[Part]]&lt;&gt;""),TblImps[[#This Row],[Amount]]) + IF(AND(TblImps[[#This Row],[Resource 2]]=AM$2,TblImps[[#This Row],[Part 2]]&lt;&gt;""),TblImps[[#This Row],[Amount 2]]) + IF(AND(TblImps[[#This Row],[Resource 3]]=AM$2,TblImps[[#This Row],[Part 3]]&lt;&gt;""),TblImps[[#This Row],[Amount 3]])</f>
        <v>0</v>
      </c>
      <c r="AN95" s="57">
        <f>IF(AND(TblImps[[#This Row],[Resource]]=AN$2,TblImps[[#This Row],[Part]]&lt;&gt;""),TblImps[[#This Row],[Amount]]) + IF(AND(TblImps[[#This Row],[Resource 2]]=AN$2,TblImps[[#This Row],[Part 2]]&lt;&gt;""),TblImps[[#This Row],[Amount 2]]) + IF(AND(TblImps[[#This Row],[Resource 3]]=AN$2,TblImps[[#This Row],[Part 3]]&lt;&gt;""),TblImps[[#This Row],[Amount 3]])</f>
        <v>0</v>
      </c>
      <c r="AO95" s="57">
        <f>IF(AND(TblImps[[#This Row],[Resource]]=AO$2,TblImps[[#This Row],[Part]]&lt;&gt;""),TblImps[[#This Row],[Amount]]) + IF(AND(TblImps[[#This Row],[Resource 2]]=AO$2,TblImps[[#This Row],[Part 2]]&lt;&gt;""),TblImps[[#This Row],[Amount 2]]) + IF(AND(TblImps[[#This Row],[Resource 3]]=AO$2,TblImps[[#This Row],[Part 3]]&lt;&gt;""),TblImps[[#This Row],[Amount 3]])</f>
        <v>0</v>
      </c>
      <c r="AP95" s="57">
        <f>IF(AND(TblImps[[#This Row],[Resource]]=AP$2,TblImps[[#This Row],[Part]]&lt;&gt;""),TblImps[[#This Row],[Amount]]) + IF(AND(TblImps[[#This Row],[Resource 2]]=AP$2,TblImps[[#This Row],[Part 2]]&lt;&gt;""),TblImps[[#This Row],[Amount 2]]) + IF(AND(TblImps[[#This Row],[Resource 3]]=AP$2,TblImps[[#This Row],[Part 3]]&lt;&gt;""),TblImps[[#This Row],[Amount 3]])</f>
        <v>0</v>
      </c>
      <c r="AQ95" s="142"/>
      <c r="AR9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5" s="142"/>
      <c r="AW9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5" s="142"/>
      <c r="BB9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5" s="142"/>
      <c r="BG9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5" s="142"/>
      <c r="BL9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5" s="142"/>
      <c r="BQ9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5" s="142"/>
      <c r="BV9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5" s="61">
        <f>TblImps[[#This Row],[Login]]</f>
        <v>0</v>
      </c>
      <c r="BX95" s="137"/>
      <c r="BY95" s="293">
        <f ca="1">OFFSET(TblImps[[#This Row],[Real time]],-1,0)+1/24</f>
        <v>46050.791666666446</v>
      </c>
      <c r="BZ95" s="294">
        <f ca="1">OFFSET(TblImps[[#This Row],[Servertime]],-1,0)+1/24</f>
        <v>46050.791666666446</v>
      </c>
      <c r="CA95" s="57"/>
      <c r="CB95" s="292"/>
      <c r="CC95" s="292"/>
    </row>
    <row r="96" spans="1:84" x14ac:dyDescent="0.2">
      <c r="A96" s="214">
        <f ca="1">TblConstr[[#This Row],[Land]]</f>
        <v>110</v>
      </c>
      <c r="B96" s="142"/>
      <c r="C96" s="94">
        <f ca="1">TblProd[[#This Row],[Platinum]]</f>
        <v>192515</v>
      </c>
      <c r="D96" s="94">
        <f ca="1">TblProd[[#This Row],[Lumber]]</f>
        <v>66281</v>
      </c>
      <c r="E96" s="94">
        <f ca="1">TblProd[[#This Row],[Ore]]</f>
        <v>0</v>
      </c>
      <c r="F96" s="94">
        <f ca="1">TblProd[[#This Row],[Gems]]</f>
        <v>0</v>
      </c>
      <c r="G96" s="154"/>
      <c r="H96" s="94">
        <f ca="1">TblMili[[#This Row],[Draftees]]</f>
        <v>677</v>
      </c>
      <c r="I96" s="180">
        <f ca="1">TblPop[[#This Row],[Employment]]</f>
        <v>1</v>
      </c>
      <c r="J96" s="180">
        <f ca="1">TblPop[[#This Row],[Total]]/TblPop[[#This Row],[Net max]]</f>
        <v>1</v>
      </c>
      <c r="K96" s="283">
        <f>TblRezone[[#This Row],[Hour]]</f>
        <v>93</v>
      </c>
      <c r="L96" s="284">
        <f ca="1">TblImps[[#This Row],[Real time]]</f>
        <v>46050.83333333311</v>
      </c>
      <c r="M96" s="61">
        <f>IF(ISERROR(TblImps[[#This Row],[algorithm]]),0,TblImps[[#This Row],[algorithm]]*1)</f>
        <v>0</v>
      </c>
      <c r="N96" s="94">
        <f ca="1">TblImps[[#This Row],[Land]]</f>
        <v>110</v>
      </c>
      <c r="O96" s="285" t="s">
        <v>4</v>
      </c>
      <c r="P96" s="286"/>
      <c r="Q96" s="285" t="s">
        <v>210</v>
      </c>
      <c r="R96" s="285" t="s">
        <v>7</v>
      </c>
      <c r="S96" s="286"/>
      <c r="T96" s="285" t="s">
        <v>210</v>
      </c>
      <c r="U96" s="285" t="s">
        <v>3</v>
      </c>
      <c r="V96" s="286"/>
      <c r="W96" s="285" t="s">
        <v>210</v>
      </c>
      <c r="X96" s="142"/>
      <c r="Y96" s="287">
        <f ca="1">science_cap*(1-EXP(-TblImps[[#This Row],[Σ Science]]/(science_param*(OFFSET(TblImps[[#This Row],[Land]],1,0)-OFFSET(TblExplore[[#This Row],[Land Bonus]],1,0)*20)+15000)))*(1+(mason_bonus*TblConstr[[#This Row],[Tot Mas]]/TblConstr[[#This Row],[Land (2)]]))</f>
        <v>0</v>
      </c>
      <c r="Z96" s="287">
        <f ca="1">keep_cap*(1-EXP(-TblImps[[#This Row],[Σ Keep]]/(keep_param*(OFFSET(TblImps[[#This Row],[Land]],1,0)-OFFSET(TblExplore[[#This Row],[Land Bonus]],1,0)*20)+15000)))*(1+(mason_bonus*TblConstr[[#This Row],[Tot Mas]]/TblConstr[[#This Row],[Land (2)]]))</f>
        <v>0</v>
      </c>
      <c r="AA96" s="287">
        <f ca="1">harbor_towers_cap*(1-EXP(-TblImps[[#This Row],[Σ Spires]]/(towers_param*(OFFSET(TblImps[[#This Row],[Land]],1,0)-OFFSET(TblExplore[[#This Row],[Land Bonus]],1,0)*20)+15000)))*(1+(mason_bonus*TblConstr[[#This Row],[Tot Mas]]/TblConstr[[#This Row],[Land (2)]]))</f>
        <v>0</v>
      </c>
      <c r="AB96" s="287">
        <f ca="1">walls_forges_cap*(1-EXP(-TblImps[[#This Row],[Σ Forges]]/(walls_forges_param*(OFFSET(TblImps[[#This Row],[Land]],1,0)-OFFSET(TblExplore[[#This Row],[Land Bonus]],1,0)*20)+15000)))*(1+(mason_bonus*TblConstr[[#This Row],[Tot Mas]]/TblConstr[[#This Row],[Land (2)]]))</f>
        <v>0</v>
      </c>
      <c r="AC96" s="287">
        <f ca="1">walls_forges_cap*(1-EXP(-TblImps[[#This Row],[Σ Walls]]/(walls_forges_param*(OFFSET(TblImps[[#This Row],[Land]],1,0)-OFFSET(TblExplore[[#This Row],[Land Bonus]],1,0)*20)+15000)))*(1+(mason_bonus*TblConstr[[#This Row],[Tot Mas]]/TblConstr[[#This Row],[Land (2)]]))</f>
        <v>0</v>
      </c>
      <c r="AD96" s="287">
        <f ca="1">harbor_towers_cap*(1-EXP(-TblImps[[#This Row],[Σ Harbor]]/(harbor_towers_param*(OFFSET(TblImps[[#This Row],[Land]],1,0)-OFFSET(TblExplore[[#This Row],[Land Bonus]],1,0)*20)+15000)))*(1+(mason_bonus*TblConstr[[#This Row],[Tot Mas]]/TblConstr[[#This Row],[Land (2)]]))</f>
        <v>0</v>
      </c>
      <c r="AE96" s="142"/>
      <c r="AF96" s="61">
        <f ca="1">(1+Overview!$I$29)*SUM(TblImps[[#This Row],[P2]:[G2]])+OFFSET(TblImps[[#This Row],[Σ Science]],-1,0)</f>
        <v>0</v>
      </c>
      <c r="AG96" s="61">
        <f ca="1">(1+Overview!$I$29)*SUM(TblImps[[#This Row],[P3]:[G3]])+OFFSET(TblImps[[#This Row],[Σ Keep]],-1,0)</f>
        <v>0</v>
      </c>
      <c r="AH96" s="61">
        <f ca="1">(1+Overview!$I$29 + tech_7_1*TblTech[[#This Row],[7-1]])*SUM(TblImps[[#This Row],[P4]:[G4]])+OFFSET(TblImps[[#This Row],[Σ Spires]],-1,0)</f>
        <v>0</v>
      </c>
      <c r="AI96" s="61">
        <f ca="1">(1+Overview!$I$29)*SUM(TblImps[[#This Row],[P5]:[G5]])+OFFSET(TblImps[[#This Row],[Σ Forges]],-1,0)</f>
        <v>0</v>
      </c>
      <c r="AJ96" s="61">
        <f ca="1">(1+Overview!$I$29)*SUM(TblImps[[#This Row],[P6]:[G6]])+OFFSET(TblImps[[#This Row],[Σ Walls]],-1,0)</f>
        <v>0</v>
      </c>
      <c r="AK96" s="61">
        <f ca="1">(1+Overview!$I$29 + tech_7_1*TblTech[[#This Row],[7-1]])*SUM(TblImps[[#This Row],[P7]:[G7]])+OFFSET(TblImps[[#This Row],[Σ Harbor]],-1,0)</f>
        <v>0</v>
      </c>
      <c r="AL96" s="142"/>
      <c r="AM96" s="57">
        <f>IF(AND(TblImps[[#This Row],[Resource]]=AM$2,TblImps[[#This Row],[Part]]&lt;&gt;""),TblImps[[#This Row],[Amount]]) + IF(AND(TblImps[[#This Row],[Resource 2]]=AM$2,TblImps[[#This Row],[Part 2]]&lt;&gt;""),TblImps[[#This Row],[Amount 2]]) + IF(AND(TblImps[[#This Row],[Resource 3]]=AM$2,TblImps[[#This Row],[Part 3]]&lt;&gt;""),TblImps[[#This Row],[Amount 3]])</f>
        <v>0</v>
      </c>
      <c r="AN96" s="57">
        <f>IF(AND(TblImps[[#This Row],[Resource]]=AN$2,TblImps[[#This Row],[Part]]&lt;&gt;""),TblImps[[#This Row],[Amount]]) + IF(AND(TblImps[[#This Row],[Resource 2]]=AN$2,TblImps[[#This Row],[Part 2]]&lt;&gt;""),TblImps[[#This Row],[Amount 2]]) + IF(AND(TblImps[[#This Row],[Resource 3]]=AN$2,TblImps[[#This Row],[Part 3]]&lt;&gt;""),TblImps[[#This Row],[Amount 3]])</f>
        <v>0</v>
      </c>
      <c r="AO96" s="57">
        <f>IF(AND(TblImps[[#This Row],[Resource]]=AO$2,TblImps[[#This Row],[Part]]&lt;&gt;""),TblImps[[#This Row],[Amount]]) + IF(AND(TblImps[[#This Row],[Resource 2]]=AO$2,TblImps[[#This Row],[Part 2]]&lt;&gt;""),TblImps[[#This Row],[Amount 2]]) + IF(AND(TblImps[[#This Row],[Resource 3]]=AO$2,TblImps[[#This Row],[Part 3]]&lt;&gt;""),TblImps[[#This Row],[Amount 3]])</f>
        <v>0</v>
      </c>
      <c r="AP96" s="57">
        <f>IF(AND(TblImps[[#This Row],[Resource]]=AP$2,TblImps[[#This Row],[Part]]&lt;&gt;""),TblImps[[#This Row],[Amount]]) + IF(AND(TblImps[[#This Row],[Resource 2]]=AP$2,TblImps[[#This Row],[Part 2]]&lt;&gt;""),TblImps[[#This Row],[Amount 2]]) + IF(AND(TblImps[[#This Row],[Resource 3]]=AP$2,TblImps[[#This Row],[Part 3]]&lt;&gt;""),TblImps[[#This Row],[Amount 3]])</f>
        <v>0</v>
      </c>
      <c r="AQ96" s="142"/>
      <c r="AR9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6" s="142"/>
      <c r="AW9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6" s="142"/>
      <c r="BB9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6" s="142"/>
      <c r="BG9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6" s="142"/>
      <c r="BL9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6" s="142"/>
      <c r="BQ9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6" s="142"/>
      <c r="BV9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6" s="61">
        <f>TblImps[[#This Row],[Login]]</f>
        <v>0</v>
      </c>
      <c r="BX96" s="137"/>
      <c r="BY96" s="293">
        <f ca="1">OFFSET(TblImps[[#This Row],[Real time]],-1,0)+1/24</f>
        <v>46050.83333333311</v>
      </c>
      <c r="BZ96" s="294">
        <f ca="1">OFFSET(TblImps[[#This Row],[Servertime]],-1,0)+1/24</f>
        <v>46050.83333333311</v>
      </c>
      <c r="CA96" s="57"/>
      <c r="CB96" s="292"/>
      <c r="CC96" s="292"/>
    </row>
    <row r="97" spans="1:82" x14ac:dyDescent="0.2">
      <c r="A97" s="214">
        <f ca="1">TblConstr[[#This Row],[Land]]</f>
        <v>110</v>
      </c>
      <c r="B97" s="142"/>
      <c r="C97" s="94">
        <f ca="1">TblProd[[#This Row],[Platinum]]</f>
        <v>193592</v>
      </c>
      <c r="D97" s="94">
        <f ca="1">TblProd[[#This Row],[Lumber]]</f>
        <v>66618</v>
      </c>
      <c r="E97" s="94">
        <f ca="1">TblProd[[#This Row],[Ore]]</f>
        <v>0</v>
      </c>
      <c r="F97" s="94">
        <f ca="1">TblProd[[#This Row],[Gems]]</f>
        <v>0</v>
      </c>
      <c r="G97" s="154"/>
      <c r="H97" s="94">
        <f ca="1">TblMili[[#This Row],[Draftees]]</f>
        <v>681</v>
      </c>
      <c r="I97" s="180">
        <f ca="1">TblPop[[#This Row],[Employment]]</f>
        <v>1</v>
      </c>
      <c r="J97" s="180">
        <f ca="1">TblPop[[#This Row],[Total]]/TblPop[[#This Row],[Net max]]</f>
        <v>1</v>
      </c>
      <c r="K97" s="283">
        <f>TblRezone[[#This Row],[Hour]]</f>
        <v>94</v>
      </c>
      <c r="L97" s="284">
        <f ca="1">TblImps[[#This Row],[Real time]]</f>
        <v>46050.874999999774</v>
      </c>
      <c r="M97" s="61">
        <f>IF(ISERROR(TblImps[[#This Row],[algorithm]]),0,TblImps[[#This Row],[algorithm]]*1)</f>
        <v>0</v>
      </c>
      <c r="N97" s="94">
        <f ca="1">TblImps[[#This Row],[Land]]</f>
        <v>110</v>
      </c>
      <c r="O97" s="285" t="s">
        <v>4</v>
      </c>
      <c r="P97" s="286"/>
      <c r="Q97" s="285" t="s">
        <v>210</v>
      </c>
      <c r="R97" s="285" t="s">
        <v>7</v>
      </c>
      <c r="S97" s="286"/>
      <c r="T97" s="285" t="s">
        <v>210</v>
      </c>
      <c r="U97" s="285" t="s">
        <v>3</v>
      </c>
      <c r="V97" s="286"/>
      <c r="W97" s="285" t="s">
        <v>210</v>
      </c>
      <c r="X97" s="142"/>
      <c r="Y97" s="287">
        <f ca="1">science_cap*(1-EXP(-TblImps[[#This Row],[Σ Science]]/(science_param*(OFFSET(TblImps[[#This Row],[Land]],1,0)-OFFSET(TblExplore[[#This Row],[Land Bonus]],1,0)*20)+15000)))*(1+(mason_bonus*TblConstr[[#This Row],[Tot Mas]]/TblConstr[[#This Row],[Land (2)]]))</f>
        <v>0</v>
      </c>
      <c r="Z97" s="287">
        <f ca="1">keep_cap*(1-EXP(-TblImps[[#This Row],[Σ Keep]]/(keep_param*(OFFSET(TblImps[[#This Row],[Land]],1,0)-OFFSET(TblExplore[[#This Row],[Land Bonus]],1,0)*20)+15000)))*(1+(mason_bonus*TblConstr[[#This Row],[Tot Mas]]/TblConstr[[#This Row],[Land (2)]]))</f>
        <v>0</v>
      </c>
      <c r="AA97" s="287">
        <f ca="1">harbor_towers_cap*(1-EXP(-TblImps[[#This Row],[Σ Spires]]/(towers_param*(OFFSET(TblImps[[#This Row],[Land]],1,0)-OFFSET(TblExplore[[#This Row],[Land Bonus]],1,0)*20)+15000)))*(1+(mason_bonus*TblConstr[[#This Row],[Tot Mas]]/TblConstr[[#This Row],[Land (2)]]))</f>
        <v>0</v>
      </c>
      <c r="AB97" s="287">
        <f ca="1">walls_forges_cap*(1-EXP(-TblImps[[#This Row],[Σ Forges]]/(walls_forges_param*(OFFSET(TblImps[[#This Row],[Land]],1,0)-OFFSET(TblExplore[[#This Row],[Land Bonus]],1,0)*20)+15000)))*(1+(mason_bonus*TblConstr[[#This Row],[Tot Mas]]/TblConstr[[#This Row],[Land (2)]]))</f>
        <v>0</v>
      </c>
      <c r="AC97" s="287">
        <f ca="1">walls_forges_cap*(1-EXP(-TblImps[[#This Row],[Σ Walls]]/(walls_forges_param*(OFFSET(TblImps[[#This Row],[Land]],1,0)-OFFSET(TblExplore[[#This Row],[Land Bonus]],1,0)*20)+15000)))*(1+(mason_bonus*TblConstr[[#This Row],[Tot Mas]]/TblConstr[[#This Row],[Land (2)]]))</f>
        <v>0</v>
      </c>
      <c r="AD97" s="287">
        <f ca="1">harbor_towers_cap*(1-EXP(-TblImps[[#This Row],[Σ Harbor]]/(harbor_towers_param*(OFFSET(TblImps[[#This Row],[Land]],1,0)-OFFSET(TblExplore[[#This Row],[Land Bonus]],1,0)*20)+15000)))*(1+(mason_bonus*TblConstr[[#This Row],[Tot Mas]]/TblConstr[[#This Row],[Land (2)]]))</f>
        <v>0</v>
      </c>
      <c r="AE97" s="142"/>
      <c r="AF97" s="61">
        <f ca="1">(1+Overview!$I$29)*SUM(TblImps[[#This Row],[P2]:[G2]])+OFFSET(TblImps[[#This Row],[Σ Science]],-1,0)</f>
        <v>0</v>
      </c>
      <c r="AG97" s="61">
        <f ca="1">(1+Overview!$I$29)*SUM(TblImps[[#This Row],[P3]:[G3]])+OFFSET(TblImps[[#This Row],[Σ Keep]],-1,0)</f>
        <v>0</v>
      </c>
      <c r="AH97" s="61">
        <f ca="1">(1+Overview!$I$29 + tech_7_1*TblTech[[#This Row],[7-1]])*SUM(TblImps[[#This Row],[P4]:[G4]])+OFFSET(TblImps[[#This Row],[Σ Spires]],-1,0)</f>
        <v>0</v>
      </c>
      <c r="AI97" s="61">
        <f ca="1">(1+Overview!$I$29)*SUM(TblImps[[#This Row],[P5]:[G5]])+OFFSET(TblImps[[#This Row],[Σ Forges]],-1,0)</f>
        <v>0</v>
      </c>
      <c r="AJ97" s="61">
        <f ca="1">(1+Overview!$I$29)*SUM(TblImps[[#This Row],[P6]:[G6]])+OFFSET(TblImps[[#This Row],[Σ Walls]],-1,0)</f>
        <v>0</v>
      </c>
      <c r="AK97" s="61">
        <f ca="1">(1+Overview!$I$29 + tech_7_1*TblTech[[#This Row],[7-1]])*SUM(TblImps[[#This Row],[P7]:[G7]])+OFFSET(TblImps[[#This Row],[Σ Harbor]],-1,0)</f>
        <v>0</v>
      </c>
      <c r="AL97" s="142"/>
      <c r="AM97" s="57">
        <f>IF(AND(TblImps[[#This Row],[Resource]]=AM$2,TblImps[[#This Row],[Part]]&lt;&gt;""),TblImps[[#This Row],[Amount]]) + IF(AND(TblImps[[#This Row],[Resource 2]]=AM$2,TblImps[[#This Row],[Part 2]]&lt;&gt;""),TblImps[[#This Row],[Amount 2]]) + IF(AND(TblImps[[#This Row],[Resource 3]]=AM$2,TblImps[[#This Row],[Part 3]]&lt;&gt;""),TblImps[[#This Row],[Amount 3]])</f>
        <v>0</v>
      </c>
      <c r="AN97" s="57">
        <f>IF(AND(TblImps[[#This Row],[Resource]]=AN$2,TblImps[[#This Row],[Part]]&lt;&gt;""),TblImps[[#This Row],[Amount]]) + IF(AND(TblImps[[#This Row],[Resource 2]]=AN$2,TblImps[[#This Row],[Part 2]]&lt;&gt;""),TblImps[[#This Row],[Amount 2]]) + IF(AND(TblImps[[#This Row],[Resource 3]]=AN$2,TblImps[[#This Row],[Part 3]]&lt;&gt;""),TblImps[[#This Row],[Amount 3]])</f>
        <v>0</v>
      </c>
      <c r="AO97" s="57">
        <f>IF(AND(TblImps[[#This Row],[Resource]]=AO$2,TblImps[[#This Row],[Part]]&lt;&gt;""),TblImps[[#This Row],[Amount]]) + IF(AND(TblImps[[#This Row],[Resource 2]]=AO$2,TblImps[[#This Row],[Part 2]]&lt;&gt;""),TblImps[[#This Row],[Amount 2]]) + IF(AND(TblImps[[#This Row],[Resource 3]]=AO$2,TblImps[[#This Row],[Part 3]]&lt;&gt;""),TblImps[[#This Row],[Amount 3]])</f>
        <v>0</v>
      </c>
      <c r="AP97" s="57">
        <f>IF(AND(TblImps[[#This Row],[Resource]]=AP$2,TblImps[[#This Row],[Part]]&lt;&gt;""),TblImps[[#This Row],[Amount]]) + IF(AND(TblImps[[#This Row],[Resource 2]]=AP$2,TblImps[[#This Row],[Part 2]]&lt;&gt;""),TblImps[[#This Row],[Amount 2]]) + IF(AND(TblImps[[#This Row],[Resource 3]]=AP$2,TblImps[[#This Row],[Part 3]]&lt;&gt;""),TblImps[[#This Row],[Amount 3]])</f>
        <v>0</v>
      </c>
      <c r="AQ97" s="142"/>
      <c r="AR9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7" s="142"/>
      <c r="AW9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7" s="142"/>
      <c r="BB9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7" s="142"/>
      <c r="BG9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7" s="142"/>
      <c r="BL9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7" s="142"/>
      <c r="BQ9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7" s="142"/>
      <c r="BV9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7" s="61">
        <f>TblImps[[#This Row],[Login]]</f>
        <v>0</v>
      </c>
      <c r="BX97" s="137"/>
      <c r="BY97" s="293">
        <f ca="1">OFFSET(TblImps[[#This Row],[Real time]],-1,0)+1/24</f>
        <v>46050.874999999774</v>
      </c>
      <c r="BZ97" s="294">
        <f ca="1">OFFSET(TblImps[[#This Row],[Servertime]],-1,0)+1/24</f>
        <v>46050.874999999774</v>
      </c>
      <c r="CA97" s="57"/>
      <c r="CB97" s="292"/>
      <c r="CC97" s="292"/>
    </row>
    <row r="98" spans="1:82" x14ac:dyDescent="0.2">
      <c r="A98" s="214">
        <f ca="1">TblConstr[[#This Row],[Land]]</f>
        <v>110</v>
      </c>
      <c r="B98" s="142"/>
      <c r="C98" s="94">
        <f ca="1">TblProd[[#This Row],[Platinum]]</f>
        <v>194658</v>
      </c>
      <c r="D98" s="94">
        <f ca="1">TblProd[[#This Row],[Lumber]]</f>
        <v>66952</v>
      </c>
      <c r="E98" s="94">
        <f ca="1">TblProd[[#This Row],[Ore]]</f>
        <v>0</v>
      </c>
      <c r="F98" s="94">
        <f ca="1">TblProd[[#This Row],[Gems]]</f>
        <v>0</v>
      </c>
      <c r="G98" s="154"/>
      <c r="H98" s="94">
        <f ca="1">TblMili[[#This Row],[Draftees]]</f>
        <v>685</v>
      </c>
      <c r="I98" s="180">
        <f ca="1">TblPop[[#This Row],[Employment]]</f>
        <v>1</v>
      </c>
      <c r="J98" s="180">
        <f ca="1">TblPop[[#This Row],[Total]]/TblPop[[#This Row],[Net max]]</f>
        <v>1</v>
      </c>
      <c r="K98" s="283">
        <f>TblRezone[[#This Row],[Hour]]</f>
        <v>95</v>
      </c>
      <c r="L98" s="284">
        <f ca="1">TblImps[[#This Row],[Real time]]</f>
        <v>46050.916666666439</v>
      </c>
      <c r="M98" s="61">
        <f>IF(ISERROR(TblImps[[#This Row],[algorithm]]),0,TblImps[[#This Row],[algorithm]]*1)</f>
        <v>0</v>
      </c>
      <c r="N98" s="94">
        <f ca="1">TblImps[[#This Row],[Land]]</f>
        <v>110</v>
      </c>
      <c r="O98" s="285" t="s">
        <v>4</v>
      </c>
      <c r="P98" s="286"/>
      <c r="Q98" s="285" t="s">
        <v>210</v>
      </c>
      <c r="R98" s="285" t="s">
        <v>7</v>
      </c>
      <c r="S98" s="286"/>
      <c r="T98" s="285" t="s">
        <v>210</v>
      </c>
      <c r="U98" s="285" t="s">
        <v>3</v>
      </c>
      <c r="V98" s="286"/>
      <c r="W98" s="285" t="s">
        <v>210</v>
      </c>
      <c r="X98" s="142"/>
      <c r="Y98" s="287">
        <f ca="1">science_cap*(1-EXP(-TblImps[[#This Row],[Σ Science]]/(science_param*(OFFSET(TblImps[[#This Row],[Land]],1,0)-OFFSET(TblExplore[[#This Row],[Land Bonus]],1,0)*20)+15000)))*(1+(mason_bonus*TblConstr[[#This Row],[Tot Mas]]/TblConstr[[#This Row],[Land (2)]]))</f>
        <v>0</v>
      </c>
      <c r="Z98" s="287">
        <f ca="1">keep_cap*(1-EXP(-TblImps[[#This Row],[Σ Keep]]/(keep_param*(OFFSET(TblImps[[#This Row],[Land]],1,0)-OFFSET(TblExplore[[#This Row],[Land Bonus]],1,0)*20)+15000)))*(1+(mason_bonus*TblConstr[[#This Row],[Tot Mas]]/TblConstr[[#This Row],[Land (2)]]))</f>
        <v>0</v>
      </c>
      <c r="AA98" s="287">
        <f ca="1">harbor_towers_cap*(1-EXP(-TblImps[[#This Row],[Σ Spires]]/(towers_param*(OFFSET(TblImps[[#This Row],[Land]],1,0)-OFFSET(TblExplore[[#This Row],[Land Bonus]],1,0)*20)+15000)))*(1+(mason_bonus*TblConstr[[#This Row],[Tot Mas]]/TblConstr[[#This Row],[Land (2)]]))</f>
        <v>0</v>
      </c>
      <c r="AB98" s="287">
        <f ca="1">walls_forges_cap*(1-EXP(-TblImps[[#This Row],[Σ Forges]]/(walls_forges_param*(OFFSET(TblImps[[#This Row],[Land]],1,0)-OFFSET(TblExplore[[#This Row],[Land Bonus]],1,0)*20)+15000)))*(1+(mason_bonus*TblConstr[[#This Row],[Tot Mas]]/TblConstr[[#This Row],[Land (2)]]))</f>
        <v>0</v>
      </c>
      <c r="AC98" s="287">
        <f ca="1">walls_forges_cap*(1-EXP(-TblImps[[#This Row],[Σ Walls]]/(walls_forges_param*(OFFSET(TblImps[[#This Row],[Land]],1,0)-OFFSET(TblExplore[[#This Row],[Land Bonus]],1,0)*20)+15000)))*(1+(mason_bonus*TblConstr[[#This Row],[Tot Mas]]/TblConstr[[#This Row],[Land (2)]]))</f>
        <v>0</v>
      </c>
      <c r="AD98" s="287">
        <f ca="1">harbor_towers_cap*(1-EXP(-TblImps[[#This Row],[Σ Harbor]]/(harbor_towers_param*(OFFSET(TblImps[[#This Row],[Land]],1,0)-OFFSET(TblExplore[[#This Row],[Land Bonus]],1,0)*20)+15000)))*(1+(mason_bonus*TblConstr[[#This Row],[Tot Mas]]/TblConstr[[#This Row],[Land (2)]]))</f>
        <v>0</v>
      </c>
      <c r="AE98" s="142"/>
      <c r="AF98" s="61">
        <f ca="1">(1+Overview!$I$29)*SUM(TblImps[[#This Row],[P2]:[G2]])+OFFSET(TblImps[[#This Row],[Σ Science]],-1,0)</f>
        <v>0</v>
      </c>
      <c r="AG98" s="61">
        <f ca="1">(1+Overview!$I$29)*SUM(TblImps[[#This Row],[P3]:[G3]])+OFFSET(TblImps[[#This Row],[Σ Keep]],-1,0)</f>
        <v>0</v>
      </c>
      <c r="AH98" s="61">
        <f ca="1">(1+Overview!$I$29 + tech_7_1*TblTech[[#This Row],[7-1]])*SUM(TblImps[[#This Row],[P4]:[G4]])+OFFSET(TblImps[[#This Row],[Σ Spires]],-1,0)</f>
        <v>0</v>
      </c>
      <c r="AI98" s="61">
        <f ca="1">(1+Overview!$I$29)*SUM(TblImps[[#This Row],[P5]:[G5]])+OFFSET(TblImps[[#This Row],[Σ Forges]],-1,0)</f>
        <v>0</v>
      </c>
      <c r="AJ98" s="61">
        <f ca="1">(1+Overview!$I$29)*SUM(TblImps[[#This Row],[P6]:[G6]])+OFFSET(TblImps[[#This Row],[Σ Walls]],-1,0)</f>
        <v>0</v>
      </c>
      <c r="AK98" s="61">
        <f ca="1">(1+Overview!$I$29 + tech_7_1*TblTech[[#This Row],[7-1]])*SUM(TblImps[[#This Row],[P7]:[G7]])+OFFSET(TblImps[[#This Row],[Σ Harbor]],-1,0)</f>
        <v>0</v>
      </c>
      <c r="AL98" s="142"/>
      <c r="AM98" s="57">
        <f>IF(AND(TblImps[[#This Row],[Resource]]=AM$2,TblImps[[#This Row],[Part]]&lt;&gt;""),TblImps[[#This Row],[Amount]]) + IF(AND(TblImps[[#This Row],[Resource 2]]=AM$2,TblImps[[#This Row],[Part 2]]&lt;&gt;""),TblImps[[#This Row],[Amount 2]]) + IF(AND(TblImps[[#This Row],[Resource 3]]=AM$2,TblImps[[#This Row],[Part 3]]&lt;&gt;""),TblImps[[#This Row],[Amount 3]])</f>
        <v>0</v>
      </c>
      <c r="AN98" s="57">
        <f>IF(AND(TblImps[[#This Row],[Resource]]=AN$2,TblImps[[#This Row],[Part]]&lt;&gt;""),TblImps[[#This Row],[Amount]]) + IF(AND(TblImps[[#This Row],[Resource 2]]=AN$2,TblImps[[#This Row],[Part 2]]&lt;&gt;""),TblImps[[#This Row],[Amount 2]]) + IF(AND(TblImps[[#This Row],[Resource 3]]=AN$2,TblImps[[#This Row],[Part 3]]&lt;&gt;""),TblImps[[#This Row],[Amount 3]])</f>
        <v>0</v>
      </c>
      <c r="AO98" s="57">
        <f>IF(AND(TblImps[[#This Row],[Resource]]=AO$2,TblImps[[#This Row],[Part]]&lt;&gt;""),TblImps[[#This Row],[Amount]]) + IF(AND(TblImps[[#This Row],[Resource 2]]=AO$2,TblImps[[#This Row],[Part 2]]&lt;&gt;""),TblImps[[#This Row],[Amount 2]]) + IF(AND(TblImps[[#This Row],[Resource 3]]=AO$2,TblImps[[#This Row],[Part 3]]&lt;&gt;""),TblImps[[#This Row],[Amount 3]])</f>
        <v>0</v>
      </c>
      <c r="AP98" s="57">
        <f>IF(AND(TblImps[[#This Row],[Resource]]=AP$2,TblImps[[#This Row],[Part]]&lt;&gt;""),TblImps[[#This Row],[Amount]]) + IF(AND(TblImps[[#This Row],[Resource 2]]=AP$2,TblImps[[#This Row],[Part 2]]&lt;&gt;""),TblImps[[#This Row],[Amount 2]]) + IF(AND(TblImps[[#This Row],[Resource 3]]=AP$2,TblImps[[#This Row],[Part 3]]&lt;&gt;""),TblImps[[#This Row],[Amount 3]])</f>
        <v>0</v>
      </c>
      <c r="AQ98" s="142"/>
      <c r="AR9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8" s="142"/>
      <c r="AW9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8" s="142"/>
      <c r="BB9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8" s="142"/>
      <c r="BG9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8" s="142"/>
      <c r="BL9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8" s="142"/>
      <c r="BQ9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8" s="142"/>
      <c r="BV9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8" s="61">
        <f>TblImps[[#This Row],[Login]]</f>
        <v>0</v>
      </c>
      <c r="BX98" s="137"/>
      <c r="BY98" s="293">
        <f ca="1">OFFSET(TblImps[[#This Row],[Real time]],-1,0)+1/24</f>
        <v>46050.916666666439</v>
      </c>
      <c r="BZ98" s="294">
        <f ca="1">OFFSET(TblImps[[#This Row],[Servertime]],-1,0)+1/24</f>
        <v>46050.916666666439</v>
      </c>
      <c r="CA98" s="57"/>
      <c r="CB98" s="292"/>
      <c r="CC98" s="292"/>
    </row>
    <row r="99" spans="1:82" x14ac:dyDescent="0.2">
      <c r="A99" s="214">
        <f ca="1">TblConstr[[#This Row],[Land]]</f>
        <v>110</v>
      </c>
      <c r="B99" s="142"/>
      <c r="C99" s="94">
        <f ca="1">TblProd[[#This Row],[Platinum]]</f>
        <v>195713</v>
      </c>
      <c r="D99" s="94">
        <f ca="1">TblProd[[#This Row],[Lumber]]</f>
        <v>67282</v>
      </c>
      <c r="E99" s="94">
        <f ca="1">TblProd[[#This Row],[Ore]]</f>
        <v>0</v>
      </c>
      <c r="F99" s="94">
        <f ca="1">TblProd[[#This Row],[Gems]]</f>
        <v>0</v>
      </c>
      <c r="G99" s="154"/>
      <c r="H99" s="94">
        <f ca="1">TblMili[[#This Row],[Draftees]]</f>
        <v>689</v>
      </c>
      <c r="I99" s="180">
        <f ca="1">TblPop[[#This Row],[Employment]]</f>
        <v>1</v>
      </c>
      <c r="J99" s="180">
        <f ca="1">TblPop[[#This Row],[Total]]/TblPop[[#This Row],[Net max]]</f>
        <v>1</v>
      </c>
      <c r="K99" s="283">
        <f>TblRezone[[#This Row],[Hour]]</f>
        <v>96</v>
      </c>
      <c r="L99" s="284">
        <f ca="1">TblImps[[#This Row],[Real time]]</f>
        <v>46050.958333333103</v>
      </c>
      <c r="M99" s="61">
        <f>IF(ISERROR(TblImps[[#This Row],[algorithm]]),0,TblImps[[#This Row],[algorithm]]*1)</f>
        <v>0</v>
      </c>
      <c r="N99" s="94">
        <f ca="1">TblImps[[#This Row],[Land]]</f>
        <v>110</v>
      </c>
      <c r="O99" s="285" t="s">
        <v>4</v>
      </c>
      <c r="P99" s="286"/>
      <c r="Q99" s="285" t="s">
        <v>210</v>
      </c>
      <c r="R99" s="285" t="s">
        <v>7</v>
      </c>
      <c r="S99" s="286"/>
      <c r="T99" s="285" t="s">
        <v>210</v>
      </c>
      <c r="U99" s="285" t="s">
        <v>3</v>
      </c>
      <c r="V99" s="286"/>
      <c r="W99" s="285" t="s">
        <v>210</v>
      </c>
      <c r="X99" s="142"/>
      <c r="Y99" s="287">
        <f ca="1">science_cap*(1-EXP(-TblImps[[#This Row],[Σ Science]]/(science_param*(OFFSET(TblImps[[#This Row],[Land]],1,0)-OFFSET(TblExplore[[#This Row],[Land Bonus]],1,0)*20)+15000)))*(1+(mason_bonus*TblConstr[[#This Row],[Tot Mas]]/TblConstr[[#This Row],[Land (2)]]))</f>
        <v>0</v>
      </c>
      <c r="Z99" s="287">
        <f ca="1">keep_cap*(1-EXP(-TblImps[[#This Row],[Σ Keep]]/(keep_param*(OFFSET(TblImps[[#This Row],[Land]],1,0)-OFFSET(TblExplore[[#This Row],[Land Bonus]],1,0)*20)+15000)))*(1+(mason_bonus*TblConstr[[#This Row],[Tot Mas]]/TblConstr[[#This Row],[Land (2)]]))</f>
        <v>0</v>
      </c>
      <c r="AA99" s="287">
        <f ca="1">harbor_towers_cap*(1-EXP(-TblImps[[#This Row],[Σ Spires]]/(towers_param*(OFFSET(TblImps[[#This Row],[Land]],1,0)-OFFSET(TblExplore[[#This Row],[Land Bonus]],1,0)*20)+15000)))*(1+(mason_bonus*TblConstr[[#This Row],[Tot Mas]]/TblConstr[[#This Row],[Land (2)]]))</f>
        <v>0</v>
      </c>
      <c r="AB99" s="287">
        <f ca="1">walls_forges_cap*(1-EXP(-TblImps[[#This Row],[Σ Forges]]/(walls_forges_param*(OFFSET(TblImps[[#This Row],[Land]],1,0)-OFFSET(TblExplore[[#This Row],[Land Bonus]],1,0)*20)+15000)))*(1+(mason_bonus*TblConstr[[#This Row],[Tot Mas]]/TblConstr[[#This Row],[Land (2)]]))</f>
        <v>0</v>
      </c>
      <c r="AC99" s="287">
        <f ca="1">walls_forges_cap*(1-EXP(-TblImps[[#This Row],[Σ Walls]]/(walls_forges_param*(OFFSET(TblImps[[#This Row],[Land]],1,0)-OFFSET(TblExplore[[#This Row],[Land Bonus]],1,0)*20)+15000)))*(1+(mason_bonus*TblConstr[[#This Row],[Tot Mas]]/TblConstr[[#This Row],[Land (2)]]))</f>
        <v>0</v>
      </c>
      <c r="AD99" s="287">
        <f ca="1">harbor_towers_cap*(1-EXP(-TblImps[[#This Row],[Σ Harbor]]/(harbor_towers_param*(OFFSET(TblImps[[#This Row],[Land]],1,0)-OFFSET(TblExplore[[#This Row],[Land Bonus]],1,0)*20)+15000)))*(1+(mason_bonus*TblConstr[[#This Row],[Tot Mas]]/TblConstr[[#This Row],[Land (2)]]))</f>
        <v>0</v>
      </c>
      <c r="AE99" s="142"/>
      <c r="AF99" s="61">
        <f ca="1">(1+Overview!$I$29)*SUM(TblImps[[#This Row],[P2]:[G2]])+OFFSET(TblImps[[#This Row],[Σ Science]],-1,0)</f>
        <v>0</v>
      </c>
      <c r="AG99" s="61">
        <f ca="1">(1+Overview!$I$29)*SUM(TblImps[[#This Row],[P3]:[G3]])+OFFSET(TblImps[[#This Row],[Σ Keep]],-1,0)</f>
        <v>0</v>
      </c>
      <c r="AH99" s="61">
        <f ca="1">(1+Overview!$I$29 + tech_7_1*TblTech[[#This Row],[7-1]])*SUM(TblImps[[#This Row],[P4]:[G4]])+OFFSET(TblImps[[#This Row],[Σ Spires]],-1,0)</f>
        <v>0</v>
      </c>
      <c r="AI99" s="61">
        <f ca="1">(1+Overview!$I$29)*SUM(TblImps[[#This Row],[P5]:[G5]])+OFFSET(TblImps[[#This Row],[Σ Forges]],-1,0)</f>
        <v>0</v>
      </c>
      <c r="AJ99" s="61">
        <f ca="1">(1+Overview!$I$29)*SUM(TblImps[[#This Row],[P6]:[G6]])+OFFSET(TblImps[[#This Row],[Σ Walls]],-1,0)</f>
        <v>0</v>
      </c>
      <c r="AK99" s="61">
        <f ca="1">(1+Overview!$I$29 + tech_7_1*TblTech[[#This Row],[7-1]])*SUM(TblImps[[#This Row],[P7]:[G7]])+OFFSET(TblImps[[#This Row],[Σ Harbor]],-1,0)</f>
        <v>0</v>
      </c>
      <c r="AL99" s="142"/>
      <c r="AM99" s="57">
        <f>IF(AND(TblImps[[#This Row],[Resource]]=AM$2,TblImps[[#This Row],[Part]]&lt;&gt;""),TblImps[[#This Row],[Amount]]) + IF(AND(TblImps[[#This Row],[Resource 2]]=AM$2,TblImps[[#This Row],[Part 2]]&lt;&gt;""),TblImps[[#This Row],[Amount 2]]) + IF(AND(TblImps[[#This Row],[Resource 3]]=AM$2,TblImps[[#This Row],[Part 3]]&lt;&gt;""),TblImps[[#This Row],[Amount 3]])</f>
        <v>0</v>
      </c>
      <c r="AN99" s="57">
        <f>IF(AND(TblImps[[#This Row],[Resource]]=AN$2,TblImps[[#This Row],[Part]]&lt;&gt;""),TblImps[[#This Row],[Amount]]) + IF(AND(TblImps[[#This Row],[Resource 2]]=AN$2,TblImps[[#This Row],[Part 2]]&lt;&gt;""),TblImps[[#This Row],[Amount 2]]) + IF(AND(TblImps[[#This Row],[Resource 3]]=AN$2,TblImps[[#This Row],[Part 3]]&lt;&gt;""),TblImps[[#This Row],[Amount 3]])</f>
        <v>0</v>
      </c>
      <c r="AO99" s="57">
        <f>IF(AND(TblImps[[#This Row],[Resource]]=AO$2,TblImps[[#This Row],[Part]]&lt;&gt;""),TblImps[[#This Row],[Amount]]) + IF(AND(TblImps[[#This Row],[Resource 2]]=AO$2,TblImps[[#This Row],[Part 2]]&lt;&gt;""),TblImps[[#This Row],[Amount 2]]) + IF(AND(TblImps[[#This Row],[Resource 3]]=AO$2,TblImps[[#This Row],[Part 3]]&lt;&gt;""),TblImps[[#This Row],[Amount 3]])</f>
        <v>0</v>
      </c>
      <c r="AP99" s="57">
        <f>IF(AND(TblImps[[#This Row],[Resource]]=AP$2,TblImps[[#This Row],[Part]]&lt;&gt;""),TblImps[[#This Row],[Amount]]) + IF(AND(TblImps[[#This Row],[Resource 2]]=AP$2,TblImps[[#This Row],[Part 2]]&lt;&gt;""),TblImps[[#This Row],[Amount 2]]) + IF(AND(TblImps[[#This Row],[Resource 3]]=AP$2,TblImps[[#This Row],[Part 3]]&lt;&gt;""),TblImps[[#This Row],[Amount 3]])</f>
        <v>0</v>
      </c>
      <c r="AQ99" s="142"/>
      <c r="AR9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9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9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9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99" s="142"/>
      <c r="AW9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9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9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9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99" s="142"/>
      <c r="BB9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9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9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9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99" s="142"/>
      <c r="BG9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9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9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9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99" s="142"/>
      <c r="BL9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9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9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9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99" s="142"/>
      <c r="BQ9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9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9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9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99" s="142"/>
      <c r="BV9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99" s="61">
        <f>TblImps[[#This Row],[Login]]</f>
        <v>0</v>
      </c>
      <c r="BX99" s="137"/>
      <c r="BY99" s="293">
        <f ca="1">OFFSET(TblImps[[#This Row],[Real time]],-1,0)+1/24</f>
        <v>46050.958333333103</v>
      </c>
      <c r="BZ99" s="294">
        <f ca="1">OFFSET(TblImps[[#This Row],[Servertime]],-1,0)+1/24</f>
        <v>46050.958333333103</v>
      </c>
      <c r="CA99" s="57"/>
      <c r="CB99" s="292"/>
      <c r="CC99" s="292"/>
    </row>
    <row r="100" spans="1:82" x14ac:dyDescent="0.2">
      <c r="A100" s="214">
        <f ca="1">TblConstr[[#This Row],[Land]]</f>
        <v>110</v>
      </c>
      <c r="B100" s="142"/>
      <c r="C100" s="94">
        <f ca="1">TblProd[[#This Row],[Platinum]]</f>
        <v>196757</v>
      </c>
      <c r="D100" s="94">
        <f ca="1">TblProd[[#This Row],[Lumber]]</f>
        <v>67609</v>
      </c>
      <c r="E100" s="94">
        <f ca="1">TblProd[[#This Row],[Ore]]</f>
        <v>0</v>
      </c>
      <c r="F100" s="94">
        <f ca="1">TblProd[[#This Row],[Gems]]</f>
        <v>0</v>
      </c>
      <c r="G100" s="154"/>
      <c r="H100" s="94">
        <f ca="1">TblMili[[#This Row],[Draftees]]</f>
        <v>693</v>
      </c>
      <c r="I100" s="180">
        <f ca="1">TblPop[[#This Row],[Employment]]</f>
        <v>1</v>
      </c>
      <c r="J100" s="180">
        <f ca="1">TblPop[[#This Row],[Total]]/TblPop[[#This Row],[Net max]]</f>
        <v>1</v>
      </c>
      <c r="K100" s="283">
        <f>TblRezone[[#This Row],[Hour]]</f>
        <v>97</v>
      </c>
      <c r="L100" s="284">
        <f ca="1">TblImps[[#This Row],[Real time]]</f>
        <v>46050.999999999767</v>
      </c>
      <c r="M100" s="61">
        <f>IF(ISERROR(TblImps[[#This Row],[algorithm]]),0,TblImps[[#This Row],[algorithm]]*1)</f>
        <v>0</v>
      </c>
      <c r="N100" s="94">
        <f ca="1">TblImps[[#This Row],[Land]]</f>
        <v>110</v>
      </c>
      <c r="O100" s="285" t="s">
        <v>4</v>
      </c>
      <c r="P100" s="286"/>
      <c r="Q100" s="285" t="s">
        <v>210</v>
      </c>
      <c r="R100" s="285" t="s">
        <v>7</v>
      </c>
      <c r="S100" s="286"/>
      <c r="T100" s="285" t="s">
        <v>210</v>
      </c>
      <c r="U100" s="285" t="s">
        <v>3</v>
      </c>
      <c r="V100" s="286"/>
      <c r="W100" s="285" t="s">
        <v>210</v>
      </c>
      <c r="X100" s="142"/>
      <c r="Y100" s="287">
        <f ca="1">science_cap*(1-EXP(-TblImps[[#This Row],[Σ Science]]/(science_param*(OFFSET(TblImps[[#This Row],[Land]],1,0)-OFFSET(TblExplore[[#This Row],[Land Bonus]],1,0)*20)+15000)))*(1+(mason_bonus*TblConstr[[#This Row],[Tot Mas]]/TblConstr[[#This Row],[Land (2)]]))</f>
        <v>0</v>
      </c>
      <c r="Z100" s="287">
        <f ca="1">keep_cap*(1-EXP(-TblImps[[#This Row],[Σ Keep]]/(keep_param*(OFFSET(TblImps[[#This Row],[Land]],1,0)-OFFSET(TblExplore[[#This Row],[Land Bonus]],1,0)*20)+15000)))*(1+(mason_bonus*TblConstr[[#This Row],[Tot Mas]]/TblConstr[[#This Row],[Land (2)]]))</f>
        <v>0</v>
      </c>
      <c r="AA100" s="287">
        <f ca="1">harbor_towers_cap*(1-EXP(-TblImps[[#This Row],[Σ Spires]]/(towers_param*(OFFSET(TblImps[[#This Row],[Land]],1,0)-OFFSET(TblExplore[[#This Row],[Land Bonus]],1,0)*20)+15000)))*(1+(mason_bonus*TblConstr[[#This Row],[Tot Mas]]/TblConstr[[#This Row],[Land (2)]]))</f>
        <v>0</v>
      </c>
      <c r="AB100" s="287">
        <f ca="1">walls_forges_cap*(1-EXP(-TblImps[[#This Row],[Σ Forges]]/(walls_forges_param*(OFFSET(TblImps[[#This Row],[Land]],1,0)-OFFSET(TblExplore[[#This Row],[Land Bonus]],1,0)*20)+15000)))*(1+(mason_bonus*TblConstr[[#This Row],[Tot Mas]]/TblConstr[[#This Row],[Land (2)]]))</f>
        <v>0</v>
      </c>
      <c r="AC100" s="287">
        <f ca="1">walls_forges_cap*(1-EXP(-TblImps[[#This Row],[Σ Walls]]/(walls_forges_param*(OFFSET(TblImps[[#This Row],[Land]],1,0)-OFFSET(TblExplore[[#This Row],[Land Bonus]],1,0)*20)+15000)))*(1+(mason_bonus*TblConstr[[#This Row],[Tot Mas]]/TblConstr[[#This Row],[Land (2)]]))</f>
        <v>0</v>
      </c>
      <c r="AD100" s="287">
        <f ca="1">harbor_towers_cap*(1-EXP(-TblImps[[#This Row],[Σ Harbor]]/(harbor_towers_param*(OFFSET(TblImps[[#This Row],[Land]],1,0)-OFFSET(TblExplore[[#This Row],[Land Bonus]],1,0)*20)+15000)))*(1+(mason_bonus*TblConstr[[#This Row],[Tot Mas]]/TblConstr[[#This Row],[Land (2)]]))</f>
        <v>0</v>
      </c>
      <c r="AE100" s="142"/>
      <c r="AF100" s="61">
        <f ca="1">(1+Overview!$I$29)*SUM(TblImps[[#This Row],[P2]:[G2]])+OFFSET(TblImps[[#This Row],[Σ Science]],-1,0)</f>
        <v>0</v>
      </c>
      <c r="AG100" s="61">
        <f ca="1">(1+Overview!$I$29)*SUM(TblImps[[#This Row],[P3]:[G3]])+OFFSET(TblImps[[#This Row],[Σ Keep]],-1,0)</f>
        <v>0</v>
      </c>
      <c r="AH100" s="61">
        <f ca="1">(1+Overview!$I$29 + tech_7_1*TblTech[[#This Row],[7-1]])*SUM(TblImps[[#This Row],[P4]:[G4]])+OFFSET(TblImps[[#This Row],[Σ Spires]],-1,0)</f>
        <v>0</v>
      </c>
      <c r="AI100" s="61">
        <f ca="1">(1+Overview!$I$29)*SUM(TblImps[[#This Row],[P5]:[G5]])+OFFSET(TblImps[[#This Row],[Σ Forges]],-1,0)</f>
        <v>0</v>
      </c>
      <c r="AJ100" s="61">
        <f ca="1">(1+Overview!$I$29)*SUM(TblImps[[#This Row],[P6]:[G6]])+OFFSET(TblImps[[#This Row],[Σ Walls]],-1,0)</f>
        <v>0</v>
      </c>
      <c r="AK100" s="61">
        <f ca="1">(1+Overview!$I$29 + tech_7_1*TblTech[[#This Row],[7-1]])*SUM(TblImps[[#This Row],[P7]:[G7]])+OFFSET(TblImps[[#This Row],[Σ Harbor]],-1,0)</f>
        <v>0</v>
      </c>
      <c r="AL100" s="142"/>
      <c r="AM100" s="57">
        <f>IF(AND(TblImps[[#This Row],[Resource]]=AM$2,TblImps[[#This Row],[Part]]&lt;&gt;""),TblImps[[#This Row],[Amount]]) + IF(AND(TblImps[[#This Row],[Resource 2]]=AM$2,TblImps[[#This Row],[Part 2]]&lt;&gt;""),TblImps[[#This Row],[Amount 2]]) + IF(AND(TblImps[[#This Row],[Resource 3]]=AM$2,TblImps[[#This Row],[Part 3]]&lt;&gt;""),TblImps[[#This Row],[Amount 3]])</f>
        <v>0</v>
      </c>
      <c r="AN100" s="57">
        <f>IF(AND(TblImps[[#This Row],[Resource]]=AN$2,TblImps[[#This Row],[Part]]&lt;&gt;""),TblImps[[#This Row],[Amount]]) + IF(AND(TblImps[[#This Row],[Resource 2]]=AN$2,TblImps[[#This Row],[Part 2]]&lt;&gt;""),TblImps[[#This Row],[Amount 2]]) + IF(AND(TblImps[[#This Row],[Resource 3]]=AN$2,TblImps[[#This Row],[Part 3]]&lt;&gt;""),TblImps[[#This Row],[Amount 3]])</f>
        <v>0</v>
      </c>
      <c r="AO100" s="57">
        <f>IF(AND(TblImps[[#This Row],[Resource]]=AO$2,TblImps[[#This Row],[Part]]&lt;&gt;""),TblImps[[#This Row],[Amount]]) + IF(AND(TblImps[[#This Row],[Resource 2]]=AO$2,TblImps[[#This Row],[Part 2]]&lt;&gt;""),TblImps[[#This Row],[Amount 2]]) + IF(AND(TblImps[[#This Row],[Resource 3]]=AO$2,TblImps[[#This Row],[Part 3]]&lt;&gt;""),TblImps[[#This Row],[Amount 3]])</f>
        <v>0</v>
      </c>
      <c r="AP100" s="57">
        <f>IF(AND(TblImps[[#This Row],[Resource]]=AP$2,TblImps[[#This Row],[Part]]&lt;&gt;""),TblImps[[#This Row],[Amount]]) + IF(AND(TblImps[[#This Row],[Resource 2]]=AP$2,TblImps[[#This Row],[Part 2]]&lt;&gt;""),TblImps[[#This Row],[Amount 2]]) + IF(AND(TblImps[[#This Row],[Resource 3]]=AP$2,TblImps[[#This Row],[Part 3]]&lt;&gt;""),TblImps[[#This Row],[Amount 3]])</f>
        <v>0</v>
      </c>
      <c r="AQ100" s="142"/>
      <c r="AR10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0" s="142"/>
      <c r="AW10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0" s="142"/>
      <c r="BB10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0" s="142"/>
      <c r="BG10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0" s="142"/>
      <c r="BL10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0" s="142"/>
      <c r="BQ10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0" s="142"/>
      <c r="BV10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0" s="61">
        <f>TblImps[[#This Row],[Login]]</f>
        <v>0</v>
      </c>
      <c r="BX100" s="137"/>
      <c r="BY100" s="293">
        <f ca="1">OFFSET(TblImps[[#This Row],[Real time]],-1,0)+1/24</f>
        <v>46050.999999999767</v>
      </c>
      <c r="BZ100" s="294">
        <f ca="1">OFFSET(TblImps[[#This Row],[Servertime]],-1,0)+1/24</f>
        <v>46050.999999999767</v>
      </c>
      <c r="CA100" s="57"/>
      <c r="CB100" s="292"/>
      <c r="CC100" s="292"/>
    </row>
    <row r="101" spans="1:82" x14ac:dyDescent="0.2">
      <c r="A101" s="214">
        <f ca="1">TblConstr[[#This Row],[Land]]</f>
        <v>110</v>
      </c>
      <c r="B101" s="142"/>
      <c r="C101" s="94">
        <f ca="1">TblProd[[#This Row],[Platinum]]</f>
        <v>197791</v>
      </c>
      <c r="D101" s="94">
        <f ca="1">TblProd[[#This Row],[Lumber]]</f>
        <v>67933</v>
      </c>
      <c r="E101" s="94">
        <f ca="1">TblProd[[#This Row],[Ore]]</f>
        <v>0</v>
      </c>
      <c r="F101" s="94">
        <f ca="1">TblProd[[#This Row],[Gems]]</f>
        <v>0</v>
      </c>
      <c r="G101" s="154"/>
      <c r="H101" s="94">
        <f ca="1">TblMili[[#This Row],[Draftees]]</f>
        <v>697</v>
      </c>
      <c r="I101" s="180">
        <f ca="1">TblPop[[#This Row],[Employment]]</f>
        <v>1</v>
      </c>
      <c r="J101" s="180">
        <f ca="1">TblPop[[#This Row],[Total]]/TblPop[[#This Row],[Net max]]</f>
        <v>1</v>
      </c>
      <c r="K101" s="283">
        <f>TblRezone[[#This Row],[Hour]]</f>
        <v>98</v>
      </c>
      <c r="L101" s="284">
        <f ca="1">TblImps[[#This Row],[Real time]]</f>
        <v>46051.041666666431</v>
      </c>
      <c r="M101" s="61">
        <f>IF(ISERROR(TblImps[[#This Row],[algorithm]]),0,TblImps[[#This Row],[algorithm]]*1)</f>
        <v>0</v>
      </c>
      <c r="N101" s="94">
        <f ca="1">TblImps[[#This Row],[Land]]</f>
        <v>110</v>
      </c>
      <c r="O101" s="285" t="s">
        <v>4</v>
      </c>
      <c r="P101" s="286"/>
      <c r="Q101" s="285" t="s">
        <v>210</v>
      </c>
      <c r="R101" s="285" t="s">
        <v>7</v>
      </c>
      <c r="S101" s="286"/>
      <c r="T101" s="285" t="s">
        <v>210</v>
      </c>
      <c r="U101" s="285" t="s">
        <v>3</v>
      </c>
      <c r="V101" s="286"/>
      <c r="W101" s="285" t="s">
        <v>210</v>
      </c>
      <c r="X101" s="142"/>
      <c r="Y101" s="287">
        <f ca="1">science_cap*(1-EXP(-TblImps[[#This Row],[Σ Science]]/(science_param*(OFFSET(TblImps[[#This Row],[Land]],1,0)-OFFSET(TblExplore[[#This Row],[Land Bonus]],1,0)*20)+15000)))*(1+(mason_bonus*TblConstr[[#This Row],[Tot Mas]]/TblConstr[[#This Row],[Land (2)]]))</f>
        <v>0</v>
      </c>
      <c r="Z101" s="287">
        <f ca="1">keep_cap*(1-EXP(-TblImps[[#This Row],[Σ Keep]]/(keep_param*(OFFSET(TblImps[[#This Row],[Land]],1,0)-OFFSET(TblExplore[[#This Row],[Land Bonus]],1,0)*20)+15000)))*(1+(mason_bonus*TblConstr[[#This Row],[Tot Mas]]/TblConstr[[#This Row],[Land (2)]]))</f>
        <v>0</v>
      </c>
      <c r="AA101" s="287">
        <f ca="1">harbor_towers_cap*(1-EXP(-TblImps[[#This Row],[Σ Spires]]/(towers_param*(OFFSET(TblImps[[#This Row],[Land]],1,0)-OFFSET(TblExplore[[#This Row],[Land Bonus]],1,0)*20)+15000)))*(1+(mason_bonus*TblConstr[[#This Row],[Tot Mas]]/TblConstr[[#This Row],[Land (2)]]))</f>
        <v>0</v>
      </c>
      <c r="AB101" s="287">
        <f ca="1">walls_forges_cap*(1-EXP(-TblImps[[#This Row],[Σ Forges]]/(walls_forges_param*(OFFSET(TblImps[[#This Row],[Land]],1,0)-OFFSET(TblExplore[[#This Row],[Land Bonus]],1,0)*20)+15000)))*(1+(mason_bonus*TblConstr[[#This Row],[Tot Mas]]/TblConstr[[#This Row],[Land (2)]]))</f>
        <v>0</v>
      </c>
      <c r="AC101" s="287">
        <f ca="1">walls_forges_cap*(1-EXP(-TblImps[[#This Row],[Σ Walls]]/(walls_forges_param*(OFFSET(TblImps[[#This Row],[Land]],1,0)-OFFSET(TblExplore[[#This Row],[Land Bonus]],1,0)*20)+15000)))*(1+(mason_bonus*TblConstr[[#This Row],[Tot Mas]]/TblConstr[[#This Row],[Land (2)]]))</f>
        <v>0</v>
      </c>
      <c r="AD101" s="287">
        <f ca="1">harbor_towers_cap*(1-EXP(-TblImps[[#This Row],[Σ Harbor]]/(harbor_towers_param*(OFFSET(TblImps[[#This Row],[Land]],1,0)-OFFSET(TblExplore[[#This Row],[Land Bonus]],1,0)*20)+15000)))*(1+(mason_bonus*TblConstr[[#This Row],[Tot Mas]]/TblConstr[[#This Row],[Land (2)]]))</f>
        <v>0</v>
      </c>
      <c r="AE101" s="142"/>
      <c r="AF101" s="61">
        <f ca="1">(1+Overview!$I$29)*SUM(TblImps[[#This Row],[P2]:[G2]])+OFFSET(TblImps[[#This Row],[Σ Science]],-1,0)</f>
        <v>0</v>
      </c>
      <c r="AG101" s="61">
        <f ca="1">(1+Overview!$I$29)*SUM(TblImps[[#This Row],[P3]:[G3]])+OFFSET(TblImps[[#This Row],[Σ Keep]],-1,0)</f>
        <v>0</v>
      </c>
      <c r="AH101" s="61">
        <f ca="1">(1+Overview!$I$29 + tech_7_1*TblTech[[#This Row],[7-1]])*SUM(TblImps[[#This Row],[P4]:[G4]])+OFFSET(TblImps[[#This Row],[Σ Spires]],-1,0)</f>
        <v>0</v>
      </c>
      <c r="AI101" s="61">
        <f ca="1">(1+Overview!$I$29)*SUM(TblImps[[#This Row],[P5]:[G5]])+OFFSET(TblImps[[#This Row],[Σ Forges]],-1,0)</f>
        <v>0</v>
      </c>
      <c r="AJ101" s="61">
        <f ca="1">(1+Overview!$I$29)*SUM(TblImps[[#This Row],[P6]:[G6]])+OFFSET(TblImps[[#This Row],[Σ Walls]],-1,0)</f>
        <v>0</v>
      </c>
      <c r="AK101" s="61">
        <f ca="1">(1+Overview!$I$29 + tech_7_1*TblTech[[#This Row],[7-1]])*SUM(TblImps[[#This Row],[P7]:[G7]])+OFFSET(TblImps[[#This Row],[Σ Harbor]],-1,0)</f>
        <v>0</v>
      </c>
      <c r="AL101" s="142"/>
      <c r="AM101" s="57">
        <f>IF(AND(TblImps[[#This Row],[Resource]]=AM$2,TblImps[[#This Row],[Part]]&lt;&gt;""),TblImps[[#This Row],[Amount]]) + IF(AND(TblImps[[#This Row],[Resource 2]]=AM$2,TblImps[[#This Row],[Part 2]]&lt;&gt;""),TblImps[[#This Row],[Amount 2]]) + IF(AND(TblImps[[#This Row],[Resource 3]]=AM$2,TblImps[[#This Row],[Part 3]]&lt;&gt;""),TblImps[[#This Row],[Amount 3]])</f>
        <v>0</v>
      </c>
      <c r="AN101" s="57">
        <f>IF(AND(TblImps[[#This Row],[Resource]]=AN$2,TblImps[[#This Row],[Part]]&lt;&gt;""),TblImps[[#This Row],[Amount]]) + IF(AND(TblImps[[#This Row],[Resource 2]]=AN$2,TblImps[[#This Row],[Part 2]]&lt;&gt;""),TblImps[[#This Row],[Amount 2]]) + IF(AND(TblImps[[#This Row],[Resource 3]]=AN$2,TblImps[[#This Row],[Part 3]]&lt;&gt;""),TblImps[[#This Row],[Amount 3]])</f>
        <v>0</v>
      </c>
      <c r="AO101" s="57">
        <f>IF(AND(TblImps[[#This Row],[Resource]]=AO$2,TblImps[[#This Row],[Part]]&lt;&gt;""),TblImps[[#This Row],[Amount]]) + IF(AND(TblImps[[#This Row],[Resource 2]]=AO$2,TblImps[[#This Row],[Part 2]]&lt;&gt;""),TblImps[[#This Row],[Amount 2]]) + IF(AND(TblImps[[#This Row],[Resource 3]]=AO$2,TblImps[[#This Row],[Part 3]]&lt;&gt;""),TblImps[[#This Row],[Amount 3]])</f>
        <v>0</v>
      </c>
      <c r="AP101" s="57">
        <f>IF(AND(TblImps[[#This Row],[Resource]]=AP$2,TblImps[[#This Row],[Part]]&lt;&gt;""),TblImps[[#This Row],[Amount]]) + IF(AND(TblImps[[#This Row],[Resource 2]]=AP$2,TblImps[[#This Row],[Part 2]]&lt;&gt;""),TblImps[[#This Row],[Amount 2]]) + IF(AND(TblImps[[#This Row],[Resource 3]]=AP$2,TblImps[[#This Row],[Part 3]]&lt;&gt;""),TblImps[[#This Row],[Amount 3]])</f>
        <v>0</v>
      </c>
      <c r="AQ101" s="142"/>
      <c r="AR10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1" s="142"/>
      <c r="AW10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1" s="142"/>
      <c r="BB10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1" s="142"/>
      <c r="BG10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1" s="142"/>
      <c r="BL10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1" s="142"/>
      <c r="BQ10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1" s="142"/>
      <c r="BV10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1" s="61">
        <f>TblImps[[#This Row],[Login]]</f>
        <v>0</v>
      </c>
      <c r="BX101" s="137"/>
      <c r="BY101" s="293">
        <f ca="1">OFFSET(TblImps[[#This Row],[Real time]],-1,0)+1/24</f>
        <v>46051.041666666431</v>
      </c>
      <c r="BZ101" s="294">
        <f ca="1">OFFSET(TblImps[[#This Row],[Servertime]],-1,0)+1/24</f>
        <v>46051.041666666431</v>
      </c>
      <c r="CA101" s="57"/>
      <c r="CB101" s="292"/>
      <c r="CC101" s="292"/>
    </row>
    <row r="102" spans="1:82" x14ac:dyDescent="0.2">
      <c r="A102" s="214">
        <f ca="1">TblConstr[[#This Row],[Land]]</f>
        <v>110</v>
      </c>
      <c r="B102" s="142"/>
      <c r="C102" s="94">
        <f ca="1">TblProd[[#This Row],[Platinum]]</f>
        <v>198814</v>
      </c>
      <c r="D102" s="94">
        <f ca="1">TblProd[[#This Row],[Lumber]]</f>
        <v>68254</v>
      </c>
      <c r="E102" s="94">
        <f ca="1">TblProd[[#This Row],[Ore]]</f>
        <v>0</v>
      </c>
      <c r="F102" s="94">
        <f ca="1">TblProd[[#This Row],[Gems]]</f>
        <v>0</v>
      </c>
      <c r="G102" s="154"/>
      <c r="H102" s="94">
        <f ca="1">TblMili[[#This Row],[Draftees]]</f>
        <v>701</v>
      </c>
      <c r="I102" s="180">
        <f ca="1">TblPop[[#This Row],[Employment]]</f>
        <v>1</v>
      </c>
      <c r="J102" s="180">
        <f ca="1">TblPop[[#This Row],[Total]]/TblPop[[#This Row],[Net max]]</f>
        <v>1</v>
      </c>
      <c r="K102" s="283">
        <f>TblRezone[[#This Row],[Hour]]</f>
        <v>99</v>
      </c>
      <c r="L102" s="284">
        <f ca="1">TblImps[[#This Row],[Real time]]</f>
        <v>46051.083333333096</v>
      </c>
      <c r="M102" s="61">
        <f>IF(ISERROR(TblImps[[#This Row],[algorithm]]),0,TblImps[[#This Row],[algorithm]]*1)</f>
        <v>0</v>
      </c>
      <c r="N102" s="94">
        <f ca="1">TblImps[[#This Row],[Land]]</f>
        <v>110</v>
      </c>
      <c r="O102" s="285" t="s">
        <v>4</v>
      </c>
      <c r="P102" s="286"/>
      <c r="Q102" s="285" t="s">
        <v>210</v>
      </c>
      <c r="R102" s="285" t="s">
        <v>7</v>
      </c>
      <c r="S102" s="286"/>
      <c r="T102" s="285" t="s">
        <v>210</v>
      </c>
      <c r="U102" s="285" t="s">
        <v>3</v>
      </c>
      <c r="V102" s="286"/>
      <c r="W102" s="285" t="s">
        <v>210</v>
      </c>
      <c r="X102" s="142"/>
      <c r="Y102" s="287">
        <f ca="1">science_cap*(1-EXP(-TblImps[[#This Row],[Σ Science]]/(science_param*(OFFSET(TblImps[[#This Row],[Land]],1,0)-OFFSET(TblExplore[[#This Row],[Land Bonus]],1,0)*20)+15000)))*(1+(mason_bonus*TblConstr[[#This Row],[Tot Mas]]/TblConstr[[#This Row],[Land (2)]]))</f>
        <v>0</v>
      </c>
      <c r="Z102" s="287">
        <f ca="1">keep_cap*(1-EXP(-TblImps[[#This Row],[Σ Keep]]/(keep_param*(OFFSET(TblImps[[#This Row],[Land]],1,0)-OFFSET(TblExplore[[#This Row],[Land Bonus]],1,0)*20)+15000)))*(1+(mason_bonus*TblConstr[[#This Row],[Tot Mas]]/TblConstr[[#This Row],[Land (2)]]))</f>
        <v>0</v>
      </c>
      <c r="AA102" s="287">
        <f ca="1">harbor_towers_cap*(1-EXP(-TblImps[[#This Row],[Σ Spires]]/(towers_param*(OFFSET(TblImps[[#This Row],[Land]],1,0)-OFFSET(TblExplore[[#This Row],[Land Bonus]],1,0)*20)+15000)))*(1+(mason_bonus*TblConstr[[#This Row],[Tot Mas]]/TblConstr[[#This Row],[Land (2)]]))</f>
        <v>0</v>
      </c>
      <c r="AB102" s="287">
        <f ca="1">walls_forges_cap*(1-EXP(-TblImps[[#This Row],[Σ Forges]]/(walls_forges_param*(OFFSET(TblImps[[#This Row],[Land]],1,0)-OFFSET(TblExplore[[#This Row],[Land Bonus]],1,0)*20)+15000)))*(1+(mason_bonus*TblConstr[[#This Row],[Tot Mas]]/TblConstr[[#This Row],[Land (2)]]))</f>
        <v>0</v>
      </c>
      <c r="AC102" s="287">
        <f ca="1">walls_forges_cap*(1-EXP(-TblImps[[#This Row],[Σ Walls]]/(walls_forges_param*(OFFSET(TblImps[[#This Row],[Land]],1,0)-OFFSET(TblExplore[[#This Row],[Land Bonus]],1,0)*20)+15000)))*(1+(mason_bonus*TblConstr[[#This Row],[Tot Mas]]/TblConstr[[#This Row],[Land (2)]]))</f>
        <v>0</v>
      </c>
      <c r="AD102" s="287">
        <f ca="1">harbor_towers_cap*(1-EXP(-TblImps[[#This Row],[Σ Harbor]]/(harbor_towers_param*(OFFSET(TblImps[[#This Row],[Land]],1,0)-OFFSET(TblExplore[[#This Row],[Land Bonus]],1,0)*20)+15000)))*(1+(mason_bonus*TblConstr[[#This Row],[Tot Mas]]/TblConstr[[#This Row],[Land (2)]]))</f>
        <v>0</v>
      </c>
      <c r="AE102" s="142"/>
      <c r="AF102" s="61">
        <f ca="1">(1+Overview!$I$29)*SUM(TblImps[[#This Row],[P2]:[G2]])+OFFSET(TblImps[[#This Row],[Σ Science]],-1,0)</f>
        <v>0</v>
      </c>
      <c r="AG102" s="61">
        <f ca="1">(1+Overview!$I$29)*SUM(TblImps[[#This Row],[P3]:[G3]])+OFFSET(TblImps[[#This Row],[Σ Keep]],-1,0)</f>
        <v>0</v>
      </c>
      <c r="AH102" s="61">
        <f ca="1">(1+Overview!$I$29 + tech_7_1*TblTech[[#This Row],[7-1]])*SUM(TblImps[[#This Row],[P4]:[G4]])+OFFSET(TblImps[[#This Row],[Σ Spires]],-1,0)</f>
        <v>0</v>
      </c>
      <c r="AI102" s="61">
        <f ca="1">(1+Overview!$I$29)*SUM(TblImps[[#This Row],[P5]:[G5]])+OFFSET(TblImps[[#This Row],[Σ Forges]],-1,0)</f>
        <v>0</v>
      </c>
      <c r="AJ102" s="61">
        <f ca="1">(1+Overview!$I$29)*SUM(TblImps[[#This Row],[P6]:[G6]])+OFFSET(TblImps[[#This Row],[Σ Walls]],-1,0)</f>
        <v>0</v>
      </c>
      <c r="AK102" s="61">
        <f ca="1">(1+Overview!$I$29 + tech_7_1*TblTech[[#This Row],[7-1]])*SUM(TblImps[[#This Row],[P7]:[G7]])+OFFSET(TblImps[[#This Row],[Σ Harbor]],-1,0)</f>
        <v>0</v>
      </c>
      <c r="AL102" s="142"/>
      <c r="AM102" s="57">
        <f>IF(AND(TblImps[[#This Row],[Resource]]=AM$2,TblImps[[#This Row],[Part]]&lt;&gt;""),TblImps[[#This Row],[Amount]]) + IF(AND(TblImps[[#This Row],[Resource 2]]=AM$2,TblImps[[#This Row],[Part 2]]&lt;&gt;""),TblImps[[#This Row],[Amount 2]]) + IF(AND(TblImps[[#This Row],[Resource 3]]=AM$2,TblImps[[#This Row],[Part 3]]&lt;&gt;""),TblImps[[#This Row],[Amount 3]])</f>
        <v>0</v>
      </c>
      <c r="AN102" s="57">
        <f>IF(AND(TblImps[[#This Row],[Resource]]=AN$2,TblImps[[#This Row],[Part]]&lt;&gt;""),TblImps[[#This Row],[Amount]]) + IF(AND(TblImps[[#This Row],[Resource 2]]=AN$2,TblImps[[#This Row],[Part 2]]&lt;&gt;""),TblImps[[#This Row],[Amount 2]]) + IF(AND(TblImps[[#This Row],[Resource 3]]=AN$2,TblImps[[#This Row],[Part 3]]&lt;&gt;""),TblImps[[#This Row],[Amount 3]])</f>
        <v>0</v>
      </c>
      <c r="AO102" s="57">
        <f>IF(AND(TblImps[[#This Row],[Resource]]=AO$2,TblImps[[#This Row],[Part]]&lt;&gt;""),TblImps[[#This Row],[Amount]]) + IF(AND(TblImps[[#This Row],[Resource 2]]=AO$2,TblImps[[#This Row],[Part 2]]&lt;&gt;""),TblImps[[#This Row],[Amount 2]]) + IF(AND(TblImps[[#This Row],[Resource 3]]=AO$2,TblImps[[#This Row],[Part 3]]&lt;&gt;""),TblImps[[#This Row],[Amount 3]])</f>
        <v>0</v>
      </c>
      <c r="AP102" s="57">
        <f>IF(AND(TblImps[[#This Row],[Resource]]=AP$2,TblImps[[#This Row],[Part]]&lt;&gt;""),TblImps[[#This Row],[Amount]]) + IF(AND(TblImps[[#This Row],[Resource 2]]=AP$2,TblImps[[#This Row],[Part 2]]&lt;&gt;""),TblImps[[#This Row],[Amount 2]]) + IF(AND(TblImps[[#This Row],[Resource 3]]=AP$2,TblImps[[#This Row],[Part 3]]&lt;&gt;""),TblImps[[#This Row],[Amount 3]])</f>
        <v>0</v>
      </c>
      <c r="AQ102" s="142"/>
      <c r="AR10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2" s="142"/>
      <c r="AW10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2" s="142"/>
      <c r="BB10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2" s="142"/>
      <c r="BG10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2" s="142"/>
      <c r="BL10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2" s="142"/>
      <c r="BQ10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2" s="142"/>
      <c r="BV10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2" s="61">
        <f>TblImps[[#This Row],[Login]]</f>
        <v>0</v>
      </c>
      <c r="BX102" s="137"/>
      <c r="BY102" s="293">
        <f ca="1">OFFSET(TblImps[[#This Row],[Real time]],-1,0)+1/24</f>
        <v>46051.083333333096</v>
      </c>
      <c r="BZ102" s="294">
        <f ca="1">OFFSET(TblImps[[#This Row],[Servertime]],-1,0)+1/24</f>
        <v>46051.083333333096</v>
      </c>
      <c r="CA102" s="57"/>
      <c r="CB102" s="292"/>
      <c r="CC102" s="292"/>
      <c r="CD102" s="45" t="s">
        <v>4</v>
      </c>
    </row>
    <row r="103" spans="1:82" x14ac:dyDescent="0.2">
      <c r="A103" s="214">
        <f ca="1">TblConstr[[#This Row],[Land]]</f>
        <v>110</v>
      </c>
      <c r="B103" s="142"/>
      <c r="C103" s="94">
        <f ca="1">TblProd[[#This Row],[Platinum]]</f>
        <v>199826</v>
      </c>
      <c r="D103" s="94">
        <f ca="1">TblProd[[#This Row],[Lumber]]</f>
        <v>68571</v>
      </c>
      <c r="E103" s="94">
        <f ca="1">TblProd[[#This Row],[Ore]]</f>
        <v>0</v>
      </c>
      <c r="F103" s="94">
        <f ca="1">TblProd[[#This Row],[Gems]]</f>
        <v>0</v>
      </c>
      <c r="G103" s="154"/>
      <c r="H103" s="94">
        <f ca="1">TblMili[[#This Row],[Draftees]]</f>
        <v>705</v>
      </c>
      <c r="I103" s="180">
        <f ca="1">TblPop[[#This Row],[Employment]]</f>
        <v>1</v>
      </c>
      <c r="J103" s="180">
        <f ca="1">TblPop[[#This Row],[Total]]/TblPop[[#This Row],[Net max]]</f>
        <v>1</v>
      </c>
      <c r="K103" s="283">
        <f>TblRezone[[#This Row],[Hour]]</f>
        <v>100</v>
      </c>
      <c r="L103" s="284">
        <f ca="1">TblImps[[#This Row],[Real time]]</f>
        <v>46051.12499999976</v>
      </c>
      <c r="M103" s="61">
        <f>IF(ISERROR(TblImps[[#This Row],[algorithm]]),0,TblImps[[#This Row],[algorithm]]*1)</f>
        <v>0</v>
      </c>
      <c r="N103" s="94">
        <f ca="1">TblImps[[#This Row],[Land]]</f>
        <v>110</v>
      </c>
      <c r="O103" s="285" t="s">
        <v>4</v>
      </c>
      <c r="P103" s="286"/>
      <c r="Q103" s="285" t="s">
        <v>210</v>
      </c>
      <c r="R103" s="285" t="s">
        <v>7</v>
      </c>
      <c r="S103" s="286"/>
      <c r="T103" s="285" t="s">
        <v>210</v>
      </c>
      <c r="U103" s="285" t="s">
        <v>3</v>
      </c>
      <c r="V103" s="286"/>
      <c r="W103" s="285" t="s">
        <v>210</v>
      </c>
      <c r="X103" s="142"/>
      <c r="Y103" s="287">
        <f ca="1">science_cap*(1-EXP(-TblImps[[#This Row],[Σ Science]]/(science_param*(OFFSET(TblImps[[#This Row],[Land]],1,0)-OFFSET(TblExplore[[#This Row],[Land Bonus]],1,0)*20)+15000)))*(1+(mason_bonus*TblConstr[[#This Row],[Tot Mas]]/TblConstr[[#This Row],[Land (2)]]))</f>
        <v>0</v>
      </c>
      <c r="Z103" s="287">
        <f ca="1">keep_cap*(1-EXP(-TblImps[[#This Row],[Σ Keep]]/(keep_param*(OFFSET(TblImps[[#This Row],[Land]],1,0)-OFFSET(TblExplore[[#This Row],[Land Bonus]],1,0)*20)+15000)))*(1+(mason_bonus*TblConstr[[#This Row],[Tot Mas]]/TblConstr[[#This Row],[Land (2)]]))</f>
        <v>0</v>
      </c>
      <c r="AA103" s="287">
        <f ca="1">harbor_towers_cap*(1-EXP(-TblImps[[#This Row],[Σ Spires]]/(towers_param*(OFFSET(TblImps[[#This Row],[Land]],1,0)-OFFSET(TblExplore[[#This Row],[Land Bonus]],1,0)*20)+15000)))*(1+(mason_bonus*TblConstr[[#This Row],[Tot Mas]]/TblConstr[[#This Row],[Land (2)]]))</f>
        <v>0</v>
      </c>
      <c r="AB103" s="287">
        <f ca="1">walls_forges_cap*(1-EXP(-TblImps[[#This Row],[Σ Forges]]/(walls_forges_param*(OFFSET(TblImps[[#This Row],[Land]],1,0)-OFFSET(TblExplore[[#This Row],[Land Bonus]],1,0)*20)+15000)))*(1+(mason_bonus*TblConstr[[#This Row],[Tot Mas]]/TblConstr[[#This Row],[Land (2)]]))</f>
        <v>0</v>
      </c>
      <c r="AC103" s="287">
        <f ca="1">walls_forges_cap*(1-EXP(-TblImps[[#This Row],[Σ Walls]]/(walls_forges_param*(OFFSET(TblImps[[#This Row],[Land]],1,0)-OFFSET(TblExplore[[#This Row],[Land Bonus]],1,0)*20)+15000)))*(1+(mason_bonus*TblConstr[[#This Row],[Tot Mas]]/TblConstr[[#This Row],[Land (2)]]))</f>
        <v>0</v>
      </c>
      <c r="AD103" s="287">
        <f ca="1">harbor_towers_cap*(1-EXP(-TblImps[[#This Row],[Σ Harbor]]/(harbor_towers_param*(OFFSET(TblImps[[#This Row],[Land]],1,0)-OFFSET(TblExplore[[#This Row],[Land Bonus]],1,0)*20)+15000)))*(1+(mason_bonus*TblConstr[[#This Row],[Tot Mas]]/TblConstr[[#This Row],[Land (2)]]))</f>
        <v>0</v>
      </c>
      <c r="AE103" s="142"/>
      <c r="AF103" s="61">
        <f ca="1">(1+Overview!$I$29)*SUM(TblImps[[#This Row],[P2]:[G2]])+OFFSET(TblImps[[#This Row],[Σ Science]],-1,0)</f>
        <v>0</v>
      </c>
      <c r="AG103" s="61">
        <f ca="1">(1+Overview!$I$29)*SUM(TblImps[[#This Row],[P3]:[G3]])+OFFSET(TblImps[[#This Row],[Σ Keep]],-1,0)</f>
        <v>0</v>
      </c>
      <c r="AH103" s="61">
        <f ca="1">(1+Overview!$I$29 + tech_7_1*TblTech[[#This Row],[7-1]])*SUM(TblImps[[#This Row],[P4]:[G4]])+OFFSET(TblImps[[#This Row],[Σ Spires]],-1,0)</f>
        <v>0</v>
      </c>
      <c r="AI103" s="61">
        <f ca="1">(1+Overview!$I$29)*SUM(TblImps[[#This Row],[P5]:[G5]])+OFFSET(TblImps[[#This Row],[Σ Forges]],-1,0)</f>
        <v>0</v>
      </c>
      <c r="AJ103" s="61">
        <f ca="1">(1+Overview!$I$29)*SUM(TblImps[[#This Row],[P6]:[G6]])+OFFSET(TblImps[[#This Row],[Σ Walls]],-1,0)</f>
        <v>0</v>
      </c>
      <c r="AK103" s="61">
        <f ca="1">(1+Overview!$I$29 + tech_7_1*TblTech[[#This Row],[7-1]])*SUM(TblImps[[#This Row],[P7]:[G7]])+OFFSET(TblImps[[#This Row],[Σ Harbor]],-1,0)</f>
        <v>0</v>
      </c>
      <c r="AL103" s="142"/>
      <c r="AM103" s="57">
        <f>IF(AND(TblImps[[#This Row],[Resource]]=AM$2,TblImps[[#This Row],[Part]]&lt;&gt;""),TblImps[[#This Row],[Amount]]) + IF(AND(TblImps[[#This Row],[Resource 2]]=AM$2,TblImps[[#This Row],[Part 2]]&lt;&gt;""),TblImps[[#This Row],[Amount 2]]) + IF(AND(TblImps[[#This Row],[Resource 3]]=AM$2,TblImps[[#This Row],[Part 3]]&lt;&gt;""),TblImps[[#This Row],[Amount 3]])</f>
        <v>0</v>
      </c>
      <c r="AN103" s="57">
        <f>IF(AND(TblImps[[#This Row],[Resource]]=AN$2,TblImps[[#This Row],[Part]]&lt;&gt;""),TblImps[[#This Row],[Amount]]) + IF(AND(TblImps[[#This Row],[Resource 2]]=AN$2,TblImps[[#This Row],[Part 2]]&lt;&gt;""),TblImps[[#This Row],[Amount 2]]) + IF(AND(TblImps[[#This Row],[Resource 3]]=AN$2,TblImps[[#This Row],[Part 3]]&lt;&gt;""),TblImps[[#This Row],[Amount 3]])</f>
        <v>0</v>
      </c>
      <c r="AO103" s="57">
        <f>IF(AND(TblImps[[#This Row],[Resource]]=AO$2,TblImps[[#This Row],[Part]]&lt;&gt;""),TblImps[[#This Row],[Amount]]) + IF(AND(TblImps[[#This Row],[Resource 2]]=AO$2,TblImps[[#This Row],[Part 2]]&lt;&gt;""),TblImps[[#This Row],[Amount 2]]) + IF(AND(TblImps[[#This Row],[Resource 3]]=AO$2,TblImps[[#This Row],[Part 3]]&lt;&gt;""),TblImps[[#This Row],[Amount 3]])</f>
        <v>0</v>
      </c>
      <c r="AP103" s="57">
        <f>IF(AND(TblImps[[#This Row],[Resource]]=AP$2,TblImps[[#This Row],[Part]]&lt;&gt;""),TblImps[[#This Row],[Amount]]) + IF(AND(TblImps[[#This Row],[Resource 2]]=AP$2,TblImps[[#This Row],[Part 2]]&lt;&gt;""),TblImps[[#This Row],[Amount 2]]) + IF(AND(TblImps[[#This Row],[Resource 3]]=AP$2,TblImps[[#This Row],[Part 3]]&lt;&gt;""),TblImps[[#This Row],[Amount 3]])</f>
        <v>0</v>
      </c>
      <c r="AQ103" s="142"/>
      <c r="AR10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3" s="142"/>
      <c r="AW10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3" s="142"/>
      <c r="BB10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3" s="142"/>
      <c r="BG10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3" s="142"/>
      <c r="BL10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3" s="142"/>
      <c r="BQ10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3" s="142"/>
      <c r="BV10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3" s="61">
        <f>TblImps[[#This Row],[Login]]</f>
        <v>0</v>
      </c>
      <c r="BX103" s="137"/>
      <c r="BY103" s="293">
        <f ca="1">OFFSET(TblImps[[#This Row],[Real time]],-1,0)+1/24</f>
        <v>46051.12499999976</v>
      </c>
      <c r="BZ103" s="294">
        <f ca="1">OFFSET(TblImps[[#This Row],[Servertime]],-1,0)+1/24</f>
        <v>46051.12499999976</v>
      </c>
      <c r="CA103" s="57"/>
      <c r="CB103" s="292"/>
      <c r="CC103" s="292"/>
      <c r="CD103" s="45" t="s">
        <v>7</v>
      </c>
    </row>
    <row r="104" spans="1:82" x14ac:dyDescent="0.2">
      <c r="A104" s="214">
        <f ca="1">TblConstr[[#This Row],[Land]]</f>
        <v>110</v>
      </c>
      <c r="B104" s="142"/>
      <c r="C104" s="94">
        <f ca="1">TblProd[[#This Row],[Platinum]]</f>
        <v>200827</v>
      </c>
      <c r="D104" s="94">
        <f ca="1">TblProd[[#This Row],[Lumber]]</f>
        <v>68885</v>
      </c>
      <c r="E104" s="94">
        <f ca="1">TblProd[[#This Row],[Ore]]</f>
        <v>0</v>
      </c>
      <c r="F104" s="94">
        <f ca="1">TblProd[[#This Row],[Gems]]</f>
        <v>0</v>
      </c>
      <c r="G104" s="154"/>
      <c r="H104" s="94">
        <f ca="1">TblMili[[#This Row],[Draftees]]</f>
        <v>709</v>
      </c>
      <c r="I104" s="180">
        <f ca="1">TblPop[[#This Row],[Employment]]</f>
        <v>1</v>
      </c>
      <c r="J104" s="180">
        <f ca="1">TblPop[[#This Row],[Total]]/TblPop[[#This Row],[Net max]]</f>
        <v>1</v>
      </c>
      <c r="K104" s="283">
        <f>TblRezone[[#This Row],[Hour]]</f>
        <v>101</v>
      </c>
      <c r="L104" s="284">
        <f ca="1">TblImps[[#This Row],[Real time]]</f>
        <v>46051.166666666424</v>
      </c>
      <c r="M104" s="61">
        <f>IF(ISERROR(TblImps[[#This Row],[algorithm]]),0,TblImps[[#This Row],[algorithm]]*1)</f>
        <v>0</v>
      </c>
      <c r="N104" s="94">
        <f ca="1">TblImps[[#This Row],[Land]]</f>
        <v>110</v>
      </c>
      <c r="O104" s="285" t="s">
        <v>4</v>
      </c>
      <c r="P104" s="286"/>
      <c r="Q104" s="285" t="s">
        <v>210</v>
      </c>
      <c r="R104" s="285" t="s">
        <v>7</v>
      </c>
      <c r="S104" s="286"/>
      <c r="T104" s="285" t="s">
        <v>210</v>
      </c>
      <c r="U104" s="285" t="s">
        <v>3</v>
      </c>
      <c r="V104" s="286"/>
      <c r="W104" s="285" t="s">
        <v>210</v>
      </c>
      <c r="X104" s="142"/>
      <c r="Y104" s="287">
        <f ca="1">science_cap*(1-EXP(-TblImps[[#This Row],[Σ Science]]/(science_param*(OFFSET(TblImps[[#This Row],[Land]],1,0)-OFFSET(TblExplore[[#This Row],[Land Bonus]],1,0)*20)+15000)))*(1+(mason_bonus*TblConstr[[#This Row],[Tot Mas]]/TblConstr[[#This Row],[Land (2)]]))</f>
        <v>0</v>
      </c>
      <c r="Z104" s="287">
        <f ca="1">keep_cap*(1-EXP(-TblImps[[#This Row],[Σ Keep]]/(keep_param*(OFFSET(TblImps[[#This Row],[Land]],1,0)-OFFSET(TblExplore[[#This Row],[Land Bonus]],1,0)*20)+15000)))*(1+(mason_bonus*TblConstr[[#This Row],[Tot Mas]]/TblConstr[[#This Row],[Land (2)]]))</f>
        <v>0</v>
      </c>
      <c r="AA104" s="287">
        <f ca="1">harbor_towers_cap*(1-EXP(-TblImps[[#This Row],[Σ Spires]]/(towers_param*(OFFSET(TblImps[[#This Row],[Land]],1,0)-OFFSET(TblExplore[[#This Row],[Land Bonus]],1,0)*20)+15000)))*(1+(mason_bonus*TblConstr[[#This Row],[Tot Mas]]/TblConstr[[#This Row],[Land (2)]]))</f>
        <v>0</v>
      </c>
      <c r="AB104" s="287">
        <f ca="1">walls_forges_cap*(1-EXP(-TblImps[[#This Row],[Σ Forges]]/(walls_forges_param*(OFFSET(TblImps[[#This Row],[Land]],1,0)-OFFSET(TblExplore[[#This Row],[Land Bonus]],1,0)*20)+15000)))*(1+(mason_bonus*TblConstr[[#This Row],[Tot Mas]]/TblConstr[[#This Row],[Land (2)]]))</f>
        <v>0</v>
      </c>
      <c r="AC104" s="287">
        <f ca="1">walls_forges_cap*(1-EXP(-TblImps[[#This Row],[Σ Walls]]/(walls_forges_param*(OFFSET(TblImps[[#This Row],[Land]],1,0)-OFFSET(TblExplore[[#This Row],[Land Bonus]],1,0)*20)+15000)))*(1+(mason_bonus*TblConstr[[#This Row],[Tot Mas]]/TblConstr[[#This Row],[Land (2)]]))</f>
        <v>0</v>
      </c>
      <c r="AD104" s="287">
        <f ca="1">harbor_towers_cap*(1-EXP(-TblImps[[#This Row],[Σ Harbor]]/(harbor_towers_param*(OFFSET(TblImps[[#This Row],[Land]],1,0)-OFFSET(TblExplore[[#This Row],[Land Bonus]],1,0)*20)+15000)))*(1+(mason_bonus*TblConstr[[#This Row],[Tot Mas]]/TblConstr[[#This Row],[Land (2)]]))</f>
        <v>0</v>
      </c>
      <c r="AE104" s="142"/>
      <c r="AF104" s="61">
        <f ca="1">(1+Overview!$I$29)*SUM(TblImps[[#This Row],[P2]:[G2]])+OFFSET(TblImps[[#This Row],[Σ Science]],-1,0)</f>
        <v>0</v>
      </c>
      <c r="AG104" s="61">
        <f ca="1">(1+Overview!$I$29)*SUM(TblImps[[#This Row],[P3]:[G3]])+OFFSET(TblImps[[#This Row],[Σ Keep]],-1,0)</f>
        <v>0</v>
      </c>
      <c r="AH104" s="61">
        <f ca="1">(1+Overview!$I$29 + tech_7_1*TblTech[[#This Row],[7-1]])*SUM(TblImps[[#This Row],[P4]:[G4]])+OFFSET(TblImps[[#This Row],[Σ Spires]],-1,0)</f>
        <v>0</v>
      </c>
      <c r="AI104" s="61">
        <f ca="1">(1+Overview!$I$29)*SUM(TblImps[[#This Row],[P5]:[G5]])+OFFSET(TblImps[[#This Row],[Σ Forges]],-1,0)</f>
        <v>0</v>
      </c>
      <c r="AJ104" s="61">
        <f ca="1">(1+Overview!$I$29)*SUM(TblImps[[#This Row],[P6]:[G6]])+OFFSET(TblImps[[#This Row],[Σ Walls]],-1,0)</f>
        <v>0</v>
      </c>
      <c r="AK104" s="61">
        <f ca="1">(1+Overview!$I$29 + tech_7_1*TblTech[[#This Row],[7-1]])*SUM(TblImps[[#This Row],[P7]:[G7]])+OFFSET(TblImps[[#This Row],[Σ Harbor]],-1,0)</f>
        <v>0</v>
      </c>
      <c r="AL104" s="142"/>
      <c r="AM104" s="57">
        <f>IF(AND(TblImps[[#This Row],[Resource]]=AM$2,TblImps[[#This Row],[Part]]&lt;&gt;""),TblImps[[#This Row],[Amount]]) + IF(AND(TblImps[[#This Row],[Resource 2]]=AM$2,TblImps[[#This Row],[Part 2]]&lt;&gt;""),TblImps[[#This Row],[Amount 2]]) + IF(AND(TblImps[[#This Row],[Resource 3]]=AM$2,TblImps[[#This Row],[Part 3]]&lt;&gt;""),TblImps[[#This Row],[Amount 3]])</f>
        <v>0</v>
      </c>
      <c r="AN104" s="57">
        <f>IF(AND(TblImps[[#This Row],[Resource]]=AN$2,TblImps[[#This Row],[Part]]&lt;&gt;""),TblImps[[#This Row],[Amount]]) + IF(AND(TblImps[[#This Row],[Resource 2]]=AN$2,TblImps[[#This Row],[Part 2]]&lt;&gt;""),TblImps[[#This Row],[Amount 2]]) + IF(AND(TblImps[[#This Row],[Resource 3]]=AN$2,TblImps[[#This Row],[Part 3]]&lt;&gt;""),TblImps[[#This Row],[Amount 3]])</f>
        <v>0</v>
      </c>
      <c r="AO104" s="57">
        <f>IF(AND(TblImps[[#This Row],[Resource]]=AO$2,TblImps[[#This Row],[Part]]&lt;&gt;""),TblImps[[#This Row],[Amount]]) + IF(AND(TblImps[[#This Row],[Resource 2]]=AO$2,TblImps[[#This Row],[Part 2]]&lt;&gt;""),TblImps[[#This Row],[Amount 2]]) + IF(AND(TblImps[[#This Row],[Resource 3]]=AO$2,TblImps[[#This Row],[Part 3]]&lt;&gt;""),TblImps[[#This Row],[Amount 3]])</f>
        <v>0</v>
      </c>
      <c r="AP104" s="57">
        <f>IF(AND(TblImps[[#This Row],[Resource]]=AP$2,TblImps[[#This Row],[Part]]&lt;&gt;""),TblImps[[#This Row],[Amount]]) + IF(AND(TblImps[[#This Row],[Resource 2]]=AP$2,TblImps[[#This Row],[Part 2]]&lt;&gt;""),TblImps[[#This Row],[Amount 2]]) + IF(AND(TblImps[[#This Row],[Resource 3]]=AP$2,TblImps[[#This Row],[Part 3]]&lt;&gt;""),TblImps[[#This Row],[Amount 3]])</f>
        <v>0</v>
      </c>
      <c r="AQ104" s="142"/>
      <c r="AR10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4" s="142"/>
      <c r="AW10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4" s="142"/>
      <c r="BB10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4" s="142"/>
      <c r="BG10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4" s="142"/>
      <c r="BL10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4" s="142"/>
      <c r="BQ10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4" s="142"/>
      <c r="BV10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4" s="61">
        <f>TblImps[[#This Row],[Login]]</f>
        <v>0</v>
      </c>
      <c r="BX104" s="137"/>
      <c r="BY104" s="293">
        <f ca="1">OFFSET(TblImps[[#This Row],[Real time]],-1,0)+1/24</f>
        <v>46051.166666666424</v>
      </c>
      <c r="BZ104" s="294">
        <f ca="1">OFFSET(TblImps[[#This Row],[Servertime]],-1,0)+1/24</f>
        <v>46051.166666666424</v>
      </c>
      <c r="CA104" s="57"/>
      <c r="CB104" s="292"/>
      <c r="CC104" s="292"/>
      <c r="CD104" s="45" t="s">
        <v>3</v>
      </c>
    </row>
    <row r="105" spans="1:82" x14ac:dyDescent="0.2">
      <c r="A105" s="214">
        <f ca="1">TblConstr[[#This Row],[Land]]</f>
        <v>110</v>
      </c>
      <c r="B105" s="142"/>
      <c r="C105" s="94">
        <f ca="1">TblProd[[#This Row],[Platinum]]</f>
        <v>201817</v>
      </c>
      <c r="D105" s="94">
        <f ca="1">TblProd[[#This Row],[Lumber]]</f>
        <v>69196</v>
      </c>
      <c r="E105" s="94">
        <f ca="1">TblProd[[#This Row],[Ore]]</f>
        <v>0</v>
      </c>
      <c r="F105" s="94">
        <f ca="1">TblProd[[#This Row],[Gems]]</f>
        <v>0</v>
      </c>
      <c r="G105" s="154"/>
      <c r="H105" s="94">
        <f ca="1">TblMili[[#This Row],[Draftees]]</f>
        <v>713</v>
      </c>
      <c r="I105" s="180">
        <f ca="1">TblPop[[#This Row],[Employment]]</f>
        <v>1</v>
      </c>
      <c r="J105" s="180">
        <f ca="1">TblPop[[#This Row],[Total]]/TblPop[[#This Row],[Net max]]</f>
        <v>1</v>
      </c>
      <c r="K105" s="283">
        <f>TblRezone[[#This Row],[Hour]]</f>
        <v>102</v>
      </c>
      <c r="L105" s="284">
        <f ca="1">TblImps[[#This Row],[Real time]]</f>
        <v>46051.208333333088</v>
      </c>
      <c r="M105" s="61">
        <f>IF(ISERROR(TblImps[[#This Row],[algorithm]]),0,TblImps[[#This Row],[algorithm]]*1)</f>
        <v>0</v>
      </c>
      <c r="N105" s="94">
        <f ca="1">TblImps[[#This Row],[Land]]</f>
        <v>110</v>
      </c>
      <c r="O105" s="285" t="s">
        <v>4</v>
      </c>
      <c r="P105" s="286"/>
      <c r="Q105" s="285" t="s">
        <v>210</v>
      </c>
      <c r="R105" s="285" t="s">
        <v>7</v>
      </c>
      <c r="S105" s="286"/>
      <c r="T105" s="285" t="s">
        <v>210</v>
      </c>
      <c r="U105" s="285" t="s">
        <v>3</v>
      </c>
      <c r="V105" s="286"/>
      <c r="W105" s="285" t="s">
        <v>210</v>
      </c>
      <c r="X105" s="142"/>
      <c r="Y105" s="287">
        <f ca="1">science_cap*(1-EXP(-TblImps[[#This Row],[Σ Science]]/(science_param*(OFFSET(TblImps[[#This Row],[Land]],1,0)-OFFSET(TblExplore[[#This Row],[Land Bonus]],1,0)*20)+15000)))*(1+(mason_bonus*TblConstr[[#This Row],[Tot Mas]]/TblConstr[[#This Row],[Land (2)]]))</f>
        <v>0</v>
      </c>
      <c r="Z105" s="287">
        <f ca="1">keep_cap*(1-EXP(-TblImps[[#This Row],[Σ Keep]]/(keep_param*(OFFSET(TblImps[[#This Row],[Land]],1,0)-OFFSET(TblExplore[[#This Row],[Land Bonus]],1,0)*20)+15000)))*(1+(mason_bonus*TblConstr[[#This Row],[Tot Mas]]/TblConstr[[#This Row],[Land (2)]]))</f>
        <v>0</v>
      </c>
      <c r="AA105" s="287">
        <f ca="1">harbor_towers_cap*(1-EXP(-TblImps[[#This Row],[Σ Spires]]/(towers_param*(OFFSET(TblImps[[#This Row],[Land]],1,0)-OFFSET(TblExplore[[#This Row],[Land Bonus]],1,0)*20)+15000)))*(1+(mason_bonus*TblConstr[[#This Row],[Tot Mas]]/TblConstr[[#This Row],[Land (2)]]))</f>
        <v>0</v>
      </c>
      <c r="AB105" s="287">
        <f ca="1">walls_forges_cap*(1-EXP(-TblImps[[#This Row],[Σ Forges]]/(walls_forges_param*(OFFSET(TblImps[[#This Row],[Land]],1,0)-OFFSET(TblExplore[[#This Row],[Land Bonus]],1,0)*20)+15000)))*(1+(mason_bonus*TblConstr[[#This Row],[Tot Mas]]/TblConstr[[#This Row],[Land (2)]]))</f>
        <v>0</v>
      </c>
      <c r="AC105" s="287">
        <f ca="1">walls_forges_cap*(1-EXP(-TblImps[[#This Row],[Σ Walls]]/(walls_forges_param*(OFFSET(TblImps[[#This Row],[Land]],1,0)-OFFSET(TblExplore[[#This Row],[Land Bonus]],1,0)*20)+15000)))*(1+(mason_bonus*TblConstr[[#This Row],[Tot Mas]]/TblConstr[[#This Row],[Land (2)]]))</f>
        <v>0</v>
      </c>
      <c r="AD105" s="287">
        <f ca="1">harbor_towers_cap*(1-EXP(-TblImps[[#This Row],[Σ Harbor]]/(harbor_towers_param*(OFFSET(TblImps[[#This Row],[Land]],1,0)-OFFSET(TblExplore[[#This Row],[Land Bonus]],1,0)*20)+15000)))*(1+(mason_bonus*TblConstr[[#This Row],[Tot Mas]]/TblConstr[[#This Row],[Land (2)]]))</f>
        <v>0</v>
      </c>
      <c r="AE105" s="142"/>
      <c r="AF105" s="61">
        <f ca="1">(1+Overview!$I$29)*SUM(TblImps[[#This Row],[P2]:[G2]])+OFFSET(TblImps[[#This Row],[Σ Science]],-1,0)</f>
        <v>0</v>
      </c>
      <c r="AG105" s="61">
        <f ca="1">(1+Overview!$I$29)*SUM(TblImps[[#This Row],[P3]:[G3]])+OFFSET(TblImps[[#This Row],[Σ Keep]],-1,0)</f>
        <v>0</v>
      </c>
      <c r="AH105" s="61">
        <f ca="1">(1+Overview!$I$29 + tech_7_1*TblTech[[#This Row],[7-1]])*SUM(TblImps[[#This Row],[P4]:[G4]])+OFFSET(TblImps[[#This Row],[Σ Spires]],-1,0)</f>
        <v>0</v>
      </c>
      <c r="AI105" s="61">
        <f ca="1">(1+Overview!$I$29)*SUM(TblImps[[#This Row],[P5]:[G5]])+OFFSET(TblImps[[#This Row],[Σ Forges]],-1,0)</f>
        <v>0</v>
      </c>
      <c r="AJ105" s="61">
        <f ca="1">(1+Overview!$I$29)*SUM(TblImps[[#This Row],[P6]:[G6]])+OFFSET(TblImps[[#This Row],[Σ Walls]],-1,0)</f>
        <v>0</v>
      </c>
      <c r="AK105" s="61">
        <f ca="1">(1+Overview!$I$29 + tech_7_1*TblTech[[#This Row],[7-1]])*SUM(TblImps[[#This Row],[P7]:[G7]])+OFFSET(TblImps[[#This Row],[Σ Harbor]],-1,0)</f>
        <v>0</v>
      </c>
      <c r="AL105" s="142"/>
      <c r="AM105" s="57">
        <f>IF(AND(TblImps[[#This Row],[Resource]]=AM$2,TblImps[[#This Row],[Part]]&lt;&gt;""),TblImps[[#This Row],[Amount]]) + IF(AND(TblImps[[#This Row],[Resource 2]]=AM$2,TblImps[[#This Row],[Part 2]]&lt;&gt;""),TblImps[[#This Row],[Amount 2]]) + IF(AND(TblImps[[#This Row],[Resource 3]]=AM$2,TblImps[[#This Row],[Part 3]]&lt;&gt;""),TblImps[[#This Row],[Amount 3]])</f>
        <v>0</v>
      </c>
      <c r="AN105" s="57">
        <f>IF(AND(TblImps[[#This Row],[Resource]]=AN$2,TblImps[[#This Row],[Part]]&lt;&gt;""),TblImps[[#This Row],[Amount]]) + IF(AND(TblImps[[#This Row],[Resource 2]]=AN$2,TblImps[[#This Row],[Part 2]]&lt;&gt;""),TblImps[[#This Row],[Amount 2]]) + IF(AND(TblImps[[#This Row],[Resource 3]]=AN$2,TblImps[[#This Row],[Part 3]]&lt;&gt;""),TblImps[[#This Row],[Amount 3]])</f>
        <v>0</v>
      </c>
      <c r="AO105" s="57">
        <f>IF(AND(TblImps[[#This Row],[Resource]]=AO$2,TblImps[[#This Row],[Part]]&lt;&gt;""),TblImps[[#This Row],[Amount]]) + IF(AND(TblImps[[#This Row],[Resource 2]]=AO$2,TblImps[[#This Row],[Part 2]]&lt;&gt;""),TblImps[[#This Row],[Amount 2]]) + IF(AND(TblImps[[#This Row],[Resource 3]]=AO$2,TblImps[[#This Row],[Part 3]]&lt;&gt;""),TblImps[[#This Row],[Amount 3]])</f>
        <v>0</v>
      </c>
      <c r="AP105" s="57">
        <f>IF(AND(TblImps[[#This Row],[Resource]]=AP$2,TblImps[[#This Row],[Part]]&lt;&gt;""),TblImps[[#This Row],[Amount]]) + IF(AND(TblImps[[#This Row],[Resource 2]]=AP$2,TblImps[[#This Row],[Part 2]]&lt;&gt;""),TblImps[[#This Row],[Amount 2]]) + IF(AND(TblImps[[#This Row],[Resource 3]]=AP$2,TblImps[[#This Row],[Part 3]]&lt;&gt;""),TblImps[[#This Row],[Amount 3]])</f>
        <v>0</v>
      </c>
      <c r="AQ105" s="142"/>
      <c r="AR10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5" s="142"/>
      <c r="AW10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5" s="142"/>
      <c r="BB10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5" s="142"/>
      <c r="BG10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5" s="142"/>
      <c r="BL10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5" s="142"/>
      <c r="BQ10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5" s="142"/>
      <c r="BV10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5" s="61">
        <f>TblImps[[#This Row],[Login]]</f>
        <v>0</v>
      </c>
      <c r="BX105" s="137"/>
      <c r="BY105" s="293">
        <f ca="1">OFFSET(TblImps[[#This Row],[Real time]],-1,0)+1/24</f>
        <v>46051.208333333088</v>
      </c>
      <c r="BZ105" s="294">
        <f ca="1">OFFSET(TblImps[[#This Row],[Servertime]],-1,0)+1/24</f>
        <v>46051.208333333088</v>
      </c>
      <c r="CA105" s="57"/>
      <c r="CB105" s="292"/>
      <c r="CC105" s="292"/>
      <c r="CD105" s="45" t="s">
        <v>2</v>
      </c>
    </row>
    <row r="106" spans="1:82" x14ac:dyDescent="0.2">
      <c r="A106" s="214">
        <f ca="1">TblConstr[[#This Row],[Land]]</f>
        <v>110</v>
      </c>
      <c r="B106" s="142"/>
      <c r="C106" s="94">
        <f ca="1">TblProd[[#This Row],[Platinum]]</f>
        <v>202797</v>
      </c>
      <c r="D106" s="94">
        <f ca="1">TblProd[[#This Row],[Lumber]]</f>
        <v>69504</v>
      </c>
      <c r="E106" s="94">
        <f ca="1">TblProd[[#This Row],[Ore]]</f>
        <v>0</v>
      </c>
      <c r="F106" s="94">
        <f ca="1">TblProd[[#This Row],[Gems]]</f>
        <v>0</v>
      </c>
      <c r="G106" s="154"/>
      <c r="H106" s="94">
        <f ca="1">TblMili[[#This Row],[Draftees]]</f>
        <v>717</v>
      </c>
      <c r="I106" s="180">
        <f ca="1">TblPop[[#This Row],[Employment]]</f>
        <v>1</v>
      </c>
      <c r="J106" s="180">
        <f ca="1">TblPop[[#This Row],[Total]]/TblPop[[#This Row],[Net max]]</f>
        <v>1</v>
      </c>
      <c r="K106" s="283">
        <f>TblRezone[[#This Row],[Hour]]</f>
        <v>103</v>
      </c>
      <c r="L106" s="284">
        <f ca="1">TblImps[[#This Row],[Real time]]</f>
        <v>46051.249999999753</v>
      </c>
      <c r="M106" s="61">
        <f>IF(ISERROR(TblImps[[#This Row],[algorithm]]),0,TblImps[[#This Row],[algorithm]]*1)</f>
        <v>0</v>
      </c>
      <c r="N106" s="94">
        <f ca="1">TblImps[[#This Row],[Land]]</f>
        <v>110</v>
      </c>
      <c r="O106" s="285" t="s">
        <v>4</v>
      </c>
      <c r="P106" s="286"/>
      <c r="Q106" s="285" t="s">
        <v>210</v>
      </c>
      <c r="R106" s="285" t="s">
        <v>7</v>
      </c>
      <c r="S106" s="286"/>
      <c r="T106" s="285" t="s">
        <v>210</v>
      </c>
      <c r="U106" s="285" t="s">
        <v>3</v>
      </c>
      <c r="V106" s="286"/>
      <c r="W106" s="285" t="s">
        <v>210</v>
      </c>
      <c r="X106" s="142"/>
      <c r="Y106" s="287">
        <f ca="1">science_cap*(1-EXP(-TblImps[[#This Row],[Σ Science]]/(science_param*(OFFSET(TblImps[[#This Row],[Land]],1,0)-OFFSET(TblExplore[[#This Row],[Land Bonus]],1,0)*20)+15000)))*(1+(mason_bonus*TblConstr[[#This Row],[Tot Mas]]/TblConstr[[#This Row],[Land (2)]]))</f>
        <v>0</v>
      </c>
      <c r="Z106" s="287">
        <f ca="1">keep_cap*(1-EXP(-TblImps[[#This Row],[Σ Keep]]/(keep_param*(OFFSET(TblImps[[#This Row],[Land]],1,0)-OFFSET(TblExplore[[#This Row],[Land Bonus]],1,0)*20)+15000)))*(1+(mason_bonus*TblConstr[[#This Row],[Tot Mas]]/TblConstr[[#This Row],[Land (2)]]))</f>
        <v>0</v>
      </c>
      <c r="AA106" s="287">
        <f ca="1">harbor_towers_cap*(1-EXP(-TblImps[[#This Row],[Σ Spires]]/(towers_param*(OFFSET(TblImps[[#This Row],[Land]],1,0)-OFFSET(TblExplore[[#This Row],[Land Bonus]],1,0)*20)+15000)))*(1+(mason_bonus*TblConstr[[#This Row],[Tot Mas]]/TblConstr[[#This Row],[Land (2)]]))</f>
        <v>0</v>
      </c>
      <c r="AB106" s="287">
        <f ca="1">walls_forges_cap*(1-EXP(-TblImps[[#This Row],[Σ Forges]]/(walls_forges_param*(OFFSET(TblImps[[#This Row],[Land]],1,0)-OFFSET(TblExplore[[#This Row],[Land Bonus]],1,0)*20)+15000)))*(1+(mason_bonus*TblConstr[[#This Row],[Tot Mas]]/TblConstr[[#This Row],[Land (2)]]))</f>
        <v>0</v>
      </c>
      <c r="AC106" s="287">
        <f ca="1">walls_forges_cap*(1-EXP(-TblImps[[#This Row],[Σ Walls]]/(walls_forges_param*(OFFSET(TblImps[[#This Row],[Land]],1,0)-OFFSET(TblExplore[[#This Row],[Land Bonus]],1,0)*20)+15000)))*(1+(mason_bonus*TblConstr[[#This Row],[Tot Mas]]/TblConstr[[#This Row],[Land (2)]]))</f>
        <v>0</v>
      </c>
      <c r="AD106" s="287">
        <f ca="1">harbor_towers_cap*(1-EXP(-TblImps[[#This Row],[Σ Harbor]]/(harbor_towers_param*(OFFSET(TblImps[[#This Row],[Land]],1,0)-OFFSET(TblExplore[[#This Row],[Land Bonus]],1,0)*20)+15000)))*(1+(mason_bonus*TblConstr[[#This Row],[Tot Mas]]/TblConstr[[#This Row],[Land (2)]]))</f>
        <v>0</v>
      </c>
      <c r="AE106" s="142"/>
      <c r="AF106" s="61">
        <f ca="1">(1+Overview!$I$29)*SUM(TblImps[[#This Row],[P2]:[G2]])+OFFSET(TblImps[[#This Row],[Σ Science]],-1,0)</f>
        <v>0</v>
      </c>
      <c r="AG106" s="61">
        <f ca="1">(1+Overview!$I$29)*SUM(TblImps[[#This Row],[P3]:[G3]])+OFFSET(TblImps[[#This Row],[Σ Keep]],-1,0)</f>
        <v>0</v>
      </c>
      <c r="AH106" s="61">
        <f ca="1">(1+Overview!$I$29 + tech_7_1*TblTech[[#This Row],[7-1]])*SUM(TblImps[[#This Row],[P4]:[G4]])+OFFSET(TblImps[[#This Row],[Σ Spires]],-1,0)</f>
        <v>0</v>
      </c>
      <c r="AI106" s="61">
        <f ca="1">(1+Overview!$I$29)*SUM(TblImps[[#This Row],[P5]:[G5]])+OFFSET(TblImps[[#This Row],[Σ Forges]],-1,0)</f>
        <v>0</v>
      </c>
      <c r="AJ106" s="61">
        <f ca="1">(1+Overview!$I$29)*SUM(TblImps[[#This Row],[P6]:[G6]])+OFFSET(TblImps[[#This Row],[Σ Walls]],-1,0)</f>
        <v>0</v>
      </c>
      <c r="AK106" s="61">
        <f ca="1">(1+Overview!$I$29 + tech_7_1*TblTech[[#This Row],[7-1]])*SUM(TblImps[[#This Row],[P7]:[G7]])+OFFSET(TblImps[[#This Row],[Σ Harbor]],-1,0)</f>
        <v>0</v>
      </c>
      <c r="AL106" s="142"/>
      <c r="AM106" s="57">
        <f>IF(AND(TblImps[[#This Row],[Resource]]=AM$2,TblImps[[#This Row],[Part]]&lt;&gt;""),TblImps[[#This Row],[Amount]]) + IF(AND(TblImps[[#This Row],[Resource 2]]=AM$2,TblImps[[#This Row],[Part 2]]&lt;&gt;""),TblImps[[#This Row],[Amount 2]]) + IF(AND(TblImps[[#This Row],[Resource 3]]=AM$2,TblImps[[#This Row],[Part 3]]&lt;&gt;""),TblImps[[#This Row],[Amount 3]])</f>
        <v>0</v>
      </c>
      <c r="AN106" s="57">
        <f>IF(AND(TblImps[[#This Row],[Resource]]=AN$2,TblImps[[#This Row],[Part]]&lt;&gt;""),TblImps[[#This Row],[Amount]]) + IF(AND(TblImps[[#This Row],[Resource 2]]=AN$2,TblImps[[#This Row],[Part 2]]&lt;&gt;""),TblImps[[#This Row],[Amount 2]]) + IF(AND(TblImps[[#This Row],[Resource 3]]=AN$2,TblImps[[#This Row],[Part 3]]&lt;&gt;""),TblImps[[#This Row],[Amount 3]])</f>
        <v>0</v>
      </c>
      <c r="AO106" s="57">
        <f>IF(AND(TblImps[[#This Row],[Resource]]=AO$2,TblImps[[#This Row],[Part]]&lt;&gt;""),TblImps[[#This Row],[Amount]]) + IF(AND(TblImps[[#This Row],[Resource 2]]=AO$2,TblImps[[#This Row],[Part 2]]&lt;&gt;""),TblImps[[#This Row],[Amount 2]]) + IF(AND(TblImps[[#This Row],[Resource 3]]=AO$2,TblImps[[#This Row],[Part 3]]&lt;&gt;""),TblImps[[#This Row],[Amount 3]])</f>
        <v>0</v>
      </c>
      <c r="AP106" s="57">
        <f>IF(AND(TblImps[[#This Row],[Resource]]=AP$2,TblImps[[#This Row],[Part]]&lt;&gt;""),TblImps[[#This Row],[Amount]]) + IF(AND(TblImps[[#This Row],[Resource 2]]=AP$2,TblImps[[#This Row],[Part 2]]&lt;&gt;""),TblImps[[#This Row],[Amount 2]]) + IF(AND(TblImps[[#This Row],[Resource 3]]=AP$2,TblImps[[#This Row],[Part 3]]&lt;&gt;""),TblImps[[#This Row],[Amount 3]])</f>
        <v>0</v>
      </c>
      <c r="AQ106" s="142"/>
      <c r="AR10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6" s="142"/>
      <c r="AW10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6" s="142"/>
      <c r="BB10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6" s="142"/>
      <c r="BG10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6" s="142"/>
      <c r="BL10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6" s="142"/>
      <c r="BQ10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6" s="142"/>
      <c r="BV10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6" s="61">
        <f>TblImps[[#This Row],[Login]]</f>
        <v>0</v>
      </c>
      <c r="BX106" s="137"/>
      <c r="BY106" s="293">
        <f ca="1">OFFSET(TblImps[[#This Row],[Real time]],-1,0)+1/24</f>
        <v>46051.249999999753</v>
      </c>
      <c r="BZ106" s="294">
        <f ca="1">OFFSET(TblImps[[#This Row],[Servertime]],-1,0)+1/24</f>
        <v>46051.249999999753</v>
      </c>
      <c r="CA106" s="57"/>
      <c r="CB106" s="292"/>
      <c r="CC106" s="292"/>
    </row>
    <row r="107" spans="1:82" x14ac:dyDescent="0.2">
      <c r="A107" s="214">
        <f ca="1">TblConstr[[#This Row],[Land]]</f>
        <v>110</v>
      </c>
      <c r="B107" s="142"/>
      <c r="C107" s="94">
        <f ca="1">TblProd[[#This Row],[Platinum]]</f>
        <v>203766</v>
      </c>
      <c r="D107" s="94">
        <f ca="1">TblProd[[#This Row],[Lumber]]</f>
        <v>69809</v>
      </c>
      <c r="E107" s="94">
        <f ca="1">TblProd[[#This Row],[Ore]]</f>
        <v>0</v>
      </c>
      <c r="F107" s="94">
        <f ca="1">TblProd[[#This Row],[Gems]]</f>
        <v>0</v>
      </c>
      <c r="G107" s="154"/>
      <c r="H107" s="94">
        <f ca="1">TblMili[[#This Row],[Draftees]]</f>
        <v>721</v>
      </c>
      <c r="I107" s="180">
        <f ca="1">TblPop[[#This Row],[Employment]]</f>
        <v>1</v>
      </c>
      <c r="J107" s="180">
        <f ca="1">TblPop[[#This Row],[Total]]/TblPop[[#This Row],[Net max]]</f>
        <v>1</v>
      </c>
      <c r="K107" s="283">
        <f>TblRezone[[#This Row],[Hour]]</f>
        <v>104</v>
      </c>
      <c r="L107" s="284">
        <f ca="1">TblImps[[#This Row],[Real time]]</f>
        <v>46051.291666666417</v>
      </c>
      <c r="M107" s="61">
        <f>IF(ISERROR(TblImps[[#This Row],[algorithm]]),0,TblImps[[#This Row],[algorithm]]*1)</f>
        <v>0</v>
      </c>
      <c r="N107" s="94">
        <f ca="1">TblImps[[#This Row],[Land]]</f>
        <v>110</v>
      </c>
      <c r="O107" s="285" t="s">
        <v>4</v>
      </c>
      <c r="P107" s="286"/>
      <c r="Q107" s="285" t="s">
        <v>210</v>
      </c>
      <c r="R107" s="285" t="s">
        <v>7</v>
      </c>
      <c r="S107" s="286"/>
      <c r="T107" s="285" t="s">
        <v>210</v>
      </c>
      <c r="U107" s="285" t="s">
        <v>3</v>
      </c>
      <c r="V107" s="286"/>
      <c r="W107" s="285" t="s">
        <v>210</v>
      </c>
      <c r="X107" s="142"/>
      <c r="Y107" s="287">
        <f ca="1">science_cap*(1-EXP(-TblImps[[#This Row],[Σ Science]]/(science_param*(OFFSET(TblImps[[#This Row],[Land]],1,0)-OFFSET(TblExplore[[#This Row],[Land Bonus]],1,0)*20)+15000)))*(1+(mason_bonus*TblConstr[[#This Row],[Tot Mas]]/TblConstr[[#This Row],[Land (2)]]))</f>
        <v>0</v>
      </c>
      <c r="Z107" s="287">
        <f ca="1">keep_cap*(1-EXP(-TblImps[[#This Row],[Σ Keep]]/(keep_param*(OFFSET(TblImps[[#This Row],[Land]],1,0)-OFFSET(TblExplore[[#This Row],[Land Bonus]],1,0)*20)+15000)))*(1+(mason_bonus*TblConstr[[#This Row],[Tot Mas]]/TblConstr[[#This Row],[Land (2)]]))</f>
        <v>0</v>
      </c>
      <c r="AA107" s="287">
        <f ca="1">harbor_towers_cap*(1-EXP(-TblImps[[#This Row],[Σ Spires]]/(towers_param*(OFFSET(TblImps[[#This Row],[Land]],1,0)-OFFSET(TblExplore[[#This Row],[Land Bonus]],1,0)*20)+15000)))*(1+(mason_bonus*TblConstr[[#This Row],[Tot Mas]]/TblConstr[[#This Row],[Land (2)]]))</f>
        <v>0</v>
      </c>
      <c r="AB107" s="287">
        <f ca="1">walls_forges_cap*(1-EXP(-TblImps[[#This Row],[Σ Forges]]/(walls_forges_param*(OFFSET(TblImps[[#This Row],[Land]],1,0)-OFFSET(TblExplore[[#This Row],[Land Bonus]],1,0)*20)+15000)))*(1+(mason_bonus*TblConstr[[#This Row],[Tot Mas]]/TblConstr[[#This Row],[Land (2)]]))</f>
        <v>0</v>
      </c>
      <c r="AC107" s="287">
        <f ca="1">walls_forges_cap*(1-EXP(-TblImps[[#This Row],[Σ Walls]]/(walls_forges_param*(OFFSET(TblImps[[#This Row],[Land]],1,0)-OFFSET(TblExplore[[#This Row],[Land Bonus]],1,0)*20)+15000)))*(1+(mason_bonus*TblConstr[[#This Row],[Tot Mas]]/TblConstr[[#This Row],[Land (2)]]))</f>
        <v>0</v>
      </c>
      <c r="AD107" s="287">
        <f ca="1">harbor_towers_cap*(1-EXP(-TblImps[[#This Row],[Σ Harbor]]/(harbor_towers_param*(OFFSET(TblImps[[#This Row],[Land]],1,0)-OFFSET(TblExplore[[#This Row],[Land Bonus]],1,0)*20)+15000)))*(1+(mason_bonus*TblConstr[[#This Row],[Tot Mas]]/TblConstr[[#This Row],[Land (2)]]))</f>
        <v>0</v>
      </c>
      <c r="AE107" s="142"/>
      <c r="AF107" s="61">
        <f ca="1">(1+Overview!$I$29)*SUM(TblImps[[#This Row],[P2]:[G2]])+OFFSET(TblImps[[#This Row],[Σ Science]],-1,0)</f>
        <v>0</v>
      </c>
      <c r="AG107" s="61">
        <f ca="1">(1+Overview!$I$29)*SUM(TblImps[[#This Row],[P3]:[G3]])+OFFSET(TblImps[[#This Row],[Σ Keep]],-1,0)</f>
        <v>0</v>
      </c>
      <c r="AH107" s="61">
        <f ca="1">(1+Overview!$I$29 + tech_7_1*TblTech[[#This Row],[7-1]])*SUM(TblImps[[#This Row],[P4]:[G4]])+OFFSET(TblImps[[#This Row],[Σ Spires]],-1,0)</f>
        <v>0</v>
      </c>
      <c r="AI107" s="61">
        <f ca="1">(1+Overview!$I$29)*SUM(TblImps[[#This Row],[P5]:[G5]])+OFFSET(TblImps[[#This Row],[Σ Forges]],-1,0)</f>
        <v>0</v>
      </c>
      <c r="AJ107" s="61">
        <f ca="1">(1+Overview!$I$29)*SUM(TblImps[[#This Row],[P6]:[G6]])+OFFSET(TblImps[[#This Row],[Σ Walls]],-1,0)</f>
        <v>0</v>
      </c>
      <c r="AK107" s="61">
        <f ca="1">(1+Overview!$I$29 + tech_7_1*TblTech[[#This Row],[7-1]])*SUM(TblImps[[#This Row],[P7]:[G7]])+OFFSET(TblImps[[#This Row],[Σ Harbor]],-1,0)</f>
        <v>0</v>
      </c>
      <c r="AL107" s="142"/>
      <c r="AM107" s="57">
        <f>IF(AND(TblImps[[#This Row],[Resource]]=AM$2,TblImps[[#This Row],[Part]]&lt;&gt;""),TblImps[[#This Row],[Amount]]) + IF(AND(TblImps[[#This Row],[Resource 2]]=AM$2,TblImps[[#This Row],[Part 2]]&lt;&gt;""),TblImps[[#This Row],[Amount 2]]) + IF(AND(TblImps[[#This Row],[Resource 3]]=AM$2,TblImps[[#This Row],[Part 3]]&lt;&gt;""),TblImps[[#This Row],[Amount 3]])</f>
        <v>0</v>
      </c>
      <c r="AN107" s="57">
        <f>IF(AND(TblImps[[#This Row],[Resource]]=AN$2,TblImps[[#This Row],[Part]]&lt;&gt;""),TblImps[[#This Row],[Amount]]) + IF(AND(TblImps[[#This Row],[Resource 2]]=AN$2,TblImps[[#This Row],[Part 2]]&lt;&gt;""),TblImps[[#This Row],[Amount 2]]) + IF(AND(TblImps[[#This Row],[Resource 3]]=AN$2,TblImps[[#This Row],[Part 3]]&lt;&gt;""),TblImps[[#This Row],[Amount 3]])</f>
        <v>0</v>
      </c>
      <c r="AO107" s="57">
        <f>IF(AND(TblImps[[#This Row],[Resource]]=AO$2,TblImps[[#This Row],[Part]]&lt;&gt;""),TblImps[[#This Row],[Amount]]) + IF(AND(TblImps[[#This Row],[Resource 2]]=AO$2,TblImps[[#This Row],[Part 2]]&lt;&gt;""),TblImps[[#This Row],[Amount 2]]) + IF(AND(TblImps[[#This Row],[Resource 3]]=AO$2,TblImps[[#This Row],[Part 3]]&lt;&gt;""),TblImps[[#This Row],[Amount 3]])</f>
        <v>0</v>
      </c>
      <c r="AP107" s="57">
        <f>IF(AND(TblImps[[#This Row],[Resource]]=AP$2,TblImps[[#This Row],[Part]]&lt;&gt;""),TblImps[[#This Row],[Amount]]) + IF(AND(TblImps[[#This Row],[Resource 2]]=AP$2,TblImps[[#This Row],[Part 2]]&lt;&gt;""),TblImps[[#This Row],[Amount 2]]) + IF(AND(TblImps[[#This Row],[Resource 3]]=AP$2,TblImps[[#This Row],[Part 3]]&lt;&gt;""),TblImps[[#This Row],[Amount 3]])</f>
        <v>0</v>
      </c>
      <c r="AQ107" s="142"/>
      <c r="AR10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7" s="142"/>
      <c r="AW10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7" s="142"/>
      <c r="BB10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7" s="142"/>
      <c r="BG10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7" s="142"/>
      <c r="BL10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7" s="142"/>
      <c r="BQ10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7" s="142"/>
      <c r="BV10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7" s="61">
        <f>TblImps[[#This Row],[Login]]</f>
        <v>0</v>
      </c>
      <c r="BX107" s="137"/>
      <c r="BY107" s="293">
        <f ca="1">OFFSET(TblImps[[#This Row],[Real time]],-1,0)+1/24</f>
        <v>46051.291666666417</v>
      </c>
      <c r="BZ107" s="294">
        <f ca="1">OFFSET(TblImps[[#This Row],[Servertime]],-1,0)+1/24</f>
        <v>46051.291666666417</v>
      </c>
      <c r="CA107" s="57"/>
      <c r="CB107" s="292"/>
      <c r="CC107" s="292"/>
      <c r="CD107" s="45" t="s">
        <v>208</v>
      </c>
    </row>
    <row r="108" spans="1:82" x14ac:dyDescent="0.2">
      <c r="A108" s="214">
        <f ca="1">TblConstr[[#This Row],[Land]]</f>
        <v>110</v>
      </c>
      <c r="B108" s="142"/>
      <c r="C108" s="94">
        <f ca="1">TblProd[[#This Row],[Platinum]]</f>
        <v>204724</v>
      </c>
      <c r="D108" s="94">
        <f ca="1">TblProd[[#This Row],[Lumber]]</f>
        <v>70111</v>
      </c>
      <c r="E108" s="94">
        <f ca="1">TblProd[[#This Row],[Ore]]</f>
        <v>0</v>
      </c>
      <c r="F108" s="94">
        <f ca="1">TblProd[[#This Row],[Gems]]</f>
        <v>0</v>
      </c>
      <c r="G108" s="154"/>
      <c r="H108" s="94">
        <f ca="1">TblMili[[#This Row],[Draftees]]</f>
        <v>725</v>
      </c>
      <c r="I108" s="180">
        <f ca="1">TblPop[[#This Row],[Employment]]</f>
        <v>1</v>
      </c>
      <c r="J108" s="180">
        <f ca="1">TblPop[[#This Row],[Total]]/TblPop[[#This Row],[Net max]]</f>
        <v>1</v>
      </c>
      <c r="K108" s="283">
        <f>TblRezone[[#This Row],[Hour]]</f>
        <v>105</v>
      </c>
      <c r="L108" s="284">
        <f ca="1">TblImps[[#This Row],[Real time]]</f>
        <v>46051.333333333081</v>
      </c>
      <c r="M108" s="61">
        <f>IF(ISERROR(TblImps[[#This Row],[algorithm]]),0,TblImps[[#This Row],[algorithm]]*1)</f>
        <v>0</v>
      </c>
      <c r="N108" s="94">
        <f ca="1">TblImps[[#This Row],[Land]]</f>
        <v>110</v>
      </c>
      <c r="O108" s="285" t="s">
        <v>4</v>
      </c>
      <c r="P108" s="286"/>
      <c r="Q108" s="285" t="s">
        <v>210</v>
      </c>
      <c r="R108" s="285" t="s">
        <v>7</v>
      </c>
      <c r="S108" s="286"/>
      <c r="T108" s="285" t="s">
        <v>210</v>
      </c>
      <c r="U108" s="285" t="s">
        <v>3</v>
      </c>
      <c r="V108" s="286"/>
      <c r="W108" s="285" t="s">
        <v>210</v>
      </c>
      <c r="X108" s="142"/>
      <c r="Y108" s="287">
        <f ca="1">science_cap*(1-EXP(-TblImps[[#This Row],[Σ Science]]/(science_param*(OFFSET(TblImps[[#This Row],[Land]],1,0)-OFFSET(TblExplore[[#This Row],[Land Bonus]],1,0)*20)+15000)))*(1+(mason_bonus*TblConstr[[#This Row],[Tot Mas]]/TblConstr[[#This Row],[Land (2)]]))</f>
        <v>0</v>
      </c>
      <c r="Z108" s="287">
        <f ca="1">keep_cap*(1-EXP(-TblImps[[#This Row],[Σ Keep]]/(keep_param*(OFFSET(TblImps[[#This Row],[Land]],1,0)-OFFSET(TblExplore[[#This Row],[Land Bonus]],1,0)*20)+15000)))*(1+(mason_bonus*TblConstr[[#This Row],[Tot Mas]]/TblConstr[[#This Row],[Land (2)]]))</f>
        <v>0</v>
      </c>
      <c r="AA108" s="287">
        <f ca="1">harbor_towers_cap*(1-EXP(-TblImps[[#This Row],[Σ Spires]]/(towers_param*(OFFSET(TblImps[[#This Row],[Land]],1,0)-OFFSET(TblExplore[[#This Row],[Land Bonus]],1,0)*20)+15000)))*(1+(mason_bonus*TblConstr[[#This Row],[Tot Mas]]/TblConstr[[#This Row],[Land (2)]]))</f>
        <v>0</v>
      </c>
      <c r="AB108" s="287">
        <f ca="1">walls_forges_cap*(1-EXP(-TblImps[[#This Row],[Σ Forges]]/(walls_forges_param*(OFFSET(TblImps[[#This Row],[Land]],1,0)-OFFSET(TblExplore[[#This Row],[Land Bonus]],1,0)*20)+15000)))*(1+(mason_bonus*TblConstr[[#This Row],[Tot Mas]]/TblConstr[[#This Row],[Land (2)]]))</f>
        <v>0</v>
      </c>
      <c r="AC108" s="287">
        <f ca="1">walls_forges_cap*(1-EXP(-TblImps[[#This Row],[Σ Walls]]/(walls_forges_param*(OFFSET(TblImps[[#This Row],[Land]],1,0)-OFFSET(TblExplore[[#This Row],[Land Bonus]],1,0)*20)+15000)))*(1+(mason_bonus*TblConstr[[#This Row],[Tot Mas]]/TblConstr[[#This Row],[Land (2)]]))</f>
        <v>0</v>
      </c>
      <c r="AD108" s="287">
        <f ca="1">harbor_towers_cap*(1-EXP(-TblImps[[#This Row],[Σ Harbor]]/(harbor_towers_param*(OFFSET(TblImps[[#This Row],[Land]],1,0)-OFFSET(TblExplore[[#This Row],[Land Bonus]],1,0)*20)+15000)))*(1+(mason_bonus*TblConstr[[#This Row],[Tot Mas]]/TblConstr[[#This Row],[Land (2)]]))</f>
        <v>0</v>
      </c>
      <c r="AE108" s="142"/>
      <c r="AF108" s="61">
        <f ca="1">(1+Overview!$I$29)*SUM(TblImps[[#This Row],[P2]:[G2]])+OFFSET(TblImps[[#This Row],[Σ Science]],-1,0)</f>
        <v>0</v>
      </c>
      <c r="AG108" s="61">
        <f ca="1">(1+Overview!$I$29)*SUM(TblImps[[#This Row],[P3]:[G3]])+OFFSET(TblImps[[#This Row],[Σ Keep]],-1,0)</f>
        <v>0</v>
      </c>
      <c r="AH108" s="61">
        <f ca="1">(1+Overview!$I$29 + tech_7_1*TblTech[[#This Row],[7-1]])*SUM(TblImps[[#This Row],[P4]:[G4]])+OFFSET(TblImps[[#This Row],[Σ Spires]],-1,0)</f>
        <v>0</v>
      </c>
      <c r="AI108" s="61">
        <f ca="1">(1+Overview!$I$29)*SUM(TblImps[[#This Row],[P5]:[G5]])+OFFSET(TblImps[[#This Row],[Σ Forges]],-1,0)</f>
        <v>0</v>
      </c>
      <c r="AJ108" s="61">
        <f ca="1">(1+Overview!$I$29)*SUM(TblImps[[#This Row],[P6]:[G6]])+OFFSET(TblImps[[#This Row],[Σ Walls]],-1,0)</f>
        <v>0</v>
      </c>
      <c r="AK108" s="61">
        <f ca="1">(1+Overview!$I$29 + tech_7_1*TblTech[[#This Row],[7-1]])*SUM(TblImps[[#This Row],[P7]:[G7]])+OFFSET(TblImps[[#This Row],[Σ Harbor]],-1,0)</f>
        <v>0</v>
      </c>
      <c r="AL108" s="142"/>
      <c r="AM108" s="57">
        <f>IF(AND(TblImps[[#This Row],[Resource]]=AM$2,TblImps[[#This Row],[Part]]&lt;&gt;""),TblImps[[#This Row],[Amount]]) + IF(AND(TblImps[[#This Row],[Resource 2]]=AM$2,TblImps[[#This Row],[Part 2]]&lt;&gt;""),TblImps[[#This Row],[Amount 2]]) + IF(AND(TblImps[[#This Row],[Resource 3]]=AM$2,TblImps[[#This Row],[Part 3]]&lt;&gt;""),TblImps[[#This Row],[Amount 3]])</f>
        <v>0</v>
      </c>
      <c r="AN108" s="57">
        <f>IF(AND(TblImps[[#This Row],[Resource]]=AN$2,TblImps[[#This Row],[Part]]&lt;&gt;""),TblImps[[#This Row],[Amount]]) + IF(AND(TblImps[[#This Row],[Resource 2]]=AN$2,TblImps[[#This Row],[Part 2]]&lt;&gt;""),TblImps[[#This Row],[Amount 2]]) + IF(AND(TblImps[[#This Row],[Resource 3]]=AN$2,TblImps[[#This Row],[Part 3]]&lt;&gt;""),TblImps[[#This Row],[Amount 3]])</f>
        <v>0</v>
      </c>
      <c r="AO108" s="57">
        <f>IF(AND(TblImps[[#This Row],[Resource]]=AO$2,TblImps[[#This Row],[Part]]&lt;&gt;""),TblImps[[#This Row],[Amount]]) + IF(AND(TblImps[[#This Row],[Resource 2]]=AO$2,TblImps[[#This Row],[Part 2]]&lt;&gt;""),TblImps[[#This Row],[Amount 2]]) + IF(AND(TblImps[[#This Row],[Resource 3]]=AO$2,TblImps[[#This Row],[Part 3]]&lt;&gt;""),TblImps[[#This Row],[Amount 3]])</f>
        <v>0</v>
      </c>
      <c r="AP108" s="57">
        <f>IF(AND(TblImps[[#This Row],[Resource]]=AP$2,TblImps[[#This Row],[Part]]&lt;&gt;""),TblImps[[#This Row],[Amount]]) + IF(AND(TblImps[[#This Row],[Resource 2]]=AP$2,TblImps[[#This Row],[Part 2]]&lt;&gt;""),TblImps[[#This Row],[Amount 2]]) + IF(AND(TblImps[[#This Row],[Resource 3]]=AP$2,TblImps[[#This Row],[Part 3]]&lt;&gt;""),TblImps[[#This Row],[Amount 3]])</f>
        <v>0</v>
      </c>
      <c r="AQ108" s="142"/>
      <c r="AR10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8" s="142"/>
      <c r="AW10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8" s="142"/>
      <c r="BB10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8" s="142"/>
      <c r="BG10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8" s="142"/>
      <c r="BL10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8" s="142"/>
      <c r="BQ10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8" s="142"/>
      <c r="BV10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8" s="61">
        <f>TblImps[[#This Row],[Login]]</f>
        <v>0</v>
      </c>
      <c r="BX108" s="137"/>
      <c r="BY108" s="293">
        <f ca="1">OFFSET(TblImps[[#This Row],[Real time]],-1,0)+1/24</f>
        <v>46051.333333333081</v>
      </c>
      <c r="BZ108" s="294">
        <f ca="1">OFFSET(TblImps[[#This Row],[Servertime]],-1,0)+1/24</f>
        <v>46051.333333333081</v>
      </c>
      <c r="CA108" s="57"/>
      <c r="CB108" s="292"/>
      <c r="CC108" s="292"/>
      <c r="CD108" s="45" t="s">
        <v>210</v>
      </c>
    </row>
    <row r="109" spans="1:82" x14ac:dyDescent="0.2">
      <c r="A109" s="214">
        <f ca="1">TblConstr[[#This Row],[Land]]</f>
        <v>110</v>
      </c>
      <c r="B109" s="142"/>
      <c r="C109" s="94">
        <f ca="1">TblProd[[#This Row],[Platinum]]</f>
        <v>205671</v>
      </c>
      <c r="D109" s="94">
        <f ca="1">TblProd[[#This Row],[Lumber]]</f>
        <v>70410</v>
      </c>
      <c r="E109" s="94">
        <f ca="1">TblProd[[#This Row],[Ore]]</f>
        <v>0</v>
      </c>
      <c r="F109" s="94">
        <f ca="1">TblProd[[#This Row],[Gems]]</f>
        <v>0</v>
      </c>
      <c r="G109" s="154"/>
      <c r="H109" s="94">
        <f ca="1">TblMili[[#This Row],[Draftees]]</f>
        <v>729</v>
      </c>
      <c r="I109" s="180">
        <f ca="1">TblPop[[#This Row],[Employment]]</f>
        <v>1</v>
      </c>
      <c r="J109" s="180">
        <f ca="1">TblPop[[#This Row],[Total]]/TblPop[[#This Row],[Net max]]</f>
        <v>1</v>
      </c>
      <c r="K109" s="283">
        <f>TblRezone[[#This Row],[Hour]]</f>
        <v>106</v>
      </c>
      <c r="L109" s="284">
        <f ca="1">TblImps[[#This Row],[Real time]]</f>
        <v>46051.374999999745</v>
      </c>
      <c r="M109" s="61">
        <f>IF(ISERROR(TblImps[[#This Row],[algorithm]]),0,TblImps[[#This Row],[algorithm]]*1)</f>
        <v>0</v>
      </c>
      <c r="N109" s="94">
        <f ca="1">TblImps[[#This Row],[Land]]</f>
        <v>110</v>
      </c>
      <c r="O109" s="285" t="s">
        <v>4</v>
      </c>
      <c r="P109" s="286"/>
      <c r="Q109" s="285" t="s">
        <v>210</v>
      </c>
      <c r="R109" s="285" t="s">
        <v>7</v>
      </c>
      <c r="S109" s="286"/>
      <c r="T109" s="285" t="s">
        <v>210</v>
      </c>
      <c r="U109" s="285" t="s">
        <v>3</v>
      </c>
      <c r="V109" s="286"/>
      <c r="W109" s="285" t="s">
        <v>210</v>
      </c>
      <c r="X109" s="142"/>
      <c r="Y109" s="287">
        <f ca="1">science_cap*(1-EXP(-TblImps[[#This Row],[Σ Science]]/(science_param*(OFFSET(TblImps[[#This Row],[Land]],1,0)-OFFSET(TblExplore[[#This Row],[Land Bonus]],1,0)*20)+15000)))*(1+(mason_bonus*TblConstr[[#This Row],[Tot Mas]]/TblConstr[[#This Row],[Land (2)]]))</f>
        <v>0</v>
      </c>
      <c r="Z109" s="287">
        <f ca="1">keep_cap*(1-EXP(-TblImps[[#This Row],[Σ Keep]]/(keep_param*(OFFSET(TblImps[[#This Row],[Land]],1,0)-OFFSET(TblExplore[[#This Row],[Land Bonus]],1,0)*20)+15000)))*(1+(mason_bonus*TblConstr[[#This Row],[Tot Mas]]/TblConstr[[#This Row],[Land (2)]]))</f>
        <v>0</v>
      </c>
      <c r="AA109" s="287">
        <f ca="1">harbor_towers_cap*(1-EXP(-TblImps[[#This Row],[Σ Spires]]/(towers_param*(OFFSET(TblImps[[#This Row],[Land]],1,0)-OFFSET(TblExplore[[#This Row],[Land Bonus]],1,0)*20)+15000)))*(1+(mason_bonus*TblConstr[[#This Row],[Tot Mas]]/TblConstr[[#This Row],[Land (2)]]))</f>
        <v>0</v>
      </c>
      <c r="AB109" s="287">
        <f ca="1">walls_forges_cap*(1-EXP(-TblImps[[#This Row],[Σ Forges]]/(walls_forges_param*(OFFSET(TblImps[[#This Row],[Land]],1,0)-OFFSET(TblExplore[[#This Row],[Land Bonus]],1,0)*20)+15000)))*(1+(mason_bonus*TblConstr[[#This Row],[Tot Mas]]/TblConstr[[#This Row],[Land (2)]]))</f>
        <v>0</v>
      </c>
      <c r="AC109" s="287">
        <f ca="1">walls_forges_cap*(1-EXP(-TblImps[[#This Row],[Σ Walls]]/(walls_forges_param*(OFFSET(TblImps[[#This Row],[Land]],1,0)-OFFSET(TblExplore[[#This Row],[Land Bonus]],1,0)*20)+15000)))*(1+(mason_bonus*TblConstr[[#This Row],[Tot Mas]]/TblConstr[[#This Row],[Land (2)]]))</f>
        <v>0</v>
      </c>
      <c r="AD109" s="287">
        <f ca="1">harbor_towers_cap*(1-EXP(-TblImps[[#This Row],[Σ Harbor]]/(harbor_towers_param*(OFFSET(TblImps[[#This Row],[Land]],1,0)-OFFSET(TblExplore[[#This Row],[Land Bonus]],1,0)*20)+15000)))*(1+(mason_bonus*TblConstr[[#This Row],[Tot Mas]]/TblConstr[[#This Row],[Land (2)]]))</f>
        <v>0</v>
      </c>
      <c r="AE109" s="142"/>
      <c r="AF109" s="61">
        <f ca="1">(1+Overview!$I$29)*SUM(TblImps[[#This Row],[P2]:[G2]])+OFFSET(TblImps[[#This Row],[Σ Science]],-1,0)</f>
        <v>0</v>
      </c>
      <c r="AG109" s="61">
        <f ca="1">(1+Overview!$I$29)*SUM(TblImps[[#This Row],[P3]:[G3]])+OFFSET(TblImps[[#This Row],[Σ Keep]],-1,0)</f>
        <v>0</v>
      </c>
      <c r="AH109" s="61">
        <f ca="1">(1+Overview!$I$29 + tech_7_1*TblTech[[#This Row],[7-1]])*SUM(TblImps[[#This Row],[P4]:[G4]])+OFFSET(TblImps[[#This Row],[Σ Spires]],-1,0)</f>
        <v>0</v>
      </c>
      <c r="AI109" s="61">
        <f ca="1">(1+Overview!$I$29)*SUM(TblImps[[#This Row],[P5]:[G5]])+OFFSET(TblImps[[#This Row],[Σ Forges]],-1,0)</f>
        <v>0</v>
      </c>
      <c r="AJ109" s="61">
        <f ca="1">(1+Overview!$I$29)*SUM(TblImps[[#This Row],[P6]:[G6]])+OFFSET(TblImps[[#This Row],[Σ Walls]],-1,0)</f>
        <v>0</v>
      </c>
      <c r="AK109" s="61">
        <f ca="1">(1+Overview!$I$29 + tech_7_1*TblTech[[#This Row],[7-1]])*SUM(TblImps[[#This Row],[P7]:[G7]])+OFFSET(TblImps[[#This Row],[Σ Harbor]],-1,0)</f>
        <v>0</v>
      </c>
      <c r="AL109" s="142"/>
      <c r="AM109" s="57">
        <f>IF(AND(TblImps[[#This Row],[Resource]]=AM$2,TblImps[[#This Row],[Part]]&lt;&gt;""),TblImps[[#This Row],[Amount]]) + IF(AND(TblImps[[#This Row],[Resource 2]]=AM$2,TblImps[[#This Row],[Part 2]]&lt;&gt;""),TblImps[[#This Row],[Amount 2]]) + IF(AND(TblImps[[#This Row],[Resource 3]]=AM$2,TblImps[[#This Row],[Part 3]]&lt;&gt;""),TblImps[[#This Row],[Amount 3]])</f>
        <v>0</v>
      </c>
      <c r="AN109" s="57">
        <f>IF(AND(TblImps[[#This Row],[Resource]]=AN$2,TblImps[[#This Row],[Part]]&lt;&gt;""),TblImps[[#This Row],[Amount]]) + IF(AND(TblImps[[#This Row],[Resource 2]]=AN$2,TblImps[[#This Row],[Part 2]]&lt;&gt;""),TblImps[[#This Row],[Amount 2]]) + IF(AND(TblImps[[#This Row],[Resource 3]]=AN$2,TblImps[[#This Row],[Part 3]]&lt;&gt;""),TblImps[[#This Row],[Amount 3]])</f>
        <v>0</v>
      </c>
      <c r="AO109" s="57">
        <f>IF(AND(TblImps[[#This Row],[Resource]]=AO$2,TblImps[[#This Row],[Part]]&lt;&gt;""),TblImps[[#This Row],[Amount]]) + IF(AND(TblImps[[#This Row],[Resource 2]]=AO$2,TblImps[[#This Row],[Part 2]]&lt;&gt;""),TblImps[[#This Row],[Amount 2]]) + IF(AND(TblImps[[#This Row],[Resource 3]]=AO$2,TblImps[[#This Row],[Part 3]]&lt;&gt;""),TblImps[[#This Row],[Amount 3]])</f>
        <v>0</v>
      </c>
      <c r="AP109" s="57">
        <f>IF(AND(TblImps[[#This Row],[Resource]]=AP$2,TblImps[[#This Row],[Part]]&lt;&gt;""),TblImps[[#This Row],[Amount]]) + IF(AND(TblImps[[#This Row],[Resource 2]]=AP$2,TblImps[[#This Row],[Part 2]]&lt;&gt;""),TblImps[[#This Row],[Amount 2]]) + IF(AND(TblImps[[#This Row],[Resource 3]]=AP$2,TblImps[[#This Row],[Part 3]]&lt;&gt;""),TblImps[[#This Row],[Amount 3]])</f>
        <v>0</v>
      </c>
      <c r="AQ109" s="142"/>
      <c r="AR10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0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0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0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09" s="142"/>
      <c r="AW10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0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0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0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09" s="142"/>
      <c r="BB10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0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0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0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09" s="142"/>
      <c r="BG10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0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0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0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09" s="142"/>
      <c r="BL10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0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0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0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09" s="142"/>
      <c r="BQ10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0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0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0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09" s="142"/>
      <c r="BV10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09" s="61">
        <f>TblImps[[#This Row],[Login]]</f>
        <v>0</v>
      </c>
      <c r="BX109" s="137"/>
      <c r="BY109" s="293">
        <f ca="1">OFFSET(TblImps[[#This Row],[Real time]],-1,0)+1/24</f>
        <v>46051.374999999745</v>
      </c>
      <c r="BZ109" s="294">
        <f ca="1">OFFSET(TblImps[[#This Row],[Servertime]],-1,0)+1/24</f>
        <v>46051.374999999745</v>
      </c>
      <c r="CA109" s="57"/>
      <c r="CB109" s="292"/>
      <c r="CC109" s="292"/>
      <c r="CD109" s="45" t="s">
        <v>211</v>
      </c>
    </row>
    <row r="110" spans="1:82" x14ac:dyDescent="0.2">
      <c r="A110" s="214">
        <f ca="1">TblConstr[[#This Row],[Land]]</f>
        <v>110</v>
      </c>
      <c r="B110" s="142"/>
      <c r="C110" s="94">
        <f ca="1">TblProd[[#This Row],[Platinum]]</f>
        <v>206607</v>
      </c>
      <c r="D110" s="94">
        <f ca="1">TblProd[[#This Row],[Lumber]]</f>
        <v>70706</v>
      </c>
      <c r="E110" s="94">
        <f ca="1">TblProd[[#This Row],[Ore]]</f>
        <v>0</v>
      </c>
      <c r="F110" s="94">
        <f ca="1">TblProd[[#This Row],[Gems]]</f>
        <v>0</v>
      </c>
      <c r="G110" s="154"/>
      <c r="H110" s="94">
        <f ca="1">TblMili[[#This Row],[Draftees]]</f>
        <v>732</v>
      </c>
      <c r="I110" s="180">
        <f ca="1">TblPop[[#This Row],[Employment]]</f>
        <v>1</v>
      </c>
      <c r="J110" s="180">
        <f ca="1">TblPop[[#This Row],[Total]]/TblPop[[#This Row],[Net max]]</f>
        <v>1</v>
      </c>
      <c r="K110" s="283">
        <f>TblRezone[[#This Row],[Hour]]</f>
        <v>107</v>
      </c>
      <c r="L110" s="284">
        <f ca="1">TblImps[[#This Row],[Real time]]</f>
        <v>46051.41666666641</v>
      </c>
      <c r="M110" s="61">
        <f>IF(ISERROR(TblImps[[#This Row],[algorithm]]),0,TblImps[[#This Row],[algorithm]]*1)</f>
        <v>0</v>
      </c>
      <c r="N110" s="94">
        <f ca="1">TblImps[[#This Row],[Land]]</f>
        <v>110</v>
      </c>
      <c r="O110" s="285" t="s">
        <v>4</v>
      </c>
      <c r="P110" s="286"/>
      <c r="Q110" s="285" t="s">
        <v>210</v>
      </c>
      <c r="R110" s="285" t="s">
        <v>7</v>
      </c>
      <c r="S110" s="286"/>
      <c r="T110" s="285" t="s">
        <v>210</v>
      </c>
      <c r="U110" s="285" t="s">
        <v>3</v>
      </c>
      <c r="V110" s="286"/>
      <c r="W110" s="285" t="s">
        <v>210</v>
      </c>
      <c r="X110" s="142"/>
      <c r="Y110" s="287">
        <f ca="1">science_cap*(1-EXP(-TblImps[[#This Row],[Σ Science]]/(science_param*(OFFSET(TblImps[[#This Row],[Land]],1,0)-OFFSET(TblExplore[[#This Row],[Land Bonus]],1,0)*20)+15000)))*(1+(mason_bonus*TblConstr[[#This Row],[Tot Mas]]/TblConstr[[#This Row],[Land (2)]]))</f>
        <v>0</v>
      </c>
      <c r="Z110" s="287">
        <f ca="1">keep_cap*(1-EXP(-TblImps[[#This Row],[Σ Keep]]/(keep_param*(OFFSET(TblImps[[#This Row],[Land]],1,0)-OFFSET(TblExplore[[#This Row],[Land Bonus]],1,0)*20)+15000)))*(1+(mason_bonus*TblConstr[[#This Row],[Tot Mas]]/TblConstr[[#This Row],[Land (2)]]))</f>
        <v>0</v>
      </c>
      <c r="AA110" s="287">
        <f ca="1">harbor_towers_cap*(1-EXP(-TblImps[[#This Row],[Σ Spires]]/(towers_param*(OFFSET(TblImps[[#This Row],[Land]],1,0)-OFFSET(TblExplore[[#This Row],[Land Bonus]],1,0)*20)+15000)))*(1+(mason_bonus*TblConstr[[#This Row],[Tot Mas]]/TblConstr[[#This Row],[Land (2)]]))</f>
        <v>0</v>
      </c>
      <c r="AB110" s="287">
        <f ca="1">walls_forges_cap*(1-EXP(-TblImps[[#This Row],[Σ Forges]]/(walls_forges_param*(OFFSET(TblImps[[#This Row],[Land]],1,0)-OFFSET(TblExplore[[#This Row],[Land Bonus]],1,0)*20)+15000)))*(1+(mason_bonus*TblConstr[[#This Row],[Tot Mas]]/TblConstr[[#This Row],[Land (2)]]))</f>
        <v>0</v>
      </c>
      <c r="AC110" s="287">
        <f ca="1">walls_forges_cap*(1-EXP(-TblImps[[#This Row],[Σ Walls]]/(walls_forges_param*(OFFSET(TblImps[[#This Row],[Land]],1,0)-OFFSET(TblExplore[[#This Row],[Land Bonus]],1,0)*20)+15000)))*(1+(mason_bonus*TblConstr[[#This Row],[Tot Mas]]/TblConstr[[#This Row],[Land (2)]]))</f>
        <v>0</v>
      </c>
      <c r="AD110" s="287">
        <f ca="1">harbor_towers_cap*(1-EXP(-TblImps[[#This Row],[Σ Harbor]]/(harbor_towers_param*(OFFSET(TblImps[[#This Row],[Land]],1,0)-OFFSET(TblExplore[[#This Row],[Land Bonus]],1,0)*20)+15000)))*(1+(mason_bonus*TblConstr[[#This Row],[Tot Mas]]/TblConstr[[#This Row],[Land (2)]]))</f>
        <v>0</v>
      </c>
      <c r="AE110" s="142"/>
      <c r="AF110" s="61">
        <f ca="1">(1+Overview!$I$29)*SUM(TblImps[[#This Row],[P2]:[G2]])+OFFSET(TblImps[[#This Row],[Σ Science]],-1,0)</f>
        <v>0</v>
      </c>
      <c r="AG110" s="61">
        <f ca="1">(1+Overview!$I$29)*SUM(TblImps[[#This Row],[P3]:[G3]])+OFFSET(TblImps[[#This Row],[Σ Keep]],-1,0)</f>
        <v>0</v>
      </c>
      <c r="AH110" s="61">
        <f ca="1">(1+Overview!$I$29 + tech_7_1*TblTech[[#This Row],[7-1]])*SUM(TblImps[[#This Row],[P4]:[G4]])+OFFSET(TblImps[[#This Row],[Σ Spires]],-1,0)</f>
        <v>0</v>
      </c>
      <c r="AI110" s="61">
        <f ca="1">(1+Overview!$I$29)*SUM(TblImps[[#This Row],[P5]:[G5]])+OFFSET(TblImps[[#This Row],[Σ Forges]],-1,0)</f>
        <v>0</v>
      </c>
      <c r="AJ110" s="61">
        <f ca="1">(1+Overview!$I$29)*SUM(TblImps[[#This Row],[P6]:[G6]])+OFFSET(TblImps[[#This Row],[Σ Walls]],-1,0)</f>
        <v>0</v>
      </c>
      <c r="AK110" s="61">
        <f ca="1">(1+Overview!$I$29 + tech_7_1*TblTech[[#This Row],[7-1]])*SUM(TblImps[[#This Row],[P7]:[G7]])+OFFSET(TblImps[[#This Row],[Σ Harbor]],-1,0)</f>
        <v>0</v>
      </c>
      <c r="AL110" s="142"/>
      <c r="AM110" s="57">
        <f>IF(AND(TblImps[[#This Row],[Resource]]=AM$2,TblImps[[#This Row],[Part]]&lt;&gt;""),TblImps[[#This Row],[Amount]]) + IF(AND(TblImps[[#This Row],[Resource 2]]=AM$2,TblImps[[#This Row],[Part 2]]&lt;&gt;""),TblImps[[#This Row],[Amount 2]]) + IF(AND(TblImps[[#This Row],[Resource 3]]=AM$2,TblImps[[#This Row],[Part 3]]&lt;&gt;""),TblImps[[#This Row],[Amount 3]])</f>
        <v>0</v>
      </c>
      <c r="AN110" s="57">
        <f>IF(AND(TblImps[[#This Row],[Resource]]=AN$2,TblImps[[#This Row],[Part]]&lt;&gt;""),TblImps[[#This Row],[Amount]]) + IF(AND(TblImps[[#This Row],[Resource 2]]=AN$2,TblImps[[#This Row],[Part 2]]&lt;&gt;""),TblImps[[#This Row],[Amount 2]]) + IF(AND(TblImps[[#This Row],[Resource 3]]=AN$2,TblImps[[#This Row],[Part 3]]&lt;&gt;""),TblImps[[#This Row],[Amount 3]])</f>
        <v>0</v>
      </c>
      <c r="AO110" s="57">
        <f>IF(AND(TblImps[[#This Row],[Resource]]=AO$2,TblImps[[#This Row],[Part]]&lt;&gt;""),TblImps[[#This Row],[Amount]]) + IF(AND(TblImps[[#This Row],[Resource 2]]=AO$2,TblImps[[#This Row],[Part 2]]&lt;&gt;""),TblImps[[#This Row],[Amount 2]]) + IF(AND(TblImps[[#This Row],[Resource 3]]=AO$2,TblImps[[#This Row],[Part 3]]&lt;&gt;""),TblImps[[#This Row],[Amount 3]])</f>
        <v>0</v>
      </c>
      <c r="AP110" s="57">
        <f>IF(AND(TblImps[[#This Row],[Resource]]=AP$2,TblImps[[#This Row],[Part]]&lt;&gt;""),TblImps[[#This Row],[Amount]]) + IF(AND(TblImps[[#This Row],[Resource 2]]=AP$2,TblImps[[#This Row],[Part 2]]&lt;&gt;""),TblImps[[#This Row],[Amount 2]]) + IF(AND(TblImps[[#This Row],[Resource 3]]=AP$2,TblImps[[#This Row],[Part 3]]&lt;&gt;""),TblImps[[#This Row],[Amount 3]])</f>
        <v>0</v>
      </c>
      <c r="AQ110" s="142"/>
      <c r="AR11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0" s="142"/>
      <c r="AW11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0" s="142"/>
      <c r="BB11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0" s="142"/>
      <c r="BG11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0" s="142"/>
      <c r="BL11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0" s="142"/>
      <c r="BQ11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0" s="142"/>
      <c r="BV11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0" s="61">
        <f>TblImps[[#This Row],[Login]]</f>
        <v>0</v>
      </c>
      <c r="BX110" s="137"/>
      <c r="BY110" s="293">
        <f ca="1">OFFSET(TblImps[[#This Row],[Real time]],-1,0)+1/24</f>
        <v>46051.41666666641</v>
      </c>
      <c r="BZ110" s="294">
        <f ca="1">OFFSET(TblImps[[#This Row],[Servertime]],-1,0)+1/24</f>
        <v>46051.41666666641</v>
      </c>
      <c r="CA110" s="57"/>
      <c r="CB110" s="292"/>
      <c r="CC110" s="292"/>
      <c r="CD110" s="45" t="s">
        <v>212</v>
      </c>
    </row>
    <row r="111" spans="1:82" x14ac:dyDescent="0.2">
      <c r="A111" s="214">
        <f ca="1">TblConstr[[#This Row],[Land]]</f>
        <v>110</v>
      </c>
      <c r="B111" s="142"/>
      <c r="C111" s="94">
        <f ca="1">TblProd[[#This Row],[Platinum]]</f>
        <v>207535</v>
      </c>
      <c r="D111" s="94">
        <f ca="1">TblProd[[#This Row],[Lumber]]</f>
        <v>70999</v>
      </c>
      <c r="E111" s="94">
        <f ca="1">TblProd[[#This Row],[Ore]]</f>
        <v>0</v>
      </c>
      <c r="F111" s="94">
        <f ca="1">TblProd[[#This Row],[Gems]]</f>
        <v>0</v>
      </c>
      <c r="G111" s="154"/>
      <c r="H111" s="94">
        <f ca="1">TblMili[[#This Row],[Draftees]]</f>
        <v>735</v>
      </c>
      <c r="I111" s="180">
        <f ca="1">TblPop[[#This Row],[Employment]]</f>
        <v>1</v>
      </c>
      <c r="J111" s="180">
        <f ca="1">TblPop[[#This Row],[Total]]/TblPop[[#This Row],[Net max]]</f>
        <v>1</v>
      </c>
      <c r="K111" s="283">
        <f>TblRezone[[#This Row],[Hour]]</f>
        <v>108</v>
      </c>
      <c r="L111" s="284">
        <f ca="1">TblImps[[#This Row],[Real time]]</f>
        <v>46051.458333333074</v>
      </c>
      <c r="M111" s="61">
        <f>IF(ISERROR(TblImps[[#This Row],[algorithm]]),0,TblImps[[#This Row],[algorithm]]*1)</f>
        <v>0</v>
      </c>
      <c r="N111" s="94">
        <f ca="1">TblImps[[#This Row],[Land]]</f>
        <v>110</v>
      </c>
      <c r="O111" s="285" t="s">
        <v>4</v>
      </c>
      <c r="P111" s="286"/>
      <c r="Q111" s="285" t="s">
        <v>210</v>
      </c>
      <c r="R111" s="285" t="s">
        <v>7</v>
      </c>
      <c r="S111" s="286"/>
      <c r="T111" s="285" t="s">
        <v>210</v>
      </c>
      <c r="U111" s="285" t="s">
        <v>3</v>
      </c>
      <c r="V111" s="286"/>
      <c r="W111" s="285" t="s">
        <v>210</v>
      </c>
      <c r="X111" s="142"/>
      <c r="Y111" s="287">
        <f ca="1">science_cap*(1-EXP(-TblImps[[#This Row],[Σ Science]]/(science_param*(OFFSET(TblImps[[#This Row],[Land]],1,0)-OFFSET(TblExplore[[#This Row],[Land Bonus]],1,0)*20)+15000)))*(1+(mason_bonus*TblConstr[[#This Row],[Tot Mas]]/TblConstr[[#This Row],[Land (2)]]))</f>
        <v>0</v>
      </c>
      <c r="Z111" s="287">
        <f ca="1">keep_cap*(1-EXP(-TblImps[[#This Row],[Σ Keep]]/(keep_param*(OFFSET(TblImps[[#This Row],[Land]],1,0)-OFFSET(TblExplore[[#This Row],[Land Bonus]],1,0)*20)+15000)))*(1+(mason_bonus*TblConstr[[#This Row],[Tot Mas]]/TblConstr[[#This Row],[Land (2)]]))</f>
        <v>0</v>
      </c>
      <c r="AA111" s="287">
        <f ca="1">harbor_towers_cap*(1-EXP(-TblImps[[#This Row],[Σ Spires]]/(towers_param*(OFFSET(TblImps[[#This Row],[Land]],1,0)-OFFSET(TblExplore[[#This Row],[Land Bonus]],1,0)*20)+15000)))*(1+(mason_bonus*TblConstr[[#This Row],[Tot Mas]]/TblConstr[[#This Row],[Land (2)]]))</f>
        <v>0</v>
      </c>
      <c r="AB111" s="287">
        <f ca="1">walls_forges_cap*(1-EXP(-TblImps[[#This Row],[Σ Forges]]/(walls_forges_param*(OFFSET(TblImps[[#This Row],[Land]],1,0)-OFFSET(TblExplore[[#This Row],[Land Bonus]],1,0)*20)+15000)))*(1+(mason_bonus*TblConstr[[#This Row],[Tot Mas]]/TblConstr[[#This Row],[Land (2)]]))</f>
        <v>0</v>
      </c>
      <c r="AC111" s="287">
        <f ca="1">walls_forges_cap*(1-EXP(-TblImps[[#This Row],[Σ Walls]]/(walls_forges_param*(OFFSET(TblImps[[#This Row],[Land]],1,0)-OFFSET(TblExplore[[#This Row],[Land Bonus]],1,0)*20)+15000)))*(1+(mason_bonus*TblConstr[[#This Row],[Tot Mas]]/TblConstr[[#This Row],[Land (2)]]))</f>
        <v>0</v>
      </c>
      <c r="AD111" s="287">
        <f ca="1">harbor_towers_cap*(1-EXP(-TblImps[[#This Row],[Σ Harbor]]/(harbor_towers_param*(OFFSET(TblImps[[#This Row],[Land]],1,0)-OFFSET(TblExplore[[#This Row],[Land Bonus]],1,0)*20)+15000)))*(1+(mason_bonus*TblConstr[[#This Row],[Tot Mas]]/TblConstr[[#This Row],[Land (2)]]))</f>
        <v>0</v>
      </c>
      <c r="AE111" s="142"/>
      <c r="AF111" s="61">
        <f ca="1">(1+Overview!$I$29)*SUM(TblImps[[#This Row],[P2]:[G2]])+OFFSET(TblImps[[#This Row],[Σ Science]],-1,0)</f>
        <v>0</v>
      </c>
      <c r="AG111" s="61">
        <f ca="1">(1+Overview!$I$29)*SUM(TblImps[[#This Row],[P3]:[G3]])+OFFSET(TblImps[[#This Row],[Σ Keep]],-1,0)</f>
        <v>0</v>
      </c>
      <c r="AH111" s="61">
        <f ca="1">(1+Overview!$I$29 + tech_7_1*TblTech[[#This Row],[7-1]])*SUM(TblImps[[#This Row],[P4]:[G4]])+OFFSET(TblImps[[#This Row],[Σ Spires]],-1,0)</f>
        <v>0</v>
      </c>
      <c r="AI111" s="61">
        <f ca="1">(1+Overview!$I$29)*SUM(TblImps[[#This Row],[P5]:[G5]])+OFFSET(TblImps[[#This Row],[Σ Forges]],-1,0)</f>
        <v>0</v>
      </c>
      <c r="AJ111" s="61">
        <f ca="1">(1+Overview!$I$29)*SUM(TblImps[[#This Row],[P6]:[G6]])+OFFSET(TblImps[[#This Row],[Σ Walls]],-1,0)</f>
        <v>0</v>
      </c>
      <c r="AK111" s="61">
        <f ca="1">(1+Overview!$I$29 + tech_7_1*TblTech[[#This Row],[7-1]])*SUM(TblImps[[#This Row],[P7]:[G7]])+OFFSET(TblImps[[#This Row],[Σ Harbor]],-1,0)</f>
        <v>0</v>
      </c>
      <c r="AL111" s="142"/>
      <c r="AM111" s="57">
        <f>IF(AND(TblImps[[#This Row],[Resource]]=AM$2,TblImps[[#This Row],[Part]]&lt;&gt;""),TblImps[[#This Row],[Amount]]) + IF(AND(TblImps[[#This Row],[Resource 2]]=AM$2,TblImps[[#This Row],[Part 2]]&lt;&gt;""),TblImps[[#This Row],[Amount 2]]) + IF(AND(TblImps[[#This Row],[Resource 3]]=AM$2,TblImps[[#This Row],[Part 3]]&lt;&gt;""),TblImps[[#This Row],[Amount 3]])</f>
        <v>0</v>
      </c>
      <c r="AN111" s="57">
        <f>IF(AND(TblImps[[#This Row],[Resource]]=AN$2,TblImps[[#This Row],[Part]]&lt;&gt;""),TblImps[[#This Row],[Amount]]) + IF(AND(TblImps[[#This Row],[Resource 2]]=AN$2,TblImps[[#This Row],[Part 2]]&lt;&gt;""),TblImps[[#This Row],[Amount 2]]) + IF(AND(TblImps[[#This Row],[Resource 3]]=AN$2,TblImps[[#This Row],[Part 3]]&lt;&gt;""),TblImps[[#This Row],[Amount 3]])</f>
        <v>0</v>
      </c>
      <c r="AO111" s="57">
        <f>IF(AND(TblImps[[#This Row],[Resource]]=AO$2,TblImps[[#This Row],[Part]]&lt;&gt;""),TblImps[[#This Row],[Amount]]) + IF(AND(TblImps[[#This Row],[Resource 2]]=AO$2,TblImps[[#This Row],[Part 2]]&lt;&gt;""),TblImps[[#This Row],[Amount 2]]) + IF(AND(TblImps[[#This Row],[Resource 3]]=AO$2,TblImps[[#This Row],[Part 3]]&lt;&gt;""),TblImps[[#This Row],[Amount 3]])</f>
        <v>0</v>
      </c>
      <c r="AP111" s="57">
        <f>IF(AND(TblImps[[#This Row],[Resource]]=AP$2,TblImps[[#This Row],[Part]]&lt;&gt;""),TblImps[[#This Row],[Amount]]) + IF(AND(TblImps[[#This Row],[Resource 2]]=AP$2,TblImps[[#This Row],[Part 2]]&lt;&gt;""),TblImps[[#This Row],[Amount 2]]) + IF(AND(TblImps[[#This Row],[Resource 3]]=AP$2,TblImps[[#This Row],[Part 3]]&lt;&gt;""),TblImps[[#This Row],[Amount 3]])</f>
        <v>0</v>
      </c>
      <c r="AQ111" s="142"/>
      <c r="AR11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1" s="142"/>
      <c r="AW11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1" s="142"/>
      <c r="BB11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1" s="142"/>
      <c r="BG11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1" s="142"/>
      <c r="BL11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1" s="142"/>
      <c r="BQ11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1" s="142"/>
      <c r="BV11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1" s="61">
        <f>TblImps[[#This Row],[Login]]</f>
        <v>0</v>
      </c>
      <c r="BX111" s="137"/>
      <c r="BY111" s="293">
        <f ca="1">OFFSET(TblImps[[#This Row],[Real time]],-1,0)+1/24</f>
        <v>46051.458333333074</v>
      </c>
      <c r="BZ111" s="294">
        <f ca="1">OFFSET(TblImps[[#This Row],[Servertime]],-1,0)+1/24</f>
        <v>46051.458333333074</v>
      </c>
      <c r="CA111" s="57"/>
      <c r="CB111" s="292"/>
      <c r="CC111" s="292"/>
      <c r="CD111" s="45" t="s">
        <v>213</v>
      </c>
    </row>
    <row r="112" spans="1:82" x14ac:dyDescent="0.2">
      <c r="A112" s="214">
        <f ca="1">TblConstr[[#This Row],[Land]]</f>
        <v>110</v>
      </c>
      <c r="B112" s="142"/>
      <c r="C112" s="94">
        <f ca="1">TblProd[[#This Row],[Platinum]]</f>
        <v>208455</v>
      </c>
      <c r="D112" s="94">
        <f ca="1">TblProd[[#This Row],[Lumber]]</f>
        <v>71289</v>
      </c>
      <c r="E112" s="94">
        <f ca="1">TblProd[[#This Row],[Ore]]</f>
        <v>0</v>
      </c>
      <c r="F112" s="94">
        <f ca="1">TblProd[[#This Row],[Gems]]</f>
        <v>0</v>
      </c>
      <c r="G112" s="154"/>
      <c r="H112" s="94">
        <f ca="1">TblMili[[#This Row],[Draftees]]</f>
        <v>738</v>
      </c>
      <c r="I112" s="180">
        <f ca="1">TblPop[[#This Row],[Employment]]</f>
        <v>1</v>
      </c>
      <c r="J112" s="180">
        <f ca="1">TblPop[[#This Row],[Total]]/TblPop[[#This Row],[Net max]]</f>
        <v>1</v>
      </c>
      <c r="K112" s="283">
        <f>TblRezone[[#This Row],[Hour]]</f>
        <v>109</v>
      </c>
      <c r="L112" s="284">
        <f ca="1">TblImps[[#This Row],[Real time]]</f>
        <v>46051.499999999738</v>
      </c>
      <c r="M112" s="61">
        <f>IF(ISERROR(TblImps[[#This Row],[algorithm]]),0,TblImps[[#This Row],[algorithm]]*1)</f>
        <v>0</v>
      </c>
      <c r="N112" s="94">
        <f ca="1">TblImps[[#This Row],[Land]]</f>
        <v>110</v>
      </c>
      <c r="O112" s="285" t="s">
        <v>4</v>
      </c>
      <c r="P112" s="286"/>
      <c r="Q112" s="285" t="s">
        <v>210</v>
      </c>
      <c r="R112" s="285" t="s">
        <v>7</v>
      </c>
      <c r="S112" s="286"/>
      <c r="T112" s="285" t="s">
        <v>210</v>
      </c>
      <c r="U112" s="285" t="s">
        <v>3</v>
      </c>
      <c r="V112" s="286"/>
      <c r="W112" s="285" t="s">
        <v>210</v>
      </c>
      <c r="X112" s="142"/>
      <c r="Y112" s="287">
        <f ca="1">science_cap*(1-EXP(-TblImps[[#This Row],[Σ Science]]/(science_param*(OFFSET(TblImps[[#This Row],[Land]],1,0)-OFFSET(TblExplore[[#This Row],[Land Bonus]],1,0)*20)+15000)))*(1+(mason_bonus*TblConstr[[#This Row],[Tot Mas]]/TblConstr[[#This Row],[Land (2)]]))</f>
        <v>0</v>
      </c>
      <c r="Z112" s="287">
        <f ca="1">keep_cap*(1-EXP(-TblImps[[#This Row],[Σ Keep]]/(keep_param*(OFFSET(TblImps[[#This Row],[Land]],1,0)-OFFSET(TblExplore[[#This Row],[Land Bonus]],1,0)*20)+15000)))*(1+(mason_bonus*TblConstr[[#This Row],[Tot Mas]]/TblConstr[[#This Row],[Land (2)]]))</f>
        <v>0</v>
      </c>
      <c r="AA112" s="287">
        <f ca="1">harbor_towers_cap*(1-EXP(-TblImps[[#This Row],[Σ Spires]]/(towers_param*(OFFSET(TblImps[[#This Row],[Land]],1,0)-OFFSET(TblExplore[[#This Row],[Land Bonus]],1,0)*20)+15000)))*(1+(mason_bonus*TblConstr[[#This Row],[Tot Mas]]/TblConstr[[#This Row],[Land (2)]]))</f>
        <v>0</v>
      </c>
      <c r="AB112" s="287">
        <f ca="1">walls_forges_cap*(1-EXP(-TblImps[[#This Row],[Σ Forges]]/(walls_forges_param*(OFFSET(TblImps[[#This Row],[Land]],1,0)-OFFSET(TblExplore[[#This Row],[Land Bonus]],1,0)*20)+15000)))*(1+(mason_bonus*TblConstr[[#This Row],[Tot Mas]]/TblConstr[[#This Row],[Land (2)]]))</f>
        <v>0</v>
      </c>
      <c r="AC112" s="287">
        <f ca="1">walls_forges_cap*(1-EXP(-TblImps[[#This Row],[Σ Walls]]/(walls_forges_param*(OFFSET(TblImps[[#This Row],[Land]],1,0)-OFFSET(TblExplore[[#This Row],[Land Bonus]],1,0)*20)+15000)))*(1+(mason_bonus*TblConstr[[#This Row],[Tot Mas]]/TblConstr[[#This Row],[Land (2)]]))</f>
        <v>0</v>
      </c>
      <c r="AD112" s="287">
        <f ca="1">harbor_towers_cap*(1-EXP(-TblImps[[#This Row],[Σ Harbor]]/(harbor_towers_param*(OFFSET(TblImps[[#This Row],[Land]],1,0)-OFFSET(TblExplore[[#This Row],[Land Bonus]],1,0)*20)+15000)))*(1+(mason_bonus*TblConstr[[#This Row],[Tot Mas]]/TblConstr[[#This Row],[Land (2)]]))</f>
        <v>0</v>
      </c>
      <c r="AE112" s="142"/>
      <c r="AF112" s="61">
        <f ca="1">(1+Overview!$I$29)*SUM(TblImps[[#This Row],[P2]:[G2]])+OFFSET(TblImps[[#This Row],[Σ Science]],-1,0)</f>
        <v>0</v>
      </c>
      <c r="AG112" s="61">
        <f ca="1">(1+Overview!$I$29)*SUM(TblImps[[#This Row],[P3]:[G3]])+OFFSET(TblImps[[#This Row],[Σ Keep]],-1,0)</f>
        <v>0</v>
      </c>
      <c r="AH112" s="61">
        <f ca="1">(1+Overview!$I$29 + tech_7_1*TblTech[[#This Row],[7-1]])*SUM(TblImps[[#This Row],[P4]:[G4]])+OFFSET(TblImps[[#This Row],[Σ Spires]],-1,0)</f>
        <v>0</v>
      </c>
      <c r="AI112" s="61">
        <f ca="1">(1+Overview!$I$29)*SUM(TblImps[[#This Row],[P5]:[G5]])+OFFSET(TblImps[[#This Row],[Σ Forges]],-1,0)</f>
        <v>0</v>
      </c>
      <c r="AJ112" s="61">
        <f ca="1">(1+Overview!$I$29)*SUM(TblImps[[#This Row],[P6]:[G6]])+OFFSET(TblImps[[#This Row],[Σ Walls]],-1,0)</f>
        <v>0</v>
      </c>
      <c r="AK112" s="61">
        <f ca="1">(1+Overview!$I$29 + tech_7_1*TblTech[[#This Row],[7-1]])*SUM(TblImps[[#This Row],[P7]:[G7]])+OFFSET(TblImps[[#This Row],[Σ Harbor]],-1,0)</f>
        <v>0</v>
      </c>
      <c r="AL112" s="142"/>
      <c r="AM112" s="57">
        <f>IF(AND(TblImps[[#This Row],[Resource]]=AM$2,TblImps[[#This Row],[Part]]&lt;&gt;""),TblImps[[#This Row],[Amount]]) + IF(AND(TblImps[[#This Row],[Resource 2]]=AM$2,TblImps[[#This Row],[Part 2]]&lt;&gt;""),TblImps[[#This Row],[Amount 2]]) + IF(AND(TblImps[[#This Row],[Resource 3]]=AM$2,TblImps[[#This Row],[Part 3]]&lt;&gt;""),TblImps[[#This Row],[Amount 3]])</f>
        <v>0</v>
      </c>
      <c r="AN112" s="57">
        <f>IF(AND(TblImps[[#This Row],[Resource]]=AN$2,TblImps[[#This Row],[Part]]&lt;&gt;""),TblImps[[#This Row],[Amount]]) + IF(AND(TblImps[[#This Row],[Resource 2]]=AN$2,TblImps[[#This Row],[Part 2]]&lt;&gt;""),TblImps[[#This Row],[Amount 2]]) + IF(AND(TblImps[[#This Row],[Resource 3]]=AN$2,TblImps[[#This Row],[Part 3]]&lt;&gt;""),TblImps[[#This Row],[Amount 3]])</f>
        <v>0</v>
      </c>
      <c r="AO112" s="57">
        <f>IF(AND(TblImps[[#This Row],[Resource]]=AO$2,TblImps[[#This Row],[Part]]&lt;&gt;""),TblImps[[#This Row],[Amount]]) + IF(AND(TblImps[[#This Row],[Resource 2]]=AO$2,TblImps[[#This Row],[Part 2]]&lt;&gt;""),TblImps[[#This Row],[Amount 2]]) + IF(AND(TblImps[[#This Row],[Resource 3]]=AO$2,TblImps[[#This Row],[Part 3]]&lt;&gt;""),TblImps[[#This Row],[Amount 3]])</f>
        <v>0</v>
      </c>
      <c r="AP112" s="57">
        <f>IF(AND(TblImps[[#This Row],[Resource]]=AP$2,TblImps[[#This Row],[Part]]&lt;&gt;""),TblImps[[#This Row],[Amount]]) + IF(AND(TblImps[[#This Row],[Resource 2]]=AP$2,TblImps[[#This Row],[Part 2]]&lt;&gt;""),TblImps[[#This Row],[Amount 2]]) + IF(AND(TblImps[[#This Row],[Resource 3]]=AP$2,TblImps[[#This Row],[Part 3]]&lt;&gt;""),TblImps[[#This Row],[Amount 3]])</f>
        <v>0</v>
      </c>
      <c r="AQ112" s="142"/>
      <c r="AR11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2" s="142"/>
      <c r="AW11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2" s="142"/>
      <c r="BB11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2" s="142"/>
      <c r="BG11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2" s="142"/>
      <c r="BL11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2" s="142"/>
      <c r="BQ11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2" s="142"/>
      <c r="BV11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2" s="61">
        <f>TblImps[[#This Row],[Login]]</f>
        <v>0</v>
      </c>
      <c r="BX112" s="137"/>
      <c r="BY112" s="293">
        <f ca="1">OFFSET(TblImps[[#This Row],[Real time]],-1,0)+1/24</f>
        <v>46051.499999999738</v>
      </c>
      <c r="BZ112" s="294">
        <f ca="1">OFFSET(TblImps[[#This Row],[Servertime]],-1,0)+1/24</f>
        <v>46051.499999999738</v>
      </c>
      <c r="CA112" s="57"/>
      <c r="CB112" s="292"/>
      <c r="CC112" s="292"/>
      <c r="CD112" s="45" t="s">
        <v>214</v>
      </c>
    </row>
    <row r="113" spans="1:81" x14ac:dyDescent="0.2">
      <c r="A113" s="214">
        <f ca="1">TblConstr[[#This Row],[Land]]</f>
        <v>110</v>
      </c>
      <c r="B113" s="142"/>
      <c r="C113" s="94">
        <f ca="1">TblProd[[#This Row],[Platinum]]</f>
        <v>209367</v>
      </c>
      <c r="D113" s="94">
        <f ca="1">TblProd[[#This Row],[Lumber]]</f>
        <v>71576</v>
      </c>
      <c r="E113" s="94">
        <f ca="1">TblProd[[#This Row],[Ore]]</f>
        <v>0</v>
      </c>
      <c r="F113" s="94">
        <f ca="1">TblProd[[#This Row],[Gems]]</f>
        <v>0</v>
      </c>
      <c r="G113" s="154"/>
      <c r="H113" s="94">
        <f ca="1">TblMili[[#This Row],[Draftees]]</f>
        <v>741</v>
      </c>
      <c r="I113" s="180">
        <f ca="1">TblPop[[#This Row],[Employment]]</f>
        <v>1</v>
      </c>
      <c r="J113" s="180">
        <f ca="1">TblPop[[#This Row],[Total]]/TblPop[[#This Row],[Net max]]</f>
        <v>1</v>
      </c>
      <c r="K113" s="283">
        <f>TblRezone[[#This Row],[Hour]]</f>
        <v>110</v>
      </c>
      <c r="L113" s="284">
        <f ca="1">TblImps[[#This Row],[Real time]]</f>
        <v>46051.541666666402</v>
      </c>
      <c r="M113" s="61">
        <f>IF(ISERROR(TblImps[[#This Row],[algorithm]]),0,TblImps[[#This Row],[algorithm]]*1)</f>
        <v>0</v>
      </c>
      <c r="N113" s="94">
        <f ca="1">TblImps[[#This Row],[Land]]</f>
        <v>110</v>
      </c>
      <c r="O113" s="285" t="s">
        <v>4</v>
      </c>
      <c r="P113" s="286"/>
      <c r="Q113" s="285" t="s">
        <v>210</v>
      </c>
      <c r="R113" s="285" t="s">
        <v>7</v>
      </c>
      <c r="S113" s="286"/>
      <c r="T113" s="285" t="s">
        <v>210</v>
      </c>
      <c r="U113" s="285" t="s">
        <v>3</v>
      </c>
      <c r="V113" s="286"/>
      <c r="W113" s="285" t="s">
        <v>210</v>
      </c>
      <c r="X113" s="142"/>
      <c r="Y113" s="287">
        <f ca="1">science_cap*(1-EXP(-TblImps[[#This Row],[Σ Science]]/(science_param*(OFFSET(TblImps[[#This Row],[Land]],1,0)-OFFSET(TblExplore[[#This Row],[Land Bonus]],1,0)*20)+15000)))*(1+(mason_bonus*TblConstr[[#This Row],[Tot Mas]]/TblConstr[[#This Row],[Land (2)]]))</f>
        <v>0</v>
      </c>
      <c r="Z113" s="287">
        <f ca="1">keep_cap*(1-EXP(-TblImps[[#This Row],[Σ Keep]]/(keep_param*(OFFSET(TblImps[[#This Row],[Land]],1,0)-OFFSET(TblExplore[[#This Row],[Land Bonus]],1,0)*20)+15000)))*(1+(mason_bonus*TblConstr[[#This Row],[Tot Mas]]/TblConstr[[#This Row],[Land (2)]]))</f>
        <v>0</v>
      </c>
      <c r="AA113" s="287">
        <f ca="1">harbor_towers_cap*(1-EXP(-TblImps[[#This Row],[Σ Spires]]/(towers_param*(OFFSET(TblImps[[#This Row],[Land]],1,0)-OFFSET(TblExplore[[#This Row],[Land Bonus]],1,0)*20)+15000)))*(1+(mason_bonus*TblConstr[[#This Row],[Tot Mas]]/TblConstr[[#This Row],[Land (2)]]))</f>
        <v>0</v>
      </c>
      <c r="AB113" s="287">
        <f ca="1">walls_forges_cap*(1-EXP(-TblImps[[#This Row],[Σ Forges]]/(walls_forges_param*(OFFSET(TblImps[[#This Row],[Land]],1,0)-OFFSET(TblExplore[[#This Row],[Land Bonus]],1,0)*20)+15000)))*(1+(mason_bonus*TblConstr[[#This Row],[Tot Mas]]/TblConstr[[#This Row],[Land (2)]]))</f>
        <v>0</v>
      </c>
      <c r="AC113" s="287">
        <f ca="1">walls_forges_cap*(1-EXP(-TblImps[[#This Row],[Σ Walls]]/(walls_forges_param*(OFFSET(TblImps[[#This Row],[Land]],1,0)-OFFSET(TblExplore[[#This Row],[Land Bonus]],1,0)*20)+15000)))*(1+(mason_bonus*TblConstr[[#This Row],[Tot Mas]]/TblConstr[[#This Row],[Land (2)]]))</f>
        <v>0</v>
      </c>
      <c r="AD113" s="287">
        <f ca="1">harbor_towers_cap*(1-EXP(-TblImps[[#This Row],[Σ Harbor]]/(harbor_towers_param*(OFFSET(TblImps[[#This Row],[Land]],1,0)-OFFSET(TblExplore[[#This Row],[Land Bonus]],1,0)*20)+15000)))*(1+(mason_bonus*TblConstr[[#This Row],[Tot Mas]]/TblConstr[[#This Row],[Land (2)]]))</f>
        <v>0</v>
      </c>
      <c r="AE113" s="142"/>
      <c r="AF113" s="61">
        <f ca="1">(1+Overview!$I$29)*SUM(TblImps[[#This Row],[P2]:[G2]])+OFFSET(TblImps[[#This Row],[Σ Science]],-1,0)</f>
        <v>0</v>
      </c>
      <c r="AG113" s="61">
        <f ca="1">(1+Overview!$I$29)*SUM(TblImps[[#This Row],[P3]:[G3]])+OFFSET(TblImps[[#This Row],[Σ Keep]],-1,0)</f>
        <v>0</v>
      </c>
      <c r="AH113" s="61">
        <f ca="1">(1+Overview!$I$29 + tech_7_1*TblTech[[#This Row],[7-1]])*SUM(TblImps[[#This Row],[P4]:[G4]])+OFFSET(TblImps[[#This Row],[Σ Spires]],-1,0)</f>
        <v>0</v>
      </c>
      <c r="AI113" s="61">
        <f ca="1">(1+Overview!$I$29)*SUM(TblImps[[#This Row],[P5]:[G5]])+OFFSET(TblImps[[#This Row],[Σ Forges]],-1,0)</f>
        <v>0</v>
      </c>
      <c r="AJ113" s="61">
        <f ca="1">(1+Overview!$I$29)*SUM(TblImps[[#This Row],[P6]:[G6]])+OFFSET(TblImps[[#This Row],[Σ Walls]],-1,0)</f>
        <v>0</v>
      </c>
      <c r="AK113" s="61">
        <f ca="1">(1+Overview!$I$29 + tech_7_1*TblTech[[#This Row],[7-1]])*SUM(TblImps[[#This Row],[P7]:[G7]])+OFFSET(TblImps[[#This Row],[Σ Harbor]],-1,0)</f>
        <v>0</v>
      </c>
      <c r="AL113" s="142"/>
      <c r="AM113" s="57">
        <f>IF(AND(TblImps[[#This Row],[Resource]]=AM$2,TblImps[[#This Row],[Part]]&lt;&gt;""),TblImps[[#This Row],[Amount]]) + IF(AND(TblImps[[#This Row],[Resource 2]]=AM$2,TblImps[[#This Row],[Part 2]]&lt;&gt;""),TblImps[[#This Row],[Amount 2]]) + IF(AND(TblImps[[#This Row],[Resource 3]]=AM$2,TblImps[[#This Row],[Part 3]]&lt;&gt;""),TblImps[[#This Row],[Amount 3]])</f>
        <v>0</v>
      </c>
      <c r="AN113" s="57">
        <f>IF(AND(TblImps[[#This Row],[Resource]]=AN$2,TblImps[[#This Row],[Part]]&lt;&gt;""),TblImps[[#This Row],[Amount]]) + IF(AND(TblImps[[#This Row],[Resource 2]]=AN$2,TblImps[[#This Row],[Part 2]]&lt;&gt;""),TblImps[[#This Row],[Amount 2]]) + IF(AND(TblImps[[#This Row],[Resource 3]]=AN$2,TblImps[[#This Row],[Part 3]]&lt;&gt;""),TblImps[[#This Row],[Amount 3]])</f>
        <v>0</v>
      </c>
      <c r="AO113" s="57">
        <f>IF(AND(TblImps[[#This Row],[Resource]]=AO$2,TblImps[[#This Row],[Part]]&lt;&gt;""),TblImps[[#This Row],[Amount]]) + IF(AND(TblImps[[#This Row],[Resource 2]]=AO$2,TblImps[[#This Row],[Part 2]]&lt;&gt;""),TblImps[[#This Row],[Amount 2]]) + IF(AND(TblImps[[#This Row],[Resource 3]]=AO$2,TblImps[[#This Row],[Part 3]]&lt;&gt;""),TblImps[[#This Row],[Amount 3]])</f>
        <v>0</v>
      </c>
      <c r="AP113" s="57">
        <f>IF(AND(TblImps[[#This Row],[Resource]]=AP$2,TblImps[[#This Row],[Part]]&lt;&gt;""),TblImps[[#This Row],[Amount]]) + IF(AND(TblImps[[#This Row],[Resource 2]]=AP$2,TblImps[[#This Row],[Part 2]]&lt;&gt;""),TblImps[[#This Row],[Amount 2]]) + IF(AND(TblImps[[#This Row],[Resource 3]]=AP$2,TblImps[[#This Row],[Part 3]]&lt;&gt;""),TblImps[[#This Row],[Amount 3]])</f>
        <v>0</v>
      </c>
      <c r="AQ113" s="142"/>
      <c r="AR11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3" s="142"/>
      <c r="AW11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3" s="142"/>
      <c r="BB11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3" s="142"/>
      <c r="BG11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3" s="142"/>
      <c r="BL11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3" s="142"/>
      <c r="BQ11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3" s="142"/>
      <c r="BV11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3" s="61">
        <f>TblImps[[#This Row],[Login]]</f>
        <v>0</v>
      </c>
      <c r="BX113" s="137"/>
      <c r="BY113" s="293">
        <f ca="1">OFFSET(TblImps[[#This Row],[Real time]],-1,0)+1/24</f>
        <v>46051.541666666402</v>
      </c>
      <c r="BZ113" s="294">
        <f ca="1">OFFSET(TblImps[[#This Row],[Servertime]],-1,0)+1/24</f>
        <v>46051.541666666402</v>
      </c>
      <c r="CA113" s="57"/>
      <c r="CB113" s="292"/>
      <c r="CC113" s="292"/>
    </row>
    <row r="114" spans="1:81" x14ac:dyDescent="0.2">
      <c r="A114" s="214">
        <f ca="1">TblConstr[[#This Row],[Land]]</f>
        <v>110</v>
      </c>
      <c r="B114" s="142"/>
      <c r="C114" s="94">
        <f ca="1">TblProd[[#This Row],[Platinum]]</f>
        <v>210271</v>
      </c>
      <c r="D114" s="94">
        <f ca="1">TblProd[[#This Row],[Lumber]]</f>
        <v>71860</v>
      </c>
      <c r="E114" s="94">
        <f ca="1">TblProd[[#This Row],[Ore]]</f>
        <v>0</v>
      </c>
      <c r="F114" s="94">
        <f ca="1">TblProd[[#This Row],[Gems]]</f>
        <v>0</v>
      </c>
      <c r="G114" s="154"/>
      <c r="H114" s="94">
        <f ca="1">TblMili[[#This Row],[Draftees]]</f>
        <v>744</v>
      </c>
      <c r="I114" s="180">
        <f ca="1">TblPop[[#This Row],[Employment]]</f>
        <v>1</v>
      </c>
      <c r="J114" s="180">
        <f ca="1">TblPop[[#This Row],[Total]]/TblPop[[#This Row],[Net max]]</f>
        <v>1</v>
      </c>
      <c r="K114" s="283">
        <f>TblRezone[[#This Row],[Hour]]</f>
        <v>111</v>
      </c>
      <c r="L114" s="284">
        <f ca="1">TblImps[[#This Row],[Real time]]</f>
        <v>46051.583333333067</v>
      </c>
      <c r="M114" s="61">
        <f>IF(ISERROR(TblImps[[#This Row],[algorithm]]),0,TblImps[[#This Row],[algorithm]]*1)</f>
        <v>0</v>
      </c>
      <c r="N114" s="94">
        <f ca="1">TblImps[[#This Row],[Land]]</f>
        <v>110</v>
      </c>
      <c r="O114" s="285" t="s">
        <v>4</v>
      </c>
      <c r="P114" s="286"/>
      <c r="Q114" s="285" t="s">
        <v>210</v>
      </c>
      <c r="R114" s="285" t="s">
        <v>7</v>
      </c>
      <c r="S114" s="286"/>
      <c r="T114" s="285" t="s">
        <v>210</v>
      </c>
      <c r="U114" s="285" t="s">
        <v>3</v>
      </c>
      <c r="V114" s="286"/>
      <c r="W114" s="285" t="s">
        <v>210</v>
      </c>
      <c r="X114" s="142"/>
      <c r="Y114" s="287">
        <f ca="1">science_cap*(1-EXP(-TblImps[[#This Row],[Σ Science]]/(science_param*(OFFSET(TblImps[[#This Row],[Land]],1,0)-OFFSET(TblExplore[[#This Row],[Land Bonus]],1,0)*20)+15000)))*(1+(mason_bonus*TblConstr[[#This Row],[Tot Mas]]/TblConstr[[#This Row],[Land (2)]]))</f>
        <v>0</v>
      </c>
      <c r="Z114" s="287">
        <f ca="1">keep_cap*(1-EXP(-TblImps[[#This Row],[Σ Keep]]/(keep_param*(OFFSET(TblImps[[#This Row],[Land]],1,0)-OFFSET(TblExplore[[#This Row],[Land Bonus]],1,0)*20)+15000)))*(1+(mason_bonus*TblConstr[[#This Row],[Tot Mas]]/TblConstr[[#This Row],[Land (2)]]))</f>
        <v>0</v>
      </c>
      <c r="AA114" s="287">
        <f ca="1">harbor_towers_cap*(1-EXP(-TblImps[[#This Row],[Σ Spires]]/(towers_param*(OFFSET(TblImps[[#This Row],[Land]],1,0)-OFFSET(TblExplore[[#This Row],[Land Bonus]],1,0)*20)+15000)))*(1+(mason_bonus*TblConstr[[#This Row],[Tot Mas]]/TblConstr[[#This Row],[Land (2)]]))</f>
        <v>0</v>
      </c>
      <c r="AB114" s="287">
        <f ca="1">walls_forges_cap*(1-EXP(-TblImps[[#This Row],[Σ Forges]]/(walls_forges_param*(OFFSET(TblImps[[#This Row],[Land]],1,0)-OFFSET(TblExplore[[#This Row],[Land Bonus]],1,0)*20)+15000)))*(1+(mason_bonus*TblConstr[[#This Row],[Tot Mas]]/TblConstr[[#This Row],[Land (2)]]))</f>
        <v>0</v>
      </c>
      <c r="AC114" s="287">
        <f ca="1">walls_forges_cap*(1-EXP(-TblImps[[#This Row],[Σ Walls]]/(walls_forges_param*(OFFSET(TblImps[[#This Row],[Land]],1,0)-OFFSET(TblExplore[[#This Row],[Land Bonus]],1,0)*20)+15000)))*(1+(mason_bonus*TblConstr[[#This Row],[Tot Mas]]/TblConstr[[#This Row],[Land (2)]]))</f>
        <v>0</v>
      </c>
      <c r="AD114" s="287">
        <f ca="1">harbor_towers_cap*(1-EXP(-TblImps[[#This Row],[Σ Harbor]]/(harbor_towers_param*(OFFSET(TblImps[[#This Row],[Land]],1,0)-OFFSET(TblExplore[[#This Row],[Land Bonus]],1,0)*20)+15000)))*(1+(mason_bonus*TblConstr[[#This Row],[Tot Mas]]/TblConstr[[#This Row],[Land (2)]]))</f>
        <v>0</v>
      </c>
      <c r="AE114" s="142"/>
      <c r="AF114" s="61">
        <f ca="1">(1+Overview!$I$29)*SUM(TblImps[[#This Row],[P2]:[G2]])+OFFSET(TblImps[[#This Row],[Σ Science]],-1,0)</f>
        <v>0</v>
      </c>
      <c r="AG114" s="61">
        <f ca="1">(1+Overview!$I$29)*SUM(TblImps[[#This Row],[P3]:[G3]])+OFFSET(TblImps[[#This Row],[Σ Keep]],-1,0)</f>
        <v>0</v>
      </c>
      <c r="AH114" s="61">
        <f ca="1">(1+Overview!$I$29 + tech_7_1*TblTech[[#This Row],[7-1]])*SUM(TblImps[[#This Row],[P4]:[G4]])+OFFSET(TblImps[[#This Row],[Σ Spires]],-1,0)</f>
        <v>0</v>
      </c>
      <c r="AI114" s="61">
        <f ca="1">(1+Overview!$I$29)*SUM(TblImps[[#This Row],[P5]:[G5]])+OFFSET(TblImps[[#This Row],[Σ Forges]],-1,0)</f>
        <v>0</v>
      </c>
      <c r="AJ114" s="61">
        <f ca="1">(1+Overview!$I$29)*SUM(TblImps[[#This Row],[P6]:[G6]])+OFFSET(TblImps[[#This Row],[Σ Walls]],-1,0)</f>
        <v>0</v>
      </c>
      <c r="AK114" s="61">
        <f ca="1">(1+Overview!$I$29 + tech_7_1*TblTech[[#This Row],[7-1]])*SUM(TblImps[[#This Row],[P7]:[G7]])+OFFSET(TblImps[[#This Row],[Σ Harbor]],-1,0)</f>
        <v>0</v>
      </c>
      <c r="AL114" s="142"/>
      <c r="AM114" s="57">
        <f>IF(AND(TblImps[[#This Row],[Resource]]=AM$2,TblImps[[#This Row],[Part]]&lt;&gt;""),TblImps[[#This Row],[Amount]]) + IF(AND(TblImps[[#This Row],[Resource 2]]=AM$2,TblImps[[#This Row],[Part 2]]&lt;&gt;""),TblImps[[#This Row],[Amount 2]]) + IF(AND(TblImps[[#This Row],[Resource 3]]=AM$2,TblImps[[#This Row],[Part 3]]&lt;&gt;""),TblImps[[#This Row],[Amount 3]])</f>
        <v>0</v>
      </c>
      <c r="AN114" s="57">
        <f>IF(AND(TblImps[[#This Row],[Resource]]=AN$2,TblImps[[#This Row],[Part]]&lt;&gt;""),TblImps[[#This Row],[Amount]]) + IF(AND(TblImps[[#This Row],[Resource 2]]=AN$2,TblImps[[#This Row],[Part 2]]&lt;&gt;""),TblImps[[#This Row],[Amount 2]]) + IF(AND(TblImps[[#This Row],[Resource 3]]=AN$2,TblImps[[#This Row],[Part 3]]&lt;&gt;""),TblImps[[#This Row],[Amount 3]])</f>
        <v>0</v>
      </c>
      <c r="AO114" s="57">
        <f>IF(AND(TblImps[[#This Row],[Resource]]=AO$2,TblImps[[#This Row],[Part]]&lt;&gt;""),TblImps[[#This Row],[Amount]]) + IF(AND(TblImps[[#This Row],[Resource 2]]=AO$2,TblImps[[#This Row],[Part 2]]&lt;&gt;""),TblImps[[#This Row],[Amount 2]]) + IF(AND(TblImps[[#This Row],[Resource 3]]=AO$2,TblImps[[#This Row],[Part 3]]&lt;&gt;""),TblImps[[#This Row],[Amount 3]])</f>
        <v>0</v>
      </c>
      <c r="AP114" s="57">
        <f>IF(AND(TblImps[[#This Row],[Resource]]=AP$2,TblImps[[#This Row],[Part]]&lt;&gt;""),TblImps[[#This Row],[Amount]]) + IF(AND(TblImps[[#This Row],[Resource 2]]=AP$2,TblImps[[#This Row],[Part 2]]&lt;&gt;""),TblImps[[#This Row],[Amount 2]]) + IF(AND(TblImps[[#This Row],[Resource 3]]=AP$2,TblImps[[#This Row],[Part 3]]&lt;&gt;""),TblImps[[#This Row],[Amount 3]])</f>
        <v>0</v>
      </c>
      <c r="AQ114" s="142"/>
      <c r="AR11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4" s="142"/>
      <c r="AW11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4" s="142"/>
      <c r="BB11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4" s="142"/>
      <c r="BG11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4" s="142"/>
      <c r="BL11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4" s="142"/>
      <c r="BQ11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4" s="142"/>
      <c r="BV11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4" s="61">
        <f>TblImps[[#This Row],[Login]]</f>
        <v>0</v>
      </c>
      <c r="BX114" s="137"/>
      <c r="BY114" s="293">
        <f ca="1">OFFSET(TblImps[[#This Row],[Real time]],-1,0)+1/24</f>
        <v>46051.583333333067</v>
      </c>
      <c r="BZ114" s="294">
        <f ca="1">OFFSET(TblImps[[#This Row],[Servertime]],-1,0)+1/24</f>
        <v>46051.583333333067</v>
      </c>
      <c r="CA114" s="297"/>
      <c r="CB114" s="292"/>
      <c r="CC114" s="292"/>
    </row>
    <row r="115" spans="1:81" x14ac:dyDescent="0.2">
      <c r="A115" s="214">
        <f ca="1">TblConstr[[#This Row],[Land]]</f>
        <v>110</v>
      </c>
      <c r="B115" s="142"/>
      <c r="C115" s="94">
        <f ca="1">TblProd[[#This Row],[Platinum]]</f>
        <v>211167</v>
      </c>
      <c r="D115" s="94">
        <f ca="1">TblProd[[#This Row],[Lumber]]</f>
        <v>72141</v>
      </c>
      <c r="E115" s="94">
        <f ca="1">TblProd[[#This Row],[Ore]]</f>
        <v>0</v>
      </c>
      <c r="F115" s="94">
        <f ca="1">TblProd[[#This Row],[Gems]]</f>
        <v>0</v>
      </c>
      <c r="G115" s="154"/>
      <c r="H115" s="94">
        <f ca="1">TblMili[[#This Row],[Draftees]]</f>
        <v>747</v>
      </c>
      <c r="I115" s="180">
        <f ca="1">TblPop[[#This Row],[Employment]]</f>
        <v>1</v>
      </c>
      <c r="J115" s="180">
        <f ca="1">TblPop[[#This Row],[Total]]/TblPop[[#This Row],[Net max]]</f>
        <v>1</v>
      </c>
      <c r="K115" s="283">
        <f>TblRezone[[#This Row],[Hour]]</f>
        <v>112</v>
      </c>
      <c r="L115" s="284">
        <f ca="1">TblImps[[#This Row],[Real time]]</f>
        <v>46051.624999999731</v>
      </c>
      <c r="M115" s="61">
        <f>IF(ISERROR(TblImps[[#This Row],[algorithm]]),0,TblImps[[#This Row],[algorithm]]*1)</f>
        <v>0</v>
      </c>
      <c r="N115" s="94">
        <f ca="1">TblImps[[#This Row],[Land]]</f>
        <v>110</v>
      </c>
      <c r="O115" s="285" t="s">
        <v>4</v>
      </c>
      <c r="P115" s="286"/>
      <c r="Q115" s="285" t="s">
        <v>210</v>
      </c>
      <c r="R115" s="285" t="s">
        <v>7</v>
      </c>
      <c r="S115" s="286"/>
      <c r="T115" s="285" t="s">
        <v>210</v>
      </c>
      <c r="U115" s="285" t="s">
        <v>3</v>
      </c>
      <c r="V115" s="286"/>
      <c r="W115" s="285" t="s">
        <v>210</v>
      </c>
      <c r="X115" s="142"/>
      <c r="Y115" s="287">
        <f ca="1">science_cap*(1-EXP(-TblImps[[#This Row],[Σ Science]]/(science_param*(OFFSET(TblImps[[#This Row],[Land]],1,0)-OFFSET(TblExplore[[#This Row],[Land Bonus]],1,0)*20)+15000)))*(1+(mason_bonus*TblConstr[[#This Row],[Tot Mas]]/TblConstr[[#This Row],[Land (2)]]))</f>
        <v>0</v>
      </c>
      <c r="Z115" s="287">
        <f ca="1">keep_cap*(1-EXP(-TblImps[[#This Row],[Σ Keep]]/(keep_param*(OFFSET(TblImps[[#This Row],[Land]],1,0)-OFFSET(TblExplore[[#This Row],[Land Bonus]],1,0)*20)+15000)))*(1+(mason_bonus*TblConstr[[#This Row],[Tot Mas]]/TblConstr[[#This Row],[Land (2)]]))</f>
        <v>0</v>
      </c>
      <c r="AA115" s="287">
        <f ca="1">harbor_towers_cap*(1-EXP(-TblImps[[#This Row],[Σ Spires]]/(towers_param*(OFFSET(TblImps[[#This Row],[Land]],1,0)-OFFSET(TblExplore[[#This Row],[Land Bonus]],1,0)*20)+15000)))*(1+(mason_bonus*TblConstr[[#This Row],[Tot Mas]]/TblConstr[[#This Row],[Land (2)]]))</f>
        <v>0</v>
      </c>
      <c r="AB115" s="287">
        <f ca="1">walls_forges_cap*(1-EXP(-TblImps[[#This Row],[Σ Forges]]/(walls_forges_param*(OFFSET(TblImps[[#This Row],[Land]],1,0)-OFFSET(TblExplore[[#This Row],[Land Bonus]],1,0)*20)+15000)))*(1+(mason_bonus*TblConstr[[#This Row],[Tot Mas]]/TblConstr[[#This Row],[Land (2)]]))</f>
        <v>0</v>
      </c>
      <c r="AC115" s="287">
        <f ca="1">walls_forges_cap*(1-EXP(-TblImps[[#This Row],[Σ Walls]]/(walls_forges_param*(OFFSET(TblImps[[#This Row],[Land]],1,0)-OFFSET(TblExplore[[#This Row],[Land Bonus]],1,0)*20)+15000)))*(1+(mason_bonus*TblConstr[[#This Row],[Tot Mas]]/TblConstr[[#This Row],[Land (2)]]))</f>
        <v>0</v>
      </c>
      <c r="AD115" s="287">
        <f ca="1">harbor_towers_cap*(1-EXP(-TblImps[[#This Row],[Σ Harbor]]/(harbor_towers_param*(OFFSET(TblImps[[#This Row],[Land]],1,0)-OFFSET(TblExplore[[#This Row],[Land Bonus]],1,0)*20)+15000)))*(1+(mason_bonus*TblConstr[[#This Row],[Tot Mas]]/TblConstr[[#This Row],[Land (2)]]))</f>
        <v>0</v>
      </c>
      <c r="AE115" s="142"/>
      <c r="AF115" s="61">
        <f ca="1">(1+Overview!$I$29)*SUM(TblImps[[#This Row],[P2]:[G2]])+OFFSET(TblImps[[#This Row],[Σ Science]],-1,0)</f>
        <v>0</v>
      </c>
      <c r="AG115" s="61">
        <f ca="1">(1+Overview!$I$29)*SUM(TblImps[[#This Row],[P3]:[G3]])+OFFSET(TblImps[[#This Row],[Σ Keep]],-1,0)</f>
        <v>0</v>
      </c>
      <c r="AH115" s="61">
        <f ca="1">(1+Overview!$I$29 + tech_7_1*TblTech[[#This Row],[7-1]])*SUM(TblImps[[#This Row],[P4]:[G4]])+OFFSET(TblImps[[#This Row],[Σ Spires]],-1,0)</f>
        <v>0</v>
      </c>
      <c r="AI115" s="61">
        <f ca="1">(1+Overview!$I$29)*SUM(TblImps[[#This Row],[P5]:[G5]])+OFFSET(TblImps[[#This Row],[Σ Forges]],-1,0)</f>
        <v>0</v>
      </c>
      <c r="AJ115" s="61">
        <f ca="1">(1+Overview!$I$29)*SUM(TblImps[[#This Row],[P6]:[G6]])+OFFSET(TblImps[[#This Row],[Σ Walls]],-1,0)</f>
        <v>0</v>
      </c>
      <c r="AK115" s="61">
        <f ca="1">(1+Overview!$I$29 + tech_7_1*TblTech[[#This Row],[7-1]])*SUM(TblImps[[#This Row],[P7]:[G7]])+OFFSET(TblImps[[#This Row],[Σ Harbor]],-1,0)</f>
        <v>0</v>
      </c>
      <c r="AL115" s="142"/>
      <c r="AM115" s="57">
        <f>IF(AND(TblImps[[#This Row],[Resource]]=AM$2,TblImps[[#This Row],[Part]]&lt;&gt;""),TblImps[[#This Row],[Amount]]) + IF(AND(TblImps[[#This Row],[Resource 2]]=AM$2,TblImps[[#This Row],[Part 2]]&lt;&gt;""),TblImps[[#This Row],[Amount 2]]) + IF(AND(TblImps[[#This Row],[Resource 3]]=AM$2,TblImps[[#This Row],[Part 3]]&lt;&gt;""),TblImps[[#This Row],[Amount 3]])</f>
        <v>0</v>
      </c>
      <c r="AN115" s="57">
        <f>IF(AND(TblImps[[#This Row],[Resource]]=AN$2,TblImps[[#This Row],[Part]]&lt;&gt;""),TblImps[[#This Row],[Amount]]) + IF(AND(TblImps[[#This Row],[Resource 2]]=AN$2,TblImps[[#This Row],[Part 2]]&lt;&gt;""),TblImps[[#This Row],[Amount 2]]) + IF(AND(TblImps[[#This Row],[Resource 3]]=AN$2,TblImps[[#This Row],[Part 3]]&lt;&gt;""),TblImps[[#This Row],[Amount 3]])</f>
        <v>0</v>
      </c>
      <c r="AO115" s="57">
        <f>IF(AND(TblImps[[#This Row],[Resource]]=AO$2,TblImps[[#This Row],[Part]]&lt;&gt;""),TblImps[[#This Row],[Amount]]) + IF(AND(TblImps[[#This Row],[Resource 2]]=AO$2,TblImps[[#This Row],[Part 2]]&lt;&gt;""),TblImps[[#This Row],[Amount 2]]) + IF(AND(TblImps[[#This Row],[Resource 3]]=AO$2,TblImps[[#This Row],[Part 3]]&lt;&gt;""),TblImps[[#This Row],[Amount 3]])</f>
        <v>0</v>
      </c>
      <c r="AP115" s="57">
        <f>IF(AND(TblImps[[#This Row],[Resource]]=AP$2,TblImps[[#This Row],[Part]]&lt;&gt;""),TblImps[[#This Row],[Amount]]) + IF(AND(TblImps[[#This Row],[Resource 2]]=AP$2,TblImps[[#This Row],[Part 2]]&lt;&gt;""),TblImps[[#This Row],[Amount 2]]) + IF(AND(TblImps[[#This Row],[Resource 3]]=AP$2,TblImps[[#This Row],[Part 3]]&lt;&gt;""),TblImps[[#This Row],[Amount 3]])</f>
        <v>0</v>
      </c>
      <c r="AQ115" s="142"/>
      <c r="AR11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5" s="142"/>
      <c r="AW11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5" s="142"/>
      <c r="BB11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5" s="142"/>
      <c r="BG11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5" s="142"/>
      <c r="BL11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5" s="142"/>
      <c r="BQ11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5" s="142"/>
      <c r="BV11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5" s="61">
        <f>TblImps[[#This Row],[Login]]</f>
        <v>0</v>
      </c>
      <c r="BX115" s="137"/>
      <c r="BY115" s="293">
        <f ca="1">OFFSET(TblImps[[#This Row],[Real time]],-1,0)+1/24</f>
        <v>46051.624999999731</v>
      </c>
      <c r="BZ115" s="294">
        <f ca="1">OFFSET(TblImps[[#This Row],[Servertime]],-1,0)+1/24</f>
        <v>46051.624999999731</v>
      </c>
      <c r="CA115" s="57"/>
      <c r="CB115" s="292"/>
      <c r="CC115" s="292"/>
    </row>
    <row r="116" spans="1:81" x14ac:dyDescent="0.2">
      <c r="A116" s="214">
        <f ca="1">TblConstr[[#This Row],[Land]]</f>
        <v>110</v>
      </c>
      <c r="B116" s="142"/>
      <c r="C116" s="94">
        <f ca="1">TblProd[[#This Row],[Platinum]]</f>
        <v>212055</v>
      </c>
      <c r="D116" s="94">
        <f ca="1">TblProd[[#This Row],[Lumber]]</f>
        <v>72420</v>
      </c>
      <c r="E116" s="94">
        <f ca="1">TblProd[[#This Row],[Ore]]</f>
        <v>0</v>
      </c>
      <c r="F116" s="94">
        <f ca="1">TblProd[[#This Row],[Gems]]</f>
        <v>0</v>
      </c>
      <c r="G116" s="154"/>
      <c r="H116" s="94">
        <f ca="1">TblMili[[#This Row],[Draftees]]</f>
        <v>750</v>
      </c>
      <c r="I116" s="180">
        <f ca="1">TblPop[[#This Row],[Employment]]</f>
        <v>1</v>
      </c>
      <c r="J116" s="180">
        <f ca="1">TblPop[[#This Row],[Total]]/TblPop[[#This Row],[Net max]]</f>
        <v>1</v>
      </c>
      <c r="K116" s="283">
        <f>TblRezone[[#This Row],[Hour]]</f>
        <v>113</v>
      </c>
      <c r="L116" s="284">
        <f ca="1">TblImps[[#This Row],[Real time]]</f>
        <v>46051.666666666395</v>
      </c>
      <c r="M116" s="61">
        <f>IF(ISERROR(TblImps[[#This Row],[algorithm]]),0,TblImps[[#This Row],[algorithm]]*1)</f>
        <v>0</v>
      </c>
      <c r="N116" s="94">
        <f ca="1">TblImps[[#This Row],[Land]]</f>
        <v>110</v>
      </c>
      <c r="O116" s="285" t="s">
        <v>4</v>
      </c>
      <c r="P116" s="286"/>
      <c r="Q116" s="285" t="s">
        <v>210</v>
      </c>
      <c r="R116" s="285" t="s">
        <v>7</v>
      </c>
      <c r="S116" s="286"/>
      <c r="T116" s="285" t="s">
        <v>210</v>
      </c>
      <c r="U116" s="285" t="s">
        <v>3</v>
      </c>
      <c r="V116" s="286"/>
      <c r="W116" s="285" t="s">
        <v>210</v>
      </c>
      <c r="X116" s="142"/>
      <c r="Y116" s="287">
        <f ca="1">science_cap*(1-EXP(-TblImps[[#This Row],[Σ Science]]/(science_param*(OFFSET(TblImps[[#This Row],[Land]],1,0)-OFFSET(TblExplore[[#This Row],[Land Bonus]],1,0)*20)+15000)))*(1+(mason_bonus*TblConstr[[#This Row],[Tot Mas]]/TblConstr[[#This Row],[Land (2)]]))</f>
        <v>0</v>
      </c>
      <c r="Z116" s="287">
        <f ca="1">keep_cap*(1-EXP(-TblImps[[#This Row],[Σ Keep]]/(keep_param*(OFFSET(TblImps[[#This Row],[Land]],1,0)-OFFSET(TblExplore[[#This Row],[Land Bonus]],1,0)*20)+15000)))*(1+(mason_bonus*TblConstr[[#This Row],[Tot Mas]]/TblConstr[[#This Row],[Land (2)]]))</f>
        <v>0</v>
      </c>
      <c r="AA116" s="287">
        <f ca="1">harbor_towers_cap*(1-EXP(-TblImps[[#This Row],[Σ Spires]]/(towers_param*(OFFSET(TblImps[[#This Row],[Land]],1,0)-OFFSET(TblExplore[[#This Row],[Land Bonus]],1,0)*20)+15000)))*(1+(mason_bonus*TblConstr[[#This Row],[Tot Mas]]/TblConstr[[#This Row],[Land (2)]]))</f>
        <v>0</v>
      </c>
      <c r="AB116" s="287">
        <f ca="1">walls_forges_cap*(1-EXP(-TblImps[[#This Row],[Σ Forges]]/(walls_forges_param*(OFFSET(TblImps[[#This Row],[Land]],1,0)-OFFSET(TblExplore[[#This Row],[Land Bonus]],1,0)*20)+15000)))*(1+(mason_bonus*TblConstr[[#This Row],[Tot Mas]]/TblConstr[[#This Row],[Land (2)]]))</f>
        <v>0</v>
      </c>
      <c r="AC116" s="287">
        <f ca="1">walls_forges_cap*(1-EXP(-TblImps[[#This Row],[Σ Walls]]/(walls_forges_param*(OFFSET(TblImps[[#This Row],[Land]],1,0)-OFFSET(TblExplore[[#This Row],[Land Bonus]],1,0)*20)+15000)))*(1+(mason_bonus*TblConstr[[#This Row],[Tot Mas]]/TblConstr[[#This Row],[Land (2)]]))</f>
        <v>0</v>
      </c>
      <c r="AD116" s="287">
        <f ca="1">harbor_towers_cap*(1-EXP(-TblImps[[#This Row],[Σ Harbor]]/(harbor_towers_param*(OFFSET(TblImps[[#This Row],[Land]],1,0)-OFFSET(TblExplore[[#This Row],[Land Bonus]],1,0)*20)+15000)))*(1+(mason_bonus*TblConstr[[#This Row],[Tot Mas]]/TblConstr[[#This Row],[Land (2)]]))</f>
        <v>0</v>
      </c>
      <c r="AE116" s="142"/>
      <c r="AF116" s="61">
        <f ca="1">(1+Overview!$I$29)*SUM(TblImps[[#This Row],[P2]:[G2]])+OFFSET(TblImps[[#This Row],[Σ Science]],-1,0)</f>
        <v>0</v>
      </c>
      <c r="AG116" s="61">
        <f ca="1">(1+Overview!$I$29)*SUM(TblImps[[#This Row],[P3]:[G3]])+OFFSET(TblImps[[#This Row],[Σ Keep]],-1,0)</f>
        <v>0</v>
      </c>
      <c r="AH116" s="61">
        <f ca="1">(1+Overview!$I$29 + tech_7_1*TblTech[[#This Row],[7-1]])*SUM(TblImps[[#This Row],[P4]:[G4]])+OFFSET(TblImps[[#This Row],[Σ Spires]],-1,0)</f>
        <v>0</v>
      </c>
      <c r="AI116" s="61">
        <f ca="1">(1+Overview!$I$29)*SUM(TblImps[[#This Row],[P5]:[G5]])+OFFSET(TblImps[[#This Row],[Σ Forges]],-1,0)</f>
        <v>0</v>
      </c>
      <c r="AJ116" s="61">
        <f ca="1">(1+Overview!$I$29)*SUM(TblImps[[#This Row],[P6]:[G6]])+OFFSET(TblImps[[#This Row],[Σ Walls]],-1,0)</f>
        <v>0</v>
      </c>
      <c r="AK116" s="61">
        <f ca="1">(1+Overview!$I$29 + tech_7_1*TblTech[[#This Row],[7-1]])*SUM(TblImps[[#This Row],[P7]:[G7]])+OFFSET(TblImps[[#This Row],[Σ Harbor]],-1,0)</f>
        <v>0</v>
      </c>
      <c r="AL116" s="142"/>
      <c r="AM116" s="57">
        <f>IF(AND(TblImps[[#This Row],[Resource]]=AM$2,TblImps[[#This Row],[Part]]&lt;&gt;""),TblImps[[#This Row],[Amount]]) + IF(AND(TblImps[[#This Row],[Resource 2]]=AM$2,TblImps[[#This Row],[Part 2]]&lt;&gt;""),TblImps[[#This Row],[Amount 2]]) + IF(AND(TblImps[[#This Row],[Resource 3]]=AM$2,TblImps[[#This Row],[Part 3]]&lt;&gt;""),TblImps[[#This Row],[Amount 3]])</f>
        <v>0</v>
      </c>
      <c r="AN116" s="57">
        <f>IF(AND(TblImps[[#This Row],[Resource]]=AN$2,TblImps[[#This Row],[Part]]&lt;&gt;""),TblImps[[#This Row],[Amount]]) + IF(AND(TblImps[[#This Row],[Resource 2]]=AN$2,TblImps[[#This Row],[Part 2]]&lt;&gt;""),TblImps[[#This Row],[Amount 2]]) + IF(AND(TblImps[[#This Row],[Resource 3]]=AN$2,TblImps[[#This Row],[Part 3]]&lt;&gt;""),TblImps[[#This Row],[Amount 3]])</f>
        <v>0</v>
      </c>
      <c r="AO116" s="57">
        <f>IF(AND(TblImps[[#This Row],[Resource]]=AO$2,TblImps[[#This Row],[Part]]&lt;&gt;""),TblImps[[#This Row],[Amount]]) + IF(AND(TblImps[[#This Row],[Resource 2]]=AO$2,TblImps[[#This Row],[Part 2]]&lt;&gt;""),TblImps[[#This Row],[Amount 2]]) + IF(AND(TblImps[[#This Row],[Resource 3]]=AO$2,TblImps[[#This Row],[Part 3]]&lt;&gt;""),TblImps[[#This Row],[Amount 3]])</f>
        <v>0</v>
      </c>
      <c r="AP116" s="57">
        <f>IF(AND(TblImps[[#This Row],[Resource]]=AP$2,TblImps[[#This Row],[Part]]&lt;&gt;""),TblImps[[#This Row],[Amount]]) + IF(AND(TblImps[[#This Row],[Resource 2]]=AP$2,TblImps[[#This Row],[Part 2]]&lt;&gt;""),TblImps[[#This Row],[Amount 2]]) + IF(AND(TblImps[[#This Row],[Resource 3]]=AP$2,TblImps[[#This Row],[Part 3]]&lt;&gt;""),TblImps[[#This Row],[Amount 3]])</f>
        <v>0</v>
      </c>
      <c r="AQ116" s="142"/>
      <c r="AR11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6" s="142"/>
      <c r="AW11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6" s="142"/>
      <c r="BB11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6" s="142"/>
      <c r="BG11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6" s="142"/>
      <c r="BL11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6" s="142"/>
      <c r="BQ11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6" s="142"/>
      <c r="BV11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6" s="61">
        <f>TblImps[[#This Row],[Login]]</f>
        <v>0</v>
      </c>
      <c r="BX116" s="137"/>
      <c r="BY116" s="293">
        <f ca="1">OFFSET(TblImps[[#This Row],[Real time]],-1,0)+1/24</f>
        <v>46051.666666666395</v>
      </c>
      <c r="BZ116" s="294">
        <f ca="1">OFFSET(TblImps[[#This Row],[Servertime]],-1,0)+1/24</f>
        <v>46051.666666666395</v>
      </c>
      <c r="CA116" s="57"/>
      <c r="CB116" s="292"/>
      <c r="CC116" s="292"/>
    </row>
    <row r="117" spans="1:81" x14ac:dyDescent="0.2">
      <c r="A117" s="214">
        <f ca="1">TblConstr[[#This Row],[Land]]</f>
        <v>110</v>
      </c>
      <c r="B117" s="142"/>
      <c r="C117" s="94">
        <f ca="1">TblProd[[#This Row],[Platinum]]</f>
        <v>212935</v>
      </c>
      <c r="D117" s="94">
        <f ca="1">TblProd[[#This Row],[Lumber]]</f>
        <v>72696</v>
      </c>
      <c r="E117" s="94">
        <f ca="1">TblProd[[#This Row],[Ore]]</f>
        <v>0</v>
      </c>
      <c r="F117" s="94">
        <f ca="1">TblProd[[#This Row],[Gems]]</f>
        <v>0</v>
      </c>
      <c r="G117" s="154"/>
      <c r="H117" s="94">
        <f ca="1">TblMili[[#This Row],[Draftees]]</f>
        <v>753</v>
      </c>
      <c r="I117" s="180">
        <f ca="1">TblPop[[#This Row],[Employment]]</f>
        <v>1</v>
      </c>
      <c r="J117" s="180">
        <f ca="1">TblPop[[#This Row],[Total]]/TblPop[[#This Row],[Net max]]</f>
        <v>1</v>
      </c>
      <c r="K117" s="283">
        <f>TblRezone[[#This Row],[Hour]]</f>
        <v>114</v>
      </c>
      <c r="L117" s="284">
        <f ca="1">TblImps[[#This Row],[Real time]]</f>
        <v>46051.708333333059</v>
      </c>
      <c r="M117" s="61">
        <f>IF(ISERROR(TblImps[[#This Row],[algorithm]]),0,TblImps[[#This Row],[algorithm]]*1)</f>
        <v>0</v>
      </c>
      <c r="N117" s="94">
        <f ca="1">TblImps[[#This Row],[Land]]</f>
        <v>110</v>
      </c>
      <c r="O117" s="285" t="s">
        <v>4</v>
      </c>
      <c r="P117" s="286"/>
      <c r="Q117" s="285" t="s">
        <v>210</v>
      </c>
      <c r="R117" s="285" t="s">
        <v>7</v>
      </c>
      <c r="S117" s="286"/>
      <c r="T117" s="285" t="s">
        <v>210</v>
      </c>
      <c r="U117" s="285" t="s">
        <v>3</v>
      </c>
      <c r="V117" s="286"/>
      <c r="W117" s="285" t="s">
        <v>210</v>
      </c>
      <c r="X117" s="142"/>
      <c r="Y117" s="287">
        <f ca="1">science_cap*(1-EXP(-TblImps[[#This Row],[Σ Science]]/(science_param*(OFFSET(TblImps[[#This Row],[Land]],1,0)-OFFSET(TblExplore[[#This Row],[Land Bonus]],1,0)*20)+15000)))*(1+(mason_bonus*TblConstr[[#This Row],[Tot Mas]]/TblConstr[[#This Row],[Land (2)]]))</f>
        <v>0</v>
      </c>
      <c r="Z117" s="287">
        <f ca="1">keep_cap*(1-EXP(-TblImps[[#This Row],[Σ Keep]]/(keep_param*(OFFSET(TblImps[[#This Row],[Land]],1,0)-OFFSET(TblExplore[[#This Row],[Land Bonus]],1,0)*20)+15000)))*(1+(mason_bonus*TblConstr[[#This Row],[Tot Mas]]/TblConstr[[#This Row],[Land (2)]]))</f>
        <v>0</v>
      </c>
      <c r="AA117" s="287">
        <f ca="1">harbor_towers_cap*(1-EXP(-TblImps[[#This Row],[Σ Spires]]/(towers_param*(OFFSET(TblImps[[#This Row],[Land]],1,0)-OFFSET(TblExplore[[#This Row],[Land Bonus]],1,0)*20)+15000)))*(1+(mason_bonus*TblConstr[[#This Row],[Tot Mas]]/TblConstr[[#This Row],[Land (2)]]))</f>
        <v>0</v>
      </c>
      <c r="AB117" s="287">
        <f ca="1">walls_forges_cap*(1-EXP(-TblImps[[#This Row],[Σ Forges]]/(walls_forges_param*(OFFSET(TblImps[[#This Row],[Land]],1,0)-OFFSET(TblExplore[[#This Row],[Land Bonus]],1,0)*20)+15000)))*(1+(mason_bonus*TblConstr[[#This Row],[Tot Mas]]/TblConstr[[#This Row],[Land (2)]]))</f>
        <v>0</v>
      </c>
      <c r="AC117" s="287">
        <f ca="1">walls_forges_cap*(1-EXP(-TblImps[[#This Row],[Σ Walls]]/(walls_forges_param*(OFFSET(TblImps[[#This Row],[Land]],1,0)-OFFSET(TblExplore[[#This Row],[Land Bonus]],1,0)*20)+15000)))*(1+(mason_bonus*TblConstr[[#This Row],[Tot Mas]]/TblConstr[[#This Row],[Land (2)]]))</f>
        <v>0</v>
      </c>
      <c r="AD117" s="287">
        <f ca="1">harbor_towers_cap*(1-EXP(-TblImps[[#This Row],[Σ Harbor]]/(harbor_towers_param*(OFFSET(TblImps[[#This Row],[Land]],1,0)-OFFSET(TblExplore[[#This Row],[Land Bonus]],1,0)*20)+15000)))*(1+(mason_bonus*TblConstr[[#This Row],[Tot Mas]]/TblConstr[[#This Row],[Land (2)]]))</f>
        <v>0</v>
      </c>
      <c r="AE117" s="142"/>
      <c r="AF117" s="61">
        <f ca="1">(1+Overview!$I$29)*SUM(TblImps[[#This Row],[P2]:[G2]])+OFFSET(TblImps[[#This Row],[Σ Science]],-1,0)</f>
        <v>0</v>
      </c>
      <c r="AG117" s="61">
        <f ca="1">(1+Overview!$I$29)*SUM(TblImps[[#This Row],[P3]:[G3]])+OFFSET(TblImps[[#This Row],[Σ Keep]],-1,0)</f>
        <v>0</v>
      </c>
      <c r="AH117" s="61">
        <f ca="1">(1+Overview!$I$29 + tech_7_1*TblTech[[#This Row],[7-1]])*SUM(TblImps[[#This Row],[P4]:[G4]])+OFFSET(TblImps[[#This Row],[Σ Spires]],-1,0)</f>
        <v>0</v>
      </c>
      <c r="AI117" s="61">
        <f ca="1">(1+Overview!$I$29)*SUM(TblImps[[#This Row],[P5]:[G5]])+OFFSET(TblImps[[#This Row],[Σ Forges]],-1,0)</f>
        <v>0</v>
      </c>
      <c r="AJ117" s="61">
        <f ca="1">(1+Overview!$I$29)*SUM(TblImps[[#This Row],[P6]:[G6]])+OFFSET(TblImps[[#This Row],[Σ Walls]],-1,0)</f>
        <v>0</v>
      </c>
      <c r="AK117" s="61">
        <f ca="1">(1+Overview!$I$29 + tech_7_1*TblTech[[#This Row],[7-1]])*SUM(TblImps[[#This Row],[P7]:[G7]])+OFFSET(TblImps[[#This Row],[Σ Harbor]],-1,0)</f>
        <v>0</v>
      </c>
      <c r="AL117" s="142"/>
      <c r="AM117" s="57">
        <f>IF(AND(TblImps[[#This Row],[Resource]]=AM$2,TblImps[[#This Row],[Part]]&lt;&gt;""),TblImps[[#This Row],[Amount]]) + IF(AND(TblImps[[#This Row],[Resource 2]]=AM$2,TblImps[[#This Row],[Part 2]]&lt;&gt;""),TblImps[[#This Row],[Amount 2]]) + IF(AND(TblImps[[#This Row],[Resource 3]]=AM$2,TblImps[[#This Row],[Part 3]]&lt;&gt;""),TblImps[[#This Row],[Amount 3]])</f>
        <v>0</v>
      </c>
      <c r="AN117" s="57">
        <f>IF(AND(TblImps[[#This Row],[Resource]]=AN$2,TblImps[[#This Row],[Part]]&lt;&gt;""),TblImps[[#This Row],[Amount]]) + IF(AND(TblImps[[#This Row],[Resource 2]]=AN$2,TblImps[[#This Row],[Part 2]]&lt;&gt;""),TblImps[[#This Row],[Amount 2]]) + IF(AND(TblImps[[#This Row],[Resource 3]]=AN$2,TblImps[[#This Row],[Part 3]]&lt;&gt;""),TblImps[[#This Row],[Amount 3]])</f>
        <v>0</v>
      </c>
      <c r="AO117" s="57">
        <f>IF(AND(TblImps[[#This Row],[Resource]]=AO$2,TblImps[[#This Row],[Part]]&lt;&gt;""),TblImps[[#This Row],[Amount]]) + IF(AND(TblImps[[#This Row],[Resource 2]]=AO$2,TblImps[[#This Row],[Part 2]]&lt;&gt;""),TblImps[[#This Row],[Amount 2]]) + IF(AND(TblImps[[#This Row],[Resource 3]]=AO$2,TblImps[[#This Row],[Part 3]]&lt;&gt;""),TblImps[[#This Row],[Amount 3]])</f>
        <v>0</v>
      </c>
      <c r="AP117" s="57">
        <f>IF(AND(TblImps[[#This Row],[Resource]]=AP$2,TblImps[[#This Row],[Part]]&lt;&gt;""),TblImps[[#This Row],[Amount]]) + IF(AND(TblImps[[#This Row],[Resource 2]]=AP$2,TblImps[[#This Row],[Part 2]]&lt;&gt;""),TblImps[[#This Row],[Amount 2]]) + IF(AND(TblImps[[#This Row],[Resource 3]]=AP$2,TblImps[[#This Row],[Part 3]]&lt;&gt;""),TblImps[[#This Row],[Amount 3]])</f>
        <v>0</v>
      </c>
      <c r="AQ117" s="142"/>
      <c r="AR11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7" s="142"/>
      <c r="AW11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7" s="142"/>
      <c r="BB11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7" s="142"/>
      <c r="BG11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7" s="142"/>
      <c r="BL11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7" s="142"/>
      <c r="BQ11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7" s="142"/>
      <c r="BV11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7" s="61">
        <f>TblImps[[#This Row],[Login]]</f>
        <v>0</v>
      </c>
      <c r="BX117" s="137"/>
      <c r="BY117" s="293">
        <f ca="1">OFFSET(TblImps[[#This Row],[Real time]],-1,0)+1/24</f>
        <v>46051.708333333059</v>
      </c>
      <c r="BZ117" s="294">
        <f ca="1">OFFSET(TblImps[[#This Row],[Servertime]],-1,0)+1/24</f>
        <v>46051.708333333059</v>
      </c>
      <c r="CA117" s="57"/>
      <c r="CB117" s="292"/>
      <c r="CC117" s="292"/>
    </row>
    <row r="118" spans="1:81" x14ac:dyDescent="0.2">
      <c r="A118" s="214">
        <f ca="1">TblConstr[[#This Row],[Land]]</f>
        <v>110</v>
      </c>
      <c r="B118" s="142"/>
      <c r="C118" s="94">
        <f ca="1">TblProd[[#This Row],[Platinum]]</f>
        <v>213807</v>
      </c>
      <c r="D118" s="94">
        <f ca="1">TblProd[[#This Row],[Lumber]]</f>
        <v>72969</v>
      </c>
      <c r="E118" s="94">
        <f ca="1">TblProd[[#This Row],[Ore]]</f>
        <v>0</v>
      </c>
      <c r="F118" s="94">
        <f ca="1">TblProd[[#This Row],[Gems]]</f>
        <v>0</v>
      </c>
      <c r="G118" s="154"/>
      <c r="H118" s="94">
        <f ca="1">TblMili[[#This Row],[Draftees]]</f>
        <v>756</v>
      </c>
      <c r="I118" s="180">
        <f ca="1">TblPop[[#This Row],[Employment]]</f>
        <v>1</v>
      </c>
      <c r="J118" s="180">
        <f ca="1">TblPop[[#This Row],[Total]]/TblPop[[#This Row],[Net max]]</f>
        <v>1</v>
      </c>
      <c r="K118" s="283">
        <f>TblRezone[[#This Row],[Hour]]</f>
        <v>115</v>
      </c>
      <c r="L118" s="284">
        <f ca="1">TblImps[[#This Row],[Real time]]</f>
        <v>46051.749999999724</v>
      </c>
      <c r="M118" s="61">
        <f>IF(ISERROR(TblImps[[#This Row],[algorithm]]),0,TblImps[[#This Row],[algorithm]]*1)</f>
        <v>0</v>
      </c>
      <c r="N118" s="94">
        <f ca="1">TblImps[[#This Row],[Land]]</f>
        <v>110</v>
      </c>
      <c r="O118" s="285" t="s">
        <v>4</v>
      </c>
      <c r="P118" s="286"/>
      <c r="Q118" s="285" t="s">
        <v>210</v>
      </c>
      <c r="R118" s="285" t="s">
        <v>7</v>
      </c>
      <c r="S118" s="286"/>
      <c r="T118" s="285" t="s">
        <v>210</v>
      </c>
      <c r="U118" s="285" t="s">
        <v>3</v>
      </c>
      <c r="V118" s="286"/>
      <c r="W118" s="285" t="s">
        <v>210</v>
      </c>
      <c r="X118" s="142"/>
      <c r="Y118" s="287">
        <f ca="1">science_cap*(1-EXP(-TblImps[[#This Row],[Σ Science]]/(science_param*(OFFSET(TblImps[[#This Row],[Land]],1,0)-OFFSET(TblExplore[[#This Row],[Land Bonus]],1,0)*20)+15000)))*(1+(mason_bonus*TblConstr[[#This Row],[Tot Mas]]/TblConstr[[#This Row],[Land (2)]]))</f>
        <v>0</v>
      </c>
      <c r="Z118" s="287">
        <f ca="1">keep_cap*(1-EXP(-TblImps[[#This Row],[Σ Keep]]/(keep_param*(OFFSET(TblImps[[#This Row],[Land]],1,0)-OFFSET(TblExplore[[#This Row],[Land Bonus]],1,0)*20)+15000)))*(1+(mason_bonus*TblConstr[[#This Row],[Tot Mas]]/TblConstr[[#This Row],[Land (2)]]))</f>
        <v>0</v>
      </c>
      <c r="AA118" s="287">
        <f ca="1">harbor_towers_cap*(1-EXP(-TblImps[[#This Row],[Σ Spires]]/(towers_param*(OFFSET(TblImps[[#This Row],[Land]],1,0)-OFFSET(TblExplore[[#This Row],[Land Bonus]],1,0)*20)+15000)))*(1+(mason_bonus*TblConstr[[#This Row],[Tot Mas]]/TblConstr[[#This Row],[Land (2)]]))</f>
        <v>0</v>
      </c>
      <c r="AB118" s="287">
        <f ca="1">walls_forges_cap*(1-EXP(-TblImps[[#This Row],[Σ Forges]]/(walls_forges_param*(OFFSET(TblImps[[#This Row],[Land]],1,0)-OFFSET(TblExplore[[#This Row],[Land Bonus]],1,0)*20)+15000)))*(1+(mason_bonus*TblConstr[[#This Row],[Tot Mas]]/TblConstr[[#This Row],[Land (2)]]))</f>
        <v>0</v>
      </c>
      <c r="AC118" s="287">
        <f ca="1">walls_forges_cap*(1-EXP(-TblImps[[#This Row],[Σ Walls]]/(walls_forges_param*(OFFSET(TblImps[[#This Row],[Land]],1,0)-OFFSET(TblExplore[[#This Row],[Land Bonus]],1,0)*20)+15000)))*(1+(mason_bonus*TblConstr[[#This Row],[Tot Mas]]/TblConstr[[#This Row],[Land (2)]]))</f>
        <v>0</v>
      </c>
      <c r="AD118" s="287">
        <f ca="1">harbor_towers_cap*(1-EXP(-TblImps[[#This Row],[Σ Harbor]]/(harbor_towers_param*(OFFSET(TblImps[[#This Row],[Land]],1,0)-OFFSET(TblExplore[[#This Row],[Land Bonus]],1,0)*20)+15000)))*(1+(mason_bonus*TblConstr[[#This Row],[Tot Mas]]/TblConstr[[#This Row],[Land (2)]]))</f>
        <v>0</v>
      </c>
      <c r="AE118" s="142"/>
      <c r="AF118" s="61">
        <f ca="1">(1+Overview!$I$29)*SUM(TblImps[[#This Row],[P2]:[G2]])+OFFSET(TblImps[[#This Row],[Σ Science]],-1,0)</f>
        <v>0</v>
      </c>
      <c r="AG118" s="61">
        <f ca="1">(1+Overview!$I$29)*SUM(TblImps[[#This Row],[P3]:[G3]])+OFFSET(TblImps[[#This Row],[Σ Keep]],-1,0)</f>
        <v>0</v>
      </c>
      <c r="AH118" s="61">
        <f ca="1">(1+Overview!$I$29 + tech_7_1*TblTech[[#This Row],[7-1]])*SUM(TblImps[[#This Row],[P4]:[G4]])+OFFSET(TblImps[[#This Row],[Σ Spires]],-1,0)</f>
        <v>0</v>
      </c>
      <c r="AI118" s="61">
        <f ca="1">(1+Overview!$I$29)*SUM(TblImps[[#This Row],[P5]:[G5]])+OFFSET(TblImps[[#This Row],[Σ Forges]],-1,0)</f>
        <v>0</v>
      </c>
      <c r="AJ118" s="61">
        <f ca="1">(1+Overview!$I$29)*SUM(TblImps[[#This Row],[P6]:[G6]])+OFFSET(TblImps[[#This Row],[Σ Walls]],-1,0)</f>
        <v>0</v>
      </c>
      <c r="AK118" s="61">
        <f ca="1">(1+Overview!$I$29 + tech_7_1*TblTech[[#This Row],[7-1]])*SUM(TblImps[[#This Row],[P7]:[G7]])+OFFSET(TblImps[[#This Row],[Σ Harbor]],-1,0)</f>
        <v>0</v>
      </c>
      <c r="AL118" s="142"/>
      <c r="AM118" s="57">
        <f>IF(AND(TblImps[[#This Row],[Resource]]=AM$2,TblImps[[#This Row],[Part]]&lt;&gt;""),TblImps[[#This Row],[Amount]]) + IF(AND(TblImps[[#This Row],[Resource 2]]=AM$2,TblImps[[#This Row],[Part 2]]&lt;&gt;""),TblImps[[#This Row],[Amount 2]]) + IF(AND(TblImps[[#This Row],[Resource 3]]=AM$2,TblImps[[#This Row],[Part 3]]&lt;&gt;""),TblImps[[#This Row],[Amount 3]])</f>
        <v>0</v>
      </c>
      <c r="AN118" s="57">
        <f>IF(AND(TblImps[[#This Row],[Resource]]=AN$2,TblImps[[#This Row],[Part]]&lt;&gt;""),TblImps[[#This Row],[Amount]]) + IF(AND(TblImps[[#This Row],[Resource 2]]=AN$2,TblImps[[#This Row],[Part 2]]&lt;&gt;""),TblImps[[#This Row],[Amount 2]]) + IF(AND(TblImps[[#This Row],[Resource 3]]=AN$2,TblImps[[#This Row],[Part 3]]&lt;&gt;""),TblImps[[#This Row],[Amount 3]])</f>
        <v>0</v>
      </c>
      <c r="AO118" s="57">
        <f>IF(AND(TblImps[[#This Row],[Resource]]=AO$2,TblImps[[#This Row],[Part]]&lt;&gt;""),TblImps[[#This Row],[Amount]]) + IF(AND(TblImps[[#This Row],[Resource 2]]=AO$2,TblImps[[#This Row],[Part 2]]&lt;&gt;""),TblImps[[#This Row],[Amount 2]]) + IF(AND(TblImps[[#This Row],[Resource 3]]=AO$2,TblImps[[#This Row],[Part 3]]&lt;&gt;""),TblImps[[#This Row],[Amount 3]])</f>
        <v>0</v>
      </c>
      <c r="AP118" s="57">
        <f>IF(AND(TblImps[[#This Row],[Resource]]=AP$2,TblImps[[#This Row],[Part]]&lt;&gt;""),TblImps[[#This Row],[Amount]]) + IF(AND(TblImps[[#This Row],[Resource 2]]=AP$2,TblImps[[#This Row],[Part 2]]&lt;&gt;""),TblImps[[#This Row],[Amount 2]]) + IF(AND(TblImps[[#This Row],[Resource 3]]=AP$2,TblImps[[#This Row],[Part 3]]&lt;&gt;""),TblImps[[#This Row],[Amount 3]])</f>
        <v>0</v>
      </c>
      <c r="AQ118" s="142"/>
      <c r="AR11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8" s="142"/>
      <c r="AW11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8" s="142"/>
      <c r="BB11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8" s="142"/>
      <c r="BG11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8" s="142"/>
      <c r="BL11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8" s="142"/>
      <c r="BQ11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8" s="142"/>
      <c r="BV11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8" s="61">
        <f>TblImps[[#This Row],[Login]]</f>
        <v>0</v>
      </c>
      <c r="BX118" s="137"/>
      <c r="BY118" s="293">
        <f ca="1">OFFSET(TblImps[[#This Row],[Real time]],-1,0)+1/24</f>
        <v>46051.749999999724</v>
      </c>
      <c r="BZ118" s="294">
        <f ca="1">OFFSET(TblImps[[#This Row],[Servertime]],-1,0)+1/24</f>
        <v>46051.749999999724</v>
      </c>
      <c r="CA118" s="57"/>
      <c r="CB118" s="292"/>
      <c r="CC118" s="292"/>
    </row>
    <row r="119" spans="1:81" x14ac:dyDescent="0.2">
      <c r="A119" s="214">
        <f ca="1">TblConstr[[#This Row],[Land]]</f>
        <v>110</v>
      </c>
      <c r="B119" s="142"/>
      <c r="C119" s="94">
        <f ca="1">TblProd[[#This Row],[Platinum]]</f>
        <v>214671</v>
      </c>
      <c r="D119" s="94">
        <f ca="1">TblProd[[#This Row],[Lumber]]</f>
        <v>73239</v>
      </c>
      <c r="E119" s="94">
        <f ca="1">TblProd[[#This Row],[Ore]]</f>
        <v>0</v>
      </c>
      <c r="F119" s="94">
        <f ca="1">TblProd[[#This Row],[Gems]]</f>
        <v>0</v>
      </c>
      <c r="G119" s="154"/>
      <c r="H119" s="94">
        <f ca="1">TblMili[[#This Row],[Draftees]]</f>
        <v>759</v>
      </c>
      <c r="I119" s="180">
        <f ca="1">TblPop[[#This Row],[Employment]]</f>
        <v>1</v>
      </c>
      <c r="J119" s="180">
        <f ca="1">TblPop[[#This Row],[Total]]/TblPop[[#This Row],[Net max]]</f>
        <v>1</v>
      </c>
      <c r="K119" s="283">
        <f>TblRezone[[#This Row],[Hour]]</f>
        <v>116</v>
      </c>
      <c r="L119" s="284">
        <f ca="1">TblImps[[#This Row],[Real time]]</f>
        <v>46051.791666666388</v>
      </c>
      <c r="M119" s="61">
        <f>IF(ISERROR(TblImps[[#This Row],[algorithm]]),0,TblImps[[#This Row],[algorithm]]*1)</f>
        <v>0</v>
      </c>
      <c r="N119" s="94">
        <f ca="1">TblImps[[#This Row],[Land]]</f>
        <v>110</v>
      </c>
      <c r="O119" s="285" t="s">
        <v>4</v>
      </c>
      <c r="P119" s="286"/>
      <c r="Q119" s="285" t="s">
        <v>210</v>
      </c>
      <c r="R119" s="285" t="s">
        <v>7</v>
      </c>
      <c r="S119" s="286"/>
      <c r="T119" s="285" t="s">
        <v>210</v>
      </c>
      <c r="U119" s="285" t="s">
        <v>3</v>
      </c>
      <c r="V119" s="286"/>
      <c r="W119" s="285" t="s">
        <v>210</v>
      </c>
      <c r="X119" s="142"/>
      <c r="Y119" s="287">
        <f ca="1">science_cap*(1-EXP(-TblImps[[#This Row],[Σ Science]]/(science_param*(OFFSET(TblImps[[#This Row],[Land]],1,0)-OFFSET(TblExplore[[#This Row],[Land Bonus]],1,0)*20)+15000)))*(1+(mason_bonus*TblConstr[[#This Row],[Tot Mas]]/TblConstr[[#This Row],[Land (2)]]))</f>
        <v>0</v>
      </c>
      <c r="Z119" s="287">
        <f ca="1">keep_cap*(1-EXP(-TblImps[[#This Row],[Σ Keep]]/(keep_param*(OFFSET(TblImps[[#This Row],[Land]],1,0)-OFFSET(TblExplore[[#This Row],[Land Bonus]],1,0)*20)+15000)))*(1+(mason_bonus*TblConstr[[#This Row],[Tot Mas]]/TblConstr[[#This Row],[Land (2)]]))</f>
        <v>0</v>
      </c>
      <c r="AA119" s="287">
        <f ca="1">harbor_towers_cap*(1-EXP(-TblImps[[#This Row],[Σ Spires]]/(towers_param*(OFFSET(TblImps[[#This Row],[Land]],1,0)-OFFSET(TblExplore[[#This Row],[Land Bonus]],1,0)*20)+15000)))*(1+(mason_bonus*TblConstr[[#This Row],[Tot Mas]]/TblConstr[[#This Row],[Land (2)]]))</f>
        <v>0</v>
      </c>
      <c r="AB119" s="287">
        <f ca="1">walls_forges_cap*(1-EXP(-TblImps[[#This Row],[Σ Forges]]/(walls_forges_param*(OFFSET(TblImps[[#This Row],[Land]],1,0)-OFFSET(TblExplore[[#This Row],[Land Bonus]],1,0)*20)+15000)))*(1+(mason_bonus*TblConstr[[#This Row],[Tot Mas]]/TblConstr[[#This Row],[Land (2)]]))</f>
        <v>0</v>
      </c>
      <c r="AC119" s="287">
        <f ca="1">walls_forges_cap*(1-EXP(-TblImps[[#This Row],[Σ Walls]]/(walls_forges_param*(OFFSET(TblImps[[#This Row],[Land]],1,0)-OFFSET(TblExplore[[#This Row],[Land Bonus]],1,0)*20)+15000)))*(1+(mason_bonus*TblConstr[[#This Row],[Tot Mas]]/TblConstr[[#This Row],[Land (2)]]))</f>
        <v>0</v>
      </c>
      <c r="AD119" s="287">
        <f ca="1">harbor_towers_cap*(1-EXP(-TblImps[[#This Row],[Σ Harbor]]/(harbor_towers_param*(OFFSET(TblImps[[#This Row],[Land]],1,0)-OFFSET(TblExplore[[#This Row],[Land Bonus]],1,0)*20)+15000)))*(1+(mason_bonus*TblConstr[[#This Row],[Tot Mas]]/TblConstr[[#This Row],[Land (2)]]))</f>
        <v>0</v>
      </c>
      <c r="AE119" s="142"/>
      <c r="AF119" s="61">
        <f ca="1">(1+Overview!$I$29)*SUM(TblImps[[#This Row],[P2]:[G2]])+OFFSET(TblImps[[#This Row],[Σ Science]],-1,0)</f>
        <v>0</v>
      </c>
      <c r="AG119" s="61">
        <f ca="1">(1+Overview!$I$29)*SUM(TblImps[[#This Row],[P3]:[G3]])+OFFSET(TblImps[[#This Row],[Σ Keep]],-1,0)</f>
        <v>0</v>
      </c>
      <c r="AH119" s="61">
        <f ca="1">(1+Overview!$I$29 + tech_7_1*TblTech[[#This Row],[7-1]])*SUM(TblImps[[#This Row],[P4]:[G4]])+OFFSET(TblImps[[#This Row],[Σ Spires]],-1,0)</f>
        <v>0</v>
      </c>
      <c r="AI119" s="61">
        <f ca="1">(1+Overview!$I$29)*SUM(TblImps[[#This Row],[P5]:[G5]])+OFFSET(TblImps[[#This Row],[Σ Forges]],-1,0)</f>
        <v>0</v>
      </c>
      <c r="AJ119" s="61">
        <f ca="1">(1+Overview!$I$29)*SUM(TblImps[[#This Row],[P6]:[G6]])+OFFSET(TblImps[[#This Row],[Σ Walls]],-1,0)</f>
        <v>0</v>
      </c>
      <c r="AK119" s="61">
        <f ca="1">(1+Overview!$I$29 + tech_7_1*TblTech[[#This Row],[7-1]])*SUM(TblImps[[#This Row],[P7]:[G7]])+OFFSET(TblImps[[#This Row],[Σ Harbor]],-1,0)</f>
        <v>0</v>
      </c>
      <c r="AL119" s="142"/>
      <c r="AM119" s="57">
        <f>IF(AND(TblImps[[#This Row],[Resource]]=AM$2,TblImps[[#This Row],[Part]]&lt;&gt;""),TblImps[[#This Row],[Amount]]) + IF(AND(TblImps[[#This Row],[Resource 2]]=AM$2,TblImps[[#This Row],[Part 2]]&lt;&gt;""),TblImps[[#This Row],[Amount 2]]) + IF(AND(TblImps[[#This Row],[Resource 3]]=AM$2,TblImps[[#This Row],[Part 3]]&lt;&gt;""),TblImps[[#This Row],[Amount 3]])</f>
        <v>0</v>
      </c>
      <c r="AN119" s="57">
        <f>IF(AND(TblImps[[#This Row],[Resource]]=AN$2,TblImps[[#This Row],[Part]]&lt;&gt;""),TblImps[[#This Row],[Amount]]) + IF(AND(TblImps[[#This Row],[Resource 2]]=AN$2,TblImps[[#This Row],[Part 2]]&lt;&gt;""),TblImps[[#This Row],[Amount 2]]) + IF(AND(TblImps[[#This Row],[Resource 3]]=AN$2,TblImps[[#This Row],[Part 3]]&lt;&gt;""),TblImps[[#This Row],[Amount 3]])</f>
        <v>0</v>
      </c>
      <c r="AO119" s="57">
        <f>IF(AND(TblImps[[#This Row],[Resource]]=AO$2,TblImps[[#This Row],[Part]]&lt;&gt;""),TblImps[[#This Row],[Amount]]) + IF(AND(TblImps[[#This Row],[Resource 2]]=AO$2,TblImps[[#This Row],[Part 2]]&lt;&gt;""),TblImps[[#This Row],[Amount 2]]) + IF(AND(TblImps[[#This Row],[Resource 3]]=AO$2,TblImps[[#This Row],[Part 3]]&lt;&gt;""),TblImps[[#This Row],[Amount 3]])</f>
        <v>0</v>
      </c>
      <c r="AP119" s="57">
        <f>IF(AND(TblImps[[#This Row],[Resource]]=AP$2,TblImps[[#This Row],[Part]]&lt;&gt;""),TblImps[[#This Row],[Amount]]) + IF(AND(TblImps[[#This Row],[Resource 2]]=AP$2,TblImps[[#This Row],[Part 2]]&lt;&gt;""),TblImps[[#This Row],[Amount 2]]) + IF(AND(TblImps[[#This Row],[Resource 3]]=AP$2,TblImps[[#This Row],[Part 3]]&lt;&gt;""),TblImps[[#This Row],[Amount 3]])</f>
        <v>0</v>
      </c>
      <c r="AQ119" s="142"/>
      <c r="AR11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1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1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1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19" s="142"/>
      <c r="AW11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1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1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1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19" s="142"/>
      <c r="BB11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1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1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1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19" s="142"/>
      <c r="BG11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1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1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1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19" s="142"/>
      <c r="BL11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1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1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1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19" s="142"/>
      <c r="BQ11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1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1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1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19" s="142"/>
      <c r="BV11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19" s="61">
        <f>TblImps[[#This Row],[Login]]</f>
        <v>0</v>
      </c>
      <c r="BX119" s="137"/>
      <c r="BY119" s="293">
        <f ca="1">OFFSET(TblImps[[#This Row],[Real time]],-1,0)+1/24</f>
        <v>46051.791666666388</v>
      </c>
      <c r="BZ119" s="294">
        <f ca="1">OFFSET(TblImps[[#This Row],[Servertime]],-1,0)+1/24</f>
        <v>46051.791666666388</v>
      </c>
      <c r="CA119" s="57"/>
      <c r="CB119" s="292"/>
      <c r="CC119" s="292"/>
    </row>
    <row r="120" spans="1:81" x14ac:dyDescent="0.2">
      <c r="A120" s="214">
        <f ca="1">TblConstr[[#This Row],[Land]]</f>
        <v>110</v>
      </c>
      <c r="B120" s="142"/>
      <c r="C120" s="94">
        <f ca="1">TblProd[[#This Row],[Platinum]]</f>
        <v>215526</v>
      </c>
      <c r="D120" s="94">
        <f ca="1">TblProd[[#This Row],[Lumber]]</f>
        <v>73507</v>
      </c>
      <c r="E120" s="94">
        <f ca="1">TblProd[[#This Row],[Ore]]</f>
        <v>0</v>
      </c>
      <c r="F120" s="94">
        <f ca="1">TblProd[[#This Row],[Gems]]</f>
        <v>0</v>
      </c>
      <c r="G120" s="154"/>
      <c r="H120" s="94">
        <f ca="1">TblMili[[#This Row],[Draftees]]</f>
        <v>762</v>
      </c>
      <c r="I120" s="180">
        <f ca="1">TblPop[[#This Row],[Employment]]</f>
        <v>1</v>
      </c>
      <c r="J120" s="180">
        <f ca="1">TblPop[[#This Row],[Total]]/TblPop[[#This Row],[Net max]]</f>
        <v>1</v>
      </c>
      <c r="K120" s="283">
        <f>TblRezone[[#This Row],[Hour]]</f>
        <v>117</v>
      </c>
      <c r="L120" s="284">
        <f ca="1">TblImps[[#This Row],[Real time]]</f>
        <v>46051.833333333052</v>
      </c>
      <c r="M120" s="61">
        <f>IF(ISERROR(TblImps[[#This Row],[algorithm]]),0,TblImps[[#This Row],[algorithm]]*1)</f>
        <v>0</v>
      </c>
      <c r="N120" s="94">
        <f ca="1">TblImps[[#This Row],[Land]]</f>
        <v>110</v>
      </c>
      <c r="O120" s="285" t="s">
        <v>4</v>
      </c>
      <c r="P120" s="286"/>
      <c r="Q120" s="285" t="s">
        <v>210</v>
      </c>
      <c r="R120" s="285" t="s">
        <v>7</v>
      </c>
      <c r="S120" s="286"/>
      <c r="T120" s="285" t="s">
        <v>210</v>
      </c>
      <c r="U120" s="285" t="s">
        <v>3</v>
      </c>
      <c r="V120" s="286"/>
      <c r="W120" s="285" t="s">
        <v>210</v>
      </c>
      <c r="X120" s="142"/>
      <c r="Y120" s="287">
        <f ca="1">science_cap*(1-EXP(-TblImps[[#This Row],[Σ Science]]/(science_param*(OFFSET(TblImps[[#This Row],[Land]],1,0)-OFFSET(TblExplore[[#This Row],[Land Bonus]],1,0)*20)+15000)))*(1+(mason_bonus*TblConstr[[#This Row],[Tot Mas]]/TblConstr[[#This Row],[Land (2)]]))</f>
        <v>0</v>
      </c>
      <c r="Z120" s="287">
        <f ca="1">keep_cap*(1-EXP(-TblImps[[#This Row],[Σ Keep]]/(keep_param*(OFFSET(TblImps[[#This Row],[Land]],1,0)-OFFSET(TblExplore[[#This Row],[Land Bonus]],1,0)*20)+15000)))*(1+(mason_bonus*TblConstr[[#This Row],[Tot Mas]]/TblConstr[[#This Row],[Land (2)]]))</f>
        <v>0</v>
      </c>
      <c r="AA120" s="287">
        <f ca="1">harbor_towers_cap*(1-EXP(-TblImps[[#This Row],[Σ Spires]]/(towers_param*(OFFSET(TblImps[[#This Row],[Land]],1,0)-OFFSET(TblExplore[[#This Row],[Land Bonus]],1,0)*20)+15000)))*(1+(mason_bonus*TblConstr[[#This Row],[Tot Mas]]/TblConstr[[#This Row],[Land (2)]]))</f>
        <v>0</v>
      </c>
      <c r="AB120" s="287">
        <f ca="1">walls_forges_cap*(1-EXP(-TblImps[[#This Row],[Σ Forges]]/(walls_forges_param*(OFFSET(TblImps[[#This Row],[Land]],1,0)-OFFSET(TblExplore[[#This Row],[Land Bonus]],1,0)*20)+15000)))*(1+(mason_bonus*TblConstr[[#This Row],[Tot Mas]]/TblConstr[[#This Row],[Land (2)]]))</f>
        <v>0</v>
      </c>
      <c r="AC120" s="287">
        <f ca="1">walls_forges_cap*(1-EXP(-TblImps[[#This Row],[Σ Walls]]/(walls_forges_param*(OFFSET(TblImps[[#This Row],[Land]],1,0)-OFFSET(TblExplore[[#This Row],[Land Bonus]],1,0)*20)+15000)))*(1+(mason_bonus*TblConstr[[#This Row],[Tot Mas]]/TblConstr[[#This Row],[Land (2)]]))</f>
        <v>0</v>
      </c>
      <c r="AD120" s="287">
        <f ca="1">harbor_towers_cap*(1-EXP(-TblImps[[#This Row],[Σ Harbor]]/(harbor_towers_param*(OFFSET(TblImps[[#This Row],[Land]],1,0)-OFFSET(TblExplore[[#This Row],[Land Bonus]],1,0)*20)+15000)))*(1+(mason_bonus*TblConstr[[#This Row],[Tot Mas]]/TblConstr[[#This Row],[Land (2)]]))</f>
        <v>0</v>
      </c>
      <c r="AE120" s="142"/>
      <c r="AF120" s="61">
        <f ca="1">(1+Overview!$I$29)*SUM(TblImps[[#This Row],[P2]:[G2]])+OFFSET(TblImps[[#This Row],[Σ Science]],-1,0)</f>
        <v>0</v>
      </c>
      <c r="AG120" s="61">
        <f ca="1">(1+Overview!$I$29)*SUM(TblImps[[#This Row],[P3]:[G3]])+OFFSET(TblImps[[#This Row],[Σ Keep]],-1,0)</f>
        <v>0</v>
      </c>
      <c r="AH120" s="61">
        <f ca="1">(1+Overview!$I$29 + tech_7_1*TblTech[[#This Row],[7-1]])*SUM(TblImps[[#This Row],[P4]:[G4]])+OFFSET(TblImps[[#This Row],[Σ Spires]],-1,0)</f>
        <v>0</v>
      </c>
      <c r="AI120" s="61">
        <f ca="1">(1+Overview!$I$29)*SUM(TblImps[[#This Row],[P5]:[G5]])+OFFSET(TblImps[[#This Row],[Σ Forges]],-1,0)</f>
        <v>0</v>
      </c>
      <c r="AJ120" s="61">
        <f ca="1">(1+Overview!$I$29)*SUM(TblImps[[#This Row],[P6]:[G6]])+OFFSET(TblImps[[#This Row],[Σ Walls]],-1,0)</f>
        <v>0</v>
      </c>
      <c r="AK120" s="61">
        <f ca="1">(1+Overview!$I$29 + tech_7_1*TblTech[[#This Row],[7-1]])*SUM(TblImps[[#This Row],[P7]:[G7]])+OFFSET(TblImps[[#This Row],[Σ Harbor]],-1,0)</f>
        <v>0</v>
      </c>
      <c r="AL120" s="142"/>
      <c r="AM120" s="57">
        <f>IF(AND(TblImps[[#This Row],[Resource]]=AM$2,TblImps[[#This Row],[Part]]&lt;&gt;""),TblImps[[#This Row],[Amount]]) + IF(AND(TblImps[[#This Row],[Resource 2]]=AM$2,TblImps[[#This Row],[Part 2]]&lt;&gt;""),TblImps[[#This Row],[Amount 2]]) + IF(AND(TblImps[[#This Row],[Resource 3]]=AM$2,TblImps[[#This Row],[Part 3]]&lt;&gt;""),TblImps[[#This Row],[Amount 3]])</f>
        <v>0</v>
      </c>
      <c r="AN120" s="57">
        <f>IF(AND(TblImps[[#This Row],[Resource]]=AN$2,TblImps[[#This Row],[Part]]&lt;&gt;""),TblImps[[#This Row],[Amount]]) + IF(AND(TblImps[[#This Row],[Resource 2]]=AN$2,TblImps[[#This Row],[Part 2]]&lt;&gt;""),TblImps[[#This Row],[Amount 2]]) + IF(AND(TblImps[[#This Row],[Resource 3]]=AN$2,TblImps[[#This Row],[Part 3]]&lt;&gt;""),TblImps[[#This Row],[Amount 3]])</f>
        <v>0</v>
      </c>
      <c r="AO120" s="57">
        <f>IF(AND(TblImps[[#This Row],[Resource]]=AO$2,TblImps[[#This Row],[Part]]&lt;&gt;""),TblImps[[#This Row],[Amount]]) + IF(AND(TblImps[[#This Row],[Resource 2]]=AO$2,TblImps[[#This Row],[Part 2]]&lt;&gt;""),TblImps[[#This Row],[Amount 2]]) + IF(AND(TblImps[[#This Row],[Resource 3]]=AO$2,TblImps[[#This Row],[Part 3]]&lt;&gt;""),TblImps[[#This Row],[Amount 3]])</f>
        <v>0</v>
      </c>
      <c r="AP120" s="57">
        <f>IF(AND(TblImps[[#This Row],[Resource]]=AP$2,TblImps[[#This Row],[Part]]&lt;&gt;""),TblImps[[#This Row],[Amount]]) + IF(AND(TblImps[[#This Row],[Resource 2]]=AP$2,TblImps[[#This Row],[Part 2]]&lt;&gt;""),TblImps[[#This Row],[Amount 2]]) + IF(AND(TblImps[[#This Row],[Resource 3]]=AP$2,TblImps[[#This Row],[Part 3]]&lt;&gt;""),TblImps[[#This Row],[Amount 3]])</f>
        <v>0</v>
      </c>
      <c r="AQ120" s="142"/>
      <c r="AR12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0" s="142"/>
      <c r="AW12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0" s="142"/>
      <c r="BB12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0" s="142"/>
      <c r="BG12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0" s="142"/>
      <c r="BL12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0" s="142"/>
      <c r="BQ12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0" s="142"/>
      <c r="BV12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0" s="61">
        <f>TblImps[[#This Row],[Login]]</f>
        <v>0</v>
      </c>
      <c r="BX120" s="137"/>
      <c r="BY120" s="293">
        <f ca="1">OFFSET(TblImps[[#This Row],[Real time]],-1,0)+1/24</f>
        <v>46051.833333333052</v>
      </c>
      <c r="BZ120" s="294">
        <f ca="1">OFFSET(TblImps[[#This Row],[Servertime]],-1,0)+1/24</f>
        <v>46051.833333333052</v>
      </c>
      <c r="CA120" s="57"/>
      <c r="CB120" s="292"/>
      <c r="CC120" s="292"/>
    </row>
    <row r="121" spans="1:81" x14ac:dyDescent="0.2">
      <c r="A121" s="214">
        <f ca="1">TblConstr[[#This Row],[Land]]</f>
        <v>110</v>
      </c>
      <c r="B121" s="142"/>
      <c r="C121" s="94">
        <f ca="1">TblProd[[#This Row],[Platinum]]</f>
        <v>216373</v>
      </c>
      <c r="D121" s="94">
        <f ca="1">TblProd[[#This Row],[Lumber]]</f>
        <v>73772</v>
      </c>
      <c r="E121" s="94">
        <f ca="1">TblProd[[#This Row],[Ore]]</f>
        <v>0</v>
      </c>
      <c r="F121" s="94">
        <f ca="1">TblProd[[#This Row],[Gems]]</f>
        <v>0</v>
      </c>
      <c r="G121" s="154"/>
      <c r="H121" s="94">
        <f ca="1">TblMili[[#This Row],[Draftees]]</f>
        <v>765</v>
      </c>
      <c r="I121" s="180">
        <f ca="1">TblPop[[#This Row],[Employment]]</f>
        <v>1</v>
      </c>
      <c r="J121" s="180">
        <f ca="1">TblPop[[#This Row],[Total]]/TblPop[[#This Row],[Net max]]</f>
        <v>1</v>
      </c>
      <c r="K121" s="283">
        <f>TblRezone[[#This Row],[Hour]]</f>
        <v>118</v>
      </c>
      <c r="L121" s="284">
        <f ca="1">TblImps[[#This Row],[Real time]]</f>
        <v>46051.874999999716</v>
      </c>
      <c r="M121" s="61">
        <f>IF(ISERROR(TblImps[[#This Row],[algorithm]]),0,TblImps[[#This Row],[algorithm]]*1)</f>
        <v>0</v>
      </c>
      <c r="N121" s="94">
        <f ca="1">TblImps[[#This Row],[Land]]</f>
        <v>110</v>
      </c>
      <c r="O121" s="285" t="s">
        <v>4</v>
      </c>
      <c r="P121" s="286"/>
      <c r="Q121" s="285" t="s">
        <v>210</v>
      </c>
      <c r="R121" s="285" t="s">
        <v>7</v>
      </c>
      <c r="S121" s="286"/>
      <c r="T121" s="285" t="s">
        <v>210</v>
      </c>
      <c r="U121" s="285" t="s">
        <v>3</v>
      </c>
      <c r="V121" s="286"/>
      <c r="W121" s="285" t="s">
        <v>210</v>
      </c>
      <c r="X121" s="142"/>
      <c r="Y121" s="287">
        <f ca="1">science_cap*(1-EXP(-TblImps[[#This Row],[Σ Science]]/(science_param*(OFFSET(TblImps[[#This Row],[Land]],1,0)-OFFSET(TblExplore[[#This Row],[Land Bonus]],1,0)*20)+15000)))*(1+(mason_bonus*TblConstr[[#This Row],[Tot Mas]]/TblConstr[[#This Row],[Land (2)]]))</f>
        <v>0</v>
      </c>
      <c r="Z121" s="287">
        <f ca="1">keep_cap*(1-EXP(-TblImps[[#This Row],[Σ Keep]]/(keep_param*(OFFSET(TblImps[[#This Row],[Land]],1,0)-OFFSET(TblExplore[[#This Row],[Land Bonus]],1,0)*20)+15000)))*(1+(mason_bonus*TblConstr[[#This Row],[Tot Mas]]/TblConstr[[#This Row],[Land (2)]]))</f>
        <v>0</v>
      </c>
      <c r="AA121" s="287">
        <f ca="1">harbor_towers_cap*(1-EXP(-TblImps[[#This Row],[Σ Spires]]/(towers_param*(OFFSET(TblImps[[#This Row],[Land]],1,0)-OFFSET(TblExplore[[#This Row],[Land Bonus]],1,0)*20)+15000)))*(1+(mason_bonus*TblConstr[[#This Row],[Tot Mas]]/TblConstr[[#This Row],[Land (2)]]))</f>
        <v>0</v>
      </c>
      <c r="AB121" s="287">
        <f ca="1">walls_forges_cap*(1-EXP(-TblImps[[#This Row],[Σ Forges]]/(walls_forges_param*(OFFSET(TblImps[[#This Row],[Land]],1,0)-OFFSET(TblExplore[[#This Row],[Land Bonus]],1,0)*20)+15000)))*(1+(mason_bonus*TblConstr[[#This Row],[Tot Mas]]/TblConstr[[#This Row],[Land (2)]]))</f>
        <v>0</v>
      </c>
      <c r="AC121" s="287">
        <f ca="1">walls_forges_cap*(1-EXP(-TblImps[[#This Row],[Σ Walls]]/(walls_forges_param*(OFFSET(TblImps[[#This Row],[Land]],1,0)-OFFSET(TblExplore[[#This Row],[Land Bonus]],1,0)*20)+15000)))*(1+(mason_bonus*TblConstr[[#This Row],[Tot Mas]]/TblConstr[[#This Row],[Land (2)]]))</f>
        <v>0</v>
      </c>
      <c r="AD121" s="287">
        <f ca="1">harbor_towers_cap*(1-EXP(-TblImps[[#This Row],[Σ Harbor]]/(harbor_towers_param*(OFFSET(TblImps[[#This Row],[Land]],1,0)-OFFSET(TblExplore[[#This Row],[Land Bonus]],1,0)*20)+15000)))*(1+(mason_bonus*TblConstr[[#This Row],[Tot Mas]]/TblConstr[[#This Row],[Land (2)]]))</f>
        <v>0</v>
      </c>
      <c r="AE121" s="142"/>
      <c r="AF121" s="61">
        <f ca="1">(1+Overview!$I$29)*SUM(TblImps[[#This Row],[P2]:[G2]])+OFFSET(TblImps[[#This Row],[Σ Science]],-1,0)</f>
        <v>0</v>
      </c>
      <c r="AG121" s="61">
        <f ca="1">(1+Overview!$I$29)*SUM(TblImps[[#This Row],[P3]:[G3]])+OFFSET(TblImps[[#This Row],[Σ Keep]],-1,0)</f>
        <v>0</v>
      </c>
      <c r="AH121" s="61">
        <f ca="1">(1+Overview!$I$29 + tech_7_1*TblTech[[#This Row],[7-1]])*SUM(TblImps[[#This Row],[P4]:[G4]])+OFFSET(TblImps[[#This Row],[Σ Spires]],-1,0)</f>
        <v>0</v>
      </c>
      <c r="AI121" s="61">
        <f ca="1">(1+Overview!$I$29)*SUM(TblImps[[#This Row],[P5]:[G5]])+OFFSET(TblImps[[#This Row],[Σ Forges]],-1,0)</f>
        <v>0</v>
      </c>
      <c r="AJ121" s="61">
        <f ca="1">(1+Overview!$I$29)*SUM(TblImps[[#This Row],[P6]:[G6]])+OFFSET(TblImps[[#This Row],[Σ Walls]],-1,0)</f>
        <v>0</v>
      </c>
      <c r="AK121" s="61">
        <f ca="1">(1+Overview!$I$29 + tech_7_1*TblTech[[#This Row],[7-1]])*SUM(TblImps[[#This Row],[P7]:[G7]])+OFFSET(TblImps[[#This Row],[Σ Harbor]],-1,0)</f>
        <v>0</v>
      </c>
      <c r="AL121" s="142"/>
      <c r="AM121" s="57">
        <f>IF(AND(TblImps[[#This Row],[Resource]]=AM$2,TblImps[[#This Row],[Part]]&lt;&gt;""),TblImps[[#This Row],[Amount]]) + IF(AND(TblImps[[#This Row],[Resource 2]]=AM$2,TblImps[[#This Row],[Part 2]]&lt;&gt;""),TblImps[[#This Row],[Amount 2]]) + IF(AND(TblImps[[#This Row],[Resource 3]]=AM$2,TblImps[[#This Row],[Part 3]]&lt;&gt;""),TblImps[[#This Row],[Amount 3]])</f>
        <v>0</v>
      </c>
      <c r="AN121" s="57">
        <f>IF(AND(TblImps[[#This Row],[Resource]]=AN$2,TblImps[[#This Row],[Part]]&lt;&gt;""),TblImps[[#This Row],[Amount]]) + IF(AND(TblImps[[#This Row],[Resource 2]]=AN$2,TblImps[[#This Row],[Part 2]]&lt;&gt;""),TblImps[[#This Row],[Amount 2]]) + IF(AND(TblImps[[#This Row],[Resource 3]]=AN$2,TblImps[[#This Row],[Part 3]]&lt;&gt;""),TblImps[[#This Row],[Amount 3]])</f>
        <v>0</v>
      </c>
      <c r="AO121" s="57">
        <f>IF(AND(TblImps[[#This Row],[Resource]]=AO$2,TblImps[[#This Row],[Part]]&lt;&gt;""),TblImps[[#This Row],[Amount]]) + IF(AND(TblImps[[#This Row],[Resource 2]]=AO$2,TblImps[[#This Row],[Part 2]]&lt;&gt;""),TblImps[[#This Row],[Amount 2]]) + IF(AND(TblImps[[#This Row],[Resource 3]]=AO$2,TblImps[[#This Row],[Part 3]]&lt;&gt;""),TblImps[[#This Row],[Amount 3]])</f>
        <v>0</v>
      </c>
      <c r="AP121" s="57">
        <f>IF(AND(TblImps[[#This Row],[Resource]]=AP$2,TblImps[[#This Row],[Part]]&lt;&gt;""),TblImps[[#This Row],[Amount]]) + IF(AND(TblImps[[#This Row],[Resource 2]]=AP$2,TblImps[[#This Row],[Part 2]]&lt;&gt;""),TblImps[[#This Row],[Amount 2]]) + IF(AND(TblImps[[#This Row],[Resource 3]]=AP$2,TblImps[[#This Row],[Part 3]]&lt;&gt;""),TblImps[[#This Row],[Amount 3]])</f>
        <v>0</v>
      </c>
      <c r="AQ121" s="142"/>
      <c r="AR12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1" s="142"/>
      <c r="AW12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1" s="142"/>
      <c r="BB12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1" s="142"/>
      <c r="BG12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1" s="142"/>
      <c r="BL12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1" s="142"/>
      <c r="BQ12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1" s="142"/>
      <c r="BV12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1" s="61">
        <f>TblImps[[#This Row],[Login]]</f>
        <v>0</v>
      </c>
      <c r="BX121" s="137"/>
      <c r="BY121" s="293">
        <f ca="1">OFFSET(TblImps[[#This Row],[Real time]],-1,0)+1/24</f>
        <v>46051.874999999716</v>
      </c>
      <c r="BZ121" s="294">
        <f ca="1">OFFSET(TblImps[[#This Row],[Servertime]],-1,0)+1/24</f>
        <v>46051.874999999716</v>
      </c>
      <c r="CA121" s="57"/>
      <c r="CB121" s="292"/>
      <c r="CC121" s="292"/>
    </row>
    <row r="122" spans="1:81" x14ac:dyDescent="0.2">
      <c r="A122" s="214">
        <f ca="1">TblConstr[[#This Row],[Land]]</f>
        <v>110</v>
      </c>
      <c r="B122" s="142"/>
      <c r="C122" s="94">
        <f ca="1">TblProd[[#This Row],[Platinum]]</f>
        <v>217212</v>
      </c>
      <c r="D122" s="94">
        <f ca="1">TblProd[[#This Row],[Lumber]]</f>
        <v>74034</v>
      </c>
      <c r="E122" s="94">
        <f ca="1">TblProd[[#This Row],[Ore]]</f>
        <v>0</v>
      </c>
      <c r="F122" s="94">
        <f ca="1">TblProd[[#This Row],[Gems]]</f>
        <v>0</v>
      </c>
      <c r="G122" s="154"/>
      <c r="H122" s="94">
        <f ca="1">TblMili[[#This Row],[Draftees]]</f>
        <v>768</v>
      </c>
      <c r="I122" s="180">
        <f ca="1">TblPop[[#This Row],[Employment]]</f>
        <v>1</v>
      </c>
      <c r="J122" s="180">
        <f ca="1">TblPop[[#This Row],[Total]]/TblPop[[#This Row],[Net max]]</f>
        <v>1</v>
      </c>
      <c r="K122" s="283">
        <f>TblRezone[[#This Row],[Hour]]</f>
        <v>119</v>
      </c>
      <c r="L122" s="284">
        <f ca="1">TblImps[[#This Row],[Real time]]</f>
        <v>46051.91666666638</v>
      </c>
      <c r="M122" s="61">
        <f>IF(ISERROR(TblImps[[#This Row],[algorithm]]),0,TblImps[[#This Row],[algorithm]]*1)</f>
        <v>0</v>
      </c>
      <c r="N122" s="94">
        <f ca="1">TblImps[[#This Row],[Land]]</f>
        <v>110</v>
      </c>
      <c r="O122" s="285" t="s">
        <v>4</v>
      </c>
      <c r="P122" s="286"/>
      <c r="Q122" s="285" t="s">
        <v>210</v>
      </c>
      <c r="R122" s="285" t="s">
        <v>7</v>
      </c>
      <c r="S122" s="286"/>
      <c r="T122" s="285" t="s">
        <v>210</v>
      </c>
      <c r="U122" s="285" t="s">
        <v>3</v>
      </c>
      <c r="V122" s="286"/>
      <c r="W122" s="285" t="s">
        <v>210</v>
      </c>
      <c r="X122" s="142"/>
      <c r="Y122" s="287">
        <f ca="1">science_cap*(1-EXP(-TblImps[[#This Row],[Σ Science]]/(science_param*(OFFSET(TblImps[[#This Row],[Land]],1,0)-OFFSET(TblExplore[[#This Row],[Land Bonus]],1,0)*20)+15000)))*(1+(mason_bonus*TblConstr[[#This Row],[Tot Mas]]/TblConstr[[#This Row],[Land (2)]]))</f>
        <v>0</v>
      </c>
      <c r="Z122" s="287">
        <f ca="1">keep_cap*(1-EXP(-TblImps[[#This Row],[Σ Keep]]/(keep_param*(OFFSET(TblImps[[#This Row],[Land]],1,0)-OFFSET(TblExplore[[#This Row],[Land Bonus]],1,0)*20)+15000)))*(1+(mason_bonus*TblConstr[[#This Row],[Tot Mas]]/TblConstr[[#This Row],[Land (2)]]))</f>
        <v>0</v>
      </c>
      <c r="AA122" s="287">
        <f ca="1">harbor_towers_cap*(1-EXP(-TblImps[[#This Row],[Σ Spires]]/(towers_param*(OFFSET(TblImps[[#This Row],[Land]],1,0)-OFFSET(TblExplore[[#This Row],[Land Bonus]],1,0)*20)+15000)))*(1+(mason_bonus*TblConstr[[#This Row],[Tot Mas]]/TblConstr[[#This Row],[Land (2)]]))</f>
        <v>0</v>
      </c>
      <c r="AB122" s="287">
        <f ca="1">walls_forges_cap*(1-EXP(-TblImps[[#This Row],[Σ Forges]]/(walls_forges_param*(OFFSET(TblImps[[#This Row],[Land]],1,0)-OFFSET(TblExplore[[#This Row],[Land Bonus]],1,0)*20)+15000)))*(1+(mason_bonus*TblConstr[[#This Row],[Tot Mas]]/TblConstr[[#This Row],[Land (2)]]))</f>
        <v>0</v>
      </c>
      <c r="AC122" s="287">
        <f ca="1">walls_forges_cap*(1-EXP(-TblImps[[#This Row],[Σ Walls]]/(walls_forges_param*(OFFSET(TblImps[[#This Row],[Land]],1,0)-OFFSET(TblExplore[[#This Row],[Land Bonus]],1,0)*20)+15000)))*(1+(mason_bonus*TblConstr[[#This Row],[Tot Mas]]/TblConstr[[#This Row],[Land (2)]]))</f>
        <v>0</v>
      </c>
      <c r="AD122" s="287">
        <f ca="1">harbor_towers_cap*(1-EXP(-TblImps[[#This Row],[Σ Harbor]]/(harbor_towers_param*(OFFSET(TblImps[[#This Row],[Land]],1,0)-OFFSET(TblExplore[[#This Row],[Land Bonus]],1,0)*20)+15000)))*(1+(mason_bonus*TblConstr[[#This Row],[Tot Mas]]/TblConstr[[#This Row],[Land (2)]]))</f>
        <v>0</v>
      </c>
      <c r="AE122" s="142"/>
      <c r="AF122" s="61">
        <f ca="1">(1+Overview!$I$29)*SUM(TblImps[[#This Row],[P2]:[G2]])+OFFSET(TblImps[[#This Row],[Σ Science]],-1,0)</f>
        <v>0</v>
      </c>
      <c r="AG122" s="61">
        <f ca="1">(1+Overview!$I$29)*SUM(TblImps[[#This Row],[P3]:[G3]])+OFFSET(TblImps[[#This Row],[Σ Keep]],-1,0)</f>
        <v>0</v>
      </c>
      <c r="AH122" s="61">
        <f ca="1">(1+Overview!$I$29 + tech_7_1*TblTech[[#This Row],[7-1]])*SUM(TblImps[[#This Row],[P4]:[G4]])+OFFSET(TblImps[[#This Row],[Σ Spires]],-1,0)</f>
        <v>0</v>
      </c>
      <c r="AI122" s="61">
        <f ca="1">(1+Overview!$I$29)*SUM(TblImps[[#This Row],[P5]:[G5]])+OFFSET(TblImps[[#This Row],[Σ Forges]],-1,0)</f>
        <v>0</v>
      </c>
      <c r="AJ122" s="61">
        <f ca="1">(1+Overview!$I$29)*SUM(TblImps[[#This Row],[P6]:[G6]])+OFFSET(TblImps[[#This Row],[Σ Walls]],-1,0)</f>
        <v>0</v>
      </c>
      <c r="AK122" s="61">
        <f ca="1">(1+Overview!$I$29 + tech_7_1*TblTech[[#This Row],[7-1]])*SUM(TblImps[[#This Row],[P7]:[G7]])+OFFSET(TblImps[[#This Row],[Σ Harbor]],-1,0)</f>
        <v>0</v>
      </c>
      <c r="AL122" s="142"/>
      <c r="AM122" s="57">
        <f>IF(AND(TblImps[[#This Row],[Resource]]=AM$2,TblImps[[#This Row],[Part]]&lt;&gt;""),TblImps[[#This Row],[Amount]]) + IF(AND(TblImps[[#This Row],[Resource 2]]=AM$2,TblImps[[#This Row],[Part 2]]&lt;&gt;""),TblImps[[#This Row],[Amount 2]]) + IF(AND(TblImps[[#This Row],[Resource 3]]=AM$2,TblImps[[#This Row],[Part 3]]&lt;&gt;""),TblImps[[#This Row],[Amount 3]])</f>
        <v>0</v>
      </c>
      <c r="AN122" s="57">
        <f>IF(AND(TblImps[[#This Row],[Resource]]=AN$2,TblImps[[#This Row],[Part]]&lt;&gt;""),TblImps[[#This Row],[Amount]]) + IF(AND(TblImps[[#This Row],[Resource 2]]=AN$2,TblImps[[#This Row],[Part 2]]&lt;&gt;""),TblImps[[#This Row],[Amount 2]]) + IF(AND(TblImps[[#This Row],[Resource 3]]=AN$2,TblImps[[#This Row],[Part 3]]&lt;&gt;""),TblImps[[#This Row],[Amount 3]])</f>
        <v>0</v>
      </c>
      <c r="AO122" s="57">
        <f>IF(AND(TblImps[[#This Row],[Resource]]=AO$2,TblImps[[#This Row],[Part]]&lt;&gt;""),TblImps[[#This Row],[Amount]]) + IF(AND(TblImps[[#This Row],[Resource 2]]=AO$2,TblImps[[#This Row],[Part 2]]&lt;&gt;""),TblImps[[#This Row],[Amount 2]]) + IF(AND(TblImps[[#This Row],[Resource 3]]=AO$2,TblImps[[#This Row],[Part 3]]&lt;&gt;""),TblImps[[#This Row],[Amount 3]])</f>
        <v>0</v>
      </c>
      <c r="AP122" s="57">
        <f>IF(AND(TblImps[[#This Row],[Resource]]=AP$2,TblImps[[#This Row],[Part]]&lt;&gt;""),TblImps[[#This Row],[Amount]]) + IF(AND(TblImps[[#This Row],[Resource 2]]=AP$2,TblImps[[#This Row],[Part 2]]&lt;&gt;""),TblImps[[#This Row],[Amount 2]]) + IF(AND(TblImps[[#This Row],[Resource 3]]=AP$2,TblImps[[#This Row],[Part 3]]&lt;&gt;""),TblImps[[#This Row],[Amount 3]])</f>
        <v>0</v>
      </c>
      <c r="AQ122" s="142"/>
      <c r="AR12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2" s="142"/>
      <c r="AW12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2" s="142"/>
      <c r="BB12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2" s="142"/>
      <c r="BG12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2" s="142"/>
      <c r="BL12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2" s="142"/>
      <c r="BQ12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2" s="142"/>
      <c r="BV12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2" s="61">
        <f>TblImps[[#This Row],[Login]]</f>
        <v>0</v>
      </c>
      <c r="BX122" s="137"/>
      <c r="BY122" s="293">
        <f ca="1">OFFSET(TblImps[[#This Row],[Real time]],-1,0)+1/24</f>
        <v>46051.91666666638</v>
      </c>
      <c r="BZ122" s="294">
        <f ca="1">OFFSET(TblImps[[#This Row],[Servertime]],-1,0)+1/24</f>
        <v>46051.91666666638</v>
      </c>
      <c r="CA122" s="57"/>
      <c r="CB122" s="292"/>
      <c r="CC122" s="292"/>
    </row>
    <row r="123" spans="1:81" x14ac:dyDescent="0.2">
      <c r="A123" s="214">
        <f ca="1">TblConstr[[#This Row],[Land]]</f>
        <v>110</v>
      </c>
      <c r="B123" s="142"/>
      <c r="C123" s="94">
        <f ca="1">TblProd[[#This Row],[Platinum]]</f>
        <v>218043</v>
      </c>
      <c r="D123" s="94">
        <f ca="1">TblProd[[#This Row],[Lumber]]</f>
        <v>74294</v>
      </c>
      <c r="E123" s="94">
        <f ca="1">TblProd[[#This Row],[Ore]]</f>
        <v>0</v>
      </c>
      <c r="F123" s="94">
        <f ca="1">TblProd[[#This Row],[Gems]]</f>
        <v>0</v>
      </c>
      <c r="G123" s="154"/>
      <c r="H123" s="94">
        <f ca="1">TblMili[[#This Row],[Draftees]]</f>
        <v>771</v>
      </c>
      <c r="I123" s="180">
        <f ca="1">TblPop[[#This Row],[Employment]]</f>
        <v>1</v>
      </c>
      <c r="J123" s="180">
        <f ca="1">TblPop[[#This Row],[Total]]/TblPop[[#This Row],[Net max]]</f>
        <v>1</v>
      </c>
      <c r="K123" s="283">
        <f>TblRezone[[#This Row],[Hour]]</f>
        <v>120</v>
      </c>
      <c r="L123" s="284">
        <f ca="1">TblImps[[#This Row],[Real time]]</f>
        <v>46051.958333333045</v>
      </c>
      <c r="M123" s="61">
        <f>IF(ISERROR(TblImps[[#This Row],[algorithm]]),0,TblImps[[#This Row],[algorithm]]*1)</f>
        <v>0</v>
      </c>
      <c r="N123" s="94">
        <f ca="1">TblImps[[#This Row],[Land]]</f>
        <v>110</v>
      </c>
      <c r="O123" s="285" t="s">
        <v>4</v>
      </c>
      <c r="P123" s="286"/>
      <c r="Q123" s="285" t="s">
        <v>210</v>
      </c>
      <c r="R123" s="285" t="s">
        <v>7</v>
      </c>
      <c r="S123" s="286"/>
      <c r="T123" s="285" t="s">
        <v>210</v>
      </c>
      <c r="U123" s="285" t="s">
        <v>3</v>
      </c>
      <c r="V123" s="286"/>
      <c r="W123" s="285" t="s">
        <v>210</v>
      </c>
      <c r="X123" s="142"/>
      <c r="Y123" s="287">
        <f ca="1">science_cap*(1-EXP(-TblImps[[#This Row],[Σ Science]]/(science_param*(OFFSET(TblImps[[#This Row],[Land]],1,0)-OFFSET(TblExplore[[#This Row],[Land Bonus]],1,0)*20)+15000)))*(1+(mason_bonus*TblConstr[[#This Row],[Tot Mas]]/TblConstr[[#This Row],[Land (2)]]))</f>
        <v>0</v>
      </c>
      <c r="Z123" s="287">
        <f ca="1">keep_cap*(1-EXP(-TblImps[[#This Row],[Σ Keep]]/(keep_param*(OFFSET(TblImps[[#This Row],[Land]],1,0)-OFFSET(TblExplore[[#This Row],[Land Bonus]],1,0)*20)+15000)))*(1+(mason_bonus*TblConstr[[#This Row],[Tot Mas]]/TblConstr[[#This Row],[Land (2)]]))</f>
        <v>0</v>
      </c>
      <c r="AA123" s="287">
        <f ca="1">harbor_towers_cap*(1-EXP(-TblImps[[#This Row],[Σ Spires]]/(towers_param*(OFFSET(TblImps[[#This Row],[Land]],1,0)-OFFSET(TblExplore[[#This Row],[Land Bonus]],1,0)*20)+15000)))*(1+(mason_bonus*TblConstr[[#This Row],[Tot Mas]]/TblConstr[[#This Row],[Land (2)]]))</f>
        <v>0</v>
      </c>
      <c r="AB123" s="287">
        <f ca="1">walls_forges_cap*(1-EXP(-TblImps[[#This Row],[Σ Forges]]/(walls_forges_param*(OFFSET(TblImps[[#This Row],[Land]],1,0)-OFFSET(TblExplore[[#This Row],[Land Bonus]],1,0)*20)+15000)))*(1+(mason_bonus*TblConstr[[#This Row],[Tot Mas]]/TblConstr[[#This Row],[Land (2)]]))</f>
        <v>0</v>
      </c>
      <c r="AC123" s="287">
        <f ca="1">walls_forges_cap*(1-EXP(-TblImps[[#This Row],[Σ Walls]]/(walls_forges_param*(OFFSET(TblImps[[#This Row],[Land]],1,0)-OFFSET(TblExplore[[#This Row],[Land Bonus]],1,0)*20)+15000)))*(1+(mason_bonus*TblConstr[[#This Row],[Tot Mas]]/TblConstr[[#This Row],[Land (2)]]))</f>
        <v>0</v>
      </c>
      <c r="AD123" s="287">
        <f ca="1">harbor_towers_cap*(1-EXP(-TblImps[[#This Row],[Σ Harbor]]/(harbor_towers_param*(OFFSET(TblImps[[#This Row],[Land]],1,0)-OFFSET(TblExplore[[#This Row],[Land Bonus]],1,0)*20)+15000)))*(1+(mason_bonus*TblConstr[[#This Row],[Tot Mas]]/TblConstr[[#This Row],[Land (2)]]))</f>
        <v>0</v>
      </c>
      <c r="AE123" s="142"/>
      <c r="AF123" s="61">
        <f ca="1">(1+Overview!$I$29)*SUM(TblImps[[#This Row],[P2]:[G2]])+OFFSET(TblImps[[#This Row],[Σ Science]],-1,0)</f>
        <v>0</v>
      </c>
      <c r="AG123" s="61">
        <f ca="1">(1+Overview!$I$29)*SUM(TblImps[[#This Row],[P3]:[G3]])+OFFSET(TblImps[[#This Row],[Σ Keep]],-1,0)</f>
        <v>0</v>
      </c>
      <c r="AH123" s="61">
        <f ca="1">(1+Overview!$I$29 + tech_7_1*TblTech[[#This Row],[7-1]])*SUM(TblImps[[#This Row],[P4]:[G4]])+OFFSET(TblImps[[#This Row],[Σ Spires]],-1,0)</f>
        <v>0</v>
      </c>
      <c r="AI123" s="61">
        <f ca="1">(1+Overview!$I$29)*SUM(TblImps[[#This Row],[P5]:[G5]])+OFFSET(TblImps[[#This Row],[Σ Forges]],-1,0)</f>
        <v>0</v>
      </c>
      <c r="AJ123" s="61">
        <f ca="1">(1+Overview!$I$29)*SUM(TblImps[[#This Row],[P6]:[G6]])+OFFSET(TblImps[[#This Row],[Σ Walls]],-1,0)</f>
        <v>0</v>
      </c>
      <c r="AK123" s="61">
        <f ca="1">(1+Overview!$I$29 + tech_7_1*TblTech[[#This Row],[7-1]])*SUM(TblImps[[#This Row],[P7]:[G7]])+OFFSET(TblImps[[#This Row],[Σ Harbor]],-1,0)</f>
        <v>0</v>
      </c>
      <c r="AL123" s="142"/>
      <c r="AM123" s="57">
        <f>IF(AND(TblImps[[#This Row],[Resource]]=AM$2,TblImps[[#This Row],[Part]]&lt;&gt;""),TblImps[[#This Row],[Amount]]) + IF(AND(TblImps[[#This Row],[Resource 2]]=AM$2,TblImps[[#This Row],[Part 2]]&lt;&gt;""),TblImps[[#This Row],[Amount 2]]) + IF(AND(TblImps[[#This Row],[Resource 3]]=AM$2,TblImps[[#This Row],[Part 3]]&lt;&gt;""),TblImps[[#This Row],[Amount 3]])</f>
        <v>0</v>
      </c>
      <c r="AN123" s="57">
        <f>IF(AND(TblImps[[#This Row],[Resource]]=AN$2,TblImps[[#This Row],[Part]]&lt;&gt;""),TblImps[[#This Row],[Amount]]) + IF(AND(TblImps[[#This Row],[Resource 2]]=AN$2,TblImps[[#This Row],[Part 2]]&lt;&gt;""),TblImps[[#This Row],[Amount 2]]) + IF(AND(TblImps[[#This Row],[Resource 3]]=AN$2,TblImps[[#This Row],[Part 3]]&lt;&gt;""),TblImps[[#This Row],[Amount 3]])</f>
        <v>0</v>
      </c>
      <c r="AO123" s="57">
        <f>IF(AND(TblImps[[#This Row],[Resource]]=AO$2,TblImps[[#This Row],[Part]]&lt;&gt;""),TblImps[[#This Row],[Amount]]) + IF(AND(TblImps[[#This Row],[Resource 2]]=AO$2,TblImps[[#This Row],[Part 2]]&lt;&gt;""),TblImps[[#This Row],[Amount 2]]) + IF(AND(TblImps[[#This Row],[Resource 3]]=AO$2,TblImps[[#This Row],[Part 3]]&lt;&gt;""),TblImps[[#This Row],[Amount 3]])</f>
        <v>0</v>
      </c>
      <c r="AP123" s="57">
        <f>IF(AND(TblImps[[#This Row],[Resource]]=AP$2,TblImps[[#This Row],[Part]]&lt;&gt;""),TblImps[[#This Row],[Amount]]) + IF(AND(TblImps[[#This Row],[Resource 2]]=AP$2,TblImps[[#This Row],[Part 2]]&lt;&gt;""),TblImps[[#This Row],[Amount 2]]) + IF(AND(TblImps[[#This Row],[Resource 3]]=AP$2,TblImps[[#This Row],[Part 3]]&lt;&gt;""),TblImps[[#This Row],[Amount 3]])</f>
        <v>0</v>
      </c>
      <c r="AQ123" s="142"/>
      <c r="AR12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3" s="142"/>
      <c r="AW12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3" s="142"/>
      <c r="BB12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3" s="142"/>
      <c r="BG12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3" s="142"/>
      <c r="BL12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3" s="142"/>
      <c r="BQ12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3" s="142"/>
      <c r="BV12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3" s="61">
        <f>TblImps[[#This Row],[Login]]</f>
        <v>0</v>
      </c>
      <c r="BX123" s="137"/>
      <c r="BY123" s="293">
        <f ca="1">OFFSET(TblImps[[#This Row],[Real time]],-1,0)+1/24</f>
        <v>46051.958333333045</v>
      </c>
      <c r="BZ123" s="294">
        <f ca="1">OFFSET(TblImps[[#This Row],[Servertime]],-1,0)+1/24</f>
        <v>46051.958333333045</v>
      </c>
      <c r="CA123" s="57"/>
      <c r="CB123" s="292"/>
      <c r="CC123" s="292"/>
    </row>
    <row r="124" spans="1:81" x14ac:dyDescent="0.2">
      <c r="A124" s="214">
        <f ca="1">TblConstr[[#This Row],[Land]]</f>
        <v>110</v>
      </c>
      <c r="B124" s="142"/>
      <c r="C124" s="94">
        <f ca="1">TblProd[[#This Row],[Platinum]]</f>
        <v>218866</v>
      </c>
      <c r="D124" s="94">
        <f ca="1">TblProd[[#This Row],[Lumber]]</f>
        <v>74551</v>
      </c>
      <c r="E124" s="94">
        <f ca="1">TblProd[[#This Row],[Ore]]</f>
        <v>0</v>
      </c>
      <c r="F124" s="94">
        <f ca="1">TblProd[[#This Row],[Gems]]</f>
        <v>0</v>
      </c>
      <c r="G124" s="154"/>
      <c r="H124" s="94">
        <f ca="1">TblMili[[#This Row],[Draftees]]</f>
        <v>774</v>
      </c>
      <c r="I124" s="180">
        <f ca="1">TblPop[[#This Row],[Employment]]</f>
        <v>1</v>
      </c>
      <c r="J124" s="180">
        <f ca="1">TblPop[[#This Row],[Total]]/TblPop[[#This Row],[Net max]]</f>
        <v>1</v>
      </c>
      <c r="K124" s="283">
        <f>TblRezone[[#This Row],[Hour]]</f>
        <v>121</v>
      </c>
      <c r="L124" s="284">
        <f ca="1">TblImps[[#This Row],[Real time]]</f>
        <v>46051.999999999709</v>
      </c>
      <c r="M124" s="61">
        <f>IF(ISERROR(TblImps[[#This Row],[algorithm]]),0,TblImps[[#This Row],[algorithm]]*1)</f>
        <v>0</v>
      </c>
      <c r="N124" s="94">
        <f ca="1">TblImps[[#This Row],[Land]]</f>
        <v>110</v>
      </c>
      <c r="O124" s="285" t="s">
        <v>4</v>
      </c>
      <c r="P124" s="286"/>
      <c r="Q124" s="285" t="s">
        <v>210</v>
      </c>
      <c r="R124" s="285" t="s">
        <v>7</v>
      </c>
      <c r="S124" s="286"/>
      <c r="T124" s="285" t="s">
        <v>210</v>
      </c>
      <c r="U124" s="285" t="s">
        <v>3</v>
      </c>
      <c r="V124" s="286"/>
      <c r="W124" s="285" t="s">
        <v>210</v>
      </c>
      <c r="X124" s="142"/>
      <c r="Y124" s="287">
        <f ca="1">science_cap*(1-EXP(-TblImps[[#This Row],[Σ Science]]/(science_param*(OFFSET(TblImps[[#This Row],[Land]],1,0)-OFFSET(TblExplore[[#This Row],[Land Bonus]],1,0)*20)+15000)))*(1+(mason_bonus*TblConstr[[#This Row],[Tot Mas]]/TblConstr[[#This Row],[Land (2)]]))</f>
        <v>0</v>
      </c>
      <c r="Z124" s="287">
        <f ca="1">keep_cap*(1-EXP(-TblImps[[#This Row],[Σ Keep]]/(keep_param*(OFFSET(TblImps[[#This Row],[Land]],1,0)-OFFSET(TblExplore[[#This Row],[Land Bonus]],1,0)*20)+15000)))*(1+(mason_bonus*TblConstr[[#This Row],[Tot Mas]]/TblConstr[[#This Row],[Land (2)]]))</f>
        <v>0</v>
      </c>
      <c r="AA124" s="287">
        <f ca="1">harbor_towers_cap*(1-EXP(-TblImps[[#This Row],[Σ Spires]]/(towers_param*(OFFSET(TblImps[[#This Row],[Land]],1,0)-OFFSET(TblExplore[[#This Row],[Land Bonus]],1,0)*20)+15000)))*(1+(mason_bonus*TblConstr[[#This Row],[Tot Mas]]/TblConstr[[#This Row],[Land (2)]]))</f>
        <v>0</v>
      </c>
      <c r="AB124" s="287">
        <f ca="1">walls_forges_cap*(1-EXP(-TblImps[[#This Row],[Σ Forges]]/(walls_forges_param*(OFFSET(TblImps[[#This Row],[Land]],1,0)-OFFSET(TblExplore[[#This Row],[Land Bonus]],1,0)*20)+15000)))*(1+(mason_bonus*TblConstr[[#This Row],[Tot Mas]]/TblConstr[[#This Row],[Land (2)]]))</f>
        <v>0</v>
      </c>
      <c r="AC124" s="287">
        <f ca="1">walls_forges_cap*(1-EXP(-TblImps[[#This Row],[Σ Walls]]/(walls_forges_param*(OFFSET(TblImps[[#This Row],[Land]],1,0)-OFFSET(TblExplore[[#This Row],[Land Bonus]],1,0)*20)+15000)))*(1+(mason_bonus*TblConstr[[#This Row],[Tot Mas]]/TblConstr[[#This Row],[Land (2)]]))</f>
        <v>0</v>
      </c>
      <c r="AD124" s="287">
        <f ca="1">harbor_towers_cap*(1-EXP(-TblImps[[#This Row],[Σ Harbor]]/(harbor_towers_param*(OFFSET(TblImps[[#This Row],[Land]],1,0)-OFFSET(TblExplore[[#This Row],[Land Bonus]],1,0)*20)+15000)))*(1+(mason_bonus*TblConstr[[#This Row],[Tot Mas]]/TblConstr[[#This Row],[Land (2)]]))</f>
        <v>0</v>
      </c>
      <c r="AE124" s="142"/>
      <c r="AF124" s="61">
        <f ca="1">(1+Overview!$I$29)*SUM(TblImps[[#This Row],[P2]:[G2]])+OFFSET(TblImps[[#This Row],[Σ Science]],-1,0)</f>
        <v>0</v>
      </c>
      <c r="AG124" s="61">
        <f ca="1">(1+Overview!$I$29)*SUM(TblImps[[#This Row],[P3]:[G3]])+OFFSET(TblImps[[#This Row],[Σ Keep]],-1,0)</f>
        <v>0</v>
      </c>
      <c r="AH124" s="61">
        <f ca="1">(1+Overview!$I$29 + tech_7_1*TblTech[[#This Row],[7-1]])*SUM(TblImps[[#This Row],[P4]:[G4]])+OFFSET(TblImps[[#This Row],[Σ Spires]],-1,0)</f>
        <v>0</v>
      </c>
      <c r="AI124" s="61">
        <f ca="1">(1+Overview!$I$29)*SUM(TblImps[[#This Row],[P5]:[G5]])+OFFSET(TblImps[[#This Row],[Σ Forges]],-1,0)</f>
        <v>0</v>
      </c>
      <c r="AJ124" s="61">
        <f ca="1">(1+Overview!$I$29)*SUM(TblImps[[#This Row],[P6]:[G6]])+OFFSET(TblImps[[#This Row],[Σ Walls]],-1,0)</f>
        <v>0</v>
      </c>
      <c r="AK124" s="61">
        <f ca="1">(1+Overview!$I$29 + tech_7_1*TblTech[[#This Row],[7-1]])*SUM(TblImps[[#This Row],[P7]:[G7]])+OFFSET(TblImps[[#This Row],[Σ Harbor]],-1,0)</f>
        <v>0</v>
      </c>
      <c r="AL124" s="142"/>
      <c r="AM124" s="57">
        <f>IF(AND(TblImps[[#This Row],[Resource]]=AM$2,TblImps[[#This Row],[Part]]&lt;&gt;""),TblImps[[#This Row],[Amount]]) + IF(AND(TblImps[[#This Row],[Resource 2]]=AM$2,TblImps[[#This Row],[Part 2]]&lt;&gt;""),TblImps[[#This Row],[Amount 2]]) + IF(AND(TblImps[[#This Row],[Resource 3]]=AM$2,TblImps[[#This Row],[Part 3]]&lt;&gt;""),TblImps[[#This Row],[Amount 3]])</f>
        <v>0</v>
      </c>
      <c r="AN124" s="57">
        <f>IF(AND(TblImps[[#This Row],[Resource]]=AN$2,TblImps[[#This Row],[Part]]&lt;&gt;""),TblImps[[#This Row],[Amount]]) + IF(AND(TblImps[[#This Row],[Resource 2]]=AN$2,TblImps[[#This Row],[Part 2]]&lt;&gt;""),TblImps[[#This Row],[Amount 2]]) + IF(AND(TblImps[[#This Row],[Resource 3]]=AN$2,TblImps[[#This Row],[Part 3]]&lt;&gt;""),TblImps[[#This Row],[Amount 3]])</f>
        <v>0</v>
      </c>
      <c r="AO124" s="57">
        <f>IF(AND(TblImps[[#This Row],[Resource]]=AO$2,TblImps[[#This Row],[Part]]&lt;&gt;""),TblImps[[#This Row],[Amount]]) + IF(AND(TblImps[[#This Row],[Resource 2]]=AO$2,TblImps[[#This Row],[Part 2]]&lt;&gt;""),TblImps[[#This Row],[Amount 2]]) + IF(AND(TblImps[[#This Row],[Resource 3]]=AO$2,TblImps[[#This Row],[Part 3]]&lt;&gt;""),TblImps[[#This Row],[Amount 3]])</f>
        <v>0</v>
      </c>
      <c r="AP124" s="57">
        <f>IF(AND(TblImps[[#This Row],[Resource]]=AP$2,TblImps[[#This Row],[Part]]&lt;&gt;""),TblImps[[#This Row],[Amount]]) + IF(AND(TblImps[[#This Row],[Resource 2]]=AP$2,TblImps[[#This Row],[Part 2]]&lt;&gt;""),TblImps[[#This Row],[Amount 2]]) + IF(AND(TblImps[[#This Row],[Resource 3]]=AP$2,TblImps[[#This Row],[Part 3]]&lt;&gt;""),TblImps[[#This Row],[Amount 3]])</f>
        <v>0</v>
      </c>
      <c r="AQ124" s="142"/>
      <c r="AR12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4" s="142"/>
      <c r="AW12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4" s="142"/>
      <c r="BB12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4" s="142"/>
      <c r="BG12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4" s="142"/>
      <c r="BL12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4" s="142"/>
      <c r="BQ12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4" s="142"/>
      <c r="BV12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4" s="61">
        <f>TblImps[[#This Row],[Login]]</f>
        <v>0</v>
      </c>
      <c r="BX124" s="137"/>
      <c r="BY124" s="293">
        <f ca="1">OFFSET(TblImps[[#This Row],[Real time]],-1,0)+1/24</f>
        <v>46051.999999999709</v>
      </c>
      <c r="BZ124" s="294">
        <f ca="1">OFFSET(TblImps[[#This Row],[Servertime]],-1,0)+1/24</f>
        <v>46051.999999999709</v>
      </c>
      <c r="CA124" s="57"/>
      <c r="CB124" s="292"/>
      <c r="CC124" s="292"/>
    </row>
    <row r="125" spans="1:81" x14ac:dyDescent="0.2">
      <c r="A125" s="214">
        <f ca="1">TblConstr[[#This Row],[Land]]</f>
        <v>110</v>
      </c>
      <c r="B125" s="142"/>
      <c r="C125" s="94">
        <f ca="1">TblProd[[#This Row],[Platinum]]</f>
        <v>219681</v>
      </c>
      <c r="D125" s="94">
        <f ca="1">TblProd[[#This Row],[Lumber]]</f>
        <v>74805</v>
      </c>
      <c r="E125" s="94">
        <f ca="1">TblProd[[#This Row],[Ore]]</f>
        <v>0</v>
      </c>
      <c r="F125" s="94">
        <f ca="1">TblProd[[#This Row],[Gems]]</f>
        <v>0</v>
      </c>
      <c r="G125" s="154"/>
      <c r="H125" s="94">
        <f ca="1">TblMili[[#This Row],[Draftees]]</f>
        <v>777</v>
      </c>
      <c r="I125" s="180">
        <f ca="1">TblPop[[#This Row],[Employment]]</f>
        <v>1</v>
      </c>
      <c r="J125" s="180">
        <f ca="1">TblPop[[#This Row],[Total]]/TblPop[[#This Row],[Net max]]</f>
        <v>1</v>
      </c>
      <c r="K125" s="283">
        <f>TblRezone[[#This Row],[Hour]]</f>
        <v>122</v>
      </c>
      <c r="L125" s="284">
        <f ca="1">TblImps[[#This Row],[Real time]]</f>
        <v>46052.041666666373</v>
      </c>
      <c r="M125" s="61">
        <f>IF(ISERROR(TblImps[[#This Row],[algorithm]]),0,TblImps[[#This Row],[algorithm]]*1)</f>
        <v>0</v>
      </c>
      <c r="N125" s="94">
        <f ca="1">TblImps[[#This Row],[Land]]</f>
        <v>110</v>
      </c>
      <c r="O125" s="285" t="s">
        <v>4</v>
      </c>
      <c r="P125" s="286"/>
      <c r="Q125" s="285" t="s">
        <v>210</v>
      </c>
      <c r="R125" s="285" t="s">
        <v>7</v>
      </c>
      <c r="S125" s="286"/>
      <c r="T125" s="285" t="s">
        <v>210</v>
      </c>
      <c r="U125" s="285" t="s">
        <v>3</v>
      </c>
      <c r="V125" s="286"/>
      <c r="W125" s="285" t="s">
        <v>210</v>
      </c>
      <c r="X125" s="142"/>
      <c r="Y125" s="287">
        <f ca="1">science_cap*(1-EXP(-TblImps[[#This Row],[Σ Science]]/(science_param*(OFFSET(TblImps[[#This Row],[Land]],1,0)-OFFSET(TblExplore[[#This Row],[Land Bonus]],1,0)*20)+15000)))*(1+(mason_bonus*TblConstr[[#This Row],[Tot Mas]]/TblConstr[[#This Row],[Land (2)]]))</f>
        <v>0</v>
      </c>
      <c r="Z125" s="287">
        <f ca="1">keep_cap*(1-EXP(-TblImps[[#This Row],[Σ Keep]]/(keep_param*(OFFSET(TblImps[[#This Row],[Land]],1,0)-OFFSET(TblExplore[[#This Row],[Land Bonus]],1,0)*20)+15000)))*(1+(mason_bonus*TblConstr[[#This Row],[Tot Mas]]/TblConstr[[#This Row],[Land (2)]]))</f>
        <v>0</v>
      </c>
      <c r="AA125" s="287">
        <f ca="1">harbor_towers_cap*(1-EXP(-TblImps[[#This Row],[Σ Spires]]/(towers_param*(OFFSET(TblImps[[#This Row],[Land]],1,0)-OFFSET(TblExplore[[#This Row],[Land Bonus]],1,0)*20)+15000)))*(1+(mason_bonus*TblConstr[[#This Row],[Tot Mas]]/TblConstr[[#This Row],[Land (2)]]))</f>
        <v>0</v>
      </c>
      <c r="AB125" s="287">
        <f ca="1">walls_forges_cap*(1-EXP(-TblImps[[#This Row],[Σ Forges]]/(walls_forges_param*(OFFSET(TblImps[[#This Row],[Land]],1,0)-OFFSET(TblExplore[[#This Row],[Land Bonus]],1,0)*20)+15000)))*(1+(mason_bonus*TblConstr[[#This Row],[Tot Mas]]/TblConstr[[#This Row],[Land (2)]]))</f>
        <v>0</v>
      </c>
      <c r="AC125" s="287">
        <f ca="1">walls_forges_cap*(1-EXP(-TblImps[[#This Row],[Σ Walls]]/(walls_forges_param*(OFFSET(TblImps[[#This Row],[Land]],1,0)-OFFSET(TblExplore[[#This Row],[Land Bonus]],1,0)*20)+15000)))*(1+(mason_bonus*TblConstr[[#This Row],[Tot Mas]]/TblConstr[[#This Row],[Land (2)]]))</f>
        <v>0</v>
      </c>
      <c r="AD125" s="287">
        <f ca="1">harbor_towers_cap*(1-EXP(-TblImps[[#This Row],[Σ Harbor]]/(harbor_towers_param*(OFFSET(TblImps[[#This Row],[Land]],1,0)-OFFSET(TblExplore[[#This Row],[Land Bonus]],1,0)*20)+15000)))*(1+(mason_bonus*TblConstr[[#This Row],[Tot Mas]]/TblConstr[[#This Row],[Land (2)]]))</f>
        <v>0</v>
      </c>
      <c r="AE125" s="142"/>
      <c r="AF125" s="61">
        <f ca="1">(1+Overview!$I$29)*SUM(TblImps[[#This Row],[P2]:[G2]])+OFFSET(TblImps[[#This Row],[Σ Science]],-1,0)</f>
        <v>0</v>
      </c>
      <c r="AG125" s="61">
        <f ca="1">(1+Overview!$I$29)*SUM(TblImps[[#This Row],[P3]:[G3]])+OFFSET(TblImps[[#This Row],[Σ Keep]],-1,0)</f>
        <v>0</v>
      </c>
      <c r="AH125" s="61">
        <f ca="1">(1+Overview!$I$29 + tech_7_1*TblTech[[#This Row],[7-1]])*SUM(TblImps[[#This Row],[P4]:[G4]])+OFFSET(TblImps[[#This Row],[Σ Spires]],-1,0)</f>
        <v>0</v>
      </c>
      <c r="AI125" s="61">
        <f ca="1">(1+Overview!$I$29)*SUM(TblImps[[#This Row],[P5]:[G5]])+OFFSET(TblImps[[#This Row],[Σ Forges]],-1,0)</f>
        <v>0</v>
      </c>
      <c r="AJ125" s="61">
        <f ca="1">(1+Overview!$I$29)*SUM(TblImps[[#This Row],[P6]:[G6]])+OFFSET(TblImps[[#This Row],[Σ Walls]],-1,0)</f>
        <v>0</v>
      </c>
      <c r="AK125" s="61">
        <f ca="1">(1+Overview!$I$29 + tech_7_1*TblTech[[#This Row],[7-1]])*SUM(TblImps[[#This Row],[P7]:[G7]])+OFFSET(TblImps[[#This Row],[Σ Harbor]],-1,0)</f>
        <v>0</v>
      </c>
      <c r="AL125" s="142"/>
      <c r="AM125" s="57">
        <f>IF(AND(TblImps[[#This Row],[Resource]]=AM$2,TblImps[[#This Row],[Part]]&lt;&gt;""),TblImps[[#This Row],[Amount]]) + IF(AND(TblImps[[#This Row],[Resource 2]]=AM$2,TblImps[[#This Row],[Part 2]]&lt;&gt;""),TblImps[[#This Row],[Amount 2]]) + IF(AND(TblImps[[#This Row],[Resource 3]]=AM$2,TblImps[[#This Row],[Part 3]]&lt;&gt;""),TblImps[[#This Row],[Amount 3]])</f>
        <v>0</v>
      </c>
      <c r="AN125" s="57">
        <f>IF(AND(TblImps[[#This Row],[Resource]]=AN$2,TblImps[[#This Row],[Part]]&lt;&gt;""),TblImps[[#This Row],[Amount]]) + IF(AND(TblImps[[#This Row],[Resource 2]]=AN$2,TblImps[[#This Row],[Part 2]]&lt;&gt;""),TblImps[[#This Row],[Amount 2]]) + IF(AND(TblImps[[#This Row],[Resource 3]]=AN$2,TblImps[[#This Row],[Part 3]]&lt;&gt;""),TblImps[[#This Row],[Amount 3]])</f>
        <v>0</v>
      </c>
      <c r="AO125" s="57">
        <f>IF(AND(TblImps[[#This Row],[Resource]]=AO$2,TblImps[[#This Row],[Part]]&lt;&gt;""),TblImps[[#This Row],[Amount]]) + IF(AND(TblImps[[#This Row],[Resource 2]]=AO$2,TblImps[[#This Row],[Part 2]]&lt;&gt;""),TblImps[[#This Row],[Amount 2]]) + IF(AND(TblImps[[#This Row],[Resource 3]]=AO$2,TblImps[[#This Row],[Part 3]]&lt;&gt;""),TblImps[[#This Row],[Amount 3]])</f>
        <v>0</v>
      </c>
      <c r="AP125" s="57">
        <f>IF(AND(TblImps[[#This Row],[Resource]]=AP$2,TblImps[[#This Row],[Part]]&lt;&gt;""),TblImps[[#This Row],[Amount]]) + IF(AND(TblImps[[#This Row],[Resource 2]]=AP$2,TblImps[[#This Row],[Part 2]]&lt;&gt;""),TblImps[[#This Row],[Amount 2]]) + IF(AND(TblImps[[#This Row],[Resource 3]]=AP$2,TblImps[[#This Row],[Part 3]]&lt;&gt;""),TblImps[[#This Row],[Amount 3]])</f>
        <v>0</v>
      </c>
      <c r="AQ125" s="142"/>
      <c r="AR12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5" s="142"/>
      <c r="AW12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5" s="142"/>
      <c r="BB12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5" s="142"/>
      <c r="BG12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5" s="142"/>
      <c r="BL12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5" s="142"/>
      <c r="BQ12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5" s="142"/>
      <c r="BV12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5" s="61">
        <f>TblImps[[#This Row],[Login]]</f>
        <v>0</v>
      </c>
      <c r="BX125" s="137"/>
      <c r="BY125" s="293">
        <f ca="1">OFFSET(TblImps[[#This Row],[Real time]],-1,0)+1/24</f>
        <v>46052.041666666373</v>
      </c>
      <c r="BZ125" s="294">
        <f ca="1">OFFSET(TblImps[[#This Row],[Servertime]],-1,0)+1/24</f>
        <v>46052.041666666373</v>
      </c>
      <c r="CA125" s="57"/>
      <c r="CB125" s="292"/>
      <c r="CC125" s="292"/>
    </row>
    <row r="126" spans="1:81" x14ac:dyDescent="0.2">
      <c r="A126" s="214">
        <f ca="1">TblConstr[[#This Row],[Land]]</f>
        <v>110</v>
      </c>
      <c r="B126" s="142"/>
      <c r="C126" s="94">
        <f ca="1">TblProd[[#This Row],[Platinum]]</f>
        <v>220488</v>
      </c>
      <c r="D126" s="94">
        <f ca="1">TblProd[[#This Row],[Lumber]]</f>
        <v>75057</v>
      </c>
      <c r="E126" s="94">
        <f ca="1">TblProd[[#This Row],[Ore]]</f>
        <v>0</v>
      </c>
      <c r="F126" s="94">
        <f ca="1">TblProd[[#This Row],[Gems]]</f>
        <v>0</v>
      </c>
      <c r="G126" s="154"/>
      <c r="H126" s="94">
        <f ca="1">TblMili[[#This Row],[Draftees]]</f>
        <v>780</v>
      </c>
      <c r="I126" s="180">
        <f ca="1">TblPop[[#This Row],[Employment]]</f>
        <v>1</v>
      </c>
      <c r="J126" s="180">
        <f ca="1">TblPop[[#This Row],[Total]]/TblPop[[#This Row],[Net max]]</f>
        <v>1</v>
      </c>
      <c r="K126" s="283">
        <f>TblRezone[[#This Row],[Hour]]</f>
        <v>123</v>
      </c>
      <c r="L126" s="284">
        <f ca="1">TblImps[[#This Row],[Real time]]</f>
        <v>46052.083333333037</v>
      </c>
      <c r="M126" s="61">
        <f>IF(ISERROR(TblImps[[#This Row],[algorithm]]),0,TblImps[[#This Row],[algorithm]]*1)</f>
        <v>0</v>
      </c>
      <c r="N126" s="94">
        <f ca="1">TblImps[[#This Row],[Land]]</f>
        <v>110</v>
      </c>
      <c r="O126" s="285" t="s">
        <v>4</v>
      </c>
      <c r="P126" s="286"/>
      <c r="Q126" s="285" t="s">
        <v>210</v>
      </c>
      <c r="R126" s="285" t="s">
        <v>7</v>
      </c>
      <c r="S126" s="286"/>
      <c r="T126" s="285" t="s">
        <v>210</v>
      </c>
      <c r="U126" s="285" t="s">
        <v>3</v>
      </c>
      <c r="V126" s="286"/>
      <c r="W126" s="285" t="s">
        <v>210</v>
      </c>
      <c r="X126" s="142"/>
      <c r="Y126" s="287">
        <f ca="1">science_cap*(1-EXP(-TblImps[[#This Row],[Σ Science]]/(science_param*(OFFSET(TblImps[[#This Row],[Land]],1,0)-OFFSET(TblExplore[[#This Row],[Land Bonus]],1,0)*20)+15000)))*(1+(mason_bonus*TblConstr[[#This Row],[Tot Mas]]/TblConstr[[#This Row],[Land (2)]]))</f>
        <v>0</v>
      </c>
      <c r="Z126" s="287">
        <f ca="1">keep_cap*(1-EXP(-TblImps[[#This Row],[Σ Keep]]/(keep_param*(OFFSET(TblImps[[#This Row],[Land]],1,0)-OFFSET(TblExplore[[#This Row],[Land Bonus]],1,0)*20)+15000)))*(1+(mason_bonus*TblConstr[[#This Row],[Tot Mas]]/TblConstr[[#This Row],[Land (2)]]))</f>
        <v>0</v>
      </c>
      <c r="AA126" s="287">
        <f ca="1">harbor_towers_cap*(1-EXP(-TblImps[[#This Row],[Σ Spires]]/(towers_param*(OFFSET(TblImps[[#This Row],[Land]],1,0)-OFFSET(TblExplore[[#This Row],[Land Bonus]],1,0)*20)+15000)))*(1+(mason_bonus*TblConstr[[#This Row],[Tot Mas]]/TblConstr[[#This Row],[Land (2)]]))</f>
        <v>0</v>
      </c>
      <c r="AB126" s="287">
        <f ca="1">walls_forges_cap*(1-EXP(-TblImps[[#This Row],[Σ Forges]]/(walls_forges_param*(OFFSET(TblImps[[#This Row],[Land]],1,0)-OFFSET(TblExplore[[#This Row],[Land Bonus]],1,0)*20)+15000)))*(1+(mason_bonus*TblConstr[[#This Row],[Tot Mas]]/TblConstr[[#This Row],[Land (2)]]))</f>
        <v>0</v>
      </c>
      <c r="AC126" s="287">
        <f ca="1">walls_forges_cap*(1-EXP(-TblImps[[#This Row],[Σ Walls]]/(walls_forges_param*(OFFSET(TblImps[[#This Row],[Land]],1,0)-OFFSET(TblExplore[[#This Row],[Land Bonus]],1,0)*20)+15000)))*(1+(mason_bonus*TblConstr[[#This Row],[Tot Mas]]/TblConstr[[#This Row],[Land (2)]]))</f>
        <v>0</v>
      </c>
      <c r="AD126" s="287">
        <f ca="1">harbor_towers_cap*(1-EXP(-TblImps[[#This Row],[Σ Harbor]]/(harbor_towers_param*(OFFSET(TblImps[[#This Row],[Land]],1,0)-OFFSET(TblExplore[[#This Row],[Land Bonus]],1,0)*20)+15000)))*(1+(mason_bonus*TblConstr[[#This Row],[Tot Mas]]/TblConstr[[#This Row],[Land (2)]]))</f>
        <v>0</v>
      </c>
      <c r="AE126" s="142"/>
      <c r="AF126" s="61">
        <f ca="1">(1+Overview!$I$29)*SUM(TblImps[[#This Row],[P2]:[G2]])+OFFSET(TblImps[[#This Row],[Σ Science]],-1,0)</f>
        <v>0</v>
      </c>
      <c r="AG126" s="61">
        <f ca="1">(1+Overview!$I$29)*SUM(TblImps[[#This Row],[P3]:[G3]])+OFFSET(TblImps[[#This Row],[Σ Keep]],-1,0)</f>
        <v>0</v>
      </c>
      <c r="AH126" s="61">
        <f ca="1">(1+Overview!$I$29 + tech_7_1*TblTech[[#This Row],[7-1]])*SUM(TblImps[[#This Row],[P4]:[G4]])+OFFSET(TblImps[[#This Row],[Σ Spires]],-1,0)</f>
        <v>0</v>
      </c>
      <c r="AI126" s="61">
        <f ca="1">(1+Overview!$I$29)*SUM(TblImps[[#This Row],[P5]:[G5]])+OFFSET(TblImps[[#This Row],[Σ Forges]],-1,0)</f>
        <v>0</v>
      </c>
      <c r="AJ126" s="61">
        <f ca="1">(1+Overview!$I$29)*SUM(TblImps[[#This Row],[P6]:[G6]])+OFFSET(TblImps[[#This Row],[Σ Walls]],-1,0)</f>
        <v>0</v>
      </c>
      <c r="AK126" s="61">
        <f ca="1">(1+Overview!$I$29 + tech_7_1*TblTech[[#This Row],[7-1]])*SUM(TblImps[[#This Row],[P7]:[G7]])+OFFSET(TblImps[[#This Row],[Σ Harbor]],-1,0)</f>
        <v>0</v>
      </c>
      <c r="AL126" s="142"/>
      <c r="AM126" s="57">
        <f>IF(AND(TblImps[[#This Row],[Resource]]=AM$2,TblImps[[#This Row],[Part]]&lt;&gt;""),TblImps[[#This Row],[Amount]]) + IF(AND(TblImps[[#This Row],[Resource 2]]=AM$2,TblImps[[#This Row],[Part 2]]&lt;&gt;""),TblImps[[#This Row],[Amount 2]]) + IF(AND(TblImps[[#This Row],[Resource 3]]=AM$2,TblImps[[#This Row],[Part 3]]&lt;&gt;""),TblImps[[#This Row],[Amount 3]])</f>
        <v>0</v>
      </c>
      <c r="AN126" s="57">
        <f>IF(AND(TblImps[[#This Row],[Resource]]=AN$2,TblImps[[#This Row],[Part]]&lt;&gt;""),TblImps[[#This Row],[Amount]]) + IF(AND(TblImps[[#This Row],[Resource 2]]=AN$2,TblImps[[#This Row],[Part 2]]&lt;&gt;""),TblImps[[#This Row],[Amount 2]]) + IF(AND(TblImps[[#This Row],[Resource 3]]=AN$2,TblImps[[#This Row],[Part 3]]&lt;&gt;""),TblImps[[#This Row],[Amount 3]])</f>
        <v>0</v>
      </c>
      <c r="AO126" s="57">
        <f>IF(AND(TblImps[[#This Row],[Resource]]=AO$2,TblImps[[#This Row],[Part]]&lt;&gt;""),TblImps[[#This Row],[Amount]]) + IF(AND(TblImps[[#This Row],[Resource 2]]=AO$2,TblImps[[#This Row],[Part 2]]&lt;&gt;""),TblImps[[#This Row],[Amount 2]]) + IF(AND(TblImps[[#This Row],[Resource 3]]=AO$2,TblImps[[#This Row],[Part 3]]&lt;&gt;""),TblImps[[#This Row],[Amount 3]])</f>
        <v>0</v>
      </c>
      <c r="AP126" s="57">
        <f>IF(AND(TblImps[[#This Row],[Resource]]=AP$2,TblImps[[#This Row],[Part]]&lt;&gt;""),TblImps[[#This Row],[Amount]]) + IF(AND(TblImps[[#This Row],[Resource 2]]=AP$2,TblImps[[#This Row],[Part 2]]&lt;&gt;""),TblImps[[#This Row],[Amount 2]]) + IF(AND(TblImps[[#This Row],[Resource 3]]=AP$2,TblImps[[#This Row],[Part 3]]&lt;&gt;""),TblImps[[#This Row],[Amount 3]])</f>
        <v>0</v>
      </c>
      <c r="AQ126" s="142"/>
      <c r="AR12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6" s="142"/>
      <c r="AW12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6" s="142"/>
      <c r="BB12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6" s="142"/>
      <c r="BG12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6" s="142"/>
      <c r="BL12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6" s="142"/>
      <c r="BQ12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6" s="142"/>
      <c r="BV12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6" s="61">
        <f>TblImps[[#This Row],[Login]]</f>
        <v>0</v>
      </c>
      <c r="BX126" s="137"/>
      <c r="BY126" s="293">
        <f ca="1">OFFSET(TblImps[[#This Row],[Real time]],-1,0)+1/24</f>
        <v>46052.083333333037</v>
      </c>
      <c r="BZ126" s="294">
        <f ca="1">OFFSET(TblImps[[#This Row],[Servertime]],-1,0)+1/24</f>
        <v>46052.083333333037</v>
      </c>
      <c r="CA126" s="57"/>
      <c r="CB126" s="292"/>
      <c r="CC126" s="292"/>
    </row>
    <row r="127" spans="1:81" x14ac:dyDescent="0.2">
      <c r="A127" s="214">
        <f ca="1">TblConstr[[#This Row],[Land]]</f>
        <v>110</v>
      </c>
      <c r="B127" s="142"/>
      <c r="C127" s="94">
        <f ca="1">TblProd[[#This Row],[Platinum]]</f>
        <v>221287</v>
      </c>
      <c r="D127" s="94">
        <f ca="1">TblProd[[#This Row],[Lumber]]</f>
        <v>75306</v>
      </c>
      <c r="E127" s="94">
        <f ca="1">TblProd[[#This Row],[Ore]]</f>
        <v>0</v>
      </c>
      <c r="F127" s="94">
        <f ca="1">TblProd[[#This Row],[Gems]]</f>
        <v>0</v>
      </c>
      <c r="G127" s="154"/>
      <c r="H127" s="94">
        <f ca="1">TblMili[[#This Row],[Draftees]]</f>
        <v>783</v>
      </c>
      <c r="I127" s="180">
        <f ca="1">TblPop[[#This Row],[Employment]]</f>
        <v>1</v>
      </c>
      <c r="J127" s="180">
        <f ca="1">TblPop[[#This Row],[Total]]/TblPop[[#This Row],[Net max]]</f>
        <v>1</v>
      </c>
      <c r="K127" s="283">
        <f>TblRezone[[#This Row],[Hour]]</f>
        <v>124</v>
      </c>
      <c r="L127" s="284">
        <f ca="1">TblImps[[#This Row],[Real time]]</f>
        <v>46052.124999999702</v>
      </c>
      <c r="M127" s="61">
        <f>IF(ISERROR(TblImps[[#This Row],[algorithm]]),0,TblImps[[#This Row],[algorithm]]*1)</f>
        <v>0</v>
      </c>
      <c r="N127" s="94">
        <f ca="1">TblImps[[#This Row],[Land]]</f>
        <v>110</v>
      </c>
      <c r="O127" s="285" t="s">
        <v>4</v>
      </c>
      <c r="P127" s="286"/>
      <c r="Q127" s="285" t="s">
        <v>210</v>
      </c>
      <c r="R127" s="285" t="s">
        <v>7</v>
      </c>
      <c r="S127" s="286"/>
      <c r="T127" s="285" t="s">
        <v>210</v>
      </c>
      <c r="U127" s="285" t="s">
        <v>3</v>
      </c>
      <c r="V127" s="286"/>
      <c r="W127" s="285" t="s">
        <v>210</v>
      </c>
      <c r="X127" s="142"/>
      <c r="Y127" s="287">
        <f ca="1">science_cap*(1-EXP(-TblImps[[#This Row],[Σ Science]]/(science_param*(OFFSET(TblImps[[#This Row],[Land]],1,0)-OFFSET(TblExplore[[#This Row],[Land Bonus]],1,0)*20)+15000)))*(1+(mason_bonus*TblConstr[[#This Row],[Tot Mas]]/TblConstr[[#This Row],[Land (2)]]))</f>
        <v>0</v>
      </c>
      <c r="Z127" s="287">
        <f ca="1">keep_cap*(1-EXP(-TblImps[[#This Row],[Σ Keep]]/(keep_param*(OFFSET(TblImps[[#This Row],[Land]],1,0)-OFFSET(TblExplore[[#This Row],[Land Bonus]],1,0)*20)+15000)))*(1+(mason_bonus*TblConstr[[#This Row],[Tot Mas]]/TblConstr[[#This Row],[Land (2)]]))</f>
        <v>0</v>
      </c>
      <c r="AA127" s="287">
        <f ca="1">harbor_towers_cap*(1-EXP(-TblImps[[#This Row],[Σ Spires]]/(towers_param*(OFFSET(TblImps[[#This Row],[Land]],1,0)-OFFSET(TblExplore[[#This Row],[Land Bonus]],1,0)*20)+15000)))*(1+(mason_bonus*TblConstr[[#This Row],[Tot Mas]]/TblConstr[[#This Row],[Land (2)]]))</f>
        <v>0</v>
      </c>
      <c r="AB127" s="287">
        <f ca="1">walls_forges_cap*(1-EXP(-TblImps[[#This Row],[Σ Forges]]/(walls_forges_param*(OFFSET(TblImps[[#This Row],[Land]],1,0)-OFFSET(TblExplore[[#This Row],[Land Bonus]],1,0)*20)+15000)))*(1+(mason_bonus*TblConstr[[#This Row],[Tot Mas]]/TblConstr[[#This Row],[Land (2)]]))</f>
        <v>0</v>
      </c>
      <c r="AC127" s="287">
        <f ca="1">walls_forges_cap*(1-EXP(-TblImps[[#This Row],[Σ Walls]]/(walls_forges_param*(OFFSET(TblImps[[#This Row],[Land]],1,0)-OFFSET(TblExplore[[#This Row],[Land Bonus]],1,0)*20)+15000)))*(1+(mason_bonus*TblConstr[[#This Row],[Tot Mas]]/TblConstr[[#This Row],[Land (2)]]))</f>
        <v>0</v>
      </c>
      <c r="AD127" s="287">
        <f ca="1">harbor_towers_cap*(1-EXP(-TblImps[[#This Row],[Σ Harbor]]/(harbor_towers_param*(OFFSET(TblImps[[#This Row],[Land]],1,0)-OFFSET(TblExplore[[#This Row],[Land Bonus]],1,0)*20)+15000)))*(1+(mason_bonus*TblConstr[[#This Row],[Tot Mas]]/TblConstr[[#This Row],[Land (2)]]))</f>
        <v>0</v>
      </c>
      <c r="AE127" s="142"/>
      <c r="AF127" s="61">
        <f ca="1">(1+Overview!$I$29)*SUM(TblImps[[#This Row],[P2]:[G2]])+OFFSET(TblImps[[#This Row],[Σ Science]],-1,0)</f>
        <v>0</v>
      </c>
      <c r="AG127" s="61">
        <f ca="1">(1+Overview!$I$29)*SUM(TblImps[[#This Row],[P3]:[G3]])+OFFSET(TblImps[[#This Row],[Σ Keep]],-1,0)</f>
        <v>0</v>
      </c>
      <c r="AH127" s="61">
        <f ca="1">(1+Overview!$I$29 + tech_7_1*TblTech[[#This Row],[7-1]])*SUM(TblImps[[#This Row],[P4]:[G4]])+OFFSET(TblImps[[#This Row],[Σ Spires]],-1,0)</f>
        <v>0</v>
      </c>
      <c r="AI127" s="61">
        <f ca="1">(1+Overview!$I$29)*SUM(TblImps[[#This Row],[P5]:[G5]])+OFFSET(TblImps[[#This Row],[Σ Forges]],-1,0)</f>
        <v>0</v>
      </c>
      <c r="AJ127" s="61">
        <f ca="1">(1+Overview!$I$29)*SUM(TblImps[[#This Row],[P6]:[G6]])+OFFSET(TblImps[[#This Row],[Σ Walls]],-1,0)</f>
        <v>0</v>
      </c>
      <c r="AK127" s="61">
        <f ca="1">(1+Overview!$I$29 + tech_7_1*TblTech[[#This Row],[7-1]])*SUM(TblImps[[#This Row],[P7]:[G7]])+OFFSET(TblImps[[#This Row],[Σ Harbor]],-1,0)</f>
        <v>0</v>
      </c>
      <c r="AL127" s="142"/>
      <c r="AM127" s="57">
        <f>IF(AND(TblImps[[#This Row],[Resource]]=AM$2,TblImps[[#This Row],[Part]]&lt;&gt;""),TblImps[[#This Row],[Amount]]) + IF(AND(TblImps[[#This Row],[Resource 2]]=AM$2,TblImps[[#This Row],[Part 2]]&lt;&gt;""),TblImps[[#This Row],[Amount 2]]) + IF(AND(TblImps[[#This Row],[Resource 3]]=AM$2,TblImps[[#This Row],[Part 3]]&lt;&gt;""),TblImps[[#This Row],[Amount 3]])</f>
        <v>0</v>
      </c>
      <c r="AN127" s="57">
        <f>IF(AND(TblImps[[#This Row],[Resource]]=AN$2,TblImps[[#This Row],[Part]]&lt;&gt;""),TblImps[[#This Row],[Amount]]) + IF(AND(TblImps[[#This Row],[Resource 2]]=AN$2,TblImps[[#This Row],[Part 2]]&lt;&gt;""),TblImps[[#This Row],[Amount 2]]) + IF(AND(TblImps[[#This Row],[Resource 3]]=AN$2,TblImps[[#This Row],[Part 3]]&lt;&gt;""),TblImps[[#This Row],[Amount 3]])</f>
        <v>0</v>
      </c>
      <c r="AO127" s="57">
        <f>IF(AND(TblImps[[#This Row],[Resource]]=AO$2,TblImps[[#This Row],[Part]]&lt;&gt;""),TblImps[[#This Row],[Amount]]) + IF(AND(TblImps[[#This Row],[Resource 2]]=AO$2,TblImps[[#This Row],[Part 2]]&lt;&gt;""),TblImps[[#This Row],[Amount 2]]) + IF(AND(TblImps[[#This Row],[Resource 3]]=AO$2,TblImps[[#This Row],[Part 3]]&lt;&gt;""),TblImps[[#This Row],[Amount 3]])</f>
        <v>0</v>
      </c>
      <c r="AP127" s="57">
        <f>IF(AND(TblImps[[#This Row],[Resource]]=AP$2,TblImps[[#This Row],[Part]]&lt;&gt;""),TblImps[[#This Row],[Amount]]) + IF(AND(TblImps[[#This Row],[Resource 2]]=AP$2,TblImps[[#This Row],[Part 2]]&lt;&gt;""),TblImps[[#This Row],[Amount 2]]) + IF(AND(TblImps[[#This Row],[Resource 3]]=AP$2,TblImps[[#This Row],[Part 3]]&lt;&gt;""),TblImps[[#This Row],[Amount 3]])</f>
        <v>0</v>
      </c>
      <c r="AQ127" s="142"/>
      <c r="AR127"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7"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7"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7"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7" s="142"/>
      <c r="AW127"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7"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7"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7"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7" s="142"/>
      <c r="BB127"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7"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7"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7"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7" s="142"/>
      <c r="BG127"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7"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7"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7"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7" s="142"/>
      <c r="BL127"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7"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7"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7"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7" s="142"/>
      <c r="BQ127"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7"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7"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7"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7" s="142"/>
      <c r="BV127"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7" s="61">
        <f>TblImps[[#This Row],[Login]]</f>
        <v>0</v>
      </c>
      <c r="BX127" s="137"/>
      <c r="BY127" s="293">
        <f ca="1">OFFSET(TblImps[[#This Row],[Real time]],-1,0)+1/24</f>
        <v>46052.124999999702</v>
      </c>
      <c r="BZ127" s="294">
        <f ca="1">OFFSET(TblImps[[#This Row],[Servertime]],-1,0)+1/24</f>
        <v>46052.124999999702</v>
      </c>
      <c r="CA127" s="57"/>
      <c r="CB127" s="292"/>
      <c r="CC127" s="292"/>
    </row>
    <row r="128" spans="1:81" x14ac:dyDescent="0.2">
      <c r="A128" s="214">
        <f ca="1">TblConstr[[#This Row],[Land]]</f>
        <v>110</v>
      </c>
      <c r="B128" s="142"/>
      <c r="C128" s="94">
        <f ca="1">TblProd[[#This Row],[Platinum]]</f>
        <v>222078</v>
      </c>
      <c r="D128" s="94">
        <f ca="1">TblProd[[#This Row],[Lumber]]</f>
        <v>75553</v>
      </c>
      <c r="E128" s="94">
        <f ca="1">TblProd[[#This Row],[Ore]]</f>
        <v>0</v>
      </c>
      <c r="F128" s="94">
        <f ca="1">TblProd[[#This Row],[Gems]]</f>
        <v>0</v>
      </c>
      <c r="G128" s="154"/>
      <c r="H128" s="94">
        <f ca="1">TblMili[[#This Row],[Draftees]]</f>
        <v>786</v>
      </c>
      <c r="I128" s="180">
        <f ca="1">TblPop[[#This Row],[Employment]]</f>
        <v>1</v>
      </c>
      <c r="J128" s="180">
        <f ca="1">TblPop[[#This Row],[Total]]/TblPop[[#This Row],[Net max]]</f>
        <v>1</v>
      </c>
      <c r="K128" s="283">
        <f>TblRezone[[#This Row],[Hour]]</f>
        <v>125</v>
      </c>
      <c r="L128" s="284">
        <f ca="1">TblImps[[#This Row],[Real time]]</f>
        <v>46052.166666666366</v>
      </c>
      <c r="M128" s="61">
        <f>IF(ISERROR(TblImps[[#This Row],[algorithm]]),0,TblImps[[#This Row],[algorithm]]*1)</f>
        <v>0</v>
      </c>
      <c r="N128" s="94">
        <f ca="1">TblImps[[#This Row],[Land]]</f>
        <v>110</v>
      </c>
      <c r="O128" s="285" t="s">
        <v>4</v>
      </c>
      <c r="P128" s="286"/>
      <c r="Q128" s="285" t="s">
        <v>210</v>
      </c>
      <c r="R128" s="285" t="s">
        <v>7</v>
      </c>
      <c r="S128" s="286"/>
      <c r="T128" s="285" t="s">
        <v>210</v>
      </c>
      <c r="U128" s="285" t="s">
        <v>3</v>
      </c>
      <c r="V128" s="286"/>
      <c r="W128" s="285" t="s">
        <v>210</v>
      </c>
      <c r="X128" s="142"/>
      <c r="Y128" s="287">
        <f ca="1">science_cap*(1-EXP(-TblImps[[#This Row],[Σ Science]]/(science_param*(OFFSET(TblImps[[#This Row],[Land]],1,0)-OFFSET(TblExplore[[#This Row],[Land Bonus]],1,0)*20)+15000)))*(1+(mason_bonus*TblConstr[[#This Row],[Tot Mas]]/TblConstr[[#This Row],[Land (2)]]))</f>
        <v>0</v>
      </c>
      <c r="Z128" s="287">
        <f ca="1">keep_cap*(1-EXP(-TblImps[[#This Row],[Σ Keep]]/(keep_param*(OFFSET(TblImps[[#This Row],[Land]],1,0)-OFFSET(TblExplore[[#This Row],[Land Bonus]],1,0)*20)+15000)))*(1+(mason_bonus*TblConstr[[#This Row],[Tot Mas]]/TblConstr[[#This Row],[Land (2)]]))</f>
        <v>0</v>
      </c>
      <c r="AA128" s="287">
        <f ca="1">harbor_towers_cap*(1-EXP(-TblImps[[#This Row],[Σ Spires]]/(towers_param*(OFFSET(TblImps[[#This Row],[Land]],1,0)-OFFSET(TblExplore[[#This Row],[Land Bonus]],1,0)*20)+15000)))*(1+(mason_bonus*TblConstr[[#This Row],[Tot Mas]]/TblConstr[[#This Row],[Land (2)]]))</f>
        <v>0</v>
      </c>
      <c r="AB128" s="287">
        <f ca="1">walls_forges_cap*(1-EXP(-TblImps[[#This Row],[Σ Forges]]/(walls_forges_param*(OFFSET(TblImps[[#This Row],[Land]],1,0)-OFFSET(TblExplore[[#This Row],[Land Bonus]],1,0)*20)+15000)))*(1+(mason_bonus*TblConstr[[#This Row],[Tot Mas]]/TblConstr[[#This Row],[Land (2)]]))</f>
        <v>0</v>
      </c>
      <c r="AC128" s="287">
        <f ca="1">walls_forges_cap*(1-EXP(-TblImps[[#This Row],[Σ Walls]]/(walls_forges_param*(OFFSET(TblImps[[#This Row],[Land]],1,0)-OFFSET(TblExplore[[#This Row],[Land Bonus]],1,0)*20)+15000)))*(1+(mason_bonus*TblConstr[[#This Row],[Tot Mas]]/TblConstr[[#This Row],[Land (2)]]))</f>
        <v>0</v>
      </c>
      <c r="AD128" s="287">
        <f ca="1">harbor_towers_cap*(1-EXP(-TblImps[[#This Row],[Σ Harbor]]/(harbor_towers_param*(OFFSET(TblImps[[#This Row],[Land]],1,0)-OFFSET(TblExplore[[#This Row],[Land Bonus]],1,0)*20)+15000)))*(1+(mason_bonus*TblConstr[[#This Row],[Tot Mas]]/TblConstr[[#This Row],[Land (2)]]))</f>
        <v>0</v>
      </c>
      <c r="AE128" s="142"/>
      <c r="AF128" s="61">
        <f ca="1">(1+Overview!$I$29)*SUM(TblImps[[#This Row],[P2]:[G2]])+OFFSET(TblImps[[#This Row],[Σ Science]],-1,0)</f>
        <v>0</v>
      </c>
      <c r="AG128" s="61">
        <f ca="1">(1+Overview!$I$29)*SUM(TblImps[[#This Row],[P3]:[G3]])+OFFSET(TblImps[[#This Row],[Σ Keep]],-1,0)</f>
        <v>0</v>
      </c>
      <c r="AH128" s="61">
        <f ca="1">(1+Overview!$I$29 + tech_7_1*TblTech[[#This Row],[7-1]])*SUM(TblImps[[#This Row],[P4]:[G4]])+OFFSET(TblImps[[#This Row],[Σ Spires]],-1,0)</f>
        <v>0</v>
      </c>
      <c r="AI128" s="61">
        <f ca="1">(1+Overview!$I$29)*SUM(TblImps[[#This Row],[P5]:[G5]])+OFFSET(TblImps[[#This Row],[Σ Forges]],-1,0)</f>
        <v>0</v>
      </c>
      <c r="AJ128" s="61">
        <f ca="1">(1+Overview!$I$29)*SUM(TblImps[[#This Row],[P6]:[G6]])+OFFSET(TblImps[[#This Row],[Σ Walls]],-1,0)</f>
        <v>0</v>
      </c>
      <c r="AK128" s="61">
        <f ca="1">(1+Overview!$I$29 + tech_7_1*TblTech[[#This Row],[7-1]])*SUM(TblImps[[#This Row],[P7]:[G7]])+OFFSET(TblImps[[#This Row],[Σ Harbor]],-1,0)</f>
        <v>0</v>
      </c>
      <c r="AL128" s="142"/>
      <c r="AM128" s="57">
        <f>IF(AND(TblImps[[#This Row],[Resource]]=AM$2,TblImps[[#This Row],[Part]]&lt;&gt;""),TblImps[[#This Row],[Amount]]) + IF(AND(TblImps[[#This Row],[Resource 2]]=AM$2,TblImps[[#This Row],[Part 2]]&lt;&gt;""),TblImps[[#This Row],[Amount 2]]) + IF(AND(TblImps[[#This Row],[Resource 3]]=AM$2,TblImps[[#This Row],[Part 3]]&lt;&gt;""),TblImps[[#This Row],[Amount 3]])</f>
        <v>0</v>
      </c>
      <c r="AN128" s="57">
        <f>IF(AND(TblImps[[#This Row],[Resource]]=AN$2,TblImps[[#This Row],[Part]]&lt;&gt;""),TblImps[[#This Row],[Amount]]) + IF(AND(TblImps[[#This Row],[Resource 2]]=AN$2,TblImps[[#This Row],[Part 2]]&lt;&gt;""),TblImps[[#This Row],[Amount 2]]) + IF(AND(TblImps[[#This Row],[Resource 3]]=AN$2,TblImps[[#This Row],[Part 3]]&lt;&gt;""),TblImps[[#This Row],[Amount 3]])</f>
        <v>0</v>
      </c>
      <c r="AO128" s="57">
        <f>IF(AND(TblImps[[#This Row],[Resource]]=AO$2,TblImps[[#This Row],[Part]]&lt;&gt;""),TblImps[[#This Row],[Amount]]) + IF(AND(TblImps[[#This Row],[Resource 2]]=AO$2,TblImps[[#This Row],[Part 2]]&lt;&gt;""),TblImps[[#This Row],[Amount 2]]) + IF(AND(TblImps[[#This Row],[Resource 3]]=AO$2,TblImps[[#This Row],[Part 3]]&lt;&gt;""),TblImps[[#This Row],[Amount 3]])</f>
        <v>0</v>
      </c>
      <c r="AP128" s="57">
        <f>IF(AND(TblImps[[#This Row],[Resource]]=AP$2,TblImps[[#This Row],[Part]]&lt;&gt;""),TblImps[[#This Row],[Amount]]) + IF(AND(TblImps[[#This Row],[Resource 2]]=AP$2,TblImps[[#This Row],[Part 2]]&lt;&gt;""),TblImps[[#This Row],[Amount 2]]) + IF(AND(TblImps[[#This Row],[Resource 3]]=AP$2,TblImps[[#This Row],[Part 3]]&lt;&gt;""),TblImps[[#This Row],[Amount 3]])</f>
        <v>0</v>
      </c>
      <c r="AQ128" s="142"/>
      <c r="AR128"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8"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8"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8"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8" s="142"/>
      <c r="AW128"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8"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8"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8"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8" s="142"/>
      <c r="BB128"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8"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8"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8"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8" s="142"/>
      <c r="BG128"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8"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8"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8"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8" s="142"/>
      <c r="BL128"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8"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8"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8"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8" s="142"/>
      <c r="BQ128"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8"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8"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8"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8" s="142"/>
      <c r="BV128"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8" s="61">
        <f>TblImps[[#This Row],[Login]]</f>
        <v>0</v>
      </c>
      <c r="BX128" s="137"/>
      <c r="BY128" s="293">
        <f ca="1">OFFSET(TblImps[[#This Row],[Real time]],-1,0)+1/24</f>
        <v>46052.166666666366</v>
      </c>
      <c r="BZ128" s="294">
        <f ca="1">OFFSET(TblImps[[#This Row],[Servertime]],-1,0)+1/24</f>
        <v>46052.166666666366</v>
      </c>
      <c r="CA128" s="57"/>
      <c r="CB128" s="292"/>
      <c r="CC128" s="292"/>
    </row>
    <row r="129" spans="1:81" x14ac:dyDescent="0.2">
      <c r="A129" s="214">
        <f ca="1">TblConstr[[#This Row],[Land]]</f>
        <v>110</v>
      </c>
      <c r="B129" s="142"/>
      <c r="C129" s="94">
        <f ca="1">TblProd[[#This Row],[Platinum]]</f>
        <v>222861</v>
      </c>
      <c r="D129" s="94">
        <f ca="1">TblProd[[#This Row],[Lumber]]</f>
        <v>75797</v>
      </c>
      <c r="E129" s="94">
        <f ca="1">TblProd[[#This Row],[Ore]]</f>
        <v>0</v>
      </c>
      <c r="F129" s="94">
        <f ca="1">TblProd[[#This Row],[Gems]]</f>
        <v>0</v>
      </c>
      <c r="G129" s="154"/>
      <c r="H129" s="94">
        <f ca="1">TblMili[[#This Row],[Draftees]]</f>
        <v>789</v>
      </c>
      <c r="I129" s="180">
        <f ca="1">TblPop[[#This Row],[Employment]]</f>
        <v>1</v>
      </c>
      <c r="J129" s="180">
        <f ca="1">TblPop[[#This Row],[Total]]/TblPop[[#This Row],[Net max]]</f>
        <v>1</v>
      </c>
      <c r="K129" s="283">
        <f>TblRezone[[#This Row],[Hour]]</f>
        <v>126</v>
      </c>
      <c r="L129" s="284">
        <f ca="1">TblImps[[#This Row],[Real time]]</f>
        <v>46052.20833333303</v>
      </c>
      <c r="M129" s="61">
        <f>IF(ISERROR(TblImps[[#This Row],[algorithm]]),0,TblImps[[#This Row],[algorithm]]*1)</f>
        <v>0</v>
      </c>
      <c r="N129" s="94">
        <f ca="1">TblImps[[#This Row],[Land]]</f>
        <v>110</v>
      </c>
      <c r="O129" s="285" t="s">
        <v>4</v>
      </c>
      <c r="P129" s="286"/>
      <c r="Q129" s="285" t="s">
        <v>210</v>
      </c>
      <c r="R129" s="285" t="s">
        <v>7</v>
      </c>
      <c r="S129" s="286"/>
      <c r="T129" s="285" t="s">
        <v>210</v>
      </c>
      <c r="U129" s="285" t="s">
        <v>3</v>
      </c>
      <c r="V129" s="286"/>
      <c r="W129" s="285" t="s">
        <v>210</v>
      </c>
      <c r="X129" s="142"/>
      <c r="Y129" s="287">
        <f ca="1">science_cap*(1-EXP(-TblImps[[#This Row],[Σ Science]]/(science_param*(OFFSET(TblImps[[#This Row],[Land]],1,0)-OFFSET(TblExplore[[#This Row],[Land Bonus]],1,0)*20)+15000)))*(1+(mason_bonus*TblConstr[[#This Row],[Tot Mas]]/TblConstr[[#This Row],[Land (2)]]))</f>
        <v>0</v>
      </c>
      <c r="Z129" s="287">
        <f ca="1">keep_cap*(1-EXP(-TblImps[[#This Row],[Σ Keep]]/(keep_param*(OFFSET(TblImps[[#This Row],[Land]],1,0)-OFFSET(TblExplore[[#This Row],[Land Bonus]],1,0)*20)+15000)))*(1+(mason_bonus*TblConstr[[#This Row],[Tot Mas]]/TblConstr[[#This Row],[Land (2)]]))</f>
        <v>0</v>
      </c>
      <c r="AA129" s="287">
        <f ca="1">harbor_towers_cap*(1-EXP(-TblImps[[#This Row],[Σ Spires]]/(towers_param*(OFFSET(TblImps[[#This Row],[Land]],1,0)-OFFSET(TblExplore[[#This Row],[Land Bonus]],1,0)*20)+15000)))*(1+(mason_bonus*TblConstr[[#This Row],[Tot Mas]]/TblConstr[[#This Row],[Land (2)]]))</f>
        <v>0</v>
      </c>
      <c r="AB129" s="287">
        <f ca="1">walls_forges_cap*(1-EXP(-TblImps[[#This Row],[Σ Forges]]/(walls_forges_param*(OFFSET(TblImps[[#This Row],[Land]],1,0)-OFFSET(TblExplore[[#This Row],[Land Bonus]],1,0)*20)+15000)))*(1+(mason_bonus*TblConstr[[#This Row],[Tot Mas]]/TblConstr[[#This Row],[Land (2)]]))</f>
        <v>0</v>
      </c>
      <c r="AC129" s="287">
        <f ca="1">walls_forges_cap*(1-EXP(-TblImps[[#This Row],[Σ Walls]]/(walls_forges_param*(OFFSET(TblImps[[#This Row],[Land]],1,0)-OFFSET(TblExplore[[#This Row],[Land Bonus]],1,0)*20)+15000)))*(1+(mason_bonus*TblConstr[[#This Row],[Tot Mas]]/TblConstr[[#This Row],[Land (2)]]))</f>
        <v>0</v>
      </c>
      <c r="AD129" s="287">
        <f ca="1">harbor_towers_cap*(1-EXP(-TblImps[[#This Row],[Σ Harbor]]/(harbor_towers_param*(OFFSET(TblImps[[#This Row],[Land]],1,0)-OFFSET(TblExplore[[#This Row],[Land Bonus]],1,0)*20)+15000)))*(1+(mason_bonus*TblConstr[[#This Row],[Tot Mas]]/TblConstr[[#This Row],[Land (2)]]))</f>
        <v>0</v>
      </c>
      <c r="AE129" s="142"/>
      <c r="AF129" s="61">
        <f ca="1">(1+Overview!$I$29)*SUM(TblImps[[#This Row],[P2]:[G2]])+OFFSET(TblImps[[#This Row],[Σ Science]],-1,0)</f>
        <v>0</v>
      </c>
      <c r="AG129" s="61">
        <f ca="1">(1+Overview!$I$29)*SUM(TblImps[[#This Row],[P3]:[G3]])+OFFSET(TblImps[[#This Row],[Σ Keep]],-1,0)</f>
        <v>0</v>
      </c>
      <c r="AH129" s="61">
        <f ca="1">(1+Overview!$I$29 + tech_7_1*TblTech[[#This Row],[7-1]])*SUM(TblImps[[#This Row],[P4]:[G4]])+OFFSET(TblImps[[#This Row],[Σ Spires]],-1,0)</f>
        <v>0</v>
      </c>
      <c r="AI129" s="61">
        <f ca="1">(1+Overview!$I$29)*SUM(TblImps[[#This Row],[P5]:[G5]])+OFFSET(TblImps[[#This Row],[Σ Forges]],-1,0)</f>
        <v>0</v>
      </c>
      <c r="AJ129" s="61">
        <f ca="1">(1+Overview!$I$29)*SUM(TblImps[[#This Row],[P6]:[G6]])+OFFSET(TblImps[[#This Row],[Σ Walls]],-1,0)</f>
        <v>0</v>
      </c>
      <c r="AK129" s="61">
        <f ca="1">(1+Overview!$I$29 + tech_7_1*TblTech[[#This Row],[7-1]])*SUM(TblImps[[#This Row],[P7]:[G7]])+OFFSET(TblImps[[#This Row],[Σ Harbor]],-1,0)</f>
        <v>0</v>
      </c>
      <c r="AL129" s="142"/>
      <c r="AM129" s="57">
        <f>IF(AND(TblImps[[#This Row],[Resource]]=AM$2,TblImps[[#This Row],[Part]]&lt;&gt;""),TblImps[[#This Row],[Amount]]) + IF(AND(TblImps[[#This Row],[Resource 2]]=AM$2,TblImps[[#This Row],[Part 2]]&lt;&gt;""),TblImps[[#This Row],[Amount 2]]) + IF(AND(TblImps[[#This Row],[Resource 3]]=AM$2,TblImps[[#This Row],[Part 3]]&lt;&gt;""),TblImps[[#This Row],[Amount 3]])</f>
        <v>0</v>
      </c>
      <c r="AN129" s="57">
        <f>IF(AND(TblImps[[#This Row],[Resource]]=AN$2,TblImps[[#This Row],[Part]]&lt;&gt;""),TblImps[[#This Row],[Amount]]) + IF(AND(TblImps[[#This Row],[Resource 2]]=AN$2,TblImps[[#This Row],[Part 2]]&lt;&gt;""),TblImps[[#This Row],[Amount 2]]) + IF(AND(TblImps[[#This Row],[Resource 3]]=AN$2,TblImps[[#This Row],[Part 3]]&lt;&gt;""),TblImps[[#This Row],[Amount 3]])</f>
        <v>0</v>
      </c>
      <c r="AO129" s="57">
        <f>IF(AND(TblImps[[#This Row],[Resource]]=AO$2,TblImps[[#This Row],[Part]]&lt;&gt;""),TblImps[[#This Row],[Amount]]) + IF(AND(TblImps[[#This Row],[Resource 2]]=AO$2,TblImps[[#This Row],[Part 2]]&lt;&gt;""),TblImps[[#This Row],[Amount 2]]) + IF(AND(TblImps[[#This Row],[Resource 3]]=AO$2,TblImps[[#This Row],[Part 3]]&lt;&gt;""),TblImps[[#This Row],[Amount 3]])</f>
        <v>0</v>
      </c>
      <c r="AP129" s="57">
        <f>IF(AND(TblImps[[#This Row],[Resource]]=AP$2,TblImps[[#This Row],[Part]]&lt;&gt;""),TblImps[[#This Row],[Amount]]) + IF(AND(TblImps[[#This Row],[Resource 2]]=AP$2,TblImps[[#This Row],[Part 2]]&lt;&gt;""),TblImps[[#This Row],[Amount 2]]) + IF(AND(TblImps[[#This Row],[Resource 3]]=AP$2,TblImps[[#This Row],[Part 3]]&lt;&gt;""),TblImps[[#This Row],[Amount 3]])</f>
        <v>0</v>
      </c>
      <c r="AQ129" s="142"/>
      <c r="AR129"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29"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29"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29"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29" s="142"/>
      <c r="AW129"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29"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29"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29"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29" s="142"/>
      <c r="BB129"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29"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29"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29"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29" s="142"/>
      <c r="BG129"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29"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29"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29"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29" s="142"/>
      <c r="BL129"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29"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29"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29"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29" s="142"/>
      <c r="BQ129"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29"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29"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29"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29" s="142"/>
      <c r="BV129"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29" s="61">
        <f>TblImps[[#This Row],[Login]]</f>
        <v>0</v>
      </c>
      <c r="BX129" s="137"/>
      <c r="BY129" s="293">
        <f ca="1">OFFSET(TblImps[[#This Row],[Real time]],-1,0)+1/24</f>
        <v>46052.20833333303</v>
      </c>
      <c r="BZ129" s="294">
        <f ca="1">OFFSET(TblImps[[#This Row],[Servertime]],-1,0)+1/24</f>
        <v>46052.20833333303</v>
      </c>
      <c r="CA129" s="57"/>
      <c r="CB129" s="292"/>
      <c r="CC129" s="292"/>
    </row>
    <row r="130" spans="1:81" x14ac:dyDescent="0.2">
      <c r="A130" s="214">
        <f ca="1">TblConstr[[#This Row],[Land]]</f>
        <v>110</v>
      </c>
      <c r="B130" s="142"/>
      <c r="C130" s="94">
        <f ca="1">TblProd[[#This Row],[Platinum]]</f>
        <v>223635</v>
      </c>
      <c r="D130" s="94">
        <f ca="1">TblProd[[#This Row],[Lumber]]</f>
        <v>76039</v>
      </c>
      <c r="E130" s="94">
        <f ca="1">TblProd[[#This Row],[Ore]]</f>
        <v>0</v>
      </c>
      <c r="F130" s="94">
        <f ca="1">TblProd[[#This Row],[Gems]]</f>
        <v>0</v>
      </c>
      <c r="G130" s="154"/>
      <c r="H130" s="94">
        <f ca="1">TblMili[[#This Row],[Draftees]]</f>
        <v>792</v>
      </c>
      <c r="I130" s="180">
        <f ca="1">TblPop[[#This Row],[Employment]]</f>
        <v>1</v>
      </c>
      <c r="J130" s="180">
        <f ca="1">TblPop[[#This Row],[Total]]/TblPop[[#This Row],[Net max]]</f>
        <v>1</v>
      </c>
      <c r="K130" s="283">
        <f>TblRezone[[#This Row],[Hour]]</f>
        <v>127</v>
      </c>
      <c r="L130" s="284">
        <f ca="1">TblImps[[#This Row],[Real time]]</f>
        <v>46052.249999999694</v>
      </c>
      <c r="M130" s="61">
        <f>IF(ISERROR(TblImps[[#This Row],[algorithm]]),0,TblImps[[#This Row],[algorithm]]*1)</f>
        <v>0</v>
      </c>
      <c r="N130" s="94">
        <f ca="1">TblImps[[#This Row],[Land]]</f>
        <v>110</v>
      </c>
      <c r="O130" s="285" t="s">
        <v>4</v>
      </c>
      <c r="P130" s="286"/>
      <c r="Q130" s="285" t="s">
        <v>210</v>
      </c>
      <c r="R130" s="285" t="s">
        <v>7</v>
      </c>
      <c r="S130" s="286"/>
      <c r="T130" s="285" t="s">
        <v>210</v>
      </c>
      <c r="U130" s="285" t="s">
        <v>3</v>
      </c>
      <c r="V130" s="286"/>
      <c r="W130" s="285" t="s">
        <v>210</v>
      </c>
      <c r="X130" s="142"/>
      <c r="Y130" s="287">
        <f ca="1">science_cap*(1-EXP(-TblImps[[#This Row],[Σ Science]]/(science_param*(OFFSET(TblImps[[#This Row],[Land]],1,0)-OFFSET(TblExplore[[#This Row],[Land Bonus]],1,0)*20)+15000)))*(1+(mason_bonus*TblConstr[[#This Row],[Tot Mas]]/TblConstr[[#This Row],[Land (2)]]))</f>
        <v>0</v>
      </c>
      <c r="Z130" s="287">
        <f ca="1">keep_cap*(1-EXP(-TblImps[[#This Row],[Σ Keep]]/(keep_param*(OFFSET(TblImps[[#This Row],[Land]],1,0)-OFFSET(TblExplore[[#This Row],[Land Bonus]],1,0)*20)+15000)))*(1+(mason_bonus*TblConstr[[#This Row],[Tot Mas]]/TblConstr[[#This Row],[Land (2)]]))</f>
        <v>0</v>
      </c>
      <c r="AA130" s="287">
        <f ca="1">harbor_towers_cap*(1-EXP(-TblImps[[#This Row],[Σ Spires]]/(towers_param*(OFFSET(TblImps[[#This Row],[Land]],1,0)-OFFSET(TblExplore[[#This Row],[Land Bonus]],1,0)*20)+15000)))*(1+(mason_bonus*TblConstr[[#This Row],[Tot Mas]]/TblConstr[[#This Row],[Land (2)]]))</f>
        <v>0</v>
      </c>
      <c r="AB130" s="287">
        <f ca="1">walls_forges_cap*(1-EXP(-TblImps[[#This Row],[Σ Forges]]/(walls_forges_param*(OFFSET(TblImps[[#This Row],[Land]],1,0)-OFFSET(TblExplore[[#This Row],[Land Bonus]],1,0)*20)+15000)))*(1+(mason_bonus*TblConstr[[#This Row],[Tot Mas]]/TblConstr[[#This Row],[Land (2)]]))</f>
        <v>0</v>
      </c>
      <c r="AC130" s="287">
        <f ca="1">walls_forges_cap*(1-EXP(-TblImps[[#This Row],[Σ Walls]]/(walls_forges_param*(OFFSET(TblImps[[#This Row],[Land]],1,0)-OFFSET(TblExplore[[#This Row],[Land Bonus]],1,0)*20)+15000)))*(1+(mason_bonus*TblConstr[[#This Row],[Tot Mas]]/TblConstr[[#This Row],[Land (2)]]))</f>
        <v>0</v>
      </c>
      <c r="AD130" s="287">
        <f ca="1">harbor_towers_cap*(1-EXP(-TblImps[[#This Row],[Σ Harbor]]/(harbor_towers_param*(OFFSET(TblImps[[#This Row],[Land]],1,0)-OFFSET(TblExplore[[#This Row],[Land Bonus]],1,0)*20)+15000)))*(1+(mason_bonus*TblConstr[[#This Row],[Tot Mas]]/TblConstr[[#This Row],[Land (2)]]))</f>
        <v>0</v>
      </c>
      <c r="AE130" s="142"/>
      <c r="AF130" s="61">
        <f ca="1">(1+Overview!$I$29)*SUM(TblImps[[#This Row],[P2]:[G2]])+OFFSET(TblImps[[#This Row],[Σ Science]],-1,0)</f>
        <v>0</v>
      </c>
      <c r="AG130" s="61">
        <f ca="1">(1+Overview!$I$29)*SUM(TblImps[[#This Row],[P3]:[G3]])+OFFSET(TblImps[[#This Row],[Σ Keep]],-1,0)</f>
        <v>0</v>
      </c>
      <c r="AH130" s="61">
        <f ca="1">(1+Overview!$I$29 + tech_7_1*TblTech[[#This Row],[7-1]])*SUM(TblImps[[#This Row],[P4]:[G4]])+OFFSET(TblImps[[#This Row],[Σ Spires]],-1,0)</f>
        <v>0</v>
      </c>
      <c r="AI130" s="61">
        <f ca="1">(1+Overview!$I$29)*SUM(TblImps[[#This Row],[P5]:[G5]])+OFFSET(TblImps[[#This Row],[Σ Forges]],-1,0)</f>
        <v>0</v>
      </c>
      <c r="AJ130" s="61">
        <f ca="1">(1+Overview!$I$29)*SUM(TblImps[[#This Row],[P6]:[G6]])+OFFSET(TblImps[[#This Row],[Σ Walls]],-1,0)</f>
        <v>0</v>
      </c>
      <c r="AK130" s="61">
        <f ca="1">(1+Overview!$I$29 + tech_7_1*TblTech[[#This Row],[7-1]])*SUM(TblImps[[#This Row],[P7]:[G7]])+OFFSET(TblImps[[#This Row],[Σ Harbor]],-1,0)</f>
        <v>0</v>
      </c>
      <c r="AL130" s="142"/>
      <c r="AM130" s="57">
        <f>IF(AND(TblImps[[#This Row],[Resource]]=AM$2,TblImps[[#This Row],[Part]]&lt;&gt;""),TblImps[[#This Row],[Amount]]) + IF(AND(TblImps[[#This Row],[Resource 2]]=AM$2,TblImps[[#This Row],[Part 2]]&lt;&gt;""),TblImps[[#This Row],[Amount 2]]) + IF(AND(TblImps[[#This Row],[Resource 3]]=AM$2,TblImps[[#This Row],[Part 3]]&lt;&gt;""),TblImps[[#This Row],[Amount 3]])</f>
        <v>0</v>
      </c>
      <c r="AN130" s="57">
        <f>IF(AND(TblImps[[#This Row],[Resource]]=AN$2,TblImps[[#This Row],[Part]]&lt;&gt;""),TblImps[[#This Row],[Amount]]) + IF(AND(TblImps[[#This Row],[Resource 2]]=AN$2,TblImps[[#This Row],[Part 2]]&lt;&gt;""),TblImps[[#This Row],[Amount 2]]) + IF(AND(TblImps[[#This Row],[Resource 3]]=AN$2,TblImps[[#This Row],[Part 3]]&lt;&gt;""),TblImps[[#This Row],[Amount 3]])</f>
        <v>0</v>
      </c>
      <c r="AO130" s="57">
        <f>IF(AND(TblImps[[#This Row],[Resource]]=AO$2,TblImps[[#This Row],[Part]]&lt;&gt;""),TblImps[[#This Row],[Amount]]) + IF(AND(TblImps[[#This Row],[Resource 2]]=AO$2,TblImps[[#This Row],[Part 2]]&lt;&gt;""),TblImps[[#This Row],[Amount 2]]) + IF(AND(TblImps[[#This Row],[Resource 3]]=AO$2,TblImps[[#This Row],[Part 3]]&lt;&gt;""),TblImps[[#This Row],[Amount 3]])</f>
        <v>0</v>
      </c>
      <c r="AP130" s="57">
        <f>IF(AND(TblImps[[#This Row],[Resource]]=AP$2,TblImps[[#This Row],[Part]]&lt;&gt;""),TblImps[[#This Row],[Amount]]) + IF(AND(TblImps[[#This Row],[Resource 2]]=AP$2,TblImps[[#This Row],[Part 2]]&lt;&gt;""),TblImps[[#This Row],[Amount 2]]) + IF(AND(TblImps[[#This Row],[Resource 3]]=AP$2,TblImps[[#This Row],[Part 3]]&lt;&gt;""),TblImps[[#This Row],[Amount 3]])</f>
        <v>0</v>
      </c>
      <c r="AQ130" s="142"/>
      <c r="AR130"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0"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0"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0"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0" s="142"/>
      <c r="AW130"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0"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0"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0"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0" s="142"/>
      <c r="BB130"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0"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0"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0"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0" s="142"/>
      <c r="BG130"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0"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0"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0"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0" s="142"/>
      <c r="BL130"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0"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0"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0"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0" s="142"/>
      <c r="BQ130"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0"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0"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0"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0" s="142"/>
      <c r="BV130"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0" s="61">
        <f>TblImps[[#This Row],[Login]]</f>
        <v>0</v>
      </c>
      <c r="BX130" s="137"/>
      <c r="BY130" s="293">
        <f ca="1">OFFSET(TblImps[[#This Row],[Real time]],-1,0)+1/24</f>
        <v>46052.249999999694</v>
      </c>
      <c r="BZ130" s="294">
        <f ca="1">OFFSET(TblImps[[#This Row],[Servertime]],-1,0)+1/24</f>
        <v>46052.249999999694</v>
      </c>
      <c r="CA130" s="57"/>
      <c r="CB130" s="292"/>
      <c r="CC130" s="292"/>
    </row>
    <row r="131" spans="1:81" x14ac:dyDescent="0.2">
      <c r="A131" s="214">
        <f ca="1">TblConstr[[#This Row],[Land]]</f>
        <v>110</v>
      </c>
      <c r="B131" s="142"/>
      <c r="C131" s="94">
        <f ca="1">TblProd[[#This Row],[Platinum]]</f>
        <v>224401</v>
      </c>
      <c r="D131" s="94">
        <f ca="1">TblProd[[#This Row],[Lumber]]</f>
        <v>76279</v>
      </c>
      <c r="E131" s="94">
        <f ca="1">TblProd[[#This Row],[Ore]]</f>
        <v>0</v>
      </c>
      <c r="F131" s="94">
        <f ca="1">TblProd[[#This Row],[Gems]]</f>
        <v>0</v>
      </c>
      <c r="G131" s="154"/>
      <c r="H131" s="94">
        <f ca="1">TblMili[[#This Row],[Draftees]]</f>
        <v>795</v>
      </c>
      <c r="I131" s="180">
        <f ca="1">TblPop[[#This Row],[Employment]]</f>
        <v>1</v>
      </c>
      <c r="J131" s="180">
        <f ca="1">TblPop[[#This Row],[Total]]/TblPop[[#This Row],[Net max]]</f>
        <v>1</v>
      </c>
      <c r="K131" s="283">
        <f>TblRezone[[#This Row],[Hour]]</f>
        <v>128</v>
      </c>
      <c r="L131" s="284">
        <f ca="1">TblImps[[#This Row],[Real time]]</f>
        <v>46052.291666666359</v>
      </c>
      <c r="M131" s="61">
        <f>IF(ISERROR(TblImps[[#This Row],[algorithm]]),0,TblImps[[#This Row],[algorithm]]*1)</f>
        <v>0</v>
      </c>
      <c r="N131" s="94">
        <f ca="1">TblImps[[#This Row],[Land]]</f>
        <v>110</v>
      </c>
      <c r="O131" s="285" t="s">
        <v>4</v>
      </c>
      <c r="P131" s="286"/>
      <c r="Q131" s="285" t="s">
        <v>210</v>
      </c>
      <c r="R131" s="285" t="s">
        <v>7</v>
      </c>
      <c r="S131" s="286"/>
      <c r="T131" s="285" t="s">
        <v>210</v>
      </c>
      <c r="U131" s="285" t="s">
        <v>3</v>
      </c>
      <c r="V131" s="286"/>
      <c r="W131" s="285" t="s">
        <v>210</v>
      </c>
      <c r="X131" s="142"/>
      <c r="Y131" s="287">
        <f ca="1">science_cap*(1-EXP(-TblImps[[#This Row],[Σ Science]]/(science_param*(OFFSET(TblImps[[#This Row],[Land]],1,0)-OFFSET(TblExplore[[#This Row],[Land Bonus]],1,0)*20)+15000)))*(1+(mason_bonus*TblConstr[[#This Row],[Tot Mas]]/TblConstr[[#This Row],[Land (2)]]))</f>
        <v>0</v>
      </c>
      <c r="Z131" s="287">
        <f ca="1">keep_cap*(1-EXP(-TblImps[[#This Row],[Σ Keep]]/(keep_param*(OFFSET(TblImps[[#This Row],[Land]],1,0)-OFFSET(TblExplore[[#This Row],[Land Bonus]],1,0)*20)+15000)))*(1+(mason_bonus*TblConstr[[#This Row],[Tot Mas]]/TblConstr[[#This Row],[Land (2)]]))</f>
        <v>0</v>
      </c>
      <c r="AA131" s="287">
        <f ca="1">harbor_towers_cap*(1-EXP(-TblImps[[#This Row],[Σ Spires]]/(towers_param*(OFFSET(TblImps[[#This Row],[Land]],1,0)-OFFSET(TblExplore[[#This Row],[Land Bonus]],1,0)*20)+15000)))*(1+(mason_bonus*TblConstr[[#This Row],[Tot Mas]]/TblConstr[[#This Row],[Land (2)]]))</f>
        <v>0</v>
      </c>
      <c r="AB131" s="287">
        <f ca="1">walls_forges_cap*(1-EXP(-TblImps[[#This Row],[Σ Forges]]/(walls_forges_param*(OFFSET(TblImps[[#This Row],[Land]],1,0)-OFFSET(TblExplore[[#This Row],[Land Bonus]],1,0)*20)+15000)))*(1+(mason_bonus*TblConstr[[#This Row],[Tot Mas]]/TblConstr[[#This Row],[Land (2)]]))</f>
        <v>0</v>
      </c>
      <c r="AC131" s="287">
        <f ca="1">walls_forges_cap*(1-EXP(-TblImps[[#This Row],[Σ Walls]]/(walls_forges_param*(OFFSET(TblImps[[#This Row],[Land]],1,0)-OFFSET(TblExplore[[#This Row],[Land Bonus]],1,0)*20)+15000)))*(1+(mason_bonus*TblConstr[[#This Row],[Tot Mas]]/TblConstr[[#This Row],[Land (2)]]))</f>
        <v>0</v>
      </c>
      <c r="AD131" s="287">
        <f ca="1">harbor_towers_cap*(1-EXP(-TblImps[[#This Row],[Σ Harbor]]/(harbor_towers_param*(OFFSET(TblImps[[#This Row],[Land]],1,0)-OFFSET(TblExplore[[#This Row],[Land Bonus]],1,0)*20)+15000)))*(1+(mason_bonus*TblConstr[[#This Row],[Tot Mas]]/TblConstr[[#This Row],[Land (2)]]))</f>
        <v>0</v>
      </c>
      <c r="AE131" s="142"/>
      <c r="AF131" s="61">
        <f ca="1">(1+Overview!$I$29)*SUM(TblImps[[#This Row],[P2]:[G2]])+OFFSET(TblImps[[#This Row],[Σ Science]],-1,0)</f>
        <v>0</v>
      </c>
      <c r="AG131" s="61">
        <f ca="1">(1+Overview!$I$29)*SUM(TblImps[[#This Row],[P3]:[G3]])+OFFSET(TblImps[[#This Row],[Σ Keep]],-1,0)</f>
        <v>0</v>
      </c>
      <c r="AH131" s="61">
        <f ca="1">(1+Overview!$I$29 + tech_7_1*TblTech[[#This Row],[7-1]])*SUM(TblImps[[#This Row],[P4]:[G4]])+OFFSET(TblImps[[#This Row],[Σ Spires]],-1,0)</f>
        <v>0</v>
      </c>
      <c r="AI131" s="61">
        <f ca="1">(1+Overview!$I$29)*SUM(TblImps[[#This Row],[P5]:[G5]])+OFFSET(TblImps[[#This Row],[Σ Forges]],-1,0)</f>
        <v>0</v>
      </c>
      <c r="AJ131" s="61">
        <f ca="1">(1+Overview!$I$29)*SUM(TblImps[[#This Row],[P6]:[G6]])+OFFSET(TblImps[[#This Row],[Σ Walls]],-1,0)</f>
        <v>0</v>
      </c>
      <c r="AK131" s="61">
        <f ca="1">(1+Overview!$I$29 + tech_7_1*TblTech[[#This Row],[7-1]])*SUM(TblImps[[#This Row],[P7]:[G7]])+OFFSET(TblImps[[#This Row],[Σ Harbor]],-1,0)</f>
        <v>0</v>
      </c>
      <c r="AL131" s="142"/>
      <c r="AM131" s="57">
        <f>IF(AND(TblImps[[#This Row],[Resource]]=AM$2,TblImps[[#This Row],[Part]]&lt;&gt;""),TblImps[[#This Row],[Amount]]) + IF(AND(TblImps[[#This Row],[Resource 2]]=AM$2,TblImps[[#This Row],[Part 2]]&lt;&gt;""),TblImps[[#This Row],[Amount 2]]) + IF(AND(TblImps[[#This Row],[Resource 3]]=AM$2,TblImps[[#This Row],[Part 3]]&lt;&gt;""),TblImps[[#This Row],[Amount 3]])</f>
        <v>0</v>
      </c>
      <c r="AN131" s="57">
        <f>IF(AND(TblImps[[#This Row],[Resource]]=AN$2,TblImps[[#This Row],[Part]]&lt;&gt;""),TblImps[[#This Row],[Amount]]) + IF(AND(TblImps[[#This Row],[Resource 2]]=AN$2,TblImps[[#This Row],[Part 2]]&lt;&gt;""),TblImps[[#This Row],[Amount 2]]) + IF(AND(TblImps[[#This Row],[Resource 3]]=AN$2,TblImps[[#This Row],[Part 3]]&lt;&gt;""),TblImps[[#This Row],[Amount 3]])</f>
        <v>0</v>
      </c>
      <c r="AO131" s="57">
        <f>IF(AND(TblImps[[#This Row],[Resource]]=AO$2,TblImps[[#This Row],[Part]]&lt;&gt;""),TblImps[[#This Row],[Amount]]) + IF(AND(TblImps[[#This Row],[Resource 2]]=AO$2,TblImps[[#This Row],[Part 2]]&lt;&gt;""),TblImps[[#This Row],[Amount 2]]) + IF(AND(TblImps[[#This Row],[Resource 3]]=AO$2,TblImps[[#This Row],[Part 3]]&lt;&gt;""),TblImps[[#This Row],[Amount 3]])</f>
        <v>0</v>
      </c>
      <c r="AP131" s="57">
        <f>IF(AND(TblImps[[#This Row],[Resource]]=AP$2,TblImps[[#This Row],[Part]]&lt;&gt;""),TblImps[[#This Row],[Amount]]) + IF(AND(TblImps[[#This Row],[Resource 2]]=AP$2,TblImps[[#This Row],[Part 2]]&lt;&gt;""),TblImps[[#This Row],[Amount 2]]) + IF(AND(TblImps[[#This Row],[Resource 3]]=AP$2,TblImps[[#This Row],[Part 3]]&lt;&gt;""),TblImps[[#This Row],[Amount 3]])</f>
        <v>0</v>
      </c>
      <c r="AQ131" s="142"/>
      <c r="AR131"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1"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1"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1"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1" s="142"/>
      <c r="AW131"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1"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1"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1"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1" s="142"/>
      <c r="BB131"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1"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1"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1"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1" s="142"/>
      <c r="BG131"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1"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1"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1"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1" s="142"/>
      <c r="BL131"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1"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1"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1"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1" s="142"/>
      <c r="BQ131"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1"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1"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1"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1" s="142"/>
      <c r="BV131"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1" s="61">
        <f>TblImps[[#This Row],[Login]]</f>
        <v>0</v>
      </c>
      <c r="BX131" s="137"/>
      <c r="BY131" s="293">
        <f ca="1">OFFSET(TblImps[[#This Row],[Real time]],-1,0)+1/24</f>
        <v>46052.291666666359</v>
      </c>
      <c r="BZ131" s="294">
        <f ca="1">OFFSET(TblImps[[#This Row],[Servertime]],-1,0)+1/24</f>
        <v>46052.291666666359</v>
      </c>
      <c r="CA131" s="57"/>
      <c r="CB131" s="292"/>
      <c r="CC131" s="292"/>
    </row>
    <row r="132" spans="1:81" x14ac:dyDescent="0.2">
      <c r="A132" s="214">
        <f ca="1">TblConstr[[#This Row],[Land]]</f>
        <v>110</v>
      </c>
      <c r="B132" s="142"/>
      <c r="C132" s="94">
        <f ca="1">TblProd[[#This Row],[Platinum]]</f>
        <v>225159</v>
      </c>
      <c r="D132" s="94">
        <f ca="1">TblProd[[#This Row],[Lumber]]</f>
        <v>76516</v>
      </c>
      <c r="E132" s="94">
        <f ca="1">TblProd[[#This Row],[Ore]]</f>
        <v>0</v>
      </c>
      <c r="F132" s="94">
        <f ca="1">TblProd[[#This Row],[Gems]]</f>
        <v>0</v>
      </c>
      <c r="G132" s="154"/>
      <c r="H132" s="94">
        <f ca="1">TblMili[[#This Row],[Draftees]]</f>
        <v>798</v>
      </c>
      <c r="I132" s="180">
        <f ca="1">TblPop[[#This Row],[Employment]]</f>
        <v>1</v>
      </c>
      <c r="J132" s="180">
        <f ca="1">TblPop[[#This Row],[Total]]/TblPop[[#This Row],[Net max]]</f>
        <v>1</v>
      </c>
      <c r="K132" s="283">
        <f>TblRezone[[#This Row],[Hour]]</f>
        <v>129</v>
      </c>
      <c r="L132" s="284">
        <f ca="1">TblImps[[#This Row],[Real time]]</f>
        <v>46052.333333333023</v>
      </c>
      <c r="M132" s="61">
        <f>IF(ISERROR(TblImps[[#This Row],[algorithm]]),0,TblImps[[#This Row],[algorithm]]*1)</f>
        <v>0</v>
      </c>
      <c r="N132" s="94">
        <f ca="1">TblImps[[#This Row],[Land]]</f>
        <v>110</v>
      </c>
      <c r="O132" s="285" t="s">
        <v>4</v>
      </c>
      <c r="P132" s="286"/>
      <c r="Q132" s="285" t="s">
        <v>210</v>
      </c>
      <c r="R132" s="285" t="s">
        <v>7</v>
      </c>
      <c r="S132" s="286"/>
      <c r="T132" s="285" t="s">
        <v>210</v>
      </c>
      <c r="U132" s="285" t="s">
        <v>3</v>
      </c>
      <c r="V132" s="286"/>
      <c r="W132" s="285" t="s">
        <v>210</v>
      </c>
      <c r="X132" s="142"/>
      <c r="Y132" s="287">
        <f ca="1">science_cap*(1-EXP(-TblImps[[#This Row],[Σ Science]]/(science_param*(OFFSET(TblImps[[#This Row],[Land]],1,0)-OFFSET(TblExplore[[#This Row],[Land Bonus]],1,0)*20)+15000)))*(1+(mason_bonus*TblConstr[[#This Row],[Tot Mas]]/TblConstr[[#This Row],[Land (2)]]))</f>
        <v>0</v>
      </c>
      <c r="Z132" s="287">
        <f ca="1">keep_cap*(1-EXP(-TblImps[[#This Row],[Σ Keep]]/(keep_param*(OFFSET(TblImps[[#This Row],[Land]],1,0)-OFFSET(TblExplore[[#This Row],[Land Bonus]],1,0)*20)+15000)))*(1+(mason_bonus*TblConstr[[#This Row],[Tot Mas]]/TblConstr[[#This Row],[Land (2)]]))</f>
        <v>0</v>
      </c>
      <c r="AA132" s="287">
        <f ca="1">harbor_towers_cap*(1-EXP(-TblImps[[#This Row],[Σ Spires]]/(towers_param*(OFFSET(TblImps[[#This Row],[Land]],1,0)-OFFSET(TblExplore[[#This Row],[Land Bonus]],1,0)*20)+15000)))*(1+(mason_bonus*TblConstr[[#This Row],[Tot Mas]]/TblConstr[[#This Row],[Land (2)]]))</f>
        <v>0</v>
      </c>
      <c r="AB132" s="287">
        <f ca="1">walls_forges_cap*(1-EXP(-TblImps[[#This Row],[Σ Forges]]/(walls_forges_param*(OFFSET(TblImps[[#This Row],[Land]],1,0)-OFFSET(TblExplore[[#This Row],[Land Bonus]],1,0)*20)+15000)))*(1+(mason_bonus*TblConstr[[#This Row],[Tot Mas]]/TblConstr[[#This Row],[Land (2)]]))</f>
        <v>0</v>
      </c>
      <c r="AC132" s="287">
        <f ca="1">walls_forges_cap*(1-EXP(-TblImps[[#This Row],[Σ Walls]]/(walls_forges_param*(OFFSET(TblImps[[#This Row],[Land]],1,0)-OFFSET(TblExplore[[#This Row],[Land Bonus]],1,0)*20)+15000)))*(1+(mason_bonus*TblConstr[[#This Row],[Tot Mas]]/TblConstr[[#This Row],[Land (2)]]))</f>
        <v>0</v>
      </c>
      <c r="AD132" s="287">
        <f ca="1">harbor_towers_cap*(1-EXP(-TblImps[[#This Row],[Σ Harbor]]/(harbor_towers_param*(OFFSET(TblImps[[#This Row],[Land]],1,0)-OFFSET(TblExplore[[#This Row],[Land Bonus]],1,0)*20)+15000)))*(1+(mason_bonus*TblConstr[[#This Row],[Tot Mas]]/TblConstr[[#This Row],[Land (2)]]))</f>
        <v>0</v>
      </c>
      <c r="AE132" s="142"/>
      <c r="AF132" s="61">
        <f ca="1">(1+Overview!$I$29)*SUM(TblImps[[#This Row],[P2]:[G2]])+OFFSET(TblImps[[#This Row],[Σ Science]],-1,0)</f>
        <v>0</v>
      </c>
      <c r="AG132" s="61">
        <f ca="1">(1+Overview!$I$29)*SUM(TblImps[[#This Row],[P3]:[G3]])+OFFSET(TblImps[[#This Row],[Σ Keep]],-1,0)</f>
        <v>0</v>
      </c>
      <c r="AH132" s="61">
        <f ca="1">(1+Overview!$I$29 + tech_7_1*TblTech[[#This Row],[7-1]])*SUM(TblImps[[#This Row],[P4]:[G4]])+OFFSET(TblImps[[#This Row],[Σ Spires]],-1,0)</f>
        <v>0</v>
      </c>
      <c r="AI132" s="61">
        <f ca="1">(1+Overview!$I$29)*SUM(TblImps[[#This Row],[P5]:[G5]])+OFFSET(TblImps[[#This Row],[Σ Forges]],-1,0)</f>
        <v>0</v>
      </c>
      <c r="AJ132" s="61">
        <f ca="1">(1+Overview!$I$29)*SUM(TblImps[[#This Row],[P6]:[G6]])+OFFSET(TblImps[[#This Row],[Σ Walls]],-1,0)</f>
        <v>0</v>
      </c>
      <c r="AK132" s="61">
        <f ca="1">(1+Overview!$I$29 + tech_7_1*TblTech[[#This Row],[7-1]])*SUM(TblImps[[#This Row],[P7]:[G7]])+OFFSET(TblImps[[#This Row],[Σ Harbor]],-1,0)</f>
        <v>0</v>
      </c>
      <c r="AL132" s="142"/>
      <c r="AM132" s="57">
        <f>IF(AND(TblImps[[#This Row],[Resource]]=AM$2,TblImps[[#This Row],[Part]]&lt;&gt;""),TblImps[[#This Row],[Amount]]) + IF(AND(TblImps[[#This Row],[Resource 2]]=AM$2,TblImps[[#This Row],[Part 2]]&lt;&gt;""),TblImps[[#This Row],[Amount 2]]) + IF(AND(TblImps[[#This Row],[Resource 3]]=AM$2,TblImps[[#This Row],[Part 3]]&lt;&gt;""),TblImps[[#This Row],[Amount 3]])</f>
        <v>0</v>
      </c>
      <c r="AN132" s="57">
        <f>IF(AND(TblImps[[#This Row],[Resource]]=AN$2,TblImps[[#This Row],[Part]]&lt;&gt;""),TblImps[[#This Row],[Amount]]) + IF(AND(TblImps[[#This Row],[Resource 2]]=AN$2,TblImps[[#This Row],[Part 2]]&lt;&gt;""),TblImps[[#This Row],[Amount 2]]) + IF(AND(TblImps[[#This Row],[Resource 3]]=AN$2,TblImps[[#This Row],[Part 3]]&lt;&gt;""),TblImps[[#This Row],[Amount 3]])</f>
        <v>0</v>
      </c>
      <c r="AO132" s="57">
        <f>IF(AND(TblImps[[#This Row],[Resource]]=AO$2,TblImps[[#This Row],[Part]]&lt;&gt;""),TblImps[[#This Row],[Amount]]) + IF(AND(TblImps[[#This Row],[Resource 2]]=AO$2,TblImps[[#This Row],[Part 2]]&lt;&gt;""),TblImps[[#This Row],[Amount 2]]) + IF(AND(TblImps[[#This Row],[Resource 3]]=AO$2,TblImps[[#This Row],[Part 3]]&lt;&gt;""),TblImps[[#This Row],[Amount 3]])</f>
        <v>0</v>
      </c>
      <c r="AP132" s="57">
        <f>IF(AND(TblImps[[#This Row],[Resource]]=AP$2,TblImps[[#This Row],[Part]]&lt;&gt;""),TblImps[[#This Row],[Amount]]) + IF(AND(TblImps[[#This Row],[Resource 2]]=AP$2,TblImps[[#This Row],[Part 2]]&lt;&gt;""),TblImps[[#This Row],[Amount 2]]) + IF(AND(TblImps[[#This Row],[Resource 3]]=AP$2,TblImps[[#This Row],[Part 3]]&lt;&gt;""),TblImps[[#This Row],[Amount 3]])</f>
        <v>0</v>
      </c>
      <c r="AQ132" s="142"/>
      <c r="AR132"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2"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2"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2"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2" s="142"/>
      <c r="AW132"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2"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2"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2"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2" s="142"/>
      <c r="BB132"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2"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2"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2"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2" s="142"/>
      <c r="BG132"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2"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2"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2"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2" s="142"/>
      <c r="BL132"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2"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2"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2"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2" s="142"/>
      <c r="BQ132"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2"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2"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2"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2" s="142"/>
      <c r="BV132"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2" s="61">
        <f>TblImps[[#This Row],[Login]]</f>
        <v>0</v>
      </c>
      <c r="BX132" s="137"/>
      <c r="BY132" s="293">
        <f ca="1">OFFSET(TblImps[[#This Row],[Real time]],-1,0)+1/24</f>
        <v>46052.333333333023</v>
      </c>
      <c r="BZ132" s="294">
        <f ca="1">OFFSET(TblImps[[#This Row],[Servertime]],-1,0)+1/24</f>
        <v>46052.333333333023</v>
      </c>
      <c r="CA132" s="57"/>
      <c r="CB132" s="292"/>
      <c r="CC132" s="292"/>
    </row>
    <row r="133" spans="1:81" x14ac:dyDescent="0.2">
      <c r="A133" s="214">
        <f ca="1">TblConstr[[#This Row],[Land]]</f>
        <v>110</v>
      </c>
      <c r="B133" s="142"/>
      <c r="C133" s="94">
        <f ca="1">TblProd[[#This Row],[Platinum]]</f>
        <v>225909</v>
      </c>
      <c r="D133" s="94">
        <f ca="1">TblProd[[#This Row],[Lumber]]</f>
        <v>76751</v>
      </c>
      <c r="E133" s="94">
        <f ca="1">TblProd[[#This Row],[Ore]]</f>
        <v>0</v>
      </c>
      <c r="F133" s="94">
        <f ca="1">TblProd[[#This Row],[Gems]]</f>
        <v>0</v>
      </c>
      <c r="G133" s="154"/>
      <c r="H133" s="94">
        <f ca="1">TblMili[[#This Row],[Draftees]]</f>
        <v>801</v>
      </c>
      <c r="I133" s="180">
        <f ca="1">TblPop[[#This Row],[Employment]]</f>
        <v>1</v>
      </c>
      <c r="J133" s="180">
        <f ca="1">TblPop[[#This Row],[Total]]/TblPop[[#This Row],[Net max]]</f>
        <v>1</v>
      </c>
      <c r="K133" s="283">
        <f>TblRezone[[#This Row],[Hour]]</f>
        <v>130</v>
      </c>
      <c r="L133" s="284">
        <f ca="1">TblImps[[#This Row],[Real time]]</f>
        <v>46052.374999999687</v>
      </c>
      <c r="M133" s="61">
        <f>IF(ISERROR(TblImps[[#This Row],[algorithm]]),0,TblImps[[#This Row],[algorithm]]*1)</f>
        <v>0</v>
      </c>
      <c r="N133" s="94">
        <f ca="1">TblImps[[#This Row],[Land]]</f>
        <v>110</v>
      </c>
      <c r="O133" s="285" t="s">
        <v>4</v>
      </c>
      <c r="P133" s="286"/>
      <c r="Q133" s="285" t="s">
        <v>210</v>
      </c>
      <c r="R133" s="285" t="s">
        <v>7</v>
      </c>
      <c r="S133" s="286"/>
      <c r="T133" s="285" t="s">
        <v>210</v>
      </c>
      <c r="U133" s="285" t="s">
        <v>3</v>
      </c>
      <c r="V133" s="286"/>
      <c r="W133" s="285" t="s">
        <v>210</v>
      </c>
      <c r="X133" s="142"/>
      <c r="Y133" s="287">
        <f ca="1">science_cap*(1-EXP(-TblImps[[#This Row],[Σ Science]]/(science_param*(OFFSET(TblImps[[#This Row],[Land]],1,0)-OFFSET(TblExplore[[#This Row],[Land Bonus]],1,0)*20)+15000)))*(1+(mason_bonus*TblConstr[[#This Row],[Tot Mas]]/TblConstr[[#This Row],[Land (2)]]))</f>
        <v>0</v>
      </c>
      <c r="Z133" s="287">
        <f ca="1">keep_cap*(1-EXP(-TblImps[[#This Row],[Σ Keep]]/(keep_param*(OFFSET(TblImps[[#This Row],[Land]],1,0)-OFFSET(TblExplore[[#This Row],[Land Bonus]],1,0)*20)+15000)))*(1+(mason_bonus*TblConstr[[#This Row],[Tot Mas]]/TblConstr[[#This Row],[Land (2)]]))</f>
        <v>0</v>
      </c>
      <c r="AA133" s="287">
        <f ca="1">harbor_towers_cap*(1-EXP(-TblImps[[#This Row],[Σ Spires]]/(towers_param*(OFFSET(TblImps[[#This Row],[Land]],1,0)-OFFSET(TblExplore[[#This Row],[Land Bonus]],1,0)*20)+15000)))*(1+(mason_bonus*TblConstr[[#This Row],[Tot Mas]]/TblConstr[[#This Row],[Land (2)]]))</f>
        <v>0</v>
      </c>
      <c r="AB133" s="287">
        <f ca="1">walls_forges_cap*(1-EXP(-TblImps[[#This Row],[Σ Forges]]/(walls_forges_param*(OFFSET(TblImps[[#This Row],[Land]],1,0)-OFFSET(TblExplore[[#This Row],[Land Bonus]],1,0)*20)+15000)))*(1+(mason_bonus*TblConstr[[#This Row],[Tot Mas]]/TblConstr[[#This Row],[Land (2)]]))</f>
        <v>0</v>
      </c>
      <c r="AC133" s="287">
        <f ca="1">walls_forges_cap*(1-EXP(-TblImps[[#This Row],[Σ Walls]]/(walls_forges_param*(OFFSET(TblImps[[#This Row],[Land]],1,0)-OFFSET(TblExplore[[#This Row],[Land Bonus]],1,0)*20)+15000)))*(1+(mason_bonus*TblConstr[[#This Row],[Tot Mas]]/TblConstr[[#This Row],[Land (2)]]))</f>
        <v>0</v>
      </c>
      <c r="AD133" s="287">
        <f ca="1">harbor_towers_cap*(1-EXP(-TblImps[[#This Row],[Σ Harbor]]/(harbor_towers_param*(OFFSET(TblImps[[#This Row],[Land]],1,0)-OFFSET(TblExplore[[#This Row],[Land Bonus]],1,0)*20)+15000)))*(1+(mason_bonus*TblConstr[[#This Row],[Tot Mas]]/TblConstr[[#This Row],[Land (2)]]))</f>
        <v>0</v>
      </c>
      <c r="AE133" s="142"/>
      <c r="AF133" s="61">
        <f ca="1">(1+Overview!$I$29)*SUM(TblImps[[#This Row],[P2]:[G2]])+OFFSET(TblImps[[#This Row],[Σ Science]],-1,0)</f>
        <v>0</v>
      </c>
      <c r="AG133" s="61">
        <f ca="1">(1+Overview!$I$29)*SUM(TblImps[[#This Row],[P3]:[G3]])+OFFSET(TblImps[[#This Row],[Σ Keep]],-1,0)</f>
        <v>0</v>
      </c>
      <c r="AH133" s="61">
        <f ca="1">(1+Overview!$I$29 + tech_7_1*TblTech[[#This Row],[7-1]])*SUM(TblImps[[#This Row],[P4]:[G4]])+OFFSET(TblImps[[#This Row],[Σ Spires]],-1,0)</f>
        <v>0</v>
      </c>
      <c r="AI133" s="61">
        <f ca="1">(1+Overview!$I$29)*SUM(TblImps[[#This Row],[P5]:[G5]])+OFFSET(TblImps[[#This Row],[Σ Forges]],-1,0)</f>
        <v>0</v>
      </c>
      <c r="AJ133" s="61">
        <f ca="1">(1+Overview!$I$29)*SUM(TblImps[[#This Row],[P6]:[G6]])+OFFSET(TblImps[[#This Row],[Σ Walls]],-1,0)</f>
        <v>0</v>
      </c>
      <c r="AK133" s="61">
        <f ca="1">(1+Overview!$I$29 + tech_7_1*TblTech[[#This Row],[7-1]])*SUM(TblImps[[#This Row],[P7]:[G7]])+OFFSET(TblImps[[#This Row],[Σ Harbor]],-1,0)</f>
        <v>0</v>
      </c>
      <c r="AL133" s="142"/>
      <c r="AM133" s="57">
        <f>IF(AND(TblImps[[#This Row],[Resource]]=AM$2,TblImps[[#This Row],[Part]]&lt;&gt;""),TblImps[[#This Row],[Amount]]) + IF(AND(TblImps[[#This Row],[Resource 2]]=AM$2,TblImps[[#This Row],[Part 2]]&lt;&gt;""),TblImps[[#This Row],[Amount 2]]) + IF(AND(TblImps[[#This Row],[Resource 3]]=AM$2,TblImps[[#This Row],[Part 3]]&lt;&gt;""),TblImps[[#This Row],[Amount 3]])</f>
        <v>0</v>
      </c>
      <c r="AN133" s="57">
        <f>IF(AND(TblImps[[#This Row],[Resource]]=AN$2,TblImps[[#This Row],[Part]]&lt;&gt;""),TblImps[[#This Row],[Amount]]) + IF(AND(TblImps[[#This Row],[Resource 2]]=AN$2,TblImps[[#This Row],[Part 2]]&lt;&gt;""),TblImps[[#This Row],[Amount 2]]) + IF(AND(TblImps[[#This Row],[Resource 3]]=AN$2,TblImps[[#This Row],[Part 3]]&lt;&gt;""),TblImps[[#This Row],[Amount 3]])</f>
        <v>0</v>
      </c>
      <c r="AO133" s="57">
        <f>IF(AND(TblImps[[#This Row],[Resource]]=AO$2,TblImps[[#This Row],[Part]]&lt;&gt;""),TblImps[[#This Row],[Amount]]) + IF(AND(TblImps[[#This Row],[Resource 2]]=AO$2,TblImps[[#This Row],[Part 2]]&lt;&gt;""),TblImps[[#This Row],[Amount 2]]) + IF(AND(TblImps[[#This Row],[Resource 3]]=AO$2,TblImps[[#This Row],[Part 3]]&lt;&gt;""),TblImps[[#This Row],[Amount 3]])</f>
        <v>0</v>
      </c>
      <c r="AP133" s="57">
        <f>IF(AND(TblImps[[#This Row],[Resource]]=AP$2,TblImps[[#This Row],[Part]]&lt;&gt;""),TblImps[[#This Row],[Amount]]) + IF(AND(TblImps[[#This Row],[Resource 2]]=AP$2,TblImps[[#This Row],[Part 2]]&lt;&gt;""),TblImps[[#This Row],[Amount 2]]) + IF(AND(TblImps[[#This Row],[Resource 3]]=AP$2,TblImps[[#This Row],[Part 3]]&lt;&gt;""),TblImps[[#This Row],[Amount 3]])</f>
        <v>0</v>
      </c>
      <c r="AQ133" s="142"/>
      <c r="AR133"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3"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3"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3"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3" s="142"/>
      <c r="AW133"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3"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3"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3"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3" s="142"/>
      <c r="BB133"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3"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3"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3"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3" s="142"/>
      <c r="BG133"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3"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3"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3"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3" s="142"/>
      <c r="BL133"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3"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3"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3"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3" s="142"/>
      <c r="BQ133"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3"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3"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3"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3" s="142"/>
      <c r="BV133"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3" s="61">
        <f>TblImps[[#This Row],[Login]]</f>
        <v>0</v>
      </c>
      <c r="BX133" s="137"/>
      <c r="BY133" s="293">
        <f ca="1">OFFSET(TblImps[[#This Row],[Real time]],-1,0)+1/24</f>
        <v>46052.374999999687</v>
      </c>
      <c r="BZ133" s="294">
        <f ca="1">OFFSET(TblImps[[#This Row],[Servertime]],-1,0)+1/24</f>
        <v>46052.374999999687</v>
      </c>
      <c r="CA133" s="57"/>
      <c r="CB133" s="292"/>
      <c r="CC133" s="292"/>
    </row>
    <row r="134" spans="1:81" x14ac:dyDescent="0.2">
      <c r="A134" s="214">
        <f ca="1">TblConstr[[#This Row],[Land]]</f>
        <v>110</v>
      </c>
      <c r="B134" s="142"/>
      <c r="C134" s="94">
        <f ca="1">TblProd[[#This Row],[Platinum]]</f>
        <v>226651</v>
      </c>
      <c r="D134" s="94">
        <f ca="1">TblProd[[#This Row],[Lumber]]</f>
        <v>76983</v>
      </c>
      <c r="E134" s="94">
        <f ca="1">TblProd[[#This Row],[Ore]]</f>
        <v>0</v>
      </c>
      <c r="F134" s="94">
        <f ca="1">TblProd[[#This Row],[Gems]]</f>
        <v>0</v>
      </c>
      <c r="G134" s="154"/>
      <c r="H134" s="94">
        <f ca="1">TblMili[[#This Row],[Draftees]]</f>
        <v>804</v>
      </c>
      <c r="I134" s="180">
        <f ca="1">TblPop[[#This Row],[Employment]]</f>
        <v>1</v>
      </c>
      <c r="J134" s="180">
        <f ca="1">TblPop[[#This Row],[Total]]/TblPop[[#This Row],[Net max]]</f>
        <v>1</v>
      </c>
      <c r="K134" s="283">
        <f>TblRezone[[#This Row],[Hour]]</f>
        <v>131</v>
      </c>
      <c r="L134" s="284">
        <f ca="1">TblImps[[#This Row],[Real time]]</f>
        <v>46052.416666666351</v>
      </c>
      <c r="M134" s="61">
        <f>IF(ISERROR(TblImps[[#This Row],[algorithm]]),0,TblImps[[#This Row],[algorithm]]*1)</f>
        <v>0</v>
      </c>
      <c r="N134" s="94">
        <f ca="1">TblImps[[#This Row],[Land]]</f>
        <v>110</v>
      </c>
      <c r="O134" s="285" t="s">
        <v>4</v>
      </c>
      <c r="P134" s="286"/>
      <c r="Q134" s="285" t="s">
        <v>210</v>
      </c>
      <c r="R134" s="285" t="s">
        <v>7</v>
      </c>
      <c r="S134" s="286"/>
      <c r="T134" s="285" t="s">
        <v>210</v>
      </c>
      <c r="U134" s="285" t="s">
        <v>3</v>
      </c>
      <c r="V134" s="286"/>
      <c r="W134" s="285" t="s">
        <v>210</v>
      </c>
      <c r="X134" s="142"/>
      <c r="Y134" s="287">
        <f ca="1">science_cap*(1-EXP(-TblImps[[#This Row],[Σ Science]]/(science_param*(OFFSET(TblImps[[#This Row],[Land]],1,0)-OFFSET(TblExplore[[#This Row],[Land Bonus]],1,0)*20)+15000)))*(1+(mason_bonus*TblConstr[[#This Row],[Tot Mas]]/TblConstr[[#This Row],[Land (2)]]))</f>
        <v>0</v>
      </c>
      <c r="Z134" s="287">
        <f ca="1">keep_cap*(1-EXP(-TblImps[[#This Row],[Σ Keep]]/(keep_param*(OFFSET(TblImps[[#This Row],[Land]],1,0)-OFFSET(TblExplore[[#This Row],[Land Bonus]],1,0)*20)+15000)))*(1+(mason_bonus*TblConstr[[#This Row],[Tot Mas]]/TblConstr[[#This Row],[Land (2)]]))</f>
        <v>0</v>
      </c>
      <c r="AA134" s="287">
        <f ca="1">harbor_towers_cap*(1-EXP(-TblImps[[#This Row],[Σ Spires]]/(towers_param*(OFFSET(TblImps[[#This Row],[Land]],1,0)-OFFSET(TblExplore[[#This Row],[Land Bonus]],1,0)*20)+15000)))*(1+(mason_bonus*TblConstr[[#This Row],[Tot Mas]]/TblConstr[[#This Row],[Land (2)]]))</f>
        <v>0</v>
      </c>
      <c r="AB134" s="287">
        <f ca="1">walls_forges_cap*(1-EXP(-TblImps[[#This Row],[Σ Forges]]/(walls_forges_param*(OFFSET(TblImps[[#This Row],[Land]],1,0)-OFFSET(TblExplore[[#This Row],[Land Bonus]],1,0)*20)+15000)))*(1+(mason_bonus*TblConstr[[#This Row],[Tot Mas]]/TblConstr[[#This Row],[Land (2)]]))</f>
        <v>0</v>
      </c>
      <c r="AC134" s="287">
        <f ca="1">walls_forges_cap*(1-EXP(-TblImps[[#This Row],[Σ Walls]]/(walls_forges_param*(OFFSET(TblImps[[#This Row],[Land]],1,0)-OFFSET(TblExplore[[#This Row],[Land Bonus]],1,0)*20)+15000)))*(1+(mason_bonus*TblConstr[[#This Row],[Tot Mas]]/TblConstr[[#This Row],[Land (2)]]))</f>
        <v>0</v>
      </c>
      <c r="AD134" s="287">
        <f ca="1">harbor_towers_cap*(1-EXP(-TblImps[[#This Row],[Σ Harbor]]/(harbor_towers_param*(OFFSET(TblImps[[#This Row],[Land]],1,0)-OFFSET(TblExplore[[#This Row],[Land Bonus]],1,0)*20)+15000)))*(1+(mason_bonus*TblConstr[[#This Row],[Tot Mas]]/TblConstr[[#This Row],[Land (2)]]))</f>
        <v>0</v>
      </c>
      <c r="AE134" s="142"/>
      <c r="AF134" s="61">
        <f ca="1">(1+Overview!$I$29)*SUM(TblImps[[#This Row],[P2]:[G2]])+OFFSET(TblImps[[#This Row],[Σ Science]],-1,0)</f>
        <v>0</v>
      </c>
      <c r="AG134" s="61">
        <f ca="1">(1+Overview!$I$29)*SUM(TblImps[[#This Row],[P3]:[G3]])+OFFSET(TblImps[[#This Row],[Σ Keep]],-1,0)</f>
        <v>0</v>
      </c>
      <c r="AH134" s="61">
        <f ca="1">(1+Overview!$I$29 + tech_7_1*TblTech[[#This Row],[7-1]])*SUM(TblImps[[#This Row],[P4]:[G4]])+OFFSET(TblImps[[#This Row],[Σ Spires]],-1,0)</f>
        <v>0</v>
      </c>
      <c r="AI134" s="61">
        <f ca="1">(1+Overview!$I$29)*SUM(TblImps[[#This Row],[P5]:[G5]])+OFFSET(TblImps[[#This Row],[Σ Forges]],-1,0)</f>
        <v>0</v>
      </c>
      <c r="AJ134" s="61">
        <f ca="1">(1+Overview!$I$29)*SUM(TblImps[[#This Row],[P6]:[G6]])+OFFSET(TblImps[[#This Row],[Σ Walls]],-1,0)</f>
        <v>0</v>
      </c>
      <c r="AK134" s="61">
        <f ca="1">(1+Overview!$I$29 + tech_7_1*TblTech[[#This Row],[7-1]])*SUM(TblImps[[#This Row],[P7]:[G7]])+OFFSET(TblImps[[#This Row],[Σ Harbor]],-1,0)</f>
        <v>0</v>
      </c>
      <c r="AL134" s="142"/>
      <c r="AM134" s="57">
        <f>IF(AND(TblImps[[#This Row],[Resource]]=AM$2,TblImps[[#This Row],[Part]]&lt;&gt;""),TblImps[[#This Row],[Amount]]) + IF(AND(TblImps[[#This Row],[Resource 2]]=AM$2,TblImps[[#This Row],[Part 2]]&lt;&gt;""),TblImps[[#This Row],[Amount 2]]) + IF(AND(TblImps[[#This Row],[Resource 3]]=AM$2,TblImps[[#This Row],[Part 3]]&lt;&gt;""),TblImps[[#This Row],[Amount 3]])</f>
        <v>0</v>
      </c>
      <c r="AN134" s="57">
        <f>IF(AND(TblImps[[#This Row],[Resource]]=AN$2,TblImps[[#This Row],[Part]]&lt;&gt;""),TblImps[[#This Row],[Amount]]) + IF(AND(TblImps[[#This Row],[Resource 2]]=AN$2,TblImps[[#This Row],[Part 2]]&lt;&gt;""),TblImps[[#This Row],[Amount 2]]) + IF(AND(TblImps[[#This Row],[Resource 3]]=AN$2,TblImps[[#This Row],[Part 3]]&lt;&gt;""),TblImps[[#This Row],[Amount 3]])</f>
        <v>0</v>
      </c>
      <c r="AO134" s="57">
        <f>IF(AND(TblImps[[#This Row],[Resource]]=AO$2,TblImps[[#This Row],[Part]]&lt;&gt;""),TblImps[[#This Row],[Amount]]) + IF(AND(TblImps[[#This Row],[Resource 2]]=AO$2,TblImps[[#This Row],[Part 2]]&lt;&gt;""),TblImps[[#This Row],[Amount 2]]) + IF(AND(TblImps[[#This Row],[Resource 3]]=AO$2,TblImps[[#This Row],[Part 3]]&lt;&gt;""),TblImps[[#This Row],[Amount 3]])</f>
        <v>0</v>
      </c>
      <c r="AP134" s="57">
        <f>IF(AND(TblImps[[#This Row],[Resource]]=AP$2,TblImps[[#This Row],[Part]]&lt;&gt;""),TblImps[[#This Row],[Amount]]) + IF(AND(TblImps[[#This Row],[Resource 2]]=AP$2,TblImps[[#This Row],[Part 2]]&lt;&gt;""),TblImps[[#This Row],[Amount 2]]) + IF(AND(TblImps[[#This Row],[Resource 3]]=AP$2,TblImps[[#This Row],[Part 3]]&lt;&gt;""),TblImps[[#This Row],[Amount 3]])</f>
        <v>0</v>
      </c>
      <c r="AQ134" s="142"/>
      <c r="AR134"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4"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4"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4"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4" s="142"/>
      <c r="AW134"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4"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4"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4"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4" s="142"/>
      <c r="BB134"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4"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4"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4"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4" s="142"/>
      <c r="BG134"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4"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4"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4"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4" s="142"/>
      <c r="BL134"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4"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4"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4"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4" s="142"/>
      <c r="BQ134"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4"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4"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4"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4" s="142"/>
      <c r="BV134"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4" s="61">
        <f>TblImps[[#This Row],[Login]]</f>
        <v>0</v>
      </c>
      <c r="BX134" s="137"/>
      <c r="BY134" s="293">
        <f ca="1">OFFSET(TblImps[[#This Row],[Real time]],-1,0)+1/24</f>
        <v>46052.416666666351</v>
      </c>
      <c r="BZ134" s="294">
        <f ca="1">OFFSET(TblImps[[#This Row],[Servertime]],-1,0)+1/24</f>
        <v>46052.416666666351</v>
      </c>
      <c r="CA134" s="57"/>
      <c r="CB134" s="292"/>
      <c r="CC134" s="292"/>
    </row>
    <row r="135" spans="1:81" x14ac:dyDescent="0.2">
      <c r="A135" s="214">
        <f ca="1">TblConstr[[#This Row],[Land]]</f>
        <v>110</v>
      </c>
      <c r="B135" s="142"/>
      <c r="C135" s="94">
        <f ca="1">TblProd[[#This Row],[Platinum]]</f>
        <v>227385</v>
      </c>
      <c r="D135" s="94">
        <f ca="1">TblProd[[#This Row],[Lumber]]</f>
        <v>77213</v>
      </c>
      <c r="E135" s="94">
        <f ca="1">TblProd[[#This Row],[Ore]]</f>
        <v>0</v>
      </c>
      <c r="F135" s="94">
        <f ca="1">TblProd[[#This Row],[Gems]]</f>
        <v>0</v>
      </c>
      <c r="G135" s="154"/>
      <c r="H135" s="94">
        <f ca="1">TblMili[[#This Row],[Draftees]]</f>
        <v>807</v>
      </c>
      <c r="I135" s="180">
        <f ca="1">TblPop[[#This Row],[Employment]]</f>
        <v>1</v>
      </c>
      <c r="J135" s="180">
        <f ca="1">TblPop[[#This Row],[Total]]/TblPop[[#This Row],[Net max]]</f>
        <v>1</v>
      </c>
      <c r="K135" s="283">
        <f>TblRezone[[#This Row],[Hour]]</f>
        <v>132</v>
      </c>
      <c r="L135" s="284">
        <f ca="1">TblImps[[#This Row],[Real time]]</f>
        <v>46052.458333333016</v>
      </c>
      <c r="M135" s="61">
        <f>IF(ISERROR(TblImps[[#This Row],[algorithm]]),0,TblImps[[#This Row],[algorithm]]*1)</f>
        <v>0</v>
      </c>
      <c r="N135" s="94">
        <f ca="1">TblImps[[#This Row],[Land]]</f>
        <v>110</v>
      </c>
      <c r="O135" s="285" t="s">
        <v>4</v>
      </c>
      <c r="P135" s="286"/>
      <c r="Q135" s="285" t="s">
        <v>210</v>
      </c>
      <c r="R135" s="285" t="s">
        <v>7</v>
      </c>
      <c r="S135" s="286"/>
      <c r="T135" s="285" t="s">
        <v>210</v>
      </c>
      <c r="U135" s="285" t="s">
        <v>3</v>
      </c>
      <c r="V135" s="286"/>
      <c r="W135" s="285" t="s">
        <v>210</v>
      </c>
      <c r="X135" s="142"/>
      <c r="Y135" s="287">
        <f ca="1">science_cap*(1-EXP(-TblImps[[#This Row],[Σ Science]]/(science_param*(OFFSET(TblImps[[#This Row],[Land]],1,0)-OFFSET(TblExplore[[#This Row],[Land Bonus]],1,0)*20)+15000)))*(1+(mason_bonus*TblConstr[[#This Row],[Tot Mas]]/TblConstr[[#This Row],[Land (2)]]))</f>
        <v>0</v>
      </c>
      <c r="Z135" s="287">
        <f ca="1">keep_cap*(1-EXP(-TblImps[[#This Row],[Σ Keep]]/(keep_param*(OFFSET(TblImps[[#This Row],[Land]],1,0)-OFFSET(TblExplore[[#This Row],[Land Bonus]],1,0)*20)+15000)))*(1+(mason_bonus*TblConstr[[#This Row],[Tot Mas]]/TblConstr[[#This Row],[Land (2)]]))</f>
        <v>0</v>
      </c>
      <c r="AA135" s="287">
        <f ca="1">harbor_towers_cap*(1-EXP(-TblImps[[#This Row],[Σ Spires]]/(towers_param*(OFFSET(TblImps[[#This Row],[Land]],1,0)-OFFSET(TblExplore[[#This Row],[Land Bonus]],1,0)*20)+15000)))*(1+(mason_bonus*TblConstr[[#This Row],[Tot Mas]]/TblConstr[[#This Row],[Land (2)]]))</f>
        <v>0</v>
      </c>
      <c r="AB135" s="287">
        <f ca="1">walls_forges_cap*(1-EXP(-TblImps[[#This Row],[Σ Forges]]/(walls_forges_param*(OFFSET(TblImps[[#This Row],[Land]],1,0)-OFFSET(TblExplore[[#This Row],[Land Bonus]],1,0)*20)+15000)))*(1+(mason_bonus*TblConstr[[#This Row],[Tot Mas]]/TblConstr[[#This Row],[Land (2)]]))</f>
        <v>0</v>
      </c>
      <c r="AC135" s="287">
        <f ca="1">walls_forges_cap*(1-EXP(-TblImps[[#This Row],[Σ Walls]]/(walls_forges_param*(OFFSET(TblImps[[#This Row],[Land]],1,0)-OFFSET(TblExplore[[#This Row],[Land Bonus]],1,0)*20)+15000)))*(1+(mason_bonus*TblConstr[[#This Row],[Tot Mas]]/TblConstr[[#This Row],[Land (2)]]))</f>
        <v>0</v>
      </c>
      <c r="AD135" s="287">
        <f ca="1">harbor_towers_cap*(1-EXP(-TblImps[[#This Row],[Σ Harbor]]/(harbor_towers_param*(OFFSET(TblImps[[#This Row],[Land]],1,0)-OFFSET(TblExplore[[#This Row],[Land Bonus]],1,0)*20)+15000)))*(1+(mason_bonus*TblConstr[[#This Row],[Tot Mas]]/TblConstr[[#This Row],[Land (2)]]))</f>
        <v>0</v>
      </c>
      <c r="AE135" s="142"/>
      <c r="AF135" s="61">
        <f ca="1">(1+Overview!$I$29)*SUM(TblImps[[#This Row],[P2]:[G2]])+OFFSET(TblImps[[#This Row],[Σ Science]],-1,0)</f>
        <v>0</v>
      </c>
      <c r="AG135" s="61">
        <f ca="1">(1+Overview!$I$29)*SUM(TblImps[[#This Row],[P3]:[G3]])+OFFSET(TblImps[[#This Row],[Σ Keep]],-1,0)</f>
        <v>0</v>
      </c>
      <c r="AH135" s="61">
        <f ca="1">(1+Overview!$I$29 + tech_7_1*TblTech[[#This Row],[7-1]])*SUM(TblImps[[#This Row],[P4]:[G4]])+OFFSET(TblImps[[#This Row],[Σ Spires]],-1,0)</f>
        <v>0</v>
      </c>
      <c r="AI135" s="61">
        <f ca="1">(1+Overview!$I$29)*SUM(TblImps[[#This Row],[P5]:[G5]])+OFFSET(TblImps[[#This Row],[Σ Forges]],-1,0)</f>
        <v>0</v>
      </c>
      <c r="AJ135" s="61">
        <f ca="1">(1+Overview!$I$29)*SUM(TblImps[[#This Row],[P6]:[G6]])+OFFSET(TblImps[[#This Row],[Σ Walls]],-1,0)</f>
        <v>0</v>
      </c>
      <c r="AK135" s="61">
        <f ca="1">(1+Overview!$I$29 + tech_7_1*TblTech[[#This Row],[7-1]])*SUM(TblImps[[#This Row],[P7]:[G7]])+OFFSET(TblImps[[#This Row],[Σ Harbor]],-1,0)</f>
        <v>0</v>
      </c>
      <c r="AL135" s="142"/>
      <c r="AM135" s="57">
        <f>IF(AND(TblImps[[#This Row],[Resource]]=AM$2,TblImps[[#This Row],[Part]]&lt;&gt;""),TblImps[[#This Row],[Amount]]) + IF(AND(TblImps[[#This Row],[Resource 2]]=AM$2,TblImps[[#This Row],[Part 2]]&lt;&gt;""),TblImps[[#This Row],[Amount 2]]) + IF(AND(TblImps[[#This Row],[Resource 3]]=AM$2,TblImps[[#This Row],[Part 3]]&lt;&gt;""),TblImps[[#This Row],[Amount 3]])</f>
        <v>0</v>
      </c>
      <c r="AN135" s="57">
        <f>IF(AND(TblImps[[#This Row],[Resource]]=AN$2,TblImps[[#This Row],[Part]]&lt;&gt;""),TblImps[[#This Row],[Amount]]) + IF(AND(TblImps[[#This Row],[Resource 2]]=AN$2,TblImps[[#This Row],[Part 2]]&lt;&gt;""),TblImps[[#This Row],[Amount 2]]) + IF(AND(TblImps[[#This Row],[Resource 3]]=AN$2,TblImps[[#This Row],[Part 3]]&lt;&gt;""),TblImps[[#This Row],[Amount 3]])</f>
        <v>0</v>
      </c>
      <c r="AO135" s="57">
        <f>IF(AND(TblImps[[#This Row],[Resource]]=AO$2,TblImps[[#This Row],[Part]]&lt;&gt;""),TblImps[[#This Row],[Amount]]) + IF(AND(TblImps[[#This Row],[Resource 2]]=AO$2,TblImps[[#This Row],[Part 2]]&lt;&gt;""),TblImps[[#This Row],[Amount 2]]) + IF(AND(TblImps[[#This Row],[Resource 3]]=AO$2,TblImps[[#This Row],[Part 3]]&lt;&gt;""),TblImps[[#This Row],[Amount 3]])</f>
        <v>0</v>
      </c>
      <c r="AP135" s="57">
        <f>IF(AND(TblImps[[#This Row],[Resource]]=AP$2,TblImps[[#This Row],[Part]]&lt;&gt;""),TblImps[[#This Row],[Amount]]) + IF(AND(TblImps[[#This Row],[Resource 2]]=AP$2,TblImps[[#This Row],[Part 2]]&lt;&gt;""),TblImps[[#This Row],[Amount 2]]) + IF(AND(TblImps[[#This Row],[Resource 3]]=AP$2,TblImps[[#This Row],[Part 3]]&lt;&gt;""),TblImps[[#This Row],[Amount 3]])</f>
        <v>0</v>
      </c>
      <c r="AQ135" s="142"/>
      <c r="AR135"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5"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5"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5"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5" s="142"/>
      <c r="AW135"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5"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5"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5"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5" s="142"/>
      <c r="BB135"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5"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5"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5"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5" s="142"/>
      <c r="BG135"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5"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5"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5"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5" s="142"/>
      <c r="BL135"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5"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5"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5"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5" s="142"/>
      <c r="BQ135"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5"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5"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5"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5" s="142"/>
      <c r="BV135"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5" s="61">
        <f>TblImps[[#This Row],[Login]]</f>
        <v>0</v>
      </c>
      <c r="BX135" s="137"/>
      <c r="BY135" s="293">
        <f ca="1">OFFSET(TblImps[[#This Row],[Real time]],-1,0)+1/24</f>
        <v>46052.458333333016</v>
      </c>
      <c r="BZ135" s="294">
        <f ca="1">OFFSET(TblImps[[#This Row],[Servertime]],-1,0)+1/24</f>
        <v>46052.458333333016</v>
      </c>
      <c r="CA135" s="57"/>
      <c r="CB135" s="292"/>
      <c r="CC135" s="292"/>
    </row>
    <row r="136" spans="1:81" x14ac:dyDescent="0.2">
      <c r="A136" s="214">
        <f ca="1">TblConstr[[#This Row],[Land]]</f>
        <v>110</v>
      </c>
      <c r="B136" s="142"/>
      <c r="C136" s="94">
        <f ca="1">TblProd[[#This Row],[Platinum]]</f>
        <v>228111</v>
      </c>
      <c r="D136" s="94">
        <f ca="1">TblProd[[#This Row],[Lumber]]</f>
        <v>77441</v>
      </c>
      <c r="E136" s="94">
        <f ca="1">TblProd[[#This Row],[Ore]]</f>
        <v>0</v>
      </c>
      <c r="F136" s="94">
        <f ca="1">TblProd[[#This Row],[Gems]]</f>
        <v>0</v>
      </c>
      <c r="G136" s="154"/>
      <c r="H136" s="94">
        <f ca="1">TblMili[[#This Row],[Draftees]]</f>
        <v>810</v>
      </c>
      <c r="I136" s="180">
        <f ca="1">TblPop[[#This Row],[Employment]]</f>
        <v>0</v>
      </c>
      <c r="J136" s="180">
        <f ca="1">TblPop[[#This Row],[Total]]/TblPop[[#This Row],[Net max]]</f>
        <v>1</v>
      </c>
      <c r="K136" s="283">
        <f>TblRezone[[#This Row],[Hour]]</f>
        <v>133</v>
      </c>
      <c r="L136" s="284">
        <f ca="1">TblImps[[#This Row],[Real time]]</f>
        <v>46052.49999999968</v>
      </c>
      <c r="M136" s="61">
        <f>IF(ISERROR(TblImps[[#This Row],[algorithm]]),0,TblImps[[#This Row],[algorithm]]*1)</f>
        <v>0</v>
      </c>
      <c r="N136" s="94">
        <f ca="1">TblImps[[#This Row],[Land]]</f>
        <v>110</v>
      </c>
      <c r="O136" s="285" t="s">
        <v>4</v>
      </c>
      <c r="P136" s="286"/>
      <c r="Q136" s="285" t="s">
        <v>210</v>
      </c>
      <c r="R136" s="285" t="s">
        <v>7</v>
      </c>
      <c r="S136" s="286"/>
      <c r="T136" s="285" t="s">
        <v>210</v>
      </c>
      <c r="U136" s="285" t="s">
        <v>3</v>
      </c>
      <c r="V136" s="286"/>
      <c r="W136" s="285" t="s">
        <v>210</v>
      </c>
      <c r="X136" s="142"/>
      <c r="Y136" s="287">
        <f ca="1">science_cap*(1-EXP(-TblImps[[#This Row],[Σ Science]]/(science_param*(OFFSET(TblImps[[#This Row],[Land]],1,0)-OFFSET(TblExplore[[#This Row],[Land Bonus]],1,0)*20)+15000)))*(1+(mason_bonus*TblConstr[[#This Row],[Tot Mas]]/TblConstr[[#This Row],[Land (2)]]))</f>
        <v>0</v>
      </c>
      <c r="Z136" s="287">
        <f ca="1">keep_cap*(1-EXP(-TblImps[[#This Row],[Σ Keep]]/(keep_param*(OFFSET(TblImps[[#This Row],[Land]],1,0)-OFFSET(TblExplore[[#This Row],[Land Bonus]],1,0)*20)+15000)))*(1+(mason_bonus*TblConstr[[#This Row],[Tot Mas]]/TblConstr[[#This Row],[Land (2)]]))</f>
        <v>0</v>
      </c>
      <c r="AA136" s="287">
        <f ca="1">harbor_towers_cap*(1-EXP(-TblImps[[#This Row],[Σ Spires]]/(towers_param*(OFFSET(TblImps[[#This Row],[Land]],1,0)-OFFSET(TblExplore[[#This Row],[Land Bonus]],1,0)*20)+15000)))*(1+(mason_bonus*TblConstr[[#This Row],[Tot Mas]]/TblConstr[[#This Row],[Land (2)]]))</f>
        <v>0</v>
      </c>
      <c r="AB136" s="287">
        <f ca="1">walls_forges_cap*(1-EXP(-TblImps[[#This Row],[Σ Forges]]/(walls_forges_param*(OFFSET(TblImps[[#This Row],[Land]],1,0)-OFFSET(TblExplore[[#This Row],[Land Bonus]],1,0)*20)+15000)))*(1+(mason_bonus*TblConstr[[#This Row],[Tot Mas]]/TblConstr[[#This Row],[Land (2)]]))</f>
        <v>0</v>
      </c>
      <c r="AC136" s="287">
        <f ca="1">walls_forges_cap*(1-EXP(-TblImps[[#This Row],[Σ Walls]]/(walls_forges_param*(OFFSET(TblImps[[#This Row],[Land]],1,0)-OFFSET(TblExplore[[#This Row],[Land Bonus]],1,0)*20)+15000)))*(1+(mason_bonus*TblConstr[[#This Row],[Tot Mas]]/TblConstr[[#This Row],[Land (2)]]))</f>
        <v>0</v>
      </c>
      <c r="AD136" s="287">
        <f ca="1">harbor_towers_cap*(1-EXP(-TblImps[[#This Row],[Σ Harbor]]/(harbor_towers_param*(OFFSET(TblImps[[#This Row],[Land]],1,0)-OFFSET(TblExplore[[#This Row],[Land Bonus]],1,0)*20)+15000)))*(1+(mason_bonus*TblConstr[[#This Row],[Tot Mas]]/TblConstr[[#This Row],[Land (2)]]))</f>
        <v>0</v>
      </c>
      <c r="AE136" s="142"/>
      <c r="AF136" s="61">
        <f ca="1">(1+Overview!$I$29)*SUM(TblImps[[#This Row],[P2]:[G2]])+OFFSET(TblImps[[#This Row],[Σ Science]],-1,0)</f>
        <v>0</v>
      </c>
      <c r="AG136" s="61">
        <f ca="1">(1+Overview!$I$29)*SUM(TblImps[[#This Row],[P3]:[G3]])+OFFSET(TblImps[[#This Row],[Σ Keep]],-1,0)</f>
        <v>0</v>
      </c>
      <c r="AH136" s="61">
        <f ca="1">(1+Overview!$I$29 + tech_7_1*TblTech[[#This Row],[7-1]])*SUM(TblImps[[#This Row],[P4]:[G4]])+OFFSET(TblImps[[#This Row],[Σ Spires]],-1,0)</f>
        <v>0</v>
      </c>
      <c r="AI136" s="61">
        <f ca="1">(1+Overview!$I$29)*SUM(TblImps[[#This Row],[P5]:[G5]])+OFFSET(TblImps[[#This Row],[Σ Forges]],-1,0)</f>
        <v>0</v>
      </c>
      <c r="AJ136" s="61">
        <f ca="1">(1+Overview!$I$29)*SUM(TblImps[[#This Row],[P6]:[G6]])+OFFSET(TblImps[[#This Row],[Σ Walls]],-1,0)</f>
        <v>0</v>
      </c>
      <c r="AK136" s="61">
        <f ca="1">(1+Overview!$I$29 + tech_7_1*TblTech[[#This Row],[7-1]])*SUM(TblImps[[#This Row],[P7]:[G7]])+OFFSET(TblImps[[#This Row],[Σ Harbor]],-1,0)</f>
        <v>0</v>
      </c>
      <c r="AL136" s="142"/>
      <c r="AM136" s="57">
        <f>IF(AND(TblImps[[#This Row],[Resource]]=AM$2,TblImps[[#This Row],[Part]]&lt;&gt;""),TblImps[[#This Row],[Amount]]) + IF(AND(TblImps[[#This Row],[Resource 2]]=AM$2,TblImps[[#This Row],[Part 2]]&lt;&gt;""),TblImps[[#This Row],[Amount 2]]) + IF(AND(TblImps[[#This Row],[Resource 3]]=AM$2,TblImps[[#This Row],[Part 3]]&lt;&gt;""),TblImps[[#This Row],[Amount 3]])</f>
        <v>0</v>
      </c>
      <c r="AN136" s="57">
        <f>IF(AND(TblImps[[#This Row],[Resource]]=AN$2,TblImps[[#This Row],[Part]]&lt;&gt;""),TblImps[[#This Row],[Amount]]) + IF(AND(TblImps[[#This Row],[Resource 2]]=AN$2,TblImps[[#This Row],[Part 2]]&lt;&gt;""),TblImps[[#This Row],[Amount 2]]) + IF(AND(TblImps[[#This Row],[Resource 3]]=AN$2,TblImps[[#This Row],[Part 3]]&lt;&gt;""),TblImps[[#This Row],[Amount 3]])</f>
        <v>0</v>
      </c>
      <c r="AO136" s="57">
        <f>IF(AND(TblImps[[#This Row],[Resource]]=AO$2,TblImps[[#This Row],[Part]]&lt;&gt;""),TblImps[[#This Row],[Amount]]) + IF(AND(TblImps[[#This Row],[Resource 2]]=AO$2,TblImps[[#This Row],[Part 2]]&lt;&gt;""),TblImps[[#This Row],[Amount 2]]) + IF(AND(TblImps[[#This Row],[Resource 3]]=AO$2,TblImps[[#This Row],[Part 3]]&lt;&gt;""),TblImps[[#This Row],[Amount 3]])</f>
        <v>0</v>
      </c>
      <c r="AP136" s="57">
        <f>IF(AND(TblImps[[#This Row],[Resource]]=AP$2,TblImps[[#This Row],[Part]]&lt;&gt;""),TblImps[[#This Row],[Amount]]) + IF(AND(TblImps[[#This Row],[Resource 2]]=AP$2,TblImps[[#This Row],[Part 2]]&lt;&gt;""),TblImps[[#This Row],[Amount 2]]) + IF(AND(TblImps[[#This Row],[Resource 3]]=AP$2,TblImps[[#This Row],[Part 3]]&lt;&gt;""),TblImps[[#This Row],[Amount 3]])</f>
        <v>0</v>
      </c>
      <c r="AQ136" s="142"/>
      <c r="AR136" s="57">
        <f>IF(TblImps[[#This Row],[Resource]]=AR$2,IF(TblImps[[#This Row],[Part]]=$Y$2,TblImps[[#This Row],[Amount]]*plat_invest)) + IF(TblImps[[#This Row],[Resource 2]]=AR$2,IF(TblImps[[#This Row],[Part 2]]=$Y$2,TblImps[[#This Row],[Amount 2]]*plat_invest)) + IF(TblImps[[#This Row],[Resource 3]]=AR$2,IF(TblImps[[#This Row],[Part 3]]=$Y$2,TblImps[[#This Row],[Amount 3]]*plat_invest))</f>
        <v>0</v>
      </c>
      <c r="AS136" s="57">
        <f>IF(TblImps[[#This Row],[Resource]]=AS$2,IF(TblImps[[#This Row],[Part]]=$Y$2,TblImps[[#This Row],[Amount]]*lumber_invest)) + IF(TblImps[[#This Row],[Resource 2]]=AS$2,IF(TblImps[[#This Row],[Part 2]]=$Y$2,TblImps[[#This Row],[Amount 2]]*lumber_invest)) + IF(TblImps[[#This Row],[Resource 3]]=AS$2,IF(TblImps[[#This Row],[Part 3]]=$Y$2,TblImps[[#This Row],[Amount 3]]*lumber_invest))</f>
        <v>0</v>
      </c>
      <c r="AT136" s="57">
        <f>IF(TblImps[[#This Row],[Resource]]=AT$2,IF(TblImps[[#This Row],[Part]]=$Y$2,TblImps[[#This Row],[Amount]]*ore_invest)) + IF(TblImps[[#This Row],[Resource 2]]=AT$2,IF(TblImps[[#This Row],[Part 2]]=$Y$2,TblImps[[#This Row],[Amount 2]]*ore_invest)) + IF(TblImps[[#This Row],[Resource 3]]=AT$2,IF(TblImps[[#This Row],[Part 3]]=$Y$2,TblImps[[#This Row],[Amount 3]]*ore_invest))</f>
        <v>0</v>
      </c>
      <c r="AU136" s="57">
        <f>IF(TblImps[[#This Row],[Resource]]=AU$2,IF(TblImps[[#This Row],[Part]]=$Y$2,TblImps[[#This Row],[Amount]]*gem_invest)) + IF(TblImps[[#This Row],[Resource 2]]=AU$2,IF(TblImps[[#This Row],[Part 2]]=$Y$2,TblImps[[#This Row],[Amount 2]]*gem_invest)) + IF(TblImps[[#This Row],[Resource 3]]=AU$2,IF(TblImps[[#This Row],[Part 3]]=$Y$2,TblImps[[#This Row],[Amount 3]]*gem_invest))</f>
        <v>0</v>
      </c>
      <c r="AV136" s="142"/>
      <c r="AW136" s="57">
        <f>IF(TblImps[[#This Row],[Resource]]=AW$2,IF(TblImps[[#This Row],[Part]]=$Z$2,TblImps[[#This Row],[Amount]]*plat_invest)) + IF(TblImps[[#This Row],[Resource 2]]=AW$2,IF(TblImps[[#This Row],[Part 2]]=$Z$2,TblImps[[#This Row],[Amount 2]]*plat_invest)) + IF(TblImps[[#This Row],[Resource 3]]=AW$2,IF(TblImps[[#This Row],[Part 3]]=$Z$2,TblImps[[#This Row],[Amount 3]]*plat_invest))</f>
        <v>0</v>
      </c>
      <c r="AX136" s="57">
        <f>IF(TblImps[[#This Row],[Resource]]=AX$2,IF(TblImps[[#This Row],[Part]]=$Z$2,TblImps[[#This Row],[Amount]]*lumber_invest)) + IF(TblImps[[#This Row],[Resource 2]]=AX$2,IF(TblImps[[#This Row],[Part 2]]=$Z$2,TblImps[[#This Row],[Amount 2]]*lumber_invest)) + IF(TblImps[[#This Row],[Resource 3]]=AX$2,IF(TblImps[[#This Row],[Part 3]]=$Z$2,TblImps[[#This Row],[Amount 3]]*lumber_invest))</f>
        <v>0</v>
      </c>
      <c r="AY136" s="57">
        <f>IF(TblImps[[#This Row],[Resource]]=AY$2,IF(TblImps[[#This Row],[Part]]=$Z$2,TblImps[[#This Row],[Amount]]*ore_invest)) + IF(TblImps[[#This Row],[Resource 2]]=AY$2,IF(TblImps[[#This Row],[Part 2]]=$Z$2,TblImps[[#This Row],[Amount 2]]*ore_invest)) + IF(TblImps[[#This Row],[Resource 3]]=AY$2,IF(TblImps[[#This Row],[Part 3]]=$Z$2,TblImps[[#This Row],[Amount 3]]*ore_invest))</f>
        <v>0</v>
      </c>
      <c r="AZ136" s="57">
        <f>IF(TblImps[[#This Row],[Resource]]=AZ$2,IF(TblImps[[#This Row],[Part]]=$Z$2,TblImps[[#This Row],[Amount]]*gem_invest)) + IF(TblImps[[#This Row],[Resource 2]]=AZ$2,IF(TblImps[[#This Row],[Part 2]]=$Z$2,TblImps[[#This Row],[Amount 2]]*gem_invest)) + IF(TblImps[[#This Row],[Resource 3]]=AZ$2,IF(TblImps[[#This Row],[Part 3]]=$Z$2,TblImps[[#This Row],[Amount 3]]*gem_invest))</f>
        <v>0</v>
      </c>
      <c r="BA136" s="142"/>
      <c r="BB136" s="57">
        <f>IF(TblImps[[#This Row],[Resource]]=BB$2,IF(TblImps[[#This Row],[Part]]=$AA$2,TblImps[[#This Row],[Amount]]*plat_invest)) + IF(TblImps[[#This Row],[Resource 2]]=BB$2,IF(TblImps[[#This Row],[Part 2]]=$AA$2,TblImps[[#This Row],[Amount 2]]*plat_invest)) + IF(TblImps[[#This Row],[Resource 3]]=BB$2,IF(TblImps[[#This Row],[Part 3]]=$AA$2,TblImps[[#This Row],[Amount 3]]*plat_invest))</f>
        <v>0</v>
      </c>
      <c r="BC136" s="57">
        <f>IF(TblImps[[#This Row],[Resource]]=BC$2,IF(TblImps[[#This Row],[Part]]=$AA$2,TblImps[[#This Row],[Amount]]*lumber_invest)) + IF(TblImps[[#This Row],[Resource 2]]=BC$2,IF(TblImps[[#This Row],[Part 2]]=$AA$2,TblImps[[#This Row],[Amount 2]]*lumber_invest)) + IF(TblImps[[#This Row],[Resource 3]]=BC$2,IF(TblImps[[#This Row],[Part 3]]=$AA$2,TblImps[[#This Row],[Amount 3]]*lumber_invest))</f>
        <v>0</v>
      </c>
      <c r="BD136" s="57">
        <f>IF(TblImps[[#This Row],[Resource]]=BD$2,IF(TblImps[[#This Row],[Part]]=$AA$2,TblImps[[#This Row],[Amount]]*ore_invest)) + IF(TblImps[[#This Row],[Resource 2]]=BD$2,IF(TblImps[[#This Row],[Part 2]]=$AA$2,TblImps[[#This Row],[Amount 2]]*ore_invest)) + IF(TblImps[[#This Row],[Resource 3]]=BD$2,IF(TblImps[[#This Row],[Part 3]]=$AA$2,TblImps[[#This Row],[Amount 3]]*ore_invest))</f>
        <v>0</v>
      </c>
      <c r="BE136" s="57">
        <f>IF(TblImps[[#This Row],[Resource]]=BE$2,IF(TblImps[[#This Row],[Part]]=$AA$2,TblImps[[#This Row],[Amount]]*gem_invest)) + IF(TblImps[[#This Row],[Resource 2]]=BE$2,IF(TblImps[[#This Row],[Part 2]]=$AA$2,TblImps[[#This Row],[Amount 2]]*gem_invest)) + IF(TblImps[[#This Row],[Resource 3]]=BE$2,IF(TblImps[[#This Row],[Part 3]]=$AA$2,TblImps[[#This Row],[Amount 3]]*gem_invest))</f>
        <v>0</v>
      </c>
      <c r="BF136" s="142"/>
      <c r="BG136" s="57">
        <f>IF(TblImps[[#This Row],[Resource]]=BG$2,IF(TblImps[[#This Row],[Part]]=$AB$2,TblImps[[#This Row],[Amount]]*plat_invest)) + IF(TblImps[[#This Row],[Resource 2]]=BG$2,IF(TblImps[[#This Row],[Part 2]]=$AB$2,TblImps[[#This Row],[Amount 2]]*plat_invest)) + IF(TblImps[[#This Row],[Resource 3]]=BG$2,IF(TblImps[[#This Row],[Part 3]]=$AB$2,TblImps[[#This Row],[Amount 3]]*plat_invest))</f>
        <v>0</v>
      </c>
      <c r="BH136" s="57">
        <f>IF(TblImps[[#This Row],[Resource]]=BH$2,IF(TblImps[[#This Row],[Part]]=$AB$2,TblImps[[#This Row],[Amount]]*lumber_invest)) + IF(TblImps[[#This Row],[Resource 2]]=BH$2,IF(TblImps[[#This Row],[Part 2]]=$AB$2,TblImps[[#This Row],[Amount 2]]*lumber_invest)) + IF(TblImps[[#This Row],[Resource 3]]=BH$2,IF(TblImps[[#This Row],[Part 3]]=$AB$2,TblImps[[#This Row],[Amount 3]]*lumber_invest))</f>
        <v>0</v>
      </c>
      <c r="BI136" s="57">
        <f>IF(TblImps[[#This Row],[Resource]]=BI$2,IF(TblImps[[#This Row],[Part]]=$AB$2,TblImps[[#This Row],[Amount]]*ore_invest)) + IF(TblImps[[#This Row],[Resource 2]]=BI$2,IF(TblImps[[#This Row],[Part 2]]=$AB$2,TblImps[[#This Row],[Amount 2]]*ore_invest)) + IF(TblImps[[#This Row],[Resource 3]]=BI$2,IF(TblImps[[#This Row],[Part 3]]=$AB$2,TblImps[[#This Row],[Amount 3]]*ore_invest))</f>
        <v>0</v>
      </c>
      <c r="BJ136" s="57">
        <f>IF(TblImps[[#This Row],[Resource]]=BJ$2,IF(TblImps[[#This Row],[Part]]=$AB$2,TblImps[[#This Row],[Amount]]*gem_invest)) + IF(TblImps[[#This Row],[Resource 2]]=BJ$2,IF(TblImps[[#This Row],[Part 2]]=$AB$2,TblImps[[#This Row],[Amount 2]]*gem_invest)) + IF(TblImps[[#This Row],[Resource 3]]=BJ$2,IF(TblImps[[#This Row],[Part 3]]=$AB$2,TblImps[[#This Row],[Amount 3]]*gem_invest))</f>
        <v>0</v>
      </c>
      <c r="BK136" s="142"/>
      <c r="BL136" s="57">
        <f>IF(TblImps[[#This Row],[Resource]]=BL$2,IF(TblImps[[#This Row],[Part]]=$AC$2,TblImps[[#This Row],[Amount]]*plat_invest)) + IF(TblImps[[#This Row],[Resource 2]]=BL$2,IF(TblImps[[#This Row],[Part 2]]=$AC$2,TblImps[[#This Row],[Amount 2]]*plat_invest)) + IF(TblImps[[#This Row],[Resource 3]]=BL$2,IF(TblImps[[#This Row],[Part 3]]=$AC$2,TblImps[[#This Row],[Amount 3]]*plat_invest))</f>
        <v>0</v>
      </c>
      <c r="BM136" s="57">
        <f>IF(TblImps[[#This Row],[Resource]]=BM$2,IF(TblImps[[#This Row],[Part]]=$AC$2,TblImps[[#This Row],[Amount]]*lumber_invest)) + IF(TblImps[[#This Row],[Resource 2]]=BM$2,IF(TblImps[[#This Row],[Part 2]]=$AC$2,TblImps[[#This Row],[Amount 2]]*lumber_invest)) + IF(TblImps[[#This Row],[Resource 3]]=BM$2,IF(TblImps[[#This Row],[Part 3]]=$AC$2,TblImps[[#This Row],[Amount 3]]*lumber_invest))</f>
        <v>0</v>
      </c>
      <c r="BN136" s="57">
        <f>IF(TblImps[[#This Row],[Resource]]=BN$2,IF(TblImps[[#This Row],[Part]]=$AC$2,TblImps[[#This Row],[Amount]]*ore_invest)) + IF(TblImps[[#This Row],[Resource 2]]=BN$2,IF(TblImps[[#This Row],[Part 2]]=$AC$2,TblImps[[#This Row],[Amount 2]]*ore_invest)) + IF(TblImps[[#This Row],[Resource 3]]=BN$2,IF(TblImps[[#This Row],[Part 3]]=$AC$2,TblImps[[#This Row],[Amount 3]]*ore_invest))</f>
        <v>0</v>
      </c>
      <c r="BO136" s="57">
        <f>IF(TblImps[[#This Row],[Resource]]=BO$2,IF(TblImps[[#This Row],[Part]]=$AC$2,TblImps[[#This Row],[Amount]]*gem_invest)) + IF(TblImps[[#This Row],[Resource 2]]=BO$2,IF(TblImps[[#This Row],[Part 2]]=$AC$2,TblImps[[#This Row],[Amount 2]]*gem_invest)) + IF(TblImps[[#This Row],[Resource 3]]=BO$2,IF(TblImps[[#This Row],[Part 3]]=$AC$2,TblImps[[#This Row],[Amount 3]]*gem_invest))</f>
        <v>0</v>
      </c>
      <c r="BP136" s="142"/>
      <c r="BQ136" s="57">
        <f>IF(TblImps[[#This Row],[Resource]]=BQ$2,IF(TblImps[[#This Row],[Part]]=$AD$2,TblImps[[#This Row],[Amount]]*plat_invest)) + IF(TblImps[[#This Row],[Resource 2]]=BQ$2,IF(TblImps[[#This Row],[Part 2]]=$AD$2,TblImps[[#This Row],[Amount 2]]*plat_invest)) + IF(TblImps[[#This Row],[Resource 3]]=BQ$2,IF(TblImps[[#This Row],[Part 3]]=$AD$2,TblImps[[#This Row],[Amount 3]]*plat_invest))</f>
        <v>0</v>
      </c>
      <c r="BR136" s="57">
        <f>IF(TblImps[[#This Row],[Resource]]=BR$2,IF(TblImps[[#This Row],[Part]]=$AD$2,TblImps[[#This Row],[Amount]]*lumber_invest)) + IF(TblImps[[#This Row],[Resource 2]]=BR$2,IF(TblImps[[#This Row],[Part 2]]=$AD$2,TblImps[[#This Row],[Amount 2]]*lumber_invest)) + IF(TblImps[[#This Row],[Resource 3]]=BR$2,IF(TblImps[[#This Row],[Part 3]]=$AD$2,TblImps[[#This Row],[Amount 3]]*lumber_invest))</f>
        <v>0</v>
      </c>
      <c r="BS136" s="57">
        <f>IF(TblImps[[#This Row],[Resource]]=BS$2,IF(TblImps[[#This Row],[Part]]=$AD$2,TblImps[[#This Row],[Amount]]*ore_invest)) + IF(TblImps[[#This Row],[Resource 2]]=BS$2,IF(TblImps[[#This Row],[Part 2]]=$AD$2,TblImps[[#This Row],[Amount 2]]*ore_invest)) + IF(TblImps[[#This Row],[Resource 3]]=BS$2,IF(TblImps[[#This Row],[Part 3]]=$AD$2,TblImps[[#This Row],[Amount 3]]*ore_invest))</f>
        <v>0</v>
      </c>
      <c r="BT136" s="57">
        <f>IF(TblImps[[#This Row],[Resource]]=BT$2,IF(TblImps[[#This Row],[Part]]=$AD$2,TblImps[[#This Row],[Amount]]*gem_invest)) + IF(TblImps[[#This Row],[Resource 2]]=BT$2,IF(TblImps[[#This Row],[Part 2]]=$AD$2,TblImps[[#This Row],[Amount 2]]*gem_invest)) + IF(TblImps[[#This Row],[Resource 3]]=BT$2,IF(TblImps[[#This Row],[Part 3]]=$AD$2,TblImps[[#This Row],[Amount 3]]*gem_invest))</f>
        <v>0</v>
      </c>
      <c r="BU136" s="142"/>
      <c r="BV136" s="45" t="e">
        <f>OR(TblProd[[#This Row],[Plat Bonus]],TblConstr[[#This Row],[Hom]:[Doc]],TblConstr[[#This Row],[Dest Hom]:[Dest Doc]],TblExplore[[#This Row],[Land Bonus]:[Water Explore]],TblMili[[#This Row],[Train Unit 1]:[Train AM]],TblMili[[#This Row],[Set]],TblMili[[#This Row],[Release Draft]:[Release AM]],TblRezone[[#This Row],[Plains Rezone]:[Water Rezone]],TblMagic[[#This Row],[Gaia''s Watch]:[Useless spell]])</f>
        <v>#VALUE!</v>
      </c>
      <c r="BW136" s="61">
        <f>TblImps[[#This Row],[Login]]</f>
        <v>0</v>
      </c>
      <c r="BX136" s="137"/>
      <c r="BY136" s="293">
        <f ca="1">OFFSET(TblImps[[#This Row],[Real time]],-1,0)+1/24</f>
        <v>46052.49999999968</v>
      </c>
      <c r="BZ136" s="294">
        <f ca="1">OFFSET(TblImps[[#This Row],[Servertime]],-1,0)+1/24</f>
        <v>46052.49999999968</v>
      </c>
      <c r="CA136" s="57"/>
      <c r="CB136" s="292"/>
      <c r="CC136" s="292"/>
    </row>
    <row r="1269" spans="2:23" x14ac:dyDescent="0.2">
      <c r="B1269" s="530" t="s">
        <v>314</v>
      </c>
      <c r="C1269" s="486"/>
      <c r="W1269" s="134"/>
    </row>
    <row r="1270" spans="2:23" x14ac:dyDescent="0.2">
      <c r="B1270" s="28">
        <f>Overview!E17</f>
        <v>0</v>
      </c>
      <c r="C1270" s="28"/>
      <c r="W1270" s="134"/>
    </row>
  </sheetData>
  <mergeCells count="9">
    <mergeCell ref="BB1:BE1"/>
    <mergeCell ref="BG1:BI1"/>
    <mergeCell ref="BL1:BN1"/>
    <mergeCell ref="BQ1:BS1"/>
    <mergeCell ref="B1269:C1269"/>
    <mergeCell ref="AR1:AT1"/>
    <mergeCell ref="AW1:AY1"/>
    <mergeCell ref="AM1:AN1"/>
    <mergeCell ref="AF1:AG1"/>
  </mergeCells>
  <phoneticPr fontId="0" type="noConversion"/>
  <conditionalFormatting sqref="IV29207:IV65010 CD1271:IV60115 A1271:CC60158 A137:XFD1268">
    <cfRule type="expression" dxfId="134" priority="8" stopIfTrue="1">
      <formula>ROW()-2=#REF!</formula>
    </cfRule>
  </conditionalFormatting>
  <conditionalFormatting sqref="A1269:CC1269">
    <cfRule type="expression" dxfId="133" priority="9" stopIfTrue="1">
      <formula>$B$1270&gt;84</formula>
    </cfRule>
  </conditionalFormatting>
  <conditionalFormatting sqref="A1269:XFD1270">
    <cfRule type="expression" dxfId="132" priority="10" stopIfTrue="1">
      <formula>$B$1270&gt;144</formula>
    </cfRule>
  </conditionalFormatting>
  <conditionalFormatting sqref="BV76">
    <cfRule type="expression" dxfId="131" priority="20" stopIfTrue="1">
      <formula>ISERROR(BV76)</formula>
    </cfRule>
  </conditionalFormatting>
  <conditionalFormatting sqref="A4:BZ136">
    <cfRule type="expression" dxfId="130" priority="1" stopIfTrue="1">
      <formula>ROW()-3=$B$1270</formula>
    </cfRule>
    <cfRule type="expression" dxfId="129" priority="2" stopIfTrue="1">
      <formula>OR(ROW()-3=$B$1270,A4&lt;0)</formula>
    </cfRule>
    <cfRule type="expression" dxfId="128" priority="7">
      <formula>$K4=37</formula>
    </cfRule>
    <cfRule type="expression" dxfId="127" priority="12">
      <formula>ROUND(($K4-1)/12,0)=INT($K4-1)/12</formula>
    </cfRule>
  </conditionalFormatting>
  <conditionalFormatting sqref="BV4:BV136">
    <cfRule type="expression" dxfId="126" priority="15" stopIfTrue="1">
      <formula>AND(ROW()-3=$B$1270,ISERROR(BV4))</formula>
    </cfRule>
    <cfRule type="expression" dxfId="125" priority="17" stopIfTrue="1">
      <formula>ISERROR(BV4)</formula>
    </cfRule>
  </conditionalFormatting>
  <conditionalFormatting sqref="A1:XFD3">
    <cfRule type="expression" dxfId="124" priority="3">
      <formula>$B$1270&lt;0</formula>
    </cfRule>
  </conditionalFormatting>
  <dataValidations count="2">
    <dataValidation type="list" allowBlank="1" showInputMessage="1" showErrorMessage="1" sqref="R4:R136 U4:U136 O4:O136" xr:uid="{00000000-0002-0000-0900-000000000000}">
      <formula1>resources</formula1>
    </dataValidation>
    <dataValidation type="list" allowBlank="1" showInputMessage="1" showErrorMessage="1" sqref="W4:W136 T4:T136 Q4:Q136" xr:uid="{00000000-0002-0000-0900-000001000000}">
      <formula1>Imps</formula1>
    </dataValidation>
  </dataValidations>
  <pageMargins left="0.75" right="0.75" top="1" bottom="1" header="0.5" footer="0.5"/>
  <pageSetup paperSize="9" orientation="portrait" horizontalDpi="300" verticalDpi="300" r:id="rId1"/>
  <headerFooter alignWithMargins="0"/>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iconSet" priority="11" id="{36452D62-1301-4675-8320-78C9A35D59AC}">
            <x14:iconSet iconSet="3Symbols2" showValue="0" custom="1">
              <x14:cfvo type="percent">
                <xm:f>0</xm:f>
              </x14:cfvo>
              <x14:cfvo type="num">
                <xm:f>0</xm:f>
              </x14:cfvo>
              <x14:cfvo type="num">
                <xm:f>1</xm:f>
              </x14:cfvo>
              <x14:cfIcon iconSet="NoIcons" iconId="0"/>
              <x14:cfIcon iconSet="NoIcons" iconId="0"/>
              <x14:cfIcon iconSet="3Symbols2" iconId="2"/>
            </x14:iconSet>
          </x14:cfRule>
          <xm:sqref>M4:M136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tabColor theme="0" tint="-0.499984740745262"/>
  </sheetPr>
  <dimension ref="H16:P28"/>
  <sheetViews>
    <sheetView zoomScale="85" zoomScaleNormal="85" workbookViewId="0">
      <selection activeCell="I28" sqref="I28 P16"/>
    </sheetView>
  </sheetViews>
  <sheetFormatPr defaultRowHeight="12.75" x14ac:dyDescent="0.2"/>
  <cols>
    <col min="1" max="17" width="10.85546875" customWidth="1"/>
    <col min="18" max="18" width="10.140625" customWidth="1"/>
  </cols>
  <sheetData>
    <row r="16" spans="15:16" x14ac:dyDescent="0.2">
      <c r="O16" s="5" t="s">
        <v>470</v>
      </c>
      <c r="P16" s="39"/>
    </row>
    <row r="27" spans="8:9" ht="12.75" customHeight="1" x14ac:dyDescent="0.2"/>
    <row r="28" spans="8:9" x14ac:dyDescent="0.2">
      <c r="H28" s="28" t="s">
        <v>470</v>
      </c>
      <c r="I28" s="39"/>
    </row>
  </sheetData>
  <phoneticPr fontId="0" type="noConversion"/>
  <dataValidations count="1">
    <dataValidation type="whole" allowBlank="1" showInputMessage="1" showErrorMessage="1" sqref="I28" xr:uid="{00000000-0002-0000-0A00-000000000000}">
      <formula1>0</formula1>
      <formula2>132</formula2>
    </dataValidation>
  </dataValidations>
  <pageMargins left="0.75" right="0.75" top="1" bottom="1" header="0.5" footer="0.5"/>
  <pageSetup orientation="portrait"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Sheet13.loghr">
                <anchor moveWithCells="1">
                  <from>
                    <xdr:col>13</xdr:col>
                    <xdr:colOff>552450</xdr:colOff>
                    <xdr:row>2</xdr:row>
                    <xdr:rowOff>9525</xdr:rowOff>
                  </from>
                  <to>
                    <xdr:col>16</xdr:col>
                    <xdr:colOff>133350</xdr:colOff>
                    <xdr:row>4</xdr:row>
                    <xdr:rowOff>0</xdr:rowOff>
                  </to>
                </anchor>
              </controlPr>
            </control>
          </mc:Choice>
        </mc:AlternateContent>
        <mc:AlternateContent xmlns:mc="http://schemas.openxmlformats.org/markup-compatibility/2006">
          <mc:Choice Requires="x14">
            <control shapeId="7171" r:id="rId5" name="Button 3">
              <controlPr defaultSize="0" print="0" autoFill="0" autoPict="0" macro="[0]!Sheet13.TextboxCopy">
                <anchor moveWithCells="1">
                  <from>
                    <xdr:col>13</xdr:col>
                    <xdr:colOff>552450</xdr:colOff>
                    <xdr:row>5</xdr:row>
                    <xdr:rowOff>9525</xdr:rowOff>
                  </from>
                  <to>
                    <xdr:col>16</xdr:col>
                    <xdr:colOff>133350</xdr:colOff>
                    <xdr:row>7</xdr:row>
                    <xdr:rowOff>0</xdr:rowOff>
                  </to>
                </anchor>
              </controlPr>
            </control>
          </mc:Choice>
        </mc:AlternateContent>
        <mc:AlternateContent xmlns:mc="http://schemas.openxmlformats.org/markup-compatibility/2006">
          <mc:Choice Requires="x14">
            <control shapeId="7172" r:id="rId6" name="Button 4">
              <controlPr defaultSize="0" print="0" autoFill="0" autoPict="0" macro="[0]!Sheet13.clear">
                <anchor moveWithCells="1">
                  <from>
                    <xdr:col>13</xdr:col>
                    <xdr:colOff>552450</xdr:colOff>
                    <xdr:row>8</xdr:row>
                    <xdr:rowOff>95250</xdr:rowOff>
                  </from>
                  <to>
                    <xdr:col>16</xdr:col>
                    <xdr:colOff>133350</xdr:colOff>
                    <xdr:row>10</xdr:row>
                    <xdr:rowOff>76200</xdr:rowOff>
                  </to>
                </anchor>
              </controlPr>
            </control>
          </mc:Choice>
        </mc:AlternateContent>
        <mc:AlternateContent xmlns:mc="http://schemas.openxmlformats.org/markup-compatibility/2006">
          <mc:Choice Requires="x14">
            <control shapeId="7173" r:id="rId7" name="Button 5">
              <controlPr defaultSize="0" print="0" autoFill="0" autoPict="0" macro="[0]!Sheet13.currenthour">
                <anchor moveWithCells="1">
                  <from>
                    <xdr:col>13</xdr:col>
                    <xdr:colOff>542925</xdr:colOff>
                    <xdr:row>11</xdr:row>
                    <xdr:rowOff>114300</xdr:rowOff>
                  </from>
                  <to>
                    <xdr:col>16</xdr:col>
                    <xdr:colOff>133350</xdr:colOff>
                    <xdr:row>13</xdr:row>
                    <xdr:rowOff>95250</xdr:rowOff>
                  </to>
                </anchor>
              </controlPr>
            </control>
          </mc:Choice>
        </mc:AlternateContent>
        <mc:AlternateContent xmlns:mc="http://schemas.openxmlformats.org/markup-compatibility/2006">
          <mc:Choice Requires="x14">
            <control shapeId="7193" r:id="rId8" name="Button 25">
              <controlPr defaultSize="0" print="0" autoFill="0" autoPict="0" macro="[0]!Sheet13.stats">
                <anchor moveWithCells="1">
                  <from>
                    <xdr:col>6</xdr:col>
                    <xdr:colOff>771525</xdr:colOff>
                    <xdr:row>29</xdr:row>
                    <xdr:rowOff>47625</xdr:rowOff>
                  </from>
                  <to>
                    <xdr:col>9</xdr:col>
                    <xdr:colOff>133350</xdr:colOff>
                    <xdr:row>31</xdr:row>
                    <xdr:rowOff>38100</xdr:rowOff>
                  </to>
                </anchor>
              </controlPr>
            </control>
          </mc:Choice>
        </mc:AlternateContent>
        <mc:AlternateContent xmlns:mc="http://schemas.openxmlformats.org/markup-compatibility/2006">
          <mc:Choice Requires="x14">
            <control shapeId="7194" r:id="rId9" name="Button 26">
              <controlPr defaultSize="0" print="0" autoFill="0" autoPict="0" macro="[0]!Sheet13.StatCopy">
                <anchor moveWithCells="1">
                  <from>
                    <xdr:col>6</xdr:col>
                    <xdr:colOff>771525</xdr:colOff>
                    <xdr:row>32</xdr:row>
                    <xdr:rowOff>95250</xdr:rowOff>
                  </from>
                  <to>
                    <xdr:col>9</xdr:col>
                    <xdr:colOff>133350</xdr:colOff>
                    <xdr:row>34</xdr:row>
                    <xdr:rowOff>76200</xdr:rowOff>
                  </to>
                </anchor>
              </controlPr>
            </control>
          </mc:Choice>
        </mc:AlternateContent>
        <mc:AlternateContent xmlns:mc="http://schemas.openxmlformats.org/markup-compatibility/2006">
          <mc:Choice Requires="x14">
            <control shapeId="7195" r:id="rId10" name="Button 27">
              <controlPr defaultSize="0" print="0" autoFill="0" autoPict="0" macro="[0]!Sheet13.clearstat">
                <anchor moveWithCells="1">
                  <from>
                    <xdr:col>6</xdr:col>
                    <xdr:colOff>771525</xdr:colOff>
                    <xdr:row>35</xdr:row>
                    <xdr:rowOff>133350</xdr:rowOff>
                  </from>
                  <to>
                    <xdr:col>9</xdr:col>
                    <xdr:colOff>133350</xdr:colOff>
                    <xdr:row>37</xdr:row>
                    <xdr:rowOff>133350</xdr:rowOff>
                  </to>
                </anchor>
              </controlPr>
            </control>
          </mc:Choice>
        </mc:AlternateContent>
        <mc:AlternateContent xmlns:mc="http://schemas.openxmlformats.org/markup-compatibility/2006">
          <mc:Choice Requires="x14">
            <control shapeId="7203" r:id="rId11" name="Button 35">
              <controlPr defaultSize="0" print="0" autoFill="0" autoPict="0" macro="[0]!AdvanceTick">
                <anchor moveWithCells="1">
                  <from>
                    <xdr:col>13</xdr:col>
                    <xdr:colOff>504825</xdr:colOff>
                    <xdr:row>16</xdr:row>
                    <xdr:rowOff>123825</xdr:rowOff>
                  </from>
                  <to>
                    <xdr:col>16</xdr:col>
                    <xdr:colOff>95250</xdr:colOff>
                    <xdr:row>18</xdr:row>
                    <xdr:rowOff>104775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6FCED-2F89-46C5-BB67-1E4F2922A8C7}">
  <sheetPr codeName="Sheet15">
    <tabColor theme="0" tint="-0.499984740745262"/>
  </sheetPr>
  <dimension ref="B2:L125"/>
  <sheetViews>
    <sheetView workbookViewId="0">
      <selection activeCell="B3" sqref="B3"/>
    </sheetView>
  </sheetViews>
  <sheetFormatPr defaultColWidth="9.140625" defaultRowHeight="15" x14ac:dyDescent="0.25"/>
  <cols>
    <col min="1" max="1" width="3.28515625" style="40" customWidth="1"/>
    <col min="2" max="2" width="25.28515625" style="40" customWidth="1"/>
    <col min="3" max="3" width="8.5703125" style="40" customWidth="1"/>
    <col min="4" max="5" width="11.140625" style="40" customWidth="1"/>
    <col min="6" max="6" width="5.28515625" style="40" customWidth="1"/>
    <col min="7" max="16384" width="9.140625" style="40"/>
  </cols>
  <sheetData>
    <row r="2" spans="2:5" s="41" customFormat="1" ht="27" customHeight="1" x14ac:dyDescent="0.25">
      <c r="B2" s="41" t="s">
        <v>256</v>
      </c>
      <c r="C2" s="41" t="s">
        <v>995</v>
      </c>
      <c r="D2" s="41" t="s">
        <v>928</v>
      </c>
      <c r="E2" s="41" t="s">
        <v>997</v>
      </c>
    </row>
    <row r="3" spans="2:5" ht="15.75" x14ac:dyDescent="0.25">
      <c r="B3" s="40" t="s">
        <v>974</v>
      </c>
      <c r="C3" s="42" t="s">
        <v>72</v>
      </c>
      <c r="D3" s="40">
        <f>_xlfn.IFNA(INDEX(TblConstr[],MATCH(Log!$I$28,TblConstr[Hour],0),MATCH(TblStats[[#This Row],[Abbr]],TblConstr[#Headers],0)),0)</f>
        <v>0</v>
      </c>
      <c r="E3" s="43" t="e">
        <f>TblStats[[#This Row],[Number]]/INDEX(TblConstr[[Hour]:[Land]],MATCH(Log!$I$28,TblConstr[Hour],0),6)</f>
        <v>#N/A</v>
      </c>
    </row>
    <row r="4" spans="2:5" ht="15.75" x14ac:dyDescent="0.25">
      <c r="B4" s="40" t="s">
        <v>975</v>
      </c>
      <c r="C4" s="42" t="s">
        <v>71</v>
      </c>
      <c r="D4" s="40">
        <f>_xlfn.IFNA(INDEX(TblConstr[],MATCH(Log!$I$28,TblConstr[Hour],0),MATCH(TblStats[[#This Row],[Abbr]],TblConstr[#Headers],0)),0)</f>
        <v>0</v>
      </c>
      <c r="E4" s="43" t="e">
        <f>TblStats[[#This Row],[Number]]/INDEX(TblConstr[[Hour]:[Land]],MATCH(Log!$I$28,TblConstr[Hour],0),6)</f>
        <v>#N/A</v>
      </c>
    </row>
    <row r="5" spans="2:5" ht="15.75" x14ac:dyDescent="0.25">
      <c r="B5" s="40" t="s">
        <v>977</v>
      </c>
      <c r="C5" s="42" t="s">
        <v>70</v>
      </c>
      <c r="D5" s="40">
        <f>_xlfn.IFNA(INDEX(TblConstr[],MATCH(Log!$I$28,TblConstr[Hour],0),MATCH(TblStats[[#This Row],[Abbr]],TblConstr[#Headers],0)),0)</f>
        <v>0</v>
      </c>
      <c r="E5" s="43" t="e">
        <f>TblStats[[#This Row],[Number]]/INDEX(TblConstr[[Hour]:[Land]],MATCH(Log!$I$28,TblConstr[Hour],0),6)</f>
        <v>#N/A</v>
      </c>
    </row>
    <row r="6" spans="2:5" ht="15.75" x14ac:dyDescent="0.25">
      <c r="B6" s="40" t="s">
        <v>976</v>
      </c>
      <c r="C6" s="42" t="s">
        <v>69</v>
      </c>
      <c r="D6" s="40">
        <f>_xlfn.IFNA(INDEX(TblConstr[],MATCH(Log!$I$28,TblConstr[Hour],0),MATCH(TblStats[[#This Row],[Abbr]],TblConstr[#Headers],0)),0)</f>
        <v>0</v>
      </c>
      <c r="E6" s="43" t="e">
        <f>TblStats[[#This Row],[Number]]/INDEX(TblConstr[[Hour]:[Land]],MATCH(Log!$I$28,TblConstr[Hour],0),6)</f>
        <v>#N/A</v>
      </c>
    </row>
    <row r="7" spans="2:5" ht="15.75" x14ac:dyDescent="0.25">
      <c r="B7" s="40" t="s">
        <v>978</v>
      </c>
      <c r="C7" s="42" t="s">
        <v>68</v>
      </c>
      <c r="D7" s="40">
        <f>_xlfn.IFNA(INDEX(TblConstr[],MATCH(Log!$I$28,TblConstr[Hour],0),MATCH(TblStats[[#This Row],[Abbr]],TblConstr[#Headers],0)),0)</f>
        <v>0</v>
      </c>
      <c r="E7" s="43" t="e">
        <f>TblStats[[#This Row],[Number]]/INDEX(TblConstr[[Hour]:[Land]],MATCH(Log!$I$28,TblConstr[Hour],0),6)</f>
        <v>#N/A</v>
      </c>
    </row>
    <row r="8" spans="2:5" ht="15.75" x14ac:dyDescent="0.25">
      <c r="B8" s="40" t="s">
        <v>979</v>
      </c>
      <c r="C8" s="42" t="s">
        <v>63</v>
      </c>
      <c r="D8" s="40">
        <f>_xlfn.IFNA(INDEX(TblConstr[],MATCH(Log!$I$28,TblConstr[Hour],0),MATCH(TblStats[[#This Row],[Abbr]],TblConstr[#Headers],0)),0)</f>
        <v>0</v>
      </c>
      <c r="E8" s="43" t="e">
        <f>TblStats[[#This Row],[Number]]/INDEX(TblConstr[[Hour]:[Land]],MATCH(Log!$I$28,TblConstr[Hour],0),6)</f>
        <v>#N/A</v>
      </c>
    </row>
    <row r="9" spans="2:5" ht="15.75" x14ac:dyDescent="0.25">
      <c r="B9" s="40" t="s">
        <v>980</v>
      </c>
      <c r="C9" s="42" t="s">
        <v>346</v>
      </c>
      <c r="D9" s="40">
        <f>_xlfn.IFNA(INDEX(TblConstr[],MATCH(Log!$I$28,TblConstr[Hour],0),MATCH(TblStats[[#This Row],[Abbr]],TblConstr[#Headers],0)),0)</f>
        <v>0</v>
      </c>
      <c r="E9" s="43" t="e">
        <f>TblStats[[#This Row],[Number]]/INDEX(TblConstr[[Hour]:[Land]],MATCH(Log!$I$28,TblConstr[Hour],0),6)</f>
        <v>#N/A</v>
      </c>
    </row>
    <row r="10" spans="2:5" ht="15.75" x14ac:dyDescent="0.25">
      <c r="B10" s="40" t="s">
        <v>981</v>
      </c>
      <c r="C10" s="42" t="s">
        <v>64</v>
      </c>
      <c r="D10" s="40">
        <f>_xlfn.IFNA(INDEX(TblConstr[],MATCH(Log!$I$28,TblConstr[Hour],0),MATCH(TblStats[[#This Row],[Abbr]],TblConstr[#Headers],0)),0)</f>
        <v>0</v>
      </c>
      <c r="E10" s="43" t="e">
        <f>TblStats[[#This Row],[Number]]/INDEX(TblConstr[[Hour]:[Land]],MATCH(Log!$I$28,TblConstr[Hour],0),6)</f>
        <v>#N/A</v>
      </c>
    </row>
    <row r="11" spans="2:5" ht="15.75" x14ac:dyDescent="0.25">
      <c r="B11" s="40" t="s">
        <v>982</v>
      </c>
      <c r="C11" s="42" t="s">
        <v>65</v>
      </c>
      <c r="D11" s="40">
        <f>_xlfn.IFNA(INDEX(TblConstr[],MATCH(Log!$I$28,TblConstr[Hour],0),MATCH(TblStats[[#This Row],[Abbr]],TblConstr[#Headers],0)),0)</f>
        <v>0</v>
      </c>
      <c r="E11" s="43" t="e">
        <f>TblStats[[#This Row],[Number]]/INDEX(TblConstr[[Hour]:[Land]],MATCH(Log!$I$28,TblConstr[Hour],0),6)</f>
        <v>#N/A</v>
      </c>
    </row>
    <row r="12" spans="2:5" ht="15.75" x14ac:dyDescent="0.25">
      <c r="B12" s="40" t="s">
        <v>983</v>
      </c>
      <c r="C12" s="42" t="s">
        <v>66</v>
      </c>
      <c r="D12" s="40">
        <f>_xlfn.IFNA(INDEX(TblConstr[],MATCH(Log!$I$28,TblConstr[Hour],0),MATCH(TblStats[[#This Row],[Abbr]],TblConstr[#Headers],0)),0)</f>
        <v>0</v>
      </c>
      <c r="E12" s="43" t="e">
        <f>TblStats[[#This Row],[Number]]/INDEX(TblConstr[[Hour]:[Land]],MATCH(Log!$I$28,TblConstr[Hour],0),6)</f>
        <v>#N/A</v>
      </c>
    </row>
    <row r="13" spans="2:5" ht="15.75" x14ac:dyDescent="0.25">
      <c r="B13" s="40" t="s">
        <v>984</v>
      </c>
      <c r="C13" s="42" t="s">
        <v>67</v>
      </c>
      <c r="D13" s="40">
        <f>_xlfn.IFNA(INDEX(TblConstr[],MATCH(Log!$I$28,TblConstr[Hour],0),MATCH(TblStats[[#This Row],[Abbr]],TblConstr[#Headers],0)),0)</f>
        <v>0</v>
      </c>
      <c r="E13" s="43" t="e">
        <f>TblStats[[#This Row],[Number]]/INDEX(TblConstr[[Hour]:[Land]],MATCH(Log!$I$28,TblConstr[Hour],0),6)</f>
        <v>#N/A</v>
      </c>
    </row>
    <row r="14" spans="2:5" ht="15.75" x14ac:dyDescent="0.25">
      <c r="B14" s="40" t="s">
        <v>985</v>
      </c>
      <c r="C14" s="42" t="s">
        <v>348</v>
      </c>
      <c r="D14" s="40">
        <f>_xlfn.IFNA(INDEX(TblConstr[],MATCH(Log!$I$28,TblConstr[Hour],0),MATCH(TblStats[[#This Row],[Abbr]],TblConstr[#Headers],0)),0)</f>
        <v>0</v>
      </c>
      <c r="E14" s="43" t="e">
        <f>TblStats[[#This Row],[Number]]/INDEX(TblConstr[[Hour]:[Land]],MATCH(Log!$I$28,TblConstr[Hour],0),6)</f>
        <v>#N/A</v>
      </c>
    </row>
    <row r="15" spans="2:5" ht="15.75" x14ac:dyDescent="0.25">
      <c r="B15" s="40" t="s">
        <v>986</v>
      </c>
      <c r="C15" s="42" t="s">
        <v>351</v>
      </c>
      <c r="D15" s="40">
        <f>_xlfn.IFNA(INDEX(TblConstr[],MATCH(Log!$I$28,TblConstr[Hour],0),MATCH(TblStats[[#This Row],[Abbr]],TblConstr[#Headers],0)),0)</f>
        <v>0</v>
      </c>
      <c r="E15" s="43" t="e">
        <f>TblStats[[#This Row],[Number]]/INDEX(TblConstr[[Hour]:[Land]],MATCH(Log!$I$28,TblConstr[Hour],0),6)</f>
        <v>#N/A</v>
      </c>
    </row>
    <row r="16" spans="2:5" ht="15.75" x14ac:dyDescent="0.25">
      <c r="B16" s="40" t="s">
        <v>987</v>
      </c>
      <c r="C16" s="42" t="s">
        <v>74</v>
      </c>
      <c r="D16" s="40">
        <f>_xlfn.IFNA(INDEX(TblConstr[],MATCH(Log!$I$28,TblConstr[Hour],0),MATCH(TblStats[[#This Row],[Abbr]],TblConstr[#Headers],0)),0)</f>
        <v>0</v>
      </c>
      <c r="E16" s="43" t="e">
        <f>TblStats[[#This Row],[Number]]/INDEX(TblConstr[[Hour]:[Land]],MATCH(Log!$I$28,TblConstr[Hour],0),6)</f>
        <v>#N/A</v>
      </c>
    </row>
    <row r="17" spans="2:12" ht="15.75" x14ac:dyDescent="0.25">
      <c r="B17" s="40" t="s">
        <v>988</v>
      </c>
      <c r="C17" s="42" t="s">
        <v>349</v>
      </c>
      <c r="D17" s="40">
        <f>_xlfn.IFNA(INDEX(TblConstr[],MATCH(Log!$I$28,TblConstr[Hour],0),MATCH(TblStats[[#This Row],[Abbr]],TblConstr[#Headers],0)),0)</f>
        <v>0</v>
      </c>
      <c r="E17" s="43" t="e">
        <f>TblStats[[#This Row],[Number]]/INDEX(TblConstr[[Hour]:[Land]],MATCH(Log!$I$28,TblConstr[Hour],0),6)</f>
        <v>#N/A</v>
      </c>
    </row>
    <row r="18" spans="2:12" ht="15.75" x14ac:dyDescent="0.25">
      <c r="B18" s="40" t="s">
        <v>989</v>
      </c>
      <c r="C18" s="42" t="s">
        <v>295</v>
      </c>
      <c r="D18" s="40">
        <f>_xlfn.IFNA(INDEX(TblConstr[],MATCH(Log!$I$28,TblConstr[Hour],0),MATCH(TblStats[[#This Row],[Abbr]],TblConstr[#Headers],0)),0)</f>
        <v>0</v>
      </c>
      <c r="E18" s="43" t="e">
        <f>TblStats[[#This Row],[Number]]/INDEX(TblConstr[[Hour]:[Land]],MATCH(Log!$I$28,TblConstr[Hour],0),6)</f>
        <v>#N/A</v>
      </c>
    </row>
    <row r="19" spans="2:12" ht="15.75" x14ac:dyDescent="0.25">
      <c r="B19" s="40" t="s">
        <v>990</v>
      </c>
      <c r="C19" s="42" t="s">
        <v>75</v>
      </c>
      <c r="D19" s="40">
        <f>_xlfn.IFNA(INDEX(TblConstr[],MATCH(Log!$I$28,TblConstr[Hour],0),MATCH(TblStats[[#This Row],[Abbr]],TblConstr[#Headers],0)),0)</f>
        <v>0</v>
      </c>
      <c r="E19" s="43" t="e">
        <f>TblStats[[#This Row],[Number]]/INDEX(TblConstr[[Hour]:[Land]],MATCH(Log!$I$28,TblConstr[Hour],0),6)</f>
        <v>#N/A</v>
      </c>
    </row>
    <row r="20" spans="2:12" ht="15.75" x14ac:dyDescent="0.25">
      <c r="B20" s="40" t="s">
        <v>991</v>
      </c>
      <c r="C20" s="42" t="s">
        <v>369</v>
      </c>
      <c r="D20" s="40">
        <f>_xlfn.IFNA(INDEX(TblConstr[],MATCH(Log!$I$28,TblConstr[Hour],0),MATCH(TblStats[[#This Row],[Abbr]],TblConstr[#Headers],0)),0)</f>
        <v>0</v>
      </c>
      <c r="E20" s="43" t="e">
        <f>TblStats[[#This Row],[Number]]/INDEX(TblConstr[[Hour]:[Land]],MATCH(Log!$I$28,TblConstr[Hour],0),6)</f>
        <v>#N/A</v>
      </c>
    </row>
    <row r="21" spans="2:12" ht="15.75" x14ac:dyDescent="0.25">
      <c r="B21" s="40" t="s">
        <v>992</v>
      </c>
      <c r="C21" s="42" t="s">
        <v>76</v>
      </c>
      <c r="D21" s="40">
        <f>_xlfn.IFNA(INDEX(TblConstr[],MATCH(Log!$I$28,TblConstr[Hour],0),MATCH(TblStats[[#This Row],[Abbr]],TblConstr[#Headers],0)),0)</f>
        <v>0</v>
      </c>
      <c r="E21" s="43" t="e">
        <f>TblStats[[#This Row],[Number]]/INDEX(TblConstr[[Hour]:[Land]],MATCH(Log!$I$28,TblConstr[Hour],0),6)</f>
        <v>#N/A</v>
      </c>
    </row>
    <row r="22" spans="2:12" x14ac:dyDescent="0.25">
      <c r="B22" s="40" t="s">
        <v>993</v>
      </c>
      <c r="C22" s="40" t="s">
        <v>54</v>
      </c>
      <c r="D22" s="40">
        <f>_xlfn.IFNA(INDEX(TblConstr[],MATCH(Log!$I$28,TblConstr[Hour],0),MATCH(TblStats[[#This Row],[Abbr]],TblConstr[#Headers],0)),0)</f>
        <v>0</v>
      </c>
      <c r="E22" s="43" t="e">
        <f>TblStats[[#This Row],[Number]]/INDEX(TblConstr[[Hour]:[Land]],MATCH(Log!$I$28,TblConstr[Hour],0),6)</f>
        <v>#N/A</v>
      </c>
    </row>
    <row r="23" spans="2:12" x14ac:dyDescent="0.25">
      <c r="B23" s="40" t="s">
        <v>994</v>
      </c>
      <c r="C23" s="40" t="s">
        <v>996</v>
      </c>
      <c r="D23" s="40">
        <f>_xlfn.IFNA(INDEX(TblConstr[],MATCH(Log!$I$28,TblConstr[Hour],0),MATCH(TblStats[[#This Row],[Abbr]],TblConstr[#Headers],0)),0)</f>
        <v>0</v>
      </c>
      <c r="E23" s="43" t="e">
        <f>TblStats[[#This Row],[Number]]/INDEX(TblConstr[[Hour]:[Land]],MATCH(Log!$I$28,TblConstr[Hour],0),6)</f>
        <v>#N/A</v>
      </c>
    </row>
    <row r="24" spans="2:12" x14ac:dyDescent="0.25">
      <c r="E24" s="43"/>
    </row>
    <row r="25" spans="2:12" x14ac:dyDescent="0.25">
      <c r="E25" s="43"/>
    </row>
    <row r="26" spans="2:12" x14ac:dyDescent="0.25">
      <c r="E26" s="43"/>
    </row>
    <row r="27" spans="2:12" x14ac:dyDescent="0.25">
      <c r="E27" s="43"/>
    </row>
    <row r="28" spans="2:12" x14ac:dyDescent="0.25">
      <c r="E28" s="43"/>
      <c r="L28" s="40" t="s">
        <v>973</v>
      </c>
    </row>
    <row r="29" spans="2:12" x14ac:dyDescent="0.25">
      <c r="E29" s="43"/>
    </row>
    <row r="30" spans="2:12" x14ac:dyDescent="0.25">
      <c r="E30" s="43"/>
    </row>
    <row r="31" spans="2:12" x14ac:dyDescent="0.25">
      <c r="E31" s="43"/>
    </row>
    <row r="32" spans="2:12" x14ac:dyDescent="0.25">
      <c r="E32" s="43"/>
    </row>
    <row r="33" spans="5:5" x14ac:dyDescent="0.25">
      <c r="E33" s="43"/>
    </row>
    <row r="34" spans="5:5" x14ac:dyDescent="0.25">
      <c r="E34" s="43"/>
    </row>
    <row r="35" spans="5:5" x14ac:dyDescent="0.25">
      <c r="E35" s="43"/>
    </row>
    <row r="36" spans="5:5" x14ac:dyDescent="0.25">
      <c r="E36" s="43"/>
    </row>
    <row r="37" spans="5:5" x14ac:dyDescent="0.25">
      <c r="E37" s="43"/>
    </row>
    <row r="38" spans="5:5" x14ac:dyDescent="0.25">
      <c r="E38" s="43"/>
    </row>
    <row r="39" spans="5:5" x14ac:dyDescent="0.25">
      <c r="E39" s="43"/>
    </row>
    <row r="40" spans="5:5" x14ac:dyDescent="0.25">
      <c r="E40" s="43"/>
    </row>
    <row r="41" spans="5:5" x14ac:dyDescent="0.25">
      <c r="E41" s="43"/>
    </row>
    <row r="42" spans="5:5" x14ac:dyDescent="0.25">
      <c r="E42" s="43"/>
    </row>
    <row r="43" spans="5:5" x14ac:dyDescent="0.25">
      <c r="E43" s="43"/>
    </row>
    <row r="44" spans="5:5" x14ac:dyDescent="0.25">
      <c r="E44" s="43"/>
    </row>
    <row r="45" spans="5:5" x14ac:dyDescent="0.25">
      <c r="E45" s="43"/>
    </row>
    <row r="46" spans="5:5" x14ac:dyDescent="0.25">
      <c r="E46" s="43"/>
    </row>
    <row r="47" spans="5:5" x14ac:dyDescent="0.25">
      <c r="E47" s="43"/>
    </row>
    <row r="48" spans="5:5" x14ac:dyDescent="0.25">
      <c r="E48" s="43"/>
    </row>
    <row r="49" spans="5:5" x14ac:dyDescent="0.25">
      <c r="E49" s="43"/>
    </row>
    <row r="50" spans="5:5" x14ac:dyDescent="0.25">
      <c r="E50" s="43"/>
    </row>
    <row r="51" spans="5:5" x14ac:dyDescent="0.25">
      <c r="E51" s="43"/>
    </row>
    <row r="52" spans="5:5" x14ac:dyDescent="0.25">
      <c r="E52" s="43"/>
    </row>
    <row r="53" spans="5:5" x14ac:dyDescent="0.25">
      <c r="E53" s="43"/>
    </row>
    <row r="54" spans="5:5" x14ac:dyDescent="0.25">
      <c r="E54" s="43"/>
    </row>
    <row r="55" spans="5:5" x14ac:dyDescent="0.25">
      <c r="E55" s="43"/>
    </row>
    <row r="56" spans="5:5" x14ac:dyDescent="0.25">
      <c r="E56" s="43"/>
    </row>
    <row r="57" spans="5:5" x14ac:dyDescent="0.25">
      <c r="E57" s="43"/>
    </row>
    <row r="58" spans="5:5" x14ac:dyDescent="0.25">
      <c r="E58" s="43"/>
    </row>
    <row r="59" spans="5:5" x14ac:dyDescent="0.25">
      <c r="E59" s="43"/>
    </row>
    <row r="60" spans="5:5" x14ac:dyDescent="0.25">
      <c r="E60" s="43"/>
    </row>
    <row r="61" spans="5:5" x14ac:dyDescent="0.25">
      <c r="E61" s="43"/>
    </row>
    <row r="62" spans="5:5" x14ac:dyDescent="0.25">
      <c r="E62" s="43"/>
    </row>
    <row r="63" spans="5:5" x14ac:dyDescent="0.25">
      <c r="E63" s="43"/>
    </row>
    <row r="64" spans="5:5" x14ac:dyDescent="0.25">
      <c r="E64" s="43"/>
    </row>
    <row r="65" spans="5:5" x14ac:dyDescent="0.25">
      <c r="E65" s="43"/>
    </row>
    <row r="66" spans="5:5" x14ac:dyDescent="0.25">
      <c r="E66" s="43"/>
    </row>
    <row r="67" spans="5:5" x14ac:dyDescent="0.25">
      <c r="E67" s="43"/>
    </row>
    <row r="68" spans="5:5" x14ac:dyDescent="0.25">
      <c r="E68" s="43"/>
    </row>
    <row r="69" spans="5:5" x14ac:dyDescent="0.25">
      <c r="E69" s="43"/>
    </row>
    <row r="70" spans="5:5" x14ac:dyDescent="0.25">
      <c r="E70" s="43"/>
    </row>
    <row r="71" spans="5:5" x14ac:dyDescent="0.25">
      <c r="E71" s="43"/>
    </row>
    <row r="72" spans="5:5" x14ac:dyDescent="0.25">
      <c r="E72" s="43"/>
    </row>
    <row r="73" spans="5:5" x14ac:dyDescent="0.25">
      <c r="E73" s="43"/>
    </row>
    <row r="74" spans="5:5" x14ac:dyDescent="0.25">
      <c r="E74" s="43"/>
    </row>
    <row r="75" spans="5:5" x14ac:dyDescent="0.25">
      <c r="E75" s="43"/>
    </row>
    <row r="76" spans="5:5" x14ac:dyDescent="0.25">
      <c r="E76" s="43"/>
    </row>
    <row r="77" spans="5:5" x14ac:dyDescent="0.25">
      <c r="E77" s="43"/>
    </row>
    <row r="78" spans="5:5" x14ac:dyDescent="0.25">
      <c r="E78" s="43"/>
    </row>
    <row r="79" spans="5:5" x14ac:dyDescent="0.25">
      <c r="E79" s="43"/>
    </row>
    <row r="80" spans="5:5" x14ac:dyDescent="0.25">
      <c r="E80" s="43"/>
    </row>
    <row r="81" spans="5:5" x14ac:dyDescent="0.25">
      <c r="E81" s="43"/>
    </row>
    <row r="82" spans="5:5" x14ac:dyDescent="0.25">
      <c r="E82" s="43"/>
    </row>
    <row r="83" spans="5:5" x14ac:dyDescent="0.25">
      <c r="E83" s="43"/>
    </row>
    <row r="84" spans="5:5" x14ac:dyDescent="0.25">
      <c r="E84" s="43"/>
    </row>
    <row r="85" spans="5:5" x14ac:dyDescent="0.25">
      <c r="E85" s="43"/>
    </row>
    <row r="86" spans="5:5" x14ac:dyDescent="0.25">
      <c r="E86" s="43"/>
    </row>
    <row r="87" spans="5:5" x14ac:dyDescent="0.25">
      <c r="E87" s="43"/>
    </row>
    <row r="88" spans="5:5" x14ac:dyDescent="0.25">
      <c r="E88" s="43"/>
    </row>
    <row r="89" spans="5:5" x14ac:dyDescent="0.25">
      <c r="E89" s="43"/>
    </row>
    <row r="90" spans="5:5" x14ac:dyDescent="0.25">
      <c r="E90" s="43"/>
    </row>
    <row r="91" spans="5:5" x14ac:dyDescent="0.25">
      <c r="E91" s="43"/>
    </row>
    <row r="92" spans="5:5" x14ac:dyDescent="0.25">
      <c r="E92" s="43"/>
    </row>
    <row r="93" spans="5:5" x14ac:dyDescent="0.25">
      <c r="E93" s="43"/>
    </row>
    <row r="94" spans="5:5" x14ac:dyDescent="0.25">
      <c r="E94" s="43"/>
    </row>
    <row r="95" spans="5:5" x14ac:dyDescent="0.25">
      <c r="E95" s="43"/>
    </row>
    <row r="96" spans="5:5" x14ac:dyDescent="0.25">
      <c r="E96" s="43"/>
    </row>
    <row r="97" spans="5:5" x14ac:dyDescent="0.25">
      <c r="E97" s="43"/>
    </row>
    <row r="98" spans="5:5" x14ac:dyDescent="0.25">
      <c r="E98" s="43"/>
    </row>
    <row r="99" spans="5:5" x14ac:dyDescent="0.25">
      <c r="E99" s="43"/>
    </row>
    <row r="100" spans="5:5" x14ac:dyDescent="0.25">
      <c r="E100" s="43"/>
    </row>
    <row r="101" spans="5:5" x14ac:dyDescent="0.25">
      <c r="E101" s="43"/>
    </row>
    <row r="102" spans="5:5" x14ac:dyDescent="0.25">
      <c r="E102" s="43"/>
    </row>
    <row r="103" spans="5:5" x14ac:dyDescent="0.25">
      <c r="E103" s="43"/>
    </row>
    <row r="104" spans="5:5" x14ac:dyDescent="0.25">
      <c r="E104" s="43"/>
    </row>
    <row r="105" spans="5:5" x14ac:dyDescent="0.25">
      <c r="E105" s="43"/>
    </row>
    <row r="106" spans="5:5" x14ac:dyDescent="0.25">
      <c r="E106" s="43"/>
    </row>
    <row r="107" spans="5:5" x14ac:dyDescent="0.25">
      <c r="E107" s="43"/>
    </row>
    <row r="108" spans="5:5" x14ac:dyDescent="0.25">
      <c r="E108" s="43"/>
    </row>
    <row r="109" spans="5:5" x14ac:dyDescent="0.25">
      <c r="E109" s="43"/>
    </row>
    <row r="110" spans="5:5" x14ac:dyDescent="0.25">
      <c r="E110" s="43"/>
    </row>
    <row r="111" spans="5:5" x14ac:dyDescent="0.25">
      <c r="E111" s="43"/>
    </row>
    <row r="112" spans="5:5" x14ac:dyDescent="0.25">
      <c r="E112" s="43"/>
    </row>
    <row r="113" spans="5:5" x14ac:dyDescent="0.25">
      <c r="E113" s="43"/>
    </row>
    <row r="114" spans="5:5" x14ac:dyDescent="0.25">
      <c r="E114" s="43"/>
    </row>
    <row r="115" spans="5:5" x14ac:dyDescent="0.25">
      <c r="E115" s="43"/>
    </row>
    <row r="116" spans="5:5" x14ac:dyDescent="0.25">
      <c r="E116" s="43"/>
    </row>
    <row r="117" spans="5:5" x14ac:dyDescent="0.25">
      <c r="E117" s="43"/>
    </row>
    <row r="118" spans="5:5" x14ac:dyDescent="0.25">
      <c r="E118" s="43"/>
    </row>
    <row r="119" spans="5:5" x14ac:dyDescent="0.25">
      <c r="E119" s="43"/>
    </row>
    <row r="120" spans="5:5" x14ac:dyDescent="0.25">
      <c r="E120" s="43"/>
    </row>
    <row r="121" spans="5:5" x14ac:dyDescent="0.25">
      <c r="E121" s="43"/>
    </row>
    <row r="122" spans="5:5" x14ac:dyDescent="0.25">
      <c r="E122" s="43"/>
    </row>
    <row r="123" spans="5:5" x14ac:dyDescent="0.25">
      <c r="E123" s="43"/>
    </row>
    <row r="124" spans="5:5" x14ac:dyDescent="0.25">
      <c r="E124" s="43"/>
    </row>
    <row r="125" spans="5:5" x14ac:dyDescent="0.25">
      <c r="E125" s="43"/>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0">
    <tabColor theme="0" tint="-0.499984740745262"/>
  </sheetPr>
  <dimension ref="A2:W175"/>
  <sheetViews>
    <sheetView zoomScale="70" zoomScaleNormal="70" workbookViewId="0"/>
  </sheetViews>
  <sheetFormatPr defaultColWidth="9.140625" defaultRowHeight="12.75" x14ac:dyDescent="0.2"/>
  <cols>
    <col min="1" max="1" width="26.42578125" style="303" customWidth="1"/>
    <col min="2" max="2" width="9.28515625" style="45" customWidth="1"/>
    <col min="3" max="3" width="13.7109375" style="45" customWidth="1"/>
    <col min="4" max="4" width="10.140625" style="45" customWidth="1"/>
    <col min="5" max="5" width="8.42578125" style="45" bestFit="1" customWidth="1"/>
    <col min="6" max="6" width="8.7109375" style="45" bestFit="1" customWidth="1"/>
    <col min="7" max="7" width="9.28515625" style="45" customWidth="1"/>
    <col min="8" max="8" width="8.5703125" style="45" customWidth="1"/>
    <col min="9" max="9" width="9.5703125" style="45" customWidth="1"/>
    <col min="10" max="10" width="8.42578125" style="45" bestFit="1" customWidth="1"/>
    <col min="11" max="11" width="4.7109375" style="45" bestFit="1" customWidth="1"/>
    <col min="12" max="12" width="18.28515625" style="45" bestFit="1" customWidth="1"/>
    <col min="13" max="13" width="21.28515625" style="45" bestFit="1" customWidth="1"/>
    <col min="14" max="14" width="16.85546875" style="45" bestFit="1" customWidth="1"/>
    <col min="15" max="15" width="7.5703125" style="45" bestFit="1" customWidth="1"/>
    <col min="16" max="16" width="11.28515625" style="45" bestFit="1" customWidth="1"/>
    <col min="17" max="17" width="4.7109375" style="45" bestFit="1" customWidth="1"/>
    <col min="18" max="18" width="5.140625" style="45" bestFit="1" customWidth="1"/>
    <col min="19" max="19" width="9.28515625" style="45" bestFit="1" customWidth="1"/>
    <col min="20" max="16384" width="9.140625" style="45"/>
  </cols>
  <sheetData>
    <row r="2" spans="1:6" x14ac:dyDescent="0.2">
      <c r="A2" s="302" t="s">
        <v>43</v>
      </c>
    </row>
    <row r="3" spans="1:6" x14ac:dyDescent="0.2">
      <c r="A3" s="303" t="s">
        <v>49</v>
      </c>
    </row>
    <row r="4" spans="1:6" x14ac:dyDescent="0.2">
      <c r="A4" s="303" t="s">
        <v>44</v>
      </c>
      <c r="B4" s="45">
        <v>45</v>
      </c>
      <c r="C4" s="45" t="s">
        <v>6</v>
      </c>
    </row>
    <row r="5" spans="1:6" x14ac:dyDescent="0.2">
      <c r="A5" s="303" t="s">
        <v>51</v>
      </c>
      <c r="B5" s="45">
        <v>80</v>
      </c>
      <c r="C5" s="45" t="s">
        <v>9</v>
      </c>
    </row>
    <row r="6" spans="1:6" x14ac:dyDescent="0.2">
      <c r="A6" s="303" t="s">
        <v>45</v>
      </c>
      <c r="B6" s="45">
        <v>50</v>
      </c>
      <c r="C6" s="45" t="s">
        <v>8</v>
      </c>
    </row>
    <row r="7" spans="1:6" x14ac:dyDescent="0.2">
      <c r="A7" s="303" t="s">
        <v>47</v>
      </c>
      <c r="B7" s="45">
        <v>60</v>
      </c>
      <c r="C7" s="45" t="s">
        <v>10</v>
      </c>
    </row>
    <row r="8" spans="1:6" x14ac:dyDescent="0.2">
      <c r="A8" s="303" t="s">
        <v>48</v>
      </c>
      <c r="B8" s="45">
        <v>15</v>
      </c>
      <c r="C8" s="45" t="s">
        <v>11</v>
      </c>
    </row>
    <row r="9" spans="1:6" x14ac:dyDescent="0.2">
      <c r="A9" s="303" t="s">
        <v>52</v>
      </c>
      <c r="B9" s="45">
        <v>25</v>
      </c>
      <c r="C9" s="45" t="s">
        <v>13</v>
      </c>
    </row>
    <row r="10" spans="1:6" x14ac:dyDescent="0.2">
      <c r="A10" s="303" t="s">
        <v>46</v>
      </c>
      <c r="B10" s="45">
        <v>0.05</v>
      </c>
      <c r="C10" s="45" t="s">
        <v>50</v>
      </c>
      <c r="D10" s="45">
        <v>40</v>
      </c>
      <c r="E10" s="45" t="s">
        <v>9</v>
      </c>
    </row>
    <row r="11" spans="1:6" x14ac:dyDescent="0.2">
      <c r="A11" s="303" t="s">
        <v>534</v>
      </c>
      <c r="B11" s="45">
        <v>25</v>
      </c>
      <c r="C11" s="45" t="s">
        <v>8</v>
      </c>
    </row>
    <row r="12" spans="1:6" x14ac:dyDescent="0.2">
      <c r="A12" s="303" t="s">
        <v>67</v>
      </c>
      <c r="B12" s="251">
        <v>1.6</v>
      </c>
      <c r="C12" s="45" t="s">
        <v>509</v>
      </c>
      <c r="D12" s="156">
        <v>0.32</v>
      </c>
      <c r="E12" s="45" t="s">
        <v>435</v>
      </c>
    </row>
    <row r="13" spans="1:6" x14ac:dyDescent="0.2">
      <c r="A13" s="303" t="s">
        <v>65</v>
      </c>
      <c r="B13" s="251">
        <v>1.6</v>
      </c>
      <c r="C13" s="45" t="s">
        <v>510</v>
      </c>
      <c r="D13" s="156">
        <v>0.32</v>
      </c>
      <c r="E13" s="45" t="s">
        <v>435</v>
      </c>
    </row>
    <row r="14" spans="1:6" x14ac:dyDescent="0.2">
      <c r="A14" s="303" t="s">
        <v>479</v>
      </c>
      <c r="B14" s="45">
        <v>0</v>
      </c>
      <c r="C14" s="45" t="s">
        <v>480</v>
      </c>
      <c r="D14" s="304"/>
      <c r="F14" s="156"/>
    </row>
    <row r="15" spans="1:6" x14ac:dyDescent="0.2">
      <c r="B15" s="45">
        <v>3.5</v>
      </c>
      <c r="C15" s="45" t="s">
        <v>481</v>
      </c>
      <c r="D15" s="305">
        <v>0.35</v>
      </c>
      <c r="E15" s="45" t="s">
        <v>435</v>
      </c>
      <c r="F15" s="156"/>
    </row>
    <row r="16" spans="1:6" x14ac:dyDescent="0.2">
      <c r="A16" s="303" t="s">
        <v>476</v>
      </c>
      <c r="B16" s="45">
        <v>0</v>
      </c>
      <c r="C16" s="45" t="s">
        <v>483</v>
      </c>
      <c r="D16" s="305">
        <v>0</v>
      </c>
      <c r="E16" s="45" t="s">
        <v>435</v>
      </c>
      <c r="F16" s="156"/>
    </row>
    <row r="17" spans="1:19" x14ac:dyDescent="0.2">
      <c r="B17" s="45">
        <v>3.5</v>
      </c>
      <c r="C17" s="45" t="s">
        <v>482</v>
      </c>
      <c r="D17" s="305">
        <v>0.35</v>
      </c>
      <c r="E17" s="45" t="s">
        <v>435</v>
      </c>
      <c r="F17" s="156"/>
    </row>
    <row r="18" spans="1:19" x14ac:dyDescent="0.2">
      <c r="B18" s="45">
        <v>5</v>
      </c>
      <c r="C18" s="45" t="s">
        <v>13</v>
      </c>
      <c r="D18" s="305"/>
      <c r="F18" s="156"/>
    </row>
    <row r="19" spans="1:19" x14ac:dyDescent="0.2">
      <c r="A19" s="303" t="s">
        <v>183</v>
      </c>
      <c r="B19" s="45">
        <v>2</v>
      </c>
      <c r="C19" s="45" t="s">
        <v>436</v>
      </c>
      <c r="D19" s="156">
        <v>0.36</v>
      </c>
      <c r="E19" s="45" t="s">
        <v>435</v>
      </c>
    </row>
    <row r="20" spans="1:19" x14ac:dyDescent="0.2">
      <c r="A20" s="303" t="s">
        <v>451</v>
      </c>
      <c r="B20" s="45">
        <v>2.6</v>
      </c>
      <c r="C20" s="45" t="s">
        <v>484</v>
      </c>
    </row>
    <row r="21" spans="1:19" x14ac:dyDescent="0.2">
      <c r="A21" s="303" t="s">
        <v>452</v>
      </c>
      <c r="B21" s="306">
        <v>5</v>
      </c>
      <c r="C21" s="45" t="s">
        <v>453</v>
      </c>
      <c r="D21" s="156">
        <v>0.5</v>
      </c>
      <c r="E21" s="45" t="s">
        <v>435</v>
      </c>
    </row>
    <row r="22" spans="1:19" x14ac:dyDescent="0.2">
      <c r="B22" s="306">
        <v>5</v>
      </c>
      <c r="C22" s="45" t="s">
        <v>454</v>
      </c>
      <c r="D22" s="156">
        <v>0.5</v>
      </c>
      <c r="E22" s="45" t="s">
        <v>435</v>
      </c>
    </row>
    <row r="23" spans="1:19" x14ac:dyDescent="0.2">
      <c r="A23" s="303" t="s">
        <v>1061</v>
      </c>
      <c r="B23" s="306"/>
      <c r="C23" s="45" t="s">
        <v>1062</v>
      </c>
      <c r="D23" s="156">
        <v>0.5</v>
      </c>
      <c r="E23" s="45" t="s">
        <v>435</v>
      </c>
    </row>
    <row r="24" spans="1:19" x14ac:dyDescent="0.2">
      <c r="A24" s="302" t="s">
        <v>80</v>
      </c>
    </row>
    <row r="25" spans="1:19" x14ac:dyDescent="0.2">
      <c r="A25" s="307" t="s">
        <v>72</v>
      </c>
      <c r="B25" s="307" t="s">
        <v>71</v>
      </c>
      <c r="C25" s="307" t="s">
        <v>70</v>
      </c>
      <c r="D25" s="307" t="s">
        <v>69</v>
      </c>
      <c r="E25" s="307" t="s">
        <v>68</v>
      </c>
      <c r="F25" s="308" t="s">
        <v>63</v>
      </c>
      <c r="G25" s="308" t="s">
        <v>346</v>
      </c>
      <c r="H25" s="309" t="s">
        <v>64</v>
      </c>
      <c r="I25" s="309" t="s">
        <v>65</v>
      </c>
      <c r="J25" s="310" t="s">
        <v>66</v>
      </c>
      <c r="K25" s="310" t="s">
        <v>67</v>
      </c>
      <c r="L25" s="310" t="s">
        <v>348</v>
      </c>
      <c r="M25" s="311" t="s">
        <v>351</v>
      </c>
      <c r="N25" s="312" t="s">
        <v>74</v>
      </c>
      <c r="O25" s="312" t="s">
        <v>349</v>
      </c>
      <c r="P25" s="312" t="s">
        <v>507</v>
      </c>
      <c r="Q25" s="313" t="s">
        <v>75</v>
      </c>
      <c r="R25" s="313" t="s">
        <v>369</v>
      </c>
      <c r="S25" s="314" t="s">
        <v>76</v>
      </c>
    </row>
    <row r="26" spans="1:19" x14ac:dyDescent="0.2">
      <c r="A26" s="424">
        <f>Overview!L16</f>
        <v>0</v>
      </c>
      <c r="B26" s="247">
        <f>Overview!L17</f>
        <v>0</v>
      </c>
      <c r="C26" s="247">
        <f>Overview!L18</f>
        <v>30</v>
      </c>
      <c r="D26" s="247">
        <f>Overview!L19</f>
        <v>0</v>
      </c>
      <c r="E26" s="247">
        <f>Overview!L20</f>
        <v>0</v>
      </c>
      <c r="F26" s="247">
        <f>Overview!L21</f>
        <v>20</v>
      </c>
      <c r="G26" s="45">
        <f>Overview!L22</f>
        <v>0</v>
      </c>
      <c r="H26" s="247">
        <f>Overview!L23</f>
        <v>0</v>
      </c>
      <c r="I26" s="247">
        <f>Overview!L24</f>
        <v>0</v>
      </c>
      <c r="J26" s="247">
        <f>Table20[[#This Row],[Amount]]</f>
        <v>0</v>
      </c>
      <c r="K26" s="247">
        <f>Overview!L27</f>
        <v>0</v>
      </c>
      <c r="L26" s="247">
        <f>Overview!L25</f>
        <v>0</v>
      </c>
      <c r="M26" s="247">
        <f>Overview!L28</f>
        <v>0</v>
      </c>
      <c r="N26" s="247">
        <f>Overview!L29</f>
        <v>0</v>
      </c>
      <c r="O26" s="247">
        <f>Overview!L30</f>
        <v>0</v>
      </c>
      <c r="P26" s="247">
        <f>Overview!L31</f>
        <v>0</v>
      </c>
      <c r="Q26" s="247">
        <f>Overview!L32</f>
        <v>0</v>
      </c>
      <c r="R26" s="247">
        <f>Overview!L33</f>
        <v>0</v>
      </c>
      <c r="S26" s="247">
        <f>Overview!L34</f>
        <v>0</v>
      </c>
    </row>
    <row r="28" spans="1:19" x14ac:dyDescent="0.2">
      <c r="A28" s="302" t="s">
        <v>79</v>
      </c>
    </row>
    <row r="29" spans="1:19" x14ac:dyDescent="0.2">
      <c r="A29" s="315" t="s">
        <v>55</v>
      </c>
      <c r="B29" s="308" t="s">
        <v>58</v>
      </c>
      <c r="C29" s="309" t="s">
        <v>176</v>
      </c>
      <c r="D29" s="311" t="s">
        <v>59</v>
      </c>
      <c r="E29" s="312" t="s">
        <v>60</v>
      </c>
      <c r="F29" s="313" t="s">
        <v>61</v>
      </c>
      <c r="G29" s="314" t="s">
        <v>62</v>
      </c>
    </row>
    <row r="30" spans="1:19" s="5" customFormat="1" x14ac:dyDescent="0.2">
      <c r="A30" s="303">
        <v>0</v>
      </c>
      <c r="B30" s="45">
        <v>0</v>
      </c>
      <c r="C30" s="45">
        <v>0</v>
      </c>
      <c r="D30" s="45">
        <v>0</v>
      </c>
      <c r="E30" s="45">
        <v>0</v>
      </c>
      <c r="F30" s="45">
        <v>0</v>
      </c>
      <c r="G30" s="45">
        <v>0</v>
      </c>
      <c r="H30" s="45"/>
      <c r="I30" s="45"/>
      <c r="J30" s="45"/>
      <c r="K30" s="45"/>
      <c r="L30" s="45"/>
      <c r="M30" s="45"/>
      <c r="N30" s="45"/>
      <c r="O30" s="45"/>
      <c r="P30" s="45"/>
      <c r="Q30" s="45"/>
      <c r="R30" s="45"/>
      <c r="S30" s="45"/>
    </row>
    <row r="32" spans="1:19" x14ac:dyDescent="0.2">
      <c r="A32" s="302" t="s">
        <v>83</v>
      </c>
      <c r="B32" s="5"/>
      <c r="C32" s="5"/>
      <c r="D32" s="5" t="s">
        <v>233</v>
      </c>
      <c r="E32" s="5"/>
      <c r="F32" s="5"/>
      <c r="G32" s="5"/>
      <c r="H32" s="5"/>
      <c r="I32" s="5"/>
      <c r="J32" s="5"/>
      <c r="K32" s="5"/>
      <c r="L32" s="5" t="s">
        <v>393</v>
      </c>
      <c r="M32" s="5"/>
      <c r="N32" s="5"/>
      <c r="O32" s="5"/>
      <c r="P32" s="5"/>
      <c r="Q32" s="5"/>
      <c r="R32" s="5"/>
      <c r="S32" s="5"/>
    </row>
    <row r="33" spans="1:16" x14ac:dyDescent="0.2">
      <c r="A33" s="303" t="s">
        <v>21</v>
      </c>
      <c r="B33" s="45">
        <f ca="1">ROUND(((Overview!L16*pop_in_home + (SUM(Overview!L17:L34)-Overview!L25)*pop_in_building))*(1+Population!AC4),0)-300</f>
        <v>469</v>
      </c>
      <c r="D33" s="45" t="s">
        <v>434</v>
      </c>
      <c r="E33" s="45">
        <v>1</v>
      </c>
      <c r="F33" s="45">
        <v>2</v>
      </c>
      <c r="G33" s="45">
        <v>3</v>
      </c>
      <c r="H33" s="45">
        <v>4</v>
      </c>
      <c r="I33" s="45">
        <v>5</v>
      </c>
      <c r="J33" s="45">
        <v>6</v>
      </c>
      <c r="L33" s="45" t="s">
        <v>383</v>
      </c>
      <c r="M33" s="156">
        <v>0.1</v>
      </c>
      <c r="N33" s="45" t="s">
        <v>394</v>
      </c>
    </row>
    <row r="34" spans="1:16" x14ac:dyDescent="0.2">
      <c r="A34" s="303" t="s">
        <v>24</v>
      </c>
      <c r="B34" s="45">
        <v>150</v>
      </c>
      <c r="D34" s="45" t="s">
        <v>21</v>
      </c>
      <c r="E34" s="94">
        <v>1300</v>
      </c>
      <c r="F34" s="94">
        <v>1390</v>
      </c>
      <c r="G34" s="94">
        <v>1480</v>
      </c>
      <c r="H34" s="94">
        <v>1570</v>
      </c>
      <c r="I34" s="94">
        <v>1660</v>
      </c>
      <c r="J34" s="94">
        <v>1750</v>
      </c>
      <c r="K34" s="94"/>
      <c r="M34" s="156">
        <v>0.05</v>
      </c>
      <c r="N34" s="45" t="s">
        <v>395</v>
      </c>
    </row>
    <row r="35" spans="1:16" x14ac:dyDescent="0.2">
      <c r="A35" s="303" t="str">
        <f>Overview!$A22</f>
        <v>Spearman</v>
      </c>
      <c r="B35" s="45">
        <v>0</v>
      </c>
      <c r="D35" s="45" t="s">
        <v>2</v>
      </c>
      <c r="E35" s="94">
        <v>100000</v>
      </c>
      <c r="F35" s="94">
        <v>110000</v>
      </c>
      <c r="G35" s="94">
        <v>120000</v>
      </c>
      <c r="H35" s="94">
        <v>130000</v>
      </c>
      <c r="I35" s="94">
        <v>140000</v>
      </c>
      <c r="J35" s="94">
        <v>150000</v>
      </c>
      <c r="M35" s="156">
        <v>0.05</v>
      </c>
      <c r="N35" s="45" t="s">
        <v>396</v>
      </c>
    </row>
    <row r="36" spans="1:16" x14ac:dyDescent="0.2">
      <c r="A36" s="303" t="str">
        <f>Overview!$A23</f>
        <v>Archer</v>
      </c>
      <c r="B36" s="45">
        <v>0</v>
      </c>
      <c r="D36" s="45" t="s">
        <v>5</v>
      </c>
      <c r="E36" s="94">
        <v>15000</v>
      </c>
      <c r="F36" s="94">
        <v>16000</v>
      </c>
      <c r="G36" s="94">
        <v>17000</v>
      </c>
      <c r="H36" s="94">
        <v>18000</v>
      </c>
      <c r="I36" s="94">
        <v>19000</v>
      </c>
      <c r="J36" s="94">
        <v>20000</v>
      </c>
      <c r="L36" s="45" t="s">
        <v>175</v>
      </c>
      <c r="M36" s="156">
        <v>-0.05</v>
      </c>
      <c r="N36" s="45" t="s">
        <v>397</v>
      </c>
    </row>
    <row r="37" spans="1:16" x14ac:dyDescent="0.2">
      <c r="A37" s="303" t="str">
        <f>Overview!$A24</f>
        <v>Knight</v>
      </c>
      <c r="B37" s="45">
        <v>0</v>
      </c>
      <c r="D37" s="45" t="s">
        <v>7</v>
      </c>
      <c r="E37" s="94">
        <v>15000</v>
      </c>
      <c r="F37" s="94">
        <v>15450</v>
      </c>
      <c r="G37" s="94">
        <v>15900</v>
      </c>
      <c r="H37" s="94">
        <v>16350</v>
      </c>
      <c r="I37" s="94">
        <v>16800</v>
      </c>
      <c r="J37" s="94">
        <v>17250</v>
      </c>
      <c r="M37" s="45">
        <v>-1</v>
      </c>
      <c r="N37" s="45" t="s">
        <v>398</v>
      </c>
    </row>
    <row r="38" spans="1:16" x14ac:dyDescent="0.2">
      <c r="A38" s="303" t="str">
        <f>Overview!$A25</f>
        <v>Cavalry</v>
      </c>
      <c r="B38" s="45">
        <v>0</v>
      </c>
      <c r="M38" s="156">
        <v>-0.1</v>
      </c>
      <c r="N38" s="45" t="s">
        <v>397</v>
      </c>
      <c r="O38" s="45">
        <v>-2</v>
      </c>
      <c r="P38" s="45" t="s">
        <v>398</v>
      </c>
    </row>
    <row r="39" spans="1:16" x14ac:dyDescent="0.2">
      <c r="A39" s="303" t="s">
        <v>25</v>
      </c>
      <c r="B39" s="45">
        <v>0</v>
      </c>
      <c r="D39" s="45" t="s">
        <v>368</v>
      </c>
      <c r="E39" s="94">
        <v>1</v>
      </c>
      <c r="F39" s="45">
        <v>2</v>
      </c>
      <c r="G39" s="45">
        <v>3</v>
      </c>
      <c r="H39" s="45">
        <v>4</v>
      </c>
      <c r="I39" s="45">
        <v>5</v>
      </c>
      <c r="J39" s="45">
        <v>6</v>
      </c>
      <c r="L39" s="45" t="s">
        <v>277</v>
      </c>
      <c r="M39" s="156">
        <v>-0.1</v>
      </c>
      <c r="N39" s="45" t="s">
        <v>399</v>
      </c>
    </row>
    <row r="40" spans="1:16" x14ac:dyDescent="0.2">
      <c r="A40" s="303" t="s">
        <v>1079</v>
      </c>
      <c r="B40" s="45">
        <v>0</v>
      </c>
      <c r="D40" s="45" t="s">
        <v>21</v>
      </c>
      <c r="E40" s="45">
        <v>1200</v>
      </c>
      <c r="F40" s="45">
        <v>1325</v>
      </c>
      <c r="G40" s="45">
        <v>1450</v>
      </c>
      <c r="H40" s="45">
        <v>1575</v>
      </c>
      <c r="I40" s="45">
        <v>1700</v>
      </c>
      <c r="J40" s="45">
        <v>1825</v>
      </c>
      <c r="M40" s="156">
        <v>-0.1</v>
      </c>
      <c r="N40" s="45" t="s">
        <v>400</v>
      </c>
    </row>
    <row r="41" spans="1:16" x14ac:dyDescent="0.2">
      <c r="A41" s="303" t="s">
        <v>26</v>
      </c>
      <c r="B41" s="45">
        <v>0</v>
      </c>
      <c r="D41" s="45" t="s">
        <v>2</v>
      </c>
      <c r="E41" s="45">
        <v>100000</v>
      </c>
      <c r="F41" s="45">
        <v>104750</v>
      </c>
      <c r="G41" s="45">
        <v>109500</v>
      </c>
      <c r="H41" s="45">
        <v>114250</v>
      </c>
      <c r="I41" s="45">
        <v>119000</v>
      </c>
      <c r="J41" s="45">
        <v>123750</v>
      </c>
      <c r="M41" s="156">
        <v>0.02</v>
      </c>
      <c r="N41" s="45" t="s">
        <v>401</v>
      </c>
    </row>
    <row r="42" spans="1:16" x14ac:dyDescent="0.2">
      <c r="A42" s="303" t="s">
        <v>27</v>
      </c>
      <c r="B42" s="45">
        <v>0</v>
      </c>
      <c r="D42" s="45" t="s">
        <v>5</v>
      </c>
      <c r="E42" s="45">
        <v>15000</v>
      </c>
      <c r="F42" s="45">
        <v>16000</v>
      </c>
      <c r="G42" s="45">
        <v>17000</v>
      </c>
      <c r="H42" s="45">
        <v>18000</v>
      </c>
      <c r="I42" s="45">
        <v>19000</v>
      </c>
      <c r="J42" s="45">
        <v>20000</v>
      </c>
      <c r="L42" s="45" t="s">
        <v>22</v>
      </c>
      <c r="M42" s="156">
        <v>-0.1</v>
      </c>
      <c r="N42" s="45" t="s">
        <v>402</v>
      </c>
    </row>
    <row r="43" spans="1:16" x14ac:dyDescent="0.2">
      <c r="D43" s="45" t="s">
        <v>7</v>
      </c>
      <c r="E43" s="45">
        <v>15000</v>
      </c>
      <c r="F43" s="45">
        <v>15450</v>
      </c>
      <c r="G43" s="45">
        <v>15900</v>
      </c>
      <c r="H43" s="45">
        <v>16350</v>
      </c>
      <c r="I43" s="45">
        <v>16800</v>
      </c>
      <c r="J43" s="45">
        <v>17250</v>
      </c>
      <c r="M43" s="156">
        <v>-0.1</v>
      </c>
      <c r="N43" s="45" t="s">
        <v>403</v>
      </c>
    </row>
    <row r="44" spans="1:16" x14ac:dyDescent="0.2">
      <c r="A44" s="302" t="s">
        <v>78</v>
      </c>
      <c r="C44" s="94"/>
      <c r="M44" s="156">
        <v>0.05</v>
      </c>
      <c r="N44" s="45" t="s">
        <v>292</v>
      </c>
    </row>
    <row r="45" spans="1:16" x14ac:dyDescent="0.2">
      <c r="A45" s="303" t="s">
        <v>2</v>
      </c>
      <c r="B45" s="94">
        <v>50000</v>
      </c>
      <c r="C45" s="94"/>
      <c r="D45" s="45" t="s">
        <v>439</v>
      </c>
      <c r="L45" s="45" t="s">
        <v>73</v>
      </c>
      <c r="M45" s="156">
        <v>-0.1</v>
      </c>
      <c r="N45" s="45" t="s">
        <v>404</v>
      </c>
    </row>
    <row r="46" spans="1:16" x14ac:dyDescent="0.2">
      <c r="A46" s="303" t="s">
        <v>5</v>
      </c>
      <c r="B46" s="94">
        <f>HLOOKUP(1,E33:J37,4)</f>
        <v>15000</v>
      </c>
      <c r="C46" s="94"/>
      <c r="D46" s="45" t="s">
        <v>21</v>
      </c>
      <c r="E46" s="45">
        <v>100</v>
      </c>
      <c r="M46" s="156">
        <v>-0.2</v>
      </c>
      <c r="N46" s="45" t="s">
        <v>405</v>
      </c>
    </row>
    <row r="47" spans="1:16" x14ac:dyDescent="0.2">
      <c r="A47" s="303" t="s">
        <v>81</v>
      </c>
      <c r="B47" s="94">
        <f>HLOOKUP(1,E33:J37,5)</f>
        <v>15000</v>
      </c>
      <c r="C47" s="94"/>
      <c r="D47" s="45" t="s">
        <v>2</v>
      </c>
      <c r="E47" s="45">
        <v>5000</v>
      </c>
      <c r="M47" s="45">
        <v>1</v>
      </c>
      <c r="N47" s="45" t="s">
        <v>406</v>
      </c>
    </row>
    <row r="48" spans="1:16" x14ac:dyDescent="0.2">
      <c r="A48" s="303" t="s">
        <v>12</v>
      </c>
      <c r="B48" s="94">
        <v>0</v>
      </c>
      <c r="C48" s="94"/>
      <c r="D48" s="45" t="s">
        <v>5</v>
      </c>
      <c r="E48" s="45">
        <v>1500</v>
      </c>
      <c r="L48" s="45" t="s">
        <v>181</v>
      </c>
      <c r="M48" s="156">
        <v>-0.1</v>
      </c>
      <c r="N48" s="45" t="s">
        <v>407</v>
      </c>
    </row>
    <row r="49" spans="1:21" x14ac:dyDescent="0.2">
      <c r="A49" s="303" t="s">
        <v>3</v>
      </c>
      <c r="B49" s="94">
        <v>0</v>
      </c>
      <c r="C49" s="94"/>
      <c r="D49" s="45" t="s">
        <v>7</v>
      </c>
      <c r="E49" s="45">
        <v>2500</v>
      </c>
      <c r="M49" s="156">
        <v>-0.2</v>
      </c>
      <c r="N49" s="45" t="s">
        <v>408</v>
      </c>
    </row>
    <row r="50" spans="1:21" x14ac:dyDescent="0.2">
      <c r="A50" s="303" t="s">
        <v>4</v>
      </c>
      <c r="B50" s="94">
        <v>0</v>
      </c>
      <c r="C50" s="94"/>
      <c r="D50" s="45" t="s">
        <v>3</v>
      </c>
      <c r="E50" s="45">
        <v>2500</v>
      </c>
      <c r="M50" s="45">
        <v>1</v>
      </c>
      <c r="N50" s="45" t="s">
        <v>409</v>
      </c>
    </row>
    <row r="51" spans="1:21" x14ac:dyDescent="0.2">
      <c r="A51" s="303" t="s">
        <v>82</v>
      </c>
      <c r="B51" s="94">
        <v>0</v>
      </c>
      <c r="D51" s="45" t="s">
        <v>12</v>
      </c>
      <c r="E51" s="45">
        <v>1000</v>
      </c>
      <c r="L51" s="45" t="s">
        <v>384</v>
      </c>
      <c r="M51" s="156">
        <v>-0.1</v>
      </c>
      <c r="N51" s="45" t="s">
        <v>410</v>
      </c>
    </row>
    <row r="52" spans="1:21" x14ac:dyDescent="0.2">
      <c r="D52" s="45" t="s">
        <v>440</v>
      </c>
      <c r="E52" s="45">
        <v>30</v>
      </c>
      <c r="L52" s="45" t="s">
        <v>385</v>
      </c>
      <c r="M52" s="156">
        <v>0.2</v>
      </c>
      <c r="N52" s="45" t="s">
        <v>411</v>
      </c>
      <c r="O52" s="156">
        <v>0.1</v>
      </c>
      <c r="P52" s="45" t="s">
        <v>395</v>
      </c>
    </row>
    <row r="53" spans="1:21" x14ac:dyDescent="0.2">
      <c r="A53" s="302" t="s">
        <v>86</v>
      </c>
      <c r="D53" s="45" t="s">
        <v>441</v>
      </c>
      <c r="E53" s="45">
        <v>30</v>
      </c>
      <c r="L53" s="45" t="s">
        <v>386</v>
      </c>
      <c r="M53" s="157">
        <v>0.06</v>
      </c>
      <c r="N53" s="45" t="s">
        <v>401</v>
      </c>
    </row>
    <row r="54" spans="1:21" x14ac:dyDescent="0.2">
      <c r="A54" s="303" t="s">
        <v>21</v>
      </c>
      <c r="B54" s="316">
        <v>0.03</v>
      </c>
      <c r="L54" s="45" t="s">
        <v>387</v>
      </c>
      <c r="M54" s="118">
        <v>0.125</v>
      </c>
      <c r="N54" s="45" t="s">
        <v>396</v>
      </c>
    </row>
    <row r="55" spans="1:21" x14ac:dyDescent="0.2">
      <c r="A55" s="303" t="s">
        <v>24</v>
      </c>
      <c r="B55" s="316">
        <v>0.01</v>
      </c>
      <c r="L55" s="45" t="s">
        <v>388</v>
      </c>
      <c r="M55" s="156">
        <v>-0.3</v>
      </c>
      <c r="N55" s="45" t="s">
        <v>412</v>
      </c>
    </row>
    <row r="56" spans="1:21" x14ac:dyDescent="0.2">
      <c r="A56" s="303" t="s">
        <v>14</v>
      </c>
      <c r="B56" s="316">
        <v>0.01</v>
      </c>
      <c r="L56" s="45" t="s">
        <v>389</v>
      </c>
      <c r="M56" s="156">
        <v>-0.2</v>
      </c>
      <c r="N56" s="45" t="s">
        <v>397</v>
      </c>
      <c r="O56" s="156">
        <v>0.15</v>
      </c>
      <c r="P56" s="45" t="s">
        <v>413</v>
      </c>
    </row>
    <row r="57" spans="1:21" x14ac:dyDescent="0.2">
      <c r="A57" s="303" t="s">
        <v>16</v>
      </c>
      <c r="B57" s="316">
        <v>0.01</v>
      </c>
      <c r="L57" s="45" t="s">
        <v>390</v>
      </c>
      <c r="M57" s="156">
        <v>-0.25</v>
      </c>
      <c r="N57" s="45" t="s">
        <v>414</v>
      </c>
    </row>
    <row r="58" spans="1:21" x14ac:dyDescent="0.2">
      <c r="A58" s="303" t="s">
        <v>15</v>
      </c>
      <c r="B58" s="316">
        <v>0.02</v>
      </c>
      <c r="L58" s="45" t="s">
        <v>391</v>
      </c>
      <c r="M58" s="156">
        <v>0.1</v>
      </c>
      <c r="N58" s="45" t="s">
        <v>292</v>
      </c>
      <c r="O58" s="156">
        <v>0.15</v>
      </c>
      <c r="P58" s="45" t="s">
        <v>415</v>
      </c>
    </row>
    <row r="59" spans="1:21" x14ac:dyDescent="0.2">
      <c r="L59" s="45" t="s">
        <v>392</v>
      </c>
      <c r="M59" s="45">
        <v>3</v>
      </c>
      <c r="N59" s="45" t="s">
        <v>416</v>
      </c>
    </row>
    <row r="60" spans="1:21" x14ac:dyDescent="0.2">
      <c r="A60" s="303" t="s">
        <v>87</v>
      </c>
      <c r="B60" s="45">
        <v>0.25</v>
      </c>
      <c r="C60" s="45" t="s">
        <v>88</v>
      </c>
      <c r="U60" s="157"/>
    </row>
    <row r="61" spans="1:21" x14ac:dyDescent="0.2">
      <c r="A61" s="303" t="s">
        <v>165</v>
      </c>
      <c r="B61" s="45">
        <v>2.7</v>
      </c>
      <c r="C61" s="45" t="s">
        <v>166</v>
      </c>
      <c r="T61" s="108"/>
      <c r="U61" s="157"/>
    </row>
    <row r="62" spans="1:21" x14ac:dyDescent="0.2">
      <c r="L62" s="45" t="s">
        <v>33</v>
      </c>
      <c r="M62" s="45">
        <v>6.4</v>
      </c>
      <c r="N62" s="45" t="s">
        <v>469</v>
      </c>
      <c r="U62" s="157"/>
    </row>
    <row r="63" spans="1:21" x14ac:dyDescent="0.2">
      <c r="A63" s="302" t="s">
        <v>168</v>
      </c>
    </row>
    <row r="64" spans="1:21" x14ac:dyDescent="0.2">
      <c r="A64" s="303" t="s">
        <v>343</v>
      </c>
      <c r="B64" s="45">
        <v>36</v>
      </c>
      <c r="C64" s="45" t="s">
        <v>344</v>
      </c>
      <c r="D64" s="45" t="s">
        <v>345</v>
      </c>
      <c r="L64" s="45" t="s">
        <v>468</v>
      </c>
      <c r="M64" s="45">
        <v>3780</v>
      </c>
      <c r="U64" s="156"/>
    </row>
    <row r="65" spans="1:21" x14ac:dyDescent="0.2">
      <c r="A65" s="303" t="s">
        <v>170</v>
      </c>
      <c r="B65" s="45">
        <v>30</v>
      </c>
      <c r="C65" s="45" t="s">
        <v>268</v>
      </c>
    </row>
    <row r="66" spans="1:21" x14ac:dyDescent="0.2">
      <c r="A66" s="303" t="s">
        <v>475</v>
      </c>
      <c r="B66" s="45">
        <v>15</v>
      </c>
      <c r="C66" s="45" t="s">
        <v>268</v>
      </c>
      <c r="L66" s="5" t="s">
        <v>625</v>
      </c>
      <c r="U66" s="156"/>
    </row>
    <row r="67" spans="1:21" x14ac:dyDescent="0.2">
      <c r="A67" s="303" t="s">
        <v>347</v>
      </c>
      <c r="B67" s="45">
        <v>15</v>
      </c>
      <c r="C67" s="45" t="s">
        <v>268</v>
      </c>
      <c r="L67" s="108" t="s">
        <v>536</v>
      </c>
      <c r="M67" s="407">
        <v>2.5000000000000001E-2</v>
      </c>
      <c r="N67" s="45" t="s">
        <v>630</v>
      </c>
      <c r="S67" s="45" t="s">
        <v>678</v>
      </c>
      <c r="U67" s="156"/>
    </row>
    <row r="68" spans="1:21" x14ac:dyDescent="0.2">
      <c r="A68" s="303" t="s">
        <v>169</v>
      </c>
      <c r="B68" s="45">
        <v>15</v>
      </c>
      <c r="C68" s="45" t="str">
        <f>C65</f>
        <v>peasants</v>
      </c>
      <c r="L68" s="108" t="s">
        <v>538</v>
      </c>
      <c r="M68" s="407">
        <v>0.05</v>
      </c>
      <c r="N68" s="45" t="s">
        <v>631</v>
      </c>
      <c r="S68" s="45" t="s">
        <v>679</v>
      </c>
    </row>
    <row r="69" spans="1:21" x14ac:dyDescent="0.2">
      <c r="A69" s="303" t="s">
        <v>269</v>
      </c>
      <c r="B69" s="45">
        <f>IF(race="Nomad",25,5)</f>
        <v>5</v>
      </c>
      <c r="L69" s="45" t="s">
        <v>539</v>
      </c>
      <c r="M69" s="2">
        <v>0.05</v>
      </c>
      <c r="N69" s="45" t="s">
        <v>632</v>
      </c>
      <c r="S69" s="45" t="s">
        <v>680</v>
      </c>
    </row>
    <row r="70" spans="1:21" x14ac:dyDescent="0.2">
      <c r="L70" s="45" t="s">
        <v>541</v>
      </c>
      <c r="M70" s="407">
        <v>7.4999999999999997E-2</v>
      </c>
      <c r="N70" s="45" t="s">
        <v>630</v>
      </c>
      <c r="S70" s="45" t="s">
        <v>681</v>
      </c>
      <c r="T70" s="108"/>
      <c r="U70" s="157"/>
    </row>
    <row r="71" spans="1:21" x14ac:dyDescent="0.2">
      <c r="A71" s="317" t="s">
        <v>270</v>
      </c>
      <c r="L71" s="45" t="s">
        <v>543</v>
      </c>
      <c r="M71" s="407">
        <v>0.02</v>
      </c>
      <c r="N71" s="45" t="s">
        <v>633</v>
      </c>
      <c r="S71" s="45" t="s">
        <v>682</v>
      </c>
      <c r="U71" s="157"/>
    </row>
    <row r="72" spans="1:21" x14ac:dyDescent="0.2">
      <c r="A72" s="303" t="str">
        <f>CONCATENATE("Your race is ",Overview!B14)</f>
        <v>Your race is Human</v>
      </c>
      <c r="L72" s="45" t="s">
        <v>544</v>
      </c>
      <c r="M72" s="2">
        <v>0.05</v>
      </c>
      <c r="N72" s="45" t="s">
        <v>667</v>
      </c>
      <c r="S72" s="108" t="s">
        <v>693</v>
      </c>
      <c r="T72" s="108"/>
      <c r="U72" s="156"/>
    </row>
    <row r="73" spans="1:21" x14ac:dyDescent="0.2">
      <c r="L73" s="45" t="s">
        <v>545</v>
      </c>
      <c r="M73" s="2">
        <v>0.1</v>
      </c>
      <c r="N73" s="45" t="s">
        <v>747</v>
      </c>
      <c r="S73" s="108" t="s">
        <v>721</v>
      </c>
      <c r="T73" s="108"/>
      <c r="U73" s="156"/>
    </row>
    <row r="74" spans="1:21" x14ac:dyDescent="0.2">
      <c r="A74" s="302" t="s">
        <v>201</v>
      </c>
      <c r="B74" s="45" t="s">
        <v>271</v>
      </c>
      <c r="F74" s="45" t="s">
        <v>206</v>
      </c>
      <c r="L74" s="45" t="s">
        <v>546</v>
      </c>
      <c r="M74" s="2">
        <v>-0.1</v>
      </c>
      <c r="N74" s="45" t="s">
        <v>665</v>
      </c>
      <c r="O74" s="45" t="s">
        <v>636</v>
      </c>
      <c r="S74" s="108" t="s">
        <v>685</v>
      </c>
      <c r="T74" s="108"/>
      <c r="U74" s="156"/>
    </row>
    <row r="75" spans="1:21" x14ac:dyDescent="0.2">
      <c r="A75" s="303" t="s">
        <v>196</v>
      </c>
      <c r="B75" s="45">
        <v>2</v>
      </c>
      <c r="C75" s="45" t="s">
        <v>202</v>
      </c>
      <c r="D75" s="316"/>
      <c r="F75" s="316">
        <v>0.1</v>
      </c>
      <c r="G75" s="45" t="s">
        <v>107</v>
      </c>
      <c r="L75" s="45" t="s">
        <v>547</v>
      </c>
      <c r="M75" s="2">
        <v>-0.05</v>
      </c>
      <c r="N75" s="45" t="s">
        <v>672</v>
      </c>
      <c r="O75" s="156">
        <v>-0.15</v>
      </c>
      <c r="P75" s="45" t="s">
        <v>650</v>
      </c>
      <c r="S75" s="108" t="s">
        <v>703</v>
      </c>
      <c r="T75" s="108"/>
      <c r="U75" s="157"/>
    </row>
    <row r="76" spans="1:21" x14ac:dyDescent="0.2">
      <c r="A76" s="303" t="s">
        <v>197</v>
      </c>
      <c r="B76" s="45">
        <v>2</v>
      </c>
      <c r="C76" s="45" t="s">
        <v>202</v>
      </c>
      <c r="D76" s="316"/>
      <c r="F76" s="316">
        <v>0.1</v>
      </c>
      <c r="G76" s="45" t="s">
        <v>110</v>
      </c>
      <c r="L76" s="45" t="s">
        <v>549</v>
      </c>
      <c r="M76" s="407">
        <v>-2.5000000000000001E-2</v>
      </c>
      <c r="N76" s="45" t="s">
        <v>637</v>
      </c>
      <c r="S76" s="108" t="s">
        <v>686</v>
      </c>
      <c r="T76" s="108"/>
      <c r="U76" s="156"/>
    </row>
    <row r="77" spans="1:21" x14ac:dyDescent="0.2">
      <c r="A77" s="303" t="s">
        <v>203</v>
      </c>
      <c r="B77" s="45">
        <v>2.5</v>
      </c>
      <c r="C77" s="45" t="s">
        <v>202</v>
      </c>
      <c r="D77" s="316"/>
      <c r="F77" s="316">
        <v>0.1</v>
      </c>
      <c r="G77" s="45" t="s">
        <v>32</v>
      </c>
      <c r="L77" s="45" t="s">
        <v>551</v>
      </c>
      <c r="M77" s="2">
        <v>-0.1</v>
      </c>
      <c r="N77" s="45" t="s">
        <v>748</v>
      </c>
      <c r="S77" s="108" t="s">
        <v>1054</v>
      </c>
      <c r="T77" s="108"/>
    </row>
    <row r="78" spans="1:21" x14ac:dyDescent="0.2">
      <c r="A78" s="303" t="s">
        <v>200</v>
      </c>
      <c r="B78" s="45">
        <v>2.5</v>
      </c>
      <c r="C78" s="45" t="s">
        <v>202</v>
      </c>
      <c r="D78" s="316"/>
      <c r="F78" s="316">
        <v>0.5</v>
      </c>
      <c r="G78" s="45" t="s">
        <v>207</v>
      </c>
      <c r="M78"/>
      <c r="S78" s="108"/>
      <c r="T78" s="108"/>
    </row>
    <row r="79" spans="1:21" x14ac:dyDescent="0.2">
      <c r="A79" s="303" t="s">
        <v>204</v>
      </c>
      <c r="B79" s="45">
        <v>2.5</v>
      </c>
      <c r="C79" s="45" t="s">
        <v>202</v>
      </c>
      <c r="D79" s="316"/>
      <c r="F79" s="316">
        <v>0.1</v>
      </c>
      <c r="G79" s="45" t="s">
        <v>106</v>
      </c>
      <c r="L79" s="45" t="s">
        <v>552</v>
      </c>
      <c r="M79" s="407">
        <v>-0.1</v>
      </c>
      <c r="N79" s="45" t="s">
        <v>639</v>
      </c>
      <c r="S79" s="108" t="s">
        <v>688</v>
      </c>
      <c r="T79" s="108"/>
      <c r="U79" s="157"/>
    </row>
    <row r="80" spans="1:21" x14ac:dyDescent="0.2">
      <c r="A80" s="303" t="s">
        <v>528</v>
      </c>
      <c r="B80" s="45">
        <v>5</v>
      </c>
      <c r="C80" s="45" t="s">
        <v>202</v>
      </c>
      <c r="D80" s="316"/>
      <c r="F80" s="316">
        <v>0.2</v>
      </c>
      <c r="G80" s="45" t="s">
        <v>110</v>
      </c>
      <c r="H80" s="45" t="s">
        <v>246</v>
      </c>
      <c r="L80" s="45" t="s">
        <v>553</v>
      </c>
      <c r="M80" s="2">
        <v>0.15</v>
      </c>
      <c r="N80" s="45" t="s">
        <v>640</v>
      </c>
      <c r="S80" s="108" t="s">
        <v>689</v>
      </c>
      <c r="T80" s="108"/>
      <c r="U80" s="156"/>
    </row>
    <row r="81" spans="1:23" x14ac:dyDescent="0.2">
      <c r="A81" s="303" t="s">
        <v>529</v>
      </c>
      <c r="B81" s="45">
        <v>5</v>
      </c>
      <c r="C81" s="45" t="s">
        <v>202</v>
      </c>
      <c r="D81" s="316"/>
      <c r="F81" s="316">
        <v>0.3</v>
      </c>
      <c r="G81" s="45" t="s">
        <v>530</v>
      </c>
      <c r="L81" s="45" t="s">
        <v>554</v>
      </c>
      <c r="M81" s="2">
        <v>-0.1</v>
      </c>
      <c r="N81" s="45" t="s">
        <v>641</v>
      </c>
      <c r="S81" s="108" t="s">
        <v>690</v>
      </c>
      <c r="T81" s="108"/>
      <c r="U81" s="156"/>
    </row>
    <row r="82" spans="1:23" x14ac:dyDescent="0.2">
      <c r="A82" s="303" t="s">
        <v>261</v>
      </c>
      <c r="B82" s="45">
        <f>B80</f>
        <v>5</v>
      </c>
      <c r="C82" s="45" t="str">
        <f>C80</f>
        <v>* Landsize</v>
      </c>
      <c r="D82" s="156"/>
      <c r="F82" s="316">
        <v>0</v>
      </c>
      <c r="G82" s="45" t="s">
        <v>32</v>
      </c>
      <c r="H82" s="45" t="s">
        <v>258</v>
      </c>
      <c r="L82" s="45" t="s">
        <v>556</v>
      </c>
      <c r="M82" s="2">
        <v>-0.2</v>
      </c>
      <c r="N82" s="45" t="s">
        <v>642</v>
      </c>
      <c r="O82" s="164">
        <v>0.1</v>
      </c>
      <c r="P82" s="5" t="s">
        <v>1087</v>
      </c>
      <c r="S82" s="108" t="s">
        <v>691</v>
      </c>
      <c r="T82" s="108"/>
      <c r="U82" s="156"/>
    </row>
    <row r="83" spans="1:23" x14ac:dyDescent="0.2">
      <c r="A83" s="303" t="s">
        <v>260</v>
      </c>
      <c r="B83" s="45">
        <f>B80</f>
        <v>5</v>
      </c>
      <c r="C83" s="45" t="str">
        <f>C80</f>
        <v>* Landsize</v>
      </c>
      <c r="D83" s="156"/>
      <c r="F83" s="316">
        <v>0.1</v>
      </c>
      <c r="G83" s="45" t="s">
        <v>31</v>
      </c>
      <c r="L83" s="45" t="s">
        <v>557</v>
      </c>
      <c r="M83" s="2">
        <v>0.01</v>
      </c>
      <c r="N83" s="45" t="s">
        <v>643</v>
      </c>
      <c r="O83" s="45" t="s">
        <v>636</v>
      </c>
      <c r="S83" s="108" t="s">
        <v>692</v>
      </c>
      <c r="T83" s="108"/>
      <c r="U83" s="156"/>
    </row>
    <row r="84" spans="1:23" x14ac:dyDescent="0.2">
      <c r="A84" s="303" t="s">
        <v>297</v>
      </c>
      <c r="B84" s="45">
        <v>5</v>
      </c>
      <c r="C84" s="45" t="str">
        <f t="shared" ref="C84:C91" si="0">C83</f>
        <v>* Landsize</v>
      </c>
      <c r="D84" s="156"/>
      <c r="F84" s="156">
        <v>0.2</v>
      </c>
      <c r="G84" s="45" t="s">
        <v>107</v>
      </c>
      <c r="H84" s="156">
        <v>0.1</v>
      </c>
      <c r="I84" s="45" t="s">
        <v>108</v>
      </c>
      <c r="L84" s="45" t="s">
        <v>558</v>
      </c>
      <c r="M84" s="419">
        <f>-2.5%/explore_tech_divisor</f>
        <v>-2.5000000000000001E-2</v>
      </c>
      <c r="N84" s="45" t="s">
        <v>635</v>
      </c>
      <c r="O84" s="157">
        <v>-0.05</v>
      </c>
      <c r="P84" s="45" t="s">
        <v>749</v>
      </c>
      <c r="S84" s="108" t="s">
        <v>684</v>
      </c>
      <c r="T84" s="108"/>
    </row>
    <row r="85" spans="1:23" x14ac:dyDescent="0.2">
      <c r="A85" s="303" t="s">
        <v>334</v>
      </c>
      <c r="B85" s="45">
        <f>B84</f>
        <v>5</v>
      </c>
      <c r="C85" s="45" t="str">
        <f t="shared" si="0"/>
        <v>* Landsize</v>
      </c>
      <c r="D85" s="156"/>
      <c r="F85" s="156">
        <v>0.1</v>
      </c>
      <c r="G85" s="45" t="s">
        <v>31</v>
      </c>
      <c r="H85" s="156">
        <v>0.1</v>
      </c>
      <c r="I85" s="45" t="s">
        <v>32</v>
      </c>
      <c r="L85" s="45" t="s">
        <v>560</v>
      </c>
      <c r="M85">
        <v>1.25</v>
      </c>
      <c r="N85" s="45" t="s">
        <v>669</v>
      </c>
      <c r="S85" s="108" t="s">
        <v>710</v>
      </c>
      <c r="T85" s="108"/>
      <c r="U85" s="157"/>
    </row>
    <row r="86" spans="1:23" x14ac:dyDescent="0.2">
      <c r="A86" s="303" t="s">
        <v>333</v>
      </c>
      <c r="B86" s="45">
        <f>B85</f>
        <v>5</v>
      </c>
      <c r="C86" s="45" t="str">
        <f t="shared" si="0"/>
        <v>* Landsize</v>
      </c>
      <c r="D86" s="156"/>
      <c r="F86" s="156">
        <v>0.15</v>
      </c>
      <c r="G86" s="45" t="s">
        <v>32</v>
      </c>
      <c r="H86" s="156" t="s">
        <v>335</v>
      </c>
      <c r="L86" s="45" t="s">
        <v>562</v>
      </c>
      <c r="M86" s="2">
        <v>-0.15</v>
      </c>
      <c r="N86" s="45" t="s">
        <v>639</v>
      </c>
      <c r="S86" s="108" t="s">
        <v>695</v>
      </c>
      <c r="T86" s="108"/>
      <c r="U86" s="156"/>
    </row>
    <row r="87" spans="1:23" x14ac:dyDescent="0.2">
      <c r="A87" s="303" t="s">
        <v>340</v>
      </c>
      <c r="B87" s="45">
        <v>5</v>
      </c>
      <c r="C87" s="318" t="str">
        <f t="shared" si="0"/>
        <v>* Landsize</v>
      </c>
      <c r="D87" s="156"/>
      <c r="F87" s="247">
        <v>12</v>
      </c>
      <c r="G87" s="45" t="s">
        <v>341</v>
      </c>
      <c r="H87" s="156"/>
      <c r="L87" s="45" t="s">
        <v>563</v>
      </c>
      <c r="M87" s="165">
        <f>-2.5%/explore_tech_divisor</f>
        <v>-2.5000000000000001E-2</v>
      </c>
      <c r="N87" s="45" t="s">
        <v>635</v>
      </c>
      <c r="O87" s="45">
        <v>-1</v>
      </c>
      <c r="P87" s="45" t="s">
        <v>666</v>
      </c>
      <c r="S87" s="108" t="s">
        <v>696</v>
      </c>
      <c r="T87" s="108"/>
      <c r="U87" s="156"/>
    </row>
    <row r="88" spans="1:23" x14ac:dyDescent="0.2">
      <c r="A88" s="303" t="s">
        <v>424</v>
      </c>
      <c r="B88" s="45">
        <v>5</v>
      </c>
      <c r="C88" s="45" t="str">
        <f t="shared" si="0"/>
        <v>* Landsize</v>
      </c>
      <c r="D88" s="156"/>
      <c r="F88" s="118">
        <v>0.05</v>
      </c>
      <c r="G88" s="45" t="s">
        <v>31</v>
      </c>
      <c r="L88" s="45" t="s">
        <v>564</v>
      </c>
      <c r="M88" s="407">
        <v>-2.5000000000000001E-2</v>
      </c>
      <c r="N88" s="45" t="s">
        <v>641</v>
      </c>
      <c r="S88" s="108" t="s">
        <v>697</v>
      </c>
      <c r="T88" s="108"/>
      <c r="U88" s="157"/>
    </row>
    <row r="89" spans="1:23" x14ac:dyDescent="0.2">
      <c r="A89" s="303" t="s">
        <v>1069</v>
      </c>
      <c r="B89" s="45">
        <v>5</v>
      </c>
      <c r="C89" s="45" t="str">
        <f t="shared" si="0"/>
        <v>* Landsize</v>
      </c>
      <c r="D89" s="118">
        <v>0.01</v>
      </c>
      <c r="E89" s="45" t="s">
        <v>357</v>
      </c>
      <c r="F89" s="156">
        <v>0.1</v>
      </c>
      <c r="G89" s="45" t="s">
        <v>1071</v>
      </c>
      <c r="M89"/>
      <c r="S89" s="108"/>
      <c r="T89" s="108"/>
    </row>
    <row r="90" spans="1:23" x14ac:dyDescent="0.2">
      <c r="A90" s="303" t="s">
        <v>1076</v>
      </c>
      <c r="B90" s="45">
        <v>5</v>
      </c>
      <c r="C90" s="45" t="str">
        <f t="shared" si="0"/>
        <v>* Landsize</v>
      </c>
      <c r="F90" s="156">
        <v>0.15</v>
      </c>
      <c r="G90" s="45" t="s">
        <v>106</v>
      </c>
      <c r="L90" s="45" t="s">
        <v>566</v>
      </c>
      <c r="M90" s="2">
        <v>0.05</v>
      </c>
      <c r="N90" s="45" t="s">
        <v>644</v>
      </c>
      <c r="S90" s="108" t="s">
        <v>698</v>
      </c>
      <c r="T90" s="108"/>
    </row>
    <row r="91" spans="1:23" x14ac:dyDescent="0.2">
      <c r="A91" s="303" t="s">
        <v>1136</v>
      </c>
      <c r="B91" s="45">
        <v>5</v>
      </c>
      <c r="C91" s="45" t="str">
        <f t="shared" si="0"/>
        <v>* Landsize</v>
      </c>
      <c r="F91" s="156">
        <v>-0.05</v>
      </c>
      <c r="G91" s="45" t="s">
        <v>106</v>
      </c>
      <c r="L91" s="45" t="s">
        <v>568</v>
      </c>
      <c r="M91" s="407">
        <v>2.5000000000000001E-2</v>
      </c>
      <c r="N91" s="45" t="s">
        <v>646</v>
      </c>
      <c r="S91" s="108" t="s">
        <v>699</v>
      </c>
      <c r="T91" s="108"/>
      <c r="U91" s="157"/>
    </row>
    <row r="92" spans="1:23" x14ac:dyDescent="0.2">
      <c r="F92" s="156">
        <v>0</v>
      </c>
      <c r="G92" s="45" t="s">
        <v>1137</v>
      </c>
      <c r="L92" s="45" t="s">
        <v>570</v>
      </c>
      <c r="M92" s="407">
        <v>7.4999999999999997E-2</v>
      </c>
      <c r="N92" s="45" t="s">
        <v>647</v>
      </c>
      <c r="O92" s="118">
        <v>0.25</v>
      </c>
      <c r="P92" s="45" t="s">
        <v>648</v>
      </c>
      <c r="S92" s="108" t="s">
        <v>700</v>
      </c>
      <c r="T92" s="108"/>
      <c r="U92" s="157"/>
      <c r="W92" s="156"/>
    </row>
    <row r="93" spans="1:23" x14ac:dyDescent="0.2">
      <c r="F93" s="45">
        <v>0.75</v>
      </c>
      <c r="G93" s="45" t="s">
        <v>1138</v>
      </c>
      <c r="L93" s="45" t="s">
        <v>571</v>
      </c>
      <c r="M93" s="407">
        <v>0.1</v>
      </c>
      <c r="N93" s="45" t="s">
        <v>631</v>
      </c>
      <c r="O93" s="156">
        <v>0.05</v>
      </c>
      <c r="P93" s="45" t="s">
        <v>649</v>
      </c>
      <c r="S93" s="108" t="s">
        <v>701</v>
      </c>
      <c r="T93" s="108"/>
      <c r="U93" s="157"/>
      <c r="W93" s="156"/>
    </row>
    <row r="94" spans="1:23" x14ac:dyDescent="0.2">
      <c r="L94" s="45" t="s">
        <v>572</v>
      </c>
      <c r="M94" s="407">
        <v>-1.7500000000000002E-2</v>
      </c>
      <c r="N94" s="45" t="s">
        <v>634</v>
      </c>
      <c r="S94" s="108" t="s">
        <v>683</v>
      </c>
      <c r="T94" s="108"/>
    </row>
    <row r="95" spans="1:23" x14ac:dyDescent="0.2">
      <c r="A95" s="302" t="s">
        <v>82</v>
      </c>
      <c r="L95" s="45" t="s">
        <v>573</v>
      </c>
      <c r="M95" s="407">
        <v>1.4999999999999999E-2</v>
      </c>
      <c r="N95" s="45" t="s">
        <v>645</v>
      </c>
      <c r="S95" s="108" t="s">
        <v>694</v>
      </c>
      <c r="T95" s="108"/>
      <c r="U95" s="156"/>
    </row>
    <row r="96" spans="1:23" x14ac:dyDescent="0.2">
      <c r="A96" s="303" t="s">
        <v>267</v>
      </c>
      <c r="B96" s="45">
        <f>30 + IF(race="Kobold",10,0) + IF(race="Nox",5,0) + IF(race="Undead",20,0)</f>
        <v>30</v>
      </c>
      <c r="C96" s="45" t="s">
        <v>239</v>
      </c>
      <c r="L96" s="45" t="s">
        <v>574</v>
      </c>
      <c r="M96" s="165">
        <f>-7.5%/explore_tech_divisor</f>
        <v>-7.4999999999999997E-2</v>
      </c>
      <c r="N96" s="45" t="s">
        <v>635</v>
      </c>
      <c r="O96" s="45">
        <v>-2</v>
      </c>
      <c r="P96" s="45" t="s">
        <v>666</v>
      </c>
      <c r="S96" s="108" t="s">
        <v>702</v>
      </c>
      <c r="T96" s="108"/>
      <c r="U96" s="157"/>
    </row>
    <row r="97" spans="1:23" x14ac:dyDescent="0.2">
      <c r="L97" s="45" t="s">
        <v>575</v>
      </c>
      <c r="M97" s="2">
        <v>0.15</v>
      </c>
      <c r="N97" s="45" t="s">
        <v>1123</v>
      </c>
      <c r="S97" s="108" t="s">
        <v>1121</v>
      </c>
      <c r="T97" s="108"/>
      <c r="U97" s="156"/>
    </row>
    <row r="98" spans="1:23" x14ac:dyDescent="0.2">
      <c r="A98" s="302" t="s">
        <v>350</v>
      </c>
      <c r="L98" s="45" t="s">
        <v>576</v>
      </c>
      <c r="M98" s="2">
        <v>-0.1</v>
      </c>
      <c r="N98" s="45" t="s">
        <v>638</v>
      </c>
      <c r="S98" s="108" t="s">
        <v>687</v>
      </c>
      <c r="T98" s="108"/>
      <c r="U98" s="156"/>
      <c r="W98" s="156"/>
    </row>
    <row r="99" spans="1:23" x14ac:dyDescent="0.2">
      <c r="A99" s="303" t="s">
        <v>502</v>
      </c>
      <c r="B99" s="45">
        <v>250</v>
      </c>
      <c r="M99"/>
      <c r="S99" s="108"/>
      <c r="T99" s="108"/>
    </row>
    <row r="100" spans="1:23" x14ac:dyDescent="0.2">
      <c r="A100" s="303" t="s">
        <v>503</v>
      </c>
      <c r="B100" s="156">
        <v>0.01</v>
      </c>
      <c r="L100" s="45" t="s">
        <v>578</v>
      </c>
      <c r="M100" s="407">
        <v>0.125</v>
      </c>
      <c r="N100" s="45" t="s">
        <v>651</v>
      </c>
      <c r="S100" s="108" t="s">
        <v>704</v>
      </c>
      <c r="T100" s="108"/>
      <c r="U100" s="157"/>
    </row>
    <row r="101" spans="1:23" x14ac:dyDescent="0.2">
      <c r="A101" s="303" t="s">
        <v>504</v>
      </c>
      <c r="B101" s="156">
        <v>0.01</v>
      </c>
      <c r="L101" s="45" t="s">
        <v>579</v>
      </c>
      <c r="M101"/>
      <c r="N101" s="45" t="s">
        <v>626</v>
      </c>
      <c r="S101" s="108" t="s">
        <v>705</v>
      </c>
      <c r="T101" s="108"/>
    </row>
    <row r="102" spans="1:23" x14ac:dyDescent="0.2">
      <c r="A102" s="303" t="s">
        <v>505</v>
      </c>
      <c r="B102" s="156">
        <v>0.01</v>
      </c>
      <c r="L102" s="45" t="s">
        <v>580</v>
      </c>
      <c r="M102" s="407">
        <v>2.5000000000000001E-2</v>
      </c>
      <c r="N102" s="45" t="s">
        <v>646</v>
      </c>
      <c r="O102" s="157">
        <v>7.4999999999999997E-2</v>
      </c>
      <c r="P102" s="45" t="s">
        <v>644</v>
      </c>
      <c r="S102" s="108" t="s">
        <v>706</v>
      </c>
      <c r="T102" s="108"/>
      <c r="U102" s="157"/>
      <c r="W102" s="157"/>
    </row>
    <row r="103" spans="1:23" x14ac:dyDescent="0.2">
      <c r="L103" s="45" t="s">
        <v>581</v>
      </c>
      <c r="M103" s="2">
        <v>0.04</v>
      </c>
      <c r="N103" s="45" t="s">
        <v>633</v>
      </c>
      <c r="S103" s="108" t="s">
        <v>707</v>
      </c>
      <c r="T103" s="108"/>
      <c r="U103" s="156"/>
    </row>
    <row r="104" spans="1:23" x14ac:dyDescent="0.2">
      <c r="A104" s="302" t="s">
        <v>455</v>
      </c>
      <c r="L104" s="45" t="s">
        <v>582</v>
      </c>
      <c r="M104">
        <v>2</v>
      </c>
      <c r="N104" s="45" t="s">
        <v>1086</v>
      </c>
      <c r="S104" s="108" t="s">
        <v>1053</v>
      </c>
      <c r="T104" s="108"/>
      <c r="U104" s="156"/>
    </row>
    <row r="105" spans="1:23" x14ac:dyDescent="0.2">
      <c r="L105" s="45" t="s">
        <v>583</v>
      </c>
      <c r="M105" s="407">
        <v>-0.1</v>
      </c>
      <c r="N105" s="45" t="s">
        <v>641</v>
      </c>
      <c r="S105" s="108" t="s">
        <v>709</v>
      </c>
      <c r="T105" s="108"/>
      <c r="U105" s="156"/>
    </row>
    <row r="106" spans="1:23" x14ac:dyDescent="0.2">
      <c r="A106" s="303" t="s">
        <v>456</v>
      </c>
      <c r="B106" s="45" t="s">
        <v>210</v>
      </c>
      <c r="D106" s="316">
        <v>0.3</v>
      </c>
      <c r="E106" s="45" t="s">
        <v>435</v>
      </c>
      <c r="L106" s="45" t="s">
        <v>585</v>
      </c>
      <c r="M106">
        <v>-1</v>
      </c>
      <c r="N106" s="45" t="s">
        <v>750</v>
      </c>
      <c r="S106" s="108" t="s">
        <v>1055</v>
      </c>
      <c r="T106" s="108"/>
      <c r="U106" s="157"/>
    </row>
    <row r="107" spans="1:23" x14ac:dyDescent="0.2">
      <c r="B107" s="45" t="s">
        <v>208</v>
      </c>
      <c r="D107" s="316">
        <v>0.2</v>
      </c>
      <c r="E107" s="45" t="s">
        <v>435</v>
      </c>
      <c r="L107" s="45" t="s">
        <v>586</v>
      </c>
      <c r="M107" s="2">
        <v>-0.2</v>
      </c>
      <c r="N107" s="45" t="s">
        <v>652</v>
      </c>
      <c r="S107" s="108" t="s">
        <v>708</v>
      </c>
      <c r="T107" s="108"/>
    </row>
    <row r="108" spans="1:23" x14ac:dyDescent="0.2">
      <c r="B108" s="45" t="s">
        <v>457</v>
      </c>
      <c r="D108" s="316">
        <v>0.3</v>
      </c>
      <c r="E108" s="45" t="s">
        <v>435</v>
      </c>
      <c r="M108"/>
    </row>
    <row r="109" spans="1:23" x14ac:dyDescent="0.2">
      <c r="B109" s="45" t="s">
        <v>458</v>
      </c>
      <c r="D109" s="316">
        <v>0.6</v>
      </c>
      <c r="E109" s="45" t="s">
        <v>435</v>
      </c>
      <c r="L109" s="45" t="s">
        <v>587</v>
      </c>
      <c r="M109" s="407">
        <v>2.5000000000000001E-2</v>
      </c>
      <c r="N109" s="45" t="s">
        <v>1059</v>
      </c>
      <c r="O109" s="45" t="s">
        <v>654</v>
      </c>
      <c r="S109" s="108" t="s">
        <v>712</v>
      </c>
      <c r="T109" s="108"/>
      <c r="U109" s="156"/>
      <c r="W109" s="156"/>
    </row>
    <row r="110" spans="1:23" x14ac:dyDescent="0.2">
      <c r="L110" s="45" t="s">
        <v>588</v>
      </c>
      <c r="M110" s="2">
        <v>-0.2</v>
      </c>
      <c r="N110" s="45" t="s">
        <v>670</v>
      </c>
      <c r="O110" s="156">
        <v>-0.2</v>
      </c>
      <c r="P110" s="45" t="s">
        <v>653</v>
      </c>
      <c r="Q110" s="5"/>
      <c r="R110" s="5"/>
      <c r="S110" s="108" t="s">
        <v>711</v>
      </c>
      <c r="T110" s="108"/>
    </row>
    <row r="111" spans="1:23" x14ac:dyDescent="0.2">
      <c r="A111" s="303" t="s">
        <v>459</v>
      </c>
      <c r="B111" s="45" t="s">
        <v>210</v>
      </c>
      <c r="D111" s="45">
        <v>4000</v>
      </c>
      <c r="E111" s="45" t="s">
        <v>506</v>
      </c>
      <c r="L111" s="45" t="s">
        <v>589</v>
      </c>
      <c r="M111" s="407">
        <v>-1.7500000000000002E-2</v>
      </c>
      <c r="N111" s="45" t="s">
        <v>634</v>
      </c>
      <c r="S111" s="108" t="s">
        <v>713</v>
      </c>
      <c r="T111" s="108"/>
      <c r="U111" s="156"/>
    </row>
    <row r="112" spans="1:23" x14ac:dyDescent="0.2">
      <c r="B112" s="45" t="s">
        <v>208</v>
      </c>
      <c r="D112" s="45">
        <v>4000</v>
      </c>
      <c r="E112" s="45" t="s">
        <v>506</v>
      </c>
      <c r="L112" s="45" t="s">
        <v>590</v>
      </c>
      <c r="M112" s="407">
        <v>2.5000000000000001E-2</v>
      </c>
      <c r="N112" s="45" t="s">
        <v>662</v>
      </c>
      <c r="O112" s="157">
        <v>7.4999999999999997E-2</v>
      </c>
      <c r="P112" s="45" t="s">
        <v>655</v>
      </c>
      <c r="S112" s="108" t="s">
        <v>714</v>
      </c>
      <c r="T112" s="108"/>
      <c r="U112" s="157"/>
      <c r="W112" s="157"/>
    </row>
    <row r="113" spans="1:23" x14ac:dyDescent="0.2">
      <c r="B113" s="45" t="s">
        <v>457</v>
      </c>
      <c r="D113" s="45">
        <v>7500</v>
      </c>
      <c r="E113" s="45" t="s">
        <v>506</v>
      </c>
      <c r="L113" s="45" t="s">
        <v>591</v>
      </c>
      <c r="M113" s="407">
        <v>-1.7500000000000002E-2</v>
      </c>
      <c r="N113" s="45" t="s">
        <v>634</v>
      </c>
      <c r="S113" s="108" t="s">
        <v>715</v>
      </c>
      <c r="T113" s="108"/>
      <c r="U113" s="156"/>
    </row>
    <row r="114" spans="1:23" x14ac:dyDescent="0.2">
      <c r="B114" s="45" t="s">
        <v>526</v>
      </c>
      <c r="D114" s="45">
        <v>5000</v>
      </c>
      <c r="E114" s="45" t="s">
        <v>506</v>
      </c>
      <c r="L114" s="45" t="s">
        <v>592</v>
      </c>
      <c r="M114">
        <v>1</v>
      </c>
      <c r="N114" s="45" t="s">
        <v>668</v>
      </c>
      <c r="S114" s="108" t="s">
        <v>392</v>
      </c>
      <c r="T114" s="108"/>
      <c r="U114" s="156"/>
      <c r="W114" s="156"/>
    </row>
    <row r="115" spans="1:23" x14ac:dyDescent="0.2">
      <c r="B115" s="45" t="s">
        <v>211</v>
      </c>
      <c r="D115" s="45">
        <v>5000</v>
      </c>
      <c r="E115" s="45" t="s">
        <v>506</v>
      </c>
      <c r="L115" s="45" t="s">
        <v>593</v>
      </c>
      <c r="M115" s="2">
        <v>-0.01</v>
      </c>
      <c r="N115" s="45" t="s">
        <v>656</v>
      </c>
      <c r="S115" s="108" t="s">
        <v>717</v>
      </c>
      <c r="T115" s="108"/>
      <c r="U115" s="156"/>
    </row>
    <row r="116" spans="1:23" x14ac:dyDescent="0.2">
      <c r="T116" s="108"/>
    </row>
    <row r="117" spans="1:23" x14ac:dyDescent="0.2">
      <c r="A117" s="302" t="s">
        <v>460</v>
      </c>
      <c r="F117" s="45" t="s">
        <v>462</v>
      </c>
      <c r="L117" s="45" t="s">
        <v>594</v>
      </c>
      <c r="M117" s="29">
        <v>1.4999999999999999E-2</v>
      </c>
      <c r="N117" s="45" t="s">
        <v>645</v>
      </c>
      <c r="S117" s="108" t="s">
        <v>718</v>
      </c>
      <c r="T117" s="108"/>
      <c r="U117" s="157"/>
    </row>
    <row r="118" spans="1:23" x14ac:dyDescent="0.2">
      <c r="A118" s="303" t="s">
        <v>1129</v>
      </c>
      <c r="B118" s="238"/>
      <c r="C118" s="319">
        <v>0.2</v>
      </c>
      <c r="D118" s="45" t="s">
        <v>466</v>
      </c>
      <c r="F118" s="177">
        <v>2</v>
      </c>
      <c r="L118" s="45" t="s">
        <v>595</v>
      </c>
      <c r="M118" s="407">
        <v>2.5000000000000001E-2</v>
      </c>
      <c r="N118" s="45" t="s">
        <v>646</v>
      </c>
      <c r="O118" s="156">
        <v>-0.05</v>
      </c>
      <c r="P118" s="45" t="s">
        <v>657</v>
      </c>
      <c r="S118" s="108" t="s">
        <v>719</v>
      </c>
      <c r="T118" s="108"/>
      <c r="U118" s="157"/>
      <c r="W118" s="156"/>
    </row>
    <row r="119" spans="1:23" x14ac:dyDescent="0.2">
      <c r="A119" s="303" t="s">
        <v>125</v>
      </c>
      <c r="B119" s="116" t="s">
        <v>292</v>
      </c>
      <c r="C119" s="319">
        <v>0.2</v>
      </c>
      <c r="D119" s="45" t="s">
        <v>466</v>
      </c>
      <c r="F119" s="177">
        <v>2</v>
      </c>
      <c r="L119" s="45" t="s">
        <v>597</v>
      </c>
      <c r="M119" s="2">
        <v>-0.05</v>
      </c>
      <c r="N119" s="45" t="s">
        <v>641</v>
      </c>
      <c r="O119" s="156">
        <v>-0.1</v>
      </c>
      <c r="P119" s="45" t="s">
        <v>653</v>
      </c>
      <c r="Q119" s="45">
        <v>5</v>
      </c>
      <c r="R119" s="45" t="s">
        <v>673</v>
      </c>
      <c r="S119" s="108" t="s">
        <v>1056</v>
      </c>
      <c r="T119" s="108"/>
      <c r="U119" s="156"/>
      <c r="W119" s="156"/>
    </row>
    <row r="120" spans="1:23" x14ac:dyDescent="0.2">
      <c r="B120" s="45" t="s">
        <v>291</v>
      </c>
      <c r="C120" s="118">
        <v>0.2</v>
      </c>
      <c r="D120" s="45" t="s">
        <v>466</v>
      </c>
      <c r="F120" s="177">
        <v>2</v>
      </c>
      <c r="L120" s="45" t="s">
        <v>598</v>
      </c>
      <c r="M120" s="407">
        <v>-0.125</v>
      </c>
      <c r="N120" s="45" t="s">
        <v>658</v>
      </c>
      <c r="S120" s="108" t="s">
        <v>720</v>
      </c>
      <c r="T120" s="108"/>
      <c r="U120" s="157"/>
    </row>
    <row r="121" spans="1:23" x14ac:dyDescent="0.2">
      <c r="A121" s="303" t="s">
        <v>139</v>
      </c>
      <c r="B121" s="238"/>
      <c r="C121" s="319">
        <v>0.2</v>
      </c>
      <c r="D121" s="45" t="s">
        <v>466</v>
      </c>
      <c r="F121" s="177">
        <v>4</v>
      </c>
      <c r="L121" s="45" t="s">
        <v>600</v>
      </c>
      <c r="M121" s="407">
        <v>0.01</v>
      </c>
      <c r="N121" s="45" t="s">
        <v>645</v>
      </c>
      <c r="O121" s="5"/>
      <c r="P121" s="5"/>
      <c r="S121" s="108" t="s">
        <v>716</v>
      </c>
      <c r="T121" s="108"/>
      <c r="U121" s="156"/>
    </row>
    <row r="122" spans="1:23" x14ac:dyDescent="0.2">
      <c r="A122" s="303" t="s">
        <v>132</v>
      </c>
      <c r="B122" s="238"/>
      <c r="C122" s="319">
        <v>0.2</v>
      </c>
      <c r="D122" s="45" t="s">
        <v>467</v>
      </c>
      <c r="F122" s="177">
        <v>2</v>
      </c>
      <c r="L122" s="45" t="s">
        <v>601</v>
      </c>
      <c r="M122" s="29">
        <v>7.4999999999999997E-2</v>
      </c>
      <c r="N122" s="45" t="s">
        <v>671</v>
      </c>
      <c r="O122" s="156">
        <v>-0.05</v>
      </c>
      <c r="P122" s="45" t="s">
        <v>659</v>
      </c>
      <c r="S122" s="108" t="s">
        <v>722</v>
      </c>
      <c r="T122" s="108"/>
      <c r="U122" s="156"/>
      <c r="W122" s="156"/>
    </row>
    <row r="123" spans="1:23" x14ac:dyDescent="0.2">
      <c r="A123" s="303" t="s">
        <v>1064</v>
      </c>
      <c r="B123" s="116" t="s">
        <v>292</v>
      </c>
      <c r="C123" s="319">
        <v>0.1</v>
      </c>
      <c r="D123" s="45" t="s">
        <v>295</v>
      </c>
      <c r="F123" s="177">
        <v>0</v>
      </c>
      <c r="M123"/>
      <c r="S123" s="108"/>
      <c r="T123" s="108"/>
    </row>
    <row r="124" spans="1:23" x14ac:dyDescent="0.2">
      <c r="B124" s="45" t="s">
        <v>291</v>
      </c>
      <c r="C124" s="320">
        <v>0.1</v>
      </c>
      <c r="D124" s="45" t="s">
        <v>295</v>
      </c>
      <c r="F124" s="177">
        <v>0</v>
      </c>
      <c r="L124" s="45" t="s">
        <v>602</v>
      </c>
      <c r="M124" s="2">
        <v>0.3</v>
      </c>
      <c r="N124" s="45" t="s">
        <v>660</v>
      </c>
      <c r="S124" s="108" t="s">
        <v>723</v>
      </c>
      <c r="T124" s="108"/>
      <c r="U124" s="156"/>
    </row>
    <row r="125" spans="1:23" x14ac:dyDescent="0.2">
      <c r="A125" s="303" t="s">
        <v>461</v>
      </c>
      <c r="B125" s="238"/>
      <c r="C125" s="319">
        <v>0.2</v>
      </c>
      <c r="D125" s="45" t="s">
        <v>467</v>
      </c>
      <c r="F125" s="177">
        <v>3</v>
      </c>
      <c r="L125" s="45" t="s">
        <v>604</v>
      </c>
      <c r="M125">
        <v>1.25</v>
      </c>
      <c r="N125" s="45" t="s">
        <v>675</v>
      </c>
      <c r="S125" s="108" t="s">
        <v>727</v>
      </c>
      <c r="T125" s="108"/>
      <c r="U125" s="156"/>
    </row>
    <row r="126" spans="1:23" x14ac:dyDescent="0.2">
      <c r="A126" s="303" t="s">
        <v>332</v>
      </c>
      <c r="C126" s="177">
        <v>1</v>
      </c>
      <c r="D126" s="45" t="s">
        <v>463</v>
      </c>
      <c r="F126" s="177">
        <v>3</v>
      </c>
      <c r="L126" s="45" t="s">
        <v>606</v>
      </c>
      <c r="M126" s="407">
        <v>-7.4999999999999997E-2</v>
      </c>
      <c r="N126" s="45" t="s">
        <v>659</v>
      </c>
      <c r="O126" s="157">
        <v>7.4999999999999997E-3</v>
      </c>
      <c r="P126" s="45" t="s">
        <v>751</v>
      </c>
      <c r="S126" s="108" t="s">
        <v>1057</v>
      </c>
      <c r="T126" s="108"/>
      <c r="U126" s="156"/>
    </row>
    <row r="127" spans="1:23" x14ac:dyDescent="0.2">
      <c r="A127" s="303" t="s">
        <v>373</v>
      </c>
      <c r="B127" s="177" t="s">
        <v>465</v>
      </c>
      <c r="C127" s="116">
        <v>500</v>
      </c>
      <c r="D127" s="45" t="s">
        <v>464</v>
      </c>
      <c r="F127" s="177">
        <v>0</v>
      </c>
      <c r="L127" s="45" t="s">
        <v>607</v>
      </c>
      <c r="M127" s="407">
        <v>2.5000000000000001E-2</v>
      </c>
      <c r="N127" s="45" t="s">
        <v>662</v>
      </c>
      <c r="S127" s="108" t="s">
        <v>725</v>
      </c>
      <c r="T127" s="108"/>
      <c r="U127" s="157"/>
    </row>
    <row r="128" spans="1:23" x14ac:dyDescent="0.2">
      <c r="A128" s="303" t="s">
        <v>356</v>
      </c>
      <c r="B128" s="177" t="s">
        <v>465</v>
      </c>
      <c r="C128" s="116">
        <v>300</v>
      </c>
      <c r="D128" s="45" t="s">
        <v>464</v>
      </c>
      <c r="F128" s="177">
        <v>3</v>
      </c>
      <c r="L128" s="45" t="s">
        <v>608</v>
      </c>
      <c r="M128" s="407">
        <v>-2.5000000000000001E-2</v>
      </c>
      <c r="N128" s="45" t="s">
        <v>637</v>
      </c>
      <c r="O128" s="5">
        <v>2</v>
      </c>
      <c r="P128" s="5" t="s">
        <v>674</v>
      </c>
      <c r="S128" s="108" t="s">
        <v>726</v>
      </c>
      <c r="T128" s="108"/>
      <c r="U128" s="157"/>
    </row>
    <row r="129" spans="1:23" x14ac:dyDescent="0.2">
      <c r="A129" s="303" t="s">
        <v>422</v>
      </c>
      <c r="B129" s="238"/>
      <c r="C129" s="118">
        <v>0.1</v>
      </c>
      <c r="D129" s="45" t="s">
        <v>497</v>
      </c>
      <c r="F129" s="177">
        <v>4</v>
      </c>
      <c r="M129"/>
      <c r="S129" s="108"/>
      <c r="T129" s="108"/>
    </row>
    <row r="130" spans="1:23" x14ac:dyDescent="0.2">
      <c r="A130" s="303" t="s">
        <v>1133</v>
      </c>
      <c r="B130" s="45" t="s">
        <v>291</v>
      </c>
      <c r="C130" s="118">
        <v>0.1</v>
      </c>
      <c r="D130" s="45" t="s">
        <v>497</v>
      </c>
      <c r="F130" s="45">
        <v>1</v>
      </c>
      <c r="L130" s="45" t="s">
        <v>610</v>
      </c>
      <c r="M130" s="2">
        <v>0.6</v>
      </c>
      <c r="N130" s="45" t="s">
        <v>752</v>
      </c>
      <c r="S130" s="108" t="s">
        <v>1058</v>
      </c>
      <c r="T130" s="108"/>
    </row>
    <row r="131" spans="1:23" x14ac:dyDescent="0.2">
      <c r="L131" s="45" t="s">
        <v>611</v>
      </c>
      <c r="M131" s="407">
        <v>-7.4999999999999997E-2</v>
      </c>
      <c r="N131" s="45" t="s">
        <v>659</v>
      </c>
      <c r="S131" s="108" t="s">
        <v>728</v>
      </c>
      <c r="T131" s="108"/>
      <c r="U131" s="157"/>
    </row>
    <row r="132" spans="1:23" x14ac:dyDescent="0.2">
      <c r="A132" s="302" t="s">
        <v>263</v>
      </c>
      <c r="L132" s="45" t="s">
        <v>613</v>
      </c>
      <c r="M132">
        <v>2</v>
      </c>
      <c r="N132" s="45" t="s">
        <v>676</v>
      </c>
      <c r="S132" s="108" t="s">
        <v>729</v>
      </c>
      <c r="T132" s="108"/>
    </row>
    <row r="133" spans="1:23" x14ac:dyDescent="0.2">
      <c r="A133" s="303" t="s">
        <v>478</v>
      </c>
      <c r="B133" s="45">
        <v>20</v>
      </c>
      <c r="L133" s="45" t="s">
        <v>615</v>
      </c>
      <c r="M133" s="2">
        <v>0.3</v>
      </c>
      <c r="N133" s="45" t="s">
        <v>663</v>
      </c>
      <c r="S133" s="108" t="s">
        <v>730</v>
      </c>
      <c r="T133" s="108"/>
      <c r="U133" s="156"/>
    </row>
    <row r="134" spans="1:23" x14ac:dyDescent="0.2">
      <c r="A134" s="303" t="s">
        <v>476</v>
      </c>
      <c r="B134" s="45">
        <v>0</v>
      </c>
      <c r="C134" s="45" t="s">
        <v>477</v>
      </c>
      <c r="M134"/>
      <c r="S134" s="108"/>
      <c r="T134" s="108"/>
    </row>
    <row r="135" spans="1:23" x14ac:dyDescent="0.2">
      <c r="L135" s="45" t="s">
        <v>616</v>
      </c>
      <c r="M135" s="2">
        <v>-0.15</v>
      </c>
      <c r="N135" s="45" t="s">
        <v>672</v>
      </c>
      <c r="O135" s="156">
        <v>-0.05</v>
      </c>
      <c r="P135" s="45" t="s">
        <v>650</v>
      </c>
      <c r="S135" s="108" t="s">
        <v>731</v>
      </c>
      <c r="T135" s="108"/>
      <c r="U135" s="156"/>
      <c r="W135" s="156"/>
    </row>
    <row r="136" spans="1:23" x14ac:dyDescent="0.2">
      <c r="A136" s="302" t="s">
        <v>753</v>
      </c>
      <c r="L136" s="45" t="s">
        <v>618</v>
      </c>
      <c r="M136" s="407">
        <v>-0.05</v>
      </c>
      <c r="N136" s="45" t="s">
        <v>641</v>
      </c>
      <c r="S136" s="108" t="s">
        <v>732</v>
      </c>
      <c r="T136" s="108"/>
      <c r="U136" s="157"/>
    </row>
    <row r="137" spans="1:23" x14ac:dyDescent="0.2">
      <c r="A137" s="303" t="s">
        <v>89</v>
      </c>
      <c r="B137" s="45" t="s">
        <v>3</v>
      </c>
      <c r="L137" s="45" t="s">
        <v>619</v>
      </c>
      <c r="M137" s="2">
        <v>-0.25</v>
      </c>
      <c r="N137" s="45" t="s">
        <v>664</v>
      </c>
      <c r="S137" s="108" t="s">
        <v>733</v>
      </c>
      <c r="T137" s="108"/>
      <c r="U137" s="156"/>
    </row>
    <row r="138" spans="1:23" x14ac:dyDescent="0.2">
      <c r="A138" s="303" t="s">
        <v>90</v>
      </c>
      <c r="B138" s="45" t="s">
        <v>3</v>
      </c>
      <c r="M138"/>
      <c r="S138" s="108"/>
      <c r="T138" s="108"/>
    </row>
    <row r="139" spans="1:23" x14ac:dyDescent="0.2">
      <c r="A139" s="303" t="s">
        <v>91</v>
      </c>
      <c r="B139" s="45" t="s">
        <v>3</v>
      </c>
      <c r="L139" s="45" t="s">
        <v>620</v>
      </c>
      <c r="M139" s="29">
        <v>7.4999999999999997E-2</v>
      </c>
      <c r="N139" s="45" t="s">
        <v>661</v>
      </c>
      <c r="S139" s="108" t="s">
        <v>724</v>
      </c>
      <c r="T139" s="108"/>
      <c r="U139" s="157"/>
    </row>
    <row r="140" spans="1:23" x14ac:dyDescent="0.2">
      <c r="A140" s="303" t="s">
        <v>92</v>
      </c>
      <c r="B140" s="45" t="s">
        <v>12</v>
      </c>
      <c r="L140" s="45" t="s">
        <v>622</v>
      </c>
      <c r="M140" s="407">
        <v>-7.4999999999999997E-2</v>
      </c>
      <c r="N140" s="45" t="s">
        <v>658</v>
      </c>
      <c r="S140" s="108" t="s">
        <v>734</v>
      </c>
      <c r="T140" s="108"/>
      <c r="U140" s="156"/>
    </row>
    <row r="141" spans="1:23" x14ac:dyDescent="0.2">
      <c r="A141" s="303" t="s">
        <v>93</v>
      </c>
      <c r="B141" s="45" t="s">
        <v>3</v>
      </c>
      <c r="M141"/>
    </row>
    <row r="142" spans="1:23" x14ac:dyDescent="0.2">
      <c r="A142" s="303" t="s">
        <v>94</v>
      </c>
      <c r="B142" s="45" t="s">
        <v>3</v>
      </c>
      <c r="L142" s="45" t="s">
        <v>623</v>
      </c>
      <c r="M142" s="2">
        <v>-0.05</v>
      </c>
      <c r="N142" s="45" t="s">
        <v>659</v>
      </c>
      <c r="S142" s="45" t="s">
        <v>735</v>
      </c>
      <c r="U142" s="156"/>
    </row>
    <row r="143" spans="1:23" x14ac:dyDescent="0.2">
      <c r="A143" s="303" t="s">
        <v>95</v>
      </c>
      <c r="B143" s="45" t="s">
        <v>3</v>
      </c>
    </row>
    <row r="144" spans="1:23" x14ac:dyDescent="0.2">
      <c r="A144" s="303" t="s">
        <v>96</v>
      </c>
      <c r="B144" s="45" t="s">
        <v>7</v>
      </c>
      <c r="L144" s="45" t="b">
        <f>OR(race=L145,race=L146,race=L147,race=L148)</f>
        <v>0</v>
      </c>
      <c r="M144" s="45">
        <f>IF(L144=FALSE,1,2)</f>
        <v>1</v>
      </c>
    </row>
    <row r="145" spans="1:13" x14ac:dyDescent="0.2">
      <c r="A145" s="303" t="s">
        <v>97</v>
      </c>
      <c r="B145" s="45" t="s">
        <v>3</v>
      </c>
      <c r="L145" s="45" t="s">
        <v>97</v>
      </c>
    </row>
    <row r="146" spans="1:13" x14ac:dyDescent="0.2">
      <c r="A146" s="303" t="s">
        <v>29</v>
      </c>
      <c r="B146" s="45" t="s">
        <v>3</v>
      </c>
      <c r="L146" s="45" t="s">
        <v>102</v>
      </c>
    </row>
    <row r="147" spans="1:13" x14ac:dyDescent="0.2">
      <c r="A147" s="303" t="s">
        <v>99</v>
      </c>
      <c r="B147" s="45" t="s">
        <v>3</v>
      </c>
      <c r="L147" s="108" t="s">
        <v>342</v>
      </c>
      <c r="M147" s="156"/>
    </row>
    <row r="148" spans="1:13" x14ac:dyDescent="0.2">
      <c r="A148" s="303" t="s">
        <v>100</v>
      </c>
      <c r="B148" s="45" t="s">
        <v>12</v>
      </c>
      <c r="L148" s="108" t="s">
        <v>1116</v>
      </c>
    </row>
    <row r="149" spans="1:13" x14ac:dyDescent="0.2">
      <c r="A149" s="303" t="s">
        <v>101</v>
      </c>
      <c r="B149" s="45" t="s">
        <v>12</v>
      </c>
      <c r="L149" s="108"/>
      <c r="M149" s="156"/>
    </row>
    <row r="150" spans="1:13" x14ac:dyDescent="0.2">
      <c r="A150" s="303" t="s">
        <v>102</v>
      </c>
      <c r="B150" s="45" t="s">
        <v>3</v>
      </c>
    </row>
    <row r="151" spans="1:13" x14ac:dyDescent="0.2">
      <c r="A151" s="303" t="s">
        <v>103</v>
      </c>
      <c r="B151" s="45" t="s">
        <v>3</v>
      </c>
    </row>
    <row r="152" spans="1:13" x14ac:dyDescent="0.2">
      <c r="A152" s="303" t="s">
        <v>104</v>
      </c>
      <c r="B152" s="45" t="s">
        <v>3</v>
      </c>
    </row>
    <row r="153" spans="1:13" x14ac:dyDescent="0.2">
      <c r="A153" s="303" t="s">
        <v>328</v>
      </c>
      <c r="B153" s="45" t="s">
        <v>3</v>
      </c>
    </row>
    <row r="154" spans="1:13" x14ac:dyDescent="0.2">
      <c r="A154" s="303" t="s">
        <v>342</v>
      </c>
      <c r="B154" s="45" t="s">
        <v>3</v>
      </c>
    </row>
    <row r="155" spans="1:13" x14ac:dyDescent="0.2">
      <c r="A155" s="303" t="s">
        <v>143</v>
      </c>
      <c r="B155" s="45" t="s">
        <v>7</v>
      </c>
    </row>
    <row r="156" spans="1:13" x14ac:dyDescent="0.2">
      <c r="A156" s="303" t="s">
        <v>498</v>
      </c>
      <c r="B156" s="45" t="s">
        <v>12</v>
      </c>
    </row>
    <row r="157" spans="1:13" x14ac:dyDescent="0.2">
      <c r="A157" s="303" t="s">
        <v>1116</v>
      </c>
      <c r="B157" s="45" t="s">
        <v>12</v>
      </c>
    </row>
    <row r="158" spans="1:13" x14ac:dyDescent="0.2">
      <c r="A158" s="303" t="s">
        <v>1132</v>
      </c>
      <c r="B158" s="45" t="s">
        <v>12</v>
      </c>
    </row>
    <row r="160" spans="1:13" x14ac:dyDescent="0.2">
      <c r="A160" s="303" t="s">
        <v>1042</v>
      </c>
    </row>
    <row r="161" spans="1:5" x14ac:dyDescent="0.2">
      <c r="A161" s="303" t="s">
        <v>2</v>
      </c>
      <c r="B161" s="45">
        <v>1</v>
      </c>
    </row>
    <row r="162" spans="1:5" x14ac:dyDescent="0.2">
      <c r="A162" s="303" t="s">
        <v>7</v>
      </c>
      <c r="B162" s="45">
        <v>2</v>
      </c>
    </row>
    <row r="163" spans="1:5" x14ac:dyDescent="0.2">
      <c r="A163" s="303" t="s">
        <v>3</v>
      </c>
      <c r="B163" s="45">
        <v>2</v>
      </c>
    </row>
    <row r="164" spans="1:5" x14ac:dyDescent="0.2">
      <c r="A164" s="303" t="s">
        <v>4</v>
      </c>
      <c r="B164" s="45">
        <v>12</v>
      </c>
    </row>
    <row r="166" spans="1:5" x14ac:dyDescent="0.2">
      <c r="A166" s="302" t="s">
        <v>1043</v>
      </c>
    </row>
    <row r="167" spans="1:5" x14ac:dyDescent="0.2">
      <c r="A167" s="303" t="s">
        <v>277</v>
      </c>
      <c r="B167" s="156">
        <v>0.75</v>
      </c>
    </row>
    <row r="169" spans="1:5" x14ac:dyDescent="0.2">
      <c r="A169" s="302" t="s">
        <v>1105</v>
      </c>
    </row>
    <row r="170" spans="1:5" x14ac:dyDescent="0.2">
      <c r="A170" s="303" t="s">
        <v>452</v>
      </c>
      <c r="B170" s="45">
        <v>0</v>
      </c>
    </row>
    <row r="172" spans="1:5" x14ac:dyDescent="0.2">
      <c r="A172" s="302" t="s">
        <v>1130</v>
      </c>
      <c r="E172" s="45" t="s">
        <v>462</v>
      </c>
    </row>
    <row r="173" spans="1:5" x14ac:dyDescent="0.2">
      <c r="A173" s="303" t="s">
        <v>1128</v>
      </c>
      <c r="B173" s="45" t="s">
        <v>7</v>
      </c>
      <c r="C173" s="319">
        <v>0.2</v>
      </c>
      <c r="D173" s="45" t="s">
        <v>466</v>
      </c>
      <c r="E173" s="45">
        <v>1</v>
      </c>
    </row>
    <row r="175" spans="1:5" x14ac:dyDescent="0.2">
      <c r="A175" s="302" t="s">
        <v>1154</v>
      </c>
      <c r="B175" s="45">
        <v>500</v>
      </c>
    </row>
  </sheetData>
  <phoneticPr fontId="0" type="noConversion"/>
  <conditionalFormatting sqref="J25:L25">
    <cfRule type="expression" dxfId="35" priority="1" stopIfTrue="1">
      <formula>$A$1274&lt;0</formula>
    </cfRule>
  </conditionalFormatting>
  <pageMargins left="0.75" right="0.75" top="1" bottom="1" header="0.5" footer="0.5"/>
  <pageSetup paperSize="9" orientation="portrait" horizontalDpi="300" verticalDpi="300"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1">
    <tabColor theme="3" tint="0.39997558519241921"/>
  </sheetPr>
  <dimension ref="A1:AA142"/>
  <sheetViews>
    <sheetView zoomScale="85" zoomScaleNormal="85" workbookViewId="0">
      <pane ySplit="4" topLeftCell="A5" activePane="bottomLeft" state="frozenSplit"/>
      <selection pane="bottomLeft" activeCell="A5" sqref="A5"/>
    </sheetView>
  </sheetViews>
  <sheetFormatPr defaultColWidth="9.140625" defaultRowHeight="19.5" customHeight="1" x14ac:dyDescent="0.2"/>
  <cols>
    <col min="1" max="1" width="15.7109375" style="350" bestFit="1" customWidth="1"/>
    <col min="2" max="2" width="13.85546875" style="275" customWidth="1"/>
    <col min="3" max="3" width="14.42578125" style="275" customWidth="1"/>
    <col min="4" max="4" width="14.140625" style="275" customWidth="1"/>
    <col min="5" max="7" width="14.140625" style="93" customWidth="1"/>
    <col min="8" max="9" width="14.140625" style="275" customWidth="1"/>
    <col min="10" max="23" width="7" style="275" customWidth="1"/>
    <col min="24" max="24" width="7" style="354" customWidth="1"/>
    <col min="25" max="26" width="7" style="275" customWidth="1"/>
    <col min="27" max="16384" width="9.140625" style="275"/>
  </cols>
  <sheetData>
    <row r="1" spans="1:27" s="321" customFormat="1" ht="19.5" customHeight="1" x14ac:dyDescent="0.2">
      <c r="A1" s="321" t="s">
        <v>281</v>
      </c>
      <c r="E1" s="322"/>
      <c r="F1" s="322"/>
      <c r="G1" s="322"/>
      <c r="X1" s="323"/>
    </row>
    <row r="2" spans="1:27" ht="19.5" customHeight="1" x14ac:dyDescent="0.2">
      <c r="A2" s="275"/>
      <c r="X2" s="324"/>
    </row>
    <row r="3" spans="1:27" s="321" customFormat="1" ht="19.5" customHeight="1" x14ac:dyDescent="0.2">
      <c r="A3" s="321" t="s">
        <v>36</v>
      </c>
      <c r="D3" s="321" t="s">
        <v>38</v>
      </c>
      <c r="E3" s="322"/>
      <c r="F3" s="322"/>
      <c r="G3" s="322"/>
      <c r="J3" s="321" t="s">
        <v>37</v>
      </c>
      <c r="X3" s="323"/>
    </row>
    <row r="4" spans="1:27" ht="87" customHeight="1" x14ac:dyDescent="0.2">
      <c r="A4" s="321" t="s">
        <v>28</v>
      </c>
      <c r="B4" s="321" t="s">
        <v>35</v>
      </c>
      <c r="C4" s="321" t="s">
        <v>758</v>
      </c>
      <c r="D4" s="321" t="s">
        <v>759</v>
      </c>
      <c r="E4" s="322" t="s">
        <v>760</v>
      </c>
      <c r="F4" s="322" t="s">
        <v>761</v>
      </c>
      <c r="G4" s="322" t="s">
        <v>762</v>
      </c>
      <c r="H4" s="325" t="s">
        <v>763</v>
      </c>
      <c r="I4" s="325" t="s">
        <v>230</v>
      </c>
      <c r="J4" s="409" t="s">
        <v>163</v>
      </c>
      <c r="K4" s="409" t="s">
        <v>105</v>
      </c>
      <c r="L4" s="409" t="s">
        <v>160</v>
      </c>
      <c r="M4" s="409" t="s">
        <v>107</v>
      </c>
      <c r="N4" s="409" t="s">
        <v>108</v>
      </c>
      <c r="O4" s="409" t="s">
        <v>109</v>
      </c>
      <c r="P4" s="409" t="s">
        <v>110</v>
      </c>
      <c r="Q4" s="409" t="s">
        <v>111</v>
      </c>
      <c r="R4" s="409" t="s">
        <v>112</v>
      </c>
      <c r="S4" s="409" t="s">
        <v>32</v>
      </c>
      <c r="T4" s="409" t="s">
        <v>31</v>
      </c>
      <c r="U4" s="410" t="s">
        <v>161</v>
      </c>
      <c r="V4" s="409" t="s">
        <v>162</v>
      </c>
      <c r="W4" s="409" t="s">
        <v>437</v>
      </c>
      <c r="X4" s="409" t="s">
        <v>486</v>
      </c>
      <c r="Y4" s="409" t="s">
        <v>487</v>
      </c>
      <c r="Z4" s="409" t="s">
        <v>524</v>
      </c>
      <c r="AA4" s="409" t="s">
        <v>1063</v>
      </c>
    </row>
    <row r="5" spans="1:27" s="332" customFormat="1" ht="19.5" customHeight="1" x14ac:dyDescent="0.2">
      <c r="A5" s="275" t="s">
        <v>89</v>
      </c>
      <c r="B5" s="326" t="s">
        <v>98</v>
      </c>
      <c r="C5" s="275" t="s">
        <v>243</v>
      </c>
      <c r="D5" s="327" t="s">
        <v>113</v>
      </c>
      <c r="E5" s="93">
        <v>3</v>
      </c>
      <c r="F5" s="93"/>
      <c r="G5" s="93">
        <v>275</v>
      </c>
      <c r="H5" s="275">
        <v>25</v>
      </c>
      <c r="I5" s="326">
        <v>5</v>
      </c>
      <c r="J5" s="328"/>
      <c r="K5" s="329"/>
      <c r="L5" s="329"/>
      <c r="M5" s="329">
        <v>0.05</v>
      </c>
      <c r="N5" s="329"/>
      <c r="O5" s="329"/>
      <c r="P5" s="329"/>
      <c r="Q5" s="329"/>
      <c r="R5" s="329"/>
      <c r="S5" s="329"/>
      <c r="T5" s="329"/>
      <c r="U5" s="329"/>
      <c r="V5" s="329"/>
      <c r="W5" s="93"/>
      <c r="X5" s="330"/>
      <c r="Y5" s="93"/>
      <c r="Z5" s="93"/>
      <c r="AA5" s="331"/>
    </row>
    <row r="6" spans="1:27" ht="19.5" customHeight="1" x14ac:dyDescent="0.2">
      <c r="A6" s="275" t="s">
        <v>89</v>
      </c>
      <c r="B6" s="326" t="s">
        <v>98</v>
      </c>
      <c r="C6" s="275" t="s">
        <v>243</v>
      </c>
      <c r="D6" s="327" t="s">
        <v>114</v>
      </c>
      <c r="F6" s="93">
        <v>3</v>
      </c>
      <c r="G6" s="93">
        <v>275</v>
      </c>
      <c r="H6" s="275">
        <v>15</v>
      </c>
      <c r="I6" s="326">
        <v>5</v>
      </c>
      <c r="J6" s="328"/>
      <c r="K6" s="329"/>
      <c r="L6" s="329"/>
      <c r="M6" s="329"/>
      <c r="N6" s="329"/>
      <c r="O6" s="329"/>
      <c r="P6" s="329"/>
      <c r="Q6" s="329"/>
      <c r="R6" s="329"/>
      <c r="S6" s="329"/>
      <c r="T6" s="329"/>
      <c r="U6" s="329"/>
      <c r="V6" s="329"/>
      <c r="W6" s="93"/>
      <c r="X6" s="330"/>
      <c r="Y6" s="93"/>
      <c r="Z6" s="93"/>
      <c r="AA6" s="331"/>
    </row>
    <row r="7" spans="1:27" ht="19.5" customHeight="1" x14ac:dyDescent="0.2">
      <c r="A7" s="275" t="s">
        <v>89</v>
      </c>
      <c r="B7" s="326" t="s">
        <v>98</v>
      </c>
      <c r="C7" s="275" t="s">
        <v>243</v>
      </c>
      <c r="D7" s="327" t="s">
        <v>115</v>
      </c>
      <c r="E7" s="93">
        <v>2</v>
      </c>
      <c r="F7" s="93">
        <v>6</v>
      </c>
      <c r="G7" s="93">
        <v>1040</v>
      </c>
      <c r="H7" s="275">
        <v>75</v>
      </c>
      <c r="I7" s="326">
        <f>MAX(TblRaces[[#This Row],[OffensePwr]:[DefensePwr]])*2</f>
        <v>12</v>
      </c>
      <c r="J7" s="328"/>
      <c r="K7" s="329"/>
      <c r="L7" s="329"/>
      <c r="M7" s="329"/>
      <c r="N7" s="329"/>
      <c r="O7" s="329"/>
      <c r="P7" s="329"/>
      <c r="Q7" s="329"/>
      <c r="R7" s="329"/>
      <c r="S7" s="329"/>
      <c r="T7" s="329"/>
      <c r="U7" s="329"/>
      <c r="V7" s="329"/>
      <c r="W7" s="93"/>
      <c r="X7" s="330"/>
      <c r="Y7" s="93"/>
      <c r="Z7" s="93"/>
      <c r="AA7" s="331"/>
    </row>
    <row r="8" spans="1:27" s="335" customFormat="1" ht="19.5" customHeight="1" x14ac:dyDescent="0.2">
      <c r="A8" s="275" t="s">
        <v>89</v>
      </c>
      <c r="B8" s="326" t="s">
        <v>98</v>
      </c>
      <c r="C8" s="275" t="s">
        <v>243</v>
      </c>
      <c r="D8" s="333" t="s">
        <v>116</v>
      </c>
      <c r="E8" s="334">
        <v>6</v>
      </c>
      <c r="F8" s="334">
        <v>3</v>
      </c>
      <c r="G8" s="334">
        <v>1280</v>
      </c>
      <c r="H8" s="335">
        <v>100</v>
      </c>
      <c r="I8" s="326">
        <f>MAX(TblRaces[[#This Row],[OffensePwr]:[DefensePwr]])*2</f>
        <v>12</v>
      </c>
      <c r="J8" s="336"/>
      <c r="K8" s="337"/>
      <c r="L8" s="337"/>
      <c r="M8" s="337"/>
      <c r="N8" s="337"/>
      <c r="O8" s="337"/>
      <c r="P8" s="337"/>
      <c r="Q8" s="337"/>
      <c r="R8" s="337"/>
      <c r="S8" s="337"/>
      <c r="T8" s="337"/>
      <c r="U8" s="337"/>
      <c r="V8" s="337"/>
      <c r="W8" s="334"/>
      <c r="X8" s="338"/>
      <c r="Y8" s="334"/>
      <c r="Z8" s="334"/>
      <c r="AA8" s="339"/>
    </row>
    <row r="9" spans="1:27" s="332" customFormat="1" ht="19.5" customHeight="1" x14ac:dyDescent="0.2">
      <c r="A9" s="332" t="s">
        <v>90</v>
      </c>
      <c r="B9" s="340" t="s">
        <v>30</v>
      </c>
      <c r="C9" s="332" t="s">
        <v>243</v>
      </c>
      <c r="D9" s="341" t="s">
        <v>1066</v>
      </c>
      <c r="E9" s="342">
        <v>3</v>
      </c>
      <c r="F9" s="342"/>
      <c r="G9" s="342">
        <v>325</v>
      </c>
      <c r="H9" s="332">
        <v>25</v>
      </c>
      <c r="I9" s="340">
        <v>5</v>
      </c>
      <c r="J9" s="343"/>
      <c r="K9" s="344"/>
      <c r="L9" s="344"/>
      <c r="M9" s="344"/>
      <c r="N9" s="344"/>
      <c r="O9" s="344"/>
      <c r="P9" s="344"/>
      <c r="Q9" s="344"/>
      <c r="R9" s="344"/>
      <c r="S9" s="344"/>
      <c r="T9" s="344"/>
      <c r="U9" s="344"/>
      <c r="V9" s="344"/>
      <c r="W9" s="93"/>
      <c r="X9" s="330"/>
      <c r="Y9" s="344">
        <v>0.1</v>
      </c>
      <c r="Z9" s="342"/>
      <c r="AA9" s="331"/>
    </row>
    <row r="10" spans="1:27" ht="19.5" customHeight="1" x14ac:dyDescent="0.2">
      <c r="A10" s="275" t="s">
        <v>90</v>
      </c>
      <c r="B10" s="326" t="s">
        <v>30</v>
      </c>
      <c r="C10" s="275" t="s">
        <v>243</v>
      </c>
      <c r="D10" s="327" t="s">
        <v>117</v>
      </c>
      <c r="F10" s="93">
        <v>3</v>
      </c>
      <c r="G10" s="93">
        <v>285</v>
      </c>
      <c r="H10" s="275">
        <v>15</v>
      </c>
      <c r="I10" s="326">
        <v>5</v>
      </c>
      <c r="J10" s="328"/>
      <c r="K10" s="329"/>
      <c r="L10" s="329"/>
      <c r="M10" s="329"/>
      <c r="N10" s="329"/>
      <c r="O10" s="329"/>
      <c r="P10" s="329"/>
      <c r="Q10" s="329"/>
      <c r="R10" s="329"/>
      <c r="S10" s="329"/>
      <c r="T10" s="329"/>
      <c r="U10" s="329"/>
      <c r="V10" s="329"/>
      <c r="W10" s="93"/>
      <c r="X10" s="330"/>
      <c r="Y10" s="93"/>
      <c r="Z10" s="93"/>
      <c r="AA10" s="331"/>
    </row>
    <row r="11" spans="1:27" ht="19.5" customHeight="1" x14ac:dyDescent="0.2">
      <c r="A11" s="275" t="s">
        <v>90</v>
      </c>
      <c r="B11" s="326" t="s">
        <v>30</v>
      </c>
      <c r="C11" s="275" t="s">
        <v>243</v>
      </c>
      <c r="D11" s="327" t="s">
        <v>118</v>
      </c>
      <c r="E11" s="93">
        <v>2</v>
      </c>
      <c r="F11" s="93">
        <v>5</v>
      </c>
      <c r="G11" s="93">
        <v>1000</v>
      </c>
      <c r="H11" s="275">
        <v>25</v>
      </c>
      <c r="I11" s="326">
        <f>MAX(TblRaces[[#This Row],[OffensePwr]:[DefensePwr]])*2</f>
        <v>10</v>
      </c>
      <c r="J11" s="328"/>
      <c r="K11" s="329"/>
      <c r="L11" s="329"/>
      <c r="M11" s="329"/>
      <c r="N11" s="329"/>
      <c r="O11" s="329"/>
      <c r="P11" s="329"/>
      <c r="Q11" s="329"/>
      <c r="R11" s="329"/>
      <c r="S11" s="329"/>
      <c r="T11" s="329"/>
      <c r="U11" s="329"/>
      <c r="V11" s="329"/>
      <c r="W11" s="93"/>
      <c r="X11" s="330"/>
      <c r="Y11" s="93"/>
      <c r="Z11" s="93"/>
      <c r="AA11" s="331"/>
    </row>
    <row r="12" spans="1:27" ht="19.5" customHeight="1" x14ac:dyDescent="0.2">
      <c r="A12" s="275" t="s">
        <v>90</v>
      </c>
      <c r="B12" s="326" t="s">
        <v>30</v>
      </c>
      <c r="C12" s="275" t="s">
        <v>243</v>
      </c>
      <c r="D12" s="327" t="s">
        <v>1067</v>
      </c>
      <c r="E12" s="93">
        <v>6</v>
      </c>
      <c r="F12" s="93">
        <v>3</v>
      </c>
      <c r="G12" s="93">
        <v>1150</v>
      </c>
      <c r="H12" s="275">
        <v>40</v>
      </c>
      <c r="I12" s="326">
        <f>MAX(TblRaces[[#This Row],[OffensePwr]:[DefensePwr]])*2</f>
        <v>12</v>
      </c>
      <c r="J12" s="328"/>
      <c r="K12" s="329"/>
      <c r="L12" s="329"/>
      <c r="M12" s="329"/>
      <c r="N12" s="329"/>
      <c r="O12" s="329"/>
      <c r="P12" s="329"/>
      <c r="Q12" s="329"/>
      <c r="R12" s="329"/>
      <c r="S12" s="329"/>
      <c r="T12" s="329"/>
      <c r="U12" s="329"/>
      <c r="V12" s="329"/>
      <c r="W12" s="334"/>
      <c r="X12" s="338"/>
      <c r="Y12" s="93"/>
      <c r="Z12" s="93"/>
      <c r="AA12" s="339"/>
    </row>
    <row r="13" spans="1:27" s="332" customFormat="1" ht="19.5" customHeight="1" x14ac:dyDescent="0.2">
      <c r="A13" s="332" t="s">
        <v>91</v>
      </c>
      <c r="B13" s="340" t="s">
        <v>98</v>
      </c>
      <c r="C13" s="332" t="s">
        <v>245</v>
      </c>
      <c r="D13" s="341" t="s">
        <v>119</v>
      </c>
      <c r="E13" s="342">
        <v>3</v>
      </c>
      <c r="F13" s="342"/>
      <c r="G13" s="342">
        <v>275</v>
      </c>
      <c r="H13" s="332">
        <v>25</v>
      </c>
      <c r="I13" s="340">
        <v>5</v>
      </c>
      <c r="J13" s="343">
        <v>7.4999999999999997E-2</v>
      </c>
      <c r="K13" s="344"/>
      <c r="L13" s="344"/>
      <c r="M13" s="344"/>
      <c r="N13" s="344"/>
      <c r="O13" s="344"/>
      <c r="P13" s="344">
        <v>0.1</v>
      </c>
      <c r="Q13" s="344"/>
      <c r="R13" s="344"/>
      <c r="S13" s="344"/>
      <c r="T13" s="344"/>
      <c r="U13" s="344"/>
      <c r="V13" s="344"/>
      <c r="W13" s="329"/>
      <c r="X13" s="330"/>
      <c r="Y13" s="342"/>
      <c r="Z13" s="342"/>
      <c r="AA13" s="331"/>
    </row>
    <row r="14" spans="1:27" ht="19.5" customHeight="1" x14ac:dyDescent="0.2">
      <c r="A14" s="275" t="s">
        <v>91</v>
      </c>
      <c r="B14" s="326" t="s">
        <v>98</v>
      </c>
      <c r="C14" s="275" t="s">
        <v>245</v>
      </c>
      <c r="D14" s="327" t="s">
        <v>120</v>
      </c>
      <c r="F14" s="93">
        <v>3</v>
      </c>
      <c r="G14" s="93">
        <v>335</v>
      </c>
      <c r="H14" s="275">
        <v>20</v>
      </c>
      <c r="I14" s="326">
        <v>5</v>
      </c>
      <c r="J14" s="328"/>
      <c r="K14" s="329"/>
      <c r="L14" s="329"/>
      <c r="M14" s="329"/>
      <c r="N14" s="329"/>
      <c r="O14" s="329"/>
      <c r="P14" s="329"/>
      <c r="Q14" s="329"/>
      <c r="R14" s="329"/>
      <c r="S14" s="329"/>
      <c r="T14" s="329"/>
      <c r="U14" s="329"/>
      <c r="V14" s="329"/>
      <c r="W14" s="93"/>
      <c r="X14" s="330"/>
      <c r="Y14" s="93"/>
      <c r="Z14" s="93"/>
      <c r="AA14" s="331"/>
    </row>
    <row r="15" spans="1:27" ht="19.5" customHeight="1" x14ac:dyDescent="0.2">
      <c r="A15" s="275" t="s">
        <v>91</v>
      </c>
      <c r="B15" s="326" t="s">
        <v>98</v>
      </c>
      <c r="C15" s="275" t="s">
        <v>245</v>
      </c>
      <c r="D15" s="327" t="s">
        <v>121</v>
      </c>
      <c r="E15" s="93">
        <v>3.5</v>
      </c>
      <c r="F15" s="93">
        <v>4.5</v>
      </c>
      <c r="G15" s="93">
        <v>880</v>
      </c>
      <c r="H15" s="275">
        <v>0</v>
      </c>
      <c r="I15" s="326">
        <f>MAX(TblRaces[[#This Row],[OffensePwr]:[DefensePwr]])*2</f>
        <v>9</v>
      </c>
      <c r="J15" s="328"/>
      <c r="K15" s="329"/>
      <c r="L15" s="329"/>
      <c r="M15" s="329"/>
      <c r="N15" s="329"/>
      <c r="O15" s="329"/>
      <c r="P15" s="329"/>
      <c r="Q15" s="329"/>
      <c r="R15" s="329"/>
      <c r="S15" s="329"/>
      <c r="T15" s="329"/>
      <c r="U15" s="329"/>
      <c r="V15" s="329"/>
      <c r="W15" s="93"/>
      <c r="X15" s="330"/>
      <c r="Y15" s="93"/>
      <c r="Z15" s="93"/>
      <c r="AA15" s="331"/>
    </row>
    <row r="16" spans="1:27" s="335" customFormat="1" ht="19.5" customHeight="1" x14ac:dyDescent="0.2">
      <c r="A16" s="335" t="s">
        <v>91</v>
      </c>
      <c r="B16" s="345" t="s">
        <v>98</v>
      </c>
      <c r="C16" s="335" t="s">
        <v>245</v>
      </c>
      <c r="D16" s="333" t="s">
        <v>122</v>
      </c>
      <c r="E16" s="334">
        <v>7</v>
      </c>
      <c r="F16" s="334">
        <v>2</v>
      </c>
      <c r="G16" s="334">
        <v>1215</v>
      </c>
      <c r="H16" s="335">
        <v>85</v>
      </c>
      <c r="I16" s="326">
        <f>MAX(TblRaces[[#This Row],[OffensePwr]:[DefensePwr]])*2</f>
        <v>14</v>
      </c>
      <c r="J16" s="336"/>
      <c r="K16" s="337"/>
      <c r="L16" s="337"/>
      <c r="M16" s="337"/>
      <c r="N16" s="337"/>
      <c r="O16" s="337"/>
      <c r="P16" s="337"/>
      <c r="Q16" s="337"/>
      <c r="R16" s="337"/>
      <c r="S16" s="337"/>
      <c r="T16" s="337"/>
      <c r="U16" s="337"/>
      <c r="V16" s="337"/>
      <c r="W16" s="334"/>
      <c r="X16" s="338"/>
      <c r="Y16" s="334"/>
      <c r="Z16" s="334"/>
      <c r="AA16" s="339"/>
    </row>
    <row r="17" spans="1:27" s="332" customFormat="1" ht="19.5" customHeight="1" x14ac:dyDescent="0.2">
      <c r="A17" s="332" t="s">
        <v>92</v>
      </c>
      <c r="B17" s="340" t="s">
        <v>98</v>
      </c>
      <c r="C17" s="332" t="s">
        <v>58</v>
      </c>
      <c r="D17" s="341" t="s">
        <v>123</v>
      </c>
      <c r="E17" s="342">
        <v>3</v>
      </c>
      <c r="F17" s="342"/>
      <c r="G17" s="342">
        <v>300</v>
      </c>
      <c r="H17" s="332">
        <v>0</v>
      </c>
      <c r="I17" s="340">
        <v>5</v>
      </c>
      <c r="J17" s="343">
        <v>-0.05</v>
      </c>
      <c r="K17" s="344"/>
      <c r="L17" s="344"/>
      <c r="M17" s="344"/>
      <c r="N17" s="344"/>
      <c r="O17" s="344"/>
      <c r="P17" s="344"/>
      <c r="Q17" s="344"/>
      <c r="R17" s="344"/>
      <c r="S17" s="344"/>
      <c r="T17" s="343"/>
      <c r="U17" s="344"/>
      <c r="V17" s="344"/>
      <c r="W17" s="93"/>
      <c r="X17" s="330"/>
      <c r="Y17" s="342"/>
      <c r="Z17" s="342"/>
      <c r="AA17" s="331"/>
    </row>
    <row r="18" spans="1:27" ht="19.5" customHeight="1" x14ac:dyDescent="0.2">
      <c r="A18" s="275" t="s">
        <v>92</v>
      </c>
      <c r="B18" s="326" t="s">
        <v>98</v>
      </c>
      <c r="C18" s="275" t="s">
        <v>58</v>
      </c>
      <c r="D18" s="327" t="s">
        <v>1128</v>
      </c>
      <c r="F18" s="93">
        <v>3</v>
      </c>
      <c r="G18" s="93">
        <v>275</v>
      </c>
      <c r="H18" s="275">
        <v>10</v>
      </c>
      <c r="I18" s="326">
        <v>5</v>
      </c>
      <c r="J18" s="328"/>
      <c r="K18" s="329"/>
      <c r="L18" s="329"/>
      <c r="M18" s="329"/>
      <c r="N18" s="329"/>
      <c r="O18" s="329"/>
      <c r="P18" s="329"/>
      <c r="Q18" s="329"/>
      <c r="R18" s="329"/>
      <c r="S18" s="329"/>
      <c r="T18" s="329"/>
      <c r="U18" s="329"/>
      <c r="V18" s="329"/>
      <c r="W18" s="93"/>
      <c r="X18" s="330"/>
      <c r="Y18" s="93"/>
      <c r="Z18" s="93"/>
      <c r="AA18" s="331"/>
    </row>
    <row r="19" spans="1:27" ht="19.5" customHeight="1" x14ac:dyDescent="0.2">
      <c r="A19" s="275" t="s">
        <v>92</v>
      </c>
      <c r="B19" s="326" t="s">
        <v>98</v>
      </c>
      <c r="C19" s="275" t="s">
        <v>58</v>
      </c>
      <c r="D19" s="327" t="s">
        <v>124</v>
      </c>
      <c r="E19" s="93">
        <v>0</v>
      </c>
      <c r="F19" s="93">
        <v>5</v>
      </c>
      <c r="G19" s="93">
        <v>1275</v>
      </c>
      <c r="H19" s="275">
        <v>0</v>
      </c>
      <c r="I19" s="326">
        <f>MAX(TblRaces[[#This Row],[OffensePwr]:[DefensePwr]])*2</f>
        <v>10</v>
      </c>
      <c r="J19" s="328"/>
      <c r="K19" s="329"/>
      <c r="L19" s="329"/>
      <c r="M19" s="329"/>
      <c r="N19" s="329"/>
      <c r="O19" s="329"/>
      <c r="P19" s="329"/>
      <c r="Q19" s="329"/>
      <c r="R19" s="329"/>
      <c r="S19" s="329"/>
      <c r="T19" s="329"/>
      <c r="U19" s="329"/>
      <c r="V19" s="329"/>
      <c r="W19" s="93"/>
      <c r="X19" s="330"/>
      <c r="Y19" s="93"/>
      <c r="Z19" s="93"/>
      <c r="AA19" s="331"/>
    </row>
    <row r="20" spans="1:27" s="335" customFormat="1" ht="19.5" customHeight="1" x14ac:dyDescent="0.2">
      <c r="A20" s="335" t="s">
        <v>92</v>
      </c>
      <c r="B20" s="345" t="s">
        <v>98</v>
      </c>
      <c r="C20" s="335" t="s">
        <v>58</v>
      </c>
      <c r="D20" s="333" t="s">
        <v>125</v>
      </c>
      <c r="E20" s="334">
        <v>4</v>
      </c>
      <c r="F20" s="334">
        <v>2</v>
      </c>
      <c r="G20" s="334">
        <v>1050</v>
      </c>
      <c r="H20" s="335">
        <v>0</v>
      </c>
      <c r="I20" s="326">
        <f>MAX(TblRaces[[#This Row],[OffensePwr]:[DefensePwr]])*2</f>
        <v>8</v>
      </c>
      <c r="J20" s="336"/>
      <c r="K20" s="337"/>
      <c r="L20" s="337"/>
      <c r="M20" s="337"/>
      <c r="N20" s="337"/>
      <c r="O20" s="337"/>
      <c r="P20" s="337"/>
      <c r="Q20" s="337"/>
      <c r="R20" s="337"/>
      <c r="S20" s="337"/>
      <c r="T20" s="337"/>
      <c r="U20" s="337"/>
      <c r="V20" s="337"/>
      <c r="W20" s="334"/>
      <c r="X20" s="338"/>
      <c r="Y20" s="334"/>
      <c r="Z20" s="334"/>
      <c r="AA20" s="339"/>
    </row>
    <row r="21" spans="1:27" s="332" customFormat="1" ht="19.5" customHeight="1" x14ac:dyDescent="0.2">
      <c r="A21" s="332" t="s">
        <v>93</v>
      </c>
      <c r="B21" s="340" t="s">
        <v>98</v>
      </c>
      <c r="C21" s="332" t="s">
        <v>244</v>
      </c>
      <c r="D21" s="341" t="s">
        <v>126</v>
      </c>
      <c r="E21" s="342">
        <v>3</v>
      </c>
      <c r="F21" s="342"/>
      <c r="G21" s="342">
        <v>275</v>
      </c>
      <c r="H21" s="332">
        <v>15</v>
      </c>
      <c r="I21" s="340">
        <v>5</v>
      </c>
      <c r="J21" s="343">
        <v>0.05</v>
      </c>
      <c r="K21" s="344"/>
      <c r="L21" s="344"/>
      <c r="M21" s="344"/>
      <c r="N21" s="344"/>
      <c r="O21" s="344"/>
      <c r="P21" s="344"/>
      <c r="Q21" s="344"/>
      <c r="R21" s="344">
        <v>-0.3</v>
      </c>
      <c r="S21" s="344">
        <v>0.1</v>
      </c>
      <c r="T21" s="344"/>
      <c r="U21" s="344">
        <v>0.3</v>
      </c>
      <c r="V21" s="344"/>
      <c r="W21" s="93"/>
      <c r="X21" s="330"/>
      <c r="Y21" s="342"/>
      <c r="Z21" s="342"/>
      <c r="AA21" s="331"/>
    </row>
    <row r="22" spans="1:27" ht="19.5" customHeight="1" x14ac:dyDescent="0.2">
      <c r="A22" s="275" t="s">
        <v>93</v>
      </c>
      <c r="B22" s="326" t="s">
        <v>98</v>
      </c>
      <c r="C22" s="275" t="s">
        <v>244</v>
      </c>
      <c r="D22" s="327" t="s">
        <v>127</v>
      </c>
      <c r="F22" s="93">
        <v>3</v>
      </c>
      <c r="G22" s="93">
        <v>300</v>
      </c>
      <c r="H22" s="275">
        <v>0</v>
      </c>
      <c r="I22" s="326">
        <v>5</v>
      </c>
      <c r="J22" s="328"/>
      <c r="K22" s="329"/>
      <c r="L22" s="329"/>
      <c r="M22" s="329"/>
      <c r="N22" s="329"/>
      <c r="O22" s="329"/>
      <c r="P22" s="329"/>
      <c r="Q22" s="329"/>
      <c r="R22" s="329"/>
      <c r="S22" s="329"/>
      <c r="T22" s="329"/>
      <c r="U22" s="329"/>
      <c r="V22" s="329"/>
      <c r="W22" s="93"/>
      <c r="X22" s="330"/>
      <c r="Y22" s="93"/>
      <c r="Z22" s="93"/>
      <c r="AA22" s="331"/>
    </row>
    <row r="23" spans="1:27" ht="19.5" customHeight="1" x14ac:dyDescent="0.2">
      <c r="A23" s="275" t="s">
        <v>93</v>
      </c>
      <c r="B23" s="326" t="s">
        <v>98</v>
      </c>
      <c r="C23" s="275" t="s">
        <v>244</v>
      </c>
      <c r="D23" s="327" t="s">
        <v>129</v>
      </c>
      <c r="E23" s="93">
        <v>2</v>
      </c>
      <c r="F23" s="93">
        <v>4</v>
      </c>
      <c r="G23" s="93">
        <v>900</v>
      </c>
      <c r="H23" s="275">
        <v>30</v>
      </c>
      <c r="I23" s="326">
        <f>MAX(TblRaces[[#This Row],[OffensePwr]:[DefensePwr]])*2</f>
        <v>8</v>
      </c>
      <c r="J23" s="328"/>
      <c r="K23" s="93"/>
      <c r="L23" s="93"/>
      <c r="M23" s="93"/>
      <c r="N23" s="93"/>
      <c r="O23" s="93"/>
      <c r="P23" s="93"/>
      <c r="Q23" s="329"/>
      <c r="R23" s="329"/>
      <c r="S23" s="329"/>
      <c r="T23" s="329"/>
      <c r="U23" s="329"/>
      <c r="V23" s="329"/>
      <c r="W23" s="93"/>
      <c r="X23" s="330"/>
      <c r="Y23" s="93"/>
      <c r="Z23" s="93"/>
      <c r="AA23" s="331"/>
    </row>
    <row r="24" spans="1:27" s="335" customFormat="1" ht="19.5" customHeight="1" x14ac:dyDescent="0.2">
      <c r="A24" s="335" t="s">
        <v>93</v>
      </c>
      <c r="B24" s="345" t="s">
        <v>98</v>
      </c>
      <c r="C24" s="335" t="s">
        <v>244</v>
      </c>
      <c r="D24" s="327" t="s">
        <v>128</v>
      </c>
      <c r="E24" s="93">
        <v>5</v>
      </c>
      <c r="F24" s="93">
        <v>3</v>
      </c>
      <c r="G24" s="93">
        <v>900</v>
      </c>
      <c r="H24" s="275">
        <v>25</v>
      </c>
      <c r="I24" s="326">
        <f>MAX(TblRaces[[#This Row],[OffensePwr]:[DefensePwr]])*2</f>
        <v>10</v>
      </c>
      <c r="J24" s="336"/>
      <c r="K24" s="337"/>
      <c r="L24" s="337"/>
      <c r="M24" s="337"/>
      <c r="N24" s="337"/>
      <c r="O24" s="337"/>
      <c r="P24" s="337"/>
      <c r="Q24" s="337"/>
      <c r="R24" s="337"/>
      <c r="S24" s="337"/>
      <c r="T24" s="337"/>
      <c r="U24" s="337"/>
      <c r="V24" s="337"/>
      <c r="W24" s="334"/>
      <c r="X24" s="338"/>
      <c r="Y24" s="334"/>
      <c r="Z24" s="334"/>
      <c r="AA24" s="339"/>
    </row>
    <row r="25" spans="1:27" s="332" customFormat="1" ht="19.5" customHeight="1" x14ac:dyDescent="0.2">
      <c r="A25" s="332" t="s">
        <v>94</v>
      </c>
      <c r="B25" s="340" t="s">
        <v>98</v>
      </c>
      <c r="C25" s="332" t="s">
        <v>245</v>
      </c>
      <c r="D25" s="341" t="s">
        <v>130</v>
      </c>
      <c r="E25" s="342">
        <v>4</v>
      </c>
      <c r="F25" s="342"/>
      <c r="G25" s="342">
        <v>200</v>
      </c>
      <c r="H25" s="332">
        <v>50</v>
      </c>
      <c r="I25" s="340">
        <v>5</v>
      </c>
      <c r="J25" s="343">
        <v>-0.05</v>
      </c>
      <c r="K25" s="344"/>
      <c r="L25" s="344"/>
      <c r="M25" s="344"/>
      <c r="N25" s="344"/>
      <c r="O25" s="344"/>
      <c r="P25" s="344"/>
      <c r="Q25" s="344"/>
      <c r="R25" s="344">
        <v>-0.2</v>
      </c>
      <c r="S25" s="344"/>
      <c r="T25" s="343">
        <v>7.4999999999999997E-2</v>
      </c>
      <c r="U25" s="344"/>
      <c r="V25" s="344"/>
      <c r="W25" s="93"/>
      <c r="X25" s="330"/>
      <c r="Y25" s="342"/>
      <c r="Z25" s="344">
        <v>0.1</v>
      </c>
      <c r="AA25" s="331"/>
    </row>
    <row r="26" spans="1:27" ht="19.5" customHeight="1" x14ac:dyDescent="0.2">
      <c r="A26" s="275" t="s">
        <v>94</v>
      </c>
      <c r="B26" s="326" t="s">
        <v>98</v>
      </c>
      <c r="C26" s="275" t="s">
        <v>245</v>
      </c>
      <c r="D26" s="327" t="s">
        <v>131</v>
      </c>
      <c r="F26" s="93">
        <v>3</v>
      </c>
      <c r="G26" s="93">
        <v>300</v>
      </c>
      <c r="H26" s="275">
        <v>5</v>
      </c>
      <c r="I26" s="326">
        <v>5</v>
      </c>
      <c r="J26" s="328"/>
      <c r="K26" s="329"/>
      <c r="L26" s="329"/>
      <c r="M26" s="329"/>
      <c r="N26" s="329"/>
      <c r="O26" s="329"/>
      <c r="P26" s="329"/>
      <c r="Q26" s="329"/>
      <c r="R26" s="329"/>
      <c r="S26" s="329"/>
      <c r="T26" s="329"/>
      <c r="U26" s="329"/>
      <c r="V26" s="329"/>
      <c r="W26" s="93"/>
      <c r="X26" s="330"/>
      <c r="Y26" s="93"/>
      <c r="Z26" s="93"/>
      <c r="AA26" s="331"/>
    </row>
    <row r="27" spans="1:27" ht="19.5" customHeight="1" x14ac:dyDescent="0.2">
      <c r="A27" s="275" t="s">
        <v>94</v>
      </c>
      <c r="B27" s="326" t="s">
        <v>98</v>
      </c>
      <c r="C27" s="275" t="s">
        <v>245</v>
      </c>
      <c r="D27" s="327" t="s">
        <v>132</v>
      </c>
      <c r="E27" s="93">
        <v>2</v>
      </c>
      <c r="F27" s="93">
        <v>4</v>
      </c>
      <c r="G27" s="93">
        <v>675</v>
      </c>
      <c r="H27" s="275">
        <v>350</v>
      </c>
      <c r="I27" s="326">
        <f>MAX(TblRaces[[#This Row],[OffensePwr]:[DefensePwr]])*2</f>
        <v>8</v>
      </c>
      <c r="J27" s="328"/>
      <c r="K27" s="329"/>
      <c r="L27" s="329"/>
      <c r="M27" s="329"/>
      <c r="N27" s="329"/>
      <c r="O27" s="329"/>
      <c r="P27" s="329"/>
      <c r="Q27" s="329"/>
      <c r="R27" s="329"/>
      <c r="S27" s="329"/>
      <c r="T27" s="329"/>
      <c r="U27" s="329"/>
      <c r="V27" s="329"/>
      <c r="W27" s="93"/>
      <c r="X27" s="330"/>
      <c r="Y27" s="93"/>
      <c r="Z27" s="93"/>
      <c r="AA27" s="331"/>
    </row>
    <row r="28" spans="1:27" s="335" customFormat="1" ht="19.5" customHeight="1" x14ac:dyDescent="0.2">
      <c r="A28" s="335" t="s">
        <v>94</v>
      </c>
      <c r="B28" s="345" t="s">
        <v>98</v>
      </c>
      <c r="C28" s="335" t="s">
        <v>245</v>
      </c>
      <c r="D28" s="333" t="s">
        <v>133</v>
      </c>
      <c r="E28" s="334">
        <v>6.5</v>
      </c>
      <c r="F28" s="334">
        <v>3</v>
      </c>
      <c r="G28" s="334">
        <v>750</v>
      </c>
      <c r="H28" s="335">
        <v>525</v>
      </c>
      <c r="I28" s="326">
        <v>14</v>
      </c>
      <c r="J28" s="336"/>
      <c r="K28" s="337"/>
      <c r="L28" s="337"/>
      <c r="M28" s="337"/>
      <c r="N28" s="337"/>
      <c r="O28" s="337"/>
      <c r="P28" s="337"/>
      <c r="Q28" s="337"/>
      <c r="R28" s="337"/>
      <c r="S28" s="337"/>
      <c r="T28" s="337"/>
      <c r="U28" s="337"/>
      <c r="V28" s="337"/>
      <c r="W28" s="334"/>
      <c r="X28" s="338"/>
      <c r="Y28" s="334"/>
      <c r="Z28" s="334"/>
      <c r="AA28" s="339"/>
    </row>
    <row r="29" spans="1:27" s="332" customFormat="1" ht="19.5" customHeight="1" x14ac:dyDescent="0.2">
      <c r="A29" s="332" t="s">
        <v>95</v>
      </c>
      <c r="B29" s="340" t="s">
        <v>98</v>
      </c>
      <c r="C29" s="332" t="s">
        <v>62</v>
      </c>
      <c r="D29" s="341" t="s">
        <v>1102</v>
      </c>
      <c r="E29" s="342">
        <v>3</v>
      </c>
      <c r="F29" s="342"/>
      <c r="G29" s="342">
        <v>285</v>
      </c>
      <c r="H29" s="332">
        <v>0</v>
      </c>
      <c r="I29" s="340">
        <v>5</v>
      </c>
      <c r="J29" s="343"/>
      <c r="K29" s="344"/>
      <c r="L29" s="344"/>
      <c r="M29" s="344">
        <v>0.05</v>
      </c>
      <c r="N29" s="344">
        <v>-0.15</v>
      </c>
      <c r="O29" s="344"/>
      <c r="P29" s="344"/>
      <c r="Q29" s="344">
        <v>-0.1</v>
      </c>
      <c r="R29" s="344"/>
      <c r="S29" s="344"/>
      <c r="T29" s="343">
        <v>7.4999999999999997E-2</v>
      </c>
      <c r="U29" s="344"/>
      <c r="V29" s="344"/>
      <c r="W29" s="93"/>
      <c r="X29" s="330"/>
      <c r="Y29" s="342"/>
      <c r="Z29" s="342"/>
      <c r="AA29" s="418"/>
    </row>
    <row r="30" spans="1:27" ht="19.5" customHeight="1" x14ac:dyDescent="0.2">
      <c r="A30" s="275" t="s">
        <v>95</v>
      </c>
      <c r="B30" s="326" t="s">
        <v>98</v>
      </c>
      <c r="C30" s="275" t="s">
        <v>62</v>
      </c>
      <c r="D30" s="327" t="s">
        <v>135</v>
      </c>
      <c r="F30" s="93">
        <v>3</v>
      </c>
      <c r="G30" s="93">
        <v>300</v>
      </c>
      <c r="H30" s="275">
        <v>0</v>
      </c>
      <c r="I30" s="326">
        <v>5</v>
      </c>
      <c r="J30" s="328"/>
      <c r="K30" s="329"/>
      <c r="L30" s="329"/>
      <c r="M30" s="329"/>
      <c r="N30" s="329"/>
      <c r="O30" s="329"/>
      <c r="P30" s="329"/>
      <c r="Q30" s="329"/>
      <c r="R30" s="329"/>
      <c r="S30" s="329"/>
      <c r="T30" s="329"/>
      <c r="U30" s="329"/>
      <c r="V30" s="329"/>
      <c r="W30" s="93"/>
      <c r="X30" s="330"/>
      <c r="Y30" s="93"/>
      <c r="Z30" s="93"/>
      <c r="AA30" s="331"/>
    </row>
    <row r="31" spans="1:27" ht="19.5" customHeight="1" x14ac:dyDescent="0.2">
      <c r="A31" s="275" t="s">
        <v>95</v>
      </c>
      <c r="B31" s="326" t="s">
        <v>98</v>
      </c>
      <c r="C31" s="275" t="s">
        <v>62</v>
      </c>
      <c r="D31" s="327" t="s">
        <v>136</v>
      </c>
      <c r="E31" s="93">
        <v>0</v>
      </c>
      <c r="F31" s="93">
        <v>7</v>
      </c>
      <c r="G31" s="93">
        <v>1350</v>
      </c>
      <c r="H31" s="275">
        <v>0</v>
      </c>
      <c r="I31" s="326">
        <f>MAX(TblRaces[[#This Row],[OffensePwr]:[DefensePwr]])*2</f>
        <v>14</v>
      </c>
      <c r="J31" s="328"/>
      <c r="K31" s="93"/>
      <c r="L31" s="93"/>
      <c r="M31" s="93"/>
      <c r="N31" s="93"/>
      <c r="O31" s="93"/>
      <c r="P31" s="93"/>
      <c r="Q31" s="329"/>
      <c r="R31" s="329"/>
      <c r="S31" s="329"/>
      <c r="T31" s="329"/>
      <c r="U31" s="329"/>
      <c r="V31" s="329"/>
      <c r="W31" s="93"/>
      <c r="X31" s="330"/>
      <c r="Y31" s="93"/>
      <c r="Z31" s="93"/>
      <c r="AA31" s="331"/>
    </row>
    <row r="32" spans="1:27" s="335" customFormat="1" ht="19.5" customHeight="1" x14ac:dyDescent="0.2">
      <c r="A32" s="335" t="s">
        <v>95</v>
      </c>
      <c r="B32" s="345" t="s">
        <v>98</v>
      </c>
      <c r="C32" s="335" t="s">
        <v>62</v>
      </c>
      <c r="D32" s="327" t="s">
        <v>134</v>
      </c>
      <c r="E32" s="93">
        <v>4</v>
      </c>
      <c r="F32" s="93">
        <v>2</v>
      </c>
      <c r="G32" s="93">
        <v>600</v>
      </c>
      <c r="H32" s="275">
        <v>0</v>
      </c>
      <c r="I32" s="326">
        <f>MAX(TblRaces[[#This Row],[OffensePwr]:[DefensePwr]])*2</f>
        <v>8</v>
      </c>
      <c r="J32" s="336"/>
      <c r="K32" s="337"/>
      <c r="L32" s="337"/>
      <c r="M32" s="337"/>
      <c r="N32" s="337"/>
      <c r="O32" s="337"/>
      <c r="P32" s="337"/>
      <c r="Q32" s="337"/>
      <c r="R32" s="337"/>
      <c r="S32" s="337"/>
      <c r="T32" s="337"/>
      <c r="U32" s="337"/>
      <c r="V32" s="337"/>
      <c r="W32" s="334"/>
      <c r="X32" s="338"/>
      <c r="Y32" s="334"/>
      <c r="Z32" s="334"/>
      <c r="AA32" s="339"/>
    </row>
    <row r="33" spans="1:27" s="332" customFormat="1" ht="19.5" customHeight="1" x14ac:dyDescent="0.2">
      <c r="A33" s="332" t="s">
        <v>96</v>
      </c>
      <c r="B33" s="340" t="s">
        <v>98</v>
      </c>
      <c r="C33" s="332" t="s">
        <v>58</v>
      </c>
      <c r="D33" s="341" t="s">
        <v>137</v>
      </c>
      <c r="E33" s="342">
        <v>3</v>
      </c>
      <c r="F33" s="342"/>
      <c r="G33" s="342">
        <v>275</v>
      </c>
      <c r="H33" s="332">
        <v>0</v>
      </c>
      <c r="I33" s="340">
        <v>5</v>
      </c>
      <c r="J33" s="343"/>
      <c r="K33" s="344"/>
      <c r="L33" s="344"/>
      <c r="M33" s="344">
        <v>0.1</v>
      </c>
      <c r="N33" s="344">
        <v>0.2</v>
      </c>
      <c r="O33" s="344"/>
      <c r="P33" s="344"/>
      <c r="Q33" s="344"/>
      <c r="R33" s="344"/>
      <c r="S33" s="344"/>
      <c r="T33" s="344"/>
      <c r="U33" s="344"/>
      <c r="V33" s="344"/>
      <c r="W33" s="93"/>
      <c r="X33" s="330"/>
      <c r="Y33" s="342"/>
      <c r="Z33" s="342"/>
      <c r="AA33" s="331"/>
    </row>
    <row r="34" spans="1:27" ht="19.5" customHeight="1" x14ac:dyDescent="0.2">
      <c r="A34" s="275" t="s">
        <v>96</v>
      </c>
      <c r="B34" s="326" t="s">
        <v>98</v>
      </c>
      <c r="C34" s="275" t="s">
        <v>58</v>
      </c>
      <c r="D34" s="327" t="s">
        <v>138</v>
      </c>
      <c r="F34" s="93">
        <v>3</v>
      </c>
      <c r="G34" s="93">
        <v>300</v>
      </c>
      <c r="H34" s="275">
        <v>0</v>
      </c>
      <c r="I34" s="326">
        <v>5</v>
      </c>
      <c r="J34" s="328"/>
      <c r="K34" s="329"/>
      <c r="L34" s="329"/>
      <c r="M34" s="329"/>
      <c r="N34" s="329"/>
      <c r="O34" s="329"/>
      <c r="P34" s="329"/>
      <c r="Q34" s="329"/>
      <c r="R34" s="329"/>
      <c r="S34" s="329"/>
      <c r="T34" s="329"/>
      <c r="U34" s="329"/>
      <c r="V34" s="329"/>
      <c r="W34" s="93"/>
      <c r="X34" s="330"/>
      <c r="Y34" s="93"/>
      <c r="Z34" s="93"/>
      <c r="AA34" s="331"/>
    </row>
    <row r="35" spans="1:27" ht="19.5" customHeight="1" x14ac:dyDescent="0.2">
      <c r="A35" s="275" t="s">
        <v>96</v>
      </c>
      <c r="B35" s="326" t="s">
        <v>98</v>
      </c>
      <c r="C35" s="275" t="s">
        <v>58</v>
      </c>
      <c r="D35" s="327" t="s">
        <v>139</v>
      </c>
      <c r="E35" s="93">
        <v>0</v>
      </c>
      <c r="F35" s="93">
        <v>3</v>
      </c>
      <c r="G35" s="93">
        <v>1050</v>
      </c>
      <c r="H35" s="275">
        <v>0</v>
      </c>
      <c r="I35" s="326">
        <f>MAX(TblRaces[[#This Row],[OffensePwr]:[DefensePwr]])*2</f>
        <v>6</v>
      </c>
      <c r="J35" s="328"/>
      <c r="K35" s="329"/>
      <c r="L35" s="329"/>
      <c r="M35" s="329"/>
      <c r="N35" s="329"/>
      <c r="O35" s="329"/>
      <c r="P35" s="329"/>
      <c r="Q35" s="329"/>
      <c r="R35" s="329"/>
      <c r="S35" s="329"/>
      <c r="T35" s="329"/>
      <c r="U35" s="329"/>
      <c r="V35" s="329"/>
      <c r="W35" s="93"/>
      <c r="X35" s="330"/>
      <c r="Y35" s="93"/>
      <c r="Z35" s="93"/>
      <c r="AA35" s="331"/>
    </row>
    <row r="36" spans="1:27" s="335" customFormat="1" ht="19.5" customHeight="1" x14ac:dyDescent="0.2">
      <c r="A36" s="335" t="s">
        <v>96</v>
      </c>
      <c r="B36" s="345" t="s">
        <v>98</v>
      </c>
      <c r="C36" s="335" t="s">
        <v>58</v>
      </c>
      <c r="D36" s="333" t="s">
        <v>140</v>
      </c>
      <c r="E36" s="334">
        <v>5.5</v>
      </c>
      <c r="F36" s="334">
        <v>2</v>
      </c>
      <c r="G36" s="334">
        <v>950</v>
      </c>
      <c r="H36" s="335">
        <v>20</v>
      </c>
      <c r="I36" s="326">
        <f>MAX(TblRaces[[#This Row],[OffensePwr]:[DefensePwr]])*2</f>
        <v>11</v>
      </c>
      <c r="J36" s="336"/>
      <c r="K36" s="337"/>
      <c r="L36" s="337"/>
      <c r="M36" s="337"/>
      <c r="N36" s="337"/>
      <c r="O36" s="337"/>
      <c r="P36" s="337"/>
      <c r="Q36" s="337"/>
      <c r="R36" s="337"/>
      <c r="S36" s="337"/>
      <c r="T36" s="337"/>
      <c r="U36" s="337"/>
      <c r="V36" s="337"/>
      <c r="W36" s="334"/>
      <c r="X36" s="338"/>
      <c r="Y36" s="334"/>
      <c r="Z36" s="334"/>
      <c r="AA36" s="339"/>
    </row>
    <row r="37" spans="1:27" s="332" customFormat="1" ht="19.5" customHeight="1" x14ac:dyDescent="0.2">
      <c r="A37" s="332" t="s">
        <v>97</v>
      </c>
      <c r="B37" s="340" t="s">
        <v>30</v>
      </c>
      <c r="C37" s="332" t="s">
        <v>244</v>
      </c>
      <c r="D37" s="341" t="s">
        <v>141</v>
      </c>
      <c r="E37" s="342">
        <v>3</v>
      </c>
      <c r="F37" s="342"/>
      <c r="G37" s="342">
        <v>350</v>
      </c>
      <c r="H37" s="332">
        <v>25</v>
      </c>
      <c r="I37" s="340">
        <v>5</v>
      </c>
      <c r="J37" s="343">
        <v>0.2</v>
      </c>
      <c r="K37" s="344"/>
      <c r="L37" s="344"/>
      <c r="M37" s="344"/>
      <c r="N37" s="344"/>
      <c r="O37" s="344"/>
      <c r="P37" s="344"/>
      <c r="Q37" s="344"/>
      <c r="R37" s="344"/>
      <c r="S37" s="344"/>
      <c r="T37" s="344"/>
      <c r="U37" s="344"/>
      <c r="V37" s="344"/>
      <c r="W37" s="329">
        <v>0.15</v>
      </c>
      <c r="X37" s="330"/>
      <c r="Y37" s="342"/>
      <c r="Z37" s="342"/>
      <c r="AA37" s="331"/>
    </row>
    <row r="38" spans="1:27" ht="19.5" customHeight="1" x14ac:dyDescent="0.2">
      <c r="A38" s="275" t="s">
        <v>97</v>
      </c>
      <c r="B38" s="326" t="s">
        <v>30</v>
      </c>
      <c r="C38" s="275" t="s">
        <v>244</v>
      </c>
      <c r="D38" s="327" t="s">
        <v>142</v>
      </c>
      <c r="F38" s="93">
        <v>3</v>
      </c>
      <c r="G38" s="93">
        <v>380</v>
      </c>
      <c r="H38" s="275">
        <v>15</v>
      </c>
      <c r="I38" s="326">
        <v>5</v>
      </c>
      <c r="J38" s="328"/>
      <c r="K38" s="329"/>
      <c r="L38" s="329"/>
      <c r="M38" s="329"/>
      <c r="N38" s="329"/>
      <c r="O38" s="329"/>
      <c r="P38" s="329"/>
      <c r="Q38" s="329"/>
      <c r="R38" s="329"/>
      <c r="S38" s="329"/>
      <c r="T38" s="329"/>
      <c r="U38" s="329"/>
      <c r="V38" s="329"/>
      <c r="W38" s="93"/>
      <c r="X38" s="330"/>
      <c r="Y38" s="93"/>
      <c r="Z38" s="93"/>
      <c r="AA38" s="331"/>
    </row>
    <row r="39" spans="1:27" ht="19.5" customHeight="1" x14ac:dyDescent="0.2">
      <c r="A39" s="275" t="s">
        <v>97</v>
      </c>
      <c r="B39" s="326" t="s">
        <v>30</v>
      </c>
      <c r="C39" s="275" t="s">
        <v>244</v>
      </c>
      <c r="D39" s="327" t="s">
        <v>354</v>
      </c>
      <c r="E39" s="93">
        <v>5</v>
      </c>
      <c r="F39" s="93">
        <v>3</v>
      </c>
      <c r="G39" s="93">
        <v>1015</v>
      </c>
      <c r="H39" s="275">
        <v>80</v>
      </c>
      <c r="I39" s="326">
        <f>MAX(TblRaces[[#This Row],[OffensePwr]:[DefensePwr]])*2</f>
        <v>10</v>
      </c>
      <c r="J39" s="328"/>
      <c r="K39" s="329"/>
      <c r="L39" s="329"/>
      <c r="M39" s="329"/>
      <c r="N39" s="329"/>
      <c r="O39" s="329"/>
      <c r="P39" s="329"/>
      <c r="Q39" s="329"/>
      <c r="R39" s="329"/>
      <c r="S39" s="329"/>
      <c r="T39" s="329"/>
      <c r="U39" s="329"/>
      <c r="V39" s="329"/>
      <c r="W39" s="93"/>
      <c r="X39" s="330"/>
      <c r="Y39" s="93"/>
      <c r="Z39" s="93"/>
      <c r="AA39" s="331"/>
    </row>
    <row r="40" spans="1:27" s="335" customFormat="1" ht="19.5" customHeight="1" x14ac:dyDescent="0.2">
      <c r="A40" s="335" t="s">
        <v>97</v>
      </c>
      <c r="B40" s="345" t="s">
        <v>30</v>
      </c>
      <c r="C40" s="335" t="s">
        <v>244</v>
      </c>
      <c r="D40" s="333" t="s">
        <v>144</v>
      </c>
      <c r="E40" s="334">
        <v>6</v>
      </c>
      <c r="F40" s="334">
        <v>2</v>
      </c>
      <c r="G40" s="334">
        <v>1300</v>
      </c>
      <c r="H40" s="335">
        <v>110</v>
      </c>
      <c r="I40" s="326">
        <f>MAX(TblRaces[[#This Row],[OffensePwr]:[DefensePwr]])*2</f>
        <v>12</v>
      </c>
      <c r="J40" s="336"/>
      <c r="K40" s="337"/>
      <c r="L40" s="337"/>
      <c r="M40" s="337"/>
      <c r="N40" s="337"/>
      <c r="O40" s="337"/>
      <c r="P40" s="337"/>
      <c r="Q40" s="337"/>
      <c r="R40" s="337"/>
      <c r="S40" s="337"/>
      <c r="T40" s="337"/>
      <c r="U40" s="337"/>
      <c r="V40" s="337"/>
      <c r="W40" s="334"/>
      <c r="X40" s="338"/>
      <c r="Y40" s="334"/>
      <c r="Z40" s="334"/>
      <c r="AA40" s="339"/>
    </row>
    <row r="41" spans="1:27" s="332" customFormat="1" ht="19.5" customHeight="1" x14ac:dyDescent="0.2">
      <c r="A41" s="332" t="s">
        <v>29</v>
      </c>
      <c r="B41" s="340" t="s">
        <v>30</v>
      </c>
      <c r="C41" s="332" t="s">
        <v>243</v>
      </c>
      <c r="D41" s="341" t="s">
        <v>39</v>
      </c>
      <c r="E41" s="342">
        <v>4</v>
      </c>
      <c r="F41" s="342"/>
      <c r="G41" s="342">
        <v>360</v>
      </c>
      <c r="H41" s="332">
        <v>25</v>
      </c>
      <c r="I41" s="340">
        <v>5</v>
      </c>
      <c r="J41" s="343">
        <v>-0.05</v>
      </c>
      <c r="K41" s="344"/>
      <c r="L41" s="344"/>
      <c r="M41" s="344"/>
      <c r="N41" s="344"/>
      <c r="O41" s="344"/>
      <c r="P41" s="344"/>
      <c r="Q41" s="344"/>
      <c r="R41" s="344">
        <v>0.05</v>
      </c>
      <c r="S41" s="344"/>
      <c r="T41" s="344">
        <v>0.05</v>
      </c>
      <c r="U41" s="344">
        <v>-0.1</v>
      </c>
      <c r="V41" s="344"/>
      <c r="W41" s="93"/>
      <c r="X41" s="330"/>
      <c r="Y41" s="342"/>
      <c r="Z41" s="342"/>
      <c r="AA41" s="331"/>
    </row>
    <row r="42" spans="1:27" ht="19.5" customHeight="1" x14ac:dyDescent="0.2">
      <c r="A42" s="275" t="s">
        <v>29</v>
      </c>
      <c r="B42" s="326" t="s">
        <v>30</v>
      </c>
      <c r="C42" s="275" t="s">
        <v>243</v>
      </c>
      <c r="D42" s="327" t="s">
        <v>40</v>
      </c>
      <c r="F42" s="93">
        <v>3</v>
      </c>
      <c r="G42" s="93">
        <v>300</v>
      </c>
      <c r="H42" s="275">
        <v>25</v>
      </c>
      <c r="I42" s="326">
        <v>5</v>
      </c>
      <c r="J42" s="328"/>
      <c r="K42" s="329"/>
      <c r="L42" s="329"/>
      <c r="M42" s="329"/>
      <c r="N42" s="329"/>
      <c r="O42" s="329"/>
      <c r="P42" s="329"/>
      <c r="Q42" s="329"/>
      <c r="R42" s="329"/>
      <c r="S42" s="329"/>
      <c r="T42" s="329"/>
      <c r="U42" s="329"/>
      <c r="V42" s="329"/>
      <c r="W42" s="93"/>
      <c r="X42" s="330"/>
      <c r="Y42" s="93"/>
      <c r="Z42" s="93"/>
      <c r="AA42" s="331"/>
    </row>
    <row r="43" spans="1:27" ht="19.5" customHeight="1" x14ac:dyDescent="0.2">
      <c r="A43" s="275" t="s">
        <v>29</v>
      </c>
      <c r="B43" s="326" t="s">
        <v>30</v>
      </c>
      <c r="C43" s="275" t="s">
        <v>243</v>
      </c>
      <c r="D43" s="327" t="s">
        <v>41</v>
      </c>
      <c r="E43" s="93">
        <v>7</v>
      </c>
      <c r="F43" s="93">
        <v>7</v>
      </c>
      <c r="G43" s="93">
        <v>1400</v>
      </c>
      <c r="H43" s="275">
        <v>150</v>
      </c>
      <c r="I43" s="326">
        <f>MAX(TblRaces[[#This Row],[OffensePwr]:[DefensePwr]])*2</f>
        <v>14</v>
      </c>
      <c r="J43" s="328"/>
      <c r="K43" s="329"/>
      <c r="L43" s="329"/>
      <c r="M43" s="329"/>
      <c r="N43" s="329"/>
      <c r="O43" s="329"/>
      <c r="P43" s="329"/>
      <c r="Q43" s="329"/>
      <c r="R43" s="329"/>
      <c r="S43" s="329"/>
      <c r="T43" s="329"/>
      <c r="U43" s="329"/>
      <c r="V43" s="329"/>
      <c r="W43" s="93"/>
      <c r="X43" s="330"/>
      <c r="Y43" s="93"/>
      <c r="Z43" s="93"/>
      <c r="AA43" s="331"/>
    </row>
    <row r="44" spans="1:27" s="335" customFormat="1" ht="19.5" customHeight="1" x14ac:dyDescent="0.2">
      <c r="A44" s="335" t="s">
        <v>29</v>
      </c>
      <c r="B44" s="345" t="s">
        <v>30</v>
      </c>
      <c r="C44" s="335" t="s">
        <v>243</v>
      </c>
      <c r="D44" s="333" t="s">
        <v>42</v>
      </c>
      <c r="E44" s="334">
        <v>7</v>
      </c>
      <c r="F44" s="334">
        <v>7</v>
      </c>
      <c r="G44" s="334">
        <v>1400</v>
      </c>
      <c r="H44" s="335">
        <v>150</v>
      </c>
      <c r="I44" s="326">
        <f>MAX(TblRaces[[#This Row],[OffensePwr]:[DefensePwr]])*2</f>
        <v>14</v>
      </c>
      <c r="J44" s="336"/>
      <c r="K44" s="337"/>
      <c r="L44" s="337"/>
      <c r="M44" s="337"/>
      <c r="N44" s="337"/>
      <c r="O44" s="337"/>
      <c r="P44" s="337"/>
      <c r="Q44" s="337"/>
      <c r="R44" s="337"/>
      <c r="S44" s="337"/>
      <c r="T44" s="337"/>
      <c r="U44" s="337"/>
      <c r="V44" s="337"/>
      <c r="W44" s="334"/>
      <c r="X44" s="338"/>
      <c r="Y44" s="334"/>
      <c r="Z44" s="334"/>
      <c r="AA44" s="339"/>
    </row>
    <row r="45" spans="1:27" s="332" customFormat="1" ht="19.5" customHeight="1" x14ac:dyDescent="0.2">
      <c r="A45" s="332" t="s">
        <v>99</v>
      </c>
      <c r="B45" s="340" t="s">
        <v>30</v>
      </c>
      <c r="C45" s="332" t="s">
        <v>242</v>
      </c>
      <c r="D45" s="341" t="s">
        <v>145</v>
      </c>
      <c r="E45" s="342">
        <v>4</v>
      </c>
      <c r="F45" s="342"/>
      <c r="G45" s="342">
        <v>450</v>
      </c>
      <c r="H45" s="332">
        <v>25</v>
      </c>
      <c r="I45" s="340">
        <v>5</v>
      </c>
      <c r="J45" s="343">
        <v>-0.05</v>
      </c>
      <c r="K45" s="344"/>
      <c r="L45" s="344"/>
      <c r="M45" s="344"/>
      <c r="N45" s="344"/>
      <c r="O45" s="344"/>
      <c r="P45" s="344"/>
      <c r="Q45" s="344">
        <v>0.05</v>
      </c>
      <c r="R45" s="344"/>
      <c r="S45" s="344"/>
      <c r="T45" s="344"/>
      <c r="U45" s="344"/>
      <c r="V45" s="344"/>
      <c r="W45" s="93"/>
      <c r="X45" s="330"/>
      <c r="Y45" s="342"/>
      <c r="Z45" s="342"/>
      <c r="AA45" s="331"/>
    </row>
    <row r="46" spans="1:27" ht="19.5" customHeight="1" x14ac:dyDescent="0.2">
      <c r="A46" s="275" t="s">
        <v>99</v>
      </c>
      <c r="B46" s="326" t="s">
        <v>30</v>
      </c>
      <c r="C46" s="275" t="s">
        <v>242</v>
      </c>
      <c r="D46" s="327" t="s">
        <v>146</v>
      </c>
      <c r="F46" s="93">
        <v>3</v>
      </c>
      <c r="G46" s="93">
        <v>300</v>
      </c>
      <c r="H46" s="275">
        <v>15</v>
      </c>
      <c r="I46" s="326">
        <v>5</v>
      </c>
      <c r="J46" s="328"/>
      <c r="K46" s="329"/>
      <c r="L46" s="329"/>
      <c r="M46" s="329"/>
      <c r="N46" s="329"/>
      <c r="O46" s="329"/>
      <c r="P46" s="329"/>
      <c r="Q46" s="329"/>
      <c r="R46" s="329"/>
      <c r="S46" s="329"/>
      <c r="T46" s="329"/>
      <c r="U46" s="329"/>
      <c r="V46" s="329"/>
      <c r="W46" s="93"/>
      <c r="X46" s="330"/>
      <c r="Y46" s="93"/>
      <c r="Z46" s="93"/>
      <c r="AA46" s="331"/>
    </row>
    <row r="47" spans="1:27" ht="19.5" customHeight="1" x14ac:dyDescent="0.2">
      <c r="A47" s="275" t="s">
        <v>99</v>
      </c>
      <c r="B47" s="326" t="s">
        <v>30</v>
      </c>
      <c r="C47" s="275" t="s">
        <v>242</v>
      </c>
      <c r="D47" s="327" t="s">
        <v>147</v>
      </c>
      <c r="E47" s="93">
        <v>0</v>
      </c>
      <c r="F47" s="93">
        <v>6</v>
      </c>
      <c r="G47" s="93">
        <v>1150</v>
      </c>
      <c r="H47" s="275">
        <v>60</v>
      </c>
      <c r="I47" s="326">
        <f>MAX(TblRaces[[#This Row],[OffensePwr]:[DefensePwr]])*2</f>
        <v>12</v>
      </c>
      <c r="J47" s="328"/>
      <c r="K47" s="329"/>
      <c r="L47" s="329"/>
      <c r="M47" s="329"/>
      <c r="N47" s="329"/>
      <c r="O47" s="329"/>
      <c r="P47" s="329"/>
      <c r="Q47" s="329"/>
      <c r="R47" s="329"/>
      <c r="S47" s="329"/>
      <c r="T47" s="329"/>
      <c r="U47" s="329"/>
      <c r="V47" s="329"/>
      <c r="W47" s="93"/>
      <c r="X47" s="330"/>
      <c r="Y47" s="93"/>
      <c r="Z47" s="93"/>
      <c r="AA47" s="331"/>
    </row>
    <row r="48" spans="1:27" s="335" customFormat="1" ht="19.5" customHeight="1" x14ac:dyDescent="0.2">
      <c r="A48" s="335" t="s">
        <v>99</v>
      </c>
      <c r="B48" s="345" t="s">
        <v>30</v>
      </c>
      <c r="C48" s="335" t="s">
        <v>242</v>
      </c>
      <c r="D48" s="333" t="s">
        <v>1064</v>
      </c>
      <c r="E48" s="334">
        <v>6.5</v>
      </c>
      <c r="F48" s="334">
        <v>3</v>
      </c>
      <c r="G48" s="334">
        <v>1200</v>
      </c>
      <c r="H48" s="335">
        <v>50</v>
      </c>
      <c r="I48" s="326">
        <f>MAX(TblRaces[[#This Row],[OffensePwr]:[DefensePwr]])*2</f>
        <v>13</v>
      </c>
      <c r="J48" s="336"/>
      <c r="K48" s="337"/>
      <c r="L48" s="337"/>
      <c r="M48" s="337"/>
      <c r="N48" s="337"/>
      <c r="O48" s="337"/>
      <c r="P48" s="337"/>
      <c r="Q48" s="337"/>
      <c r="R48" s="337"/>
      <c r="S48" s="337"/>
      <c r="T48" s="337"/>
      <c r="U48" s="337"/>
      <c r="V48" s="337"/>
      <c r="W48" s="334"/>
      <c r="X48" s="338"/>
      <c r="Y48" s="334"/>
      <c r="Z48" s="334"/>
      <c r="AA48" s="339"/>
    </row>
    <row r="49" spans="1:27" s="332" customFormat="1" ht="19.5" customHeight="1" x14ac:dyDescent="0.2">
      <c r="A49" s="332" t="s">
        <v>100</v>
      </c>
      <c r="B49" s="340" t="s">
        <v>30</v>
      </c>
      <c r="C49" s="332" t="s">
        <v>60</v>
      </c>
      <c r="D49" s="341" t="s">
        <v>1110</v>
      </c>
      <c r="E49" s="342">
        <v>3</v>
      </c>
      <c r="F49" s="342"/>
      <c r="G49" s="342">
        <v>200</v>
      </c>
      <c r="H49" s="332">
        <v>25</v>
      </c>
      <c r="I49" s="340">
        <v>5</v>
      </c>
      <c r="J49" s="343">
        <v>2.5000000000000001E-2</v>
      </c>
      <c r="K49" s="344"/>
      <c r="L49" s="344"/>
      <c r="M49" s="344"/>
      <c r="N49" s="344"/>
      <c r="O49" s="344">
        <v>0.2</v>
      </c>
      <c r="P49" s="344"/>
      <c r="Q49" s="344"/>
      <c r="R49" s="344">
        <v>-0.5</v>
      </c>
      <c r="S49" s="344"/>
      <c r="T49" s="344"/>
      <c r="U49" s="344"/>
      <c r="V49" s="344"/>
      <c r="W49" s="93"/>
      <c r="X49" s="330"/>
      <c r="Y49" s="342"/>
      <c r="Z49" s="342"/>
      <c r="AA49" s="331"/>
    </row>
    <row r="50" spans="1:27" ht="19.5" customHeight="1" x14ac:dyDescent="0.2">
      <c r="A50" s="275" t="s">
        <v>100</v>
      </c>
      <c r="B50" s="326" t="s">
        <v>30</v>
      </c>
      <c r="C50" s="275" t="s">
        <v>60</v>
      </c>
      <c r="D50" s="327" t="s">
        <v>1098</v>
      </c>
      <c r="F50" s="93">
        <v>4</v>
      </c>
      <c r="G50" s="93">
        <v>750</v>
      </c>
      <c r="H50" s="275">
        <v>10</v>
      </c>
      <c r="I50" s="326">
        <v>5</v>
      </c>
      <c r="J50" s="328"/>
      <c r="K50" s="329"/>
      <c r="L50" s="329"/>
      <c r="M50" s="329"/>
      <c r="N50" s="329"/>
      <c r="O50" s="329"/>
      <c r="P50" s="329"/>
      <c r="Q50" s="329"/>
      <c r="R50" s="329"/>
      <c r="S50" s="329"/>
      <c r="T50" s="329"/>
      <c r="U50" s="329"/>
      <c r="V50" s="329"/>
      <c r="W50" s="93"/>
      <c r="X50" s="330"/>
      <c r="Y50" s="93"/>
      <c r="Z50" s="93"/>
      <c r="AA50" s="331"/>
    </row>
    <row r="51" spans="1:27" ht="19.5" customHeight="1" x14ac:dyDescent="0.2">
      <c r="A51" s="275" t="s">
        <v>100</v>
      </c>
      <c r="B51" s="326" t="s">
        <v>30</v>
      </c>
      <c r="C51" s="275" t="s">
        <v>60</v>
      </c>
      <c r="D51" s="327" t="s">
        <v>1111</v>
      </c>
      <c r="E51" s="93">
        <v>0</v>
      </c>
      <c r="F51" s="93">
        <v>6</v>
      </c>
      <c r="G51" s="93">
        <v>1150</v>
      </c>
      <c r="H51" s="275">
        <v>15</v>
      </c>
      <c r="I51" s="326">
        <f>MAX(TblRaces[[#This Row],[OffensePwr]:[DefensePwr]])*2</f>
        <v>12</v>
      </c>
      <c r="J51" s="328"/>
      <c r="K51" s="329"/>
      <c r="L51" s="329"/>
      <c r="M51" s="329"/>
      <c r="N51" s="329"/>
      <c r="O51" s="329"/>
      <c r="P51" s="329"/>
      <c r="Q51" s="329"/>
      <c r="R51" s="329"/>
      <c r="S51" s="329"/>
      <c r="T51" s="329"/>
      <c r="U51" s="329"/>
      <c r="V51" s="329"/>
      <c r="W51" s="93"/>
      <c r="X51" s="330"/>
      <c r="Y51" s="93"/>
      <c r="Z51" s="93"/>
      <c r="AA51" s="331"/>
    </row>
    <row r="52" spans="1:27" s="335" customFormat="1" ht="19.5" customHeight="1" x14ac:dyDescent="0.2">
      <c r="A52" s="335" t="s">
        <v>100</v>
      </c>
      <c r="B52" s="345" t="s">
        <v>30</v>
      </c>
      <c r="C52" s="335" t="s">
        <v>60</v>
      </c>
      <c r="D52" s="333" t="s">
        <v>1112</v>
      </c>
      <c r="E52" s="334">
        <v>4</v>
      </c>
      <c r="F52" s="334">
        <v>3</v>
      </c>
      <c r="G52" s="334">
        <v>700</v>
      </c>
      <c r="H52" s="335">
        <v>0</v>
      </c>
      <c r="I52" s="326">
        <f>MAX(TblRaces[[#This Row],[OffensePwr]:[DefensePwr]])*2</f>
        <v>8</v>
      </c>
      <c r="J52" s="336"/>
      <c r="K52" s="337"/>
      <c r="L52" s="337"/>
      <c r="M52" s="337"/>
      <c r="N52" s="337"/>
      <c r="O52" s="337"/>
      <c r="P52" s="337"/>
      <c r="Q52" s="337"/>
      <c r="R52" s="337"/>
      <c r="S52" s="337"/>
      <c r="T52" s="337"/>
      <c r="U52" s="337"/>
      <c r="V52" s="337"/>
      <c r="W52" s="334"/>
      <c r="X52" s="338"/>
      <c r="Y52" s="334"/>
      <c r="Z52" s="334"/>
      <c r="AA52" s="339"/>
    </row>
    <row r="53" spans="1:27" s="332" customFormat="1" ht="19.5" customHeight="1" x14ac:dyDescent="0.2">
      <c r="A53" s="332" t="s">
        <v>101</v>
      </c>
      <c r="B53" s="340" t="s">
        <v>98</v>
      </c>
      <c r="C53" s="332" t="s">
        <v>62</v>
      </c>
      <c r="D53" s="341" t="s">
        <v>1125</v>
      </c>
      <c r="E53" s="342">
        <v>3</v>
      </c>
      <c r="F53" s="342"/>
      <c r="G53" s="342">
        <v>300</v>
      </c>
      <c r="H53" s="332">
        <v>10</v>
      </c>
      <c r="I53" s="340">
        <v>5</v>
      </c>
      <c r="J53" s="343"/>
      <c r="K53" s="344"/>
      <c r="L53" s="344"/>
      <c r="M53" s="344"/>
      <c r="N53" s="344"/>
      <c r="O53" s="344"/>
      <c r="P53" s="344"/>
      <c r="Q53" s="344"/>
      <c r="R53" s="344">
        <v>-0.9</v>
      </c>
      <c r="S53" s="344"/>
      <c r="T53" s="344"/>
      <c r="U53" s="344"/>
      <c r="V53" s="344"/>
      <c r="W53" s="93"/>
      <c r="X53" s="330"/>
      <c r="Y53" s="342"/>
      <c r="Z53" s="342"/>
      <c r="AA53" s="331"/>
    </row>
    <row r="54" spans="1:27" ht="19.5" customHeight="1" x14ac:dyDescent="0.2">
      <c r="A54" s="275" t="s">
        <v>101</v>
      </c>
      <c r="B54" s="326" t="s">
        <v>98</v>
      </c>
      <c r="C54" s="275" t="s">
        <v>62</v>
      </c>
      <c r="D54" s="327" t="s">
        <v>149</v>
      </c>
      <c r="F54" s="93">
        <v>3</v>
      </c>
      <c r="G54" s="93">
        <v>300</v>
      </c>
      <c r="H54" s="275">
        <v>10</v>
      </c>
      <c r="I54" s="326">
        <v>5</v>
      </c>
      <c r="J54" s="328"/>
      <c r="K54" s="329"/>
      <c r="L54" s="329"/>
      <c r="M54" s="329"/>
      <c r="N54" s="329"/>
      <c r="O54" s="329"/>
      <c r="P54" s="329"/>
      <c r="Q54" s="329"/>
      <c r="R54" s="329"/>
      <c r="S54" s="329"/>
      <c r="T54" s="329"/>
      <c r="U54" s="329"/>
      <c r="V54" s="329"/>
      <c r="W54" s="93"/>
      <c r="X54" s="330"/>
      <c r="Y54" s="93"/>
      <c r="Z54" s="93"/>
      <c r="AA54" s="331"/>
    </row>
    <row r="55" spans="1:27" ht="19.5" customHeight="1" x14ac:dyDescent="0.2">
      <c r="A55" s="275" t="s">
        <v>101</v>
      </c>
      <c r="B55" s="326" t="s">
        <v>98</v>
      </c>
      <c r="C55" s="275" t="s">
        <v>62</v>
      </c>
      <c r="D55" s="327" t="s">
        <v>1126</v>
      </c>
      <c r="E55" s="93">
        <v>3</v>
      </c>
      <c r="F55" s="93">
        <v>5</v>
      </c>
      <c r="G55" s="93">
        <v>1100</v>
      </c>
      <c r="H55" s="275">
        <v>25</v>
      </c>
      <c r="I55" s="326">
        <f>MAX(TblRaces[[#This Row],[OffensePwr]:[DefensePwr]])*2</f>
        <v>10</v>
      </c>
      <c r="J55" s="328"/>
      <c r="K55" s="329"/>
      <c r="L55" s="329"/>
      <c r="M55" s="329"/>
      <c r="N55" s="329"/>
      <c r="O55" s="329"/>
      <c r="P55" s="329"/>
      <c r="Q55" s="329"/>
      <c r="R55" s="329"/>
      <c r="S55" s="329"/>
      <c r="T55" s="329"/>
      <c r="U55" s="329"/>
      <c r="V55" s="329"/>
      <c r="W55" s="93"/>
      <c r="X55" s="330"/>
      <c r="Y55" s="93"/>
      <c r="Z55" s="93"/>
      <c r="AA55" s="331"/>
    </row>
    <row r="56" spans="1:27" s="335" customFormat="1" ht="19.5" customHeight="1" x14ac:dyDescent="0.2">
      <c r="A56" s="335" t="s">
        <v>101</v>
      </c>
      <c r="B56" s="345" t="s">
        <v>98</v>
      </c>
      <c r="C56" s="335" t="s">
        <v>62</v>
      </c>
      <c r="D56" s="333" t="s">
        <v>1127</v>
      </c>
      <c r="E56" s="334">
        <v>6</v>
      </c>
      <c r="F56" s="334">
        <v>0</v>
      </c>
      <c r="G56" s="334">
        <v>1075</v>
      </c>
      <c r="H56" s="335">
        <v>30</v>
      </c>
      <c r="I56" s="326">
        <v>13</v>
      </c>
      <c r="J56" s="336"/>
      <c r="K56" s="337"/>
      <c r="L56" s="337"/>
      <c r="M56" s="337"/>
      <c r="N56" s="337"/>
      <c r="O56" s="337"/>
      <c r="P56" s="337"/>
      <c r="Q56" s="337"/>
      <c r="R56" s="337"/>
      <c r="S56" s="337"/>
      <c r="T56" s="337"/>
      <c r="U56" s="337"/>
      <c r="V56" s="337"/>
      <c r="W56" s="334"/>
      <c r="X56" s="338"/>
      <c r="Y56" s="334"/>
      <c r="Z56" s="334"/>
      <c r="AA56" s="339"/>
    </row>
    <row r="57" spans="1:27" s="332" customFormat="1" ht="19.5" customHeight="1" x14ac:dyDescent="0.2">
      <c r="A57" s="332" t="s">
        <v>102</v>
      </c>
      <c r="B57" s="340" t="s">
        <v>30</v>
      </c>
      <c r="C57" s="332" t="s">
        <v>242</v>
      </c>
      <c r="D57" s="341" t="s">
        <v>150</v>
      </c>
      <c r="E57" s="342">
        <v>3</v>
      </c>
      <c r="F57" s="342"/>
      <c r="G57" s="342">
        <v>325</v>
      </c>
      <c r="H57" s="332">
        <v>25</v>
      </c>
      <c r="I57" s="340">
        <v>5</v>
      </c>
      <c r="J57" s="343">
        <v>0.1</v>
      </c>
      <c r="K57" s="344"/>
      <c r="L57" s="344"/>
      <c r="M57" s="344"/>
      <c r="N57" s="344"/>
      <c r="O57" s="344"/>
      <c r="P57" s="344"/>
      <c r="Q57" s="344"/>
      <c r="R57" s="344"/>
      <c r="S57" s="343">
        <v>0.05</v>
      </c>
      <c r="T57" s="344"/>
      <c r="U57" s="344"/>
      <c r="V57" s="344"/>
      <c r="W57" s="93"/>
      <c r="X57" s="330"/>
      <c r="Y57" s="342"/>
      <c r="Z57" s="342"/>
      <c r="AA57" s="331"/>
    </row>
    <row r="58" spans="1:27" ht="19.5" customHeight="1" x14ac:dyDescent="0.2">
      <c r="A58" s="275" t="s">
        <v>102</v>
      </c>
      <c r="B58" s="326" t="s">
        <v>30</v>
      </c>
      <c r="C58" s="275" t="s">
        <v>242</v>
      </c>
      <c r="D58" s="327" t="s">
        <v>151</v>
      </c>
      <c r="F58" s="93">
        <v>3</v>
      </c>
      <c r="G58" s="93">
        <v>250</v>
      </c>
      <c r="H58" s="275">
        <v>0</v>
      </c>
      <c r="I58" s="326">
        <v>5</v>
      </c>
      <c r="J58" s="328"/>
      <c r="K58" s="329"/>
      <c r="L58" s="329"/>
      <c r="M58" s="329"/>
      <c r="N58" s="329"/>
      <c r="O58" s="329"/>
      <c r="P58" s="329"/>
      <c r="Q58" s="329"/>
      <c r="R58" s="329"/>
      <c r="S58" s="329"/>
      <c r="T58" s="329"/>
      <c r="U58" s="329"/>
      <c r="V58" s="329"/>
      <c r="W58" s="93"/>
      <c r="X58" s="330"/>
      <c r="Y58" s="93"/>
      <c r="Z58" s="93"/>
      <c r="AA58" s="331"/>
    </row>
    <row r="59" spans="1:27" ht="19.5" customHeight="1" x14ac:dyDescent="0.2">
      <c r="A59" s="275" t="s">
        <v>102</v>
      </c>
      <c r="B59" s="326" t="s">
        <v>30</v>
      </c>
      <c r="C59" s="275" t="s">
        <v>242</v>
      </c>
      <c r="D59" s="327" t="s">
        <v>152</v>
      </c>
      <c r="E59" s="93">
        <v>3</v>
      </c>
      <c r="F59" s="93">
        <v>4</v>
      </c>
      <c r="G59" s="93">
        <v>850</v>
      </c>
      <c r="H59" s="275">
        <v>55</v>
      </c>
      <c r="I59" s="326">
        <f>MAX(TblRaces[[#This Row],[OffensePwr]:[DefensePwr]])*2</f>
        <v>8</v>
      </c>
      <c r="J59" s="328"/>
      <c r="K59" s="329"/>
      <c r="L59" s="329"/>
      <c r="M59" s="329"/>
      <c r="N59" s="329"/>
      <c r="O59" s="329"/>
      <c r="P59" s="329"/>
      <c r="Q59" s="329"/>
      <c r="R59" s="329"/>
      <c r="S59" s="329"/>
      <c r="T59" s="329"/>
      <c r="U59" s="329"/>
      <c r="V59" s="329"/>
      <c r="W59" s="93"/>
      <c r="X59" s="330"/>
      <c r="Y59" s="93"/>
      <c r="Z59" s="93"/>
      <c r="AA59" s="331"/>
    </row>
    <row r="60" spans="1:27" s="335" customFormat="1" ht="19.5" customHeight="1" x14ac:dyDescent="0.2">
      <c r="A60" s="335" t="s">
        <v>102</v>
      </c>
      <c r="B60" s="345" t="s">
        <v>30</v>
      </c>
      <c r="C60" s="335" t="s">
        <v>242</v>
      </c>
      <c r="D60" s="333" t="s">
        <v>153</v>
      </c>
      <c r="E60" s="334">
        <v>6</v>
      </c>
      <c r="F60" s="334">
        <v>0</v>
      </c>
      <c r="G60" s="334">
        <v>1115</v>
      </c>
      <c r="H60" s="335">
        <v>110</v>
      </c>
      <c r="I60" s="326">
        <f>MAX(TblRaces[[#This Row],[OffensePwr]:[DefensePwr]])*2</f>
        <v>12</v>
      </c>
      <c r="J60" s="336"/>
      <c r="K60" s="337"/>
      <c r="L60" s="337"/>
      <c r="M60" s="337"/>
      <c r="N60" s="337"/>
      <c r="O60" s="337"/>
      <c r="P60" s="337"/>
      <c r="Q60" s="337"/>
      <c r="R60" s="337"/>
      <c r="S60" s="337"/>
      <c r="T60" s="337"/>
      <c r="U60" s="337"/>
      <c r="V60" s="337"/>
      <c r="W60" s="334"/>
      <c r="X60" s="338"/>
      <c r="Y60" s="334"/>
      <c r="Z60" s="334"/>
      <c r="AA60" s="339"/>
    </row>
    <row r="61" spans="1:27" s="332" customFormat="1" ht="19.5" customHeight="1" x14ac:dyDescent="0.2">
      <c r="A61" s="332" t="s">
        <v>103</v>
      </c>
      <c r="B61" s="340" t="s">
        <v>98</v>
      </c>
      <c r="C61" s="332" t="s">
        <v>244</v>
      </c>
      <c r="D61" s="341" t="s">
        <v>154</v>
      </c>
      <c r="E61" s="342">
        <v>2.5</v>
      </c>
      <c r="F61" s="342"/>
      <c r="G61" s="342">
        <v>295</v>
      </c>
      <c r="H61" s="332">
        <v>25</v>
      </c>
      <c r="I61" s="340">
        <v>5</v>
      </c>
      <c r="J61" s="343">
        <v>0.3</v>
      </c>
      <c r="K61" s="344">
        <v>0.15</v>
      </c>
      <c r="L61" s="344"/>
      <c r="M61" s="344"/>
      <c r="N61" s="344"/>
      <c r="O61" s="344"/>
      <c r="P61" s="344"/>
      <c r="Q61" s="344"/>
      <c r="R61" s="344">
        <v>-0.25</v>
      </c>
      <c r="S61" s="344"/>
      <c r="T61" s="344"/>
      <c r="U61" s="344"/>
      <c r="V61" s="344"/>
      <c r="W61" s="93"/>
      <c r="X61" s="330"/>
      <c r="Y61" s="342"/>
      <c r="Z61" s="342"/>
      <c r="AA61" s="331"/>
    </row>
    <row r="62" spans="1:27" ht="19.5" customHeight="1" x14ac:dyDescent="0.2">
      <c r="A62" s="275" t="s">
        <v>103</v>
      </c>
      <c r="B62" s="326" t="s">
        <v>98</v>
      </c>
      <c r="C62" s="275" t="s">
        <v>244</v>
      </c>
      <c r="D62" s="327" t="s">
        <v>1099</v>
      </c>
      <c r="F62" s="93">
        <v>2.5</v>
      </c>
      <c r="G62" s="93">
        <v>325</v>
      </c>
      <c r="H62" s="275">
        <v>25</v>
      </c>
      <c r="I62" s="326">
        <v>5</v>
      </c>
      <c r="J62" s="328"/>
      <c r="K62" s="329"/>
      <c r="L62" s="329"/>
      <c r="M62" s="329"/>
      <c r="N62" s="329"/>
      <c r="O62" s="329"/>
      <c r="P62" s="329"/>
      <c r="Q62" s="329"/>
      <c r="R62" s="329"/>
      <c r="S62" s="329"/>
      <c r="T62" s="329"/>
      <c r="U62" s="329"/>
      <c r="V62" s="329"/>
      <c r="W62" s="93"/>
      <c r="X62" s="330"/>
      <c r="Y62" s="93"/>
      <c r="Z62" s="93"/>
      <c r="AA62" s="331"/>
    </row>
    <row r="63" spans="1:27" ht="19.5" customHeight="1" x14ac:dyDescent="0.2">
      <c r="A63" s="275" t="s">
        <v>103</v>
      </c>
      <c r="B63" s="326" t="s">
        <v>98</v>
      </c>
      <c r="C63" s="275" t="s">
        <v>244</v>
      </c>
      <c r="D63" s="327" t="s">
        <v>1100</v>
      </c>
      <c r="E63" s="93">
        <v>3</v>
      </c>
      <c r="F63" s="93">
        <v>3</v>
      </c>
      <c r="G63" s="93">
        <v>1300</v>
      </c>
      <c r="H63" s="275">
        <v>0</v>
      </c>
      <c r="I63" s="326">
        <v>10</v>
      </c>
      <c r="J63" s="328"/>
      <c r="K63" s="329"/>
      <c r="L63" s="329"/>
      <c r="M63" s="329"/>
      <c r="N63" s="329"/>
      <c r="O63" s="329"/>
      <c r="P63" s="329"/>
      <c r="Q63" s="329"/>
      <c r="R63" s="329"/>
      <c r="S63" s="329"/>
      <c r="T63" s="329"/>
      <c r="U63" s="329"/>
      <c r="V63" s="329"/>
      <c r="W63" s="93"/>
      <c r="X63" s="330"/>
      <c r="Y63" s="93"/>
      <c r="Z63" s="93"/>
      <c r="AA63" s="331"/>
    </row>
    <row r="64" spans="1:27" s="335" customFormat="1" ht="19.5" customHeight="1" x14ac:dyDescent="0.2">
      <c r="A64" s="335" t="s">
        <v>103</v>
      </c>
      <c r="B64" s="345" t="s">
        <v>98</v>
      </c>
      <c r="C64" s="335" t="s">
        <v>244</v>
      </c>
      <c r="D64" s="333" t="s">
        <v>155</v>
      </c>
      <c r="E64" s="334">
        <v>3</v>
      </c>
      <c r="F64" s="334">
        <v>2</v>
      </c>
      <c r="G64" s="334">
        <v>990</v>
      </c>
      <c r="H64" s="335">
        <v>50</v>
      </c>
      <c r="I64" s="326">
        <v>10</v>
      </c>
      <c r="J64" s="336"/>
      <c r="K64" s="337"/>
      <c r="L64" s="337"/>
      <c r="M64" s="337"/>
      <c r="N64" s="337"/>
      <c r="O64" s="337"/>
      <c r="P64" s="337"/>
      <c r="Q64" s="337"/>
      <c r="R64" s="337"/>
      <c r="S64" s="337"/>
      <c r="T64" s="337"/>
      <c r="U64" s="337"/>
      <c r="V64" s="337"/>
      <c r="W64" s="334"/>
      <c r="X64" s="338"/>
      <c r="Y64" s="334"/>
      <c r="Z64" s="334"/>
      <c r="AA64" s="339"/>
    </row>
    <row r="65" spans="1:27" s="332" customFormat="1" ht="19.5" customHeight="1" x14ac:dyDescent="0.2">
      <c r="A65" s="332" t="s">
        <v>104</v>
      </c>
      <c r="B65" s="340" t="s">
        <v>30</v>
      </c>
      <c r="C65" s="332" t="s">
        <v>62</v>
      </c>
      <c r="D65" s="341" t="s">
        <v>156</v>
      </c>
      <c r="E65" s="342">
        <v>3</v>
      </c>
      <c r="F65" s="342"/>
      <c r="G65" s="342">
        <v>275</v>
      </c>
      <c r="H65" s="332">
        <v>0</v>
      </c>
      <c r="I65" s="340">
        <v>5</v>
      </c>
      <c r="J65" s="343">
        <v>0.05</v>
      </c>
      <c r="K65" s="344"/>
      <c r="L65" s="344"/>
      <c r="M65" s="344"/>
      <c r="N65" s="344"/>
      <c r="O65" s="344"/>
      <c r="P65" s="344"/>
      <c r="Q65" s="344"/>
      <c r="R65" s="344">
        <v>-0.15</v>
      </c>
      <c r="S65" s="344"/>
      <c r="T65" s="344"/>
      <c r="U65" s="344">
        <v>0.1</v>
      </c>
      <c r="V65" s="344"/>
      <c r="W65" s="93"/>
      <c r="X65" s="330"/>
      <c r="Y65" s="342"/>
      <c r="Z65" s="342"/>
      <c r="AA65" s="331"/>
    </row>
    <row r="66" spans="1:27" ht="19.5" customHeight="1" x14ac:dyDescent="0.2">
      <c r="A66" s="275" t="s">
        <v>104</v>
      </c>
      <c r="B66" s="326" t="s">
        <v>30</v>
      </c>
      <c r="C66" s="275" t="s">
        <v>62</v>
      </c>
      <c r="D66" s="327" t="s">
        <v>157</v>
      </c>
      <c r="F66" s="93">
        <v>3</v>
      </c>
      <c r="G66" s="93">
        <v>275</v>
      </c>
      <c r="H66" s="275">
        <v>0</v>
      </c>
      <c r="I66" s="326">
        <v>5</v>
      </c>
      <c r="J66" s="328"/>
      <c r="K66" s="329"/>
      <c r="L66" s="329"/>
      <c r="M66" s="329"/>
      <c r="N66" s="329"/>
      <c r="O66" s="329"/>
      <c r="P66" s="329"/>
      <c r="Q66" s="329"/>
      <c r="R66" s="329"/>
      <c r="S66" s="329"/>
      <c r="T66" s="329"/>
      <c r="U66" s="329"/>
      <c r="V66" s="329"/>
      <c r="W66" s="93"/>
      <c r="X66" s="330"/>
      <c r="Y66" s="93"/>
      <c r="Z66" s="93"/>
      <c r="AA66" s="331"/>
    </row>
    <row r="67" spans="1:27" ht="19.5" customHeight="1" x14ac:dyDescent="0.2">
      <c r="A67" s="275" t="s">
        <v>104</v>
      </c>
      <c r="B67" s="326" t="s">
        <v>30</v>
      </c>
      <c r="C67" s="275" t="s">
        <v>62</v>
      </c>
      <c r="D67" s="327" t="s">
        <v>158</v>
      </c>
      <c r="E67" s="93">
        <v>4</v>
      </c>
      <c r="F67" s="93">
        <v>4</v>
      </c>
      <c r="G67" s="93">
        <v>900</v>
      </c>
      <c r="H67" s="275">
        <v>0</v>
      </c>
      <c r="I67" s="326">
        <f>MAX(TblRaces[[#This Row],[OffensePwr]:[DefensePwr]])*2</f>
        <v>8</v>
      </c>
      <c r="J67" s="328"/>
      <c r="K67" s="329"/>
      <c r="L67" s="329"/>
      <c r="M67" s="329"/>
      <c r="N67" s="329"/>
      <c r="O67" s="329"/>
      <c r="P67" s="329"/>
      <c r="Q67" s="329"/>
      <c r="R67" s="329"/>
      <c r="S67" s="329"/>
      <c r="T67" s="329"/>
      <c r="U67" s="329"/>
      <c r="V67" s="329"/>
      <c r="W67" s="93"/>
      <c r="X67" s="330"/>
      <c r="Y67" s="93"/>
      <c r="Z67" s="93"/>
      <c r="AA67" s="331"/>
    </row>
    <row r="68" spans="1:27" s="335" customFormat="1" ht="19.5" customHeight="1" x14ac:dyDescent="0.2">
      <c r="A68" s="335" t="s">
        <v>104</v>
      </c>
      <c r="B68" s="345" t="s">
        <v>30</v>
      </c>
      <c r="C68" s="335" t="s">
        <v>62</v>
      </c>
      <c r="D68" s="333" t="s">
        <v>159</v>
      </c>
      <c r="E68" s="334">
        <v>6</v>
      </c>
      <c r="F68" s="334">
        <v>2</v>
      </c>
      <c r="G68" s="334">
        <v>1065</v>
      </c>
      <c r="H68" s="335">
        <v>0</v>
      </c>
      <c r="I68" s="345">
        <f>MAX(TblRaces[[#This Row],[OffensePwr]:[DefensePwr]])*2</f>
        <v>12</v>
      </c>
      <c r="J68" s="336"/>
      <c r="K68" s="337"/>
      <c r="L68" s="337"/>
      <c r="M68" s="337"/>
      <c r="N68" s="337"/>
      <c r="O68" s="337"/>
      <c r="P68" s="337"/>
      <c r="Q68" s="337"/>
      <c r="R68" s="337"/>
      <c r="S68" s="337"/>
      <c r="T68" s="337"/>
      <c r="U68" s="337"/>
      <c r="V68" s="337"/>
      <c r="W68" s="334"/>
      <c r="X68" s="338"/>
      <c r="Y68" s="334"/>
      <c r="Z68" s="334"/>
      <c r="AA68" s="339"/>
    </row>
    <row r="69" spans="1:27" s="332" customFormat="1" ht="19.5" customHeight="1" x14ac:dyDescent="0.2">
      <c r="A69" s="332" t="s">
        <v>328</v>
      </c>
      <c r="B69" s="340" t="s">
        <v>30</v>
      </c>
      <c r="C69" s="332" t="s">
        <v>245</v>
      </c>
      <c r="D69" s="341" t="s">
        <v>329</v>
      </c>
      <c r="E69" s="342">
        <v>3</v>
      </c>
      <c r="F69" s="342"/>
      <c r="G69" s="342">
        <v>300</v>
      </c>
      <c r="H69" s="332">
        <v>0</v>
      </c>
      <c r="I69" s="340">
        <v>5</v>
      </c>
      <c r="J69" s="343"/>
      <c r="K69" s="344"/>
      <c r="L69" s="344"/>
      <c r="M69" s="344"/>
      <c r="N69" s="344">
        <v>-0.1</v>
      </c>
      <c r="O69" s="344"/>
      <c r="P69" s="344"/>
      <c r="Q69" s="344"/>
      <c r="R69" s="344">
        <v>-0.5</v>
      </c>
      <c r="S69" s="344">
        <v>0.05</v>
      </c>
      <c r="T69" s="344"/>
      <c r="U69" s="344"/>
      <c r="V69" s="344"/>
      <c r="W69" s="93"/>
      <c r="X69" s="330"/>
      <c r="Y69" s="342"/>
      <c r="Z69" s="342"/>
      <c r="AA69" s="331"/>
    </row>
    <row r="70" spans="1:27" ht="19.5" customHeight="1" x14ac:dyDescent="0.2">
      <c r="A70" s="275" t="s">
        <v>328</v>
      </c>
      <c r="B70" s="326" t="s">
        <v>30</v>
      </c>
      <c r="C70" s="275" t="s">
        <v>245</v>
      </c>
      <c r="D70" s="327" t="s">
        <v>330</v>
      </c>
      <c r="F70" s="93">
        <v>3</v>
      </c>
      <c r="G70" s="93">
        <v>350</v>
      </c>
      <c r="H70" s="275">
        <v>25</v>
      </c>
      <c r="I70" s="326">
        <v>5</v>
      </c>
      <c r="J70" s="328"/>
      <c r="K70" s="329"/>
      <c r="L70" s="329"/>
      <c r="M70" s="329"/>
      <c r="N70" s="329"/>
      <c r="O70" s="329"/>
      <c r="P70" s="329"/>
      <c r="Q70" s="329"/>
      <c r="R70" s="329"/>
      <c r="S70" s="329"/>
      <c r="T70" s="329"/>
      <c r="U70" s="329"/>
      <c r="V70" s="329"/>
      <c r="W70" s="93"/>
      <c r="X70" s="330"/>
      <c r="Y70" s="93"/>
      <c r="Z70" s="93"/>
      <c r="AA70" s="331"/>
    </row>
    <row r="71" spans="1:27" ht="19.5" customHeight="1" x14ac:dyDescent="0.2">
      <c r="A71" s="275" t="s">
        <v>328</v>
      </c>
      <c r="B71" s="326" t="s">
        <v>30</v>
      </c>
      <c r="C71" s="275" t="s">
        <v>245</v>
      </c>
      <c r="D71" s="327" t="s">
        <v>1101</v>
      </c>
      <c r="E71" s="93">
        <v>3</v>
      </c>
      <c r="F71" s="93">
        <v>3</v>
      </c>
      <c r="G71" s="93">
        <v>965</v>
      </c>
      <c r="H71" s="275">
        <v>100</v>
      </c>
      <c r="I71" s="326">
        <f>MAX(TblRaces[[#This Row],[OffensePwr]:[DefensePwr]])*2</f>
        <v>6</v>
      </c>
      <c r="J71" s="328"/>
      <c r="K71" s="329"/>
      <c r="L71" s="329"/>
      <c r="M71" s="329"/>
      <c r="N71" s="329"/>
      <c r="O71" s="329"/>
      <c r="P71" s="329"/>
      <c r="Q71" s="329"/>
      <c r="R71" s="329"/>
      <c r="S71" s="329"/>
      <c r="T71" s="329"/>
      <c r="U71" s="329"/>
      <c r="V71" s="329"/>
      <c r="W71" s="93"/>
      <c r="X71" s="330"/>
      <c r="Y71" s="93"/>
      <c r="Z71" s="93"/>
      <c r="AA71" s="331"/>
    </row>
    <row r="72" spans="1:27" s="335" customFormat="1" ht="19.5" customHeight="1" x14ac:dyDescent="0.2">
      <c r="A72" s="335" t="s">
        <v>328</v>
      </c>
      <c r="B72" s="345" t="s">
        <v>30</v>
      </c>
      <c r="C72" s="335" t="s">
        <v>245</v>
      </c>
      <c r="D72" s="333" t="s">
        <v>332</v>
      </c>
      <c r="E72" s="334">
        <v>4</v>
      </c>
      <c r="F72" s="334">
        <v>2</v>
      </c>
      <c r="G72" s="334">
        <v>1140</v>
      </c>
      <c r="H72" s="335">
        <v>0</v>
      </c>
      <c r="I72" s="345">
        <f>MAX(TblRaces[[#This Row],[OffensePwr]:[DefensePwr]])*2</f>
        <v>8</v>
      </c>
      <c r="J72" s="336"/>
      <c r="K72" s="337"/>
      <c r="L72" s="337"/>
      <c r="M72" s="337"/>
      <c r="N72" s="337"/>
      <c r="O72" s="337"/>
      <c r="P72" s="337"/>
      <c r="Q72" s="337"/>
      <c r="R72" s="337"/>
      <c r="S72" s="337"/>
      <c r="T72" s="337"/>
      <c r="U72" s="337"/>
      <c r="V72" s="337"/>
      <c r="W72" s="334"/>
      <c r="X72" s="338"/>
      <c r="Y72" s="334"/>
      <c r="Z72" s="334"/>
      <c r="AA72" s="339"/>
    </row>
    <row r="73" spans="1:27" ht="19.5" customHeight="1" x14ac:dyDescent="0.2">
      <c r="A73" s="332" t="s">
        <v>342</v>
      </c>
      <c r="B73" s="340" t="s">
        <v>98</v>
      </c>
      <c r="C73" s="332" t="s">
        <v>242</v>
      </c>
      <c r="D73" s="341" t="s">
        <v>336</v>
      </c>
      <c r="E73" s="342">
        <v>3</v>
      </c>
      <c r="F73" s="342"/>
      <c r="G73" s="342">
        <v>300</v>
      </c>
      <c r="H73" s="332">
        <v>0</v>
      </c>
      <c r="I73" s="340">
        <v>5</v>
      </c>
      <c r="J73" s="343">
        <v>0.05</v>
      </c>
      <c r="K73" s="344"/>
      <c r="L73" s="344"/>
      <c r="M73" s="344"/>
      <c r="N73" s="344"/>
      <c r="O73" s="344"/>
      <c r="P73" s="344"/>
      <c r="Q73" s="344">
        <v>0.15</v>
      </c>
      <c r="R73" s="344"/>
      <c r="S73" s="344"/>
      <c r="T73" s="344"/>
      <c r="U73" s="344"/>
      <c r="V73" s="344"/>
      <c r="W73" s="93"/>
      <c r="X73" s="330"/>
      <c r="Y73" s="408">
        <v>-0.1</v>
      </c>
      <c r="Z73" s="93"/>
      <c r="AA73" s="349"/>
    </row>
    <row r="74" spans="1:27" ht="19.5" customHeight="1" x14ac:dyDescent="0.2">
      <c r="A74" s="275" t="s">
        <v>342</v>
      </c>
      <c r="B74" s="326" t="s">
        <v>98</v>
      </c>
      <c r="C74" s="275" t="s">
        <v>242</v>
      </c>
      <c r="D74" s="327" t="s">
        <v>337</v>
      </c>
      <c r="F74" s="93">
        <v>3</v>
      </c>
      <c r="G74" s="93">
        <v>300</v>
      </c>
      <c r="H74" s="275">
        <v>0</v>
      </c>
      <c r="I74" s="326">
        <v>5</v>
      </c>
      <c r="J74" s="328"/>
      <c r="K74" s="329"/>
      <c r="L74" s="329"/>
      <c r="M74" s="329"/>
      <c r="N74" s="329"/>
      <c r="O74" s="329"/>
      <c r="P74" s="329"/>
      <c r="Q74" s="329"/>
      <c r="R74" s="329"/>
      <c r="S74" s="329"/>
      <c r="T74" s="329"/>
      <c r="U74" s="329"/>
      <c r="V74" s="329"/>
      <c r="W74" s="93"/>
      <c r="X74" s="330"/>
      <c r="Y74" s="93"/>
      <c r="Z74" s="93"/>
      <c r="AA74" s="331"/>
    </row>
    <row r="75" spans="1:27" ht="19.5" customHeight="1" x14ac:dyDescent="0.2">
      <c r="A75" s="275" t="s">
        <v>342</v>
      </c>
      <c r="B75" s="326" t="s">
        <v>98</v>
      </c>
      <c r="C75" s="275" t="s">
        <v>242</v>
      </c>
      <c r="D75" s="327" t="s">
        <v>338</v>
      </c>
      <c r="E75" s="93">
        <v>0</v>
      </c>
      <c r="F75" s="93">
        <v>4.5</v>
      </c>
      <c r="G75" s="93">
        <v>925</v>
      </c>
      <c r="H75" s="275">
        <v>0</v>
      </c>
      <c r="I75" s="326">
        <f>MAX(TblRaces[[#This Row],[OffensePwr]:[DefensePwr]])*2</f>
        <v>9</v>
      </c>
      <c r="J75" s="328"/>
      <c r="K75" s="329"/>
      <c r="L75" s="329"/>
      <c r="M75" s="329"/>
      <c r="N75" s="329"/>
      <c r="O75" s="329"/>
      <c r="P75" s="329"/>
      <c r="Q75" s="329"/>
      <c r="R75" s="329"/>
      <c r="S75" s="329"/>
      <c r="T75" s="329"/>
      <c r="U75" s="329"/>
      <c r="V75" s="329"/>
      <c r="W75" s="93"/>
      <c r="X75" s="330"/>
      <c r="Y75" s="93"/>
      <c r="Z75" s="93"/>
      <c r="AA75" s="331"/>
    </row>
    <row r="76" spans="1:27" ht="19.5" customHeight="1" x14ac:dyDescent="0.2">
      <c r="A76" s="335" t="s">
        <v>342</v>
      </c>
      <c r="B76" s="345" t="s">
        <v>98</v>
      </c>
      <c r="C76" s="335" t="s">
        <v>242</v>
      </c>
      <c r="D76" s="333" t="s">
        <v>339</v>
      </c>
      <c r="E76" s="334">
        <v>5</v>
      </c>
      <c r="F76" s="334">
        <v>3</v>
      </c>
      <c r="G76" s="334">
        <v>925</v>
      </c>
      <c r="H76" s="335">
        <v>0</v>
      </c>
      <c r="I76" s="345">
        <f>MAX(TblRaces[[#This Row],[OffensePwr]:[DefensePwr]])*2</f>
        <v>10</v>
      </c>
      <c r="J76" s="336"/>
      <c r="K76" s="337"/>
      <c r="L76" s="337"/>
      <c r="M76" s="337"/>
      <c r="N76" s="337"/>
      <c r="O76" s="337"/>
      <c r="P76" s="337"/>
      <c r="Q76" s="337"/>
      <c r="R76" s="337"/>
      <c r="S76" s="337"/>
      <c r="T76" s="337"/>
      <c r="U76" s="337"/>
      <c r="V76" s="337"/>
      <c r="W76" s="334"/>
      <c r="X76" s="338"/>
      <c r="Y76" s="334"/>
      <c r="Z76" s="93"/>
      <c r="AA76" s="339"/>
    </row>
    <row r="77" spans="1:27" ht="19.5" customHeight="1" x14ac:dyDescent="0.2">
      <c r="A77" s="332" t="s">
        <v>143</v>
      </c>
      <c r="B77" s="340" t="s">
        <v>30</v>
      </c>
      <c r="C77" s="346" t="s">
        <v>58</v>
      </c>
      <c r="D77" s="332" t="s">
        <v>355</v>
      </c>
      <c r="E77" s="342">
        <v>4</v>
      </c>
      <c r="F77" s="342"/>
      <c r="G77" s="342">
        <v>385</v>
      </c>
      <c r="H77" s="332">
        <v>30</v>
      </c>
      <c r="I77" s="340">
        <v>5</v>
      </c>
      <c r="J77" s="343"/>
      <c r="K77" s="344"/>
      <c r="L77" s="344"/>
      <c r="M77" s="344"/>
      <c r="N77" s="344">
        <v>0.5</v>
      </c>
      <c r="O77" s="344"/>
      <c r="P77" s="344"/>
      <c r="Q77" s="344"/>
      <c r="R77" s="344"/>
      <c r="S77" s="344"/>
      <c r="T77" s="344"/>
      <c r="U77" s="344"/>
      <c r="V77" s="344"/>
      <c r="W77" s="93"/>
      <c r="X77" s="330"/>
      <c r="Y77" s="93"/>
      <c r="Z77" s="342"/>
      <c r="AA77" s="331"/>
    </row>
    <row r="78" spans="1:27" ht="19.5" customHeight="1" x14ac:dyDescent="0.2">
      <c r="A78" s="275" t="s">
        <v>143</v>
      </c>
      <c r="B78" s="326" t="s">
        <v>30</v>
      </c>
      <c r="C78" s="347" t="s">
        <v>58</v>
      </c>
      <c r="D78" s="275" t="s">
        <v>324</v>
      </c>
      <c r="F78" s="93">
        <v>3</v>
      </c>
      <c r="G78" s="93">
        <v>300</v>
      </c>
      <c r="H78" s="275">
        <v>0</v>
      </c>
      <c r="I78" s="326">
        <v>5</v>
      </c>
      <c r="J78" s="328"/>
      <c r="K78" s="329"/>
      <c r="L78" s="329"/>
      <c r="M78" s="329"/>
      <c r="N78" s="329"/>
      <c r="O78" s="329"/>
      <c r="P78" s="329"/>
      <c r="Q78" s="329"/>
      <c r="R78" s="329"/>
      <c r="S78" s="329"/>
      <c r="T78" s="329"/>
      <c r="U78" s="329"/>
      <c r="V78" s="329"/>
      <c r="W78" s="93"/>
      <c r="X78" s="330"/>
      <c r="Y78" s="93"/>
      <c r="Z78" s="93"/>
      <c r="AA78" s="331"/>
    </row>
    <row r="79" spans="1:27" ht="19.5" customHeight="1" x14ac:dyDescent="0.2">
      <c r="A79" s="275" t="s">
        <v>143</v>
      </c>
      <c r="B79" s="326" t="s">
        <v>30</v>
      </c>
      <c r="C79" s="347" t="s">
        <v>58</v>
      </c>
      <c r="D79" s="275" t="s">
        <v>1103</v>
      </c>
      <c r="E79" s="93">
        <v>0</v>
      </c>
      <c r="F79" s="93">
        <v>5</v>
      </c>
      <c r="G79" s="93">
        <v>965</v>
      </c>
      <c r="H79" s="275">
        <v>0</v>
      </c>
      <c r="I79" s="326">
        <f>MAX(TblRaces[[#This Row],[OffensePwr]:[DefensePwr]])*2</f>
        <v>10</v>
      </c>
      <c r="J79" s="328"/>
      <c r="K79" s="329"/>
      <c r="L79" s="329"/>
      <c r="M79" s="329"/>
      <c r="N79" s="329"/>
      <c r="O79" s="329"/>
      <c r="P79" s="329"/>
      <c r="Q79" s="329"/>
      <c r="R79" s="329"/>
      <c r="S79" s="329"/>
      <c r="T79" s="329"/>
      <c r="U79" s="329"/>
      <c r="V79" s="329"/>
      <c r="W79" s="93"/>
      <c r="X79" s="330"/>
      <c r="Y79" s="93"/>
      <c r="Z79" s="93"/>
      <c r="AA79" s="331"/>
    </row>
    <row r="80" spans="1:27" ht="19.5" customHeight="1" x14ac:dyDescent="0.2">
      <c r="A80" s="335" t="s">
        <v>143</v>
      </c>
      <c r="B80" s="345" t="s">
        <v>30</v>
      </c>
      <c r="C80" s="348" t="s">
        <v>58</v>
      </c>
      <c r="D80" s="335" t="s">
        <v>356</v>
      </c>
      <c r="E80" s="334">
        <v>4</v>
      </c>
      <c r="F80" s="334">
        <v>3</v>
      </c>
      <c r="G80" s="334">
        <v>1150</v>
      </c>
      <c r="H80" s="335">
        <v>120</v>
      </c>
      <c r="I80" s="345">
        <f>MAX(TblRaces[[#This Row],[OffensePwr]:[DefensePwr]])*2</f>
        <v>8</v>
      </c>
      <c r="J80" s="336"/>
      <c r="K80" s="337"/>
      <c r="L80" s="337"/>
      <c r="M80" s="337"/>
      <c r="N80" s="337"/>
      <c r="O80" s="337"/>
      <c r="P80" s="337"/>
      <c r="Q80" s="337"/>
      <c r="R80" s="337"/>
      <c r="S80" s="337"/>
      <c r="T80" s="337"/>
      <c r="U80" s="337"/>
      <c r="V80" s="337"/>
      <c r="W80" s="334"/>
      <c r="X80" s="338"/>
      <c r="Y80" s="334"/>
      <c r="Z80" s="334"/>
      <c r="AA80" s="339"/>
    </row>
    <row r="81" spans="1:27" ht="19.5" customHeight="1" x14ac:dyDescent="0.2">
      <c r="A81" s="332" t="s">
        <v>1116</v>
      </c>
      <c r="B81" s="340" t="s">
        <v>30</v>
      </c>
      <c r="C81" s="346" t="s">
        <v>60</v>
      </c>
      <c r="D81" s="332" t="s">
        <v>1117</v>
      </c>
      <c r="E81" s="342">
        <v>3</v>
      </c>
      <c r="F81" s="342">
        <v>0</v>
      </c>
      <c r="G81" s="342">
        <v>275</v>
      </c>
      <c r="H81" s="332">
        <v>15</v>
      </c>
      <c r="I81" s="340">
        <v>5</v>
      </c>
      <c r="J81" s="343">
        <v>7.4999999999999997E-2</v>
      </c>
      <c r="K81" s="344"/>
      <c r="L81" s="344"/>
      <c r="M81" s="344"/>
      <c r="N81" s="344"/>
      <c r="O81" s="344"/>
      <c r="P81" s="344"/>
      <c r="Q81" s="344"/>
      <c r="R81" s="344">
        <v>-0.75</v>
      </c>
      <c r="S81" s="344"/>
      <c r="T81" s="344"/>
      <c r="U81" s="344"/>
      <c r="V81" s="344"/>
      <c r="W81" s="93"/>
      <c r="X81" s="330"/>
      <c r="Y81" s="93"/>
      <c r="Z81" s="329"/>
      <c r="AA81" s="349"/>
    </row>
    <row r="82" spans="1:27" ht="19.5" customHeight="1" x14ac:dyDescent="0.2">
      <c r="A82" s="275" t="s">
        <v>1116</v>
      </c>
      <c r="B82" s="326" t="s">
        <v>30</v>
      </c>
      <c r="C82" s="347" t="s">
        <v>60</v>
      </c>
      <c r="D82" s="275" t="s">
        <v>1118</v>
      </c>
      <c r="E82" s="93">
        <v>0</v>
      </c>
      <c r="F82" s="93">
        <v>3</v>
      </c>
      <c r="G82" s="93">
        <v>275</v>
      </c>
      <c r="H82" s="275">
        <v>0</v>
      </c>
      <c r="I82" s="326">
        <v>5</v>
      </c>
      <c r="J82" s="328"/>
      <c r="K82" s="329"/>
      <c r="L82" s="329"/>
      <c r="M82" s="329"/>
      <c r="N82" s="329"/>
      <c r="O82" s="329"/>
      <c r="P82" s="329"/>
      <c r="Q82" s="329"/>
      <c r="R82" s="329"/>
      <c r="S82" s="329"/>
      <c r="T82" s="329"/>
      <c r="U82" s="329"/>
      <c r="V82" s="329"/>
      <c r="W82" s="93"/>
      <c r="X82" s="330"/>
      <c r="Y82" s="93"/>
      <c r="Z82" s="93"/>
      <c r="AA82" s="331"/>
    </row>
    <row r="83" spans="1:27" ht="19.5" customHeight="1" x14ac:dyDescent="0.2">
      <c r="A83" s="275" t="s">
        <v>1116</v>
      </c>
      <c r="B83" s="326" t="s">
        <v>30</v>
      </c>
      <c r="C83" s="347" t="s">
        <v>60</v>
      </c>
      <c r="D83" s="275" t="s">
        <v>1119</v>
      </c>
      <c r="E83" s="93">
        <v>2</v>
      </c>
      <c r="F83" s="93">
        <v>5</v>
      </c>
      <c r="G83" s="93">
        <v>1000</v>
      </c>
      <c r="H83" s="275">
        <v>0</v>
      </c>
      <c r="I83" s="326">
        <v>10</v>
      </c>
      <c r="J83" s="328"/>
      <c r="K83" s="329"/>
      <c r="L83" s="329"/>
      <c r="M83" s="329"/>
      <c r="N83" s="329"/>
      <c r="O83" s="329"/>
      <c r="P83" s="329"/>
      <c r="Q83" s="329"/>
      <c r="R83" s="329"/>
      <c r="S83" s="329"/>
      <c r="T83" s="329"/>
      <c r="U83" s="329"/>
      <c r="V83" s="329"/>
      <c r="W83" s="93"/>
      <c r="X83" s="330"/>
      <c r="Y83" s="93"/>
      <c r="Z83" s="93"/>
      <c r="AA83" s="331"/>
    </row>
    <row r="84" spans="1:27" ht="19.5" customHeight="1" x14ac:dyDescent="0.2">
      <c r="A84" s="335" t="s">
        <v>1116</v>
      </c>
      <c r="B84" s="345" t="s">
        <v>30</v>
      </c>
      <c r="C84" s="348" t="s">
        <v>60</v>
      </c>
      <c r="D84" s="335" t="s">
        <v>1120</v>
      </c>
      <c r="E84" s="334">
        <v>4</v>
      </c>
      <c r="F84" s="334">
        <v>3</v>
      </c>
      <c r="G84" s="334">
        <v>1000</v>
      </c>
      <c r="H84" s="335">
        <v>0</v>
      </c>
      <c r="I84" s="345">
        <v>8</v>
      </c>
      <c r="J84" s="336"/>
      <c r="K84" s="337"/>
      <c r="L84" s="337"/>
      <c r="M84" s="337"/>
      <c r="N84" s="337"/>
      <c r="O84" s="337"/>
      <c r="P84" s="337"/>
      <c r="Q84" s="337"/>
      <c r="R84" s="337"/>
      <c r="S84" s="337"/>
      <c r="T84" s="337"/>
      <c r="U84" s="337"/>
      <c r="V84" s="337"/>
      <c r="W84" s="334"/>
      <c r="X84" s="338"/>
      <c r="Y84" s="334"/>
      <c r="Z84" s="334"/>
      <c r="AA84" s="339"/>
    </row>
    <row r="85" spans="1:27" ht="19.5" customHeight="1" x14ac:dyDescent="0.2">
      <c r="A85" s="275" t="s">
        <v>1132</v>
      </c>
      <c r="B85" s="326" t="s">
        <v>30</v>
      </c>
      <c r="C85" s="347" t="s">
        <v>242</v>
      </c>
      <c r="D85" s="275" t="s">
        <v>1140</v>
      </c>
      <c r="E85" s="93">
        <v>3</v>
      </c>
      <c r="F85" s="93">
        <v>0</v>
      </c>
      <c r="G85" s="93">
        <v>280</v>
      </c>
      <c r="H85" s="275">
        <v>20</v>
      </c>
      <c r="I85" s="326">
        <v>5</v>
      </c>
      <c r="J85" s="328"/>
      <c r="K85" s="329"/>
      <c r="L85" s="329"/>
      <c r="M85" s="329"/>
      <c r="N85" s="329"/>
      <c r="O85" s="329"/>
      <c r="P85" s="329"/>
      <c r="Q85" s="329"/>
      <c r="R85" s="329"/>
      <c r="S85" s="329"/>
      <c r="T85" s="329">
        <v>0.05</v>
      </c>
      <c r="U85" s="329"/>
      <c r="V85" s="329"/>
      <c r="W85" s="93"/>
      <c r="X85" s="330"/>
      <c r="Y85" s="93"/>
      <c r="Z85" s="331"/>
      <c r="AA85" s="331"/>
    </row>
    <row r="86" spans="1:27" ht="19.5" customHeight="1" x14ac:dyDescent="0.2">
      <c r="A86" s="275" t="s">
        <v>1132</v>
      </c>
      <c r="B86" s="326" t="s">
        <v>30</v>
      </c>
      <c r="C86" s="347" t="s">
        <v>242</v>
      </c>
      <c r="D86" s="275" t="s">
        <v>1134</v>
      </c>
      <c r="E86" s="93">
        <v>0</v>
      </c>
      <c r="F86" s="93">
        <v>3</v>
      </c>
      <c r="G86" s="93">
        <v>300</v>
      </c>
      <c r="H86" s="275">
        <v>10</v>
      </c>
      <c r="I86" s="326">
        <v>5</v>
      </c>
      <c r="J86" s="328"/>
      <c r="K86" s="329"/>
      <c r="L86" s="329"/>
      <c r="M86" s="329"/>
      <c r="N86" s="329"/>
      <c r="O86" s="329"/>
      <c r="P86" s="329"/>
      <c r="Q86" s="329"/>
      <c r="R86" s="329"/>
      <c r="S86" s="329"/>
      <c r="T86" s="329"/>
      <c r="U86" s="329"/>
      <c r="V86" s="329"/>
      <c r="W86" s="93"/>
      <c r="X86" s="330"/>
      <c r="Y86" s="93"/>
      <c r="Z86" s="331"/>
      <c r="AA86" s="331"/>
    </row>
    <row r="87" spans="1:27" ht="19.5" customHeight="1" x14ac:dyDescent="0.2">
      <c r="A87" s="275" t="s">
        <v>1132</v>
      </c>
      <c r="B87" s="326" t="s">
        <v>30</v>
      </c>
      <c r="C87" s="347" t="s">
        <v>242</v>
      </c>
      <c r="D87" s="275" t="s">
        <v>1133</v>
      </c>
      <c r="E87" s="93">
        <v>0</v>
      </c>
      <c r="F87" s="93">
        <v>5</v>
      </c>
      <c r="G87" s="93">
        <v>1050</v>
      </c>
      <c r="H87" s="275">
        <v>10</v>
      </c>
      <c r="I87" s="326">
        <v>10</v>
      </c>
      <c r="J87" s="328"/>
      <c r="K87" s="329"/>
      <c r="L87" s="329"/>
      <c r="M87" s="329"/>
      <c r="N87" s="329"/>
      <c r="O87" s="329"/>
      <c r="P87" s="329"/>
      <c r="Q87" s="329"/>
      <c r="R87" s="329"/>
      <c r="S87" s="329"/>
      <c r="T87" s="329"/>
      <c r="U87" s="329"/>
      <c r="V87" s="329"/>
      <c r="W87" s="93"/>
      <c r="X87" s="330"/>
      <c r="Y87" s="93"/>
      <c r="Z87" s="331"/>
      <c r="AA87" s="331"/>
    </row>
    <row r="88" spans="1:27" ht="19.5" customHeight="1" x14ac:dyDescent="0.2">
      <c r="A88" s="335" t="s">
        <v>1132</v>
      </c>
      <c r="B88" s="345" t="s">
        <v>30</v>
      </c>
      <c r="C88" s="348" t="s">
        <v>242</v>
      </c>
      <c r="D88" s="335" t="s">
        <v>1135</v>
      </c>
      <c r="E88" s="334">
        <v>5</v>
      </c>
      <c r="F88" s="334">
        <v>2</v>
      </c>
      <c r="G88" s="334">
        <v>875</v>
      </c>
      <c r="H88" s="335">
        <v>30</v>
      </c>
      <c r="I88" s="345">
        <v>10</v>
      </c>
      <c r="J88" s="336"/>
      <c r="K88" s="337"/>
      <c r="L88" s="337"/>
      <c r="M88" s="337"/>
      <c r="N88" s="337"/>
      <c r="O88" s="337"/>
      <c r="P88" s="337"/>
      <c r="Q88" s="337"/>
      <c r="R88" s="337"/>
      <c r="S88" s="337"/>
      <c r="T88" s="337"/>
      <c r="U88" s="337"/>
      <c r="V88" s="337"/>
      <c r="W88" s="334"/>
      <c r="X88" s="338"/>
      <c r="Y88" s="334"/>
      <c r="Z88" s="339"/>
      <c r="AA88" s="339"/>
    </row>
    <row r="89" spans="1:27" ht="19.5" customHeight="1" x14ac:dyDescent="0.2">
      <c r="A89" s="275" t="s">
        <v>498</v>
      </c>
      <c r="B89" s="326" t="s">
        <v>30</v>
      </c>
      <c r="C89" s="347" t="s">
        <v>60</v>
      </c>
      <c r="D89" s="275" t="s">
        <v>420</v>
      </c>
      <c r="E89" s="93">
        <v>3</v>
      </c>
      <c r="G89" s="93">
        <v>300</v>
      </c>
      <c r="H89" s="275">
        <v>0</v>
      </c>
      <c r="I89" s="326">
        <v>5</v>
      </c>
      <c r="J89" s="328"/>
      <c r="K89" s="329"/>
      <c r="L89" s="329"/>
      <c r="M89" s="329"/>
      <c r="N89" s="329"/>
      <c r="O89" s="329">
        <v>0.1</v>
      </c>
      <c r="P89" s="329"/>
      <c r="Q89" s="329"/>
      <c r="R89" s="329">
        <v>-0.2</v>
      </c>
      <c r="S89" s="329"/>
      <c r="T89" s="329"/>
      <c r="U89" s="329"/>
      <c r="V89" s="329"/>
      <c r="W89" s="93"/>
      <c r="X89" s="330"/>
      <c r="Y89" s="93"/>
      <c r="Z89" s="331"/>
      <c r="AA89" s="331"/>
    </row>
    <row r="90" spans="1:27" ht="19.5" customHeight="1" x14ac:dyDescent="0.2">
      <c r="A90" s="275" t="s">
        <v>498</v>
      </c>
      <c r="B90" s="326" t="s">
        <v>30</v>
      </c>
      <c r="C90" s="347" t="s">
        <v>60</v>
      </c>
      <c r="D90" s="275" t="s">
        <v>421</v>
      </c>
      <c r="F90" s="93">
        <v>3</v>
      </c>
      <c r="G90" s="93">
        <v>325</v>
      </c>
      <c r="H90" s="275">
        <v>8</v>
      </c>
      <c r="I90" s="326">
        <v>5</v>
      </c>
      <c r="J90" s="328"/>
      <c r="K90" s="329"/>
      <c r="L90" s="329"/>
      <c r="M90" s="329"/>
      <c r="N90" s="329"/>
      <c r="O90" s="329"/>
      <c r="P90" s="329"/>
      <c r="Q90" s="329"/>
      <c r="R90" s="329"/>
      <c r="S90" s="329"/>
      <c r="T90" s="329"/>
      <c r="U90" s="329"/>
      <c r="V90" s="329"/>
      <c r="W90" s="93"/>
      <c r="X90" s="330"/>
      <c r="Y90" s="93"/>
      <c r="Z90" s="331"/>
      <c r="AA90" s="331"/>
    </row>
    <row r="91" spans="1:27" ht="19.5" customHeight="1" x14ac:dyDescent="0.2">
      <c r="A91" s="275" t="s">
        <v>498</v>
      </c>
      <c r="B91" s="326" t="s">
        <v>30</v>
      </c>
      <c r="C91" s="347" t="s">
        <v>60</v>
      </c>
      <c r="D91" s="275" t="s">
        <v>422</v>
      </c>
      <c r="E91" s="93">
        <v>0</v>
      </c>
      <c r="F91" s="93">
        <v>2</v>
      </c>
      <c r="G91" s="93">
        <v>975</v>
      </c>
      <c r="H91" s="275">
        <v>25</v>
      </c>
      <c r="I91" s="326">
        <v>10</v>
      </c>
      <c r="J91" s="328"/>
      <c r="K91" s="329"/>
      <c r="L91" s="329"/>
      <c r="M91" s="329"/>
      <c r="N91" s="329"/>
      <c r="O91" s="329"/>
      <c r="P91" s="329"/>
      <c r="Q91" s="329"/>
      <c r="R91" s="329"/>
      <c r="S91" s="329"/>
      <c r="T91" s="329"/>
      <c r="U91" s="329"/>
      <c r="V91" s="329"/>
      <c r="W91" s="93"/>
      <c r="X91" s="330"/>
      <c r="Y91" s="93"/>
      <c r="Z91" s="331"/>
      <c r="AA91" s="331"/>
    </row>
    <row r="92" spans="1:27" ht="19.5" customHeight="1" x14ac:dyDescent="0.2">
      <c r="A92" s="275" t="s">
        <v>498</v>
      </c>
      <c r="B92" s="326" t="s">
        <v>30</v>
      </c>
      <c r="C92" s="347" t="s">
        <v>60</v>
      </c>
      <c r="D92" s="275" t="s">
        <v>423</v>
      </c>
      <c r="E92" s="93">
        <v>5</v>
      </c>
      <c r="F92" s="93">
        <v>2</v>
      </c>
      <c r="G92" s="93">
        <v>970</v>
      </c>
      <c r="H92" s="275">
        <v>0</v>
      </c>
      <c r="I92" s="326">
        <v>12</v>
      </c>
      <c r="J92" s="328"/>
      <c r="K92" s="329"/>
      <c r="L92" s="329"/>
      <c r="M92" s="329"/>
      <c r="N92" s="329"/>
      <c r="O92" s="329"/>
      <c r="P92" s="329"/>
      <c r="Q92" s="329"/>
      <c r="R92" s="329"/>
      <c r="S92" s="329"/>
      <c r="T92" s="329"/>
      <c r="U92" s="329"/>
      <c r="V92" s="329"/>
      <c r="W92" s="93"/>
      <c r="X92" s="330"/>
      <c r="Y92" s="93"/>
      <c r="Z92" s="331"/>
      <c r="AA92" s="331"/>
    </row>
    <row r="93" spans="1:27" ht="19.5" customHeight="1" x14ac:dyDescent="0.2">
      <c r="A93" s="350" t="s">
        <v>764</v>
      </c>
      <c r="B93" s="326" t="s">
        <v>764</v>
      </c>
      <c r="C93" s="347" t="s">
        <v>764</v>
      </c>
      <c r="D93" s="62" t="s">
        <v>73</v>
      </c>
      <c r="G93" s="93">
        <v>500</v>
      </c>
      <c r="I93" s="326"/>
      <c r="J93" s="328"/>
      <c r="K93" s="329"/>
      <c r="L93" s="329"/>
      <c r="M93" s="329"/>
      <c r="N93" s="329"/>
      <c r="O93" s="329"/>
      <c r="P93" s="329"/>
      <c r="Q93" s="329"/>
      <c r="R93" s="329"/>
      <c r="S93" s="329"/>
      <c r="T93" s="329"/>
      <c r="U93" s="329"/>
      <c r="V93" s="329"/>
      <c r="W93" s="93"/>
      <c r="X93" s="351"/>
      <c r="Y93" s="93"/>
      <c r="Z93" s="93"/>
      <c r="AA93" s="331"/>
    </row>
    <row r="94" spans="1:27" ht="19.5" customHeight="1" x14ac:dyDescent="0.2">
      <c r="A94" s="350" t="s">
        <v>764</v>
      </c>
      <c r="B94" s="326" t="s">
        <v>764</v>
      </c>
      <c r="C94" s="347" t="s">
        <v>764</v>
      </c>
      <c r="D94" s="62" t="s">
        <v>1083</v>
      </c>
      <c r="G94" s="93">
        <v>1000</v>
      </c>
      <c r="H94" s="93" t="s">
        <v>1084</v>
      </c>
      <c r="I94" s="326"/>
      <c r="J94" s="328"/>
      <c r="K94" s="329"/>
      <c r="L94" s="329"/>
      <c r="M94" s="329"/>
      <c r="N94" s="329"/>
      <c r="O94" s="329"/>
      <c r="P94" s="329"/>
      <c r="Q94" s="329"/>
      <c r="R94" s="329"/>
      <c r="S94" s="329"/>
      <c r="T94" s="329"/>
      <c r="U94" s="329"/>
      <c r="V94" s="329"/>
      <c r="W94" s="93"/>
      <c r="X94" s="351"/>
      <c r="Y94" s="93"/>
      <c r="Z94" s="331"/>
      <c r="AA94" s="331"/>
    </row>
    <row r="95" spans="1:27" ht="19.5" customHeight="1" x14ac:dyDescent="0.2">
      <c r="A95" s="350" t="s">
        <v>764</v>
      </c>
      <c r="B95" s="326" t="s">
        <v>764</v>
      </c>
      <c r="C95" s="347" t="s">
        <v>764</v>
      </c>
      <c r="D95" s="62" t="s">
        <v>181</v>
      </c>
      <c r="G95" s="93">
        <v>500</v>
      </c>
      <c r="I95" s="326"/>
      <c r="J95" s="328"/>
      <c r="K95" s="329"/>
      <c r="L95" s="329"/>
      <c r="M95" s="329"/>
      <c r="N95" s="329"/>
      <c r="O95" s="329"/>
      <c r="P95" s="329"/>
      <c r="Q95" s="329"/>
      <c r="R95" s="329"/>
      <c r="S95" s="329"/>
      <c r="T95" s="329"/>
      <c r="U95" s="329"/>
      <c r="V95" s="329"/>
      <c r="W95" s="93"/>
      <c r="X95" s="351"/>
      <c r="Y95" s="93"/>
      <c r="Z95" s="93"/>
      <c r="AA95" s="331"/>
    </row>
    <row r="96" spans="1:27" ht="19.5" customHeight="1" x14ac:dyDescent="0.2">
      <c r="A96" s="350" t="s">
        <v>764</v>
      </c>
      <c r="B96" s="326" t="s">
        <v>764</v>
      </c>
      <c r="C96" s="347" t="s">
        <v>764</v>
      </c>
      <c r="D96" s="62" t="s">
        <v>182</v>
      </c>
      <c r="G96" s="93">
        <v>1000</v>
      </c>
      <c r="H96" s="93" t="s">
        <v>248</v>
      </c>
      <c r="I96" s="326"/>
      <c r="J96" s="328"/>
      <c r="K96" s="329"/>
      <c r="L96" s="329"/>
      <c r="M96" s="329"/>
      <c r="N96" s="329"/>
      <c r="O96" s="329"/>
      <c r="P96" s="329"/>
      <c r="Q96" s="329"/>
      <c r="R96" s="329"/>
      <c r="S96" s="329"/>
      <c r="T96" s="329"/>
      <c r="U96" s="329"/>
      <c r="V96" s="329"/>
      <c r="W96" s="93"/>
      <c r="X96" s="351"/>
      <c r="Y96" s="93"/>
      <c r="Z96" s="93"/>
      <c r="AA96" s="331"/>
    </row>
    <row r="97" spans="1:22" ht="19.5" customHeight="1" x14ac:dyDescent="0.2">
      <c r="C97" s="352"/>
      <c r="J97" s="353"/>
      <c r="K97" s="353"/>
      <c r="L97" s="353"/>
      <c r="M97" s="353"/>
      <c r="N97" s="353"/>
      <c r="O97" s="353"/>
      <c r="P97" s="353"/>
      <c r="Q97" s="353"/>
      <c r="R97" s="353"/>
      <c r="S97" s="353"/>
      <c r="T97" s="353"/>
      <c r="U97" s="353"/>
      <c r="V97" s="353"/>
    </row>
    <row r="98" spans="1:22" ht="19.5" customHeight="1" x14ac:dyDescent="0.2">
      <c r="A98" s="350" t="s">
        <v>89</v>
      </c>
      <c r="B98" s="275">
        <v>5</v>
      </c>
      <c r="C98" s="352"/>
      <c r="D98" s="275" t="s">
        <v>359</v>
      </c>
      <c r="J98" s="353"/>
      <c r="K98" s="353"/>
      <c r="L98" s="353"/>
      <c r="M98" s="353"/>
      <c r="N98" s="353"/>
      <c r="O98" s="353"/>
      <c r="P98" s="353"/>
      <c r="Q98" s="353"/>
      <c r="R98" s="353"/>
      <c r="S98" s="353"/>
      <c r="T98" s="353"/>
      <c r="U98" s="353"/>
      <c r="V98" s="353"/>
    </row>
    <row r="99" spans="1:22" ht="19.5" customHeight="1" x14ac:dyDescent="0.2">
      <c r="A99" s="350" t="s">
        <v>90</v>
      </c>
      <c r="B99" s="275">
        <v>9</v>
      </c>
      <c r="C99" s="352"/>
      <c r="D99" s="275">
        <v>1</v>
      </c>
      <c r="J99" s="353"/>
      <c r="K99" s="353"/>
      <c r="L99" s="353"/>
      <c r="M99" s="353"/>
      <c r="N99" s="353"/>
      <c r="O99" s="353"/>
      <c r="P99" s="353"/>
      <c r="Q99" s="353"/>
      <c r="R99" s="353"/>
      <c r="S99" s="353"/>
      <c r="T99" s="353"/>
      <c r="U99" s="353"/>
      <c r="V99" s="353"/>
    </row>
    <row r="100" spans="1:22" ht="19.5" customHeight="1" x14ac:dyDescent="0.2">
      <c r="A100" s="350" t="s">
        <v>91</v>
      </c>
      <c r="B100" s="275">
        <v>13</v>
      </c>
      <c r="C100" s="352"/>
      <c r="D100" s="275">
        <v>2</v>
      </c>
      <c r="J100" s="353"/>
      <c r="K100" s="353"/>
      <c r="L100" s="353"/>
      <c r="M100" s="353"/>
      <c r="N100" s="353"/>
      <c r="O100" s="353"/>
      <c r="P100" s="353"/>
      <c r="Q100" s="353"/>
      <c r="R100" s="353"/>
      <c r="S100" s="353"/>
      <c r="T100" s="353"/>
      <c r="U100" s="353"/>
      <c r="V100" s="353"/>
    </row>
    <row r="101" spans="1:22" ht="19.5" customHeight="1" x14ac:dyDescent="0.2">
      <c r="A101" s="350" t="s">
        <v>92</v>
      </c>
      <c r="B101" s="275">
        <v>17</v>
      </c>
      <c r="C101" s="352"/>
      <c r="D101" s="275">
        <v>3</v>
      </c>
      <c r="J101" s="353"/>
      <c r="K101" s="353"/>
      <c r="L101" s="353"/>
      <c r="M101" s="353"/>
      <c r="N101" s="353"/>
      <c r="O101" s="353"/>
      <c r="P101" s="353"/>
      <c r="Q101" s="353"/>
      <c r="R101" s="353"/>
      <c r="S101" s="353"/>
      <c r="T101" s="353"/>
      <c r="U101" s="353"/>
      <c r="V101" s="353"/>
    </row>
    <row r="102" spans="1:22" ht="19.5" customHeight="1" x14ac:dyDescent="0.2">
      <c r="A102" s="350" t="s">
        <v>93</v>
      </c>
      <c r="B102" s="275">
        <v>21</v>
      </c>
      <c r="C102" s="352"/>
      <c r="D102" s="275">
        <v>4</v>
      </c>
      <c r="J102" s="353"/>
      <c r="K102" s="353"/>
      <c r="L102" s="353"/>
      <c r="M102" s="353"/>
      <c r="N102" s="353"/>
      <c r="O102" s="353"/>
      <c r="P102" s="353"/>
      <c r="Q102" s="353"/>
      <c r="R102" s="353"/>
      <c r="S102" s="353"/>
      <c r="T102" s="353"/>
      <c r="U102" s="353"/>
      <c r="V102" s="353"/>
    </row>
    <row r="103" spans="1:22" ht="19.5" customHeight="1" x14ac:dyDescent="0.2">
      <c r="A103" s="350" t="s">
        <v>94</v>
      </c>
      <c r="B103" s="275">
        <v>25</v>
      </c>
      <c r="C103" s="352"/>
      <c r="D103" s="275">
        <v>5</v>
      </c>
      <c r="J103" s="353"/>
      <c r="K103" s="353"/>
      <c r="L103" s="353"/>
      <c r="M103" s="353"/>
      <c r="N103" s="353"/>
      <c r="O103" s="353"/>
      <c r="P103" s="353"/>
      <c r="Q103" s="353"/>
      <c r="R103" s="353"/>
      <c r="S103" s="353"/>
      <c r="T103" s="353"/>
      <c r="U103" s="353"/>
      <c r="V103" s="353"/>
    </row>
    <row r="104" spans="1:22" ht="19.5" customHeight="1" x14ac:dyDescent="0.2">
      <c r="A104" s="350" t="s">
        <v>95</v>
      </c>
      <c r="B104" s="275">
        <v>29</v>
      </c>
      <c r="C104" s="352"/>
      <c r="D104" s="275">
        <v>6</v>
      </c>
      <c r="J104" s="353"/>
      <c r="K104" s="353"/>
      <c r="L104" s="353"/>
      <c r="M104" s="353"/>
      <c r="N104" s="353"/>
      <c r="O104" s="353"/>
      <c r="P104" s="353"/>
      <c r="Q104" s="353"/>
      <c r="R104" s="353"/>
      <c r="S104" s="353"/>
      <c r="T104" s="353"/>
      <c r="U104" s="353"/>
      <c r="V104" s="353"/>
    </row>
    <row r="105" spans="1:22" ht="19.5" customHeight="1" x14ac:dyDescent="0.2">
      <c r="A105" s="350" t="s">
        <v>96</v>
      </c>
      <c r="B105" s="275">
        <v>33</v>
      </c>
      <c r="C105" s="352"/>
      <c r="J105" s="353"/>
      <c r="K105" s="353"/>
      <c r="L105" s="353"/>
      <c r="M105" s="353"/>
      <c r="N105" s="353"/>
      <c r="O105" s="353"/>
      <c r="P105" s="353"/>
      <c r="Q105" s="353"/>
      <c r="R105" s="353"/>
      <c r="S105" s="353"/>
      <c r="T105" s="353"/>
      <c r="U105" s="353"/>
      <c r="V105" s="353"/>
    </row>
    <row r="106" spans="1:22" ht="19.5" customHeight="1" x14ac:dyDescent="0.2">
      <c r="A106" s="350" t="s">
        <v>97</v>
      </c>
      <c r="B106" s="275">
        <v>37</v>
      </c>
      <c r="C106" s="352"/>
      <c r="J106" s="353"/>
      <c r="K106" s="353"/>
      <c r="L106" s="353"/>
      <c r="M106" s="353"/>
      <c r="N106" s="353"/>
      <c r="O106" s="353"/>
      <c r="P106" s="353"/>
      <c r="Q106" s="353"/>
      <c r="R106" s="353"/>
      <c r="S106" s="353"/>
      <c r="T106" s="353"/>
      <c r="U106" s="353"/>
      <c r="V106" s="353"/>
    </row>
    <row r="107" spans="1:22" ht="19.5" customHeight="1" x14ac:dyDescent="0.2">
      <c r="A107" s="350" t="s">
        <v>29</v>
      </c>
      <c r="B107" s="275">
        <v>41</v>
      </c>
      <c r="C107" s="352"/>
      <c r="J107" s="353"/>
      <c r="K107" s="353"/>
      <c r="L107" s="353"/>
      <c r="M107" s="353"/>
      <c r="N107" s="353"/>
      <c r="O107" s="353"/>
      <c r="P107" s="353"/>
      <c r="Q107" s="353"/>
      <c r="R107" s="353"/>
      <c r="S107" s="353"/>
      <c r="T107" s="353"/>
      <c r="U107" s="353"/>
      <c r="V107" s="353"/>
    </row>
    <row r="108" spans="1:22" ht="19.5" customHeight="1" x14ac:dyDescent="0.2">
      <c r="A108" s="350" t="s">
        <v>99</v>
      </c>
      <c r="B108" s="275">
        <v>45</v>
      </c>
      <c r="C108" s="352"/>
      <c r="J108" s="353"/>
      <c r="K108" s="353"/>
      <c r="L108" s="353"/>
      <c r="M108" s="353"/>
      <c r="N108" s="353"/>
      <c r="O108" s="353"/>
      <c r="P108" s="353"/>
      <c r="Q108" s="353"/>
      <c r="R108" s="353"/>
      <c r="S108" s="353"/>
      <c r="T108" s="353"/>
      <c r="U108" s="353"/>
      <c r="V108" s="353"/>
    </row>
    <row r="109" spans="1:22" ht="19.5" customHeight="1" x14ac:dyDescent="0.2">
      <c r="A109" s="350" t="s">
        <v>100</v>
      </c>
      <c r="B109" s="275">
        <v>49</v>
      </c>
      <c r="C109" s="352"/>
      <c r="J109" s="353"/>
      <c r="K109" s="353"/>
      <c r="L109" s="353"/>
      <c r="M109" s="353"/>
      <c r="N109" s="353"/>
      <c r="O109" s="353"/>
      <c r="P109" s="353"/>
      <c r="Q109" s="353"/>
      <c r="R109" s="353"/>
      <c r="S109" s="353"/>
      <c r="T109" s="353"/>
      <c r="U109" s="353"/>
      <c r="V109" s="353"/>
    </row>
    <row r="110" spans="1:22" ht="19.5" customHeight="1" x14ac:dyDescent="0.2">
      <c r="A110" s="350" t="s">
        <v>101</v>
      </c>
      <c r="B110" s="275">
        <v>53</v>
      </c>
      <c r="C110" s="352"/>
      <c r="J110" s="353"/>
      <c r="K110" s="353"/>
      <c r="L110" s="353"/>
      <c r="M110" s="353"/>
      <c r="N110" s="353"/>
      <c r="O110" s="353"/>
      <c r="P110" s="353"/>
      <c r="Q110" s="353"/>
      <c r="R110" s="353"/>
      <c r="S110" s="353"/>
      <c r="T110" s="353"/>
      <c r="U110" s="353"/>
      <c r="V110" s="353"/>
    </row>
    <row r="111" spans="1:22" ht="19.5" customHeight="1" x14ac:dyDescent="0.2">
      <c r="A111" s="350" t="s">
        <v>102</v>
      </c>
      <c r="B111" s="275">
        <v>57</v>
      </c>
      <c r="C111" s="352"/>
      <c r="J111" s="353"/>
      <c r="K111" s="353"/>
      <c r="L111" s="353"/>
      <c r="M111" s="353"/>
      <c r="N111" s="353"/>
      <c r="O111" s="353"/>
      <c r="P111" s="353"/>
      <c r="Q111" s="353"/>
      <c r="R111" s="353"/>
      <c r="S111" s="353"/>
      <c r="T111" s="353"/>
      <c r="U111" s="353"/>
      <c r="V111" s="353"/>
    </row>
    <row r="112" spans="1:22" ht="19.5" customHeight="1" x14ac:dyDescent="0.2">
      <c r="A112" s="350" t="s">
        <v>103</v>
      </c>
      <c r="B112" s="275">
        <v>61</v>
      </c>
      <c r="J112" s="353"/>
      <c r="K112" s="353"/>
      <c r="L112" s="353"/>
      <c r="M112" s="353"/>
      <c r="N112" s="353"/>
      <c r="O112" s="353"/>
      <c r="P112" s="353"/>
      <c r="Q112" s="353"/>
      <c r="R112" s="353"/>
      <c r="S112" s="353"/>
      <c r="T112" s="353"/>
      <c r="U112" s="353"/>
      <c r="V112" s="353"/>
    </row>
    <row r="113" spans="1:22" ht="19.5" customHeight="1" x14ac:dyDescent="0.2">
      <c r="A113" s="350" t="s">
        <v>104</v>
      </c>
      <c r="B113" s="275">
        <v>65</v>
      </c>
      <c r="J113" s="353"/>
      <c r="K113" s="353"/>
      <c r="L113" s="353"/>
      <c r="M113" s="353"/>
      <c r="N113" s="353"/>
      <c r="O113" s="353"/>
      <c r="P113" s="353"/>
      <c r="Q113" s="353"/>
      <c r="R113" s="353"/>
      <c r="S113" s="353"/>
      <c r="T113" s="353"/>
      <c r="U113" s="353"/>
      <c r="V113" s="353"/>
    </row>
    <row r="114" spans="1:22" ht="19.5" customHeight="1" x14ac:dyDescent="0.2">
      <c r="A114" s="350" t="s">
        <v>328</v>
      </c>
      <c r="B114" s="275">
        <v>69</v>
      </c>
      <c r="J114" s="353"/>
      <c r="K114" s="353"/>
      <c r="L114" s="353"/>
      <c r="M114" s="353"/>
      <c r="N114" s="353"/>
      <c r="O114" s="353"/>
      <c r="P114" s="353"/>
      <c r="Q114" s="353"/>
      <c r="R114" s="353"/>
      <c r="S114" s="353"/>
      <c r="T114" s="353"/>
      <c r="U114" s="353"/>
      <c r="V114" s="353"/>
    </row>
    <row r="115" spans="1:22" ht="19.5" customHeight="1" x14ac:dyDescent="0.2">
      <c r="A115" s="350" t="s">
        <v>342</v>
      </c>
      <c r="B115" s="275">
        <v>73</v>
      </c>
      <c r="J115" s="353"/>
      <c r="K115" s="353"/>
      <c r="L115" s="353"/>
      <c r="M115" s="353"/>
      <c r="N115" s="353"/>
      <c r="O115" s="353"/>
      <c r="P115" s="353"/>
      <c r="Q115" s="353"/>
      <c r="R115" s="353"/>
      <c r="S115" s="353"/>
      <c r="T115" s="353"/>
      <c r="U115" s="353"/>
      <c r="V115" s="353"/>
    </row>
    <row r="116" spans="1:22" ht="19.5" customHeight="1" x14ac:dyDescent="0.2">
      <c r="A116" s="350" t="s">
        <v>143</v>
      </c>
      <c r="B116" s="275">
        <v>77</v>
      </c>
      <c r="J116" s="353"/>
      <c r="K116" s="353"/>
      <c r="L116" s="353"/>
      <c r="M116" s="353"/>
      <c r="N116" s="353"/>
      <c r="O116" s="353"/>
      <c r="P116" s="353"/>
      <c r="Q116" s="353"/>
      <c r="R116" s="353"/>
      <c r="S116" s="353"/>
      <c r="T116" s="353"/>
      <c r="U116" s="353"/>
      <c r="V116" s="353"/>
    </row>
    <row r="117" spans="1:22" ht="19.5" customHeight="1" x14ac:dyDescent="0.2">
      <c r="A117" s="350" t="s">
        <v>1116</v>
      </c>
      <c r="B117" s="275">
        <v>81</v>
      </c>
      <c r="J117" s="353"/>
      <c r="K117" s="353"/>
      <c r="L117" s="353"/>
      <c r="M117" s="353"/>
      <c r="N117" s="353"/>
      <c r="O117" s="353"/>
      <c r="P117" s="353"/>
      <c r="Q117" s="353"/>
      <c r="R117" s="353"/>
      <c r="S117" s="353"/>
      <c r="T117" s="353"/>
      <c r="U117" s="353"/>
      <c r="V117" s="353"/>
    </row>
    <row r="118" spans="1:22" ht="19.5" customHeight="1" x14ac:dyDescent="0.2">
      <c r="A118" s="275" t="s">
        <v>1132</v>
      </c>
      <c r="B118" s="275">
        <v>85</v>
      </c>
      <c r="J118" s="353"/>
      <c r="K118" s="353"/>
      <c r="L118" s="353"/>
      <c r="M118" s="353"/>
      <c r="N118" s="353"/>
      <c r="O118" s="353"/>
      <c r="P118" s="353"/>
      <c r="Q118" s="353"/>
      <c r="R118" s="353"/>
      <c r="S118" s="353"/>
      <c r="T118" s="353"/>
      <c r="U118" s="353"/>
      <c r="V118" s="353"/>
    </row>
    <row r="119" spans="1:22" ht="19.5" customHeight="1" x14ac:dyDescent="0.2">
      <c r="A119" s="350" t="s">
        <v>498</v>
      </c>
      <c r="B119" s="275">
        <v>89</v>
      </c>
      <c r="J119" s="353"/>
      <c r="K119" s="353"/>
      <c r="L119" s="353"/>
      <c r="M119" s="353"/>
      <c r="N119" s="353"/>
      <c r="O119" s="353"/>
      <c r="P119" s="353"/>
      <c r="Q119" s="353"/>
      <c r="R119" s="353"/>
      <c r="S119" s="353"/>
      <c r="T119" s="353"/>
      <c r="U119" s="353"/>
      <c r="V119" s="353"/>
    </row>
    <row r="120" spans="1:22" ht="19.5" customHeight="1" x14ac:dyDescent="0.2">
      <c r="J120" s="353"/>
      <c r="K120" s="353"/>
      <c r="L120" s="353"/>
      <c r="M120" s="353"/>
      <c r="N120" s="353"/>
      <c r="O120" s="353"/>
      <c r="P120" s="353"/>
      <c r="Q120" s="353"/>
      <c r="R120" s="353"/>
      <c r="S120" s="353"/>
      <c r="T120" s="353"/>
      <c r="U120" s="353"/>
      <c r="V120" s="353"/>
    </row>
    <row r="121" spans="1:22" ht="19.5" customHeight="1" x14ac:dyDescent="0.2">
      <c r="J121" s="353"/>
      <c r="K121" s="353"/>
      <c r="L121" s="353"/>
      <c r="M121" s="353"/>
      <c r="N121" s="353"/>
      <c r="O121" s="353"/>
      <c r="P121" s="353"/>
      <c r="Q121" s="353"/>
      <c r="R121" s="353"/>
      <c r="S121" s="353"/>
      <c r="T121" s="353"/>
      <c r="U121" s="353"/>
      <c r="V121" s="353"/>
    </row>
    <row r="122" spans="1:22" ht="19.5" customHeight="1" x14ac:dyDescent="0.2">
      <c r="J122" s="353"/>
      <c r="K122" s="353"/>
      <c r="L122" s="353"/>
      <c r="M122" s="353"/>
      <c r="N122" s="353"/>
      <c r="O122" s="353"/>
      <c r="P122" s="353"/>
      <c r="Q122" s="353"/>
      <c r="R122" s="353"/>
      <c r="S122" s="353"/>
      <c r="T122" s="353"/>
      <c r="U122" s="353"/>
      <c r="V122" s="353"/>
    </row>
    <row r="123" spans="1:22" ht="19.5" customHeight="1" x14ac:dyDescent="0.2">
      <c r="J123" s="353"/>
      <c r="K123" s="353"/>
      <c r="L123" s="353"/>
      <c r="M123" s="353"/>
      <c r="N123" s="353"/>
      <c r="O123" s="353"/>
      <c r="P123" s="353"/>
      <c r="Q123" s="353"/>
      <c r="R123" s="353"/>
      <c r="S123" s="353"/>
      <c r="T123" s="353"/>
      <c r="U123" s="353"/>
      <c r="V123" s="353"/>
    </row>
    <row r="124" spans="1:22" ht="19.5" customHeight="1" x14ac:dyDescent="0.2">
      <c r="J124" s="353"/>
      <c r="K124" s="353"/>
      <c r="L124" s="353"/>
      <c r="M124" s="353"/>
      <c r="N124" s="353"/>
      <c r="O124" s="353"/>
      <c r="P124" s="353"/>
      <c r="Q124" s="353"/>
      <c r="R124" s="353"/>
      <c r="S124" s="353"/>
      <c r="T124" s="353"/>
      <c r="U124" s="353"/>
      <c r="V124" s="353"/>
    </row>
    <row r="125" spans="1:22" ht="19.5" customHeight="1" x14ac:dyDescent="0.2">
      <c r="J125" s="353"/>
      <c r="K125" s="353"/>
      <c r="L125" s="353"/>
      <c r="M125" s="353"/>
      <c r="N125" s="353"/>
      <c r="O125" s="353"/>
      <c r="P125" s="353"/>
      <c r="Q125" s="353"/>
      <c r="R125" s="353"/>
      <c r="S125" s="353"/>
      <c r="T125" s="353"/>
      <c r="U125" s="353"/>
      <c r="V125" s="353"/>
    </row>
    <row r="126" spans="1:22" ht="19.5" customHeight="1" x14ac:dyDescent="0.2">
      <c r="J126" s="353"/>
      <c r="K126" s="353"/>
      <c r="L126" s="353"/>
      <c r="M126" s="353"/>
      <c r="N126" s="353"/>
      <c r="O126" s="353"/>
      <c r="P126" s="353"/>
      <c r="Q126" s="353"/>
      <c r="R126" s="353"/>
      <c r="S126" s="353"/>
      <c r="T126" s="353"/>
      <c r="U126" s="353"/>
      <c r="V126" s="353"/>
    </row>
    <row r="127" spans="1:22" ht="19.5" customHeight="1" x14ac:dyDescent="0.2">
      <c r="J127" s="353"/>
      <c r="K127" s="353"/>
      <c r="L127" s="353"/>
      <c r="M127" s="353"/>
      <c r="N127" s="353"/>
      <c r="O127" s="353"/>
      <c r="P127" s="353"/>
      <c r="Q127" s="353"/>
      <c r="R127" s="353"/>
      <c r="S127" s="353"/>
      <c r="T127" s="353"/>
      <c r="U127" s="353"/>
      <c r="V127" s="353"/>
    </row>
    <row r="128" spans="1:22" ht="19.5" customHeight="1" x14ac:dyDescent="0.2">
      <c r="J128" s="353"/>
      <c r="K128" s="353"/>
      <c r="L128" s="353"/>
      <c r="M128" s="353"/>
      <c r="N128" s="353"/>
      <c r="O128" s="353"/>
      <c r="P128" s="353"/>
      <c r="Q128" s="353"/>
      <c r="R128" s="353"/>
      <c r="S128" s="353"/>
      <c r="T128" s="353"/>
      <c r="U128" s="353"/>
      <c r="V128" s="353"/>
    </row>
    <row r="129" spans="10:22" ht="19.5" customHeight="1" x14ac:dyDescent="0.2">
      <c r="J129" s="353"/>
      <c r="K129" s="353"/>
      <c r="L129" s="353"/>
      <c r="M129" s="353"/>
      <c r="N129" s="353"/>
      <c r="O129" s="353"/>
      <c r="P129" s="353"/>
      <c r="Q129" s="353"/>
      <c r="R129" s="353"/>
      <c r="S129" s="353"/>
      <c r="T129" s="353"/>
      <c r="U129" s="353"/>
      <c r="V129" s="353"/>
    </row>
    <row r="130" spans="10:22" ht="19.5" customHeight="1" x14ac:dyDescent="0.2">
      <c r="J130" s="353"/>
      <c r="K130" s="353"/>
      <c r="L130" s="353"/>
      <c r="M130" s="353"/>
      <c r="N130" s="353"/>
      <c r="O130" s="353"/>
      <c r="P130" s="353"/>
      <c r="Q130" s="353"/>
      <c r="R130" s="353"/>
      <c r="S130" s="353"/>
      <c r="T130" s="353"/>
      <c r="U130" s="353"/>
      <c r="V130" s="353"/>
    </row>
    <row r="131" spans="10:22" ht="19.5" customHeight="1" x14ac:dyDescent="0.2">
      <c r="J131" s="353"/>
      <c r="K131" s="353"/>
      <c r="L131" s="353"/>
      <c r="M131" s="353"/>
      <c r="N131" s="353"/>
      <c r="O131" s="353"/>
      <c r="P131" s="353"/>
      <c r="Q131" s="353"/>
      <c r="R131" s="353"/>
      <c r="S131" s="353"/>
      <c r="T131" s="353"/>
      <c r="U131" s="353"/>
      <c r="V131" s="353"/>
    </row>
    <row r="132" spans="10:22" ht="19.5" customHeight="1" x14ac:dyDescent="0.2">
      <c r="J132" s="353"/>
      <c r="K132" s="353"/>
      <c r="L132" s="353"/>
      <c r="M132" s="353"/>
      <c r="N132" s="353"/>
      <c r="O132" s="353"/>
      <c r="P132" s="353"/>
      <c r="Q132" s="353"/>
      <c r="R132" s="353"/>
      <c r="S132" s="353"/>
      <c r="T132" s="353"/>
      <c r="U132" s="353"/>
      <c r="V132" s="353"/>
    </row>
    <row r="133" spans="10:22" ht="19.5" customHeight="1" x14ac:dyDescent="0.2">
      <c r="J133" s="353"/>
      <c r="K133" s="353"/>
      <c r="L133" s="353"/>
      <c r="M133" s="353"/>
      <c r="N133" s="353"/>
      <c r="O133" s="353"/>
      <c r="P133" s="353"/>
      <c r="Q133" s="353"/>
      <c r="R133" s="353"/>
      <c r="S133" s="353"/>
      <c r="T133" s="353"/>
      <c r="U133" s="353"/>
      <c r="V133" s="353"/>
    </row>
    <row r="134" spans="10:22" ht="19.5" customHeight="1" x14ac:dyDescent="0.2">
      <c r="J134" s="353"/>
      <c r="K134" s="353"/>
      <c r="L134" s="353"/>
      <c r="M134" s="353"/>
      <c r="N134" s="353"/>
      <c r="O134" s="353"/>
      <c r="P134" s="353"/>
      <c r="Q134" s="353"/>
      <c r="R134" s="353"/>
      <c r="S134" s="353"/>
      <c r="T134" s="353"/>
      <c r="U134" s="353"/>
      <c r="V134" s="353"/>
    </row>
    <row r="135" spans="10:22" ht="19.5" customHeight="1" x14ac:dyDescent="0.2">
      <c r="J135" s="353"/>
      <c r="K135" s="353"/>
      <c r="L135" s="353"/>
      <c r="M135" s="353"/>
      <c r="N135" s="353"/>
      <c r="O135" s="353"/>
      <c r="P135" s="353"/>
      <c r="Q135" s="353"/>
      <c r="R135" s="353"/>
      <c r="S135" s="353"/>
      <c r="T135" s="353"/>
      <c r="U135" s="353"/>
      <c r="V135" s="353"/>
    </row>
    <row r="136" spans="10:22" ht="19.5" customHeight="1" x14ac:dyDescent="0.2">
      <c r="J136" s="353"/>
      <c r="K136" s="353"/>
      <c r="L136" s="353"/>
      <c r="M136" s="353"/>
      <c r="N136" s="353"/>
      <c r="O136" s="353"/>
      <c r="P136" s="353"/>
      <c r="Q136" s="353"/>
      <c r="R136" s="353"/>
      <c r="S136" s="353"/>
      <c r="T136" s="353"/>
      <c r="U136" s="353"/>
      <c r="V136" s="353"/>
    </row>
    <row r="137" spans="10:22" ht="19.5" customHeight="1" x14ac:dyDescent="0.2">
      <c r="J137" s="353"/>
      <c r="K137" s="353"/>
      <c r="L137" s="353"/>
      <c r="M137" s="353"/>
      <c r="N137" s="353"/>
      <c r="O137" s="353"/>
      <c r="P137" s="353"/>
      <c r="Q137" s="353"/>
      <c r="R137" s="353"/>
      <c r="S137" s="353"/>
      <c r="T137" s="353"/>
      <c r="U137" s="353"/>
      <c r="V137" s="353"/>
    </row>
    <row r="138" spans="10:22" ht="19.5" customHeight="1" x14ac:dyDescent="0.2">
      <c r="J138" s="353"/>
      <c r="K138" s="353"/>
      <c r="L138" s="353"/>
      <c r="M138" s="353"/>
      <c r="N138" s="353"/>
      <c r="O138" s="353"/>
      <c r="P138" s="353"/>
      <c r="Q138" s="353"/>
      <c r="R138" s="353"/>
      <c r="S138" s="353"/>
      <c r="T138" s="353"/>
      <c r="U138" s="353"/>
      <c r="V138" s="353"/>
    </row>
    <row r="139" spans="10:22" ht="19.5" customHeight="1" x14ac:dyDescent="0.2">
      <c r="J139" s="353"/>
      <c r="K139" s="353"/>
      <c r="L139" s="353"/>
      <c r="M139" s="353"/>
      <c r="N139" s="353"/>
      <c r="O139" s="353"/>
      <c r="P139" s="353"/>
      <c r="Q139" s="353"/>
      <c r="R139" s="353"/>
      <c r="S139" s="353"/>
      <c r="T139" s="353"/>
      <c r="U139" s="353"/>
      <c r="V139" s="353"/>
    </row>
    <row r="140" spans="10:22" ht="19.5" customHeight="1" x14ac:dyDescent="0.2">
      <c r="J140" s="353"/>
      <c r="K140" s="353"/>
      <c r="L140" s="353"/>
      <c r="M140" s="353"/>
      <c r="N140" s="353"/>
      <c r="O140" s="353"/>
      <c r="P140" s="353"/>
      <c r="Q140" s="353"/>
      <c r="R140" s="353"/>
      <c r="S140" s="353"/>
      <c r="T140" s="353"/>
      <c r="U140" s="353"/>
      <c r="V140" s="353"/>
    </row>
    <row r="141" spans="10:22" ht="19.5" customHeight="1" x14ac:dyDescent="0.2">
      <c r="J141" s="353"/>
      <c r="K141" s="353"/>
      <c r="L141" s="353"/>
      <c r="M141" s="353"/>
      <c r="N141" s="353"/>
      <c r="O141" s="353"/>
      <c r="P141" s="353"/>
      <c r="Q141" s="353"/>
      <c r="R141" s="353"/>
      <c r="S141" s="353"/>
      <c r="T141" s="353"/>
      <c r="U141" s="353"/>
      <c r="V141" s="353"/>
    </row>
    <row r="142" spans="10:22" ht="19.5" customHeight="1" x14ac:dyDescent="0.2">
      <c r="J142" s="353"/>
      <c r="K142" s="353"/>
      <c r="L142" s="353"/>
      <c r="M142" s="353"/>
      <c r="N142" s="353"/>
      <c r="O142" s="353"/>
      <c r="P142" s="353"/>
      <c r="Q142" s="353"/>
      <c r="R142" s="353"/>
      <c r="S142" s="353"/>
      <c r="T142" s="353"/>
      <c r="U142" s="353"/>
      <c r="V142" s="353"/>
    </row>
  </sheetData>
  <phoneticPr fontId="0" type="noConversion"/>
  <pageMargins left="0.75" right="0.75" top="1" bottom="1" header="0.5" footer="0.5"/>
  <pageSetup paperSize="9" orientation="portrait" horizontalDpi="0" verticalDpi="0" r:id="rId1"/>
  <headerFooter alignWithMargins="0"/>
  <legacyDrawing r:id="rId2"/>
  <tableParts count="2">
    <tablePart r:id="rId3"/>
    <tablePart r:id="rId4"/>
  </tablePart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2:N1198"/>
  <sheetViews>
    <sheetView zoomScale="85" workbookViewId="0">
      <selection activeCell="W18" sqref="W18"/>
    </sheetView>
  </sheetViews>
  <sheetFormatPr defaultRowHeight="12.75" x14ac:dyDescent="0.2"/>
  <cols>
    <col min="2" max="2" width="11.5703125" bestFit="1" customWidth="1"/>
    <col min="3" max="3" width="11.140625" customWidth="1"/>
    <col min="4" max="4" width="9.42578125" bestFit="1" customWidth="1"/>
    <col min="5" max="5" width="13.7109375" bestFit="1" customWidth="1"/>
    <col min="6" max="6" width="11.28515625" customWidth="1"/>
    <col min="7" max="7" width="10.85546875" bestFit="1" customWidth="1"/>
    <col min="8" max="9" width="9.42578125" bestFit="1" customWidth="1"/>
    <col min="10" max="10" width="12.85546875" bestFit="1" customWidth="1"/>
    <col min="11" max="11" width="9.28515625" bestFit="1" customWidth="1"/>
    <col min="12" max="12" width="12.7109375" bestFit="1" customWidth="1"/>
    <col min="13" max="13" width="8.42578125" bestFit="1" customWidth="1"/>
    <col min="14" max="14" width="7.28515625" bestFit="1" customWidth="1"/>
  </cols>
  <sheetData>
    <row r="2" spans="2:11" ht="13.5" thickBot="1" x14ac:dyDescent="0.25">
      <c r="B2" s="14" t="s">
        <v>234</v>
      </c>
      <c r="C2" s="3" t="s">
        <v>284</v>
      </c>
      <c r="D2" s="3" t="s">
        <v>285</v>
      </c>
      <c r="E2" s="3" t="s">
        <v>237</v>
      </c>
      <c r="F2" s="3" t="s">
        <v>236</v>
      </c>
      <c r="G2" s="3"/>
      <c r="H2" s="3"/>
      <c r="I2" s="3" t="s">
        <v>235</v>
      </c>
      <c r="J2" s="3" t="s">
        <v>238</v>
      </c>
      <c r="K2" s="11"/>
    </row>
    <row r="3" spans="2:11" ht="13.5" thickBot="1" x14ac:dyDescent="0.25">
      <c r="B3" s="7" t="s">
        <v>372</v>
      </c>
      <c r="C3" s="22">
        <v>3845</v>
      </c>
      <c r="D3" s="24">
        <v>3220</v>
      </c>
      <c r="E3">
        <f t="shared" ref="E3:E17" si="0">MAX(10,ROUND($F3*$D3,0))</f>
        <v>322</v>
      </c>
      <c r="F3" s="15">
        <f>MIN(0.15, 0.25 * ( 0.7 - EXP( -1.3 * $D3 / $C3 ) ))*1.1</f>
        <v>9.9918948647991029E-2</v>
      </c>
      <c r="G3" s="29"/>
      <c r="I3" s="25">
        <v>500</v>
      </c>
      <c r="J3" s="26">
        <f t="shared" ref="J3:J17" si="1">25*$I3</f>
        <v>12500</v>
      </c>
      <c r="K3" s="8"/>
    </row>
    <row r="4" spans="2:11" x14ac:dyDescent="0.2">
      <c r="B4" s="7" t="s">
        <v>240</v>
      </c>
      <c r="C4">
        <f t="shared" ref="C4:C17" si="2">C3</f>
        <v>3845</v>
      </c>
      <c r="D4" s="6">
        <f t="shared" ref="D4:D17" si="3">D3+100</f>
        <v>3320</v>
      </c>
      <c r="E4">
        <f t="shared" si="0"/>
        <v>342</v>
      </c>
      <c r="F4" s="15">
        <f t="shared" ref="F4:F17" si="4">MIN(0.15, 0.25 * ( 0.7 - EXP( -1.3 * $D4 / $C4 ) ))*1.1</f>
        <v>0.10299680270207687</v>
      </c>
      <c r="G4" s="29"/>
      <c r="I4" s="17">
        <f t="shared" ref="I4:I17" si="5">I3+25</f>
        <v>525</v>
      </c>
      <c r="J4" s="17">
        <f t="shared" si="1"/>
        <v>13125</v>
      </c>
      <c r="K4" s="8"/>
    </row>
    <row r="5" spans="2:11" x14ac:dyDescent="0.2">
      <c r="B5" s="16" t="s">
        <v>241</v>
      </c>
      <c r="C5">
        <f t="shared" si="2"/>
        <v>3845</v>
      </c>
      <c r="D5" s="6">
        <f t="shared" si="3"/>
        <v>3420</v>
      </c>
      <c r="E5">
        <f t="shared" si="0"/>
        <v>362</v>
      </c>
      <c r="F5" s="15">
        <f t="shared" si="4"/>
        <v>0.10597233359780676</v>
      </c>
      <c r="G5" s="29"/>
      <c r="I5">
        <f t="shared" si="5"/>
        <v>550</v>
      </c>
      <c r="J5">
        <f t="shared" si="1"/>
        <v>13750</v>
      </c>
      <c r="K5" s="8"/>
    </row>
    <row r="6" spans="2:11" x14ac:dyDescent="0.2">
      <c r="B6" s="7"/>
      <c r="C6">
        <f t="shared" si="2"/>
        <v>3845</v>
      </c>
      <c r="D6" s="6">
        <f t="shared" si="3"/>
        <v>3520</v>
      </c>
      <c r="E6">
        <f t="shared" si="0"/>
        <v>383</v>
      </c>
      <c r="F6" s="15">
        <f t="shared" si="4"/>
        <v>0.10884894306526666</v>
      </c>
      <c r="G6" s="29"/>
      <c r="I6">
        <f t="shared" si="5"/>
        <v>575</v>
      </c>
      <c r="J6">
        <f t="shared" si="1"/>
        <v>14375</v>
      </c>
      <c r="K6" s="8"/>
    </row>
    <row r="7" spans="2:11" x14ac:dyDescent="0.2">
      <c r="B7" s="7"/>
      <c r="C7">
        <f t="shared" si="2"/>
        <v>3845</v>
      </c>
      <c r="D7" s="6">
        <f t="shared" si="3"/>
        <v>3620</v>
      </c>
      <c r="E7">
        <f t="shared" si="0"/>
        <v>404</v>
      </c>
      <c r="F7" s="15">
        <f t="shared" si="4"/>
        <v>0.11162991974413593</v>
      </c>
      <c r="G7" s="29"/>
      <c r="I7">
        <f t="shared" si="5"/>
        <v>600</v>
      </c>
      <c r="J7">
        <f t="shared" si="1"/>
        <v>15000</v>
      </c>
      <c r="K7" s="8"/>
    </row>
    <row r="8" spans="2:11" x14ac:dyDescent="0.2">
      <c r="B8" s="18" t="s">
        <v>282</v>
      </c>
      <c r="C8">
        <f t="shared" si="2"/>
        <v>3845</v>
      </c>
      <c r="D8" s="6">
        <f t="shared" si="3"/>
        <v>3720</v>
      </c>
      <c r="E8">
        <f t="shared" si="0"/>
        <v>425</v>
      </c>
      <c r="F8" s="15">
        <f t="shared" si="4"/>
        <v>0.11431844294337434</v>
      </c>
      <c r="G8" s="29"/>
      <c r="I8">
        <f t="shared" si="5"/>
        <v>625</v>
      </c>
      <c r="J8">
        <f t="shared" si="1"/>
        <v>15625</v>
      </c>
      <c r="K8" s="8"/>
    </row>
    <row r="9" spans="2:11" x14ac:dyDescent="0.2">
      <c r="B9" s="13" t="str">
        <f>CONCATENATE( CONCATENATE(TEXT(C3*0.75,0)," - "), TEXT(C3*1.33,0))</f>
        <v>2884 - 5114</v>
      </c>
      <c r="C9">
        <f t="shared" si="2"/>
        <v>3845</v>
      </c>
      <c r="D9" s="6">
        <f t="shared" si="3"/>
        <v>3820</v>
      </c>
      <c r="E9">
        <f t="shared" si="0"/>
        <v>447</v>
      </c>
      <c r="F9" s="15">
        <f t="shared" si="4"/>
        <v>0.11691758627591825</v>
      </c>
      <c r="G9" s="29"/>
      <c r="I9">
        <f t="shared" si="5"/>
        <v>650</v>
      </c>
      <c r="J9">
        <f t="shared" si="1"/>
        <v>16250</v>
      </c>
      <c r="K9" s="8"/>
    </row>
    <row r="10" spans="2:11" x14ac:dyDescent="0.2">
      <c r="B10" s="13"/>
      <c r="C10">
        <f t="shared" si="2"/>
        <v>3845</v>
      </c>
      <c r="D10" s="6">
        <f t="shared" si="3"/>
        <v>3920</v>
      </c>
      <c r="E10">
        <f t="shared" si="0"/>
        <v>468</v>
      </c>
      <c r="F10" s="15">
        <f t="shared" si="4"/>
        <v>0.11943032117254147</v>
      </c>
      <c r="G10" s="29"/>
      <c r="I10">
        <f t="shared" si="5"/>
        <v>675</v>
      </c>
      <c r="J10">
        <f t="shared" si="1"/>
        <v>16875</v>
      </c>
      <c r="K10" s="8"/>
    </row>
    <row r="11" spans="2:11" x14ac:dyDescent="0.2">
      <c r="B11" s="7"/>
      <c r="C11">
        <f t="shared" si="2"/>
        <v>3845</v>
      </c>
      <c r="D11" s="6">
        <f t="shared" si="3"/>
        <v>4020</v>
      </c>
      <c r="E11">
        <f t="shared" si="0"/>
        <v>490</v>
      </c>
      <c r="F11" s="15">
        <f t="shared" si="4"/>
        <v>0.12185952027889797</v>
      </c>
      <c r="G11" s="29"/>
      <c r="I11">
        <f t="shared" si="5"/>
        <v>700</v>
      </c>
      <c r="J11">
        <f t="shared" si="1"/>
        <v>17500</v>
      </c>
      <c r="K11" s="8"/>
    </row>
    <row r="12" spans="2:11" x14ac:dyDescent="0.2">
      <c r="B12" s="18" t="s">
        <v>283</v>
      </c>
      <c r="C12">
        <f t="shared" si="2"/>
        <v>3845</v>
      </c>
      <c r="D12" s="6">
        <f t="shared" si="3"/>
        <v>4120</v>
      </c>
      <c r="E12">
        <f t="shared" si="0"/>
        <v>512</v>
      </c>
      <c r="F12" s="15">
        <f t="shared" si="4"/>
        <v>0.12420796073962995</v>
      </c>
      <c r="G12" s="29"/>
      <c r="I12">
        <f t="shared" si="5"/>
        <v>725</v>
      </c>
      <c r="J12">
        <f t="shared" si="1"/>
        <v>18125</v>
      </c>
      <c r="K12" s="8"/>
    </row>
    <row r="13" spans="2:11" x14ac:dyDescent="0.2">
      <c r="B13" s="13" t="str">
        <f>CONCATENATE(CONCATENATE(TEXT(C3*0.6,0)," - "),TEXT(C3*1.66,0))</f>
        <v>2307 - 6383</v>
      </c>
      <c r="C13">
        <f t="shared" si="2"/>
        <v>3845</v>
      </c>
      <c r="D13" s="6">
        <f t="shared" si="3"/>
        <v>4220</v>
      </c>
      <c r="E13">
        <f t="shared" si="0"/>
        <v>534</v>
      </c>
      <c r="F13" s="15">
        <f t="shared" si="4"/>
        <v>0.12647832737329595</v>
      </c>
      <c r="G13" s="29"/>
      <c r="I13">
        <f t="shared" si="5"/>
        <v>750</v>
      </c>
      <c r="J13">
        <f t="shared" si="1"/>
        <v>18750</v>
      </c>
      <c r="K13" s="8"/>
    </row>
    <row r="14" spans="2:11" x14ac:dyDescent="0.2">
      <c r="B14" s="13"/>
      <c r="C14">
        <f t="shared" si="2"/>
        <v>3845</v>
      </c>
      <c r="D14" s="6">
        <f t="shared" si="3"/>
        <v>4320</v>
      </c>
      <c r="E14">
        <f t="shared" si="0"/>
        <v>556</v>
      </c>
      <c r="F14" s="15">
        <f t="shared" si="4"/>
        <v>0.12867321574174848</v>
      </c>
      <c r="G14" s="29"/>
      <c r="I14">
        <f t="shared" si="5"/>
        <v>775</v>
      </c>
      <c r="J14">
        <f t="shared" si="1"/>
        <v>19375</v>
      </c>
      <c r="K14" s="8"/>
    </row>
    <row r="15" spans="2:11" x14ac:dyDescent="0.2">
      <c r="B15" s="7"/>
      <c r="C15">
        <f t="shared" si="2"/>
        <v>3845</v>
      </c>
      <c r="D15" s="6">
        <f t="shared" si="3"/>
        <v>4420</v>
      </c>
      <c r="E15">
        <f t="shared" si="0"/>
        <v>578</v>
      </c>
      <c r="F15" s="15">
        <f t="shared" si="4"/>
        <v>0.13079513511747026</v>
      </c>
      <c r="G15" s="29"/>
      <c r="I15">
        <f t="shared" si="5"/>
        <v>800</v>
      </c>
      <c r="J15">
        <f t="shared" si="1"/>
        <v>20000</v>
      </c>
      <c r="K15" s="8"/>
    </row>
    <row r="16" spans="2:11" x14ac:dyDescent="0.2">
      <c r="B16" s="7"/>
      <c r="C16">
        <f t="shared" si="2"/>
        <v>3845</v>
      </c>
      <c r="D16" s="6">
        <f t="shared" si="3"/>
        <v>4520</v>
      </c>
      <c r="E16">
        <f t="shared" si="0"/>
        <v>600</v>
      </c>
      <c r="F16" s="15">
        <f t="shared" si="4"/>
        <v>0.13284651135226169</v>
      </c>
      <c r="G16" s="29"/>
      <c r="I16">
        <f t="shared" si="5"/>
        <v>825</v>
      </c>
      <c r="J16">
        <f t="shared" si="1"/>
        <v>20625</v>
      </c>
      <c r="K16" s="8"/>
    </row>
    <row r="17" spans="1:14" x14ac:dyDescent="0.2">
      <c r="B17" s="7"/>
      <c r="C17">
        <f t="shared" si="2"/>
        <v>3845</v>
      </c>
      <c r="D17" s="6">
        <f t="shared" si="3"/>
        <v>4620</v>
      </c>
      <c r="E17">
        <f t="shared" si="0"/>
        <v>623</v>
      </c>
      <c r="F17" s="15">
        <f t="shared" si="4"/>
        <v>0.13482968965055847</v>
      </c>
      <c r="G17" s="29"/>
      <c r="I17">
        <f t="shared" si="5"/>
        <v>850</v>
      </c>
      <c r="J17">
        <f t="shared" si="1"/>
        <v>21250</v>
      </c>
      <c r="K17" s="8"/>
    </row>
    <row r="18" spans="1:14" x14ac:dyDescent="0.2">
      <c r="B18" s="10"/>
      <c r="C18" s="4"/>
      <c r="D18" s="4"/>
      <c r="E18" s="4"/>
      <c r="F18" s="4"/>
      <c r="G18" s="4"/>
      <c r="H18" s="538" t="s">
        <v>438</v>
      </c>
      <c r="I18" s="538"/>
      <c r="J18" s="538"/>
      <c r="K18" s="539"/>
    </row>
    <row r="20" spans="1:14" ht="13.5" thickBot="1" x14ac:dyDescent="0.25">
      <c r="H20" s="1"/>
      <c r="I20" s="1"/>
      <c r="L20" t="s">
        <v>430</v>
      </c>
    </row>
    <row r="21" spans="1:14" ht="13.5" thickBot="1" x14ac:dyDescent="0.25">
      <c r="E21" t="s">
        <v>295</v>
      </c>
      <c r="F21" s="34">
        <v>0.125</v>
      </c>
      <c r="H21" s="1"/>
      <c r="I21" s="1"/>
      <c r="J21" t="s">
        <v>431</v>
      </c>
      <c r="K21" t="s">
        <v>432</v>
      </c>
      <c r="L21" s="33">
        <v>0.3</v>
      </c>
      <c r="M21" t="s">
        <v>433</v>
      </c>
    </row>
    <row r="22" spans="1:14" x14ac:dyDescent="0.2">
      <c r="A22" s="21" t="s">
        <v>99</v>
      </c>
      <c r="B22" s="3" t="s">
        <v>30</v>
      </c>
      <c r="C22" s="31"/>
      <c r="D22" s="3" t="s">
        <v>145</v>
      </c>
      <c r="E22" s="3">
        <v>4</v>
      </c>
      <c r="G22" s="3">
        <v>325</v>
      </c>
      <c r="H22" s="3">
        <v>25</v>
      </c>
      <c r="I22" s="11">
        <v>5</v>
      </c>
      <c r="J22" s="1"/>
      <c r="K22" s="1">
        <f>(K29-K28-K27)*C22</f>
        <v>0</v>
      </c>
      <c r="M22" s="1">
        <f>J22*F22*(1+L21)</f>
        <v>0</v>
      </c>
    </row>
    <row r="23" spans="1:14" x14ac:dyDescent="0.2">
      <c r="A23" s="19"/>
      <c r="C23" s="23">
        <f>1-C24</f>
        <v>0.5</v>
      </c>
      <c r="D23" t="s">
        <v>146</v>
      </c>
      <c r="F23">
        <v>3</v>
      </c>
      <c r="G23">
        <v>300</v>
      </c>
      <c r="H23">
        <v>15</v>
      </c>
      <c r="I23" s="8">
        <v>5</v>
      </c>
      <c r="J23" s="1">
        <f>K23/I23</f>
        <v>6412.7</v>
      </c>
      <c r="K23" s="1">
        <f>(K29-K28-K27)*C23</f>
        <v>32063.5</v>
      </c>
      <c r="M23" s="1">
        <f>J23*F23*(1+L21)</f>
        <v>25009.53</v>
      </c>
    </row>
    <row r="24" spans="1:14" x14ac:dyDescent="0.2">
      <c r="A24" s="19"/>
      <c r="C24" s="23">
        <v>0.5</v>
      </c>
      <c r="D24" t="s">
        <v>147</v>
      </c>
      <c r="E24">
        <f>1+F21*10</f>
        <v>2.25</v>
      </c>
      <c r="F24">
        <f>4+F21*10</f>
        <v>5.25</v>
      </c>
      <c r="G24">
        <v>1000</v>
      </c>
      <c r="H24">
        <v>55</v>
      </c>
      <c r="I24" s="8">
        <f>1.8 * MIN(6, MAX(E24,F24)) + 0.45 * MIN(6, MIN(E24,F24)) + IF(E24&gt;6, (E24-6)*0.2) + IF(F24&gt;6, (F24-6)*0.2)</f>
        <v>10.4625</v>
      </c>
      <c r="J24" s="1">
        <f>K24/I24</f>
        <v>3064.611708482676</v>
      </c>
      <c r="K24" s="1">
        <f>(K29-K28-K27)*C24</f>
        <v>32063.5</v>
      </c>
      <c r="M24" s="1">
        <f>J24*F24*(1+L21)</f>
        <v>20915.974910394267</v>
      </c>
    </row>
    <row r="25" spans="1:14" ht="13.5" thickBot="1" x14ac:dyDescent="0.25">
      <c r="A25" s="20"/>
      <c r="B25" s="4"/>
      <c r="C25" s="32"/>
      <c r="D25" s="4" t="s">
        <v>148</v>
      </c>
      <c r="E25" s="4">
        <v>6</v>
      </c>
      <c r="F25" s="4">
        <v>0</v>
      </c>
      <c r="G25" s="4">
        <v>1200</v>
      </c>
      <c r="H25" s="4">
        <v>55</v>
      </c>
      <c r="I25" s="8">
        <f>1.8 * MIN(6, MAX(E25,F25)) + 0.45 * MIN(6, MIN(E25,F25)) + IF(E25&gt;6, (E25-6)*0.2) + IF(F25&gt;6, (F25-6)*0.2)</f>
        <v>10.8</v>
      </c>
      <c r="J25" s="1"/>
      <c r="K25" s="1">
        <f>(K29-K28-K27)*C25</f>
        <v>0</v>
      </c>
      <c r="M25" s="1">
        <f>J25*F25*(1+L21)</f>
        <v>0</v>
      </c>
    </row>
    <row r="26" spans="1:14" x14ac:dyDescent="0.2">
      <c r="C26" s="2">
        <f>SUM(C22:C25)</f>
        <v>1</v>
      </c>
      <c r="D26" t="s">
        <v>24</v>
      </c>
      <c r="F26">
        <v>1</v>
      </c>
      <c r="H26" s="1"/>
      <c r="I26" t="s">
        <v>24</v>
      </c>
      <c r="J26" s="31">
        <v>5000</v>
      </c>
      <c r="M26" s="1">
        <f>J26*F26*(1+L21)</f>
        <v>6500</v>
      </c>
    </row>
    <row r="27" spans="1:14" x14ac:dyDescent="0.2">
      <c r="H27" s="1"/>
      <c r="I27" s="1" t="s">
        <v>428</v>
      </c>
      <c r="J27" s="27">
        <v>1250</v>
      </c>
      <c r="K27" s="1">
        <f>J27*25</f>
        <v>31250</v>
      </c>
      <c r="M27" s="35">
        <f>SUM(M22:M26)</f>
        <v>52425.504910394266</v>
      </c>
      <c r="N27" t="s">
        <v>433</v>
      </c>
    </row>
    <row r="28" spans="1:14" ht="13.5" thickBot="1" x14ac:dyDescent="0.25">
      <c r="H28" s="1"/>
      <c r="I28" s="1" t="s">
        <v>429</v>
      </c>
      <c r="J28" s="32">
        <v>750</v>
      </c>
      <c r="K28" s="1">
        <f>5*J28</f>
        <v>3750</v>
      </c>
    </row>
    <row r="29" spans="1:14" ht="13.5" thickBot="1" x14ac:dyDescent="0.25">
      <c r="H29" s="1"/>
      <c r="I29" s="1"/>
      <c r="K29" s="30">
        <v>99127</v>
      </c>
    </row>
    <row r="30" spans="1:14" x14ac:dyDescent="0.2">
      <c r="H30" s="1"/>
      <c r="I30" s="1"/>
    </row>
    <row r="31" spans="1:14" ht="13.5" thickBot="1" x14ac:dyDescent="0.25">
      <c r="H31" s="1"/>
      <c r="I31" s="1"/>
      <c r="L31" t="s">
        <v>442</v>
      </c>
    </row>
    <row r="32" spans="1:14" ht="13.5" thickBot="1" x14ac:dyDescent="0.25">
      <c r="H32" s="1"/>
      <c r="I32" s="1"/>
      <c r="J32" t="s">
        <v>431</v>
      </c>
      <c r="K32" t="s">
        <v>432</v>
      </c>
      <c r="L32" s="33">
        <v>0.2</v>
      </c>
      <c r="M32" t="s">
        <v>433</v>
      </c>
      <c r="N32" t="s">
        <v>444</v>
      </c>
    </row>
    <row r="33" spans="1:14" x14ac:dyDescent="0.2">
      <c r="A33" s="21" t="s">
        <v>97</v>
      </c>
      <c r="B33" s="11" t="s">
        <v>30</v>
      </c>
      <c r="C33" s="31"/>
      <c r="D33" s="9" t="s">
        <v>141</v>
      </c>
      <c r="E33" s="3">
        <v>3</v>
      </c>
      <c r="F33" s="3"/>
      <c r="G33" s="3">
        <v>325</v>
      </c>
      <c r="H33" s="3">
        <v>25</v>
      </c>
      <c r="I33" s="11">
        <v>5</v>
      </c>
      <c r="J33" s="1"/>
      <c r="K33" s="1">
        <f>(K40-K39-K38)*C33</f>
        <v>0</v>
      </c>
      <c r="M33" s="1"/>
      <c r="N33" s="1"/>
    </row>
    <row r="34" spans="1:14" x14ac:dyDescent="0.2">
      <c r="A34" s="19"/>
      <c r="B34" s="8"/>
      <c r="C34" s="23">
        <f>1-C36</f>
        <v>0.4</v>
      </c>
      <c r="D34" s="7" t="s">
        <v>142</v>
      </c>
      <c r="F34">
        <v>3</v>
      </c>
      <c r="G34">
        <v>375</v>
      </c>
      <c r="H34">
        <v>15</v>
      </c>
      <c r="I34" s="8">
        <v>5</v>
      </c>
      <c r="J34" s="1">
        <f>K34/I34</f>
        <v>14126</v>
      </c>
      <c r="K34" s="1">
        <f>(K40-K39-K38)*C34</f>
        <v>70630</v>
      </c>
      <c r="M34" s="37">
        <f>J34*F34*(1+L32)</f>
        <v>50853.599999999999</v>
      </c>
      <c r="N34" s="1"/>
    </row>
    <row r="35" spans="1:14" x14ac:dyDescent="0.2">
      <c r="A35" s="19"/>
      <c r="B35" s="8"/>
      <c r="C35" s="23"/>
      <c r="D35" s="7" t="s">
        <v>354</v>
      </c>
      <c r="E35">
        <v>5</v>
      </c>
      <c r="F35">
        <v>3</v>
      </c>
      <c r="G35">
        <v>1025</v>
      </c>
      <c r="H35">
        <v>80</v>
      </c>
      <c r="I35" s="8">
        <f>1.8 * MIN(6, MAX(E35,F35)) + 0.45 * MIN(6, MIN(E35,F35)) + IF(E35&gt;6, (E35-6)*0.2) + IF(F35&gt;6, (F35-6)*0.2)</f>
        <v>10.35</v>
      </c>
      <c r="J35" s="1">
        <f>K35/I35</f>
        <v>0</v>
      </c>
      <c r="K35" s="1">
        <f>(K40-K39-K38)*C35</f>
        <v>0</v>
      </c>
      <c r="M35" s="1"/>
      <c r="N35" s="1"/>
    </row>
    <row r="36" spans="1:14" ht="13.5" thickBot="1" x14ac:dyDescent="0.25">
      <c r="A36" s="20"/>
      <c r="B36" s="12"/>
      <c r="C36" s="36">
        <v>0.6</v>
      </c>
      <c r="D36" s="10" t="s">
        <v>144</v>
      </c>
      <c r="E36" s="4">
        <v>6</v>
      </c>
      <c r="F36" s="4">
        <v>2</v>
      </c>
      <c r="G36" s="4">
        <v>1300</v>
      </c>
      <c r="H36" s="4">
        <v>80</v>
      </c>
      <c r="I36" s="8">
        <f>1.8 * MIN(6, MAX(E36,F36)) + 0.45 * MIN(6, MIN(E36,F36)) + IF(E36&gt;6, (E36-6)*0.2) + IF(F36&gt;6, (F36-6)*0.2)</f>
        <v>11.700000000000001</v>
      </c>
      <c r="J36" s="1">
        <f>K36/I36</f>
        <v>9055.1282051282051</v>
      </c>
      <c r="K36" s="1">
        <f>(K40-K39-K38)*C36</f>
        <v>105945</v>
      </c>
      <c r="M36" s="1"/>
      <c r="N36" s="37">
        <f>J36*E36</f>
        <v>54330.769230769234</v>
      </c>
    </row>
    <row r="37" spans="1:14" x14ac:dyDescent="0.2">
      <c r="F37">
        <v>1</v>
      </c>
      <c r="H37" s="1"/>
      <c r="I37" t="s">
        <v>24</v>
      </c>
      <c r="J37" s="31">
        <v>1000</v>
      </c>
      <c r="M37" s="37">
        <f>J37*F37*(1+L35)</f>
        <v>1000</v>
      </c>
      <c r="N37" s="1"/>
    </row>
    <row r="38" spans="1:14" x14ac:dyDescent="0.2">
      <c r="H38" s="1"/>
      <c r="I38" s="1" t="s">
        <v>428</v>
      </c>
      <c r="J38" s="27">
        <v>2337</v>
      </c>
      <c r="K38" s="1">
        <f>J38*25</f>
        <v>58425</v>
      </c>
      <c r="M38" s="35"/>
      <c r="N38" s="35"/>
    </row>
    <row r="39" spans="1:14" ht="13.5" thickBot="1" x14ac:dyDescent="0.25">
      <c r="H39" s="1"/>
      <c r="I39" s="1" t="s">
        <v>443</v>
      </c>
      <c r="J39" s="32">
        <v>1000</v>
      </c>
      <c r="K39" s="1">
        <f>5*J39</f>
        <v>5000</v>
      </c>
      <c r="M39" s="35">
        <f>SUM(M33:M37)</f>
        <v>51853.599999999999</v>
      </c>
      <c r="N39" s="35">
        <f>N36</f>
        <v>54330.769230769234</v>
      </c>
    </row>
    <row r="40" spans="1:14" ht="13.5" thickBot="1" x14ac:dyDescent="0.25">
      <c r="H40" s="1"/>
      <c r="I40" s="1"/>
      <c r="K40" s="30">
        <v>240000</v>
      </c>
    </row>
    <row r="41" spans="1:14" x14ac:dyDescent="0.2">
      <c r="H41" s="1"/>
      <c r="I41" s="1"/>
    </row>
    <row r="42" spans="1:14" x14ac:dyDescent="0.2">
      <c r="H42" s="1"/>
      <c r="I42" s="1"/>
    </row>
    <row r="43" spans="1:14" x14ac:dyDescent="0.2">
      <c r="H43" s="1"/>
      <c r="I43" s="1"/>
    </row>
    <row r="44" spans="1:14" x14ac:dyDescent="0.2">
      <c r="H44" s="1"/>
      <c r="I44" s="1"/>
    </row>
    <row r="45" spans="1:14" x14ac:dyDescent="0.2">
      <c r="H45" s="1"/>
      <c r="I45" s="1"/>
    </row>
    <row r="46" spans="1:14" x14ac:dyDescent="0.2">
      <c r="H46" s="1"/>
      <c r="I46" s="1"/>
    </row>
    <row r="47" spans="1:14" x14ac:dyDescent="0.2">
      <c r="H47" s="1"/>
      <c r="I47" s="1"/>
    </row>
    <row r="48" spans="1:14" x14ac:dyDescent="0.2">
      <c r="H48" s="1"/>
      <c r="I48" s="1"/>
    </row>
    <row r="49" spans="3:9" x14ac:dyDescent="0.2">
      <c r="H49" s="1"/>
      <c r="I49" s="1"/>
    </row>
    <row r="50" spans="3:9" x14ac:dyDescent="0.2">
      <c r="H50" s="1"/>
      <c r="I50" s="1"/>
    </row>
    <row r="51" spans="3:9" ht="13.5" thickBot="1" x14ac:dyDescent="0.25">
      <c r="C51" s="3" t="s">
        <v>284</v>
      </c>
      <c r="D51" s="3" t="s">
        <v>285</v>
      </c>
      <c r="E51" s="3" t="s">
        <v>237</v>
      </c>
      <c r="F51" s="3" t="s">
        <v>236</v>
      </c>
      <c r="H51" s="1"/>
      <c r="I51" s="1"/>
    </row>
    <row r="52" spans="3:9" ht="13.5" thickBot="1" x14ac:dyDescent="0.25">
      <c r="C52" s="22">
        <v>3845</v>
      </c>
      <c r="D52" s="24">
        <v>3220</v>
      </c>
      <c r="E52" s="38">
        <f>MAX(10,($F52*$D52))</f>
        <v>321.73901464653113</v>
      </c>
      <c r="F52" s="15">
        <f>MIN(0.15, 0.25 * ( 0.7 - EXP( -1.3 * $D52 / $C52 ) ))*1.1</f>
        <v>9.9918948647991029E-2</v>
      </c>
      <c r="G52">
        <v>310</v>
      </c>
      <c r="H52" s="1"/>
      <c r="I52" s="1"/>
    </row>
    <row r="53" spans="3:9" ht="13.5" thickBot="1" x14ac:dyDescent="0.25">
      <c r="C53" s="22">
        <v>3810</v>
      </c>
      <c r="D53" s="24">
        <v>3127</v>
      </c>
      <c r="E53" s="38">
        <f>MAX(10,($F53*$D53))</f>
        <v>306.08648635209335</v>
      </c>
      <c r="F53" s="15">
        <f>MIN(0.15, 0.25 * ( 0.7 - EXP( -1.3 * $D53 / $C53 ) ))*1.1</f>
        <v>9.7885029213972921E-2</v>
      </c>
      <c r="G53" s="38">
        <v>298</v>
      </c>
      <c r="H53" s="1"/>
      <c r="I53" s="1"/>
    </row>
    <row r="54" spans="3:9" ht="13.5" thickBot="1" x14ac:dyDescent="0.25">
      <c r="C54" s="22">
        <v>3643</v>
      </c>
      <c r="D54" s="24">
        <v>3042</v>
      </c>
      <c r="E54" s="38">
        <f>MAX(10,($F54*$D54))</f>
        <v>303.0641393490846</v>
      </c>
      <c r="F54" s="15">
        <f>MIN(0.15, 0.25 * ( 0.7 - EXP( -1.3 * $D54 / $C54 ) ))*1.1</f>
        <v>9.9626607281092891E-2</v>
      </c>
      <c r="G54" s="38">
        <v>294</v>
      </c>
      <c r="H54" s="1"/>
      <c r="I54" s="1"/>
    </row>
    <row r="55" spans="3:9" ht="13.5" thickBot="1" x14ac:dyDescent="0.25">
      <c r="C55" s="22">
        <v>3905</v>
      </c>
      <c r="D55" s="24">
        <v>2938</v>
      </c>
      <c r="E55" s="38">
        <f>MAX(10,($F55*$D55))</f>
        <v>261.74944508637975</v>
      </c>
      <c r="F55" s="15">
        <f>MIN(0.15, 0.25 * ( 0.7 - EXP( -1.3 * $D55 / $C55 ) ))*1.1</f>
        <v>8.9091029641381811E-2</v>
      </c>
      <c r="G55" s="38">
        <v>234</v>
      </c>
      <c r="H55" s="1"/>
      <c r="I55" s="1"/>
    </row>
    <row r="56" spans="3:9" x14ac:dyDescent="0.2">
      <c r="H56" s="1"/>
      <c r="I56" s="1"/>
    </row>
    <row r="57" spans="3:9" x14ac:dyDescent="0.2">
      <c r="H57" s="1"/>
      <c r="I57" s="1"/>
    </row>
    <row r="58" spans="3:9" x14ac:dyDescent="0.2">
      <c r="H58" s="1"/>
      <c r="I58" s="1"/>
    </row>
    <row r="59" spans="3:9" x14ac:dyDescent="0.2">
      <c r="H59" s="1"/>
      <c r="I59" s="1"/>
    </row>
    <row r="60" spans="3:9" x14ac:dyDescent="0.2">
      <c r="H60" s="1"/>
      <c r="I60" s="1"/>
    </row>
    <row r="61" spans="3:9" x14ac:dyDescent="0.2">
      <c r="H61" s="1"/>
      <c r="I61" s="1"/>
    </row>
    <row r="62" spans="3:9" x14ac:dyDescent="0.2">
      <c r="H62" s="1"/>
      <c r="I62" s="1"/>
    </row>
    <row r="63" spans="3:9" x14ac:dyDescent="0.2">
      <c r="H63" s="1"/>
      <c r="I63" s="1"/>
    </row>
    <row r="64" spans="3:9" x14ac:dyDescent="0.2">
      <c r="H64" s="1"/>
      <c r="I64" s="1"/>
    </row>
    <row r="65" spans="8:9" x14ac:dyDescent="0.2">
      <c r="H65" s="1"/>
      <c r="I65" s="1"/>
    </row>
    <row r="66" spans="8:9" x14ac:dyDescent="0.2">
      <c r="H66" s="1"/>
      <c r="I66" s="1"/>
    </row>
    <row r="67" spans="8:9" x14ac:dyDescent="0.2">
      <c r="H67" s="1"/>
      <c r="I67" s="1"/>
    </row>
    <row r="68" spans="8:9" x14ac:dyDescent="0.2">
      <c r="H68" s="1"/>
      <c r="I68" s="1"/>
    </row>
    <row r="69" spans="8:9" x14ac:dyDescent="0.2">
      <c r="H69" s="1"/>
      <c r="I69" s="1"/>
    </row>
    <row r="70" spans="8:9" x14ac:dyDescent="0.2">
      <c r="H70" s="1"/>
      <c r="I70" s="1"/>
    </row>
    <row r="71" spans="8:9" x14ac:dyDescent="0.2">
      <c r="H71" s="1"/>
      <c r="I71" s="1"/>
    </row>
    <row r="72" spans="8:9" x14ac:dyDescent="0.2">
      <c r="H72" s="1"/>
      <c r="I72" s="1"/>
    </row>
    <row r="73" spans="8:9" x14ac:dyDescent="0.2">
      <c r="H73" s="1"/>
      <c r="I73" s="1"/>
    </row>
    <row r="74" spans="8:9" x14ac:dyDescent="0.2">
      <c r="H74" s="1"/>
      <c r="I74" s="1"/>
    </row>
    <row r="75" spans="8:9" x14ac:dyDescent="0.2">
      <c r="H75" s="1"/>
      <c r="I75" s="1"/>
    </row>
    <row r="76" spans="8:9" x14ac:dyDescent="0.2">
      <c r="H76" s="1"/>
      <c r="I76" s="1"/>
    </row>
    <row r="77" spans="8:9" x14ac:dyDescent="0.2">
      <c r="H77" s="1"/>
      <c r="I77" s="1"/>
    </row>
    <row r="78" spans="8:9" x14ac:dyDescent="0.2">
      <c r="H78" s="1"/>
      <c r="I78" s="1"/>
    </row>
    <row r="79" spans="8:9" x14ac:dyDescent="0.2">
      <c r="H79" s="1"/>
      <c r="I79" s="1"/>
    </row>
    <row r="80" spans="8:9" x14ac:dyDescent="0.2">
      <c r="H80" s="1"/>
      <c r="I80" s="1"/>
    </row>
    <row r="81" spans="8:9" x14ac:dyDescent="0.2">
      <c r="H81" s="1"/>
      <c r="I81" s="1"/>
    </row>
    <row r="82" spans="8:9" x14ac:dyDescent="0.2">
      <c r="H82" s="1"/>
      <c r="I82" s="1"/>
    </row>
    <row r="83" spans="8:9" x14ac:dyDescent="0.2">
      <c r="H83" s="1"/>
      <c r="I83" s="1"/>
    </row>
    <row r="84" spans="8:9" x14ac:dyDescent="0.2">
      <c r="H84" s="1"/>
      <c r="I84" s="1"/>
    </row>
    <row r="85" spans="8:9" x14ac:dyDescent="0.2">
      <c r="H85" s="1"/>
      <c r="I85" s="1"/>
    </row>
    <row r="86" spans="8:9" x14ac:dyDescent="0.2">
      <c r="H86" s="1"/>
      <c r="I86" s="1"/>
    </row>
    <row r="87" spans="8:9" x14ac:dyDescent="0.2">
      <c r="H87" s="1"/>
      <c r="I87" s="1"/>
    </row>
    <row r="88" spans="8:9" x14ac:dyDescent="0.2">
      <c r="H88" s="1"/>
      <c r="I88" s="1"/>
    </row>
    <row r="89" spans="8:9" x14ac:dyDescent="0.2">
      <c r="H89" s="1"/>
      <c r="I89" s="1"/>
    </row>
    <row r="90" spans="8:9" x14ac:dyDescent="0.2">
      <c r="H90" s="1"/>
      <c r="I90" s="1"/>
    </row>
    <row r="91" spans="8:9" x14ac:dyDescent="0.2">
      <c r="H91" s="1"/>
      <c r="I91" s="1"/>
    </row>
    <row r="92" spans="8:9" x14ac:dyDescent="0.2">
      <c r="H92" s="1"/>
      <c r="I92" s="1"/>
    </row>
    <row r="93" spans="8:9" x14ac:dyDescent="0.2">
      <c r="H93" s="1"/>
      <c r="I93" s="1"/>
    </row>
    <row r="94" spans="8:9" x14ac:dyDescent="0.2">
      <c r="H94" s="1"/>
      <c r="I94" s="1"/>
    </row>
    <row r="95" spans="8:9" x14ac:dyDescent="0.2">
      <c r="H95" s="1"/>
      <c r="I95" s="1"/>
    </row>
    <row r="96" spans="8:9" x14ac:dyDescent="0.2">
      <c r="H96" s="1"/>
      <c r="I96" s="1"/>
    </row>
    <row r="97" spans="8:9" x14ac:dyDescent="0.2">
      <c r="H97" s="1"/>
      <c r="I97" s="1"/>
    </row>
    <row r="98" spans="8:9" x14ac:dyDescent="0.2">
      <c r="H98" s="1"/>
      <c r="I98" s="1"/>
    </row>
    <row r="99" spans="8:9" x14ac:dyDescent="0.2">
      <c r="H99" s="1"/>
      <c r="I99" s="1"/>
    </row>
    <row r="100" spans="8:9" x14ac:dyDescent="0.2">
      <c r="H100" s="1"/>
      <c r="I100" s="1"/>
    </row>
    <row r="101" spans="8:9" x14ac:dyDescent="0.2">
      <c r="H101" s="1"/>
      <c r="I101" s="1"/>
    </row>
    <row r="102" spans="8:9" x14ac:dyDescent="0.2">
      <c r="H102" s="1"/>
      <c r="I102" s="1"/>
    </row>
    <row r="103" spans="8:9" x14ac:dyDescent="0.2">
      <c r="H103" s="1"/>
      <c r="I103" s="1"/>
    </row>
    <row r="104" spans="8:9" x14ac:dyDescent="0.2">
      <c r="H104" s="1"/>
      <c r="I104" s="1"/>
    </row>
    <row r="105" spans="8:9" x14ac:dyDescent="0.2">
      <c r="H105" s="1"/>
      <c r="I105" s="1"/>
    </row>
    <row r="106" spans="8:9" x14ac:dyDescent="0.2">
      <c r="H106" s="1"/>
      <c r="I106" s="1"/>
    </row>
    <row r="107" spans="8:9" x14ac:dyDescent="0.2">
      <c r="H107" s="1"/>
      <c r="I107" s="1"/>
    </row>
    <row r="108" spans="8:9" x14ac:dyDescent="0.2">
      <c r="H108" s="1"/>
      <c r="I108" s="1"/>
    </row>
    <row r="109" spans="8:9" x14ac:dyDescent="0.2">
      <c r="H109" s="1"/>
      <c r="I109" s="1"/>
    </row>
    <row r="110" spans="8:9" x14ac:dyDescent="0.2">
      <c r="H110" s="1"/>
      <c r="I110" s="1"/>
    </row>
    <row r="111" spans="8:9" x14ac:dyDescent="0.2">
      <c r="H111" s="1"/>
      <c r="I111" s="1"/>
    </row>
    <row r="112" spans="8:9" x14ac:dyDescent="0.2">
      <c r="H112" s="1"/>
      <c r="I112" s="1"/>
    </row>
    <row r="113" spans="8:9" x14ac:dyDescent="0.2">
      <c r="H113" s="1"/>
      <c r="I113" s="1"/>
    </row>
    <row r="114" spans="8:9" x14ac:dyDescent="0.2">
      <c r="H114" s="1"/>
      <c r="I114" s="1"/>
    </row>
    <row r="115" spans="8:9" x14ac:dyDescent="0.2">
      <c r="H115" s="1"/>
      <c r="I115" s="1"/>
    </row>
    <row r="116" spans="8:9" x14ac:dyDescent="0.2">
      <c r="H116" s="1"/>
      <c r="I116" s="1"/>
    </row>
    <row r="117" spans="8:9" x14ac:dyDescent="0.2">
      <c r="H117" s="1"/>
      <c r="I117" s="1"/>
    </row>
    <row r="118" spans="8:9" x14ac:dyDescent="0.2">
      <c r="H118" s="1"/>
      <c r="I118" s="1"/>
    </row>
    <row r="119" spans="8:9" x14ac:dyDescent="0.2">
      <c r="H119" s="1"/>
      <c r="I119" s="1"/>
    </row>
    <row r="120" spans="8:9" x14ac:dyDescent="0.2">
      <c r="H120" s="1"/>
      <c r="I120" s="1"/>
    </row>
    <row r="121" spans="8:9" x14ac:dyDescent="0.2">
      <c r="H121" s="1"/>
      <c r="I121" s="1"/>
    </row>
    <row r="122" spans="8:9" x14ac:dyDescent="0.2">
      <c r="H122" s="1"/>
      <c r="I122" s="1"/>
    </row>
    <row r="123" spans="8:9" x14ac:dyDescent="0.2">
      <c r="H123" s="1"/>
      <c r="I123" s="1"/>
    </row>
    <row r="124" spans="8:9" x14ac:dyDescent="0.2">
      <c r="H124" s="1"/>
      <c r="I124" s="1"/>
    </row>
    <row r="125" spans="8:9" x14ac:dyDescent="0.2">
      <c r="H125" s="1"/>
      <c r="I125" s="1"/>
    </row>
    <row r="126" spans="8:9" x14ac:dyDescent="0.2">
      <c r="H126" s="1"/>
      <c r="I126" s="1"/>
    </row>
    <row r="127" spans="8:9" x14ac:dyDescent="0.2">
      <c r="H127" s="1"/>
      <c r="I127" s="1"/>
    </row>
    <row r="128" spans="8:9" x14ac:dyDescent="0.2">
      <c r="H128" s="1"/>
      <c r="I128" s="1"/>
    </row>
    <row r="129" spans="8:9" x14ac:dyDescent="0.2">
      <c r="H129" s="1"/>
      <c r="I129" s="1"/>
    </row>
    <row r="130" spans="8:9" x14ac:dyDescent="0.2">
      <c r="H130" s="1"/>
      <c r="I130" s="1"/>
    </row>
    <row r="131" spans="8:9" x14ac:dyDescent="0.2">
      <c r="H131" s="1"/>
      <c r="I131" s="1"/>
    </row>
    <row r="132" spans="8:9" x14ac:dyDescent="0.2">
      <c r="H132" s="1"/>
      <c r="I132" s="1"/>
    </row>
    <row r="133" spans="8:9" x14ac:dyDescent="0.2">
      <c r="H133" s="1"/>
      <c r="I133" s="1"/>
    </row>
    <row r="134" spans="8:9" x14ac:dyDescent="0.2">
      <c r="H134" s="1"/>
      <c r="I134" s="1"/>
    </row>
    <row r="135" spans="8:9" x14ac:dyDescent="0.2">
      <c r="H135" s="1"/>
      <c r="I135" s="1"/>
    </row>
    <row r="136" spans="8:9" x14ac:dyDescent="0.2">
      <c r="H136" s="1"/>
      <c r="I136" s="1"/>
    </row>
    <row r="137" spans="8:9" x14ac:dyDescent="0.2">
      <c r="H137" s="1"/>
      <c r="I137" s="1"/>
    </row>
    <row r="138" spans="8:9" x14ac:dyDescent="0.2">
      <c r="H138" s="1"/>
      <c r="I138" s="1"/>
    </row>
    <row r="139" spans="8:9" x14ac:dyDescent="0.2">
      <c r="H139" s="1"/>
      <c r="I139" s="1"/>
    </row>
    <row r="140" spans="8:9" x14ac:dyDescent="0.2">
      <c r="H140" s="1"/>
      <c r="I140" s="1"/>
    </row>
    <row r="141" spans="8:9" x14ac:dyDescent="0.2">
      <c r="H141" s="1"/>
      <c r="I141" s="1"/>
    </row>
    <row r="142" spans="8:9" x14ac:dyDescent="0.2">
      <c r="H142" s="1"/>
      <c r="I142" s="1"/>
    </row>
    <row r="143" spans="8:9" x14ac:dyDescent="0.2">
      <c r="H143" s="1"/>
      <c r="I143" s="1"/>
    </row>
    <row r="144" spans="8:9" x14ac:dyDescent="0.2">
      <c r="H144" s="1"/>
      <c r="I144" s="1"/>
    </row>
    <row r="145" spans="8:9" x14ac:dyDescent="0.2">
      <c r="H145" s="1"/>
      <c r="I145" s="1"/>
    </row>
    <row r="146" spans="8:9" x14ac:dyDescent="0.2">
      <c r="H146" s="1"/>
      <c r="I146" s="1"/>
    </row>
    <row r="147" spans="8:9" x14ac:dyDescent="0.2">
      <c r="H147" s="1"/>
      <c r="I147" s="1"/>
    </row>
    <row r="148" spans="8:9" x14ac:dyDescent="0.2">
      <c r="H148" s="1"/>
      <c r="I148" s="1"/>
    </row>
    <row r="149" spans="8:9" x14ac:dyDescent="0.2">
      <c r="H149" s="1"/>
      <c r="I149" s="1"/>
    </row>
    <row r="150" spans="8:9" x14ac:dyDescent="0.2">
      <c r="H150" s="1"/>
      <c r="I150" s="1"/>
    </row>
    <row r="151" spans="8:9" x14ac:dyDescent="0.2">
      <c r="H151" s="1"/>
      <c r="I151" s="1"/>
    </row>
    <row r="152" spans="8:9" x14ac:dyDescent="0.2">
      <c r="H152" s="1"/>
      <c r="I152" s="1"/>
    </row>
    <row r="153" spans="8:9" x14ac:dyDescent="0.2">
      <c r="H153" s="1"/>
      <c r="I153" s="1"/>
    </row>
    <row r="154" spans="8:9" x14ac:dyDescent="0.2">
      <c r="H154" s="1"/>
      <c r="I154" s="1"/>
    </row>
    <row r="155" spans="8:9" x14ac:dyDescent="0.2">
      <c r="H155" s="1"/>
      <c r="I155" s="1"/>
    </row>
    <row r="156" spans="8:9" x14ac:dyDescent="0.2">
      <c r="H156" s="1"/>
      <c r="I156" s="1"/>
    </row>
    <row r="157" spans="8:9" x14ac:dyDescent="0.2">
      <c r="H157" s="1"/>
      <c r="I157" s="1"/>
    </row>
    <row r="158" spans="8:9" x14ac:dyDescent="0.2">
      <c r="H158" s="1"/>
      <c r="I158" s="1"/>
    </row>
    <row r="159" spans="8:9" x14ac:dyDescent="0.2">
      <c r="H159" s="1"/>
      <c r="I159" s="1"/>
    </row>
    <row r="160" spans="8:9" x14ac:dyDescent="0.2">
      <c r="H160" s="1"/>
      <c r="I160" s="1"/>
    </row>
    <row r="161" spans="8:9" x14ac:dyDescent="0.2">
      <c r="H161" s="1"/>
      <c r="I161" s="1"/>
    </row>
    <row r="162" spans="8:9" x14ac:dyDescent="0.2">
      <c r="H162" s="1"/>
      <c r="I162" s="1"/>
    </row>
    <row r="163" spans="8:9" x14ac:dyDescent="0.2">
      <c r="H163" s="1"/>
      <c r="I163" s="1"/>
    </row>
    <row r="164" spans="8:9" x14ac:dyDescent="0.2">
      <c r="H164" s="1"/>
      <c r="I164" s="1"/>
    </row>
    <row r="165" spans="8:9" x14ac:dyDescent="0.2">
      <c r="H165" s="1"/>
      <c r="I165" s="1"/>
    </row>
    <row r="166" spans="8:9" x14ac:dyDescent="0.2">
      <c r="H166" s="1"/>
      <c r="I166" s="1"/>
    </row>
    <row r="167" spans="8:9" x14ac:dyDescent="0.2">
      <c r="H167" s="1"/>
      <c r="I167" s="1"/>
    </row>
    <row r="168" spans="8:9" x14ac:dyDescent="0.2">
      <c r="H168" s="1"/>
      <c r="I168" s="1"/>
    </row>
    <row r="169" spans="8:9" x14ac:dyDescent="0.2">
      <c r="H169" s="1"/>
      <c r="I169" s="1"/>
    </row>
    <row r="170" spans="8:9" x14ac:dyDescent="0.2">
      <c r="H170" s="1"/>
      <c r="I170" s="1"/>
    </row>
    <row r="171" spans="8:9" x14ac:dyDescent="0.2">
      <c r="H171" s="1"/>
      <c r="I171" s="1"/>
    </row>
    <row r="172" spans="8:9" x14ac:dyDescent="0.2">
      <c r="H172" s="1"/>
      <c r="I172" s="1"/>
    </row>
    <row r="173" spans="8:9" x14ac:dyDescent="0.2">
      <c r="H173" s="1"/>
      <c r="I173" s="1"/>
    </row>
    <row r="174" spans="8:9" x14ac:dyDescent="0.2">
      <c r="H174" s="1"/>
      <c r="I174" s="1"/>
    </row>
    <row r="175" spans="8:9" x14ac:dyDescent="0.2">
      <c r="H175" s="1"/>
      <c r="I175" s="1"/>
    </row>
    <row r="176" spans="8:9" x14ac:dyDescent="0.2">
      <c r="H176" s="1"/>
      <c r="I176" s="1"/>
    </row>
    <row r="177" spans="8:9" x14ac:dyDescent="0.2">
      <c r="H177" s="1"/>
      <c r="I177" s="1"/>
    </row>
    <row r="178" spans="8:9" x14ac:dyDescent="0.2">
      <c r="H178" s="1"/>
      <c r="I178" s="1"/>
    </row>
    <row r="179" spans="8:9" x14ac:dyDescent="0.2">
      <c r="H179" s="1"/>
      <c r="I179" s="1"/>
    </row>
    <row r="180" spans="8:9" x14ac:dyDescent="0.2">
      <c r="H180" s="1"/>
      <c r="I180" s="1"/>
    </row>
    <row r="181" spans="8:9" x14ac:dyDescent="0.2">
      <c r="H181" s="1"/>
      <c r="I181" s="1"/>
    </row>
    <row r="182" spans="8:9" x14ac:dyDescent="0.2">
      <c r="H182" s="1"/>
      <c r="I182" s="1"/>
    </row>
    <row r="183" spans="8:9" x14ac:dyDescent="0.2">
      <c r="H183" s="1"/>
      <c r="I183" s="1"/>
    </row>
    <row r="184" spans="8:9" x14ac:dyDescent="0.2">
      <c r="H184" s="1"/>
      <c r="I184" s="1"/>
    </row>
    <row r="185" spans="8:9" x14ac:dyDescent="0.2">
      <c r="H185" s="1"/>
      <c r="I185" s="1"/>
    </row>
    <row r="186" spans="8:9" x14ac:dyDescent="0.2">
      <c r="H186" s="1"/>
      <c r="I186" s="1"/>
    </row>
    <row r="187" spans="8:9" x14ac:dyDescent="0.2">
      <c r="H187" s="1"/>
      <c r="I187" s="1"/>
    </row>
    <row r="188" spans="8:9" x14ac:dyDescent="0.2">
      <c r="H188" s="1"/>
      <c r="I188" s="1"/>
    </row>
    <row r="189" spans="8:9" x14ac:dyDescent="0.2">
      <c r="H189" s="1"/>
      <c r="I189" s="1"/>
    </row>
    <row r="190" spans="8:9" x14ac:dyDescent="0.2">
      <c r="H190" s="1"/>
      <c r="I190" s="1"/>
    </row>
    <row r="191" spans="8:9" x14ac:dyDescent="0.2">
      <c r="H191" s="1"/>
      <c r="I191" s="1"/>
    </row>
    <row r="192" spans="8:9" x14ac:dyDescent="0.2">
      <c r="H192" s="1"/>
      <c r="I192" s="1"/>
    </row>
    <row r="193" spans="8:9" x14ac:dyDescent="0.2">
      <c r="H193" s="1"/>
      <c r="I193" s="1"/>
    </row>
    <row r="194" spans="8:9" x14ac:dyDescent="0.2">
      <c r="H194" s="1"/>
      <c r="I194" s="1"/>
    </row>
    <row r="195" spans="8:9" x14ac:dyDescent="0.2">
      <c r="H195" s="1"/>
      <c r="I195" s="1"/>
    </row>
    <row r="196" spans="8:9" x14ac:dyDescent="0.2">
      <c r="H196" s="1"/>
      <c r="I196" s="1"/>
    </row>
    <row r="197" spans="8:9" x14ac:dyDescent="0.2">
      <c r="H197" s="1"/>
      <c r="I197" s="1"/>
    </row>
    <row r="198" spans="8:9" x14ac:dyDescent="0.2">
      <c r="H198" s="1"/>
      <c r="I198" s="1"/>
    </row>
    <row r="199" spans="8:9" x14ac:dyDescent="0.2">
      <c r="H199" s="1"/>
      <c r="I199" s="1"/>
    </row>
    <row r="200" spans="8:9" x14ac:dyDescent="0.2">
      <c r="H200" s="1"/>
      <c r="I200" s="1"/>
    </row>
    <row r="201" spans="8:9" x14ac:dyDescent="0.2">
      <c r="H201" s="1"/>
      <c r="I201" s="1"/>
    </row>
    <row r="202" spans="8:9" x14ac:dyDescent="0.2">
      <c r="H202" s="1"/>
      <c r="I202" s="1"/>
    </row>
    <row r="203" spans="8:9" x14ac:dyDescent="0.2">
      <c r="H203" s="1"/>
      <c r="I203" s="1"/>
    </row>
    <row r="204" spans="8:9" x14ac:dyDescent="0.2">
      <c r="H204" s="1"/>
      <c r="I204" s="1"/>
    </row>
    <row r="205" spans="8:9" x14ac:dyDescent="0.2">
      <c r="H205" s="1"/>
      <c r="I205" s="1"/>
    </row>
    <row r="206" spans="8:9" x14ac:dyDescent="0.2">
      <c r="H206" s="1"/>
      <c r="I206" s="1"/>
    </row>
    <row r="207" spans="8:9" x14ac:dyDescent="0.2">
      <c r="H207" s="1"/>
      <c r="I207" s="1"/>
    </row>
    <row r="208" spans="8:9" x14ac:dyDescent="0.2">
      <c r="H208" s="1"/>
      <c r="I208" s="1"/>
    </row>
    <row r="209" spans="8:9" x14ac:dyDescent="0.2">
      <c r="H209" s="1"/>
      <c r="I209" s="1"/>
    </row>
    <row r="210" spans="8:9" x14ac:dyDescent="0.2">
      <c r="H210" s="1"/>
      <c r="I210" s="1"/>
    </row>
    <row r="211" spans="8:9" x14ac:dyDescent="0.2">
      <c r="H211" s="1"/>
      <c r="I211" s="1"/>
    </row>
    <row r="212" spans="8:9" x14ac:dyDescent="0.2">
      <c r="H212" s="1"/>
      <c r="I212" s="1"/>
    </row>
    <row r="213" spans="8:9" x14ac:dyDescent="0.2">
      <c r="H213" s="1"/>
      <c r="I213" s="1"/>
    </row>
    <row r="214" spans="8:9" x14ac:dyDescent="0.2">
      <c r="H214" s="1"/>
      <c r="I214" s="1"/>
    </row>
    <row r="215" spans="8:9" x14ac:dyDescent="0.2">
      <c r="H215" s="1"/>
      <c r="I215" s="1"/>
    </row>
    <row r="216" spans="8:9" x14ac:dyDescent="0.2">
      <c r="H216" s="1"/>
      <c r="I216" s="1"/>
    </row>
    <row r="217" spans="8:9" x14ac:dyDescent="0.2">
      <c r="H217" s="1"/>
      <c r="I217" s="1"/>
    </row>
    <row r="218" spans="8:9" x14ac:dyDescent="0.2">
      <c r="H218" s="1"/>
      <c r="I218" s="1"/>
    </row>
    <row r="219" spans="8:9" x14ac:dyDescent="0.2">
      <c r="H219" s="1"/>
      <c r="I219" s="1"/>
    </row>
    <row r="220" spans="8:9" x14ac:dyDescent="0.2">
      <c r="H220" s="1"/>
      <c r="I220" s="1"/>
    </row>
    <row r="221" spans="8:9" x14ac:dyDescent="0.2">
      <c r="H221" s="1"/>
      <c r="I221" s="1"/>
    </row>
    <row r="222" spans="8:9" x14ac:dyDescent="0.2">
      <c r="H222" s="1"/>
      <c r="I222" s="1"/>
    </row>
    <row r="223" spans="8:9" x14ac:dyDescent="0.2">
      <c r="H223" s="1"/>
      <c r="I223" s="1"/>
    </row>
    <row r="224" spans="8:9" x14ac:dyDescent="0.2">
      <c r="H224" s="1"/>
      <c r="I224" s="1"/>
    </row>
    <row r="225" spans="8:9" x14ac:dyDescent="0.2">
      <c r="H225" s="1"/>
      <c r="I225" s="1"/>
    </row>
    <row r="226" spans="8:9" x14ac:dyDescent="0.2">
      <c r="H226" s="1"/>
      <c r="I226" s="1"/>
    </row>
    <row r="227" spans="8:9" x14ac:dyDescent="0.2">
      <c r="H227" s="1"/>
      <c r="I227" s="1"/>
    </row>
    <row r="228" spans="8:9" x14ac:dyDescent="0.2">
      <c r="H228" s="1"/>
      <c r="I228" s="1"/>
    </row>
    <row r="229" spans="8:9" x14ac:dyDescent="0.2">
      <c r="H229" s="1"/>
      <c r="I229" s="1"/>
    </row>
    <row r="230" spans="8:9" x14ac:dyDescent="0.2">
      <c r="H230" s="1"/>
      <c r="I230" s="1"/>
    </row>
    <row r="231" spans="8:9" x14ac:dyDescent="0.2">
      <c r="H231" s="1"/>
      <c r="I231" s="1"/>
    </row>
    <row r="232" spans="8:9" x14ac:dyDescent="0.2">
      <c r="H232" s="1"/>
      <c r="I232" s="1"/>
    </row>
    <row r="233" spans="8:9" x14ac:dyDescent="0.2">
      <c r="H233" s="1"/>
      <c r="I233" s="1"/>
    </row>
    <row r="234" spans="8:9" x14ac:dyDescent="0.2">
      <c r="H234" s="1"/>
      <c r="I234" s="1"/>
    </row>
    <row r="235" spans="8:9" x14ac:dyDescent="0.2">
      <c r="H235" s="1"/>
      <c r="I235" s="1"/>
    </row>
    <row r="236" spans="8:9" x14ac:dyDescent="0.2">
      <c r="H236" s="1"/>
      <c r="I236" s="1"/>
    </row>
    <row r="237" spans="8:9" x14ac:dyDescent="0.2">
      <c r="H237" s="1"/>
      <c r="I237" s="1"/>
    </row>
    <row r="238" spans="8:9" x14ac:dyDescent="0.2">
      <c r="H238" s="1"/>
      <c r="I238" s="1"/>
    </row>
    <row r="239" spans="8:9" x14ac:dyDescent="0.2">
      <c r="H239" s="1"/>
      <c r="I239" s="1"/>
    </row>
    <row r="240" spans="8:9" x14ac:dyDescent="0.2">
      <c r="H240" s="1"/>
      <c r="I240" s="1"/>
    </row>
    <row r="241" spans="8:9" x14ac:dyDescent="0.2">
      <c r="H241" s="1"/>
      <c r="I241" s="1"/>
    </row>
    <row r="242" spans="8:9" x14ac:dyDescent="0.2">
      <c r="H242" s="1"/>
      <c r="I242" s="1"/>
    </row>
    <row r="243" spans="8:9" x14ac:dyDescent="0.2">
      <c r="H243" s="1"/>
      <c r="I243" s="1"/>
    </row>
    <row r="244" spans="8:9" x14ac:dyDescent="0.2">
      <c r="H244" s="1"/>
      <c r="I244" s="1"/>
    </row>
    <row r="245" spans="8:9" x14ac:dyDescent="0.2">
      <c r="H245" s="1"/>
      <c r="I245" s="1"/>
    </row>
    <row r="246" spans="8:9" x14ac:dyDescent="0.2">
      <c r="H246" s="1"/>
      <c r="I246" s="1"/>
    </row>
    <row r="247" spans="8:9" x14ac:dyDescent="0.2">
      <c r="H247" s="1"/>
      <c r="I247" s="1"/>
    </row>
    <row r="248" spans="8:9" x14ac:dyDescent="0.2">
      <c r="H248" s="1"/>
      <c r="I248" s="1"/>
    </row>
    <row r="249" spans="8:9" x14ac:dyDescent="0.2">
      <c r="H249" s="1"/>
      <c r="I249" s="1"/>
    </row>
    <row r="250" spans="8:9" x14ac:dyDescent="0.2">
      <c r="H250" s="1"/>
      <c r="I250" s="1"/>
    </row>
    <row r="251" spans="8:9" x14ac:dyDescent="0.2">
      <c r="H251" s="1"/>
      <c r="I251" s="1"/>
    </row>
    <row r="252" spans="8:9" x14ac:dyDescent="0.2">
      <c r="H252" s="1"/>
      <c r="I252" s="1"/>
    </row>
    <row r="253" spans="8:9" x14ac:dyDescent="0.2">
      <c r="H253" s="1"/>
      <c r="I253" s="1"/>
    </row>
    <row r="254" spans="8:9" x14ac:dyDescent="0.2">
      <c r="H254" s="1"/>
      <c r="I254" s="1"/>
    </row>
    <row r="255" spans="8:9" x14ac:dyDescent="0.2">
      <c r="H255" s="1"/>
      <c r="I255" s="1"/>
    </row>
    <row r="256" spans="8:9" x14ac:dyDescent="0.2">
      <c r="H256" s="1"/>
      <c r="I256" s="1"/>
    </row>
    <row r="257" spans="8:9" x14ac:dyDescent="0.2">
      <c r="H257" s="1"/>
      <c r="I257" s="1"/>
    </row>
    <row r="258" spans="8:9" x14ac:dyDescent="0.2">
      <c r="H258" s="1"/>
      <c r="I258" s="1"/>
    </row>
    <row r="259" spans="8:9" x14ac:dyDescent="0.2">
      <c r="H259" s="1"/>
      <c r="I259" s="1"/>
    </row>
    <row r="260" spans="8:9" x14ac:dyDescent="0.2">
      <c r="H260" s="1"/>
      <c r="I260" s="1"/>
    </row>
    <row r="261" spans="8:9" x14ac:dyDescent="0.2">
      <c r="H261" s="1"/>
      <c r="I261" s="1"/>
    </row>
    <row r="262" spans="8:9" x14ac:dyDescent="0.2">
      <c r="H262" s="1"/>
      <c r="I262" s="1"/>
    </row>
    <row r="263" spans="8:9" x14ac:dyDescent="0.2">
      <c r="H263" s="1"/>
      <c r="I263" s="1"/>
    </row>
    <row r="264" spans="8:9" x14ac:dyDescent="0.2">
      <c r="H264" s="1"/>
      <c r="I264" s="1"/>
    </row>
    <row r="265" spans="8:9" x14ac:dyDescent="0.2">
      <c r="H265" s="1"/>
      <c r="I265" s="1"/>
    </row>
    <row r="266" spans="8:9" x14ac:dyDescent="0.2">
      <c r="H266" s="1"/>
      <c r="I266" s="1"/>
    </row>
    <row r="267" spans="8:9" x14ac:dyDescent="0.2">
      <c r="H267" s="1"/>
      <c r="I267" s="1"/>
    </row>
    <row r="268" spans="8:9" x14ac:dyDescent="0.2">
      <c r="H268" s="1"/>
      <c r="I268" s="1"/>
    </row>
    <row r="269" spans="8:9" x14ac:dyDescent="0.2">
      <c r="H269" s="1"/>
      <c r="I269" s="1"/>
    </row>
    <row r="270" spans="8:9" x14ac:dyDescent="0.2">
      <c r="H270" s="1"/>
      <c r="I270" s="1"/>
    </row>
    <row r="271" spans="8:9" x14ac:dyDescent="0.2">
      <c r="H271" s="1"/>
      <c r="I271" s="1"/>
    </row>
    <row r="272" spans="8:9" x14ac:dyDescent="0.2">
      <c r="H272" s="1"/>
      <c r="I272" s="1"/>
    </row>
    <row r="273" spans="8:9" x14ac:dyDescent="0.2">
      <c r="H273" s="1"/>
      <c r="I273" s="1"/>
    </row>
    <row r="274" spans="8:9" x14ac:dyDescent="0.2">
      <c r="H274" s="1"/>
      <c r="I274" s="1"/>
    </row>
    <row r="275" spans="8:9" x14ac:dyDescent="0.2">
      <c r="H275" s="1"/>
      <c r="I275" s="1"/>
    </row>
    <row r="276" spans="8:9" x14ac:dyDescent="0.2">
      <c r="H276" s="1"/>
      <c r="I276" s="1"/>
    </row>
    <row r="277" spans="8:9" x14ac:dyDescent="0.2">
      <c r="H277" s="1"/>
      <c r="I277" s="1"/>
    </row>
    <row r="278" spans="8:9" x14ac:dyDescent="0.2">
      <c r="H278" s="1"/>
      <c r="I278" s="1"/>
    </row>
    <row r="279" spans="8:9" x14ac:dyDescent="0.2">
      <c r="H279" s="1"/>
      <c r="I279" s="1"/>
    </row>
    <row r="280" spans="8:9" x14ac:dyDescent="0.2">
      <c r="H280" s="1"/>
      <c r="I280" s="1"/>
    </row>
    <row r="281" spans="8:9" x14ac:dyDescent="0.2">
      <c r="H281" s="1"/>
      <c r="I281" s="1"/>
    </row>
    <row r="282" spans="8:9" x14ac:dyDescent="0.2">
      <c r="H282" s="1"/>
      <c r="I282" s="1"/>
    </row>
    <row r="283" spans="8:9" x14ac:dyDescent="0.2">
      <c r="H283" s="1"/>
      <c r="I283" s="1"/>
    </row>
    <row r="284" spans="8:9" x14ac:dyDescent="0.2">
      <c r="H284" s="1"/>
      <c r="I284" s="1"/>
    </row>
    <row r="285" spans="8:9" x14ac:dyDescent="0.2">
      <c r="H285" s="1"/>
      <c r="I285" s="1"/>
    </row>
    <row r="286" spans="8:9" x14ac:dyDescent="0.2">
      <c r="H286" s="1"/>
      <c r="I286" s="1"/>
    </row>
    <row r="287" spans="8:9" x14ac:dyDescent="0.2">
      <c r="H287" s="1"/>
      <c r="I287" s="1"/>
    </row>
    <row r="288" spans="8:9" x14ac:dyDescent="0.2">
      <c r="H288" s="1"/>
      <c r="I288" s="1"/>
    </row>
    <row r="289" spans="8:9" x14ac:dyDescent="0.2">
      <c r="H289" s="1"/>
      <c r="I289" s="1"/>
    </row>
    <row r="290" spans="8:9" x14ac:dyDescent="0.2">
      <c r="H290" s="1"/>
      <c r="I290" s="1"/>
    </row>
    <row r="291" spans="8:9" x14ac:dyDescent="0.2">
      <c r="H291" s="1"/>
      <c r="I291" s="1"/>
    </row>
    <row r="292" spans="8:9" x14ac:dyDescent="0.2">
      <c r="H292" s="1"/>
      <c r="I292" s="1"/>
    </row>
    <row r="293" spans="8:9" x14ac:dyDescent="0.2">
      <c r="H293" s="1"/>
      <c r="I293" s="1"/>
    </row>
    <row r="294" spans="8:9" x14ac:dyDescent="0.2">
      <c r="H294" s="1"/>
      <c r="I294" s="1"/>
    </row>
    <row r="295" spans="8:9" x14ac:dyDescent="0.2">
      <c r="H295" s="1"/>
      <c r="I295" s="1"/>
    </row>
    <row r="296" spans="8:9" x14ac:dyDescent="0.2">
      <c r="H296" s="1"/>
      <c r="I296" s="1"/>
    </row>
    <row r="297" spans="8:9" x14ac:dyDescent="0.2">
      <c r="H297" s="1"/>
      <c r="I297" s="1"/>
    </row>
    <row r="298" spans="8:9" x14ac:dyDescent="0.2">
      <c r="H298" s="1"/>
      <c r="I298" s="1"/>
    </row>
    <row r="299" spans="8:9" x14ac:dyDescent="0.2">
      <c r="H299" s="1"/>
      <c r="I299" s="1"/>
    </row>
    <row r="300" spans="8:9" x14ac:dyDescent="0.2">
      <c r="H300" s="1"/>
      <c r="I300" s="1"/>
    </row>
    <row r="301" spans="8:9" x14ac:dyDescent="0.2">
      <c r="H301" s="1"/>
      <c r="I301" s="1"/>
    </row>
    <row r="302" spans="8:9" x14ac:dyDescent="0.2">
      <c r="H302" s="1"/>
      <c r="I302" s="1"/>
    </row>
    <row r="303" spans="8:9" x14ac:dyDescent="0.2">
      <c r="H303" s="1"/>
      <c r="I303" s="1"/>
    </row>
    <row r="304" spans="8:9" x14ac:dyDescent="0.2">
      <c r="H304" s="1"/>
      <c r="I304" s="1"/>
    </row>
    <row r="305" spans="8:9" x14ac:dyDescent="0.2">
      <c r="H305" s="1"/>
      <c r="I305" s="1"/>
    </row>
    <row r="306" spans="8:9" x14ac:dyDescent="0.2">
      <c r="H306" s="1"/>
      <c r="I306" s="1"/>
    </row>
    <row r="307" spans="8:9" x14ac:dyDescent="0.2">
      <c r="H307" s="1"/>
      <c r="I307" s="1"/>
    </row>
    <row r="308" spans="8:9" x14ac:dyDescent="0.2">
      <c r="H308" s="1"/>
      <c r="I308" s="1"/>
    </row>
    <row r="309" spans="8:9" x14ac:dyDescent="0.2">
      <c r="H309" s="1"/>
      <c r="I309" s="1"/>
    </row>
    <row r="310" spans="8:9" x14ac:dyDescent="0.2">
      <c r="H310" s="1"/>
      <c r="I310" s="1"/>
    </row>
    <row r="311" spans="8:9" x14ac:dyDescent="0.2">
      <c r="H311" s="1"/>
      <c r="I311" s="1"/>
    </row>
    <row r="312" spans="8:9" x14ac:dyDescent="0.2">
      <c r="H312" s="1"/>
      <c r="I312" s="1"/>
    </row>
    <row r="313" spans="8:9" x14ac:dyDescent="0.2">
      <c r="H313" s="1"/>
      <c r="I313" s="1"/>
    </row>
    <row r="314" spans="8:9" x14ac:dyDescent="0.2">
      <c r="H314" s="1"/>
      <c r="I314" s="1"/>
    </row>
    <row r="315" spans="8:9" x14ac:dyDescent="0.2">
      <c r="H315" s="1"/>
      <c r="I315" s="1"/>
    </row>
    <row r="316" spans="8:9" x14ac:dyDescent="0.2">
      <c r="H316" s="1"/>
      <c r="I316" s="1"/>
    </row>
    <row r="317" spans="8:9" x14ac:dyDescent="0.2">
      <c r="H317" s="1"/>
      <c r="I317" s="1"/>
    </row>
    <row r="318" spans="8:9" x14ac:dyDescent="0.2">
      <c r="H318" s="1"/>
      <c r="I318" s="1"/>
    </row>
    <row r="319" spans="8:9" x14ac:dyDescent="0.2">
      <c r="H319" s="1"/>
      <c r="I319" s="1"/>
    </row>
    <row r="320" spans="8:9" x14ac:dyDescent="0.2">
      <c r="H320" s="1"/>
      <c r="I320" s="1"/>
    </row>
    <row r="321" spans="8:9" x14ac:dyDescent="0.2">
      <c r="H321" s="1"/>
      <c r="I321" s="1"/>
    </row>
    <row r="322" spans="8:9" x14ac:dyDescent="0.2">
      <c r="H322" s="1"/>
      <c r="I322" s="1"/>
    </row>
    <row r="323" spans="8:9" x14ac:dyDescent="0.2">
      <c r="H323" s="1"/>
      <c r="I323" s="1"/>
    </row>
    <row r="324" spans="8:9" x14ac:dyDescent="0.2">
      <c r="H324" s="1"/>
      <c r="I324" s="1"/>
    </row>
    <row r="325" spans="8:9" x14ac:dyDescent="0.2">
      <c r="H325" s="1"/>
      <c r="I325" s="1"/>
    </row>
    <row r="326" spans="8:9" x14ac:dyDescent="0.2">
      <c r="H326" s="1"/>
      <c r="I326" s="1"/>
    </row>
    <row r="327" spans="8:9" x14ac:dyDescent="0.2">
      <c r="H327" s="1"/>
      <c r="I327" s="1"/>
    </row>
    <row r="328" spans="8:9" x14ac:dyDescent="0.2">
      <c r="H328" s="1"/>
      <c r="I328" s="1"/>
    </row>
    <row r="329" spans="8:9" x14ac:dyDescent="0.2">
      <c r="H329" s="1"/>
      <c r="I329" s="1"/>
    </row>
    <row r="330" spans="8:9" x14ac:dyDescent="0.2">
      <c r="H330" s="1"/>
      <c r="I330" s="1"/>
    </row>
    <row r="331" spans="8:9" x14ac:dyDescent="0.2">
      <c r="H331" s="1"/>
      <c r="I331" s="1"/>
    </row>
    <row r="332" spans="8:9" x14ac:dyDescent="0.2">
      <c r="H332" s="1"/>
      <c r="I332" s="1"/>
    </row>
    <row r="333" spans="8:9" x14ac:dyDescent="0.2">
      <c r="H333" s="1"/>
      <c r="I333" s="1"/>
    </row>
    <row r="334" spans="8:9" x14ac:dyDescent="0.2">
      <c r="H334" s="1"/>
      <c r="I334" s="1"/>
    </row>
    <row r="335" spans="8:9" x14ac:dyDescent="0.2">
      <c r="H335" s="1"/>
      <c r="I335" s="1"/>
    </row>
    <row r="336" spans="8:9" x14ac:dyDescent="0.2">
      <c r="H336" s="1"/>
      <c r="I336" s="1"/>
    </row>
    <row r="337" spans="8:9" x14ac:dyDescent="0.2">
      <c r="H337" s="1"/>
      <c r="I337" s="1"/>
    </row>
    <row r="338" spans="8:9" x14ac:dyDescent="0.2">
      <c r="H338" s="1"/>
      <c r="I338" s="1"/>
    </row>
    <row r="339" spans="8:9" x14ac:dyDescent="0.2">
      <c r="H339" s="1"/>
      <c r="I339" s="1"/>
    </row>
    <row r="340" spans="8:9" x14ac:dyDescent="0.2">
      <c r="H340" s="1"/>
      <c r="I340" s="1"/>
    </row>
    <row r="341" spans="8:9" x14ac:dyDescent="0.2">
      <c r="H341" s="1"/>
      <c r="I341" s="1"/>
    </row>
    <row r="342" spans="8:9" x14ac:dyDescent="0.2">
      <c r="H342" s="1"/>
      <c r="I342" s="1"/>
    </row>
    <row r="343" spans="8:9" x14ac:dyDescent="0.2">
      <c r="H343" s="1"/>
      <c r="I343" s="1"/>
    </row>
    <row r="344" spans="8:9" x14ac:dyDescent="0.2">
      <c r="H344" s="1"/>
      <c r="I344" s="1"/>
    </row>
    <row r="345" spans="8:9" x14ac:dyDescent="0.2">
      <c r="H345" s="1"/>
      <c r="I345" s="1"/>
    </row>
    <row r="346" spans="8:9" x14ac:dyDescent="0.2">
      <c r="H346" s="1"/>
      <c r="I346" s="1"/>
    </row>
    <row r="347" spans="8:9" x14ac:dyDescent="0.2">
      <c r="H347" s="1"/>
      <c r="I347" s="1"/>
    </row>
    <row r="348" spans="8:9" x14ac:dyDescent="0.2">
      <c r="H348" s="1"/>
      <c r="I348" s="1"/>
    </row>
    <row r="349" spans="8:9" x14ac:dyDescent="0.2">
      <c r="H349" s="1"/>
      <c r="I349" s="1"/>
    </row>
    <row r="350" spans="8:9" x14ac:dyDescent="0.2">
      <c r="H350" s="1"/>
      <c r="I350" s="1"/>
    </row>
    <row r="351" spans="8:9" x14ac:dyDescent="0.2">
      <c r="H351" s="1"/>
      <c r="I351" s="1"/>
    </row>
    <row r="352" spans="8:9" x14ac:dyDescent="0.2">
      <c r="H352" s="1"/>
      <c r="I352" s="1"/>
    </row>
    <row r="353" spans="8:9" x14ac:dyDescent="0.2">
      <c r="H353" s="1"/>
      <c r="I353" s="1"/>
    </row>
    <row r="354" spans="8:9" x14ac:dyDescent="0.2">
      <c r="H354" s="1"/>
      <c r="I354" s="1"/>
    </row>
    <row r="355" spans="8:9" x14ac:dyDescent="0.2">
      <c r="H355" s="1"/>
      <c r="I355" s="1"/>
    </row>
    <row r="356" spans="8:9" x14ac:dyDescent="0.2">
      <c r="H356" s="1"/>
      <c r="I356" s="1"/>
    </row>
    <row r="357" spans="8:9" x14ac:dyDescent="0.2">
      <c r="H357" s="1"/>
      <c r="I357" s="1"/>
    </row>
    <row r="358" spans="8:9" x14ac:dyDescent="0.2">
      <c r="H358" s="1"/>
      <c r="I358" s="1"/>
    </row>
    <row r="359" spans="8:9" x14ac:dyDescent="0.2">
      <c r="H359" s="1"/>
      <c r="I359" s="1"/>
    </row>
    <row r="360" spans="8:9" x14ac:dyDescent="0.2">
      <c r="H360" s="1"/>
      <c r="I360" s="1"/>
    </row>
    <row r="361" spans="8:9" x14ac:dyDescent="0.2">
      <c r="H361" s="1"/>
      <c r="I361" s="1"/>
    </row>
    <row r="362" spans="8:9" x14ac:dyDescent="0.2">
      <c r="H362" s="1"/>
      <c r="I362" s="1"/>
    </row>
    <row r="363" spans="8:9" x14ac:dyDescent="0.2">
      <c r="H363" s="1"/>
      <c r="I363" s="1"/>
    </row>
    <row r="364" spans="8:9" x14ac:dyDescent="0.2">
      <c r="H364" s="1"/>
      <c r="I364" s="1"/>
    </row>
    <row r="365" spans="8:9" x14ac:dyDescent="0.2">
      <c r="H365" s="1"/>
      <c r="I365" s="1"/>
    </row>
    <row r="366" spans="8:9" x14ac:dyDescent="0.2">
      <c r="H366" s="1"/>
      <c r="I366" s="1"/>
    </row>
    <row r="367" spans="8:9" x14ac:dyDescent="0.2">
      <c r="H367" s="1"/>
      <c r="I367" s="1"/>
    </row>
    <row r="368" spans="8:9" x14ac:dyDescent="0.2">
      <c r="H368" s="1"/>
      <c r="I368" s="1"/>
    </row>
    <row r="369" spans="8:9" x14ac:dyDescent="0.2">
      <c r="H369" s="1"/>
      <c r="I369" s="1"/>
    </row>
    <row r="370" spans="8:9" x14ac:dyDescent="0.2">
      <c r="H370" s="1"/>
      <c r="I370" s="1"/>
    </row>
    <row r="371" spans="8:9" x14ac:dyDescent="0.2">
      <c r="H371" s="1"/>
      <c r="I371" s="1"/>
    </row>
    <row r="372" spans="8:9" x14ac:dyDescent="0.2">
      <c r="H372" s="1"/>
      <c r="I372" s="1"/>
    </row>
    <row r="373" spans="8:9" x14ac:dyDescent="0.2">
      <c r="H373" s="1"/>
      <c r="I373" s="1"/>
    </row>
    <row r="374" spans="8:9" x14ac:dyDescent="0.2">
      <c r="H374" s="1"/>
      <c r="I374" s="1"/>
    </row>
    <row r="375" spans="8:9" x14ac:dyDescent="0.2">
      <c r="H375" s="1"/>
      <c r="I375" s="1"/>
    </row>
    <row r="376" spans="8:9" x14ac:dyDescent="0.2">
      <c r="H376" s="1"/>
      <c r="I376" s="1"/>
    </row>
    <row r="377" spans="8:9" x14ac:dyDescent="0.2">
      <c r="H377" s="1"/>
      <c r="I377" s="1"/>
    </row>
    <row r="378" spans="8:9" x14ac:dyDescent="0.2">
      <c r="H378" s="1"/>
      <c r="I378" s="1"/>
    </row>
    <row r="379" spans="8:9" x14ac:dyDescent="0.2">
      <c r="H379" s="1"/>
      <c r="I379" s="1"/>
    </row>
    <row r="380" spans="8:9" x14ac:dyDescent="0.2">
      <c r="H380" s="1"/>
      <c r="I380" s="1"/>
    </row>
    <row r="381" spans="8:9" x14ac:dyDescent="0.2">
      <c r="H381" s="1"/>
      <c r="I381" s="1"/>
    </row>
    <row r="382" spans="8:9" x14ac:dyDescent="0.2">
      <c r="H382" s="1"/>
      <c r="I382" s="1"/>
    </row>
    <row r="383" spans="8:9" x14ac:dyDescent="0.2">
      <c r="H383" s="1"/>
      <c r="I383" s="1"/>
    </row>
    <row r="384" spans="8:9" x14ac:dyDescent="0.2">
      <c r="H384" s="1"/>
      <c r="I384" s="1"/>
    </row>
    <row r="385" spans="8:9" x14ac:dyDescent="0.2">
      <c r="H385" s="1"/>
      <c r="I385" s="1"/>
    </row>
    <row r="386" spans="8:9" x14ac:dyDescent="0.2">
      <c r="H386" s="1"/>
      <c r="I386" s="1"/>
    </row>
    <row r="387" spans="8:9" x14ac:dyDescent="0.2">
      <c r="H387" s="1"/>
      <c r="I387" s="1"/>
    </row>
    <row r="388" spans="8:9" x14ac:dyDescent="0.2">
      <c r="H388" s="1"/>
      <c r="I388" s="1"/>
    </row>
    <row r="389" spans="8:9" x14ac:dyDescent="0.2">
      <c r="H389" s="1"/>
      <c r="I389" s="1"/>
    </row>
    <row r="390" spans="8:9" x14ac:dyDescent="0.2">
      <c r="H390" s="1"/>
      <c r="I390" s="1"/>
    </row>
    <row r="391" spans="8:9" x14ac:dyDescent="0.2">
      <c r="H391" s="1"/>
      <c r="I391" s="1"/>
    </row>
    <row r="392" spans="8:9" x14ac:dyDescent="0.2">
      <c r="H392" s="1"/>
      <c r="I392" s="1"/>
    </row>
    <row r="393" spans="8:9" x14ac:dyDescent="0.2">
      <c r="H393" s="1"/>
      <c r="I393" s="1"/>
    </row>
    <row r="394" spans="8:9" x14ac:dyDescent="0.2">
      <c r="H394" s="1"/>
      <c r="I394" s="1"/>
    </row>
    <row r="395" spans="8:9" x14ac:dyDescent="0.2">
      <c r="H395" s="1"/>
      <c r="I395" s="1"/>
    </row>
    <row r="396" spans="8:9" x14ac:dyDescent="0.2">
      <c r="H396" s="1"/>
      <c r="I396" s="1"/>
    </row>
    <row r="397" spans="8:9" x14ac:dyDescent="0.2">
      <c r="H397" s="1"/>
      <c r="I397" s="1"/>
    </row>
    <row r="398" spans="8:9" x14ac:dyDescent="0.2">
      <c r="H398" s="1"/>
      <c r="I398" s="1"/>
    </row>
    <row r="399" spans="8:9" x14ac:dyDescent="0.2">
      <c r="H399" s="1"/>
      <c r="I399" s="1"/>
    </row>
    <row r="400" spans="8:9" x14ac:dyDescent="0.2">
      <c r="H400" s="1"/>
      <c r="I400" s="1"/>
    </row>
    <row r="401" spans="8:9" x14ac:dyDescent="0.2">
      <c r="H401" s="1"/>
      <c r="I401" s="1"/>
    </row>
    <row r="402" spans="8:9" x14ac:dyDescent="0.2">
      <c r="H402" s="1"/>
      <c r="I402" s="1"/>
    </row>
    <row r="403" spans="8:9" x14ac:dyDescent="0.2">
      <c r="H403" s="1"/>
      <c r="I403" s="1"/>
    </row>
    <row r="404" spans="8:9" x14ac:dyDescent="0.2">
      <c r="H404" s="1"/>
      <c r="I404" s="1"/>
    </row>
    <row r="405" spans="8:9" x14ac:dyDescent="0.2">
      <c r="H405" s="1"/>
      <c r="I405" s="1"/>
    </row>
    <row r="406" spans="8:9" x14ac:dyDescent="0.2">
      <c r="H406" s="1"/>
      <c r="I406" s="1"/>
    </row>
    <row r="407" spans="8:9" x14ac:dyDescent="0.2">
      <c r="H407" s="1"/>
      <c r="I407" s="1"/>
    </row>
    <row r="408" spans="8:9" x14ac:dyDescent="0.2">
      <c r="H408" s="1"/>
      <c r="I408" s="1"/>
    </row>
    <row r="409" spans="8:9" x14ac:dyDescent="0.2">
      <c r="H409" s="1"/>
      <c r="I409" s="1"/>
    </row>
    <row r="410" spans="8:9" x14ac:dyDescent="0.2">
      <c r="H410" s="1"/>
      <c r="I410" s="1"/>
    </row>
    <row r="411" spans="8:9" x14ac:dyDescent="0.2">
      <c r="H411" s="1"/>
      <c r="I411" s="1"/>
    </row>
    <row r="412" spans="8:9" x14ac:dyDescent="0.2">
      <c r="H412" s="1"/>
      <c r="I412" s="1"/>
    </row>
    <row r="413" spans="8:9" x14ac:dyDescent="0.2">
      <c r="H413" s="1"/>
      <c r="I413" s="1"/>
    </row>
    <row r="414" spans="8:9" x14ac:dyDescent="0.2">
      <c r="H414" s="1"/>
      <c r="I414" s="1"/>
    </row>
    <row r="415" spans="8:9" x14ac:dyDescent="0.2">
      <c r="H415" s="1"/>
      <c r="I415" s="1"/>
    </row>
    <row r="416" spans="8:9" x14ac:dyDescent="0.2">
      <c r="H416" s="1"/>
      <c r="I416" s="1"/>
    </row>
    <row r="417" spans="8:9" x14ac:dyDescent="0.2">
      <c r="H417" s="1"/>
      <c r="I417" s="1"/>
    </row>
    <row r="418" spans="8:9" x14ac:dyDescent="0.2">
      <c r="H418" s="1"/>
      <c r="I418" s="1"/>
    </row>
    <row r="419" spans="8:9" x14ac:dyDescent="0.2">
      <c r="H419" s="1"/>
      <c r="I419" s="1"/>
    </row>
    <row r="420" spans="8:9" x14ac:dyDescent="0.2">
      <c r="H420" s="1"/>
      <c r="I420" s="1"/>
    </row>
    <row r="421" spans="8:9" x14ac:dyDescent="0.2">
      <c r="H421" s="1"/>
      <c r="I421" s="1"/>
    </row>
    <row r="422" spans="8:9" x14ac:dyDescent="0.2">
      <c r="H422" s="1"/>
      <c r="I422" s="1"/>
    </row>
    <row r="423" spans="8:9" x14ac:dyDescent="0.2">
      <c r="H423" s="1"/>
      <c r="I423" s="1"/>
    </row>
    <row r="424" spans="8:9" x14ac:dyDescent="0.2">
      <c r="H424" s="1"/>
      <c r="I424" s="1"/>
    </row>
    <row r="425" spans="8:9" x14ac:dyDescent="0.2">
      <c r="H425" s="1"/>
      <c r="I425" s="1"/>
    </row>
    <row r="426" spans="8:9" x14ac:dyDescent="0.2">
      <c r="H426" s="1"/>
      <c r="I426" s="1"/>
    </row>
    <row r="427" spans="8:9" x14ac:dyDescent="0.2">
      <c r="H427" s="1"/>
      <c r="I427" s="1"/>
    </row>
    <row r="428" spans="8:9" x14ac:dyDescent="0.2">
      <c r="H428" s="1"/>
      <c r="I428" s="1"/>
    </row>
    <row r="429" spans="8:9" x14ac:dyDescent="0.2">
      <c r="H429" s="1"/>
      <c r="I429" s="1"/>
    </row>
    <row r="430" spans="8:9" x14ac:dyDescent="0.2">
      <c r="H430" s="1"/>
      <c r="I430" s="1"/>
    </row>
    <row r="431" spans="8:9" x14ac:dyDescent="0.2">
      <c r="H431" s="1"/>
      <c r="I431" s="1"/>
    </row>
    <row r="432" spans="8:9" x14ac:dyDescent="0.2">
      <c r="H432" s="1"/>
      <c r="I432" s="1"/>
    </row>
    <row r="433" spans="8:9" x14ac:dyDescent="0.2">
      <c r="H433" s="1"/>
      <c r="I433" s="1"/>
    </row>
    <row r="434" spans="8:9" x14ac:dyDescent="0.2">
      <c r="H434" s="1"/>
      <c r="I434" s="1"/>
    </row>
    <row r="435" spans="8:9" x14ac:dyDescent="0.2">
      <c r="H435" s="1"/>
      <c r="I435" s="1"/>
    </row>
    <row r="436" spans="8:9" x14ac:dyDescent="0.2">
      <c r="H436" s="1"/>
      <c r="I436" s="1"/>
    </row>
    <row r="437" spans="8:9" x14ac:dyDescent="0.2">
      <c r="H437" s="1"/>
      <c r="I437" s="1"/>
    </row>
    <row r="438" spans="8:9" x14ac:dyDescent="0.2">
      <c r="H438" s="1"/>
      <c r="I438" s="1"/>
    </row>
    <row r="439" spans="8:9" x14ac:dyDescent="0.2">
      <c r="H439" s="1"/>
      <c r="I439" s="1"/>
    </row>
    <row r="440" spans="8:9" x14ac:dyDescent="0.2">
      <c r="H440" s="1"/>
      <c r="I440" s="1"/>
    </row>
    <row r="441" spans="8:9" x14ac:dyDescent="0.2">
      <c r="H441" s="1"/>
      <c r="I441" s="1"/>
    </row>
    <row r="442" spans="8:9" x14ac:dyDescent="0.2">
      <c r="H442" s="1"/>
      <c r="I442" s="1"/>
    </row>
    <row r="443" spans="8:9" x14ac:dyDescent="0.2">
      <c r="H443" s="1"/>
      <c r="I443" s="1"/>
    </row>
    <row r="444" spans="8:9" x14ac:dyDescent="0.2">
      <c r="H444" s="1"/>
      <c r="I444" s="1"/>
    </row>
    <row r="445" spans="8:9" x14ac:dyDescent="0.2">
      <c r="H445" s="1"/>
      <c r="I445" s="1"/>
    </row>
    <row r="446" spans="8:9" x14ac:dyDescent="0.2">
      <c r="H446" s="1"/>
      <c r="I446" s="1"/>
    </row>
    <row r="447" spans="8:9" x14ac:dyDescent="0.2">
      <c r="H447" s="1"/>
      <c r="I447" s="1"/>
    </row>
    <row r="448" spans="8:9" x14ac:dyDescent="0.2">
      <c r="H448" s="1"/>
      <c r="I448" s="1"/>
    </row>
    <row r="449" spans="8:9" x14ac:dyDescent="0.2">
      <c r="H449" s="1"/>
      <c r="I449" s="1"/>
    </row>
    <row r="450" spans="8:9" x14ac:dyDescent="0.2">
      <c r="H450" s="1"/>
      <c r="I450" s="1"/>
    </row>
    <row r="451" spans="8:9" x14ac:dyDescent="0.2">
      <c r="H451" s="1"/>
      <c r="I451" s="1"/>
    </row>
    <row r="452" spans="8:9" x14ac:dyDescent="0.2">
      <c r="H452" s="1"/>
      <c r="I452" s="1"/>
    </row>
    <row r="453" spans="8:9" x14ac:dyDescent="0.2">
      <c r="H453" s="1"/>
      <c r="I453" s="1"/>
    </row>
    <row r="454" spans="8:9" x14ac:dyDescent="0.2">
      <c r="H454" s="1"/>
      <c r="I454" s="1"/>
    </row>
    <row r="455" spans="8:9" x14ac:dyDescent="0.2">
      <c r="H455" s="1"/>
      <c r="I455" s="1"/>
    </row>
    <row r="456" spans="8:9" x14ac:dyDescent="0.2">
      <c r="H456" s="1"/>
      <c r="I456" s="1"/>
    </row>
    <row r="457" spans="8:9" x14ac:dyDescent="0.2">
      <c r="H457" s="1"/>
      <c r="I457" s="1"/>
    </row>
    <row r="458" spans="8:9" x14ac:dyDescent="0.2">
      <c r="H458" s="1"/>
      <c r="I458" s="1"/>
    </row>
    <row r="459" spans="8:9" x14ac:dyDescent="0.2">
      <c r="H459" s="1"/>
      <c r="I459" s="1"/>
    </row>
    <row r="460" spans="8:9" x14ac:dyDescent="0.2">
      <c r="H460" s="1"/>
      <c r="I460" s="1"/>
    </row>
    <row r="461" spans="8:9" x14ac:dyDescent="0.2">
      <c r="H461" s="1"/>
      <c r="I461" s="1"/>
    </row>
    <row r="462" spans="8:9" x14ac:dyDescent="0.2">
      <c r="H462" s="1"/>
      <c r="I462" s="1"/>
    </row>
    <row r="463" spans="8:9" x14ac:dyDescent="0.2">
      <c r="H463" s="1"/>
      <c r="I463" s="1"/>
    </row>
    <row r="464" spans="8:9" x14ac:dyDescent="0.2">
      <c r="H464" s="1"/>
      <c r="I464" s="1"/>
    </row>
    <row r="465" spans="8:9" x14ac:dyDescent="0.2">
      <c r="H465" s="1"/>
      <c r="I465" s="1"/>
    </row>
    <row r="466" spans="8:9" x14ac:dyDescent="0.2">
      <c r="H466" s="1"/>
      <c r="I466" s="1"/>
    </row>
    <row r="467" spans="8:9" x14ac:dyDescent="0.2">
      <c r="H467" s="1"/>
      <c r="I467" s="1"/>
    </row>
    <row r="468" spans="8:9" x14ac:dyDescent="0.2">
      <c r="H468" s="1"/>
      <c r="I468" s="1"/>
    </row>
    <row r="469" spans="8:9" x14ac:dyDescent="0.2">
      <c r="H469" s="1"/>
      <c r="I469" s="1"/>
    </row>
    <row r="470" spans="8:9" x14ac:dyDescent="0.2">
      <c r="H470" s="1"/>
      <c r="I470" s="1"/>
    </row>
    <row r="471" spans="8:9" x14ac:dyDescent="0.2">
      <c r="H471" s="1"/>
      <c r="I471" s="1"/>
    </row>
    <row r="472" spans="8:9" x14ac:dyDescent="0.2">
      <c r="H472" s="1"/>
      <c r="I472" s="1"/>
    </row>
    <row r="473" spans="8:9" x14ac:dyDescent="0.2">
      <c r="H473" s="1"/>
      <c r="I473" s="1"/>
    </row>
    <row r="474" spans="8:9" x14ac:dyDescent="0.2">
      <c r="H474" s="1"/>
      <c r="I474" s="1"/>
    </row>
    <row r="475" spans="8:9" x14ac:dyDescent="0.2">
      <c r="H475" s="1"/>
      <c r="I475" s="1"/>
    </row>
    <row r="476" spans="8:9" x14ac:dyDescent="0.2">
      <c r="H476" s="1"/>
      <c r="I476" s="1"/>
    </row>
    <row r="477" spans="8:9" x14ac:dyDescent="0.2">
      <c r="H477" s="1"/>
      <c r="I477" s="1"/>
    </row>
    <row r="478" spans="8:9" x14ac:dyDescent="0.2">
      <c r="H478" s="1"/>
      <c r="I478" s="1"/>
    </row>
    <row r="479" spans="8:9" x14ac:dyDescent="0.2">
      <c r="H479" s="1"/>
      <c r="I479" s="1"/>
    </row>
    <row r="480" spans="8:9" x14ac:dyDescent="0.2">
      <c r="H480" s="1"/>
      <c r="I480" s="1"/>
    </row>
    <row r="481" spans="8:9" x14ac:dyDescent="0.2">
      <c r="H481" s="1"/>
      <c r="I481" s="1"/>
    </row>
    <row r="482" spans="8:9" x14ac:dyDescent="0.2">
      <c r="H482" s="1"/>
      <c r="I482" s="1"/>
    </row>
    <row r="483" spans="8:9" x14ac:dyDescent="0.2">
      <c r="H483" s="1"/>
      <c r="I483" s="1"/>
    </row>
    <row r="484" spans="8:9" x14ac:dyDescent="0.2">
      <c r="H484" s="1"/>
      <c r="I484" s="1"/>
    </row>
    <row r="485" spans="8:9" x14ac:dyDescent="0.2">
      <c r="H485" s="1"/>
      <c r="I485" s="1"/>
    </row>
    <row r="486" spans="8:9" x14ac:dyDescent="0.2">
      <c r="H486" s="1"/>
      <c r="I486" s="1"/>
    </row>
    <row r="487" spans="8:9" x14ac:dyDescent="0.2">
      <c r="H487" s="1"/>
      <c r="I487" s="1"/>
    </row>
    <row r="488" spans="8:9" x14ac:dyDescent="0.2">
      <c r="H488" s="1"/>
      <c r="I488" s="1"/>
    </row>
    <row r="489" spans="8:9" x14ac:dyDescent="0.2">
      <c r="H489" s="1"/>
      <c r="I489" s="1"/>
    </row>
    <row r="490" spans="8:9" x14ac:dyDescent="0.2">
      <c r="H490" s="1"/>
      <c r="I490" s="1"/>
    </row>
    <row r="491" spans="8:9" x14ac:dyDescent="0.2">
      <c r="H491" s="1"/>
      <c r="I491" s="1"/>
    </row>
    <row r="492" spans="8:9" x14ac:dyDescent="0.2">
      <c r="H492" s="1"/>
      <c r="I492" s="1"/>
    </row>
    <row r="493" spans="8:9" x14ac:dyDescent="0.2">
      <c r="H493" s="1"/>
      <c r="I493" s="1"/>
    </row>
    <row r="494" spans="8:9" x14ac:dyDescent="0.2">
      <c r="H494" s="1"/>
      <c r="I494" s="1"/>
    </row>
    <row r="495" spans="8:9" x14ac:dyDescent="0.2">
      <c r="H495" s="1"/>
      <c r="I495" s="1"/>
    </row>
    <row r="496" spans="8:9" x14ac:dyDescent="0.2">
      <c r="H496" s="1"/>
      <c r="I496" s="1"/>
    </row>
    <row r="497" spans="8:9" x14ac:dyDescent="0.2">
      <c r="H497" s="1"/>
      <c r="I497" s="1"/>
    </row>
    <row r="498" spans="8:9" x14ac:dyDescent="0.2">
      <c r="H498" s="1"/>
      <c r="I498" s="1"/>
    </row>
    <row r="499" spans="8:9" x14ac:dyDescent="0.2">
      <c r="H499" s="1"/>
      <c r="I499" s="1"/>
    </row>
    <row r="500" spans="8:9" x14ac:dyDescent="0.2">
      <c r="H500" s="1"/>
      <c r="I500" s="1"/>
    </row>
    <row r="501" spans="8:9" x14ac:dyDescent="0.2">
      <c r="H501" s="1"/>
      <c r="I501" s="1"/>
    </row>
    <row r="502" spans="8:9" x14ac:dyDescent="0.2">
      <c r="H502" s="1"/>
      <c r="I502" s="1"/>
    </row>
    <row r="503" spans="8:9" x14ac:dyDescent="0.2">
      <c r="H503" s="1"/>
      <c r="I503" s="1"/>
    </row>
    <row r="504" spans="8:9" x14ac:dyDescent="0.2">
      <c r="H504" s="1"/>
      <c r="I504" s="1"/>
    </row>
    <row r="505" spans="8:9" x14ac:dyDescent="0.2">
      <c r="H505" s="1"/>
      <c r="I505" s="1"/>
    </row>
    <row r="506" spans="8:9" x14ac:dyDescent="0.2">
      <c r="H506" s="1"/>
      <c r="I506" s="1"/>
    </row>
    <row r="507" spans="8:9" x14ac:dyDescent="0.2">
      <c r="H507" s="1"/>
      <c r="I507" s="1"/>
    </row>
    <row r="508" spans="8:9" x14ac:dyDescent="0.2">
      <c r="H508" s="1"/>
      <c r="I508" s="1"/>
    </row>
    <row r="509" spans="8:9" x14ac:dyDescent="0.2">
      <c r="H509" s="1"/>
      <c r="I509" s="1"/>
    </row>
    <row r="510" spans="8:9" x14ac:dyDescent="0.2">
      <c r="H510" s="1"/>
      <c r="I510" s="1"/>
    </row>
    <row r="511" spans="8:9" x14ac:dyDescent="0.2">
      <c r="H511" s="1"/>
      <c r="I511" s="1"/>
    </row>
    <row r="512" spans="8:9" x14ac:dyDescent="0.2">
      <c r="H512" s="1"/>
      <c r="I512" s="1"/>
    </row>
    <row r="513" spans="8:9" x14ac:dyDescent="0.2">
      <c r="H513" s="1"/>
      <c r="I513" s="1"/>
    </row>
    <row r="514" spans="8:9" x14ac:dyDescent="0.2">
      <c r="H514" s="1"/>
      <c r="I514" s="1"/>
    </row>
    <row r="515" spans="8:9" x14ac:dyDescent="0.2">
      <c r="H515" s="1"/>
      <c r="I515" s="1"/>
    </row>
    <row r="516" spans="8:9" x14ac:dyDescent="0.2">
      <c r="H516" s="1"/>
      <c r="I516" s="1"/>
    </row>
    <row r="517" spans="8:9" x14ac:dyDescent="0.2">
      <c r="H517" s="1"/>
      <c r="I517" s="1"/>
    </row>
    <row r="518" spans="8:9" x14ac:dyDescent="0.2">
      <c r="H518" s="1"/>
      <c r="I518" s="1"/>
    </row>
    <row r="519" spans="8:9" x14ac:dyDescent="0.2">
      <c r="H519" s="1"/>
      <c r="I519" s="1"/>
    </row>
    <row r="520" spans="8:9" x14ac:dyDescent="0.2">
      <c r="H520" s="1"/>
      <c r="I520" s="1"/>
    </row>
    <row r="521" spans="8:9" x14ac:dyDescent="0.2">
      <c r="H521" s="1"/>
      <c r="I521" s="1"/>
    </row>
    <row r="522" spans="8:9" x14ac:dyDescent="0.2">
      <c r="H522" s="1"/>
      <c r="I522" s="1"/>
    </row>
    <row r="523" spans="8:9" x14ac:dyDescent="0.2">
      <c r="H523" s="1"/>
      <c r="I523" s="1"/>
    </row>
    <row r="524" spans="8:9" x14ac:dyDescent="0.2">
      <c r="H524" s="1"/>
      <c r="I524" s="1"/>
    </row>
    <row r="525" spans="8:9" x14ac:dyDescent="0.2">
      <c r="H525" s="1"/>
      <c r="I525" s="1"/>
    </row>
    <row r="526" spans="8:9" x14ac:dyDescent="0.2">
      <c r="H526" s="1"/>
      <c r="I526" s="1"/>
    </row>
    <row r="527" spans="8:9" x14ac:dyDescent="0.2">
      <c r="H527" s="1"/>
      <c r="I527" s="1"/>
    </row>
    <row r="528" spans="8:9" x14ac:dyDescent="0.2">
      <c r="H528" s="1"/>
      <c r="I528" s="1"/>
    </row>
    <row r="529" spans="8:9" x14ac:dyDescent="0.2">
      <c r="H529" s="1"/>
      <c r="I529" s="1"/>
    </row>
    <row r="530" spans="8:9" x14ac:dyDescent="0.2">
      <c r="H530" s="1"/>
      <c r="I530" s="1"/>
    </row>
    <row r="531" spans="8:9" x14ac:dyDescent="0.2">
      <c r="H531" s="1"/>
      <c r="I531" s="1"/>
    </row>
    <row r="532" spans="8:9" x14ac:dyDescent="0.2">
      <c r="H532" s="1"/>
      <c r="I532" s="1"/>
    </row>
    <row r="533" spans="8:9" x14ac:dyDescent="0.2">
      <c r="H533" s="1"/>
      <c r="I533" s="1"/>
    </row>
    <row r="534" spans="8:9" x14ac:dyDescent="0.2">
      <c r="H534" s="1"/>
      <c r="I534" s="1"/>
    </row>
    <row r="535" spans="8:9" x14ac:dyDescent="0.2">
      <c r="H535" s="1"/>
      <c r="I535" s="1"/>
    </row>
    <row r="536" spans="8:9" x14ac:dyDescent="0.2">
      <c r="H536" s="1"/>
      <c r="I536" s="1"/>
    </row>
    <row r="537" spans="8:9" x14ac:dyDescent="0.2">
      <c r="H537" s="1"/>
      <c r="I537" s="1"/>
    </row>
    <row r="538" spans="8:9" x14ac:dyDescent="0.2">
      <c r="H538" s="1"/>
      <c r="I538" s="1"/>
    </row>
    <row r="539" spans="8:9" x14ac:dyDescent="0.2">
      <c r="H539" s="1"/>
      <c r="I539" s="1"/>
    </row>
    <row r="540" spans="8:9" x14ac:dyDescent="0.2">
      <c r="H540" s="1"/>
      <c r="I540" s="1"/>
    </row>
    <row r="541" spans="8:9" x14ac:dyDescent="0.2">
      <c r="H541" s="1"/>
      <c r="I541" s="1"/>
    </row>
    <row r="542" spans="8:9" x14ac:dyDescent="0.2">
      <c r="H542" s="1"/>
      <c r="I542" s="1"/>
    </row>
    <row r="543" spans="8:9" x14ac:dyDescent="0.2">
      <c r="H543" s="1"/>
      <c r="I543" s="1"/>
    </row>
    <row r="544" spans="8:9" x14ac:dyDescent="0.2">
      <c r="H544" s="1"/>
      <c r="I544" s="1"/>
    </row>
    <row r="545" spans="8:9" x14ac:dyDescent="0.2">
      <c r="H545" s="1"/>
      <c r="I545" s="1"/>
    </row>
    <row r="546" spans="8:9" x14ac:dyDescent="0.2">
      <c r="H546" s="1"/>
      <c r="I546" s="1"/>
    </row>
    <row r="547" spans="8:9" x14ac:dyDescent="0.2">
      <c r="H547" s="1"/>
      <c r="I547" s="1"/>
    </row>
    <row r="548" spans="8:9" x14ac:dyDescent="0.2">
      <c r="H548" s="1"/>
      <c r="I548" s="1"/>
    </row>
    <row r="549" spans="8:9" x14ac:dyDescent="0.2">
      <c r="H549" s="1"/>
      <c r="I549" s="1"/>
    </row>
    <row r="550" spans="8:9" x14ac:dyDescent="0.2">
      <c r="H550" s="1"/>
      <c r="I550" s="1"/>
    </row>
    <row r="551" spans="8:9" x14ac:dyDescent="0.2">
      <c r="H551" s="1"/>
      <c r="I551" s="1"/>
    </row>
    <row r="552" spans="8:9" x14ac:dyDescent="0.2">
      <c r="H552" s="1"/>
      <c r="I552" s="1"/>
    </row>
    <row r="553" spans="8:9" x14ac:dyDescent="0.2">
      <c r="H553" s="1"/>
      <c r="I553" s="1"/>
    </row>
    <row r="554" spans="8:9" x14ac:dyDescent="0.2">
      <c r="H554" s="1"/>
      <c r="I554" s="1"/>
    </row>
    <row r="555" spans="8:9" x14ac:dyDescent="0.2">
      <c r="H555" s="1"/>
      <c r="I555" s="1"/>
    </row>
    <row r="556" spans="8:9" x14ac:dyDescent="0.2">
      <c r="H556" s="1"/>
      <c r="I556" s="1"/>
    </row>
    <row r="557" spans="8:9" x14ac:dyDescent="0.2">
      <c r="H557" s="1"/>
      <c r="I557" s="1"/>
    </row>
    <row r="558" spans="8:9" x14ac:dyDescent="0.2">
      <c r="H558" s="1"/>
      <c r="I558" s="1"/>
    </row>
    <row r="559" spans="8:9" x14ac:dyDescent="0.2">
      <c r="H559" s="1"/>
      <c r="I559" s="1"/>
    </row>
    <row r="560" spans="8:9" x14ac:dyDescent="0.2">
      <c r="H560" s="1"/>
      <c r="I560" s="1"/>
    </row>
    <row r="561" spans="8:9" x14ac:dyDescent="0.2">
      <c r="H561" s="1"/>
      <c r="I561" s="1"/>
    </row>
    <row r="562" spans="8:9" x14ac:dyDescent="0.2">
      <c r="H562" s="1"/>
      <c r="I562" s="1"/>
    </row>
    <row r="563" spans="8:9" x14ac:dyDescent="0.2">
      <c r="H563" s="1"/>
      <c r="I563" s="1"/>
    </row>
    <row r="564" spans="8:9" x14ac:dyDescent="0.2">
      <c r="H564" s="1"/>
      <c r="I564" s="1"/>
    </row>
    <row r="565" spans="8:9" x14ac:dyDescent="0.2">
      <c r="H565" s="1"/>
      <c r="I565" s="1"/>
    </row>
    <row r="566" spans="8:9" x14ac:dyDescent="0.2">
      <c r="H566" s="1"/>
      <c r="I566" s="1"/>
    </row>
    <row r="567" spans="8:9" x14ac:dyDescent="0.2">
      <c r="H567" s="1"/>
      <c r="I567" s="1"/>
    </row>
    <row r="568" spans="8:9" x14ac:dyDescent="0.2">
      <c r="H568" s="1"/>
      <c r="I568" s="1"/>
    </row>
    <row r="569" spans="8:9" x14ac:dyDescent="0.2">
      <c r="H569" s="1"/>
      <c r="I569" s="1"/>
    </row>
    <row r="570" spans="8:9" x14ac:dyDescent="0.2">
      <c r="H570" s="1"/>
      <c r="I570" s="1"/>
    </row>
    <row r="571" spans="8:9" x14ac:dyDescent="0.2">
      <c r="H571" s="1"/>
      <c r="I571" s="1"/>
    </row>
    <row r="572" spans="8:9" x14ac:dyDescent="0.2">
      <c r="H572" s="1"/>
      <c r="I572" s="1"/>
    </row>
    <row r="573" spans="8:9" x14ac:dyDescent="0.2">
      <c r="H573" s="1"/>
      <c r="I573" s="1"/>
    </row>
    <row r="574" spans="8:9" x14ac:dyDescent="0.2">
      <c r="H574" s="1"/>
      <c r="I574" s="1"/>
    </row>
    <row r="575" spans="8:9" x14ac:dyDescent="0.2">
      <c r="H575" s="1"/>
      <c r="I575" s="1"/>
    </row>
    <row r="576" spans="8:9" x14ac:dyDescent="0.2">
      <c r="H576" s="1"/>
      <c r="I576" s="1"/>
    </row>
    <row r="577" spans="8:9" x14ac:dyDescent="0.2">
      <c r="H577" s="1"/>
      <c r="I577" s="1"/>
    </row>
    <row r="578" spans="8:9" x14ac:dyDescent="0.2">
      <c r="H578" s="1"/>
      <c r="I578" s="1"/>
    </row>
    <row r="579" spans="8:9" x14ac:dyDescent="0.2">
      <c r="H579" s="1"/>
      <c r="I579" s="1"/>
    </row>
    <row r="580" spans="8:9" x14ac:dyDescent="0.2">
      <c r="H580" s="1"/>
      <c r="I580" s="1"/>
    </row>
    <row r="581" spans="8:9" x14ac:dyDescent="0.2">
      <c r="H581" s="1"/>
      <c r="I581" s="1"/>
    </row>
    <row r="582" spans="8:9" x14ac:dyDescent="0.2">
      <c r="H582" s="1"/>
      <c r="I582" s="1"/>
    </row>
    <row r="583" spans="8:9" x14ac:dyDescent="0.2">
      <c r="H583" s="1"/>
      <c r="I583" s="1"/>
    </row>
    <row r="584" spans="8:9" x14ac:dyDescent="0.2">
      <c r="H584" s="1"/>
      <c r="I584" s="1"/>
    </row>
    <row r="585" spans="8:9" x14ac:dyDescent="0.2">
      <c r="H585" s="1"/>
      <c r="I585" s="1"/>
    </row>
    <row r="586" spans="8:9" x14ac:dyDescent="0.2">
      <c r="H586" s="1"/>
      <c r="I586" s="1"/>
    </row>
    <row r="587" spans="8:9" x14ac:dyDescent="0.2">
      <c r="H587" s="1"/>
      <c r="I587" s="1"/>
    </row>
    <row r="588" spans="8:9" x14ac:dyDescent="0.2">
      <c r="H588" s="1"/>
      <c r="I588" s="1"/>
    </row>
    <row r="589" spans="8:9" x14ac:dyDescent="0.2">
      <c r="H589" s="1"/>
      <c r="I589" s="1"/>
    </row>
    <row r="590" spans="8:9" x14ac:dyDescent="0.2">
      <c r="H590" s="1"/>
      <c r="I590" s="1"/>
    </row>
    <row r="591" spans="8:9" x14ac:dyDescent="0.2">
      <c r="H591" s="1"/>
      <c r="I591" s="1"/>
    </row>
    <row r="592" spans="8:9" x14ac:dyDescent="0.2">
      <c r="H592" s="1"/>
      <c r="I592" s="1"/>
    </row>
    <row r="593" spans="8:9" x14ac:dyDescent="0.2">
      <c r="H593" s="1"/>
      <c r="I593" s="1"/>
    </row>
    <row r="594" spans="8:9" x14ac:dyDescent="0.2">
      <c r="H594" s="1"/>
      <c r="I594" s="1"/>
    </row>
    <row r="595" spans="8:9" x14ac:dyDescent="0.2">
      <c r="H595" s="1"/>
      <c r="I595" s="1"/>
    </row>
    <row r="596" spans="8:9" x14ac:dyDescent="0.2">
      <c r="H596" s="1"/>
      <c r="I596" s="1"/>
    </row>
    <row r="597" spans="8:9" x14ac:dyDescent="0.2">
      <c r="H597" s="1"/>
      <c r="I597" s="1"/>
    </row>
    <row r="598" spans="8:9" x14ac:dyDescent="0.2">
      <c r="H598" s="1"/>
      <c r="I598" s="1"/>
    </row>
    <row r="599" spans="8:9" x14ac:dyDescent="0.2">
      <c r="H599" s="1"/>
      <c r="I599" s="1"/>
    </row>
    <row r="600" spans="8:9" x14ac:dyDescent="0.2">
      <c r="H600" s="1"/>
      <c r="I600" s="1"/>
    </row>
    <row r="601" spans="8:9" x14ac:dyDescent="0.2">
      <c r="H601" s="1"/>
      <c r="I601" s="1"/>
    </row>
    <row r="602" spans="8:9" x14ac:dyDescent="0.2">
      <c r="H602" s="1"/>
      <c r="I602" s="1"/>
    </row>
    <row r="603" spans="8:9" x14ac:dyDescent="0.2">
      <c r="H603" s="1"/>
      <c r="I603" s="1"/>
    </row>
    <row r="604" spans="8:9" x14ac:dyDescent="0.2">
      <c r="H604" s="1"/>
      <c r="I604" s="1"/>
    </row>
    <row r="605" spans="8:9" x14ac:dyDescent="0.2">
      <c r="H605" s="1"/>
      <c r="I605" s="1"/>
    </row>
    <row r="606" spans="8:9" x14ac:dyDescent="0.2">
      <c r="H606" s="1"/>
      <c r="I606" s="1"/>
    </row>
    <row r="607" spans="8:9" x14ac:dyDescent="0.2">
      <c r="H607" s="1"/>
      <c r="I607" s="1"/>
    </row>
    <row r="608" spans="8:9" x14ac:dyDescent="0.2">
      <c r="H608" s="1"/>
      <c r="I608" s="1"/>
    </row>
    <row r="609" spans="8:9" x14ac:dyDescent="0.2">
      <c r="H609" s="1"/>
      <c r="I609" s="1"/>
    </row>
    <row r="610" spans="8:9" x14ac:dyDescent="0.2">
      <c r="H610" s="1"/>
      <c r="I610" s="1"/>
    </row>
    <row r="611" spans="8:9" x14ac:dyDescent="0.2">
      <c r="H611" s="1"/>
      <c r="I611" s="1"/>
    </row>
    <row r="612" spans="8:9" x14ac:dyDescent="0.2">
      <c r="H612" s="1"/>
      <c r="I612" s="1"/>
    </row>
    <row r="613" spans="8:9" x14ac:dyDescent="0.2">
      <c r="H613" s="1"/>
      <c r="I613" s="1"/>
    </row>
    <row r="614" spans="8:9" x14ac:dyDescent="0.2">
      <c r="H614" s="1"/>
      <c r="I614" s="1"/>
    </row>
    <row r="615" spans="8:9" x14ac:dyDescent="0.2">
      <c r="H615" s="1"/>
      <c r="I615" s="1"/>
    </row>
    <row r="616" spans="8:9" x14ac:dyDescent="0.2">
      <c r="H616" s="1"/>
      <c r="I616" s="1"/>
    </row>
    <row r="617" spans="8:9" x14ac:dyDescent="0.2">
      <c r="H617" s="1"/>
      <c r="I617" s="1"/>
    </row>
    <row r="618" spans="8:9" x14ac:dyDescent="0.2">
      <c r="H618" s="1"/>
      <c r="I618" s="1"/>
    </row>
    <row r="619" spans="8:9" x14ac:dyDescent="0.2">
      <c r="H619" s="1"/>
      <c r="I619" s="1"/>
    </row>
    <row r="620" spans="8:9" x14ac:dyDescent="0.2">
      <c r="H620" s="1"/>
      <c r="I620" s="1"/>
    </row>
    <row r="621" spans="8:9" x14ac:dyDescent="0.2">
      <c r="H621" s="1"/>
      <c r="I621" s="1"/>
    </row>
    <row r="622" spans="8:9" x14ac:dyDescent="0.2">
      <c r="H622" s="1"/>
      <c r="I622" s="1"/>
    </row>
    <row r="623" spans="8:9" x14ac:dyDescent="0.2">
      <c r="H623" s="1"/>
      <c r="I623" s="1"/>
    </row>
    <row r="624" spans="8:9" x14ac:dyDescent="0.2">
      <c r="H624" s="1"/>
      <c r="I624" s="1"/>
    </row>
    <row r="625" spans="8:9" x14ac:dyDescent="0.2">
      <c r="H625" s="1"/>
      <c r="I625" s="1"/>
    </row>
    <row r="626" spans="8:9" x14ac:dyDescent="0.2">
      <c r="H626" s="1"/>
      <c r="I626" s="1"/>
    </row>
    <row r="627" spans="8:9" x14ac:dyDescent="0.2">
      <c r="H627" s="1"/>
      <c r="I627" s="1"/>
    </row>
    <row r="628" spans="8:9" x14ac:dyDescent="0.2">
      <c r="H628" s="1"/>
      <c r="I628" s="1"/>
    </row>
    <row r="629" spans="8:9" x14ac:dyDescent="0.2">
      <c r="H629" s="1"/>
      <c r="I629" s="1"/>
    </row>
    <row r="630" spans="8:9" x14ac:dyDescent="0.2">
      <c r="H630" s="1"/>
      <c r="I630" s="1"/>
    </row>
    <row r="631" spans="8:9" x14ac:dyDescent="0.2">
      <c r="H631" s="1"/>
      <c r="I631" s="1"/>
    </row>
    <row r="632" spans="8:9" x14ac:dyDescent="0.2">
      <c r="H632" s="1"/>
      <c r="I632" s="1"/>
    </row>
    <row r="633" spans="8:9" x14ac:dyDescent="0.2">
      <c r="H633" s="1"/>
      <c r="I633" s="1"/>
    </row>
    <row r="634" spans="8:9" x14ac:dyDescent="0.2">
      <c r="H634" s="1"/>
      <c r="I634" s="1"/>
    </row>
    <row r="635" spans="8:9" x14ac:dyDescent="0.2">
      <c r="H635" s="1"/>
      <c r="I635" s="1"/>
    </row>
    <row r="636" spans="8:9" x14ac:dyDescent="0.2">
      <c r="H636" s="1"/>
      <c r="I636" s="1"/>
    </row>
    <row r="637" spans="8:9" x14ac:dyDescent="0.2">
      <c r="H637" s="1"/>
      <c r="I637" s="1"/>
    </row>
    <row r="638" spans="8:9" x14ac:dyDescent="0.2">
      <c r="H638" s="1"/>
      <c r="I638" s="1"/>
    </row>
    <row r="639" spans="8:9" x14ac:dyDescent="0.2">
      <c r="H639" s="1"/>
      <c r="I639" s="1"/>
    </row>
    <row r="640" spans="8:9" x14ac:dyDescent="0.2">
      <c r="H640" s="1"/>
      <c r="I640" s="1"/>
    </row>
    <row r="641" spans="8:9" x14ac:dyDescent="0.2">
      <c r="H641" s="1"/>
      <c r="I641" s="1"/>
    </row>
    <row r="642" spans="8:9" x14ac:dyDescent="0.2">
      <c r="H642" s="1"/>
      <c r="I642" s="1"/>
    </row>
    <row r="643" spans="8:9" x14ac:dyDescent="0.2">
      <c r="H643" s="1"/>
      <c r="I643" s="1"/>
    </row>
    <row r="644" spans="8:9" x14ac:dyDescent="0.2">
      <c r="H644" s="1"/>
      <c r="I644" s="1"/>
    </row>
    <row r="645" spans="8:9" x14ac:dyDescent="0.2">
      <c r="H645" s="1"/>
      <c r="I645" s="1"/>
    </row>
    <row r="646" spans="8:9" x14ac:dyDescent="0.2">
      <c r="H646" s="1"/>
      <c r="I646" s="1"/>
    </row>
    <row r="647" spans="8:9" x14ac:dyDescent="0.2">
      <c r="H647" s="1"/>
      <c r="I647" s="1"/>
    </row>
    <row r="648" spans="8:9" x14ac:dyDescent="0.2">
      <c r="H648" s="1"/>
      <c r="I648" s="1"/>
    </row>
    <row r="649" spans="8:9" x14ac:dyDescent="0.2">
      <c r="H649" s="1"/>
      <c r="I649" s="1"/>
    </row>
    <row r="650" spans="8:9" x14ac:dyDescent="0.2">
      <c r="H650" s="1"/>
      <c r="I650" s="1"/>
    </row>
    <row r="651" spans="8:9" x14ac:dyDescent="0.2">
      <c r="H651" s="1"/>
      <c r="I651" s="1"/>
    </row>
    <row r="652" spans="8:9" x14ac:dyDescent="0.2">
      <c r="H652" s="1"/>
      <c r="I652" s="1"/>
    </row>
    <row r="653" spans="8:9" x14ac:dyDescent="0.2">
      <c r="H653" s="1"/>
      <c r="I653" s="1"/>
    </row>
    <row r="654" spans="8:9" x14ac:dyDescent="0.2">
      <c r="H654" s="1"/>
      <c r="I654" s="1"/>
    </row>
    <row r="655" spans="8:9" x14ac:dyDescent="0.2">
      <c r="H655" s="1"/>
      <c r="I655" s="1"/>
    </row>
    <row r="656" spans="8:9" x14ac:dyDescent="0.2">
      <c r="H656" s="1"/>
      <c r="I656" s="1"/>
    </row>
    <row r="657" spans="8:9" x14ac:dyDescent="0.2">
      <c r="H657" s="1"/>
      <c r="I657" s="1"/>
    </row>
    <row r="658" spans="8:9" x14ac:dyDescent="0.2">
      <c r="H658" s="1"/>
      <c r="I658" s="1"/>
    </row>
    <row r="659" spans="8:9" x14ac:dyDescent="0.2">
      <c r="H659" s="1"/>
      <c r="I659" s="1"/>
    </row>
    <row r="660" spans="8:9" x14ac:dyDescent="0.2">
      <c r="H660" s="1"/>
      <c r="I660" s="1"/>
    </row>
    <row r="661" spans="8:9" x14ac:dyDescent="0.2">
      <c r="H661" s="1"/>
      <c r="I661" s="1"/>
    </row>
    <row r="662" spans="8:9" x14ac:dyDescent="0.2">
      <c r="H662" s="1"/>
      <c r="I662" s="1"/>
    </row>
    <row r="663" spans="8:9" x14ac:dyDescent="0.2">
      <c r="H663" s="1"/>
      <c r="I663" s="1"/>
    </row>
    <row r="664" spans="8:9" x14ac:dyDescent="0.2">
      <c r="H664" s="1"/>
      <c r="I664" s="1"/>
    </row>
    <row r="665" spans="8:9" x14ac:dyDescent="0.2">
      <c r="H665" s="1"/>
      <c r="I665" s="1"/>
    </row>
    <row r="666" spans="8:9" x14ac:dyDescent="0.2">
      <c r="H666" s="1"/>
      <c r="I666" s="1"/>
    </row>
    <row r="667" spans="8:9" x14ac:dyDescent="0.2">
      <c r="H667" s="1"/>
      <c r="I667" s="1"/>
    </row>
    <row r="668" spans="8:9" x14ac:dyDescent="0.2">
      <c r="H668" s="1"/>
      <c r="I668" s="1"/>
    </row>
    <row r="669" spans="8:9" x14ac:dyDescent="0.2">
      <c r="H669" s="1"/>
      <c r="I669" s="1"/>
    </row>
    <row r="670" spans="8:9" x14ac:dyDescent="0.2">
      <c r="H670" s="1"/>
      <c r="I670" s="1"/>
    </row>
    <row r="671" spans="8:9" x14ac:dyDescent="0.2">
      <c r="H671" s="1"/>
      <c r="I671" s="1"/>
    </row>
    <row r="672" spans="8:9" x14ac:dyDescent="0.2">
      <c r="H672" s="1"/>
      <c r="I672" s="1"/>
    </row>
    <row r="673" spans="8:9" x14ac:dyDescent="0.2">
      <c r="H673" s="1"/>
      <c r="I673" s="1"/>
    </row>
    <row r="674" spans="8:9" x14ac:dyDescent="0.2">
      <c r="H674" s="1"/>
      <c r="I674" s="1"/>
    </row>
    <row r="675" spans="8:9" x14ac:dyDescent="0.2">
      <c r="H675" s="1"/>
      <c r="I675" s="1"/>
    </row>
    <row r="676" spans="8:9" x14ac:dyDescent="0.2">
      <c r="H676" s="1"/>
      <c r="I676" s="1"/>
    </row>
    <row r="677" spans="8:9" x14ac:dyDescent="0.2">
      <c r="H677" s="1"/>
      <c r="I677" s="1"/>
    </row>
    <row r="678" spans="8:9" x14ac:dyDescent="0.2">
      <c r="H678" s="1"/>
      <c r="I678" s="1"/>
    </row>
    <row r="679" spans="8:9" x14ac:dyDescent="0.2">
      <c r="H679" s="1"/>
      <c r="I679" s="1"/>
    </row>
    <row r="680" spans="8:9" x14ac:dyDescent="0.2">
      <c r="H680" s="1"/>
      <c r="I680" s="1"/>
    </row>
    <row r="681" spans="8:9" x14ac:dyDescent="0.2">
      <c r="H681" s="1"/>
      <c r="I681" s="1"/>
    </row>
    <row r="682" spans="8:9" x14ac:dyDescent="0.2">
      <c r="H682" s="1"/>
      <c r="I682" s="1"/>
    </row>
    <row r="683" spans="8:9" x14ac:dyDescent="0.2">
      <c r="H683" s="1"/>
      <c r="I683" s="1"/>
    </row>
    <row r="684" spans="8:9" x14ac:dyDescent="0.2">
      <c r="H684" s="1"/>
      <c r="I684" s="1"/>
    </row>
    <row r="685" spans="8:9" x14ac:dyDescent="0.2">
      <c r="H685" s="1"/>
      <c r="I685" s="1"/>
    </row>
    <row r="686" spans="8:9" x14ac:dyDescent="0.2">
      <c r="H686" s="1"/>
      <c r="I686" s="1"/>
    </row>
    <row r="687" spans="8:9" x14ac:dyDescent="0.2">
      <c r="H687" s="1"/>
      <c r="I687" s="1"/>
    </row>
    <row r="688" spans="8:9" x14ac:dyDescent="0.2">
      <c r="H688" s="1"/>
      <c r="I688" s="1"/>
    </row>
    <row r="689" spans="8:9" x14ac:dyDescent="0.2">
      <c r="H689" s="1"/>
      <c r="I689" s="1"/>
    </row>
    <row r="690" spans="8:9" x14ac:dyDescent="0.2">
      <c r="H690" s="1"/>
      <c r="I690" s="1"/>
    </row>
    <row r="691" spans="8:9" x14ac:dyDescent="0.2">
      <c r="H691" s="1"/>
      <c r="I691" s="1"/>
    </row>
    <row r="692" spans="8:9" x14ac:dyDescent="0.2">
      <c r="H692" s="1"/>
      <c r="I692" s="1"/>
    </row>
    <row r="693" spans="8:9" x14ac:dyDescent="0.2">
      <c r="H693" s="1"/>
      <c r="I693" s="1"/>
    </row>
    <row r="694" spans="8:9" x14ac:dyDescent="0.2">
      <c r="H694" s="1"/>
      <c r="I694" s="1"/>
    </row>
    <row r="695" spans="8:9" x14ac:dyDescent="0.2">
      <c r="H695" s="1"/>
      <c r="I695" s="1"/>
    </row>
    <row r="696" spans="8:9" x14ac:dyDescent="0.2">
      <c r="H696" s="1"/>
      <c r="I696" s="1"/>
    </row>
    <row r="697" spans="8:9" x14ac:dyDescent="0.2">
      <c r="H697" s="1"/>
      <c r="I697" s="1"/>
    </row>
    <row r="698" spans="8:9" x14ac:dyDescent="0.2">
      <c r="H698" s="1"/>
      <c r="I698" s="1"/>
    </row>
    <row r="699" spans="8:9" x14ac:dyDescent="0.2">
      <c r="H699" s="1"/>
      <c r="I699" s="1"/>
    </row>
    <row r="700" spans="8:9" x14ac:dyDescent="0.2">
      <c r="H700" s="1"/>
      <c r="I700" s="1"/>
    </row>
    <row r="701" spans="8:9" x14ac:dyDescent="0.2">
      <c r="H701" s="1"/>
      <c r="I701" s="1"/>
    </row>
    <row r="702" spans="8:9" x14ac:dyDescent="0.2">
      <c r="H702" s="1"/>
      <c r="I702" s="1"/>
    </row>
    <row r="703" spans="8:9" x14ac:dyDescent="0.2">
      <c r="H703" s="1"/>
      <c r="I703" s="1"/>
    </row>
    <row r="704" spans="8:9" x14ac:dyDescent="0.2">
      <c r="H704" s="1"/>
      <c r="I704" s="1"/>
    </row>
    <row r="705" spans="8:9" x14ac:dyDescent="0.2">
      <c r="H705" s="1"/>
      <c r="I705" s="1"/>
    </row>
    <row r="706" spans="8:9" x14ac:dyDescent="0.2">
      <c r="H706" s="1"/>
      <c r="I706" s="1"/>
    </row>
    <row r="707" spans="8:9" x14ac:dyDescent="0.2">
      <c r="H707" s="1"/>
      <c r="I707" s="1"/>
    </row>
    <row r="708" spans="8:9" x14ac:dyDescent="0.2">
      <c r="H708" s="1"/>
      <c r="I708" s="1"/>
    </row>
    <row r="709" spans="8:9" x14ac:dyDescent="0.2">
      <c r="H709" s="1"/>
      <c r="I709" s="1"/>
    </row>
    <row r="710" spans="8:9" x14ac:dyDescent="0.2">
      <c r="H710" s="1"/>
      <c r="I710" s="1"/>
    </row>
    <row r="711" spans="8:9" x14ac:dyDescent="0.2">
      <c r="H711" s="1"/>
      <c r="I711" s="1"/>
    </row>
    <row r="712" spans="8:9" x14ac:dyDescent="0.2">
      <c r="H712" s="1"/>
      <c r="I712" s="1"/>
    </row>
    <row r="713" spans="8:9" x14ac:dyDescent="0.2">
      <c r="H713" s="1"/>
      <c r="I713" s="1"/>
    </row>
    <row r="714" spans="8:9" x14ac:dyDescent="0.2">
      <c r="H714" s="1"/>
      <c r="I714" s="1"/>
    </row>
    <row r="715" spans="8:9" x14ac:dyDescent="0.2">
      <c r="H715" s="1"/>
      <c r="I715" s="1"/>
    </row>
    <row r="716" spans="8:9" x14ac:dyDescent="0.2">
      <c r="H716" s="1"/>
      <c r="I716" s="1"/>
    </row>
    <row r="717" spans="8:9" x14ac:dyDescent="0.2">
      <c r="H717" s="1"/>
      <c r="I717" s="1"/>
    </row>
    <row r="718" spans="8:9" x14ac:dyDescent="0.2">
      <c r="H718" s="1"/>
      <c r="I718" s="1"/>
    </row>
    <row r="719" spans="8:9" x14ac:dyDescent="0.2">
      <c r="H719" s="1"/>
      <c r="I719" s="1"/>
    </row>
    <row r="720" spans="8:9" x14ac:dyDescent="0.2">
      <c r="H720" s="1"/>
      <c r="I720" s="1"/>
    </row>
    <row r="721" spans="8:9" x14ac:dyDescent="0.2">
      <c r="H721" s="1"/>
      <c r="I721" s="1"/>
    </row>
    <row r="722" spans="8:9" x14ac:dyDescent="0.2">
      <c r="H722" s="1"/>
      <c r="I722" s="1"/>
    </row>
    <row r="723" spans="8:9" x14ac:dyDescent="0.2">
      <c r="H723" s="1"/>
      <c r="I723" s="1"/>
    </row>
    <row r="724" spans="8:9" x14ac:dyDescent="0.2">
      <c r="H724" s="1"/>
      <c r="I724" s="1"/>
    </row>
    <row r="725" spans="8:9" x14ac:dyDescent="0.2">
      <c r="H725" s="1"/>
      <c r="I725" s="1"/>
    </row>
    <row r="726" spans="8:9" x14ac:dyDescent="0.2">
      <c r="H726" s="1"/>
      <c r="I726" s="1"/>
    </row>
    <row r="727" spans="8:9" x14ac:dyDescent="0.2">
      <c r="H727" s="1"/>
      <c r="I727" s="1"/>
    </row>
    <row r="728" spans="8:9" x14ac:dyDescent="0.2">
      <c r="H728" s="1"/>
      <c r="I728" s="1"/>
    </row>
    <row r="729" spans="8:9" x14ac:dyDescent="0.2">
      <c r="H729" s="1"/>
      <c r="I729" s="1"/>
    </row>
    <row r="730" spans="8:9" x14ac:dyDescent="0.2">
      <c r="H730" s="1"/>
      <c r="I730" s="1"/>
    </row>
    <row r="731" spans="8:9" x14ac:dyDescent="0.2">
      <c r="H731" s="1"/>
      <c r="I731" s="1"/>
    </row>
    <row r="732" spans="8:9" x14ac:dyDescent="0.2">
      <c r="H732" s="1"/>
      <c r="I732" s="1"/>
    </row>
    <row r="733" spans="8:9" x14ac:dyDescent="0.2">
      <c r="H733" s="1"/>
      <c r="I733" s="1"/>
    </row>
    <row r="734" spans="8:9" x14ac:dyDescent="0.2">
      <c r="H734" s="1"/>
      <c r="I734" s="1"/>
    </row>
    <row r="735" spans="8:9" x14ac:dyDescent="0.2">
      <c r="H735" s="1"/>
      <c r="I735" s="1"/>
    </row>
    <row r="736" spans="8:9" x14ac:dyDescent="0.2">
      <c r="H736" s="1"/>
      <c r="I736" s="1"/>
    </row>
    <row r="737" spans="8:9" x14ac:dyDescent="0.2">
      <c r="H737" s="1"/>
      <c r="I737" s="1"/>
    </row>
    <row r="738" spans="8:9" x14ac:dyDescent="0.2">
      <c r="H738" s="1"/>
      <c r="I738" s="1"/>
    </row>
    <row r="739" spans="8:9" x14ac:dyDescent="0.2">
      <c r="H739" s="1"/>
      <c r="I739" s="1"/>
    </row>
    <row r="740" spans="8:9" x14ac:dyDescent="0.2">
      <c r="H740" s="1"/>
      <c r="I740" s="1"/>
    </row>
    <row r="741" spans="8:9" x14ac:dyDescent="0.2">
      <c r="H741" s="1"/>
      <c r="I741" s="1"/>
    </row>
    <row r="742" spans="8:9" x14ac:dyDescent="0.2">
      <c r="H742" s="1"/>
      <c r="I742" s="1"/>
    </row>
    <row r="743" spans="8:9" x14ac:dyDescent="0.2">
      <c r="H743" s="1"/>
      <c r="I743" s="1"/>
    </row>
    <row r="744" spans="8:9" x14ac:dyDescent="0.2">
      <c r="H744" s="1"/>
      <c r="I744" s="1"/>
    </row>
    <row r="745" spans="8:9" x14ac:dyDescent="0.2">
      <c r="H745" s="1"/>
      <c r="I745" s="1"/>
    </row>
    <row r="746" spans="8:9" x14ac:dyDescent="0.2">
      <c r="H746" s="1"/>
      <c r="I746" s="1"/>
    </row>
    <row r="747" spans="8:9" x14ac:dyDescent="0.2">
      <c r="H747" s="1"/>
      <c r="I747" s="1"/>
    </row>
    <row r="748" spans="8:9" x14ac:dyDescent="0.2">
      <c r="H748" s="1"/>
      <c r="I748" s="1"/>
    </row>
    <row r="749" spans="8:9" x14ac:dyDescent="0.2">
      <c r="H749" s="1"/>
      <c r="I749" s="1"/>
    </row>
    <row r="750" spans="8:9" x14ac:dyDescent="0.2">
      <c r="H750" s="1"/>
      <c r="I750" s="1"/>
    </row>
    <row r="751" spans="8:9" x14ac:dyDescent="0.2">
      <c r="H751" s="1"/>
      <c r="I751" s="1"/>
    </row>
    <row r="752" spans="8:9" x14ac:dyDescent="0.2">
      <c r="H752" s="1"/>
      <c r="I752" s="1"/>
    </row>
    <row r="753" spans="8:9" x14ac:dyDescent="0.2">
      <c r="H753" s="1"/>
      <c r="I753" s="1"/>
    </row>
    <row r="754" spans="8:9" x14ac:dyDescent="0.2">
      <c r="H754" s="1"/>
      <c r="I754" s="1"/>
    </row>
    <row r="755" spans="8:9" x14ac:dyDescent="0.2">
      <c r="H755" s="1"/>
      <c r="I755" s="1"/>
    </row>
    <row r="756" spans="8:9" x14ac:dyDescent="0.2">
      <c r="H756" s="1"/>
      <c r="I756" s="1"/>
    </row>
    <row r="757" spans="8:9" x14ac:dyDescent="0.2">
      <c r="H757" s="1"/>
      <c r="I757" s="1"/>
    </row>
    <row r="758" spans="8:9" x14ac:dyDescent="0.2">
      <c r="H758" s="1"/>
      <c r="I758" s="1"/>
    </row>
    <row r="759" spans="8:9" x14ac:dyDescent="0.2">
      <c r="H759" s="1"/>
      <c r="I759" s="1"/>
    </row>
    <row r="760" spans="8:9" x14ac:dyDescent="0.2">
      <c r="H760" s="1"/>
      <c r="I760" s="1"/>
    </row>
    <row r="761" spans="8:9" x14ac:dyDescent="0.2">
      <c r="H761" s="1"/>
      <c r="I761" s="1"/>
    </row>
    <row r="762" spans="8:9" x14ac:dyDescent="0.2">
      <c r="H762" s="1"/>
      <c r="I762" s="1"/>
    </row>
    <row r="763" spans="8:9" x14ac:dyDescent="0.2">
      <c r="H763" s="1"/>
      <c r="I763" s="1"/>
    </row>
    <row r="764" spans="8:9" x14ac:dyDescent="0.2">
      <c r="H764" s="1"/>
      <c r="I764" s="1"/>
    </row>
    <row r="765" spans="8:9" x14ac:dyDescent="0.2">
      <c r="H765" s="1"/>
      <c r="I765" s="1"/>
    </row>
    <row r="766" spans="8:9" x14ac:dyDescent="0.2">
      <c r="H766" s="1"/>
      <c r="I766" s="1"/>
    </row>
    <row r="767" spans="8:9" x14ac:dyDescent="0.2">
      <c r="H767" s="1"/>
      <c r="I767" s="1"/>
    </row>
    <row r="768" spans="8:9" x14ac:dyDescent="0.2">
      <c r="H768" s="1"/>
      <c r="I768" s="1"/>
    </row>
    <row r="769" spans="8:9" x14ac:dyDescent="0.2">
      <c r="H769" s="1"/>
      <c r="I769" s="1"/>
    </row>
    <row r="770" spans="8:9" x14ac:dyDescent="0.2">
      <c r="H770" s="1"/>
      <c r="I770" s="1"/>
    </row>
    <row r="771" spans="8:9" x14ac:dyDescent="0.2">
      <c r="H771" s="1"/>
      <c r="I771" s="1"/>
    </row>
    <row r="772" spans="8:9" x14ac:dyDescent="0.2">
      <c r="H772" s="1"/>
      <c r="I772" s="1"/>
    </row>
    <row r="773" spans="8:9" x14ac:dyDescent="0.2">
      <c r="H773" s="1"/>
      <c r="I773" s="1"/>
    </row>
    <row r="774" spans="8:9" x14ac:dyDescent="0.2">
      <c r="H774" s="1"/>
      <c r="I774" s="1"/>
    </row>
    <row r="775" spans="8:9" x14ac:dyDescent="0.2">
      <c r="H775" s="1"/>
      <c r="I775" s="1"/>
    </row>
    <row r="776" spans="8:9" x14ac:dyDescent="0.2">
      <c r="H776" s="1"/>
      <c r="I776" s="1"/>
    </row>
    <row r="777" spans="8:9" x14ac:dyDescent="0.2">
      <c r="H777" s="1"/>
      <c r="I777" s="1"/>
    </row>
    <row r="778" spans="8:9" x14ac:dyDescent="0.2">
      <c r="H778" s="1"/>
      <c r="I778" s="1"/>
    </row>
    <row r="779" spans="8:9" x14ac:dyDescent="0.2">
      <c r="H779" s="1"/>
      <c r="I779" s="1"/>
    </row>
    <row r="780" spans="8:9" x14ac:dyDescent="0.2">
      <c r="H780" s="1"/>
      <c r="I780" s="1"/>
    </row>
    <row r="781" spans="8:9" x14ac:dyDescent="0.2">
      <c r="H781" s="1"/>
      <c r="I781" s="1"/>
    </row>
    <row r="782" spans="8:9" x14ac:dyDescent="0.2">
      <c r="H782" s="1"/>
      <c r="I782" s="1"/>
    </row>
    <row r="783" spans="8:9" x14ac:dyDescent="0.2">
      <c r="H783" s="1"/>
      <c r="I783" s="1"/>
    </row>
    <row r="784" spans="8:9" x14ac:dyDescent="0.2">
      <c r="H784" s="1"/>
      <c r="I784" s="1"/>
    </row>
    <row r="785" spans="8:9" x14ac:dyDescent="0.2">
      <c r="H785" s="1"/>
      <c r="I785" s="1"/>
    </row>
    <row r="786" spans="8:9" x14ac:dyDescent="0.2">
      <c r="H786" s="1"/>
      <c r="I786" s="1"/>
    </row>
    <row r="787" spans="8:9" x14ac:dyDescent="0.2">
      <c r="H787" s="1"/>
      <c r="I787" s="1"/>
    </row>
    <row r="788" spans="8:9" x14ac:dyDescent="0.2">
      <c r="H788" s="1"/>
      <c r="I788" s="1"/>
    </row>
    <row r="789" spans="8:9" x14ac:dyDescent="0.2">
      <c r="H789" s="1"/>
      <c r="I789" s="1"/>
    </row>
    <row r="790" spans="8:9" x14ac:dyDescent="0.2">
      <c r="H790" s="1"/>
      <c r="I790" s="1"/>
    </row>
    <row r="791" spans="8:9" x14ac:dyDescent="0.2">
      <c r="H791" s="1"/>
      <c r="I791" s="1"/>
    </row>
    <row r="792" spans="8:9" x14ac:dyDescent="0.2">
      <c r="H792" s="1"/>
      <c r="I792" s="1"/>
    </row>
    <row r="793" spans="8:9" x14ac:dyDescent="0.2">
      <c r="H793" s="1"/>
      <c r="I793" s="1"/>
    </row>
    <row r="794" spans="8:9" x14ac:dyDescent="0.2">
      <c r="H794" s="1"/>
      <c r="I794" s="1"/>
    </row>
    <row r="795" spans="8:9" x14ac:dyDescent="0.2">
      <c r="H795" s="1"/>
      <c r="I795" s="1"/>
    </row>
    <row r="796" spans="8:9" x14ac:dyDescent="0.2">
      <c r="H796" s="1"/>
      <c r="I796" s="1"/>
    </row>
    <row r="797" spans="8:9" x14ac:dyDescent="0.2">
      <c r="H797" s="1"/>
      <c r="I797" s="1"/>
    </row>
    <row r="798" spans="8:9" x14ac:dyDescent="0.2">
      <c r="H798" s="1"/>
      <c r="I798" s="1"/>
    </row>
    <row r="799" spans="8:9" x14ac:dyDescent="0.2">
      <c r="H799" s="1"/>
      <c r="I799" s="1"/>
    </row>
    <row r="800" spans="8:9" x14ac:dyDescent="0.2">
      <c r="H800" s="1"/>
      <c r="I800" s="1"/>
    </row>
    <row r="801" spans="8:9" x14ac:dyDescent="0.2">
      <c r="H801" s="1"/>
      <c r="I801" s="1"/>
    </row>
    <row r="802" spans="8:9" x14ac:dyDescent="0.2">
      <c r="H802" s="1"/>
      <c r="I802" s="1"/>
    </row>
    <row r="803" spans="8:9" x14ac:dyDescent="0.2">
      <c r="H803" s="1"/>
      <c r="I803" s="1"/>
    </row>
    <row r="804" spans="8:9" x14ac:dyDescent="0.2">
      <c r="H804" s="1"/>
      <c r="I804" s="1"/>
    </row>
    <row r="805" spans="8:9" x14ac:dyDescent="0.2">
      <c r="H805" s="1"/>
      <c r="I805" s="1"/>
    </row>
    <row r="806" spans="8:9" x14ac:dyDescent="0.2">
      <c r="H806" s="1"/>
      <c r="I806" s="1"/>
    </row>
    <row r="807" spans="8:9" x14ac:dyDescent="0.2">
      <c r="H807" s="1"/>
      <c r="I807" s="1"/>
    </row>
    <row r="808" spans="8:9" x14ac:dyDescent="0.2">
      <c r="H808" s="1"/>
      <c r="I808" s="1"/>
    </row>
    <row r="809" spans="8:9" x14ac:dyDescent="0.2">
      <c r="H809" s="1"/>
      <c r="I809" s="1"/>
    </row>
    <row r="810" spans="8:9" x14ac:dyDescent="0.2">
      <c r="H810" s="1"/>
      <c r="I810" s="1"/>
    </row>
    <row r="811" spans="8:9" x14ac:dyDescent="0.2">
      <c r="H811" s="1"/>
      <c r="I811" s="1"/>
    </row>
    <row r="812" spans="8:9" x14ac:dyDescent="0.2">
      <c r="H812" s="1"/>
      <c r="I812" s="1"/>
    </row>
    <row r="813" spans="8:9" x14ac:dyDescent="0.2">
      <c r="H813" s="1"/>
      <c r="I813" s="1"/>
    </row>
    <row r="814" spans="8:9" x14ac:dyDescent="0.2">
      <c r="H814" s="1"/>
      <c r="I814" s="1"/>
    </row>
    <row r="815" spans="8:9" x14ac:dyDescent="0.2">
      <c r="H815" s="1"/>
      <c r="I815" s="1"/>
    </row>
    <row r="816" spans="8:9" x14ac:dyDescent="0.2">
      <c r="H816" s="1"/>
      <c r="I816" s="1"/>
    </row>
    <row r="817" spans="8:9" x14ac:dyDescent="0.2">
      <c r="H817" s="1"/>
      <c r="I817" s="1"/>
    </row>
    <row r="818" spans="8:9" x14ac:dyDescent="0.2">
      <c r="H818" s="1"/>
      <c r="I818" s="1"/>
    </row>
    <row r="819" spans="8:9" x14ac:dyDescent="0.2">
      <c r="H819" s="1"/>
      <c r="I819" s="1"/>
    </row>
    <row r="820" spans="8:9" x14ac:dyDescent="0.2">
      <c r="H820" s="1"/>
      <c r="I820" s="1"/>
    </row>
    <row r="821" spans="8:9" x14ac:dyDescent="0.2">
      <c r="H821" s="1"/>
      <c r="I821" s="1"/>
    </row>
    <row r="822" spans="8:9" x14ac:dyDescent="0.2">
      <c r="H822" s="1"/>
      <c r="I822" s="1"/>
    </row>
    <row r="823" spans="8:9" x14ac:dyDescent="0.2">
      <c r="H823" s="1"/>
      <c r="I823" s="1"/>
    </row>
    <row r="824" spans="8:9" x14ac:dyDescent="0.2">
      <c r="H824" s="1"/>
      <c r="I824" s="1"/>
    </row>
    <row r="825" spans="8:9" x14ac:dyDescent="0.2">
      <c r="H825" s="1"/>
      <c r="I825" s="1"/>
    </row>
    <row r="826" spans="8:9" x14ac:dyDescent="0.2">
      <c r="H826" s="1"/>
      <c r="I826" s="1"/>
    </row>
    <row r="827" spans="8:9" x14ac:dyDescent="0.2">
      <c r="H827" s="1"/>
      <c r="I827" s="1"/>
    </row>
    <row r="828" spans="8:9" x14ac:dyDescent="0.2">
      <c r="H828" s="1"/>
      <c r="I828" s="1"/>
    </row>
    <row r="829" spans="8:9" x14ac:dyDescent="0.2">
      <c r="H829" s="1"/>
      <c r="I829" s="1"/>
    </row>
    <row r="830" spans="8:9" x14ac:dyDescent="0.2">
      <c r="H830" s="1"/>
      <c r="I830" s="1"/>
    </row>
    <row r="831" spans="8:9" x14ac:dyDescent="0.2">
      <c r="H831" s="1"/>
      <c r="I831" s="1"/>
    </row>
    <row r="832" spans="8:9" x14ac:dyDescent="0.2">
      <c r="H832" s="1"/>
      <c r="I832" s="1"/>
    </row>
    <row r="833" spans="8:9" x14ac:dyDescent="0.2">
      <c r="H833" s="1"/>
      <c r="I833" s="1"/>
    </row>
    <row r="834" spans="8:9" x14ac:dyDescent="0.2">
      <c r="H834" s="1"/>
      <c r="I834" s="1"/>
    </row>
    <row r="835" spans="8:9" x14ac:dyDescent="0.2">
      <c r="H835" s="1"/>
      <c r="I835" s="1"/>
    </row>
    <row r="836" spans="8:9" x14ac:dyDescent="0.2">
      <c r="H836" s="1"/>
      <c r="I836" s="1"/>
    </row>
    <row r="837" spans="8:9" x14ac:dyDescent="0.2">
      <c r="H837" s="1"/>
      <c r="I837" s="1"/>
    </row>
    <row r="838" spans="8:9" x14ac:dyDescent="0.2">
      <c r="H838" s="1"/>
      <c r="I838" s="1"/>
    </row>
    <row r="839" spans="8:9" x14ac:dyDescent="0.2">
      <c r="H839" s="1"/>
      <c r="I839" s="1"/>
    </row>
    <row r="840" spans="8:9" x14ac:dyDescent="0.2">
      <c r="H840" s="1"/>
      <c r="I840" s="1"/>
    </row>
    <row r="841" spans="8:9" x14ac:dyDescent="0.2">
      <c r="H841" s="1"/>
      <c r="I841" s="1"/>
    </row>
    <row r="842" spans="8:9" x14ac:dyDescent="0.2">
      <c r="H842" s="1"/>
      <c r="I842" s="1"/>
    </row>
    <row r="843" spans="8:9" x14ac:dyDescent="0.2">
      <c r="H843" s="1"/>
      <c r="I843" s="1"/>
    </row>
    <row r="844" spans="8:9" x14ac:dyDescent="0.2">
      <c r="H844" s="1"/>
      <c r="I844" s="1"/>
    </row>
    <row r="845" spans="8:9" x14ac:dyDescent="0.2">
      <c r="H845" s="1"/>
      <c r="I845" s="1"/>
    </row>
    <row r="846" spans="8:9" x14ac:dyDescent="0.2">
      <c r="H846" s="1"/>
      <c r="I846" s="1"/>
    </row>
    <row r="847" spans="8:9" x14ac:dyDescent="0.2">
      <c r="H847" s="1"/>
      <c r="I847" s="1"/>
    </row>
    <row r="848" spans="8:9" x14ac:dyDescent="0.2">
      <c r="H848" s="1"/>
      <c r="I848" s="1"/>
    </row>
    <row r="849" spans="8:9" x14ac:dyDescent="0.2">
      <c r="H849" s="1"/>
      <c r="I849" s="1"/>
    </row>
    <row r="850" spans="8:9" x14ac:dyDescent="0.2">
      <c r="H850" s="1"/>
      <c r="I850" s="1"/>
    </row>
    <row r="851" spans="8:9" x14ac:dyDescent="0.2">
      <c r="H851" s="1"/>
      <c r="I851" s="1"/>
    </row>
    <row r="852" spans="8:9" x14ac:dyDescent="0.2">
      <c r="H852" s="1"/>
      <c r="I852" s="1"/>
    </row>
    <row r="853" spans="8:9" x14ac:dyDescent="0.2">
      <c r="H853" s="1"/>
      <c r="I853" s="1"/>
    </row>
    <row r="854" spans="8:9" x14ac:dyDescent="0.2">
      <c r="H854" s="1"/>
      <c r="I854" s="1"/>
    </row>
    <row r="855" spans="8:9" x14ac:dyDescent="0.2">
      <c r="H855" s="1"/>
      <c r="I855" s="1"/>
    </row>
    <row r="856" spans="8:9" x14ac:dyDescent="0.2">
      <c r="H856" s="1"/>
      <c r="I856" s="1"/>
    </row>
    <row r="857" spans="8:9" x14ac:dyDescent="0.2">
      <c r="H857" s="1"/>
      <c r="I857" s="1"/>
    </row>
    <row r="858" spans="8:9" x14ac:dyDescent="0.2">
      <c r="H858" s="1"/>
      <c r="I858" s="1"/>
    </row>
    <row r="859" spans="8:9" x14ac:dyDescent="0.2">
      <c r="H859" s="1"/>
      <c r="I859" s="1"/>
    </row>
    <row r="860" spans="8:9" x14ac:dyDescent="0.2">
      <c r="H860" s="1"/>
      <c r="I860" s="1"/>
    </row>
    <row r="861" spans="8:9" x14ac:dyDescent="0.2">
      <c r="H861" s="1"/>
      <c r="I861" s="1"/>
    </row>
    <row r="862" spans="8:9" x14ac:dyDescent="0.2">
      <c r="H862" s="1"/>
      <c r="I862" s="1"/>
    </row>
    <row r="863" spans="8:9" x14ac:dyDescent="0.2">
      <c r="H863" s="1"/>
      <c r="I863" s="1"/>
    </row>
    <row r="864" spans="8:9" x14ac:dyDescent="0.2">
      <c r="H864" s="1"/>
      <c r="I864" s="1"/>
    </row>
    <row r="865" spans="8:9" x14ac:dyDescent="0.2">
      <c r="H865" s="1"/>
      <c r="I865" s="1"/>
    </row>
    <row r="866" spans="8:9" x14ac:dyDescent="0.2">
      <c r="H866" s="1"/>
      <c r="I866" s="1"/>
    </row>
    <row r="867" spans="8:9" x14ac:dyDescent="0.2">
      <c r="H867" s="1"/>
      <c r="I867" s="1"/>
    </row>
    <row r="868" spans="8:9" x14ac:dyDescent="0.2">
      <c r="H868" s="1"/>
      <c r="I868" s="1"/>
    </row>
    <row r="869" spans="8:9" x14ac:dyDescent="0.2">
      <c r="H869" s="1"/>
      <c r="I869" s="1"/>
    </row>
    <row r="870" spans="8:9" x14ac:dyDescent="0.2">
      <c r="H870" s="1"/>
      <c r="I870" s="1"/>
    </row>
    <row r="871" spans="8:9" x14ac:dyDescent="0.2">
      <c r="H871" s="1"/>
      <c r="I871" s="1"/>
    </row>
    <row r="872" spans="8:9" x14ac:dyDescent="0.2">
      <c r="H872" s="1"/>
      <c r="I872" s="1"/>
    </row>
    <row r="873" spans="8:9" x14ac:dyDescent="0.2">
      <c r="H873" s="1"/>
      <c r="I873" s="1"/>
    </row>
    <row r="874" spans="8:9" x14ac:dyDescent="0.2">
      <c r="H874" s="1"/>
      <c r="I874" s="1"/>
    </row>
    <row r="875" spans="8:9" x14ac:dyDescent="0.2">
      <c r="H875" s="1"/>
      <c r="I875" s="1"/>
    </row>
    <row r="876" spans="8:9" x14ac:dyDescent="0.2">
      <c r="H876" s="1"/>
      <c r="I876" s="1"/>
    </row>
    <row r="877" spans="8:9" x14ac:dyDescent="0.2">
      <c r="H877" s="1"/>
      <c r="I877" s="1"/>
    </row>
    <row r="878" spans="8:9" x14ac:dyDescent="0.2">
      <c r="H878" s="1"/>
      <c r="I878" s="1"/>
    </row>
    <row r="879" spans="8:9" x14ac:dyDescent="0.2">
      <c r="H879" s="1"/>
      <c r="I879" s="1"/>
    </row>
    <row r="880" spans="8:9" x14ac:dyDescent="0.2">
      <c r="H880" s="1"/>
      <c r="I880" s="1"/>
    </row>
    <row r="881" spans="8:9" x14ac:dyDescent="0.2">
      <c r="H881" s="1"/>
      <c r="I881" s="1"/>
    </row>
    <row r="882" spans="8:9" x14ac:dyDescent="0.2">
      <c r="H882" s="1"/>
      <c r="I882" s="1"/>
    </row>
    <row r="883" spans="8:9" x14ac:dyDescent="0.2">
      <c r="H883" s="1"/>
      <c r="I883" s="1"/>
    </row>
    <row r="884" spans="8:9" x14ac:dyDescent="0.2">
      <c r="H884" s="1"/>
      <c r="I884" s="1"/>
    </row>
    <row r="885" spans="8:9" x14ac:dyDescent="0.2">
      <c r="H885" s="1"/>
      <c r="I885" s="1"/>
    </row>
    <row r="886" spans="8:9" x14ac:dyDescent="0.2">
      <c r="H886" s="1"/>
      <c r="I886" s="1"/>
    </row>
    <row r="887" spans="8:9" x14ac:dyDescent="0.2">
      <c r="H887" s="1"/>
      <c r="I887" s="1"/>
    </row>
    <row r="888" spans="8:9" x14ac:dyDescent="0.2">
      <c r="H888" s="1"/>
      <c r="I888" s="1"/>
    </row>
    <row r="889" spans="8:9" x14ac:dyDescent="0.2">
      <c r="H889" s="1"/>
      <c r="I889" s="1"/>
    </row>
    <row r="890" spans="8:9" x14ac:dyDescent="0.2">
      <c r="H890" s="1"/>
      <c r="I890" s="1"/>
    </row>
    <row r="891" spans="8:9" x14ac:dyDescent="0.2">
      <c r="H891" s="1"/>
      <c r="I891" s="1"/>
    </row>
    <row r="892" spans="8:9" x14ac:dyDescent="0.2">
      <c r="H892" s="1"/>
      <c r="I892" s="1"/>
    </row>
    <row r="893" spans="8:9" x14ac:dyDescent="0.2">
      <c r="H893" s="1"/>
      <c r="I893" s="1"/>
    </row>
    <row r="894" spans="8:9" x14ac:dyDescent="0.2">
      <c r="H894" s="1"/>
      <c r="I894" s="1"/>
    </row>
    <row r="895" spans="8:9" x14ac:dyDescent="0.2">
      <c r="H895" s="1"/>
      <c r="I895" s="1"/>
    </row>
    <row r="896" spans="8:9" x14ac:dyDescent="0.2">
      <c r="H896" s="1"/>
      <c r="I896" s="1"/>
    </row>
    <row r="897" spans="8:9" x14ac:dyDescent="0.2">
      <c r="H897" s="1"/>
      <c r="I897" s="1"/>
    </row>
    <row r="898" spans="8:9" x14ac:dyDescent="0.2">
      <c r="H898" s="1"/>
      <c r="I898" s="1"/>
    </row>
    <row r="899" spans="8:9" x14ac:dyDescent="0.2">
      <c r="H899" s="1"/>
      <c r="I899" s="1"/>
    </row>
    <row r="900" spans="8:9" x14ac:dyDescent="0.2">
      <c r="H900" s="1"/>
      <c r="I900" s="1"/>
    </row>
    <row r="901" spans="8:9" x14ac:dyDescent="0.2">
      <c r="H901" s="1"/>
      <c r="I901" s="1"/>
    </row>
    <row r="902" spans="8:9" x14ac:dyDescent="0.2">
      <c r="H902" s="1"/>
      <c r="I902" s="1"/>
    </row>
    <row r="903" spans="8:9" x14ac:dyDescent="0.2">
      <c r="H903" s="1"/>
      <c r="I903" s="1"/>
    </row>
    <row r="904" spans="8:9" x14ac:dyDescent="0.2">
      <c r="H904" s="1"/>
      <c r="I904" s="1"/>
    </row>
    <row r="905" spans="8:9" x14ac:dyDescent="0.2">
      <c r="H905" s="1"/>
      <c r="I905" s="1"/>
    </row>
    <row r="906" spans="8:9" x14ac:dyDescent="0.2">
      <c r="H906" s="1"/>
      <c r="I906" s="1"/>
    </row>
    <row r="907" spans="8:9" x14ac:dyDescent="0.2">
      <c r="H907" s="1"/>
      <c r="I907" s="1"/>
    </row>
    <row r="908" spans="8:9" x14ac:dyDescent="0.2">
      <c r="H908" s="1"/>
      <c r="I908" s="1"/>
    </row>
    <row r="909" spans="8:9" x14ac:dyDescent="0.2">
      <c r="H909" s="1"/>
      <c r="I909" s="1"/>
    </row>
    <row r="910" spans="8:9" x14ac:dyDescent="0.2">
      <c r="H910" s="1"/>
      <c r="I910" s="1"/>
    </row>
    <row r="911" spans="8:9" x14ac:dyDescent="0.2">
      <c r="H911" s="1"/>
      <c r="I911" s="1"/>
    </row>
    <row r="912" spans="8:9" x14ac:dyDescent="0.2">
      <c r="H912" s="1"/>
      <c r="I912" s="1"/>
    </row>
    <row r="913" spans="8:9" x14ac:dyDescent="0.2">
      <c r="H913" s="1"/>
      <c r="I913" s="1"/>
    </row>
    <row r="914" spans="8:9" x14ac:dyDescent="0.2">
      <c r="H914" s="1"/>
      <c r="I914" s="1"/>
    </row>
    <row r="915" spans="8:9" x14ac:dyDescent="0.2">
      <c r="H915" s="1"/>
      <c r="I915" s="1"/>
    </row>
    <row r="916" spans="8:9" x14ac:dyDescent="0.2">
      <c r="H916" s="1"/>
      <c r="I916" s="1"/>
    </row>
    <row r="917" spans="8:9" x14ac:dyDescent="0.2">
      <c r="H917" s="1"/>
      <c r="I917" s="1"/>
    </row>
    <row r="918" spans="8:9" x14ac:dyDescent="0.2">
      <c r="H918" s="1"/>
      <c r="I918" s="1"/>
    </row>
    <row r="919" spans="8:9" x14ac:dyDescent="0.2">
      <c r="H919" s="1"/>
      <c r="I919" s="1"/>
    </row>
    <row r="920" spans="8:9" x14ac:dyDescent="0.2">
      <c r="H920" s="1"/>
      <c r="I920" s="1"/>
    </row>
    <row r="921" spans="8:9" x14ac:dyDescent="0.2">
      <c r="H921" s="1"/>
      <c r="I921" s="1"/>
    </row>
    <row r="922" spans="8:9" x14ac:dyDescent="0.2">
      <c r="H922" s="1"/>
      <c r="I922" s="1"/>
    </row>
    <row r="923" spans="8:9" x14ac:dyDescent="0.2">
      <c r="H923" s="1"/>
      <c r="I923" s="1"/>
    </row>
    <row r="924" spans="8:9" x14ac:dyDescent="0.2">
      <c r="H924" s="1"/>
      <c r="I924" s="1"/>
    </row>
    <row r="925" spans="8:9" x14ac:dyDescent="0.2">
      <c r="H925" s="1"/>
      <c r="I925" s="1"/>
    </row>
    <row r="926" spans="8:9" x14ac:dyDescent="0.2">
      <c r="H926" s="1"/>
      <c r="I926" s="1"/>
    </row>
    <row r="927" spans="8:9" x14ac:dyDescent="0.2">
      <c r="H927" s="1"/>
      <c r="I927" s="1"/>
    </row>
    <row r="928" spans="8:9" x14ac:dyDescent="0.2">
      <c r="H928" s="1"/>
      <c r="I928" s="1"/>
    </row>
    <row r="929" spans="8:9" x14ac:dyDescent="0.2">
      <c r="H929" s="1"/>
      <c r="I929" s="1"/>
    </row>
    <row r="930" spans="8:9" x14ac:dyDescent="0.2">
      <c r="H930" s="1"/>
      <c r="I930" s="1"/>
    </row>
    <row r="931" spans="8:9" x14ac:dyDescent="0.2">
      <c r="H931" s="1"/>
      <c r="I931" s="1"/>
    </row>
    <row r="932" spans="8:9" x14ac:dyDescent="0.2">
      <c r="H932" s="1"/>
      <c r="I932" s="1"/>
    </row>
    <row r="933" spans="8:9" x14ac:dyDescent="0.2">
      <c r="H933" s="1"/>
      <c r="I933" s="1"/>
    </row>
    <row r="934" spans="8:9" x14ac:dyDescent="0.2">
      <c r="H934" s="1"/>
      <c r="I934" s="1"/>
    </row>
    <row r="935" spans="8:9" x14ac:dyDescent="0.2">
      <c r="H935" s="1"/>
      <c r="I935" s="1"/>
    </row>
    <row r="936" spans="8:9" x14ac:dyDescent="0.2">
      <c r="H936" s="1"/>
      <c r="I936" s="1"/>
    </row>
    <row r="937" spans="8:9" x14ac:dyDescent="0.2">
      <c r="H937" s="1"/>
      <c r="I937" s="1"/>
    </row>
    <row r="938" spans="8:9" x14ac:dyDescent="0.2">
      <c r="H938" s="1"/>
      <c r="I938" s="1"/>
    </row>
    <row r="939" spans="8:9" x14ac:dyDescent="0.2">
      <c r="H939" s="1"/>
      <c r="I939" s="1"/>
    </row>
    <row r="940" spans="8:9" x14ac:dyDescent="0.2">
      <c r="H940" s="1"/>
      <c r="I940" s="1"/>
    </row>
    <row r="941" spans="8:9" x14ac:dyDescent="0.2">
      <c r="H941" s="1"/>
      <c r="I941" s="1"/>
    </row>
    <row r="942" spans="8:9" x14ac:dyDescent="0.2">
      <c r="H942" s="1"/>
      <c r="I942" s="1"/>
    </row>
    <row r="943" spans="8:9" x14ac:dyDescent="0.2">
      <c r="H943" s="1"/>
      <c r="I943" s="1"/>
    </row>
    <row r="944" spans="8:9" x14ac:dyDescent="0.2">
      <c r="H944" s="1"/>
      <c r="I944" s="1"/>
    </row>
    <row r="945" spans="8:9" x14ac:dyDescent="0.2">
      <c r="H945" s="1"/>
      <c r="I945" s="1"/>
    </row>
    <row r="946" spans="8:9" x14ac:dyDescent="0.2">
      <c r="H946" s="1"/>
      <c r="I946" s="1"/>
    </row>
    <row r="947" spans="8:9" x14ac:dyDescent="0.2">
      <c r="H947" s="1"/>
      <c r="I947" s="1"/>
    </row>
    <row r="948" spans="8:9" x14ac:dyDescent="0.2">
      <c r="H948" s="1"/>
      <c r="I948" s="1"/>
    </row>
    <row r="949" spans="8:9" x14ac:dyDescent="0.2">
      <c r="H949" s="1"/>
      <c r="I949" s="1"/>
    </row>
    <row r="950" spans="8:9" x14ac:dyDescent="0.2">
      <c r="H950" s="1"/>
      <c r="I950" s="1"/>
    </row>
    <row r="951" spans="8:9" x14ac:dyDescent="0.2">
      <c r="H951" s="1"/>
      <c r="I951" s="1"/>
    </row>
    <row r="952" spans="8:9" x14ac:dyDescent="0.2">
      <c r="H952" s="1"/>
      <c r="I952" s="1"/>
    </row>
    <row r="953" spans="8:9" x14ac:dyDescent="0.2">
      <c r="H953" s="1"/>
      <c r="I953" s="1"/>
    </row>
    <row r="954" spans="8:9" x14ac:dyDescent="0.2">
      <c r="H954" s="1"/>
      <c r="I954" s="1"/>
    </row>
    <row r="955" spans="8:9" x14ac:dyDescent="0.2">
      <c r="H955" s="1"/>
      <c r="I955" s="1"/>
    </row>
    <row r="956" spans="8:9" x14ac:dyDescent="0.2">
      <c r="H956" s="1"/>
      <c r="I956" s="1"/>
    </row>
    <row r="957" spans="8:9" x14ac:dyDescent="0.2">
      <c r="H957" s="1"/>
      <c r="I957" s="1"/>
    </row>
    <row r="958" spans="8:9" x14ac:dyDescent="0.2">
      <c r="H958" s="1"/>
      <c r="I958" s="1"/>
    </row>
    <row r="959" spans="8:9" x14ac:dyDescent="0.2">
      <c r="H959" s="1"/>
      <c r="I959" s="1"/>
    </row>
    <row r="960" spans="8:9" x14ac:dyDescent="0.2">
      <c r="H960" s="1"/>
      <c r="I960" s="1"/>
    </row>
    <row r="961" spans="8:9" x14ac:dyDescent="0.2">
      <c r="H961" s="1"/>
      <c r="I961" s="1"/>
    </row>
    <row r="962" spans="8:9" x14ac:dyDescent="0.2">
      <c r="H962" s="1"/>
      <c r="I962" s="1"/>
    </row>
    <row r="963" spans="8:9" x14ac:dyDescent="0.2">
      <c r="H963" s="1"/>
      <c r="I963" s="1"/>
    </row>
    <row r="964" spans="8:9" x14ac:dyDescent="0.2">
      <c r="H964" s="1"/>
      <c r="I964" s="1"/>
    </row>
    <row r="965" spans="8:9" x14ac:dyDescent="0.2">
      <c r="H965" s="1"/>
      <c r="I965" s="1"/>
    </row>
    <row r="966" spans="8:9" x14ac:dyDescent="0.2">
      <c r="H966" s="1"/>
      <c r="I966" s="1"/>
    </row>
    <row r="967" spans="8:9" x14ac:dyDescent="0.2">
      <c r="H967" s="1"/>
      <c r="I967" s="1"/>
    </row>
    <row r="968" spans="8:9" x14ac:dyDescent="0.2">
      <c r="H968" s="1"/>
      <c r="I968" s="1"/>
    </row>
    <row r="969" spans="8:9" x14ac:dyDescent="0.2">
      <c r="H969" s="1"/>
      <c r="I969" s="1"/>
    </row>
    <row r="970" spans="8:9" x14ac:dyDescent="0.2">
      <c r="H970" s="1"/>
      <c r="I970" s="1"/>
    </row>
    <row r="971" spans="8:9" x14ac:dyDescent="0.2">
      <c r="H971" s="1"/>
      <c r="I971" s="1"/>
    </row>
    <row r="972" spans="8:9" x14ac:dyDescent="0.2">
      <c r="H972" s="1"/>
      <c r="I972" s="1"/>
    </row>
    <row r="973" spans="8:9" x14ac:dyDescent="0.2">
      <c r="H973" s="1"/>
      <c r="I973" s="1"/>
    </row>
    <row r="974" spans="8:9" x14ac:dyDescent="0.2">
      <c r="H974" s="1"/>
      <c r="I974" s="1"/>
    </row>
    <row r="975" spans="8:9" x14ac:dyDescent="0.2">
      <c r="H975" s="1"/>
      <c r="I975" s="1"/>
    </row>
    <row r="976" spans="8:9" x14ac:dyDescent="0.2">
      <c r="H976" s="1"/>
      <c r="I976" s="1"/>
    </row>
    <row r="977" spans="8:9" x14ac:dyDescent="0.2">
      <c r="H977" s="1"/>
      <c r="I977" s="1"/>
    </row>
    <row r="978" spans="8:9" x14ac:dyDescent="0.2">
      <c r="H978" s="1"/>
      <c r="I978" s="1"/>
    </row>
    <row r="979" spans="8:9" x14ac:dyDescent="0.2">
      <c r="H979" s="1"/>
      <c r="I979" s="1"/>
    </row>
    <row r="980" spans="8:9" x14ac:dyDescent="0.2">
      <c r="H980" s="1"/>
      <c r="I980" s="1"/>
    </row>
    <row r="981" spans="8:9" x14ac:dyDescent="0.2">
      <c r="H981" s="1"/>
      <c r="I981" s="1"/>
    </row>
    <row r="982" spans="8:9" x14ac:dyDescent="0.2">
      <c r="H982" s="1"/>
      <c r="I982" s="1"/>
    </row>
    <row r="983" spans="8:9" x14ac:dyDescent="0.2">
      <c r="H983" s="1"/>
      <c r="I983" s="1"/>
    </row>
    <row r="984" spans="8:9" x14ac:dyDescent="0.2">
      <c r="H984" s="1"/>
      <c r="I984" s="1"/>
    </row>
    <row r="985" spans="8:9" x14ac:dyDescent="0.2">
      <c r="H985" s="1"/>
      <c r="I985" s="1"/>
    </row>
    <row r="986" spans="8:9" x14ac:dyDescent="0.2">
      <c r="H986" s="1"/>
      <c r="I986" s="1"/>
    </row>
    <row r="987" spans="8:9" x14ac:dyDescent="0.2">
      <c r="H987" s="1"/>
      <c r="I987" s="1"/>
    </row>
    <row r="988" spans="8:9" x14ac:dyDescent="0.2">
      <c r="H988" s="1"/>
      <c r="I988" s="1"/>
    </row>
    <row r="989" spans="8:9" x14ac:dyDescent="0.2">
      <c r="H989" s="1"/>
      <c r="I989" s="1"/>
    </row>
    <row r="990" spans="8:9" x14ac:dyDescent="0.2">
      <c r="H990" s="1"/>
      <c r="I990" s="1"/>
    </row>
    <row r="991" spans="8:9" x14ac:dyDescent="0.2">
      <c r="H991" s="1"/>
      <c r="I991" s="1"/>
    </row>
    <row r="992" spans="8:9" x14ac:dyDescent="0.2">
      <c r="H992" s="1"/>
      <c r="I992" s="1"/>
    </row>
    <row r="993" spans="8:9" x14ac:dyDescent="0.2">
      <c r="H993" s="1"/>
      <c r="I993" s="1"/>
    </row>
    <row r="994" spans="8:9" x14ac:dyDescent="0.2">
      <c r="H994" s="1"/>
      <c r="I994" s="1"/>
    </row>
    <row r="995" spans="8:9" x14ac:dyDescent="0.2">
      <c r="H995" s="1"/>
      <c r="I995" s="1"/>
    </row>
    <row r="996" spans="8:9" x14ac:dyDescent="0.2">
      <c r="H996" s="1"/>
      <c r="I996" s="1"/>
    </row>
    <row r="997" spans="8:9" x14ac:dyDescent="0.2">
      <c r="H997" s="1"/>
      <c r="I997" s="1"/>
    </row>
    <row r="998" spans="8:9" x14ac:dyDescent="0.2">
      <c r="H998" s="1"/>
      <c r="I998" s="1"/>
    </row>
    <row r="999" spans="8:9" x14ac:dyDescent="0.2">
      <c r="H999" s="1"/>
      <c r="I999" s="1"/>
    </row>
    <row r="1000" spans="8:9" x14ac:dyDescent="0.2">
      <c r="H1000" s="1"/>
      <c r="I1000" s="1"/>
    </row>
    <row r="1001" spans="8:9" x14ac:dyDescent="0.2">
      <c r="H1001" s="1"/>
      <c r="I1001" s="1"/>
    </row>
    <row r="1002" spans="8:9" x14ac:dyDescent="0.2">
      <c r="H1002" s="1"/>
      <c r="I1002" s="1"/>
    </row>
    <row r="1003" spans="8:9" x14ac:dyDescent="0.2">
      <c r="H1003" s="1"/>
      <c r="I1003" s="1"/>
    </row>
    <row r="1004" spans="8:9" x14ac:dyDescent="0.2">
      <c r="H1004" s="1"/>
      <c r="I1004" s="1"/>
    </row>
    <row r="1005" spans="8:9" x14ac:dyDescent="0.2">
      <c r="H1005" s="1"/>
      <c r="I1005" s="1"/>
    </row>
    <row r="1006" spans="8:9" x14ac:dyDescent="0.2">
      <c r="H1006" s="1"/>
      <c r="I1006" s="1"/>
    </row>
    <row r="1007" spans="8:9" x14ac:dyDescent="0.2">
      <c r="H1007" s="1"/>
      <c r="I1007" s="1"/>
    </row>
    <row r="1008" spans="8:9" x14ac:dyDescent="0.2">
      <c r="H1008" s="1"/>
      <c r="I1008" s="1"/>
    </row>
    <row r="1009" spans="8:9" x14ac:dyDescent="0.2">
      <c r="H1009" s="1"/>
      <c r="I1009" s="1"/>
    </row>
    <row r="1010" spans="8:9" x14ac:dyDescent="0.2">
      <c r="H1010" s="1"/>
      <c r="I1010" s="1"/>
    </row>
    <row r="1011" spans="8:9" x14ac:dyDescent="0.2">
      <c r="H1011" s="1"/>
      <c r="I1011" s="1"/>
    </row>
    <row r="1012" spans="8:9" x14ac:dyDescent="0.2">
      <c r="H1012" s="1"/>
      <c r="I1012" s="1"/>
    </row>
    <row r="1013" spans="8:9" x14ac:dyDescent="0.2">
      <c r="H1013" s="1"/>
      <c r="I1013" s="1"/>
    </row>
    <row r="1014" spans="8:9" x14ac:dyDescent="0.2">
      <c r="H1014" s="1"/>
      <c r="I1014" s="1"/>
    </row>
    <row r="1015" spans="8:9" x14ac:dyDescent="0.2">
      <c r="H1015" s="1"/>
      <c r="I1015" s="1"/>
    </row>
    <row r="1016" spans="8:9" x14ac:dyDescent="0.2">
      <c r="H1016" s="1"/>
      <c r="I1016" s="1"/>
    </row>
    <row r="1017" spans="8:9" x14ac:dyDescent="0.2">
      <c r="H1017" s="1"/>
      <c r="I1017" s="1"/>
    </row>
    <row r="1018" spans="8:9" x14ac:dyDescent="0.2">
      <c r="H1018" s="1"/>
      <c r="I1018" s="1"/>
    </row>
    <row r="1019" spans="8:9" x14ac:dyDescent="0.2">
      <c r="H1019" s="1"/>
      <c r="I1019" s="1"/>
    </row>
    <row r="1020" spans="8:9" x14ac:dyDescent="0.2">
      <c r="H1020" s="1"/>
      <c r="I1020" s="1"/>
    </row>
    <row r="1021" spans="8:9" x14ac:dyDescent="0.2">
      <c r="H1021" s="1"/>
      <c r="I1021" s="1"/>
    </row>
    <row r="1022" spans="8:9" x14ac:dyDescent="0.2">
      <c r="H1022" s="1"/>
      <c r="I1022" s="1"/>
    </row>
    <row r="1023" spans="8:9" x14ac:dyDescent="0.2">
      <c r="H1023" s="1"/>
      <c r="I1023" s="1"/>
    </row>
    <row r="1024" spans="8:9" x14ac:dyDescent="0.2">
      <c r="H1024" s="1"/>
      <c r="I1024" s="1"/>
    </row>
    <row r="1025" spans="8:9" x14ac:dyDescent="0.2">
      <c r="H1025" s="1"/>
      <c r="I1025" s="1"/>
    </row>
    <row r="1026" spans="8:9" x14ac:dyDescent="0.2">
      <c r="H1026" s="1"/>
      <c r="I1026" s="1"/>
    </row>
    <row r="1027" spans="8:9" x14ac:dyDescent="0.2">
      <c r="H1027" s="1"/>
      <c r="I1027" s="1"/>
    </row>
    <row r="1028" spans="8:9" x14ac:dyDescent="0.2">
      <c r="H1028" s="1"/>
      <c r="I1028" s="1"/>
    </row>
    <row r="1029" spans="8:9" x14ac:dyDescent="0.2">
      <c r="H1029" s="1"/>
      <c r="I1029" s="1"/>
    </row>
    <row r="1030" spans="8:9" x14ac:dyDescent="0.2">
      <c r="H1030" s="1"/>
      <c r="I1030" s="1"/>
    </row>
    <row r="1031" spans="8:9" x14ac:dyDescent="0.2">
      <c r="H1031" s="1"/>
      <c r="I1031" s="1"/>
    </row>
    <row r="1032" spans="8:9" x14ac:dyDescent="0.2">
      <c r="H1032" s="1"/>
      <c r="I1032" s="1"/>
    </row>
    <row r="1033" spans="8:9" x14ac:dyDescent="0.2">
      <c r="H1033" s="1"/>
      <c r="I1033" s="1"/>
    </row>
    <row r="1034" spans="8:9" x14ac:dyDescent="0.2">
      <c r="H1034" s="1"/>
      <c r="I1034" s="1"/>
    </row>
    <row r="1035" spans="8:9" x14ac:dyDescent="0.2">
      <c r="H1035" s="1"/>
      <c r="I1035" s="1"/>
    </row>
    <row r="1036" spans="8:9" x14ac:dyDescent="0.2">
      <c r="H1036" s="1"/>
      <c r="I1036" s="1"/>
    </row>
    <row r="1037" spans="8:9" x14ac:dyDescent="0.2">
      <c r="H1037" s="1"/>
      <c r="I1037" s="1"/>
    </row>
    <row r="1038" spans="8:9" x14ac:dyDescent="0.2">
      <c r="H1038" s="1"/>
      <c r="I1038" s="1"/>
    </row>
    <row r="1039" spans="8:9" x14ac:dyDescent="0.2">
      <c r="H1039" s="1"/>
      <c r="I1039" s="1"/>
    </row>
    <row r="1040" spans="8:9" x14ac:dyDescent="0.2">
      <c r="H1040" s="1"/>
      <c r="I1040" s="1"/>
    </row>
    <row r="1041" spans="8:9" x14ac:dyDescent="0.2">
      <c r="H1041" s="1"/>
      <c r="I1041" s="1"/>
    </row>
    <row r="1042" spans="8:9" x14ac:dyDescent="0.2">
      <c r="H1042" s="1"/>
      <c r="I1042" s="1"/>
    </row>
    <row r="1043" spans="8:9" x14ac:dyDescent="0.2">
      <c r="H1043" s="1"/>
      <c r="I1043" s="1"/>
    </row>
    <row r="1044" spans="8:9" x14ac:dyDescent="0.2">
      <c r="H1044" s="1"/>
      <c r="I1044" s="1"/>
    </row>
    <row r="1045" spans="8:9" x14ac:dyDescent="0.2">
      <c r="H1045" s="1"/>
      <c r="I1045" s="1"/>
    </row>
    <row r="1046" spans="8:9" x14ac:dyDescent="0.2">
      <c r="H1046" s="1"/>
      <c r="I1046" s="1"/>
    </row>
    <row r="1047" spans="8:9" x14ac:dyDescent="0.2">
      <c r="H1047" s="1"/>
      <c r="I1047" s="1"/>
    </row>
    <row r="1048" spans="8:9" x14ac:dyDescent="0.2">
      <c r="H1048" s="1"/>
      <c r="I1048" s="1"/>
    </row>
    <row r="1049" spans="8:9" x14ac:dyDescent="0.2">
      <c r="H1049" s="1"/>
      <c r="I1049" s="1"/>
    </row>
    <row r="1050" spans="8:9" x14ac:dyDescent="0.2">
      <c r="H1050" s="1"/>
      <c r="I1050" s="1"/>
    </row>
    <row r="1051" spans="8:9" x14ac:dyDescent="0.2">
      <c r="H1051" s="1"/>
      <c r="I1051" s="1"/>
    </row>
    <row r="1052" spans="8:9" x14ac:dyDescent="0.2">
      <c r="H1052" s="1"/>
      <c r="I1052" s="1"/>
    </row>
    <row r="1053" spans="8:9" x14ac:dyDescent="0.2">
      <c r="H1053" s="1"/>
      <c r="I1053" s="1"/>
    </row>
    <row r="1054" spans="8:9" x14ac:dyDescent="0.2">
      <c r="H1054" s="1"/>
      <c r="I1054" s="1"/>
    </row>
    <row r="1055" spans="8:9" x14ac:dyDescent="0.2">
      <c r="H1055" s="1"/>
      <c r="I1055" s="1"/>
    </row>
    <row r="1056" spans="8:9" x14ac:dyDescent="0.2">
      <c r="H1056" s="1"/>
      <c r="I1056" s="1"/>
    </row>
    <row r="1057" spans="8:9" x14ac:dyDescent="0.2">
      <c r="H1057" s="1"/>
      <c r="I1057" s="1"/>
    </row>
    <row r="1058" spans="8:9" x14ac:dyDescent="0.2">
      <c r="H1058" s="1"/>
      <c r="I1058" s="1"/>
    </row>
    <row r="1059" spans="8:9" x14ac:dyDescent="0.2">
      <c r="H1059" s="1"/>
      <c r="I1059" s="1"/>
    </row>
    <row r="1060" spans="8:9" x14ac:dyDescent="0.2">
      <c r="H1060" s="1"/>
      <c r="I1060" s="1"/>
    </row>
    <row r="1061" spans="8:9" x14ac:dyDescent="0.2">
      <c r="H1061" s="1"/>
      <c r="I1061" s="1"/>
    </row>
    <row r="1062" spans="8:9" x14ac:dyDescent="0.2">
      <c r="H1062" s="1"/>
      <c r="I1062" s="1"/>
    </row>
    <row r="1063" spans="8:9" x14ac:dyDescent="0.2">
      <c r="H1063" s="1"/>
      <c r="I1063" s="1"/>
    </row>
    <row r="1064" spans="8:9" x14ac:dyDescent="0.2">
      <c r="H1064" s="1"/>
      <c r="I1064" s="1"/>
    </row>
    <row r="1065" spans="8:9" x14ac:dyDescent="0.2">
      <c r="H1065" s="1"/>
      <c r="I1065" s="1"/>
    </row>
    <row r="1066" spans="8:9" x14ac:dyDescent="0.2">
      <c r="H1066" s="1"/>
      <c r="I1066" s="1"/>
    </row>
    <row r="1067" spans="8:9" x14ac:dyDescent="0.2">
      <c r="H1067" s="1"/>
      <c r="I1067" s="1"/>
    </row>
    <row r="1068" spans="8:9" x14ac:dyDescent="0.2">
      <c r="H1068" s="1"/>
      <c r="I1068" s="1"/>
    </row>
    <row r="1069" spans="8:9" x14ac:dyDescent="0.2">
      <c r="H1069" s="1"/>
      <c r="I1069" s="1"/>
    </row>
    <row r="1070" spans="8:9" x14ac:dyDescent="0.2">
      <c r="H1070" s="1"/>
      <c r="I1070" s="1"/>
    </row>
    <row r="1071" spans="8:9" x14ac:dyDescent="0.2">
      <c r="H1071" s="1"/>
      <c r="I1071" s="1"/>
    </row>
    <row r="1072" spans="8:9" x14ac:dyDescent="0.2">
      <c r="H1072" s="1"/>
      <c r="I1072" s="1"/>
    </row>
    <row r="1073" spans="8:9" x14ac:dyDescent="0.2">
      <c r="H1073" s="1"/>
      <c r="I1073" s="1"/>
    </row>
    <row r="1074" spans="8:9" x14ac:dyDescent="0.2">
      <c r="H1074" s="1"/>
      <c r="I1074" s="1"/>
    </row>
    <row r="1075" spans="8:9" x14ac:dyDescent="0.2">
      <c r="H1075" s="1"/>
      <c r="I1075" s="1"/>
    </row>
    <row r="1076" spans="8:9" x14ac:dyDescent="0.2">
      <c r="H1076" s="1"/>
      <c r="I1076" s="1"/>
    </row>
    <row r="1077" spans="8:9" x14ac:dyDescent="0.2">
      <c r="H1077" s="1"/>
      <c r="I1077" s="1"/>
    </row>
    <row r="1078" spans="8:9" x14ac:dyDescent="0.2">
      <c r="H1078" s="1"/>
      <c r="I1078" s="1"/>
    </row>
    <row r="1079" spans="8:9" x14ac:dyDescent="0.2">
      <c r="H1079" s="1"/>
      <c r="I1079" s="1"/>
    </row>
    <row r="1080" spans="8:9" x14ac:dyDescent="0.2">
      <c r="H1080" s="1"/>
      <c r="I1080" s="1"/>
    </row>
    <row r="1081" spans="8:9" x14ac:dyDescent="0.2">
      <c r="H1081" s="1"/>
      <c r="I1081" s="1"/>
    </row>
    <row r="1082" spans="8:9" x14ac:dyDescent="0.2">
      <c r="H1082" s="1"/>
      <c r="I1082" s="1"/>
    </row>
    <row r="1083" spans="8:9" x14ac:dyDescent="0.2">
      <c r="H1083" s="1"/>
      <c r="I1083" s="1"/>
    </row>
    <row r="1084" spans="8:9" x14ac:dyDescent="0.2">
      <c r="H1084" s="1"/>
      <c r="I1084" s="1"/>
    </row>
    <row r="1085" spans="8:9" x14ac:dyDescent="0.2">
      <c r="H1085" s="1"/>
      <c r="I1085" s="1"/>
    </row>
    <row r="1086" spans="8:9" x14ac:dyDescent="0.2">
      <c r="H1086" s="1"/>
      <c r="I1086" s="1"/>
    </row>
    <row r="1087" spans="8:9" x14ac:dyDescent="0.2">
      <c r="H1087" s="1"/>
      <c r="I1087" s="1"/>
    </row>
    <row r="1088" spans="8:9" x14ac:dyDescent="0.2">
      <c r="H1088" s="1"/>
      <c r="I1088" s="1"/>
    </row>
    <row r="1089" spans="8:9" x14ac:dyDescent="0.2">
      <c r="H1089" s="1"/>
      <c r="I1089" s="1"/>
    </row>
    <row r="1090" spans="8:9" x14ac:dyDescent="0.2">
      <c r="H1090" s="1"/>
      <c r="I1090" s="1"/>
    </row>
    <row r="1091" spans="8:9" x14ac:dyDescent="0.2">
      <c r="H1091" s="1"/>
      <c r="I1091" s="1"/>
    </row>
    <row r="1092" spans="8:9" x14ac:dyDescent="0.2">
      <c r="H1092" s="1"/>
      <c r="I1092" s="1"/>
    </row>
    <row r="1093" spans="8:9" x14ac:dyDescent="0.2">
      <c r="H1093" s="1"/>
      <c r="I1093" s="1"/>
    </row>
    <row r="1094" spans="8:9" x14ac:dyDescent="0.2">
      <c r="H1094" s="1"/>
      <c r="I1094" s="1"/>
    </row>
    <row r="1095" spans="8:9" x14ac:dyDescent="0.2">
      <c r="H1095" s="1"/>
      <c r="I1095" s="1"/>
    </row>
    <row r="1096" spans="8:9" x14ac:dyDescent="0.2">
      <c r="H1096" s="1"/>
      <c r="I1096" s="1"/>
    </row>
    <row r="1097" spans="8:9" x14ac:dyDescent="0.2">
      <c r="H1097" s="1"/>
      <c r="I1097" s="1"/>
    </row>
    <row r="1098" spans="8:9" x14ac:dyDescent="0.2">
      <c r="H1098" s="1"/>
      <c r="I1098" s="1"/>
    </row>
    <row r="1099" spans="8:9" x14ac:dyDescent="0.2">
      <c r="H1099" s="1"/>
      <c r="I1099" s="1"/>
    </row>
    <row r="1100" spans="8:9" x14ac:dyDescent="0.2">
      <c r="H1100" s="1"/>
      <c r="I1100" s="1"/>
    </row>
    <row r="1101" spans="8:9" x14ac:dyDescent="0.2">
      <c r="H1101" s="1"/>
      <c r="I1101" s="1"/>
    </row>
    <row r="1102" spans="8:9" x14ac:dyDescent="0.2">
      <c r="H1102" s="1"/>
      <c r="I1102" s="1"/>
    </row>
    <row r="1103" spans="8:9" x14ac:dyDescent="0.2">
      <c r="H1103" s="1"/>
      <c r="I1103" s="1"/>
    </row>
    <row r="1104" spans="8:9" x14ac:dyDescent="0.2">
      <c r="H1104" s="1"/>
      <c r="I1104" s="1"/>
    </row>
    <row r="1105" spans="8:9" x14ac:dyDescent="0.2">
      <c r="H1105" s="1"/>
      <c r="I1105" s="1"/>
    </row>
    <row r="1106" spans="8:9" x14ac:dyDescent="0.2">
      <c r="H1106" s="1"/>
      <c r="I1106" s="1"/>
    </row>
    <row r="1107" spans="8:9" x14ac:dyDescent="0.2">
      <c r="H1107" s="1"/>
      <c r="I1107" s="1"/>
    </row>
    <row r="1108" spans="8:9" x14ac:dyDescent="0.2">
      <c r="H1108" s="1"/>
      <c r="I1108" s="1"/>
    </row>
    <row r="1109" spans="8:9" x14ac:dyDescent="0.2">
      <c r="H1109" s="1"/>
      <c r="I1109" s="1"/>
    </row>
    <row r="1110" spans="8:9" x14ac:dyDescent="0.2">
      <c r="H1110" s="1"/>
      <c r="I1110" s="1"/>
    </row>
    <row r="1111" spans="8:9" x14ac:dyDescent="0.2">
      <c r="H1111" s="1"/>
      <c r="I1111" s="1"/>
    </row>
    <row r="1112" spans="8:9" x14ac:dyDescent="0.2">
      <c r="H1112" s="1"/>
      <c r="I1112" s="1"/>
    </row>
    <row r="1113" spans="8:9" x14ac:dyDescent="0.2">
      <c r="H1113" s="1"/>
      <c r="I1113" s="1"/>
    </row>
    <row r="1114" spans="8:9" x14ac:dyDescent="0.2">
      <c r="H1114" s="1"/>
      <c r="I1114" s="1"/>
    </row>
    <row r="1115" spans="8:9" x14ac:dyDescent="0.2">
      <c r="H1115" s="1"/>
      <c r="I1115" s="1"/>
    </row>
    <row r="1116" spans="8:9" x14ac:dyDescent="0.2">
      <c r="H1116" s="1"/>
      <c r="I1116" s="1"/>
    </row>
    <row r="1117" spans="8:9" x14ac:dyDescent="0.2">
      <c r="H1117" s="1"/>
      <c r="I1117" s="1"/>
    </row>
    <row r="1118" spans="8:9" x14ac:dyDescent="0.2">
      <c r="H1118" s="1"/>
      <c r="I1118" s="1"/>
    </row>
    <row r="1119" spans="8:9" x14ac:dyDescent="0.2">
      <c r="H1119" s="1"/>
      <c r="I1119" s="1"/>
    </row>
    <row r="1120" spans="8:9" x14ac:dyDescent="0.2">
      <c r="H1120" s="1"/>
      <c r="I1120" s="1"/>
    </row>
    <row r="1121" spans="8:9" x14ac:dyDescent="0.2">
      <c r="H1121" s="1"/>
      <c r="I1121" s="1"/>
    </row>
    <row r="1122" spans="8:9" x14ac:dyDescent="0.2">
      <c r="H1122" s="1"/>
      <c r="I1122" s="1"/>
    </row>
    <row r="1123" spans="8:9" x14ac:dyDescent="0.2">
      <c r="H1123" s="1"/>
      <c r="I1123" s="1"/>
    </row>
    <row r="1124" spans="8:9" x14ac:dyDescent="0.2">
      <c r="H1124" s="1"/>
      <c r="I1124" s="1"/>
    </row>
    <row r="1125" spans="8:9" x14ac:dyDescent="0.2">
      <c r="H1125" s="1"/>
      <c r="I1125" s="1"/>
    </row>
    <row r="1126" spans="8:9" x14ac:dyDescent="0.2">
      <c r="H1126" s="1"/>
      <c r="I1126" s="1"/>
    </row>
    <row r="1127" spans="8:9" x14ac:dyDescent="0.2">
      <c r="H1127" s="1"/>
      <c r="I1127" s="1"/>
    </row>
    <row r="1128" spans="8:9" x14ac:dyDescent="0.2">
      <c r="H1128" s="1"/>
      <c r="I1128" s="1"/>
    </row>
    <row r="1129" spans="8:9" x14ac:dyDescent="0.2">
      <c r="H1129" s="1"/>
      <c r="I1129" s="1"/>
    </row>
    <row r="1130" spans="8:9" x14ac:dyDescent="0.2">
      <c r="H1130" s="1"/>
      <c r="I1130" s="1"/>
    </row>
    <row r="1131" spans="8:9" x14ac:dyDescent="0.2">
      <c r="H1131" s="1"/>
      <c r="I1131" s="1"/>
    </row>
    <row r="1132" spans="8:9" x14ac:dyDescent="0.2">
      <c r="H1132" s="1"/>
      <c r="I1132" s="1"/>
    </row>
    <row r="1133" spans="8:9" x14ac:dyDescent="0.2">
      <c r="H1133" s="1"/>
      <c r="I1133" s="1"/>
    </row>
    <row r="1134" spans="8:9" x14ac:dyDescent="0.2">
      <c r="H1134" s="1"/>
      <c r="I1134" s="1"/>
    </row>
    <row r="1135" spans="8:9" x14ac:dyDescent="0.2">
      <c r="H1135" s="1"/>
      <c r="I1135" s="1"/>
    </row>
    <row r="1136" spans="8:9" x14ac:dyDescent="0.2">
      <c r="H1136" s="1"/>
      <c r="I1136" s="1"/>
    </row>
    <row r="1137" spans="8:9" x14ac:dyDescent="0.2">
      <c r="H1137" s="1"/>
      <c r="I1137" s="1"/>
    </row>
    <row r="1138" spans="8:9" x14ac:dyDescent="0.2">
      <c r="H1138" s="1"/>
      <c r="I1138" s="1"/>
    </row>
    <row r="1139" spans="8:9" x14ac:dyDescent="0.2">
      <c r="H1139" s="1"/>
      <c r="I1139" s="1"/>
    </row>
    <row r="1140" spans="8:9" x14ac:dyDescent="0.2">
      <c r="H1140" s="1"/>
      <c r="I1140" s="1"/>
    </row>
    <row r="1141" spans="8:9" x14ac:dyDescent="0.2">
      <c r="H1141" s="1"/>
      <c r="I1141" s="1"/>
    </row>
    <row r="1142" spans="8:9" x14ac:dyDescent="0.2">
      <c r="H1142" s="1"/>
      <c r="I1142" s="1"/>
    </row>
    <row r="1143" spans="8:9" x14ac:dyDescent="0.2">
      <c r="H1143" s="1"/>
      <c r="I1143" s="1"/>
    </row>
    <row r="1144" spans="8:9" x14ac:dyDescent="0.2">
      <c r="H1144" s="1"/>
      <c r="I1144" s="1"/>
    </row>
    <row r="1145" spans="8:9" x14ac:dyDescent="0.2">
      <c r="H1145" s="1"/>
      <c r="I1145" s="1"/>
    </row>
    <row r="1146" spans="8:9" x14ac:dyDescent="0.2">
      <c r="H1146" s="1"/>
      <c r="I1146" s="1"/>
    </row>
    <row r="1147" spans="8:9" x14ac:dyDescent="0.2">
      <c r="H1147" s="1"/>
      <c r="I1147" s="1"/>
    </row>
    <row r="1148" spans="8:9" x14ac:dyDescent="0.2">
      <c r="H1148" s="1"/>
      <c r="I1148" s="1"/>
    </row>
    <row r="1149" spans="8:9" x14ac:dyDescent="0.2">
      <c r="H1149" s="1"/>
      <c r="I1149" s="1"/>
    </row>
    <row r="1150" spans="8:9" x14ac:dyDescent="0.2">
      <c r="H1150" s="1"/>
      <c r="I1150" s="1"/>
    </row>
    <row r="1151" spans="8:9" x14ac:dyDescent="0.2">
      <c r="H1151" s="1"/>
      <c r="I1151" s="1"/>
    </row>
    <row r="1152" spans="8:9" x14ac:dyDescent="0.2">
      <c r="H1152" s="1"/>
      <c r="I1152" s="1"/>
    </row>
    <row r="1153" spans="8:9" x14ac:dyDescent="0.2">
      <c r="H1153" s="1"/>
      <c r="I1153" s="1"/>
    </row>
    <row r="1154" spans="8:9" x14ac:dyDescent="0.2">
      <c r="H1154" s="1"/>
      <c r="I1154" s="1"/>
    </row>
    <row r="1155" spans="8:9" x14ac:dyDescent="0.2">
      <c r="H1155" s="1"/>
      <c r="I1155" s="1"/>
    </row>
    <row r="1156" spans="8:9" x14ac:dyDescent="0.2">
      <c r="H1156" s="1"/>
      <c r="I1156" s="1"/>
    </row>
    <row r="1157" spans="8:9" x14ac:dyDescent="0.2">
      <c r="H1157" s="1"/>
      <c r="I1157" s="1"/>
    </row>
    <row r="1158" spans="8:9" x14ac:dyDescent="0.2">
      <c r="H1158" s="1"/>
      <c r="I1158" s="1"/>
    </row>
    <row r="1159" spans="8:9" x14ac:dyDescent="0.2">
      <c r="H1159" s="1"/>
      <c r="I1159" s="1"/>
    </row>
    <row r="1160" spans="8:9" x14ac:dyDescent="0.2">
      <c r="H1160" s="1"/>
      <c r="I1160" s="1"/>
    </row>
    <row r="1161" spans="8:9" x14ac:dyDescent="0.2">
      <c r="H1161" s="1"/>
      <c r="I1161" s="1"/>
    </row>
    <row r="1162" spans="8:9" x14ac:dyDescent="0.2">
      <c r="H1162" s="1"/>
      <c r="I1162" s="1"/>
    </row>
    <row r="1163" spans="8:9" x14ac:dyDescent="0.2">
      <c r="H1163" s="1"/>
      <c r="I1163" s="1"/>
    </row>
    <row r="1164" spans="8:9" x14ac:dyDescent="0.2">
      <c r="H1164" s="1"/>
      <c r="I1164" s="1"/>
    </row>
    <row r="1165" spans="8:9" x14ac:dyDescent="0.2">
      <c r="H1165" s="1"/>
      <c r="I1165" s="1"/>
    </row>
    <row r="1166" spans="8:9" x14ac:dyDescent="0.2">
      <c r="H1166" s="1"/>
      <c r="I1166" s="1"/>
    </row>
    <row r="1167" spans="8:9" x14ac:dyDescent="0.2">
      <c r="H1167" s="1"/>
      <c r="I1167" s="1"/>
    </row>
    <row r="1168" spans="8:9" x14ac:dyDescent="0.2">
      <c r="H1168" s="1"/>
      <c r="I1168" s="1"/>
    </row>
    <row r="1169" spans="8:9" x14ac:dyDescent="0.2">
      <c r="H1169" s="1"/>
      <c r="I1169" s="1"/>
    </row>
    <row r="1170" spans="8:9" x14ac:dyDescent="0.2">
      <c r="H1170" s="1"/>
      <c r="I1170" s="1"/>
    </row>
    <row r="1171" spans="8:9" x14ac:dyDescent="0.2">
      <c r="H1171" s="1"/>
      <c r="I1171" s="1"/>
    </row>
    <row r="1172" spans="8:9" x14ac:dyDescent="0.2">
      <c r="H1172" s="1"/>
      <c r="I1172" s="1"/>
    </row>
    <row r="1173" spans="8:9" x14ac:dyDescent="0.2">
      <c r="H1173" s="1"/>
      <c r="I1173" s="1"/>
    </row>
    <row r="1174" spans="8:9" x14ac:dyDescent="0.2">
      <c r="H1174" s="1"/>
      <c r="I1174" s="1"/>
    </row>
    <row r="1175" spans="8:9" x14ac:dyDescent="0.2">
      <c r="H1175" s="1"/>
      <c r="I1175" s="1"/>
    </row>
    <row r="1176" spans="8:9" x14ac:dyDescent="0.2">
      <c r="H1176" s="1"/>
      <c r="I1176" s="1"/>
    </row>
    <row r="1177" spans="8:9" x14ac:dyDescent="0.2">
      <c r="H1177" s="1"/>
      <c r="I1177" s="1"/>
    </row>
    <row r="1178" spans="8:9" x14ac:dyDescent="0.2">
      <c r="H1178" s="1"/>
      <c r="I1178" s="1"/>
    </row>
    <row r="1179" spans="8:9" x14ac:dyDescent="0.2">
      <c r="H1179" s="1"/>
      <c r="I1179" s="1"/>
    </row>
    <row r="1180" spans="8:9" x14ac:dyDescent="0.2">
      <c r="H1180" s="1"/>
      <c r="I1180" s="1"/>
    </row>
    <row r="1181" spans="8:9" x14ac:dyDescent="0.2">
      <c r="H1181" s="1"/>
      <c r="I1181" s="1"/>
    </row>
    <row r="1182" spans="8:9" x14ac:dyDescent="0.2">
      <c r="H1182" s="1"/>
      <c r="I1182" s="1"/>
    </row>
    <row r="1183" spans="8:9" x14ac:dyDescent="0.2">
      <c r="H1183" s="1"/>
      <c r="I1183" s="1"/>
    </row>
    <row r="1184" spans="8:9" x14ac:dyDescent="0.2">
      <c r="H1184" s="1"/>
      <c r="I1184" s="1"/>
    </row>
    <row r="1185" spans="8:9" x14ac:dyDescent="0.2">
      <c r="H1185" s="1"/>
      <c r="I1185" s="1"/>
    </row>
    <row r="1186" spans="8:9" x14ac:dyDescent="0.2">
      <c r="H1186" s="1"/>
      <c r="I1186" s="1"/>
    </row>
    <row r="1187" spans="8:9" x14ac:dyDescent="0.2">
      <c r="H1187" s="1"/>
      <c r="I1187" s="1"/>
    </row>
    <row r="1188" spans="8:9" x14ac:dyDescent="0.2">
      <c r="H1188" s="1"/>
      <c r="I1188" s="1"/>
    </row>
    <row r="1189" spans="8:9" x14ac:dyDescent="0.2">
      <c r="H1189" s="1"/>
      <c r="I1189" s="1"/>
    </row>
    <row r="1190" spans="8:9" x14ac:dyDescent="0.2">
      <c r="H1190" s="1"/>
      <c r="I1190" s="1"/>
    </row>
    <row r="1191" spans="8:9" x14ac:dyDescent="0.2">
      <c r="H1191" s="1"/>
      <c r="I1191" s="1"/>
    </row>
    <row r="1192" spans="8:9" x14ac:dyDescent="0.2">
      <c r="H1192" s="1"/>
      <c r="I1192" s="1"/>
    </row>
    <row r="1193" spans="8:9" x14ac:dyDescent="0.2">
      <c r="H1193" s="1"/>
      <c r="I1193" s="1"/>
    </row>
    <row r="1194" spans="8:9" x14ac:dyDescent="0.2">
      <c r="H1194" s="1"/>
      <c r="I1194" s="1"/>
    </row>
    <row r="1195" spans="8:9" x14ac:dyDescent="0.2">
      <c r="H1195" s="1"/>
      <c r="I1195" s="1"/>
    </row>
    <row r="1196" spans="8:9" x14ac:dyDescent="0.2">
      <c r="H1196" s="1"/>
      <c r="I1196" s="1"/>
    </row>
    <row r="1197" spans="8:9" x14ac:dyDescent="0.2">
      <c r="H1197" s="1"/>
      <c r="I1197" s="1"/>
    </row>
    <row r="1198" spans="8:9" x14ac:dyDescent="0.2">
      <c r="H1198" s="1"/>
      <c r="I1198" s="1"/>
    </row>
  </sheetData>
  <mergeCells count="1">
    <mergeCell ref="H18:K18"/>
  </mergeCells>
  <phoneticPr fontId="0" type="noConversion"/>
  <conditionalFormatting sqref="C26">
    <cfRule type="cellIs" dxfId="1" priority="1" stopIfTrue="1" operator="notEqual">
      <formula>1</formula>
    </cfRule>
  </conditionalFormatting>
  <pageMargins left="0.75" right="0.75" top="1" bottom="1" header="0.5" footer="0.5"/>
  <pageSetup paperSize="9" orientation="portrait" horizontalDpi="300" verticalDpi="300" r:id="rId1"/>
  <headerFooter alignWithMargins="0"/>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15</vt:i4>
      </vt:variant>
      <vt:variant>
        <vt:lpstr>Named Ranges</vt:lpstr>
      </vt:variant>
      <vt:variant>
        <vt:i4>336</vt:i4>
      </vt:variant>
    </vt:vector>
  </HeadingPairs>
  <TitlesOfParts>
    <vt:vector size="351" baseType="lpstr">
      <vt:lpstr>Overview</vt:lpstr>
      <vt:lpstr>Population</vt:lpstr>
      <vt:lpstr>Production</vt:lpstr>
      <vt:lpstr>Construction</vt:lpstr>
      <vt:lpstr>Explore</vt:lpstr>
      <vt:lpstr>Rezone</vt:lpstr>
      <vt:lpstr>Military</vt:lpstr>
      <vt:lpstr>Magic</vt:lpstr>
      <vt:lpstr>Techs</vt:lpstr>
      <vt:lpstr>Imps</vt:lpstr>
      <vt:lpstr>Log</vt:lpstr>
      <vt:lpstr>Log_support</vt:lpstr>
      <vt:lpstr>Constants</vt:lpstr>
      <vt:lpstr>Races</vt:lpstr>
      <vt:lpstr>calc</vt:lpstr>
      <vt:lpstr>abyss_enforce_bonus</vt:lpstr>
      <vt:lpstr>abyss_enforcer_cap</vt:lpstr>
      <vt:lpstr>adept_dp_bonus</vt:lpstr>
      <vt:lpstr>adept_dp_cap</vt:lpstr>
      <vt:lpstr>adept_op_bonus</vt:lpstr>
      <vt:lpstr>adept_op_cap</vt:lpstr>
      <vt:lpstr>alch_frost_bonus</vt:lpstr>
      <vt:lpstr>alch_plat</vt:lpstr>
      <vt:lpstr>alchemist_flame_bonus</vt:lpstr>
      <vt:lpstr>archmage_plat</vt:lpstr>
      <vt:lpstr>archspy_plat</vt:lpstr>
      <vt:lpstr>ares_call_bonus</vt:lpstr>
      <vt:lpstr>barracks_size</vt:lpstr>
      <vt:lpstr>blizzard_bonus</vt:lpstr>
      <vt:lpstr>boat_size</vt:lpstr>
      <vt:lpstr>bone_breaker_bonus</vt:lpstr>
      <vt:lpstr>bone_breaker_cap</vt:lpstr>
      <vt:lpstr>bonus_jobs_facts</vt:lpstr>
      <vt:lpstr>building_employment</vt:lpstr>
      <vt:lpstr>dark_elf</vt:lpstr>
      <vt:lpstr>days_late</vt:lpstr>
      <vt:lpstr>days_late_def_specs</vt:lpstr>
      <vt:lpstr>days_late_draftees</vt:lpstr>
      <vt:lpstr>days_late_food</vt:lpstr>
      <vt:lpstr>days_late_lumber</vt:lpstr>
      <vt:lpstr>days_late_mana</vt:lpstr>
      <vt:lpstr>days_late_ore</vt:lpstr>
      <vt:lpstr>days_late_peasants</vt:lpstr>
      <vt:lpstr>days_late_plat</vt:lpstr>
      <vt:lpstr>demon</vt:lpstr>
      <vt:lpstr>demonic_pact_food_cons</vt:lpstr>
      <vt:lpstr>demonic_pact_plat</vt:lpstr>
      <vt:lpstr>dm_gems</vt:lpstr>
      <vt:lpstr>dock_boats_hr</vt:lpstr>
      <vt:lpstr>dock_food</vt:lpstr>
      <vt:lpstr>druid_dp_bonus</vt:lpstr>
      <vt:lpstr>druid_dp_cap</vt:lpstr>
      <vt:lpstr>druid_op_bonus</vt:lpstr>
      <vt:lpstr>druid_op_cap</vt:lpstr>
      <vt:lpstr>dryad_bonus</vt:lpstr>
      <vt:lpstr>dryad_cap</vt:lpstr>
      <vt:lpstr>elite1_base_dp</vt:lpstr>
      <vt:lpstr>elite1_base_op</vt:lpstr>
      <vt:lpstr>elite1_dp</vt:lpstr>
      <vt:lpstr>elite1_name</vt:lpstr>
      <vt:lpstr>elite1_op</vt:lpstr>
      <vt:lpstr>elite1_ore</vt:lpstr>
      <vt:lpstr>elite1_plat</vt:lpstr>
      <vt:lpstr>elite2_base_dp</vt:lpstr>
      <vt:lpstr>elite2_base_op</vt:lpstr>
      <vt:lpstr>elite2_dp</vt:lpstr>
      <vt:lpstr>elite2_name</vt:lpstr>
      <vt:lpstr>elite2_op</vt:lpstr>
      <vt:lpstr>elite2_ore</vt:lpstr>
      <vt:lpstr>elite2_plat</vt:lpstr>
      <vt:lpstr>explore_tech_divisor</vt:lpstr>
      <vt:lpstr>facs_constr_factor</vt:lpstr>
      <vt:lpstr>facs_constr_max</vt:lpstr>
      <vt:lpstr>facs_rezone_factor</vt:lpstr>
      <vt:lpstr>facs_rezone_max</vt:lpstr>
      <vt:lpstr>farm_food</vt:lpstr>
      <vt:lpstr>favorable_terrain_bonus</vt:lpstr>
      <vt:lpstr>favorable_terrain_max</vt:lpstr>
      <vt:lpstr>fh_lumber</vt:lpstr>
      <vt:lpstr>fh_peas_dp</vt:lpstr>
      <vt:lpstr>fh_spy_cost_cap</vt:lpstr>
      <vt:lpstr>fh_spy_cost_red</vt:lpstr>
      <vt:lpstr>food_decay</vt:lpstr>
      <vt:lpstr>food_per_person</vt:lpstr>
      <vt:lpstr>frenzy_bonus</vt:lpstr>
      <vt:lpstr>frost_mage_bonus</vt:lpstr>
      <vt:lpstr>frost_mage_cap</vt:lpstr>
      <vt:lpstr>gaias_blessing_food</vt:lpstr>
      <vt:lpstr>gaias_blessing_lumber</vt:lpstr>
      <vt:lpstr>gaias_watch_bonus</vt:lpstr>
      <vt:lpstr>gem_invest</vt:lpstr>
      <vt:lpstr>global_constr_cap</vt:lpstr>
      <vt:lpstr>gn_bonus</vt:lpstr>
      <vt:lpstr>gn_bonus_cap</vt:lpstr>
      <vt:lpstr>gnome</vt:lpstr>
      <vt:lpstr>gt_bonus</vt:lpstr>
      <vt:lpstr>gt_bonus_cap</vt:lpstr>
      <vt:lpstr>harbor_towers_cap</vt:lpstr>
      <vt:lpstr>harbor_towers_param</vt:lpstr>
      <vt:lpstr>harmony_bonus</vt:lpstr>
      <vt:lpstr>home_land</vt:lpstr>
      <vt:lpstr>howling_dp_bonus</vt:lpstr>
      <vt:lpstr>howling_op_bonus</vt:lpstr>
      <vt:lpstr>ice_elem_bonus</vt:lpstr>
      <vt:lpstr>ice_elem_cap</vt:lpstr>
      <vt:lpstr>icekin</vt:lpstr>
      <vt:lpstr>Imps</vt:lpstr>
      <vt:lpstr>infernal_cmd_op</vt:lpstr>
      <vt:lpstr>keep_cap</vt:lpstr>
      <vt:lpstr>keep_param</vt:lpstr>
      <vt:lpstr>kobold</vt:lpstr>
      <vt:lpstr>lumber_invest</vt:lpstr>
      <vt:lpstr>lumber_rot</vt:lpstr>
      <vt:lpstr>ly_lumber</vt:lpstr>
      <vt:lpstr>mana_drain</vt:lpstr>
      <vt:lpstr>mason_bonus</vt:lpstr>
      <vt:lpstr>mech_genius_bonus</vt:lpstr>
      <vt:lpstr>midas_bonus</vt:lpstr>
      <vt:lpstr>min_tech_cost</vt:lpstr>
      <vt:lpstr>miners_sight_bonus</vt:lpstr>
      <vt:lpstr>mining_strength_bonus</vt:lpstr>
      <vt:lpstr>mystic_bonus</vt:lpstr>
      <vt:lpstr>mystic_cap</vt:lpstr>
      <vt:lpstr>nightfall_bonus</vt:lpstr>
      <vt:lpstr>nightshade_bonus</vt:lpstr>
      <vt:lpstr>nox</vt:lpstr>
      <vt:lpstr>nox_nightshade_cap</vt:lpstr>
      <vt:lpstr>nox_nightshade_swamp_bonus</vt:lpstr>
      <vt:lpstr>om_ore</vt:lpstr>
      <vt:lpstr>orc</vt:lpstr>
      <vt:lpstr>ore_invest</vt:lpstr>
      <vt:lpstr>plat_invest</vt:lpstr>
      <vt:lpstr>pop_in_building</vt:lpstr>
      <vt:lpstr>pop_in_home</vt:lpstr>
      <vt:lpstr>pop_on_barren</vt:lpstr>
      <vt:lpstr>prestige_food_bonus</vt:lpstr>
      <vt:lpstr>prestige_multiplier</vt:lpstr>
      <vt:lpstr>prestige_offense_bonus</vt:lpstr>
      <vt:lpstr>prestige_pop_multiplier</vt:lpstr>
      <vt:lpstr>race</vt:lpstr>
      <vt:lpstr>race_construction_cost</vt:lpstr>
      <vt:lpstr>race_defense</vt:lpstr>
      <vt:lpstr>race_food_bonus</vt:lpstr>
      <vt:lpstr>race_food_consumption</vt:lpstr>
      <vt:lpstr>race_gem_bonus</vt:lpstr>
      <vt:lpstr>race_invest_bonus</vt:lpstr>
      <vt:lpstr>race_lumber_bonus</vt:lpstr>
      <vt:lpstr>race_mana_bonus</vt:lpstr>
      <vt:lpstr>race_offense</vt:lpstr>
      <vt:lpstr>race_ore_bonus</vt:lpstr>
      <vt:lpstr>race_platinum_bonus</vt:lpstr>
      <vt:lpstr>race_pop_bonus</vt:lpstr>
      <vt:lpstr>race_pop_growth</vt:lpstr>
      <vt:lpstr>race_rezone_cost</vt:lpstr>
      <vt:lpstr>race_spy_strength</vt:lpstr>
      <vt:lpstr>race_wizard_strength</vt:lpstr>
      <vt:lpstr>races</vt:lpstr>
      <vt:lpstr>raw_drafting</vt:lpstr>
      <vt:lpstr>raw_pop_growth</vt:lpstr>
      <vt:lpstr>research_bonus</vt:lpstr>
      <vt:lpstr>resources</vt:lpstr>
      <vt:lpstr>rocka_bonus</vt:lpstr>
      <vt:lpstr>rocka_cap</vt:lpstr>
      <vt:lpstr>school_max</vt:lpstr>
      <vt:lpstr>school_rp</vt:lpstr>
      <vt:lpstr>science_cap</vt:lpstr>
      <vt:lpstr>science_param</vt:lpstr>
      <vt:lpstr>secondary_resource</vt:lpstr>
      <vt:lpstr>smithy_bonus</vt:lpstr>
      <vt:lpstr>smithy_bonus_cap</vt:lpstr>
      <vt:lpstr>spec_dp</vt:lpstr>
      <vt:lpstr>spec_dp_name</vt:lpstr>
      <vt:lpstr>spec_dp_ore</vt:lpstr>
      <vt:lpstr>spec_dp_plat</vt:lpstr>
      <vt:lpstr>spec_op</vt:lpstr>
      <vt:lpstr>spec_op_name</vt:lpstr>
      <vt:lpstr>spec_op_ore</vt:lpstr>
      <vt:lpstr>spec_op_plat</vt:lpstr>
      <vt:lpstr>spy_plat</vt:lpstr>
      <vt:lpstr>start_acres</vt:lpstr>
      <vt:lpstr>start_acres_test</vt:lpstr>
      <vt:lpstr>start_alchs</vt:lpstr>
      <vt:lpstr>start_ams</vt:lpstr>
      <vt:lpstr>start_ass</vt:lpstr>
      <vt:lpstr>start_boats</vt:lpstr>
      <vt:lpstr>start_caverns</vt:lpstr>
      <vt:lpstr>start_dm</vt:lpstr>
      <vt:lpstr>start_docks</vt:lpstr>
      <vt:lpstr>start_dp_specs</vt:lpstr>
      <vt:lpstr>start_draftees</vt:lpstr>
      <vt:lpstr>start_elite1s</vt:lpstr>
      <vt:lpstr>start_elite2s</vt:lpstr>
      <vt:lpstr>start_facs</vt:lpstr>
      <vt:lpstr>start_farms</vt:lpstr>
      <vt:lpstr>start_food</vt:lpstr>
      <vt:lpstr>start_forest</vt:lpstr>
      <vt:lpstr>start_gems</vt:lpstr>
      <vt:lpstr>start_gn</vt:lpstr>
      <vt:lpstr>start_gt</vt:lpstr>
      <vt:lpstr>start_havens</vt:lpstr>
      <vt:lpstr>start_hills</vt:lpstr>
      <vt:lpstr>start_homes</vt:lpstr>
      <vt:lpstr>start_lumber</vt:lpstr>
      <vt:lpstr>start_ly</vt:lpstr>
      <vt:lpstr>start_mana</vt:lpstr>
      <vt:lpstr>start_masons</vt:lpstr>
      <vt:lpstr>start_mountains</vt:lpstr>
      <vt:lpstr>start_om</vt:lpstr>
      <vt:lpstr>start_op_specs</vt:lpstr>
      <vt:lpstr>start_ore</vt:lpstr>
      <vt:lpstr>start_peasants</vt:lpstr>
      <vt:lpstr>start_plains</vt:lpstr>
      <vt:lpstr>start_plat</vt:lpstr>
      <vt:lpstr>start_prestige</vt:lpstr>
      <vt:lpstr>start_rax</vt:lpstr>
      <vt:lpstr>start_schools</vt:lpstr>
      <vt:lpstr>start_shrines</vt:lpstr>
      <vt:lpstr>start_smithies</vt:lpstr>
      <vt:lpstr>start_spies</vt:lpstr>
      <vt:lpstr>start_swamp</vt:lpstr>
      <vt:lpstr>start_temples</vt:lpstr>
      <vt:lpstr>start_towers</vt:lpstr>
      <vt:lpstr>start_water</vt:lpstr>
      <vt:lpstr>start_wg</vt:lpstr>
      <vt:lpstr>start_wizards</vt:lpstr>
      <vt:lpstr>sylvan</vt:lpstr>
      <vt:lpstr>tax</vt:lpstr>
      <vt:lpstr>tech_1_1</vt:lpstr>
      <vt:lpstr>tech_1_10</vt:lpstr>
      <vt:lpstr>tech_1_11</vt:lpstr>
      <vt:lpstr>tech_1_2</vt:lpstr>
      <vt:lpstr>tech_1_3</vt:lpstr>
      <vt:lpstr>tech_1_4</vt:lpstr>
      <vt:lpstr>tech_1_5</vt:lpstr>
      <vt:lpstr>tech_1_6</vt:lpstr>
      <vt:lpstr>tech_1_7</vt:lpstr>
      <vt:lpstr>tech_1_8</vt:lpstr>
      <vt:lpstr>tech_1_9</vt:lpstr>
      <vt:lpstr>tech_1_9_2</vt:lpstr>
      <vt:lpstr>tech_10_1</vt:lpstr>
      <vt:lpstr>tech_10_2</vt:lpstr>
      <vt:lpstr>tech_11_1</vt:lpstr>
      <vt:lpstr>tech_2_1</vt:lpstr>
      <vt:lpstr>tech_2_10</vt:lpstr>
      <vt:lpstr>tech_2_2</vt:lpstr>
      <vt:lpstr>tech_2_3</vt:lpstr>
      <vt:lpstr>tech_2_4</vt:lpstr>
      <vt:lpstr>tech_2_5</vt:lpstr>
      <vt:lpstr>tech_2_6</vt:lpstr>
      <vt:lpstr>tech_2_6_2</vt:lpstr>
      <vt:lpstr>tech_2_7</vt:lpstr>
      <vt:lpstr>tech_2_8</vt:lpstr>
      <vt:lpstr>tech_2_9</vt:lpstr>
      <vt:lpstr>tech_2_9_2</vt:lpstr>
      <vt:lpstr>tech_3_1</vt:lpstr>
      <vt:lpstr>tech_3_2</vt:lpstr>
      <vt:lpstr>tech_3_3</vt:lpstr>
      <vt:lpstr>tech_3_3_2</vt:lpstr>
      <vt:lpstr>tech_3_4</vt:lpstr>
      <vt:lpstr>tech_3_4_2</vt:lpstr>
      <vt:lpstr>tech_3_5</vt:lpstr>
      <vt:lpstr>tech_3_6</vt:lpstr>
      <vt:lpstr>tech_3_7</vt:lpstr>
      <vt:lpstr>tech_3_7_2</vt:lpstr>
      <vt:lpstr>tech_3_8</vt:lpstr>
      <vt:lpstr>tech_3_9</vt:lpstr>
      <vt:lpstr>tech_4_1</vt:lpstr>
      <vt:lpstr>tech_4_2</vt:lpstr>
      <vt:lpstr>tech_4_3</vt:lpstr>
      <vt:lpstr>tech_4_3_2</vt:lpstr>
      <vt:lpstr>tech_4_4</vt:lpstr>
      <vt:lpstr>tech_4_5</vt:lpstr>
      <vt:lpstr>tech_4_6</vt:lpstr>
      <vt:lpstr>tech_4_7</vt:lpstr>
      <vt:lpstr>tech_4_8</vt:lpstr>
      <vt:lpstr>tech_5_1</vt:lpstr>
      <vt:lpstr>tech_5_2</vt:lpstr>
      <vt:lpstr>tech_5_2_3</vt:lpstr>
      <vt:lpstr>tech_5_3</vt:lpstr>
      <vt:lpstr>tech_5_4</vt:lpstr>
      <vt:lpstr>tech_5_4_2</vt:lpstr>
      <vt:lpstr>tech_5_5</vt:lpstr>
      <vt:lpstr>tech_5_6</vt:lpstr>
      <vt:lpstr>tech_5_7</vt:lpstr>
      <vt:lpstr>tech_6_1</vt:lpstr>
      <vt:lpstr>tech_6_2</vt:lpstr>
      <vt:lpstr>tech_6_2_2</vt:lpstr>
      <vt:lpstr>tech_6_3</vt:lpstr>
      <vt:lpstr>tech_6_3_2</vt:lpstr>
      <vt:lpstr>tech_6_3_3</vt:lpstr>
      <vt:lpstr>tech_6_4</vt:lpstr>
      <vt:lpstr>tech_6_5</vt:lpstr>
      <vt:lpstr>tech_6_5_2</vt:lpstr>
      <vt:lpstr>tech_6_6</vt:lpstr>
      <vt:lpstr>tech_6_6_2</vt:lpstr>
      <vt:lpstr>tech_7__2</vt:lpstr>
      <vt:lpstr>tech_7_1</vt:lpstr>
      <vt:lpstr>tech_7_2</vt:lpstr>
      <vt:lpstr>tech_7_3</vt:lpstr>
      <vt:lpstr>tech_7_3_2</vt:lpstr>
      <vt:lpstr>tech_7_4</vt:lpstr>
      <vt:lpstr>tech_7_5</vt:lpstr>
      <vt:lpstr>tech_8_1</vt:lpstr>
      <vt:lpstr>tech_8_2</vt:lpstr>
      <vt:lpstr>tech_8_3</vt:lpstr>
      <vt:lpstr>tech_8_4</vt:lpstr>
      <vt:lpstr>tech_9_1</vt:lpstr>
      <vt:lpstr>tech_9_1_2</vt:lpstr>
      <vt:lpstr>tech_9_2</vt:lpstr>
      <vt:lpstr>tech_9_3</vt:lpstr>
      <vt:lpstr>tech_conquerors_crafts</vt:lpstr>
      <vt:lpstr>tech_construction</vt:lpstr>
      <vt:lpstr>tech_construction_pop</vt:lpstr>
      <vt:lpstr>tech_construction_rezone</vt:lpstr>
      <vt:lpstr>tech_cost_per_acre</vt:lpstr>
      <vt:lpstr>tech_enchanted_lands_explore</vt:lpstr>
      <vt:lpstr>tech_enchanted_lands_mana</vt:lpstr>
      <vt:lpstr>tech_explore_cost</vt:lpstr>
      <vt:lpstr>tech_explore_cost2</vt:lpstr>
      <vt:lpstr>tech_explore_draft1</vt:lpstr>
      <vt:lpstr>tech_explore_draft2</vt:lpstr>
      <vt:lpstr>tech_fruits_of_labor_gems</vt:lpstr>
      <vt:lpstr>tech_fruits_of_labor1</vt:lpstr>
      <vt:lpstr>tech_magical_weaponry_op</vt:lpstr>
      <vt:lpstr>tech_magical_weaponry_wiz</vt:lpstr>
      <vt:lpstr>tech_master_of_frugality</vt:lpstr>
      <vt:lpstr>tech_military_offense</vt:lpstr>
      <vt:lpstr>tech_production_food</vt:lpstr>
      <vt:lpstr>tech_production_gems</vt:lpstr>
      <vt:lpstr>tech_production_plat</vt:lpstr>
      <vt:lpstr>tech_spy_cost</vt:lpstr>
      <vt:lpstr>tech_treasure_hunt_plat</vt:lpstr>
      <vt:lpstr>tech_urban_mastery_pop</vt:lpstr>
      <vt:lpstr>tech_wizard_cost</vt:lpstr>
      <vt:lpstr>tower_mana</vt:lpstr>
      <vt:lpstr>towers_param</vt:lpstr>
      <vt:lpstr>voodoo_magi_bonus</vt:lpstr>
      <vt:lpstr>voodoo_magi_cap</vt:lpstr>
      <vt:lpstr>walls_forges_cap</vt:lpstr>
      <vt:lpstr>walls_forges_param</vt:lpstr>
      <vt:lpstr>warsong_bonus</vt:lpstr>
      <vt:lpstr>waves</vt:lpstr>
      <vt:lpstr>wg_mana_prod</vt:lpstr>
      <vt:lpstr>wg_spell_cost_cap</vt:lpstr>
      <vt:lpstr>wg_spell_cost_red</vt:lpstr>
      <vt:lpstr>wg_wiz_cost_bonus</vt:lpstr>
      <vt:lpstr>wg_wiz_cost_cap</vt:lpstr>
      <vt:lpstr>wisp_bonus</vt:lpstr>
      <vt:lpstr>wisp_cap</vt:lpstr>
      <vt:lpstr>wizard_plat</vt:lpstr>
      <vt:lpstr>woodie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Dominion OOP Simulator</dc:title>
  <dc:subject>www.kamikazegames.com</dc:subject>
  <dc:creator>Blackreign;Thing Fish</dc:creator>
  <cp:lastModifiedBy>Cevan Krause</cp:lastModifiedBy>
  <cp:lastPrinted>2004-01-30T10:58:31Z</cp:lastPrinted>
  <dcterms:created xsi:type="dcterms:W3CDTF">2002-01-18T13:56:58Z</dcterms:created>
  <dcterms:modified xsi:type="dcterms:W3CDTF">2026-01-16T16:12:21Z</dcterms:modified>
</cp:coreProperties>
</file>